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an\Desktop\ADS - Python\"/>
    </mc:Choice>
  </mc:AlternateContent>
  <xr:revisionPtr revIDLastSave="0" documentId="13_ncr:1_{611129AC-9035-48DD-B47D-2F0D6E01BD99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Planilh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1" l="1"/>
  <c r="B25761" i="1"/>
  <c r="B13242" i="1"/>
  <c r="A16404" i="1"/>
  <c r="B16404" i="1"/>
  <c r="C16404" i="1"/>
  <c r="A13015" i="1"/>
  <c r="B13015" i="1"/>
  <c r="C13015" i="1"/>
  <c r="A13017" i="1"/>
  <c r="B13017" i="1"/>
  <c r="C13017" i="1"/>
  <c r="A13097" i="1"/>
  <c r="B13097" i="1"/>
  <c r="C13097" i="1"/>
  <c r="A13028" i="1"/>
  <c r="B13028" i="1"/>
  <c r="C13028" i="1"/>
  <c r="A13154" i="1"/>
  <c r="B13154" i="1"/>
  <c r="C13154" i="1"/>
  <c r="A13042" i="1"/>
  <c r="B13042" i="1"/>
  <c r="C13042" i="1"/>
  <c r="A20249" i="1"/>
  <c r="B20249" i="1"/>
  <c r="C20249" i="1"/>
  <c r="A20256" i="1"/>
  <c r="B20256" i="1"/>
  <c r="C20256" i="1"/>
  <c r="A20265" i="1"/>
  <c r="B20265" i="1"/>
  <c r="C20265" i="1"/>
  <c r="A20242" i="1"/>
  <c r="B20242" i="1"/>
  <c r="C20242" i="1"/>
  <c r="A20257" i="1"/>
  <c r="B20257" i="1"/>
  <c r="C20257" i="1"/>
  <c r="A20245" i="1"/>
  <c r="B20245" i="1"/>
  <c r="C20245" i="1"/>
  <c r="A20235" i="1"/>
  <c r="B20235" i="1"/>
  <c r="C20235" i="1"/>
  <c r="A20252" i="1"/>
  <c r="B20252" i="1"/>
  <c r="C20252" i="1"/>
  <c r="A20247" i="1"/>
  <c r="B20247" i="1"/>
  <c r="C20247" i="1"/>
  <c r="A13096" i="1"/>
  <c r="B13096" i="1"/>
  <c r="C13096" i="1"/>
  <c r="A13027" i="1"/>
  <c r="B13027" i="1"/>
  <c r="C13027" i="1"/>
  <c r="A15016" i="1"/>
  <c r="B15016" i="1"/>
  <c r="C15016" i="1"/>
  <c r="A15015" i="1"/>
  <c r="B15015" i="1"/>
  <c r="C15015" i="1"/>
  <c r="A14996" i="1"/>
  <c r="B14996" i="1"/>
  <c r="C14996" i="1"/>
  <c r="A15011" i="1"/>
  <c r="B15011" i="1"/>
  <c r="C15011" i="1"/>
  <c r="A14964" i="1"/>
  <c r="B14964" i="1"/>
  <c r="C14964" i="1"/>
  <c r="A14993" i="1"/>
  <c r="B14993" i="1"/>
  <c r="C14993" i="1"/>
  <c r="A14997" i="1"/>
  <c r="B14997" i="1"/>
  <c r="C14997" i="1"/>
  <c r="A15021" i="1"/>
  <c r="B15021" i="1"/>
  <c r="C15021" i="1"/>
  <c r="A15001" i="1"/>
  <c r="B15001" i="1"/>
  <c r="C15001" i="1"/>
  <c r="A15005" i="1"/>
  <c r="B15005" i="1"/>
  <c r="C15005" i="1"/>
  <c r="A15017" i="1"/>
  <c r="B15017" i="1"/>
  <c r="C15017" i="1"/>
  <c r="A14992" i="1"/>
  <c r="B14992" i="1"/>
  <c r="C14992" i="1"/>
  <c r="A15014" i="1"/>
  <c r="B15014" i="1"/>
  <c r="C15014" i="1"/>
  <c r="A15002" i="1"/>
  <c r="B15002" i="1"/>
  <c r="C15002" i="1"/>
  <c r="A15018" i="1"/>
  <c r="B15018" i="1"/>
  <c r="C15018" i="1"/>
  <c r="A15003" i="1"/>
  <c r="B15003" i="1"/>
  <c r="C15003" i="1"/>
  <c r="A15019" i="1"/>
  <c r="B15019" i="1"/>
  <c r="C15019" i="1"/>
  <c r="A15000" i="1"/>
  <c r="B15000" i="1"/>
  <c r="C15000" i="1"/>
  <c r="A14994" i="1"/>
  <c r="B14994" i="1"/>
  <c r="C14994" i="1"/>
  <c r="A14989" i="1"/>
  <c r="B14989" i="1"/>
  <c r="C14989" i="1"/>
  <c r="A14980" i="1"/>
  <c r="B14980" i="1"/>
  <c r="C14980" i="1"/>
  <c r="A14998" i="1"/>
  <c r="B14998" i="1"/>
  <c r="C14998" i="1"/>
  <c r="A15020" i="1"/>
  <c r="B15020" i="1"/>
  <c r="C15020" i="1"/>
  <c r="A15007" i="1"/>
  <c r="B15007" i="1"/>
  <c r="C15007" i="1"/>
  <c r="A15010" i="1"/>
  <c r="B15010" i="1"/>
  <c r="C15010" i="1"/>
  <c r="A14975" i="1"/>
  <c r="B14975" i="1"/>
  <c r="C14975" i="1"/>
  <c r="A14995" i="1"/>
  <c r="B14995" i="1"/>
  <c r="C14995" i="1"/>
  <c r="A14988" i="1"/>
  <c r="B14988" i="1"/>
  <c r="C14988" i="1"/>
  <c r="A14991" i="1"/>
  <c r="B14991" i="1"/>
  <c r="C14991" i="1"/>
  <c r="A14984" i="1"/>
  <c r="B14984" i="1"/>
  <c r="C14984" i="1"/>
  <c r="A14986" i="1"/>
  <c r="B14986" i="1"/>
  <c r="C14986" i="1"/>
  <c r="A14972" i="1"/>
  <c r="B14972" i="1"/>
  <c r="C14972" i="1"/>
  <c r="A14973" i="1"/>
  <c r="B14973" i="1"/>
  <c r="C14973" i="1"/>
  <c r="A14979" i="1"/>
  <c r="B14979" i="1"/>
  <c r="C14979" i="1"/>
  <c r="A15009" i="1"/>
  <c r="B15009" i="1"/>
  <c r="C15009" i="1"/>
  <c r="A14969" i="1"/>
  <c r="B14969" i="1"/>
  <c r="C14969" i="1"/>
  <c r="A14962" i="1"/>
  <c r="B14962" i="1"/>
  <c r="C14962" i="1"/>
  <c r="A14968" i="1"/>
  <c r="B14968" i="1"/>
  <c r="C14968" i="1"/>
  <c r="A14971" i="1"/>
  <c r="B14971" i="1"/>
  <c r="C14971" i="1"/>
  <c r="A14978" i="1"/>
  <c r="B14978" i="1"/>
  <c r="C14978" i="1"/>
  <c r="A14959" i="1"/>
  <c r="B14959" i="1"/>
  <c r="C14959" i="1"/>
  <c r="A14987" i="1"/>
  <c r="B14987" i="1"/>
  <c r="C14987" i="1"/>
  <c r="A14963" i="1"/>
  <c r="B14963" i="1"/>
  <c r="C14963" i="1"/>
  <c r="A14960" i="1"/>
  <c r="B14960" i="1"/>
  <c r="C14960" i="1"/>
  <c r="A14976" i="1"/>
  <c r="B14976" i="1"/>
  <c r="C14976" i="1"/>
  <c r="A14970" i="1"/>
  <c r="B14970" i="1"/>
  <c r="C14970" i="1"/>
  <c r="A14977" i="1"/>
  <c r="B14977" i="1"/>
  <c r="C14977" i="1"/>
  <c r="A14957" i="1"/>
  <c r="B14957" i="1"/>
  <c r="C14957" i="1"/>
  <c r="A14954" i="1"/>
  <c r="B14954" i="1"/>
  <c r="C14954" i="1"/>
  <c r="A14955" i="1"/>
  <c r="B14955" i="1"/>
  <c r="C14955" i="1"/>
  <c r="A14966" i="1"/>
  <c r="B14966" i="1"/>
  <c r="C14966" i="1"/>
  <c r="A14967" i="1"/>
  <c r="B14967" i="1"/>
  <c r="C14967" i="1"/>
  <c r="A14965" i="1"/>
  <c r="B14965" i="1"/>
  <c r="C14965" i="1"/>
  <c r="A14974" i="1"/>
  <c r="B14974" i="1"/>
  <c r="C14974" i="1"/>
  <c r="A14961" i="1"/>
  <c r="B14961" i="1"/>
  <c r="C14961" i="1"/>
  <c r="A14956" i="1"/>
  <c r="B14956" i="1"/>
  <c r="C14956" i="1"/>
  <c r="A14953" i="1"/>
  <c r="B14953" i="1"/>
  <c r="C14953" i="1"/>
  <c r="A14958" i="1"/>
  <c r="B14958" i="1"/>
  <c r="C14958" i="1"/>
  <c r="A14985" i="1"/>
  <c r="B14985" i="1"/>
  <c r="C14985" i="1"/>
  <c r="A14983" i="1"/>
  <c r="B14983" i="1"/>
  <c r="C14983" i="1"/>
  <c r="A14981" i="1"/>
  <c r="B14981" i="1"/>
  <c r="C14981" i="1"/>
  <c r="A14990" i="1"/>
  <c r="B14990" i="1"/>
  <c r="C14990" i="1"/>
  <c r="A15013" i="1"/>
  <c r="B15013" i="1"/>
  <c r="C15013" i="1"/>
  <c r="A14999" i="1"/>
  <c r="B14999" i="1"/>
  <c r="C14999" i="1"/>
  <c r="A15012" i="1"/>
  <c r="B15012" i="1"/>
  <c r="C15012" i="1"/>
  <c r="A15006" i="1"/>
  <c r="B15006" i="1"/>
  <c r="C15006" i="1"/>
  <c r="A15008" i="1"/>
  <c r="B15008" i="1"/>
  <c r="C15008" i="1"/>
  <c r="A15004" i="1"/>
  <c r="B15004" i="1"/>
  <c r="C15004" i="1"/>
  <c r="A14982" i="1"/>
  <c r="B14982" i="1"/>
  <c r="C14982" i="1"/>
  <c r="A13172" i="1"/>
  <c r="B13172" i="1"/>
  <c r="C13172" i="1"/>
  <c r="A13125" i="1"/>
  <c r="B13125" i="1"/>
  <c r="C13125" i="1"/>
  <c r="A13161" i="1"/>
  <c r="B13161" i="1"/>
  <c r="C13161" i="1"/>
  <c r="A2153" i="1"/>
  <c r="B2153" i="1"/>
  <c r="C2153" i="1"/>
  <c r="A2154" i="1"/>
  <c r="B2154" i="1"/>
  <c r="C2154" i="1"/>
  <c r="A2165" i="1"/>
  <c r="B2165" i="1"/>
  <c r="C2165" i="1"/>
  <c r="A2166" i="1"/>
  <c r="B2166" i="1"/>
  <c r="C2166" i="1"/>
  <c r="A2167" i="1"/>
  <c r="B2167" i="1"/>
  <c r="C2167" i="1"/>
  <c r="A2162" i="1"/>
  <c r="B2162" i="1"/>
  <c r="C2162" i="1"/>
  <c r="A2163" i="1"/>
  <c r="B2163" i="1"/>
  <c r="C2163" i="1"/>
  <c r="A2225" i="1"/>
  <c r="B2225" i="1"/>
  <c r="C2225" i="1"/>
  <c r="A2226" i="1"/>
  <c r="B2226" i="1"/>
  <c r="C2226" i="1"/>
  <c r="A2104" i="1"/>
  <c r="B2104" i="1"/>
  <c r="C2104" i="1"/>
  <c r="A2106" i="1"/>
  <c r="B2106" i="1"/>
  <c r="C2106" i="1"/>
  <c r="A2105" i="1"/>
  <c r="B2105" i="1"/>
  <c r="C2105" i="1"/>
  <c r="A2101" i="1"/>
  <c r="B2101" i="1"/>
  <c r="C2101" i="1"/>
  <c r="A2103" i="1"/>
  <c r="B2103" i="1"/>
  <c r="C2103" i="1"/>
  <c r="A2102" i="1"/>
  <c r="B2102" i="1"/>
  <c r="C2102" i="1"/>
  <c r="A2097" i="1"/>
  <c r="B2097" i="1"/>
  <c r="C2097" i="1"/>
  <c r="A2099" i="1"/>
  <c r="B2099" i="1"/>
  <c r="C2099" i="1"/>
  <c r="A2098" i="1"/>
  <c r="B2098" i="1"/>
  <c r="C2098" i="1"/>
  <c r="A2207" i="1"/>
  <c r="B2207" i="1"/>
  <c r="C2207" i="1"/>
  <c r="A2208" i="1"/>
  <c r="B2208" i="1"/>
  <c r="C2208" i="1"/>
  <c r="A2160" i="1"/>
  <c r="B2160" i="1"/>
  <c r="C2160" i="1"/>
  <c r="A2161" i="1"/>
  <c r="B2161" i="1"/>
  <c r="C2161" i="1"/>
  <c r="A2178" i="1"/>
  <c r="B2178" i="1"/>
  <c r="C2178" i="1"/>
  <c r="A2189" i="1"/>
  <c r="B2189" i="1"/>
  <c r="C2189" i="1"/>
  <c r="A2190" i="1"/>
  <c r="B2190" i="1"/>
  <c r="C2190" i="1"/>
  <c r="A2159" i="1"/>
  <c r="B2159" i="1"/>
  <c r="C2159" i="1"/>
  <c r="A2158" i="1"/>
  <c r="B2158" i="1"/>
  <c r="C2158" i="1"/>
  <c r="A2115" i="1"/>
  <c r="B2115" i="1"/>
  <c r="C2115" i="1"/>
  <c r="A2116" i="1"/>
  <c r="B2116" i="1"/>
  <c r="C2116" i="1"/>
  <c r="A2185" i="1"/>
  <c r="B2185" i="1"/>
  <c r="C2185" i="1"/>
  <c r="A2186" i="1"/>
  <c r="B2186" i="1"/>
  <c r="C2186" i="1"/>
  <c r="A2183" i="1"/>
  <c r="B2183" i="1"/>
  <c r="C2183" i="1"/>
  <c r="A2184" i="1"/>
  <c r="B2184" i="1"/>
  <c r="C2184" i="1"/>
  <c r="A2133" i="1"/>
  <c r="B2133" i="1"/>
  <c r="C2133" i="1"/>
  <c r="A2134" i="1"/>
  <c r="B2134" i="1"/>
  <c r="C2134" i="1"/>
  <c r="A2093" i="1"/>
  <c r="B2093" i="1"/>
  <c r="C2093" i="1"/>
  <c r="A2092" i="1"/>
  <c r="B2092" i="1"/>
  <c r="C2092" i="1"/>
  <c r="A2179" i="1"/>
  <c r="B2179" i="1"/>
  <c r="C2179" i="1"/>
  <c r="A2180" i="1"/>
  <c r="B2180" i="1"/>
  <c r="C2180" i="1"/>
  <c r="A2187" i="1"/>
  <c r="B2187" i="1"/>
  <c r="C2187" i="1"/>
  <c r="A2245" i="1"/>
  <c r="B2245" i="1"/>
  <c r="C2245" i="1"/>
  <c r="A2193" i="1"/>
  <c r="B2193" i="1"/>
  <c r="C2193" i="1"/>
  <c r="A2194" i="1"/>
  <c r="B2194" i="1"/>
  <c r="C2194" i="1"/>
  <c r="A2243" i="1"/>
  <c r="B2243" i="1"/>
  <c r="C2243" i="1"/>
  <c r="A2244" i="1"/>
  <c r="B2244" i="1"/>
  <c r="C2244" i="1"/>
  <c r="A2156" i="1"/>
  <c r="B2156" i="1"/>
  <c r="C2156" i="1"/>
  <c r="A2155" i="1"/>
  <c r="B2155" i="1"/>
  <c r="C2155" i="1"/>
  <c r="A2191" i="1"/>
  <c r="B2191" i="1"/>
  <c r="C2191" i="1"/>
  <c r="A2192" i="1"/>
  <c r="B2192" i="1"/>
  <c r="C2192" i="1"/>
  <c r="A2107" i="1"/>
  <c r="B2107" i="1"/>
  <c r="C2107" i="1"/>
  <c r="A2217" i="1"/>
  <c r="B2217" i="1"/>
  <c r="C2217" i="1"/>
  <c r="A2094" i="1"/>
  <c r="B2094" i="1"/>
  <c r="C2094" i="1"/>
  <c r="A2095" i="1"/>
  <c r="B2095" i="1"/>
  <c r="C2095" i="1"/>
  <c r="A2173" i="1"/>
  <c r="B2173" i="1"/>
  <c r="C2173" i="1"/>
  <c r="A2177" i="1"/>
  <c r="B2177" i="1"/>
  <c r="C2177" i="1"/>
  <c r="A2157" i="1"/>
  <c r="B2157" i="1"/>
  <c r="C2157" i="1"/>
  <c r="A2164" i="1"/>
  <c r="B2164" i="1"/>
  <c r="C2164" i="1"/>
  <c r="A2083" i="1"/>
  <c r="B2083" i="1"/>
  <c r="C2083" i="1"/>
  <c r="A2084" i="1"/>
  <c r="B2084" i="1"/>
  <c r="C2084" i="1"/>
  <c r="A2175" i="1"/>
  <c r="B2175" i="1"/>
  <c r="C2175" i="1"/>
  <c r="A2176" i="1"/>
  <c r="B2176" i="1"/>
  <c r="C2176" i="1"/>
  <c r="A2142" i="1"/>
  <c r="B2142" i="1"/>
  <c r="C2142" i="1"/>
  <c r="A2141" i="1"/>
  <c r="B2141" i="1"/>
  <c r="C2141" i="1"/>
  <c r="A2138" i="1"/>
  <c r="B2138" i="1"/>
  <c r="C2138" i="1"/>
  <c r="A2137" i="1"/>
  <c r="B2137" i="1"/>
  <c r="C2137" i="1"/>
  <c r="A2136" i="1"/>
  <c r="B2136" i="1"/>
  <c r="C2136" i="1"/>
  <c r="A2135" i="1"/>
  <c r="B2135" i="1"/>
  <c r="C2135" i="1"/>
  <c r="A2148" i="1"/>
  <c r="B2148" i="1"/>
  <c r="C2148" i="1"/>
  <c r="A2147" i="1"/>
  <c r="B2147" i="1"/>
  <c r="C2147" i="1"/>
  <c r="A2196" i="1"/>
  <c r="B2196" i="1"/>
  <c r="C2196" i="1"/>
  <c r="A2195" i="1"/>
  <c r="B2195" i="1"/>
  <c r="C2195" i="1"/>
  <c r="A2150" i="1"/>
  <c r="B2150" i="1"/>
  <c r="C2150" i="1"/>
  <c r="A2149" i="1"/>
  <c r="B2149" i="1"/>
  <c r="C2149" i="1"/>
  <c r="A2100" i="1"/>
  <c r="B2100" i="1"/>
  <c r="C2100" i="1"/>
  <c r="A2096" i="1"/>
  <c r="B2096" i="1"/>
  <c r="C2096" i="1"/>
  <c r="A2168" i="1"/>
  <c r="B2168" i="1"/>
  <c r="C2168" i="1"/>
  <c r="A2169" i="1"/>
  <c r="B2169" i="1"/>
  <c r="C2169" i="1"/>
  <c r="A2117" i="1"/>
  <c r="B2117" i="1"/>
  <c r="C2117" i="1"/>
  <c r="A2130" i="1"/>
  <c r="B2130" i="1"/>
  <c r="C2130" i="1"/>
  <c r="A2129" i="1"/>
  <c r="B2129" i="1"/>
  <c r="C2129" i="1"/>
  <c r="A2174" i="1"/>
  <c r="B2174" i="1"/>
  <c r="C2174" i="1"/>
  <c r="A2172" i="1"/>
  <c r="B2172" i="1"/>
  <c r="C2172" i="1"/>
  <c r="A2152" i="1"/>
  <c r="B2152" i="1"/>
  <c r="C2152" i="1"/>
  <c r="A2151" i="1"/>
  <c r="B2151" i="1"/>
  <c r="C2151" i="1"/>
  <c r="A2139" i="1"/>
  <c r="B2139" i="1"/>
  <c r="C2139" i="1"/>
  <c r="A2140" i="1"/>
  <c r="B2140" i="1"/>
  <c r="C2140" i="1"/>
  <c r="A2242" i="1"/>
  <c r="B2242" i="1"/>
  <c r="C2242" i="1"/>
  <c r="A2241" i="1"/>
  <c r="B2241" i="1"/>
  <c r="C2241" i="1"/>
  <c r="A2145" i="1"/>
  <c r="B2145" i="1"/>
  <c r="C2145" i="1"/>
  <c r="A2146" i="1"/>
  <c r="B2146" i="1"/>
  <c r="C2146" i="1"/>
  <c r="A2144" i="1"/>
  <c r="B2144" i="1"/>
  <c r="C2144" i="1"/>
  <c r="A2143" i="1"/>
  <c r="B2143" i="1"/>
  <c r="C2143" i="1"/>
  <c r="A2240" i="1"/>
  <c r="B2240" i="1"/>
  <c r="C2240" i="1"/>
  <c r="A2246" i="1"/>
  <c r="B2246" i="1"/>
  <c r="C2246" i="1"/>
  <c r="A2086" i="1"/>
  <c r="B2086" i="1"/>
  <c r="C2086" i="1"/>
  <c r="A2088" i="1"/>
  <c r="B2088" i="1"/>
  <c r="C2088" i="1"/>
  <c r="A2087" i="1"/>
  <c r="B2087" i="1"/>
  <c r="C2087" i="1"/>
  <c r="A2089" i="1"/>
  <c r="B2089" i="1"/>
  <c r="C2089" i="1"/>
  <c r="A2091" i="1"/>
  <c r="B2091" i="1"/>
  <c r="C2091" i="1"/>
  <c r="A2090" i="1"/>
  <c r="B2090" i="1"/>
  <c r="C2090" i="1"/>
  <c r="A2218" i="1"/>
  <c r="B2218" i="1"/>
  <c r="C2218" i="1"/>
  <c r="A2219" i="1"/>
  <c r="B2219" i="1"/>
  <c r="C2219" i="1"/>
  <c r="A2181" i="1"/>
  <c r="B2181" i="1"/>
  <c r="C2181" i="1"/>
  <c r="A2182" i="1"/>
  <c r="B2182" i="1"/>
  <c r="C2182" i="1"/>
  <c r="A2170" i="1"/>
  <c r="B2170" i="1"/>
  <c r="C2170" i="1"/>
  <c r="A2171" i="1"/>
  <c r="B2171" i="1"/>
  <c r="C2171" i="1"/>
  <c r="A539" i="1"/>
  <c r="B539" i="1"/>
  <c r="C539" i="1"/>
  <c r="A3123" i="1"/>
  <c r="B3123" i="1"/>
  <c r="C3123" i="1"/>
  <c r="A3124" i="1"/>
  <c r="B3124" i="1"/>
  <c r="C3124" i="1"/>
  <c r="A3125" i="1"/>
  <c r="B3125" i="1"/>
  <c r="C3125" i="1"/>
  <c r="A2235" i="1"/>
  <c r="B2235" i="1"/>
  <c r="C2235" i="1"/>
  <c r="A2234" i="1"/>
  <c r="B2234" i="1"/>
  <c r="C2234" i="1"/>
  <c r="A12927" i="1"/>
  <c r="B12927" i="1"/>
  <c r="C12927" i="1"/>
  <c r="A3126" i="1"/>
  <c r="B3126" i="1"/>
  <c r="C3126" i="1"/>
  <c r="A3127" i="1"/>
  <c r="B3127" i="1"/>
  <c r="C3127" i="1"/>
  <c r="A3128" i="1"/>
  <c r="B3128" i="1"/>
  <c r="C3128" i="1"/>
  <c r="A3129" i="1"/>
  <c r="B3129" i="1"/>
  <c r="C3129" i="1"/>
  <c r="A13163" i="1"/>
  <c r="B13163" i="1"/>
  <c r="C13163" i="1"/>
  <c r="A21464" i="1"/>
  <c r="B21464" i="1"/>
  <c r="C21464" i="1"/>
  <c r="A14678" i="1"/>
  <c r="B14678" i="1"/>
  <c r="C14678" i="1"/>
  <c r="A13116" i="1"/>
  <c r="B13116" i="1"/>
  <c r="C13116" i="1"/>
  <c r="A13117" i="1"/>
  <c r="B13117" i="1"/>
  <c r="C13117" i="1"/>
  <c r="A13063" i="1"/>
  <c r="B13063" i="1"/>
  <c r="C13063" i="1"/>
  <c r="A13062" i="1"/>
  <c r="B13062" i="1"/>
  <c r="C13062" i="1"/>
  <c r="A22808" i="1"/>
  <c r="B22808" i="1"/>
  <c r="C22808" i="1"/>
  <c r="A13066" i="1"/>
  <c r="B13066" i="1"/>
  <c r="C13066" i="1"/>
  <c r="A12852" i="1"/>
  <c r="B12852" i="1"/>
  <c r="C12852" i="1"/>
  <c r="A12851" i="1"/>
  <c r="B12851" i="1"/>
  <c r="C12851" i="1"/>
  <c r="A12850" i="1"/>
  <c r="B12850" i="1"/>
  <c r="C12850" i="1"/>
  <c r="A1713" i="1"/>
  <c r="B1713" i="1"/>
  <c r="C1713" i="1"/>
  <c r="A1714" i="1"/>
  <c r="B1714" i="1"/>
  <c r="C1714" i="1"/>
  <c r="A8376" i="1"/>
  <c r="B8376" i="1"/>
  <c r="C8376" i="1"/>
  <c r="A13092" i="1"/>
  <c r="B13092" i="1"/>
  <c r="C13092" i="1"/>
  <c r="A16131" i="1"/>
  <c r="B16131" i="1"/>
  <c r="C16131" i="1"/>
  <c r="A13120" i="1"/>
  <c r="B13120" i="1"/>
  <c r="C13120" i="1"/>
  <c r="A13089" i="1"/>
  <c r="B13089" i="1"/>
  <c r="C13089" i="1"/>
  <c r="A13076" i="1"/>
  <c r="B13076" i="1"/>
  <c r="C13076" i="1"/>
  <c r="A13115" i="1"/>
  <c r="B13115" i="1"/>
  <c r="C13115" i="1"/>
  <c r="A197" i="1"/>
  <c r="B197" i="1"/>
  <c r="C197" i="1"/>
  <c r="A196" i="1"/>
  <c r="B196" i="1"/>
  <c r="C196" i="1"/>
  <c r="A16415" i="1"/>
  <c r="B16415" i="1"/>
  <c r="C16415" i="1"/>
  <c r="A13113" i="1"/>
  <c r="B13113" i="1"/>
  <c r="C13113" i="1"/>
  <c r="A2431" i="1"/>
  <c r="B2431" i="1"/>
  <c r="C2431" i="1"/>
  <c r="A2432" i="1"/>
  <c r="B2432" i="1"/>
  <c r="C2432" i="1"/>
  <c r="A13114" i="1"/>
  <c r="B13114" i="1"/>
  <c r="C13114" i="1"/>
  <c r="A12949" i="1"/>
  <c r="B12949" i="1"/>
  <c r="C12949" i="1"/>
  <c r="A12948" i="1"/>
  <c r="B12948" i="1"/>
  <c r="C12948" i="1"/>
  <c r="A12947" i="1"/>
  <c r="B12947" i="1"/>
  <c r="C12947" i="1"/>
  <c r="A13119" i="1"/>
  <c r="B13119" i="1"/>
  <c r="C13119" i="1"/>
  <c r="A13038" i="1"/>
  <c r="B13038" i="1"/>
  <c r="C13038" i="1"/>
  <c r="A13131" i="1"/>
  <c r="B13131" i="1"/>
  <c r="C13131" i="1"/>
  <c r="A6760" i="1"/>
  <c r="B6760" i="1"/>
  <c r="C6760" i="1"/>
  <c r="A13130" i="1"/>
  <c r="B13130" i="1"/>
  <c r="C13130" i="1"/>
  <c r="A11450" i="1"/>
  <c r="B11450" i="1"/>
  <c r="C11450" i="1"/>
  <c r="A2384" i="1"/>
  <c r="B2384" i="1"/>
  <c r="C2384" i="1"/>
  <c r="A2397" i="1"/>
  <c r="B2397" i="1"/>
  <c r="C2397" i="1"/>
  <c r="A2474" i="1"/>
  <c r="B2474" i="1"/>
  <c r="C2474" i="1"/>
  <c r="A2411" i="1"/>
  <c r="B2411" i="1"/>
  <c r="C2411" i="1"/>
  <c r="A2486" i="1"/>
  <c r="B2486" i="1"/>
  <c r="C2486" i="1"/>
  <c r="A2383" i="1"/>
  <c r="B2383" i="1"/>
  <c r="C2383" i="1"/>
  <c r="A2452" i="1"/>
  <c r="B2452" i="1"/>
  <c r="C2452" i="1"/>
  <c r="A2361" i="1"/>
  <c r="B2361" i="1"/>
  <c r="C2361" i="1"/>
  <c r="A2465" i="1"/>
  <c r="B2465" i="1"/>
  <c r="C2465" i="1"/>
  <c r="A2468" i="1"/>
  <c r="B2468" i="1"/>
  <c r="C2468" i="1"/>
  <c r="A11451" i="1"/>
  <c r="B11451" i="1"/>
  <c r="C11451" i="1"/>
  <c r="A13118" i="1"/>
  <c r="B13118" i="1"/>
  <c r="C13118" i="1"/>
  <c r="A11452" i="1"/>
  <c r="B11452" i="1"/>
  <c r="C11452" i="1"/>
  <c r="A12847" i="1"/>
  <c r="B12847" i="1"/>
  <c r="C12847" i="1"/>
  <c r="A12845" i="1"/>
  <c r="B12845" i="1"/>
  <c r="C12845" i="1"/>
  <c r="A12849" i="1"/>
  <c r="B12849" i="1"/>
  <c r="C12849" i="1"/>
  <c r="A12843" i="1"/>
  <c r="B12843" i="1"/>
  <c r="C12843" i="1"/>
  <c r="A20130" i="1"/>
  <c r="B20130" i="1"/>
  <c r="C20130" i="1"/>
  <c r="A14248" i="1"/>
  <c r="B14248" i="1"/>
  <c r="C14248" i="1"/>
  <c r="A12946" i="1"/>
  <c r="B12946" i="1"/>
  <c r="C12946" i="1"/>
  <c r="A12945" i="1"/>
  <c r="B12945" i="1"/>
  <c r="C12945" i="1"/>
  <c r="A12933" i="1"/>
  <c r="B12933" i="1"/>
  <c r="C12933" i="1"/>
  <c r="A12929" i="1"/>
  <c r="B12929" i="1"/>
  <c r="C12929" i="1"/>
  <c r="A3495" i="1"/>
  <c r="B3495" i="1"/>
  <c r="C3495" i="1"/>
  <c r="A12931" i="1"/>
  <c r="B12931" i="1"/>
  <c r="C12931" i="1"/>
  <c r="A12962" i="1"/>
  <c r="B12962" i="1"/>
  <c r="C12962" i="1"/>
  <c r="A20141" i="1"/>
  <c r="B20141" i="1"/>
  <c r="C20141" i="1"/>
  <c r="A12846" i="1"/>
  <c r="B12846" i="1"/>
  <c r="C12846" i="1"/>
  <c r="A12844" i="1"/>
  <c r="B12844" i="1"/>
  <c r="C12844" i="1"/>
  <c r="A12848" i="1"/>
  <c r="B12848" i="1"/>
  <c r="C12848" i="1"/>
  <c r="A12842" i="1"/>
  <c r="B12842" i="1"/>
  <c r="C12842" i="1"/>
  <c r="A2188" i="1"/>
  <c r="B2188" i="1"/>
  <c r="C2188" i="1"/>
  <c r="A11634" i="1"/>
  <c r="B11634" i="1"/>
  <c r="C11634" i="1"/>
  <c r="A13065" i="1"/>
  <c r="B13065" i="1"/>
  <c r="C13065" i="1"/>
  <c r="A12979" i="1"/>
  <c r="B12979" i="1"/>
  <c r="C12979" i="1"/>
  <c r="A12976" i="1"/>
  <c r="B12976" i="1"/>
  <c r="C12976" i="1"/>
  <c r="A12479" i="1"/>
  <c r="B12479" i="1"/>
  <c r="C12479" i="1"/>
  <c r="A12973" i="1"/>
  <c r="B12973" i="1"/>
  <c r="C12973" i="1"/>
  <c r="A12964" i="1"/>
  <c r="B12964" i="1"/>
  <c r="C12964" i="1"/>
  <c r="A12963" i="1"/>
  <c r="B12963" i="1"/>
  <c r="C12963" i="1"/>
  <c r="A12968" i="1"/>
  <c r="B12968" i="1"/>
  <c r="C12968" i="1"/>
  <c r="A12969" i="1"/>
  <c r="B12969" i="1"/>
  <c r="C12969" i="1"/>
  <c r="A12967" i="1"/>
  <c r="B12967" i="1"/>
  <c r="C12967" i="1"/>
  <c r="A12982" i="1"/>
  <c r="B12982" i="1"/>
  <c r="C12982" i="1"/>
  <c r="A12983" i="1"/>
  <c r="B12983" i="1"/>
  <c r="C12983" i="1"/>
  <c r="A12980" i="1"/>
  <c r="B12980" i="1"/>
  <c r="C12980" i="1"/>
  <c r="A12981" i="1"/>
  <c r="B12981" i="1"/>
  <c r="C12981" i="1"/>
  <c r="A7969" i="1"/>
  <c r="B7969" i="1"/>
  <c r="C7969" i="1"/>
  <c r="A20128" i="1"/>
  <c r="B20128" i="1"/>
  <c r="C20128" i="1"/>
  <c r="A20127" i="1"/>
  <c r="B20127" i="1"/>
  <c r="C20127" i="1"/>
  <c r="A2367" i="1"/>
  <c r="B2367" i="1"/>
  <c r="C2367" i="1"/>
  <c r="A2369" i="1"/>
  <c r="B2369" i="1"/>
  <c r="C2369" i="1"/>
  <c r="A12939" i="1"/>
  <c r="B12939" i="1"/>
  <c r="C12939" i="1"/>
  <c r="A12940" i="1"/>
  <c r="B12940" i="1"/>
  <c r="C12940" i="1"/>
  <c r="A12882" i="1"/>
  <c r="B12882" i="1"/>
  <c r="C12882" i="1"/>
  <c r="A12977" i="1"/>
  <c r="B12977" i="1"/>
  <c r="C12977" i="1"/>
  <c r="A12974" i="1"/>
  <c r="B12974" i="1"/>
  <c r="C12974" i="1"/>
  <c r="A7970" i="1"/>
  <c r="B7970" i="1"/>
  <c r="C7970" i="1"/>
  <c r="A12998" i="1"/>
  <c r="B12998" i="1"/>
  <c r="C12998" i="1"/>
  <c r="A12997" i="1"/>
  <c r="B12997" i="1"/>
  <c r="C12997" i="1"/>
  <c r="A12942" i="1"/>
  <c r="B12942" i="1"/>
  <c r="C12942" i="1"/>
  <c r="A12941" i="1"/>
  <c r="B12941" i="1"/>
  <c r="C12941" i="1"/>
  <c r="A12959" i="1"/>
  <c r="B12959" i="1"/>
  <c r="C12959" i="1"/>
  <c r="A12958" i="1"/>
  <c r="B12958" i="1"/>
  <c r="C12958" i="1"/>
  <c r="A12956" i="1"/>
  <c r="B12956" i="1"/>
  <c r="C12956" i="1"/>
  <c r="A2439" i="1"/>
  <c r="B2439" i="1"/>
  <c r="C2439" i="1"/>
  <c r="A12961" i="1"/>
  <c r="B12961" i="1"/>
  <c r="C12961" i="1"/>
  <c r="A12957" i="1"/>
  <c r="B12957" i="1"/>
  <c r="C12957" i="1"/>
  <c r="A12955" i="1"/>
  <c r="B12955" i="1"/>
  <c r="C12955" i="1"/>
  <c r="A12960" i="1"/>
  <c r="B12960" i="1"/>
  <c r="C12960" i="1"/>
  <c r="A2353" i="1"/>
  <c r="B2353" i="1"/>
  <c r="C2353" i="1"/>
  <c r="A2349" i="1"/>
  <c r="B2349" i="1"/>
  <c r="C2349" i="1"/>
  <c r="A2352" i="1"/>
  <c r="B2352" i="1"/>
  <c r="C2352" i="1"/>
  <c r="A13090" i="1"/>
  <c r="B13090" i="1"/>
  <c r="C13090" i="1"/>
  <c r="A2438" i="1"/>
  <c r="B2438" i="1"/>
  <c r="C2438" i="1"/>
  <c r="A17703" i="1"/>
  <c r="B17703" i="1"/>
  <c r="C17703" i="1"/>
  <c r="A11963" i="1"/>
  <c r="B11963" i="1"/>
  <c r="C11963" i="1"/>
  <c r="A8806" i="1"/>
  <c r="B8806" i="1"/>
  <c r="C8806" i="1"/>
  <c r="A13105" i="1"/>
  <c r="B13105" i="1"/>
  <c r="C13105" i="1"/>
  <c r="A14783" i="1"/>
  <c r="B14783" i="1"/>
  <c r="C14783" i="1"/>
  <c r="A16766" i="1"/>
  <c r="B16766" i="1"/>
  <c r="C16766" i="1"/>
  <c r="A16760" i="1"/>
  <c r="B16760" i="1"/>
  <c r="C16760" i="1"/>
  <c r="A16767" i="1"/>
  <c r="B16767" i="1"/>
  <c r="C16767" i="1"/>
  <c r="A16759" i="1"/>
  <c r="B16759" i="1"/>
  <c r="C16759" i="1"/>
  <c r="A13129" i="1"/>
  <c r="B13129" i="1"/>
  <c r="C13129" i="1"/>
  <c r="A13178" i="1"/>
  <c r="B13178" i="1"/>
  <c r="C13178" i="1"/>
  <c r="A705" i="1"/>
  <c r="B705" i="1"/>
  <c r="C705" i="1"/>
  <c r="A16758" i="1"/>
  <c r="B16758" i="1"/>
  <c r="C16758" i="1"/>
  <c r="A16757" i="1"/>
  <c r="B16757" i="1"/>
  <c r="C16757" i="1"/>
  <c r="A12944" i="1"/>
  <c r="B12944" i="1"/>
  <c r="C12944" i="1"/>
  <c r="A8690" i="1"/>
  <c r="B8690" i="1"/>
  <c r="C8690" i="1"/>
  <c r="A12922" i="1"/>
  <c r="B12922" i="1"/>
  <c r="C12922" i="1"/>
  <c r="A22811" i="1"/>
  <c r="B22811" i="1"/>
  <c r="C22811" i="1"/>
  <c r="A18510" i="1"/>
  <c r="B18510" i="1"/>
  <c r="C18510" i="1"/>
  <c r="A17670" i="1"/>
  <c r="B17670" i="1"/>
  <c r="C17670" i="1"/>
  <c r="A22415" i="1"/>
  <c r="B22415" i="1"/>
  <c r="C22415" i="1"/>
  <c r="A22417" i="1"/>
  <c r="B22417" i="1"/>
  <c r="C22417" i="1"/>
  <c r="A22414" i="1"/>
  <c r="B22414" i="1"/>
  <c r="C22414" i="1"/>
  <c r="A14270" i="1"/>
  <c r="B14270" i="1"/>
  <c r="C14270" i="1"/>
  <c r="A20723" i="1"/>
  <c r="B20723" i="1"/>
  <c r="C20723" i="1"/>
  <c r="A7885" i="1"/>
  <c r="B7885" i="1"/>
  <c r="C7885" i="1"/>
  <c r="A7884" i="1"/>
  <c r="B7884" i="1"/>
  <c r="C7884" i="1"/>
  <c r="A7888" i="1"/>
  <c r="B7888" i="1"/>
  <c r="C7888" i="1"/>
  <c r="A7889" i="1"/>
  <c r="B7889" i="1"/>
  <c r="C7889" i="1"/>
  <c r="A12937" i="1"/>
  <c r="B12937" i="1"/>
  <c r="C12937" i="1"/>
  <c r="A12925" i="1"/>
  <c r="B12925" i="1"/>
  <c r="C12925" i="1"/>
  <c r="A12936" i="1"/>
  <c r="B12936" i="1"/>
  <c r="C12936" i="1"/>
  <c r="A22287" i="1"/>
  <c r="B22287" i="1"/>
  <c r="C22287" i="1"/>
  <c r="A13182" i="1"/>
  <c r="B13182" i="1"/>
  <c r="C13182" i="1"/>
  <c r="A22288" i="1"/>
  <c r="B22288" i="1"/>
  <c r="C22288" i="1"/>
  <c r="A2351" i="1"/>
  <c r="B2351" i="1"/>
  <c r="C2351" i="1"/>
  <c r="A2414" i="1"/>
  <c r="B2414" i="1"/>
  <c r="C2414" i="1"/>
  <c r="A2354" i="1"/>
  <c r="B2354" i="1"/>
  <c r="C2354" i="1"/>
  <c r="A2350" i="1"/>
  <c r="B2350" i="1"/>
  <c r="C2350" i="1"/>
  <c r="A2460" i="1"/>
  <c r="B2460" i="1"/>
  <c r="C2460" i="1"/>
  <c r="A2413" i="1"/>
  <c r="B2413" i="1"/>
  <c r="C2413" i="1"/>
  <c r="A2489" i="1"/>
  <c r="B2489" i="1"/>
  <c r="C2489" i="1"/>
  <c r="A2406" i="1"/>
  <c r="B2406" i="1"/>
  <c r="C2406" i="1"/>
  <c r="A13128" i="1"/>
  <c r="B13128" i="1"/>
  <c r="C13128" i="1"/>
  <c r="A20139" i="1"/>
  <c r="B20139" i="1"/>
  <c r="C20139" i="1"/>
  <c r="A20138" i="1"/>
  <c r="B20138" i="1"/>
  <c r="C20138" i="1"/>
  <c r="A20133" i="1"/>
  <c r="B20133" i="1"/>
  <c r="C20133" i="1"/>
  <c r="A13001" i="1"/>
  <c r="B13001" i="1"/>
  <c r="C13001" i="1"/>
  <c r="A12966" i="1"/>
  <c r="B12966" i="1"/>
  <c r="C12966" i="1"/>
  <c r="A12965" i="1"/>
  <c r="B12965" i="1"/>
  <c r="C12965" i="1"/>
  <c r="A20129" i="1"/>
  <c r="B20129" i="1"/>
  <c r="C20129" i="1"/>
  <c r="A20132" i="1"/>
  <c r="B20132" i="1"/>
  <c r="C20132" i="1"/>
  <c r="A13123" i="1"/>
  <c r="B13123" i="1"/>
  <c r="C13123" i="1"/>
  <c r="A12932" i="1"/>
  <c r="B12932" i="1"/>
  <c r="C12932" i="1"/>
  <c r="A12928" i="1"/>
  <c r="B12928" i="1"/>
  <c r="C12928" i="1"/>
  <c r="A12923" i="1"/>
  <c r="B12923" i="1"/>
  <c r="C12923" i="1"/>
  <c r="A12930" i="1"/>
  <c r="B12930" i="1"/>
  <c r="C12930" i="1"/>
  <c r="A12924" i="1"/>
  <c r="B12924" i="1"/>
  <c r="C12924" i="1"/>
  <c r="A13069" i="1"/>
  <c r="B13069" i="1"/>
  <c r="C13069" i="1"/>
  <c r="A13071" i="1"/>
  <c r="B13071" i="1"/>
  <c r="C13071" i="1"/>
  <c r="A13112" i="1"/>
  <c r="B13112" i="1"/>
  <c r="C13112" i="1"/>
  <c r="A25344" i="1"/>
  <c r="B25344" i="1"/>
  <c r="C25344" i="1"/>
  <c r="A20144" i="1"/>
  <c r="B20144" i="1"/>
  <c r="C20144" i="1"/>
  <c r="A20143" i="1"/>
  <c r="B20143" i="1"/>
  <c r="C20143" i="1"/>
  <c r="A14268" i="1"/>
  <c r="B14268" i="1"/>
  <c r="C14268" i="1"/>
  <c r="A2336" i="1"/>
  <c r="B2336" i="1"/>
  <c r="C2336" i="1"/>
  <c r="A14247" i="1"/>
  <c r="B14247" i="1"/>
  <c r="C14247" i="1"/>
  <c r="A12881" i="1"/>
  <c r="B12881" i="1"/>
  <c r="C12881" i="1"/>
  <c r="A12879" i="1"/>
  <c r="B12879" i="1"/>
  <c r="C12879" i="1"/>
  <c r="A12878" i="1"/>
  <c r="B12878" i="1"/>
  <c r="C12878" i="1"/>
  <c r="A6759" i="1"/>
  <c r="B6759" i="1"/>
  <c r="C6759" i="1"/>
  <c r="A12926" i="1"/>
  <c r="B12926" i="1"/>
  <c r="C12926" i="1"/>
  <c r="A13111" i="1"/>
  <c r="B13111" i="1"/>
  <c r="C13111" i="1"/>
  <c r="A13048" i="1"/>
  <c r="B13048" i="1"/>
  <c r="C13048" i="1"/>
  <c r="A13046" i="1"/>
  <c r="B13046" i="1"/>
  <c r="C13046" i="1"/>
  <c r="A12841" i="1"/>
  <c r="B12841" i="1"/>
  <c r="C12841" i="1"/>
  <c r="A12840" i="1"/>
  <c r="B12840" i="1"/>
  <c r="C12840" i="1"/>
  <c r="A13047" i="1"/>
  <c r="B13047" i="1"/>
  <c r="C13047" i="1"/>
  <c r="A12894" i="1"/>
  <c r="B12894" i="1"/>
  <c r="C12894" i="1"/>
  <c r="A22289" i="1"/>
  <c r="B22289" i="1"/>
  <c r="C22289" i="1"/>
  <c r="A14251" i="1"/>
  <c r="B14251" i="1"/>
  <c r="C14251" i="1"/>
  <c r="A14250" i="1"/>
  <c r="B14250" i="1"/>
  <c r="C14250" i="1"/>
  <c r="A13181" i="1"/>
  <c r="B13181" i="1"/>
  <c r="C13181" i="1"/>
  <c r="A13656" i="1"/>
  <c r="B13656" i="1"/>
  <c r="C13656" i="1"/>
  <c r="A13103" i="1"/>
  <c r="B13103" i="1"/>
  <c r="C13103" i="1"/>
  <c r="A13010" i="1"/>
  <c r="B13010" i="1"/>
  <c r="C13010" i="1"/>
  <c r="A14515" i="1"/>
  <c r="B14515" i="1"/>
  <c r="C14515" i="1"/>
  <c r="A14516" i="1"/>
  <c r="B14516" i="1"/>
  <c r="C14516" i="1"/>
  <c r="A14514" i="1"/>
  <c r="B14514" i="1"/>
  <c r="C14514" i="1"/>
  <c r="A14517" i="1"/>
  <c r="B14517" i="1"/>
  <c r="C14517" i="1"/>
  <c r="A12871" i="1"/>
  <c r="B12871" i="1"/>
  <c r="C12871" i="1"/>
  <c r="A12872" i="1"/>
  <c r="B12872" i="1"/>
  <c r="C12872" i="1"/>
  <c r="A12873" i="1"/>
  <c r="B12873" i="1"/>
  <c r="C12873" i="1"/>
  <c r="A12874" i="1"/>
  <c r="B12874" i="1"/>
  <c r="C12874" i="1"/>
  <c r="A13663" i="1"/>
  <c r="B13663" i="1"/>
  <c r="C13663" i="1"/>
  <c r="A12875" i="1"/>
  <c r="B12875" i="1"/>
  <c r="C12875" i="1"/>
  <c r="A12876" i="1"/>
  <c r="B12876" i="1"/>
  <c r="C12876" i="1"/>
  <c r="A12839" i="1"/>
  <c r="B12839" i="1"/>
  <c r="C12839" i="1"/>
  <c r="A12838" i="1"/>
  <c r="B12838" i="1"/>
  <c r="C12838" i="1"/>
  <c r="A13132" i="1"/>
  <c r="B13132" i="1"/>
  <c r="C13132" i="1"/>
  <c r="A20142" i="1"/>
  <c r="B20142" i="1"/>
  <c r="C20142" i="1"/>
  <c r="A16423" i="1"/>
  <c r="B16423" i="1"/>
  <c r="C16423" i="1"/>
  <c r="A13662" i="1"/>
  <c r="B13662" i="1"/>
  <c r="C13662" i="1"/>
  <c r="A6762" i="1"/>
  <c r="B6762" i="1"/>
  <c r="C6762" i="1"/>
  <c r="A12978" i="1"/>
  <c r="B12978" i="1"/>
  <c r="C12978" i="1"/>
  <c r="A12975" i="1"/>
  <c r="B12975" i="1"/>
  <c r="C12975" i="1"/>
  <c r="A12986" i="1"/>
  <c r="B12986" i="1"/>
  <c r="C12986" i="1"/>
  <c r="A12893" i="1"/>
  <c r="B12893" i="1"/>
  <c r="C12893" i="1"/>
  <c r="A19302" i="1"/>
  <c r="B19302" i="1"/>
  <c r="C19302" i="1"/>
  <c r="A13654" i="1"/>
  <c r="B13654" i="1"/>
  <c r="C13654" i="1"/>
  <c r="A13024" i="1"/>
  <c r="B13024" i="1"/>
  <c r="C13024" i="1"/>
  <c r="A2444" i="1"/>
  <c r="B2444" i="1"/>
  <c r="C2444" i="1"/>
  <c r="A2442" i="1"/>
  <c r="B2442" i="1"/>
  <c r="C2442" i="1"/>
  <c r="A2445" i="1"/>
  <c r="B2445" i="1"/>
  <c r="C2445" i="1"/>
  <c r="A2447" i="1"/>
  <c r="B2447" i="1"/>
  <c r="C2447" i="1"/>
  <c r="A2443" i="1"/>
  <c r="B2443" i="1"/>
  <c r="C2443" i="1"/>
  <c r="A2441" i="1"/>
  <c r="B2441" i="1"/>
  <c r="C2441" i="1"/>
  <c r="A2440" i="1"/>
  <c r="B2440" i="1"/>
  <c r="C2440" i="1"/>
  <c r="A2446" i="1"/>
  <c r="B2446" i="1"/>
  <c r="C2446" i="1"/>
  <c r="A20147" i="1"/>
  <c r="B20147" i="1"/>
  <c r="C20147" i="1"/>
  <c r="A13665" i="1"/>
  <c r="B13665" i="1"/>
  <c r="C13665" i="1"/>
  <c r="A12919" i="1"/>
  <c r="B12919" i="1"/>
  <c r="C12919" i="1"/>
  <c r="A12920" i="1"/>
  <c r="B12920" i="1"/>
  <c r="C12920" i="1"/>
  <c r="A12921" i="1"/>
  <c r="B12921" i="1"/>
  <c r="C12921" i="1"/>
  <c r="A13660" i="1"/>
  <c r="B13660" i="1"/>
  <c r="C13660" i="1"/>
  <c r="A13179" i="1"/>
  <c r="B13179" i="1"/>
  <c r="C13179" i="1"/>
  <c r="A14264" i="1"/>
  <c r="B14264" i="1"/>
  <c r="C14264" i="1"/>
  <c r="A14265" i="1"/>
  <c r="B14265" i="1"/>
  <c r="C14265" i="1"/>
  <c r="A13657" i="1"/>
  <c r="B13657" i="1"/>
  <c r="C13657" i="1"/>
  <c r="A19650" i="1"/>
  <c r="B19650" i="1"/>
  <c r="C19650" i="1"/>
  <c r="A13655" i="1"/>
  <c r="B13655" i="1"/>
  <c r="C13655" i="1"/>
  <c r="A2338" i="1"/>
  <c r="B2338" i="1"/>
  <c r="C2338" i="1"/>
  <c r="A2343" i="1"/>
  <c r="B2343" i="1"/>
  <c r="C2343" i="1"/>
  <c r="A2344" i="1"/>
  <c r="B2344" i="1"/>
  <c r="C2344" i="1"/>
  <c r="A2346" i="1"/>
  <c r="B2346" i="1"/>
  <c r="C2346" i="1"/>
  <c r="A2345" i="1"/>
  <c r="B2345" i="1"/>
  <c r="C2345" i="1"/>
  <c r="A13650" i="1"/>
  <c r="B13650" i="1"/>
  <c r="C13650" i="1"/>
  <c r="A21674" i="1"/>
  <c r="B21674" i="1"/>
  <c r="C21674" i="1"/>
  <c r="A13711" i="1"/>
  <c r="B13711" i="1"/>
  <c r="C13711" i="1"/>
  <c r="A13712" i="1"/>
  <c r="B13712" i="1"/>
  <c r="C13712" i="1"/>
  <c r="A13710" i="1"/>
  <c r="B13710" i="1"/>
  <c r="C13710" i="1"/>
  <c r="A13667" i="1"/>
  <c r="B13667" i="1"/>
  <c r="C13667" i="1"/>
  <c r="A13651" i="1"/>
  <c r="B13651" i="1"/>
  <c r="C13651" i="1"/>
  <c r="A1711" i="1"/>
  <c r="B1711" i="1"/>
  <c r="C1711" i="1"/>
  <c r="A1712" i="1"/>
  <c r="B1712" i="1"/>
  <c r="C1712" i="1"/>
  <c r="A1715" i="1"/>
  <c r="B1715" i="1"/>
  <c r="C1715" i="1"/>
  <c r="A1710" i="1"/>
  <c r="B1710" i="1"/>
  <c r="C1710" i="1"/>
  <c r="A1716" i="1"/>
  <c r="B1716" i="1"/>
  <c r="C1716" i="1"/>
  <c r="A13668" i="1"/>
  <c r="B13668" i="1"/>
  <c r="C13668" i="1"/>
  <c r="A12884" i="1"/>
  <c r="B12884" i="1"/>
  <c r="C12884" i="1"/>
  <c r="A12885" i="1"/>
  <c r="B12885" i="1"/>
  <c r="C12885" i="1"/>
  <c r="A12890" i="1"/>
  <c r="B12890" i="1"/>
  <c r="C12890" i="1"/>
  <c r="A12883" i="1"/>
  <c r="B12883" i="1"/>
  <c r="C12883" i="1"/>
  <c r="A12887" i="1"/>
  <c r="B12887" i="1"/>
  <c r="C12887" i="1"/>
  <c r="A12888" i="1"/>
  <c r="B12888" i="1"/>
  <c r="C12888" i="1"/>
  <c r="A12886" i="1"/>
  <c r="B12886" i="1"/>
  <c r="C12886" i="1"/>
  <c r="A13183" i="1"/>
  <c r="B13183" i="1"/>
  <c r="C13183" i="1"/>
  <c r="A13648" i="1"/>
  <c r="B13648" i="1"/>
  <c r="C13648" i="1"/>
  <c r="A13102" i="1"/>
  <c r="B13102" i="1"/>
  <c r="C13102" i="1"/>
  <c r="A13030" i="1"/>
  <c r="B13030" i="1"/>
  <c r="C13030" i="1"/>
  <c r="A13026" i="1"/>
  <c r="B13026" i="1"/>
  <c r="C13026" i="1"/>
  <c r="A13044" i="1"/>
  <c r="B13044" i="1"/>
  <c r="C13044" i="1"/>
  <c r="A13176" i="1"/>
  <c r="B13176" i="1"/>
  <c r="C13176" i="1"/>
  <c r="A13101" i="1"/>
  <c r="B13101" i="1"/>
  <c r="C13101" i="1"/>
  <c r="A13029" i="1"/>
  <c r="B13029" i="1"/>
  <c r="C13029" i="1"/>
  <c r="A13025" i="1"/>
  <c r="B13025" i="1"/>
  <c r="C13025" i="1"/>
  <c r="A13043" i="1"/>
  <c r="B13043" i="1"/>
  <c r="C13043" i="1"/>
  <c r="A13175" i="1"/>
  <c r="B13175" i="1"/>
  <c r="C13175" i="1"/>
  <c r="A13649" i="1"/>
  <c r="B13649" i="1"/>
  <c r="C13649" i="1"/>
  <c r="A13087" i="1"/>
  <c r="B13087" i="1"/>
  <c r="C13087" i="1"/>
  <c r="A13088" i="1"/>
  <c r="B13088" i="1"/>
  <c r="C13088" i="1"/>
  <c r="A13080" i="1"/>
  <c r="B13080" i="1"/>
  <c r="C13080" i="1"/>
  <c r="A12954" i="1"/>
  <c r="B12954" i="1"/>
  <c r="C12954" i="1"/>
  <c r="A12953" i="1"/>
  <c r="B12953" i="1"/>
  <c r="C12953" i="1"/>
  <c r="A12984" i="1"/>
  <c r="B12984" i="1"/>
  <c r="C12984" i="1"/>
  <c r="A12985" i="1"/>
  <c r="B12985" i="1"/>
  <c r="C12985" i="1"/>
  <c r="A13100" i="1"/>
  <c r="B13100" i="1"/>
  <c r="C13100" i="1"/>
  <c r="A13177" i="1"/>
  <c r="B13177" i="1"/>
  <c r="C13177" i="1"/>
  <c r="A13661" i="1"/>
  <c r="B13661" i="1"/>
  <c r="C13661" i="1"/>
  <c r="A2472" i="1"/>
  <c r="B2472" i="1"/>
  <c r="C2472" i="1"/>
  <c r="A22284" i="1"/>
  <c r="B22284" i="1"/>
  <c r="C22284" i="1"/>
  <c r="A20145" i="1"/>
  <c r="B20145" i="1"/>
  <c r="C20145" i="1"/>
  <c r="A20137" i="1"/>
  <c r="B20137" i="1"/>
  <c r="C20137" i="1"/>
  <c r="A13083" i="1"/>
  <c r="B13083" i="1"/>
  <c r="C13083" i="1"/>
  <c r="A13652" i="1"/>
  <c r="B13652" i="1"/>
  <c r="C13652" i="1"/>
  <c r="A13084" i="1"/>
  <c r="B13084" i="1"/>
  <c r="C13084" i="1"/>
  <c r="A13082" i="1"/>
  <c r="B13082" i="1"/>
  <c r="C13082" i="1"/>
  <c r="A13012" i="1"/>
  <c r="B13012" i="1"/>
  <c r="C13012" i="1"/>
  <c r="A13013" i="1"/>
  <c r="B13013" i="1"/>
  <c r="C13013" i="1"/>
  <c r="A17708" i="1"/>
  <c r="B17708" i="1"/>
  <c r="C17708" i="1"/>
  <c r="A2365" i="1"/>
  <c r="B2365" i="1"/>
  <c r="C2365" i="1"/>
  <c r="A2363" i="1"/>
  <c r="B2363" i="1"/>
  <c r="C2363" i="1"/>
  <c r="A2362" i="1"/>
  <c r="B2362" i="1"/>
  <c r="C2362" i="1"/>
  <c r="A2364" i="1"/>
  <c r="B2364" i="1"/>
  <c r="C2364" i="1"/>
  <c r="A13016" i="1"/>
  <c r="B13016" i="1"/>
  <c r="C13016" i="1"/>
  <c r="A13653" i="1"/>
  <c r="B13653" i="1"/>
  <c r="C13653" i="1"/>
  <c r="A13014" i="1"/>
  <c r="B13014" i="1"/>
  <c r="C13014" i="1"/>
  <c r="A2359" i="1"/>
  <c r="B2359" i="1"/>
  <c r="C2359" i="1"/>
  <c r="A2358" i="1"/>
  <c r="B2358" i="1"/>
  <c r="C2358" i="1"/>
  <c r="A2360" i="1"/>
  <c r="B2360" i="1"/>
  <c r="C2360" i="1"/>
  <c r="A2471" i="1"/>
  <c r="B2471" i="1"/>
  <c r="C2471" i="1"/>
  <c r="A2409" i="1"/>
  <c r="B2409" i="1"/>
  <c r="C2409" i="1"/>
  <c r="A2436" i="1"/>
  <c r="B2436" i="1"/>
  <c r="C2436" i="1"/>
  <c r="A2424" i="1"/>
  <c r="B2424" i="1"/>
  <c r="C2424" i="1"/>
  <c r="A2485" i="1"/>
  <c r="B2485" i="1"/>
  <c r="C2485" i="1"/>
  <c r="A13666" i="1"/>
  <c r="B13666" i="1"/>
  <c r="C13666" i="1"/>
  <c r="A14263" i="1"/>
  <c r="B14263" i="1"/>
  <c r="C14263" i="1"/>
  <c r="A14258" i="1"/>
  <c r="B14258" i="1"/>
  <c r="C14258" i="1"/>
  <c r="A14256" i="1"/>
  <c r="B14256" i="1"/>
  <c r="C14256" i="1"/>
  <c r="A14262" i="1"/>
  <c r="B14262" i="1"/>
  <c r="C14262" i="1"/>
  <c r="A14257" i="1"/>
  <c r="B14257" i="1"/>
  <c r="C14257" i="1"/>
  <c r="A2437" i="1"/>
  <c r="B2437" i="1"/>
  <c r="C2437" i="1"/>
  <c r="A2425" i="1"/>
  <c r="B2425" i="1"/>
  <c r="C2425" i="1"/>
  <c r="A2382" i="1"/>
  <c r="B2382" i="1"/>
  <c r="C2382" i="1"/>
  <c r="A13022" i="1"/>
  <c r="B13022" i="1"/>
  <c r="C13022" i="1"/>
  <c r="A2470" i="1"/>
  <c r="B2470" i="1"/>
  <c r="C2470" i="1"/>
  <c r="A2484" i="1"/>
  <c r="B2484" i="1"/>
  <c r="C2484" i="1"/>
  <c r="A2394" i="1"/>
  <c r="B2394" i="1"/>
  <c r="C2394" i="1"/>
  <c r="A2395" i="1"/>
  <c r="B2395" i="1"/>
  <c r="C2395" i="1"/>
  <c r="A2420" i="1"/>
  <c r="B2420" i="1"/>
  <c r="C2420" i="1"/>
  <c r="A2473" i="1"/>
  <c r="B2473" i="1"/>
  <c r="C2473" i="1"/>
  <c r="A2410" i="1"/>
  <c r="B2410" i="1"/>
  <c r="C2410" i="1"/>
  <c r="A13019" i="1"/>
  <c r="B13019" i="1"/>
  <c r="C13019" i="1"/>
  <c r="A12993" i="1"/>
  <c r="B12993" i="1"/>
  <c r="C12993" i="1"/>
  <c r="A12988" i="1"/>
  <c r="B12988" i="1"/>
  <c r="C12988" i="1"/>
  <c r="A12989" i="1"/>
  <c r="B12989" i="1"/>
  <c r="C12989" i="1"/>
  <c r="A12991" i="1"/>
  <c r="B12991" i="1"/>
  <c r="C12991" i="1"/>
  <c r="A12992" i="1"/>
  <c r="B12992" i="1"/>
  <c r="C12992" i="1"/>
  <c r="A13108" i="1"/>
  <c r="B13108" i="1"/>
  <c r="C13108" i="1"/>
  <c r="A13107" i="1"/>
  <c r="B13107" i="1"/>
  <c r="C13107" i="1"/>
  <c r="A13106" i="1"/>
  <c r="B13106" i="1"/>
  <c r="C13106" i="1"/>
  <c r="A13098" i="1"/>
  <c r="B13098" i="1"/>
  <c r="C13098" i="1"/>
  <c r="A17702" i="1"/>
  <c r="B17702" i="1"/>
  <c r="C17702" i="1"/>
  <c r="A2371" i="1"/>
  <c r="B2371" i="1"/>
  <c r="C2371" i="1"/>
  <c r="A2373" i="1"/>
  <c r="B2373" i="1"/>
  <c r="C2373" i="1"/>
  <c r="A12943" i="1"/>
  <c r="B12943" i="1"/>
  <c r="C12943" i="1"/>
  <c r="A12995" i="1"/>
  <c r="B12995" i="1"/>
  <c r="C12995" i="1"/>
  <c r="A12996" i="1"/>
  <c r="B12996" i="1"/>
  <c r="C12996" i="1"/>
  <c r="A13031" i="1"/>
  <c r="B13031" i="1"/>
  <c r="C13031" i="1"/>
  <c r="A12952" i="1"/>
  <c r="B12952" i="1"/>
  <c r="C12952" i="1"/>
  <c r="A13067" i="1"/>
  <c r="B13067" i="1"/>
  <c r="C13067" i="1"/>
  <c r="A13124" i="1"/>
  <c r="B13124" i="1"/>
  <c r="C13124" i="1"/>
  <c r="A13040" i="1"/>
  <c r="B13040" i="1"/>
  <c r="C13040" i="1"/>
  <c r="A13094" i="1"/>
  <c r="B13094" i="1"/>
  <c r="C13094" i="1"/>
  <c r="A12951" i="1"/>
  <c r="B12951" i="1"/>
  <c r="C12951" i="1"/>
  <c r="A17701" i="1"/>
  <c r="B17701" i="1"/>
  <c r="C17701" i="1"/>
  <c r="A14254" i="1"/>
  <c r="B14254" i="1"/>
  <c r="C14254" i="1"/>
  <c r="A12970" i="1"/>
  <c r="B12970" i="1"/>
  <c r="C12970" i="1"/>
  <c r="A12972" i="1"/>
  <c r="B12972" i="1"/>
  <c r="C12972" i="1"/>
  <c r="A12971" i="1"/>
  <c r="B12971" i="1"/>
  <c r="C12971" i="1"/>
  <c r="A11667" i="1"/>
  <c r="B11667" i="1"/>
  <c r="C11667" i="1"/>
  <c r="A13068" i="1"/>
  <c r="B13068" i="1"/>
  <c r="C13068" i="1"/>
  <c r="A13000" i="1"/>
  <c r="B13000" i="1"/>
  <c r="C13000" i="1"/>
  <c r="A13041" i="1"/>
  <c r="B13041" i="1"/>
  <c r="C13041" i="1"/>
  <c r="A2463" i="1"/>
  <c r="B2463" i="1"/>
  <c r="C2463" i="1"/>
  <c r="A2488" i="1"/>
  <c r="B2488" i="1"/>
  <c r="C2488" i="1"/>
  <c r="A2435" i="1"/>
  <c r="B2435" i="1"/>
  <c r="C2435" i="1"/>
  <c r="A2408" i="1"/>
  <c r="B2408" i="1"/>
  <c r="C2408" i="1"/>
  <c r="A2417" i="1"/>
  <c r="B2417" i="1"/>
  <c r="C2417" i="1"/>
  <c r="A2461" i="1"/>
  <c r="B2461" i="1"/>
  <c r="C2461" i="1"/>
  <c r="A2487" i="1"/>
  <c r="B2487" i="1"/>
  <c r="C2487" i="1"/>
  <c r="A2433" i="1"/>
  <c r="B2433" i="1"/>
  <c r="C2433" i="1"/>
  <c r="A2407" i="1"/>
  <c r="B2407" i="1"/>
  <c r="C2407" i="1"/>
  <c r="A13095" i="1"/>
  <c r="B13095" i="1"/>
  <c r="C13095" i="1"/>
  <c r="A2415" i="1"/>
  <c r="B2415" i="1"/>
  <c r="C2415" i="1"/>
  <c r="A2462" i="1"/>
  <c r="B2462" i="1"/>
  <c r="C2462" i="1"/>
  <c r="A2476" i="1"/>
  <c r="B2476" i="1"/>
  <c r="C2476" i="1"/>
  <c r="A2416" i="1"/>
  <c r="B2416" i="1"/>
  <c r="C2416" i="1"/>
  <c r="A13146" i="1"/>
  <c r="B13146" i="1"/>
  <c r="C13146" i="1"/>
  <c r="A13144" i="1"/>
  <c r="B13144" i="1"/>
  <c r="C13144" i="1"/>
  <c r="A13142" i="1"/>
  <c r="B13142" i="1"/>
  <c r="C13142" i="1"/>
  <c r="A24158" i="1"/>
  <c r="B24158" i="1"/>
  <c r="C24158" i="1"/>
  <c r="A2386" i="1"/>
  <c r="B2386" i="1"/>
  <c r="C2386" i="1"/>
  <c r="A2393" i="1"/>
  <c r="B2393" i="1"/>
  <c r="C2393" i="1"/>
  <c r="A2389" i="1"/>
  <c r="B2389" i="1"/>
  <c r="C2389" i="1"/>
  <c r="A2387" i="1"/>
  <c r="B2387" i="1"/>
  <c r="C2387" i="1"/>
  <c r="A2392" i="1"/>
  <c r="B2392" i="1"/>
  <c r="C2392" i="1"/>
  <c r="A2390" i="1"/>
  <c r="B2390" i="1"/>
  <c r="C2390" i="1"/>
  <c r="A17007" i="1"/>
  <c r="B17007" i="1"/>
  <c r="C17007" i="1"/>
  <c r="A13646" i="1"/>
  <c r="B13646" i="1"/>
  <c r="C13646" i="1"/>
  <c r="A13647" i="1"/>
  <c r="B13647" i="1"/>
  <c r="C13647" i="1"/>
  <c r="A2366" i="1"/>
  <c r="B2366" i="1"/>
  <c r="C2366" i="1"/>
  <c r="A13645" i="1"/>
  <c r="B13645" i="1"/>
  <c r="C13645" i="1"/>
  <c r="A12990" i="1"/>
  <c r="B12990" i="1"/>
  <c r="C12990" i="1"/>
  <c r="A12934" i="1"/>
  <c r="B12934" i="1"/>
  <c r="C12934" i="1"/>
  <c r="A12935" i="1"/>
  <c r="B12935" i="1"/>
  <c r="C12935" i="1"/>
  <c r="A151" i="1"/>
  <c r="B151" i="1"/>
  <c r="C151" i="1"/>
  <c r="A12913" i="1"/>
  <c r="B12913" i="1"/>
  <c r="C12913" i="1"/>
  <c r="A12903" i="1"/>
  <c r="B12903" i="1"/>
  <c r="C12903" i="1"/>
  <c r="A12907" i="1"/>
  <c r="B12907" i="1"/>
  <c r="C12907" i="1"/>
  <c r="A12909" i="1"/>
  <c r="B12909" i="1"/>
  <c r="C12909" i="1"/>
  <c r="A12901" i="1"/>
  <c r="B12901" i="1"/>
  <c r="C12901" i="1"/>
  <c r="A12914" i="1"/>
  <c r="B12914" i="1"/>
  <c r="C12914" i="1"/>
  <c r="A4487" i="1"/>
  <c r="B4487" i="1"/>
  <c r="C4487" i="1"/>
  <c r="A4485" i="1"/>
  <c r="B4485" i="1"/>
  <c r="C4485" i="1"/>
  <c r="A4486" i="1"/>
  <c r="B4486" i="1"/>
  <c r="C4486" i="1"/>
  <c r="A4498" i="1"/>
  <c r="B4498" i="1"/>
  <c r="C4498" i="1"/>
  <c r="A12495" i="1"/>
  <c r="B12495" i="1"/>
  <c r="C12495" i="1"/>
  <c r="A4626" i="1"/>
  <c r="B4626" i="1"/>
  <c r="C4626" i="1"/>
  <c r="A4628" i="1"/>
  <c r="B4628" i="1"/>
  <c r="C4628" i="1"/>
  <c r="A4627" i="1"/>
  <c r="B4627" i="1"/>
  <c r="C4627" i="1"/>
  <c r="A5098" i="1"/>
  <c r="B5098" i="1"/>
  <c r="C5098" i="1"/>
  <c r="A5096" i="1"/>
  <c r="B5096" i="1"/>
  <c r="C5096" i="1"/>
  <c r="A5097" i="1"/>
  <c r="B5097" i="1"/>
  <c r="C5097" i="1"/>
  <c r="A11673" i="1"/>
  <c r="B11673" i="1"/>
  <c r="C11673" i="1"/>
  <c r="A25688" i="1"/>
  <c r="B25688" i="1"/>
  <c r="C25688" i="1"/>
  <c r="A14771" i="1"/>
  <c r="B14771" i="1"/>
  <c r="C14771" i="1"/>
  <c r="A3130" i="1"/>
  <c r="B3130" i="1"/>
  <c r="C3130" i="1"/>
  <c r="A2731" i="1"/>
  <c r="B2731" i="1"/>
  <c r="C2731" i="1"/>
  <c r="A2732" i="1"/>
  <c r="B2732" i="1"/>
  <c r="C2732" i="1"/>
  <c r="A12911" i="1"/>
  <c r="B12911" i="1"/>
  <c r="C12911" i="1"/>
  <c r="A12904" i="1"/>
  <c r="B12904" i="1"/>
  <c r="C12904" i="1"/>
  <c r="A12908" i="1"/>
  <c r="B12908" i="1"/>
  <c r="C12908" i="1"/>
  <c r="A12910" i="1"/>
  <c r="B12910" i="1"/>
  <c r="C12910" i="1"/>
  <c r="A12899" i="1"/>
  <c r="B12899" i="1"/>
  <c r="C12899" i="1"/>
  <c r="A22369" i="1"/>
  <c r="B22369" i="1"/>
  <c r="C22369" i="1"/>
  <c r="A12915" i="1"/>
  <c r="B12915" i="1"/>
  <c r="C12915" i="1"/>
  <c r="A12906" i="1"/>
  <c r="B12906" i="1"/>
  <c r="C12906" i="1"/>
  <c r="A12912" i="1"/>
  <c r="B12912" i="1"/>
  <c r="C12912" i="1"/>
  <c r="A12900" i="1"/>
  <c r="B12900" i="1"/>
  <c r="C12900" i="1"/>
  <c r="A12916" i="1"/>
  <c r="B12916" i="1"/>
  <c r="C12916" i="1"/>
  <c r="A12905" i="1"/>
  <c r="B12905" i="1"/>
  <c r="C12905" i="1"/>
  <c r="A12902" i="1"/>
  <c r="B12902" i="1"/>
  <c r="C12902" i="1"/>
  <c r="A24155" i="1"/>
  <c r="B24155" i="1"/>
  <c r="C24155" i="1"/>
  <c r="A2459" i="1"/>
  <c r="B2459" i="1"/>
  <c r="C2459" i="1"/>
  <c r="A2412" i="1"/>
  <c r="B2412" i="1"/>
  <c r="C2412" i="1"/>
  <c r="A2480" i="1"/>
  <c r="B2480" i="1"/>
  <c r="C2480" i="1"/>
  <c r="A2478" i="1"/>
  <c r="B2478" i="1"/>
  <c r="C2478" i="1"/>
  <c r="A2457" i="1"/>
  <c r="B2457" i="1"/>
  <c r="C2457" i="1"/>
  <c r="A2422" i="1"/>
  <c r="B2422" i="1"/>
  <c r="C2422" i="1"/>
  <c r="A2458" i="1"/>
  <c r="B2458" i="1"/>
  <c r="C2458" i="1"/>
  <c r="A2479" i="1"/>
  <c r="B2479" i="1"/>
  <c r="C2479" i="1"/>
  <c r="A23957" i="1"/>
  <c r="B23957" i="1"/>
  <c r="C23957" i="1"/>
  <c r="A2456" i="1"/>
  <c r="B2456" i="1"/>
  <c r="C2456" i="1"/>
  <c r="A2477" i="1"/>
  <c r="B2477" i="1"/>
  <c r="C2477" i="1"/>
  <c r="A13126" i="1"/>
  <c r="B13126" i="1"/>
  <c r="C13126" i="1"/>
  <c r="A13121" i="1"/>
  <c r="B13121" i="1"/>
  <c r="C13121" i="1"/>
  <c r="A13133" i="1"/>
  <c r="B13133" i="1"/>
  <c r="C13133" i="1"/>
  <c r="A24157" i="1"/>
  <c r="B24157" i="1"/>
  <c r="C24157" i="1"/>
  <c r="A25737" i="1"/>
  <c r="B25737" i="1"/>
  <c r="C25737" i="1"/>
  <c r="A25750" i="1"/>
  <c r="B25750" i="1"/>
  <c r="C25750" i="1"/>
  <c r="A25716" i="1"/>
  <c r="B25716" i="1"/>
  <c r="C25716" i="1"/>
  <c r="A2564" i="1"/>
  <c r="B2564" i="1"/>
  <c r="C2564" i="1"/>
  <c r="A20135" i="1"/>
  <c r="B20135" i="1"/>
  <c r="C20135" i="1"/>
  <c r="A20134" i="1"/>
  <c r="B20134" i="1"/>
  <c r="C20134" i="1"/>
  <c r="A24156" i="1"/>
  <c r="B24156" i="1"/>
  <c r="C24156" i="1"/>
  <c r="A13127" i="1"/>
  <c r="B13127" i="1"/>
  <c r="C13127" i="1"/>
  <c r="A13039" i="1"/>
  <c r="B13039" i="1"/>
  <c r="C13039" i="1"/>
  <c r="A13093" i="1"/>
  <c r="B13093" i="1"/>
  <c r="C13093" i="1"/>
  <c r="A12950" i="1"/>
  <c r="B12950" i="1"/>
  <c r="C12950" i="1"/>
  <c r="A2418" i="1"/>
  <c r="B2418" i="1"/>
  <c r="C2418" i="1"/>
  <c r="A2419" i="1"/>
  <c r="B2419" i="1"/>
  <c r="C2419" i="1"/>
  <c r="A13081" i="1"/>
  <c r="B13081" i="1"/>
  <c r="C13081" i="1"/>
  <c r="A1291" i="1"/>
  <c r="B1291" i="1"/>
  <c r="C1291" i="1"/>
  <c r="A22283" i="1"/>
  <c r="B22283" i="1"/>
  <c r="C22283" i="1"/>
  <c r="A22282" i="1"/>
  <c r="B22282" i="1"/>
  <c r="C22282" i="1"/>
  <c r="A22281" i="1"/>
  <c r="B22281" i="1"/>
  <c r="C22281" i="1"/>
  <c r="A22280" i="1"/>
  <c r="B22280" i="1"/>
  <c r="C22280" i="1"/>
  <c r="A25735" i="1"/>
  <c r="B25735" i="1"/>
  <c r="C25735" i="1"/>
  <c r="A13073" i="1"/>
  <c r="B13073" i="1"/>
  <c r="C13073" i="1"/>
  <c r="A13075" i="1"/>
  <c r="B13075" i="1"/>
  <c r="C13075" i="1"/>
  <c r="A13074" i="1"/>
  <c r="B13074" i="1"/>
  <c r="C13074" i="1"/>
  <c r="A14767" i="1"/>
  <c r="B14767" i="1"/>
  <c r="C14767" i="1"/>
  <c r="A21520" i="1"/>
  <c r="B21520" i="1"/>
  <c r="C21520" i="1"/>
  <c r="A25343" i="1"/>
  <c r="B25343" i="1"/>
  <c r="C25343" i="1"/>
  <c r="A5410" i="1"/>
  <c r="B5410" i="1"/>
  <c r="C5410" i="1"/>
  <c r="A15534" i="1"/>
  <c r="B15534" i="1"/>
  <c r="C15534" i="1"/>
  <c r="A8746" i="1"/>
  <c r="B8746" i="1"/>
  <c r="C8746" i="1"/>
  <c r="A21521" i="1"/>
  <c r="B21521" i="1"/>
  <c r="C21521" i="1"/>
  <c r="A150" i="1"/>
  <c r="B150" i="1"/>
  <c r="C150" i="1"/>
  <c r="A12494" i="1"/>
  <c r="B12494" i="1"/>
  <c r="C12494" i="1"/>
  <c r="A16747" i="1"/>
  <c r="B16747" i="1"/>
  <c r="C16747" i="1"/>
  <c r="A9318" i="1"/>
  <c r="B9318" i="1"/>
  <c r="C9318" i="1"/>
  <c r="A1619" i="1"/>
  <c r="B1619" i="1"/>
  <c r="C1619" i="1"/>
  <c r="A15498" i="1"/>
  <c r="B15498" i="1"/>
  <c r="C15498" i="1"/>
  <c r="A13085" i="1"/>
  <c r="B13085" i="1"/>
  <c r="C13085" i="1"/>
  <c r="A11031" i="1"/>
  <c r="B11031" i="1"/>
  <c r="C11031" i="1"/>
  <c r="A15502" i="1"/>
  <c r="B15502" i="1"/>
  <c r="C15502" i="1"/>
  <c r="A15505" i="1"/>
  <c r="B15505" i="1"/>
  <c r="C15505" i="1"/>
  <c r="A15504" i="1"/>
  <c r="B15504" i="1"/>
  <c r="C15504" i="1"/>
  <c r="A15501" i="1"/>
  <c r="B15501" i="1"/>
  <c r="C15501" i="1"/>
  <c r="A4645" i="1"/>
  <c r="B4645" i="1"/>
  <c r="C4645" i="1"/>
  <c r="A2726" i="1"/>
  <c r="B2726" i="1"/>
  <c r="C2726" i="1"/>
  <c r="A4646" i="1"/>
  <c r="B4646" i="1"/>
  <c r="C4646" i="1"/>
  <c r="A10975" i="1"/>
  <c r="B10975" i="1"/>
  <c r="C10975" i="1"/>
  <c r="A14274" i="1"/>
  <c r="B14274" i="1"/>
  <c r="C14274" i="1"/>
  <c r="A15968" i="1"/>
  <c r="B15968" i="1"/>
  <c r="C15968" i="1"/>
  <c r="A15970" i="1"/>
  <c r="B15970" i="1"/>
  <c r="C15970" i="1"/>
  <c r="A15966" i="1"/>
  <c r="B15966" i="1"/>
  <c r="C15966" i="1"/>
  <c r="A15973" i="1"/>
  <c r="B15973" i="1"/>
  <c r="C15973" i="1"/>
  <c r="A15971" i="1"/>
  <c r="B15971" i="1"/>
  <c r="C15971" i="1"/>
  <c r="A15967" i="1"/>
  <c r="B15967" i="1"/>
  <c r="C15967" i="1"/>
  <c r="A16749" i="1"/>
  <c r="B16749" i="1"/>
  <c r="C16749" i="1"/>
  <c r="A22494" i="1"/>
  <c r="B22494" i="1"/>
  <c r="C22494" i="1"/>
  <c r="A22496" i="1"/>
  <c r="B22496" i="1"/>
  <c r="C22496" i="1"/>
  <c r="A22495" i="1"/>
  <c r="B22495" i="1"/>
  <c r="C22495" i="1"/>
  <c r="A22497" i="1"/>
  <c r="B22497" i="1"/>
  <c r="C22497" i="1"/>
  <c r="A11043" i="1"/>
  <c r="B11043" i="1"/>
  <c r="C11043" i="1"/>
  <c r="A12891" i="1"/>
  <c r="B12891" i="1"/>
  <c r="C12891" i="1"/>
  <c r="A12896" i="1"/>
  <c r="B12896" i="1"/>
  <c r="C12896" i="1"/>
  <c r="A12898" i="1"/>
  <c r="B12898" i="1"/>
  <c r="C12898" i="1"/>
  <c r="A12892" i="1"/>
  <c r="B12892" i="1"/>
  <c r="C12892" i="1"/>
  <c r="A12895" i="1"/>
  <c r="B12895" i="1"/>
  <c r="C12895" i="1"/>
  <c r="A12897" i="1"/>
  <c r="B12897" i="1"/>
  <c r="C12897" i="1"/>
  <c r="A15972" i="1"/>
  <c r="B15972" i="1"/>
  <c r="C15972" i="1"/>
  <c r="A15969" i="1"/>
  <c r="B15969" i="1"/>
  <c r="C15969" i="1"/>
  <c r="A12861" i="1"/>
  <c r="B12861" i="1"/>
  <c r="C12861" i="1"/>
  <c r="A12858" i="1"/>
  <c r="B12858" i="1"/>
  <c r="C12858" i="1"/>
  <c r="A12860" i="1"/>
  <c r="B12860" i="1"/>
  <c r="C12860" i="1"/>
  <c r="A11046" i="1"/>
  <c r="B11046" i="1"/>
  <c r="C11046" i="1"/>
  <c r="A13149" i="1"/>
  <c r="B13149" i="1"/>
  <c r="C13149" i="1"/>
  <c r="A13141" i="1"/>
  <c r="B13141" i="1"/>
  <c r="C13141" i="1"/>
  <c r="A13143" i="1"/>
  <c r="B13143" i="1"/>
  <c r="C13143" i="1"/>
  <c r="A12859" i="1"/>
  <c r="B12859" i="1"/>
  <c r="C12859" i="1"/>
  <c r="A13135" i="1"/>
  <c r="B13135" i="1"/>
  <c r="C13135" i="1"/>
  <c r="A13151" i="1"/>
  <c r="B13151" i="1"/>
  <c r="C13151" i="1"/>
  <c r="A13153" i="1"/>
  <c r="B13153" i="1"/>
  <c r="C13153" i="1"/>
  <c r="A11084" i="1"/>
  <c r="B11084" i="1"/>
  <c r="C11084" i="1"/>
  <c r="A11083" i="1"/>
  <c r="B11083" i="1"/>
  <c r="C11083" i="1"/>
  <c r="A25689" i="1"/>
  <c r="B25689" i="1"/>
  <c r="C25689" i="1"/>
  <c r="A13147" i="1"/>
  <c r="B13147" i="1"/>
  <c r="C13147" i="1"/>
  <c r="A13140" i="1"/>
  <c r="B13140" i="1"/>
  <c r="C13140" i="1"/>
  <c r="A13145" i="1"/>
  <c r="B13145" i="1"/>
  <c r="C13145" i="1"/>
  <c r="A13134" i="1"/>
  <c r="B13134" i="1"/>
  <c r="C13134" i="1"/>
  <c r="A13150" i="1"/>
  <c r="B13150" i="1"/>
  <c r="C13150" i="1"/>
  <c r="A13152" i="1"/>
  <c r="B13152" i="1"/>
  <c r="C13152" i="1"/>
  <c r="A10810" i="1"/>
  <c r="B10810" i="1"/>
  <c r="C10810" i="1"/>
  <c r="A13155" i="1"/>
  <c r="B13155" i="1"/>
  <c r="C13155" i="1"/>
  <c r="A13136" i="1"/>
  <c r="B13136" i="1"/>
  <c r="C13136" i="1"/>
  <c r="A13138" i="1"/>
  <c r="B13138" i="1"/>
  <c r="C13138" i="1"/>
  <c r="A13137" i="1"/>
  <c r="B13137" i="1"/>
  <c r="C13137" i="1"/>
  <c r="A13139" i="1"/>
  <c r="B13139" i="1"/>
  <c r="C13139" i="1"/>
  <c r="A4647" i="1"/>
  <c r="B4647" i="1"/>
  <c r="C4647" i="1"/>
  <c r="A2728" i="1"/>
  <c r="B2728" i="1"/>
  <c r="C2728" i="1"/>
  <c r="A7982" i="1"/>
  <c r="B7982" i="1"/>
  <c r="C7982" i="1"/>
  <c r="A2733" i="1"/>
  <c r="B2733" i="1"/>
  <c r="C2733" i="1"/>
  <c r="A2727" i="1"/>
  <c r="B2727" i="1"/>
  <c r="C2727" i="1"/>
  <c r="A4648" i="1"/>
  <c r="B4648" i="1"/>
  <c r="C4648" i="1"/>
  <c r="A12145" i="1"/>
  <c r="B12145" i="1"/>
  <c r="C12145" i="1"/>
  <c r="A4643" i="1"/>
  <c r="B4643" i="1"/>
  <c r="C4643" i="1"/>
  <c r="A4642" i="1"/>
  <c r="B4642" i="1"/>
  <c r="C4642" i="1"/>
  <c r="A4641" i="1"/>
  <c r="B4641" i="1"/>
  <c r="C4641" i="1"/>
  <c r="A2734" i="1"/>
  <c r="B2734" i="1"/>
  <c r="C2734" i="1"/>
  <c r="A4639" i="1"/>
  <c r="B4639" i="1"/>
  <c r="C4639" i="1"/>
  <c r="A4640" i="1"/>
  <c r="B4640" i="1"/>
  <c r="C4640" i="1"/>
  <c r="A7984" i="1"/>
  <c r="B7984" i="1"/>
  <c r="C7984" i="1"/>
  <c r="A4638" i="1"/>
  <c r="B4638" i="1"/>
  <c r="C4638" i="1"/>
  <c r="A2736" i="1"/>
  <c r="B2736" i="1"/>
  <c r="C2736" i="1"/>
  <c r="A2737" i="1"/>
  <c r="B2737" i="1"/>
  <c r="C2737" i="1"/>
  <c r="A2735" i="1"/>
  <c r="B2735" i="1"/>
  <c r="C2735" i="1"/>
  <c r="A7990" i="1"/>
  <c r="B7990" i="1"/>
  <c r="C7990" i="1"/>
  <c r="A17548" i="1"/>
  <c r="B17548" i="1"/>
  <c r="C17548" i="1"/>
  <c r="A15364" i="1"/>
  <c r="B15364" i="1"/>
  <c r="C15364" i="1"/>
  <c r="A13078" i="1"/>
  <c r="B13078" i="1"/>
  <c r="C13078" i="1"/>
  <c r="A14386" i="1"/>
  <c r="B14386" i="1"/>
  <c r="C14386" i="1"/>
  <c r="A10338" i="1"/>
  <c r="B10338" i="1"/>
  <c r="C10338" i="1"/>
  <c r="A15348" i="1"/>
  <c r="B15348" i="1"/>
  <c r="C15348" i="1"/>
  <c r="A10352" i="1"/>
  <c r="B10352" i="1"/>
  <c r="C10352" i="1"/>
  <c r="A4293" i="1"/>
  <c r="B4293" i="1"/>
  <c r="C4293" i="1"/>
  <c r="A13148" i="1"/>
  <c r="B13148" i="1"/>
  <c r="C13148" i="1"/>
  <c r="A12862" i="1"/>
  <c r="B12862" i="1"/>
  <c r="C12862" i="1"/>
  <c r="A12863" i="1"/>
  <c r="B12863" i="1"/>
  <c r="C12863" i="1"/>
  <c r="A12864" i="1"/>
  <c r="B12864" i="1"/>
  <c r="C12864" i="1"/>
  <c r="A16403" i="1"/>
  <c r="B16403" i="1"/>
  <c r="C16403" i="1"/>
  <c r="A8863" i="1"/>
  <c r="B8863" i="1"/>
  <c r="C8863" i="1"/>
  <c r="A14719" i="1"/>
  <c r="B14719" i="1"/>
  <c r="C14719" i="1"/>
  <c r="A14713" i="1"/>
  <c r="B14713" i="1"/>
  <c r="C14713" i="1"/>
  <c r="A14714" i="1"/>
  <c r="B14714" i="1"/>
  <c r="C14714" i="1"/>
  <c r="A8857" i="1"/>
  <c r="B8857" i="1"/>
  <c r="C8857" i="1"/>
  <c r="A14716" i="1"/>
  <c r="B14716" i="1"/>
  <c r="C14716" i="1"/>
  <c r="A14715" i="1"/>
  <c r="B14715" i="1"/>
  <c r="C14715" i="1"/>
  <c r="A14193" i="1"/>
  <c r="B14193" i="1"/>
  <c r="C14193" i="1"/>
  <c r="A10501" i="1"/>
  <c r="B10501" i="1"/>
  <c r="C10501" i="1"/>
  <c r="A11349" i="1"/>
  <c r="B11349" i="1"/>
  <c r="C11349" i="1"/>
  <c r="A2772" i="1"/>
  <c r="B2772" i="1"/>
  <c r="C2772" i="1"/>
  <c r="A11604" i="1"/>
  <c r="B11604" i="1"/>
  <c r="C11604" i="1"/>
  <c r="A2763" i="1"/>
  <c r="B2763" i="1"/>
  <c r="C2763" i="1"/>
  <c r="A11603" i="1"/>
  <c r="B11603" i="1"/>
  <c r="C11603" i="1"/>
  <c r="A11350" i="1"/>
  <c r="B11350" i="1"/>
  <c r="C11350" i="1"/>
  <c r="A14238" i="1"/>
  <c r="B14238" i="1"/>
  <c r="C14238" i="1"/>
  <c r="A8374" i="1"/>
  <c r="B8374" i="1"/>
  <c r="C8374" i="1"/>
  <c r="A14281" i="1"/>
  <c r="B14281" i="1"/>
  <c r="C14281" i="1"/>
  <c r="A4333" i="1"/>
  <c r="B4333" i="1"/>
  <c r="C4333" i="1"/>
  <c r="A280" i="1"/>
  <c r="B280" i="1"/>
  <c r="C280" i="1"/>
  <c r="A14279" i="1"/>
  <c r="B14279" i="1"/>
  <c r="C14279" i="1"/>
  <c r="A12243" i="1"/>
  <c r="B12243" i="1"/>
  <c r="C12243" i="1"/>
  <c r="A9473" i="1"/>
  <c r="B9473" i="1"/>
  <c r="C9473" i="1"/>
  <c r="A12196" i="1"/>
  <c r="B12196" i="1"/>
  <c r="C12196" i="1"/>
  <c r="A12195" i="1"/>
  <c r="B12195" i="1"/>
  <c r="C12195" i="1"/>
  <c r="A14280" i="1"/>
  <c r="B14280" i="1"/>
  <c r="C14280" i="1"/>
  <c r="A14282" i="1"/>
  <c r="B14282" i="1"/>
  <c r="C14282" i="1"/>
  <c r="A14240" i="1"/>
  <c r="B14240" i="1"/>
  <c r="C14240" i="1"/>
  <c r="A18534" i="1"/>
  <c r="B18534" i="1"/>
  <c r="C18534" i="1"/>
  <c r="A14284" i="1"/>
  <c r="B14284" i="1"/>
  <c r="C14284" i="1"/>
  <c r="A9992" i="1"/>
  <c r="B9992" i="1"/>
  <c r="C9992" i="1"/>
  <c r="A12247" i="1"/>
  <c r="B12247" i="1"/>
  <c r="C12247" i="1"/>
  <c r="A5235" i="1"/>
  <c r="B5235" i="1"/>
  <c r="C5235" i="1"/>
  <c r="A6720" i="1"/>
  <c r="B6720" i="1"/>
  <c r="C6720" i="1"/>
  <c r="A6722" i="1"/>
  <c r="B6722" i="1"/>
  <c r="C6722" i="1"/>
  <c r="A11347" i="1"/>
  <c r="B11347" i="1"/>
  <c r="C11347" i="1"/>
  <c r="A23973" i="1"/>
  <c r="B23973" i="1"/>
  <c r="C23973" i="1"/>
  <c r="A16988" i="1"/>
  <c r="B16988" i="1"/>
  <c r="C16988" i="1"/>
  <c r="A11394" i="1"/>
  <c r="B11394" i="1"/>
  <c r="C11394" i="1"/>
  <c r="A11393" i="1"/>
  <c r="B11393" i="1"/>
  <c r="C11393" i="1"/>
  <c r="A11395" i="1"/>
  <c r="B11395" i="1"/>
  <c r="C11395" i="1"/>
  <c r="A11396" i="1"/>
  <c r="B11396" i="1"/>
  <c r="C11396" i="1"/>
  <c r="A5241" i="1"/>
  <c r="B5241" i="1"/>
  <c r="C5241" i="1"/>
  <c r="A15418" i="1"/>
  <c r="B15418" i="1"/>
  <c r="C15418" i="1"/>
  <c r="A18489" i="1"/>
  <c r="B18489" i="1"/>
  <c r="C18489" i="1"/>
  <c r="A23972" i="1"/>
  <c r="B23972" i="1"/>
  <c r="C23972" i="1"/>
  <c r="A14239" i="1"/>
  <c r="B14239" i="1"/>
  <c r="C14239" i="1"/>
  <c r="A8380" i="1"/>
  <c r="B8380" i="1"/>
  <c r="C8380" i="1"/>
  <c r="A15491" i="1"/>
  <c r="B15491" i="1"/>
  <c r="C15491" i="1"/>
  <c r="A10347" i="1"/>
  <c r="B10347" i="1"/>
  <c r="C10347" i="1"/>
  <c r="A3132" i="1"/>
  <c r="B3132" i="1"/>
  <c r="C3132" i="1"/>
  <c r="A22506" i="1"/>
  <c r="B22506" i="1"/>
  <c r="C22506" i="1"/>
  <c r="A10994" i="1"/>
  <c r="B10994" i="1"/>
  <c r="C10994" i="1"/>
  <c r="A185" i="1"/>
  <c r="B185" i="1"/>
  <c r="C185" i="1"/>
  <c r="A5228" i="1"/>
  <c r="B5228" i="1"/>
  <c r="C5228" i="1"/>
  <c r="A5227" i="1"/>
  <c r="B5227" i="1"/>
  <c r="C5227" i="1"/>
  <c r="A6721" i="1"/>
  <c r="B6721" i="1"/>
  <c r="C6721" i="1"/>
  <c r="A14275" i="1"/>
  <c r="B14275" i="1"/>
  <c r="C14275" i="1"/>
  <c r="A16588" i="1"/>
  <c r="B16588" i="1"/>
  <c r="C16588" i="1"/>
  <c r="A14242" i="1"/>
  <c r="B14242" i="1"/>
  <c r="C14242" i="1"/>
  <c r="A18444" i="1"/>
  <c r="B18444" i="1"/>
  <c r="C18444" i="1"/>
  <c r="A18443" i="1"/>
  <c r="B18443" i="1"/>
  <c r="C18443" i="1"/>
  <c r="A21154" i="1"/>
  <c r="B21154" i="1"/>
  <c r="C21154" i="1"/>
  <c r="A21147" i="1"/>
  <c r="B21147" i="1"/>
  <c r="C21147" i="1"/>
  <c r="A21150" i="1"/>
  <c r="B21150" i="1"/>
  <c r="C21150" i="1"/>
  <c r="A16514" i="1"/>
  <c r="B16514" i="1"/>
  <c r="C16514" i="1"/>
  <c r="A21152" i="1"/>
  <c r="B21152" i="1"/>
  <c r="C21152" i="1"/>
  <c r="A21151" i="1"/>
  <c r="B21151" i="1"/>
  <c r="C21151" i="1"/>
  <c r="A21169" i="1"/>
  <c r="B21169" i="1"/>
  <c r="C21169" i="1"/>
  <c r="A21165" i="1"/>
  <c r="B21165" i="1"/>
  <c r="C21165" i="1"/>
  <c r="A21159" i="1"/>
  <c r="B21159" i="1"/>
  <c r="C21159" i="1"/>
  <c r="A21161" i="1"/>
  <c r="B21161" i="1"/>
  <c r="C21161" i="1"/>
  <c r="A21160" i="1"/>
  <c r="B21160" i="1"/>
  <c r="C21160" i="1"/>
  <c r="A11016" i="1"/>
  <c r="B11016" i="1"/>
  <c r="C11016" i="1"/>
  <c r="A11019" i="1"/>
  <c r="B11019" i="1"/>
  <c r="C11019" i="1"/>
  <c r="A499" i="1"/>
  <c r="B499" i="1"/>
  <c r="C499" i="1"/>
  <c r="A500" i="1"/>
  <c r="B500" i="1"/>
  <c r="C500" i="1"/>
  <c r="A18455" i="1"/>
  <c r="B18455" i="1"/>
  <c r="C18455" i="1"/>
  <c r="A6727" i="1"/>
  <c r="B6727" i="1"/>
  <c r="C6727" i="1"/>
  <c r="A18457" i="1"/>
  <c r="B18457" i="1"/>
  <c r="C18457" i="1"/>
  <c r="A502" i="1"/>
  <c r="B502" i="1"/>
  <c r="C502" i="1"/>
  <c r="A3122" i="1"/>
  <c r="B3122" i="1"/>
  <c r="C3122" i="1"/>
  <c r="A11015" i="1"/>
  <c r="B11015" i="1"/>
  <c r="C11015" i="1"/>
  <c r="A3121" i="1"/>
  <c r="B3121" i="1"/>
  <c r="C3121" i="1"/>
  <c r="A1461" i="1"/>
  <c r="B1461" i="1"/>
  <c r="C1461" i="1"/>
  <c r="A21153" i="1"/>
  <c r="B21153" i="1"/>
  <c r="C21153" i="1"/>
  <c r="A21146" i="1"/>
  <c r="B21146" i="1"/>
  <c r="C21146" i="1"/>
  <c r="A21149" i="1"/>
  <c r="B21149" i="1"/>
  <c r="C21149" i="1"/>
  <c r="A21155" i="1"/>
  <c r="B21155" i="1"/>
  <c r="C21155" i="1"/>
  <c r="A21156" i="1"/>
  <c r="B21156" i="1"/>
  <c r="C21156" i="1"/>
  <c r="A21157" i="1"/>
  <c r="B21157" i="1"/>
  <c r="C21157" i="1"/>
  <c r="A21163" i="1"/>
  <c r="B21163" i="1"/>
  <c r="C21163" i="1"/>
  <c r="A21167" i="1"/>
  <c r="B21167" i="1"/>
  <c r="C21167" i="1"/>
  <c r="A21164" i="1"/>
  <c r="B21164" i="1"/>
  <c r="C21164" i="1"/>
  <c r="A21158" i="1"/>
  <c r="B21158" i="1"/>
  <c r="C21158" i="1"/>
  <c r="A21143" i="1"/>
  <c r="B21143" i="1"/>
  <c r="C21143" i="1"/>
  <c r="A21138" i="1"/>
  <c r="B21138" i="1"/>
  <c r="C21138" i="1"/>
  <c r="A21142" i="1"/>
  <c r="B21142" i="1"/>
  <c r="C21142" i="1"/>
  <c r="A21139" i="1"/>
  <c r="B21139" i="1"/>
  <c r="C21139" i="1"/>
  <c r="A7985" i="1"/>
  <c r="B7985" i="1"/>
  <c r="C7985" i="1"/>
  <c r="A21140" i="1"/>
  <c r="B21140" i="1"/>
  <c r="C21140" i="1"/>
  <c r="A21141" i="1"/>
  <c r="B21141" i="1"/>
  <c r="C21141" i="1"/>
  <c r="A22917" i="1"/>
  <c r="B22917" i="1"/>
  <c r="C22917" i="1"/>
  <c r="A21498" i="1"/>
  <c r="B21498" i="1"/>
  <c r="C21498" i="1"/>
  <c r="A4480" i="1"/>
  <c r="B4480" i="1"/>
  <c r="C4480" i="1"/>
  <c r="A5132" i="1"/>
  <c r="B5132" i="1"/>
  <c r="C5132" i="1"/>
  <c r="A4923" i="1"/>
  <c r="B4923" i="1"/>
  <c r="C4923" i="1"/>
  <c r="A21463" i="1"/>
  <c r="B21463" i="1"/>
  <c r="C21463" i="1"/>
  <c r="A8249" i="1"/>
  <c r="B8249" i="1"/>
  <c r="C8249" i="1"/>
  <c r="A5687" i="1"/>
  <c r="B5687" i="1"/>
  <c r="C5687" i="1"/>
  <c r="A11671" i="1"/>
  <c r="B11671" i="1"/>
  <c r="C11671" i="1"/>
  <c r="A194" i="1"/>
  <c r="B194" i="1"/>
  <c r="C194" i="1"/>
  <c r="A9761" i="1"/>
  <c r="B9761" i="1"/>
  <c r="C9761" i="1"/>
  <c r="A14245" i="1"/>
  <c r="B14245" i="1"/>
  <c r="C14245" i="1"/>
  <c r="A14246" i="1"/>
  <c r="B14246" i="1"/>
  <c r="C14246" i="1"/>
  <c r="A15844" i="1"/>
  <c r="B15844" i="1"/>
  <c r="C15844" i="1"/>
  <c r="A7786" i="1"/>
  <c r="B7786" i="1"/>
  <c r="C7786" i="1"/>
  <c r="A24130" i="1"/>
  <c r="B24130" i="1"/>
  <c r="C24130" i="1"/>
  <c r="A5133" i="1"/>
  <c r="B5133" i="1"/>
  <c r="C5133" i="1"/>
  <c r="A5131" i="1"/>
  <c r="B5131" i="1"/>
  <c r="C5131" i="1"/>
  <c r="A8650" i="1"/>
  <c r="B8650" i="1"/>
  <c r="C8650" i="1"/>
  <c r="A15843" i="1"/>
  <c r="B15843" i="1"/>
  <c r="C15843" i="1"/>
  <c r="A18874" i="1"/>
  <c r="B18874" i="1"/>
  <c r="C18874" i="1"/>
  <c r="A22915" i="1"/>
  <c r="B22915" i="1"/>
  <c r="C22915" i="1"/>
  <c r="A15842" i="1"/>
  <c r="B15842" i="1"/>
  <c r="C15842" i="1"/>
  <c r="A23755" i="1"/>
  <c r="B23755" i="1"/>
  <c r="C23755" i="1"/>
  <c r="A22368" i="1"/>
  <c r="B22368" i="1"/>
  <c r="C22368" i="1"/>
  <c r="A9762" i="1"/>
  <c r="B9762" i="1"/>
  <c r="C9762" i="1"/>
  <c r="A195" i="1"/>
  <c r="B195" i="1"/>
  <c r="C195" i="1"/>
  <c r="A10543" i="1"/>
  <c r="B10543" i="1"/>
  <c r="C10543" i="1"/>
  <c r="A10527" i="1"/>
  <c r="B10527" i="1"/>
  <c r="C10527" i="1"/>
  <c r="A10525" i="1"/>
  <c r="B10525" i="1"/>
  <c r="C10525" i="1"/>
  <c r="A10526" i="1"/>
  <c r="B10526" i="1"/>
  <c r="C10526" i="1"/>
  <c r="A10536" i="1"/>
  <c r="B10536" i="1"/>
  <c r="C10536" i="1"/>
  <c r="A10533" i="1"/>
  <c r="B10533" i="1"/>
  <c r="C10533" i="1"/>
  <c r="A10534" i="1"/>
  <c r="B10534" i="1"/>
  <c r="C10534" i="1"/>
  <c r="A15836" i="1"/>
  <c r="B15836" i="1"/>
  <c r="C15836" i="1"/>
  <c r="A10537" i="1"/>
  <c r="B10537" i="1"/>
  <c r="C10537" i="1"/>
  <c r="A10535" i="1"/>
  <c r="B10535" i="1"/>
  <c r="C10535" i="1"/>
  <c r="A10517" i="1"/>
  <c r="B10517" i="1"/>
  <c r="C10517" i="1"/>
  <c r="A10511" i="1"/>
  <c r="B10511" i="1"/>
  <c r="C10511" i="1"/>
  <c r="A10514" i="1"/>
  <c r="B10514" i="1"/>
  <c r="C10514" i="1"/>
  <c r="A22913" i="1"/>
  <c r="B22913" i="1"/>
  <c r="C22913" i="1"/>
  <c r="A10524" i="1"/>
  <c r="B10524" i="1"/>
  <c r="C10524" i="1"/>
  <c r="A10523" i="1"/>
  <c r="B10523" i="1"/>
  <c r="C10523" i="1"/>
  <c r="A10521" i="1"/>
  <c r="B10521" i="1"/>
  <c r="C10521" i="1"/>
  <c r="A10522" i="1"/>
  <c r="B10522" i="1"/>
  <c r="C10522" i="1"/>
  <c r="A10554" i="1"/>
  <c r="B10554" i="1"/>
  <c r="C10554" i="1"/>
  <c r="A8379" i="1"/>
  <c r="B8379" i="1"/>
  <c r="C8379" i="1"/>
  <c r="A8375" i="1"/>
  <c r="B8375" i="1"/>
  <c r="C8375" i="1"/>
  <c r="A5696" i="1"/>
  <c r="B5696" i="1"/>
  <c r="C5696" i="1"/>
  <c r="A7981" i="1"/>
  <c r="B7981" i="1"/>
  <c r="C7981" i="1"/>
  <c r="A10508" i="1"/>
  <c r="B10508" i="1"/>
  <c r="C10508" i="1"/>
  <c r="A10520" i="1"/>
  <c r="B10520" i="1"/>
  <c r="C10520" i="1"/>
  <c r="A10532" i="1"/>
  <c r="B10532" i="1"/>
  <c r="C10532" i="1"/>
  <c r="A10538" i="1"/>
  <c r="B10538" i="1"/>
  <c r="C10538" i="1"/>
  <c r="A10558" i="1"/>
  <c r="B10558" i="1"/>
  <c r="C10558" i="1"/>
  <c r="A10519" i="1"/>
  <c r="B10519" i="1"/>
  <c r="C10519" i="1"/>
  <c r="A10516" i="1"/>
  <c r="B10516" i="1"/>
  <c r="C10516" i="1"/>
  <c r="A10513" i="1"/>
  <c r="B10513" i="1"/>
  <c r="C10513" i="1"/>
  <c r="A4478" i="1"/>
  <c r="B4478" i="1"/>
  <c r="C4478" i="1"/>
  <c r="A4475" i="1"/>
  <c r="B4475" i="1"/>
  <c r="C4475" i="1"/>
  <c r="A13246" i="1"/>
  <c r="B13246" i="1"/>
  <c r="C13246" i="1"/>
  <c r="A8703" i="1"/>
  <c r="B8703" i="1"/>
  <c r="C8703" i="1"/>
  <c r="A16359" i="1"/>
  <c r="B16359" i="1"/>
  <c r="C16359" i="1"/>
  <c r="A16353" i="1"/>
  <c r="B16353" i="1"/>
  <c r="C16353" i="1"/>
  <c r="A16365" i="1"/>
  <c r="B16365" i="1"/>
  <c r="C16365" i="1"/>
  <c r="A16355" i="1"/>
  <c r="B16355" i="1"/>
  <c r="C16355" i="1"/>
  <c r="A16357" i="1"/>
  <c r="B16357" i="1"/>
  <c r="C16357" i="1"/>
  <c r="A16360" i="1"/>
  <c r="B16360" i="1"/>
  <c r="C16360" i="1"/>
  <c r="A16354" i="1"/>
  <c r="B16354" i="1"/>
  <c r="C16354" i="1"/>
  <c r="A16366" i="1"/>
  <c r="B16366" i="1"/>
  <c r="C16366" i="1"/>
  <c r="A16356" i="1"/>
  <c r="B16356" i="1"/>
  <c r="C16356" i="1"/>
  <c r="A16358" i="1"/>
  <c r="B16358" i="1"/>
  <c r="C16358" i="1"/>
  <c r="A16364" i="1"/>
  <c r="B16364" i="1"/>
  <c r="C16364" i="1"/>
  <c r="A16363" i="1"/>
  <c r="B16363" i="1"/>
  <c r="C16363" i="1"/>
  <c r="A16352" i="1"/>
  <c r="B16352" i="1"/>
  <c r="C16352" i="1"/>
  <c r="A16361" i="1"/>
  <c r="B16361" i="1"/>
  <c r="C16361" i="1"/>
  <c r="A16362" i="1"/>
  <c r="B16362" i="1"/>
  <c r="C16362" i="1"/>
  <c r="A16367" i="1"/>
  <c r="B16367" i="1"/>
  <c r="C16367" i="1"/>
  <c r="A12236" i="1"/>
  <c r="B12236" i="1"/>
  <c r="C12236" i="1"/>
  <c r="A10353" i="1"/>
  <c r="B10353" i="1"/>
  <c r="C10353" i="1"/>
  <c r="A12246" i="1"/>
  <c r="B12246" i="1"/>
  <c r="C12246" i="1"/>
  <c r="A12197" i="1"/>
  <c r="B12197" i="1"/>
  <c r="C12197" i="1"/>
  <c r="A8373" i="1"/>
  <c r="B8373" i="1"/>
  <c r="C8373" i="1"/>
  <c r="A25341" i="1"/>
  <c r="B25341" i="1"/>
  <c r="C25341" i="1"/>
  <c r="A6763" i="1"/>
  <c r="C6763" i="1"/>
  <c r="A16487" i="1"/>
  <c r="B16487" i="1"/>
  <c r="C16487" i="1"/>
  <c r="A17422" i="1"/>
  <c r="B17422" i="1"/>
  <c r="C17422" i="1"/>
  <c r="A18892" i="1"/>
  <c r="B18892" i="1"/>
  <c r="C18892" i="1"/>
  <c r="A10559" i="1"/>
  <c r="B10559" i="1"/>
  <c r="C10559" i="1"/>
  <c r="A18893" i="1"/>
  <c r="B18893" i="1"/>
  <c r="C18893" i="1"/>
  <c r="A2449" i="1"/>
  <c r="B2449" i="1"/>
  <c r="C2449" i="1"/>
  <c r="A5698" i="1"/>
  <c r="B5698" i="1"/>
  <c r="C5698" i="1"/>
  <c r="A17421" i="1"/>
  <c r="B17421" i="1"/>
  <c r="C17421" i="1"/>
  <c r="A21503" i="1"/>
  <c r="B21503" i="1"/>
  <c r="C21503" i="1"/>
  <c r="A15495" i="1"/>
  <c r="B15495" i="1"/>
  <c r="C15495" i="1"/>
  <c r="A8687" i="1"/>
  <c r="B8687" i="1"/>
  <c r="C8687" i="1"/>
  <c r="A7845" i="1"/>
  <c r="B7845" i="1"/>
  <c r="C7845" i="1"/>
  <c r="A12461" i="1"/>
  <c r="B12461" i="1"/>
  <c r="C12461" i="1"/>
  <c r="A12460" i="1"/>
  <c r="B12460" i="1"/>
  <c r="C12460" i="1"/>
  <c r="A12464" i="1"/>
  <c r="B12464" i="1"/>
  <c r="C12464" i="1"/>
  <c r="A7865" i="1"/>
  <c r="B7865" i="1"/>
  <c r="C7865" i="1"/>
  <c r="A10002" i="1"/>
  <c r="B10002" i="1"/>
  <c r="C10002" i="1"/>
  <c r="A10004" i="1"/>
  <c r="B10004" i="1"/>
  <c r="C10004" i="1"/>
  <c r="A10241" i="1"/>
  <c r="B10241" i="1"/>
  <c r="C10241" i="1"/>
  <c r="A10000" i="1"/>
  <c r="B10000" i="1"/>
  <c r="C10000" i="1"/>
  <c r="A10005" i="1"/>
  <c r="B10005" i="1"/>
  <c r="C10005" i="1"/>
  <c r="A11054" i="1"/>
  <c r="B11054" i="1"/>
  <c r="C11054" i="1"/>
  <c r="A11050" i="1"/>
  <c r="B11050" i="1"/>
  <c r="C11050" i="1"/>
  <c r="A11057" i="1"/>
  <c r="B11057" i="1"/>
  <c r="C11057" i="1"/>
  <c r="A11055" i="1"/>
  <c r="B11055" i="1"/>
  <c r="C11055" i="1"/>
  <c r="A11008" i="1"/>
  <c r="B11008" i="1"/>
  <c r="C11008" i="1"/>
  <c r="A11006" i="1"/>
  <c r="B11006" i="1"/>
  <c r="C11006" i="1"/>
  <c r="A11025" i="1"/>
  <c r="B11025" i="1"/>
  <c r="C11025" i="1"/>
  <c r="A11020" i="1"/>
  <c r="B11020" i="1"/>
  <c r="C11020" i="1"/>
  <c r="A11022" i="1"/>
  <c r="B11022" i="1"/>
  <c r="C11022" i="1"/>
  <c r="A16493" i="1"/>
  <c r="B16493" i="1"/>
  <c r="C16493" i="1"/>
  <c r="A21458" i="1"/>
  <c r="B21458" i="1"/>
  <c r="C21458" i="1"/>
  <c r="A7851" i="1"/>
  <c r="B7851" i="1"/>
  <c r="C7851" i="1"/>
  <c r="A7863" i="1"/>
  <c r="B7863" i="1"/>
  <c r="C7863" i="1"/>
  <c r="A16984" i="1"/>
  <c r="B16984" i="1"/>
  <c r="C16984" i="1"/>
  <c r="A19118" i="1"/>
  <c r="B19118" i="1"/>
  <c r="C19118" i="1"/>
  <c r="A605" i="1"/>
  <c r="B605" i="1"/>
  <c r="C605" i="1"/>
  <c r="A12484" i="1"/>
  <c r="B12484" i="1"/>
  <c r="C12484" i="1"/>
  <c r="A7793" i="1"/>
  <c r="B7793" i="1"/>
  <c r="C7793" i="1"/>
  <c r="A16924" i="1"/>
  <c r="B16924" i="1"/>
  <c r="C16924" i="1"/>
  <c r="A5680" i="1"/>
  <c r="B5680" i="1"/>
  <c r="C5680" i="1"/>
  <c r="A2404" i="1"/>
  <c r="B2404" i="1"/>
  <c r="C2404" i="1"/>
  <c r="A7795" i="1"/>
  <c r="B7795" i="1"/>
  <c r="C7795" i="1"/>
  <c r="A10881" i="1"/>
  <c r="B10881" i="1"/>
  <c r="C10881" i="1"/>
  <c r="A13699" i="1"/>
  <c r="B13699" i="1"/>
  <c r="C13699" i="1"/>
  <c r="A23775" i="1"/>
  <c r="B23775" i="1"/>
  <c r="C23775" i="1"/>
  <c r="A21243" i="1"/>
  <c r="B21243" i="1"/>
  <c r="C21243" i="1"/>
  <c r="A21296" i="1"/>
  <c r="B21296" i="1"/>
  <c r="C21296" i="1"/>
  <c r="A21290" i="1"/>
  <c r="B21290" i="1"/>
  <c r="C21290" i="1"/>
  <c r="A21298" i="1"/>
  <c r="B21298" i="1"/>
  <c r="C21298" i="1"/>
  <c r="A21291" i="1"/>
  <c r="B21291" i="1"/>
  <c r="C21291" i="1"/>
  <c r="A21203" i="1"/>
  <c r="B21203" i="1"/>
  <c r="C21203" i="1"/>
  <c r="A21204" i="1"/>
  <c r="B21204" i="1"/>
  <c r="C21204" i="1"/>
  <c r="A17394" i="1"/>
  <c r="B17394" i="1"/>
  <c r="C17394" i="1"/>
  <c r="A2725" i="1"/>
  <c r="B2725" i="1"/>
  <c r="C2725" i="1"/>
  <c r="A15847" i="1"/>
  <c r="B15847" i="1"/>
  <c r="C15847" i="1"/>
  <c r="A15848" i="1"/>
  <c r="B15848" i="1"/>
  <c r="C15848" i="1"/>
  <c r="A15845" i="1"/>
  <c r="B15845" i="1"/>
  <c r="C15845" i="1"/>
  <c r="A18502" i="1"/>
  <c r="B18502" i="1"/>
  <c r="C18502" i="1"/>
  <c r="A2729" i="1"/>
  <c r="B2729" i="1"/>
  <c r="C2729" i="1"/>
  <c r="A20148" i="1"/>
  <c r="B20148" i="1"/>
  <c r="C20148" i="1"/>
  <c r="A20140" i="1"/>
  <c r="B20140" i="1"/>
  <c r="C20140" i="1"/>
  <c r="A2368" i="1"/>
  <c r="B2368" i="1"/>
  <c r="C2368" i="1"/>
  <c r="A2372" i="1"/>
  <c r="B2372" i="1"/>
  <c r="C2372" i="1"/>
  <c r="A2730" i="1"/>
  <c r="B2730" i="1"/>
  <c r="C2730" i="1"/>
  <c r="A3024" i="1"/>
  <c r="B3024" i="1"/>
  <c r="C3024" i="1"/>
  <c r="A4488" i="1"/>
  <c r="B4488" i="1"/>
  <c r="C4488" i="1"/>
  <c r="A5134" i="1"/>
  <c r="B5134" i="1"/>
  <c r="C5134" i="1"/>
  <c r="A5099" i="1"/>
  <c r="B5099" i="1"/>
  <c r="C5099" i="1"/>
  <c r="A2475" i="1"/>
  <c r="B2475" i="1"/>
  <c r="C2475" i="1"/>
  <c r="A4629" i="1"/>
  <c r="B4629" i="1"/>
  <c r="C4629" i="1"/>
  <c r="A13002" i="1"/>
  <c r="B13002" i="1"/>
  <c r="C13002" i="1"/>
  <c r="A12938" i="1"/>
  <c r="B12938" i="1"/>
  <c r="C12938" i="1"/>
  <c r="A2370" i="1"/>
  <c r="B2370" i="1"/>
  <c r="C2370" i="1"/>
  <c r="A2342" i="1"/>
  <c r="B2342" i="1"/>
  <c r="C2342" i="1"/>
  <c r="A2341" i="1"/>
  <c r="B2341" i="1"/>
  <c r="C2341" i="1"/>
  <c r="A2340" i="1"/>
  <c r="B2340" i="1"/>
  <c r="C2340" i="1"/>
  <c r="A12866" i="1"/>
  <c r="B12866" i="1"/>
  <c r="C12866" i="1"/>
  <c r="A12865" i="1"/>
  <c r="B12865" i="1"/>
  <c r="C12865" i="1"/>
  <c r="A10354" i="1"/>
  <c r="B10354" i="1"/>
  <c r="C10354" i="1"/>
  <c r="A22809" i="1"/>
  <c r="B22809" i="1"/>
  <c r="C22809" i="1"/>
  <c r="A677" i="1"/>
  <c r="B677" i="1"/>
  <c r="C677" i="1"/>
  <c r="A5688" i="1"/>
  <c r="B5688" i="1"/>
  <c r="C5688" i="1"/>
  <c r="A11032" i="1"/>
  <c r="B11032" i="1"/>
  <c r="C11032" i="1"/>
  <c r="A18876" i="1"/>
  <c r="B18876" i="1"/>
  <c r="C18876" i="1"/>
  <c r="A8732" i="1"/>
  <c r="B8732" i="1"/>
  <c r="C8732" i="1"/>
  <c r="A11685" i="1"/>
  <c r="B11685" i="1"/>
  <c r="C11685" i="1"/>
  <c r="A13263" i="1"/>
  <c r="B13263" i="1"/>
  <c r="C13263" i="1"/>
  <c r="A8712" i="1"/>
  <c r="B8712" i="1"/>
  <c r="C8712" i="1"/>
  <c r="A10541" i="1"/>
  <c r="B10541" i="1"/>
  <c r="C10541" i="1"/>
  <c r="A10539" i="1"/>
  <c r="B10539" i="1"/>
  <c r="C10539" i="1"/>
  <c r="A10540" i="1"/>
  <c r="B10540" i="1"/>
  <c r="C10540" i="1"/>
  <c r="A10542" i="1"/>
  <c r="B10542" i="1"/>
  <c r="C10542" i="1"/>
  <c r="A10885" i="1"/>
  <c r="B10885" i="1"/>
  <c r="C10885" i="1"/>
  <c r="A16765" i="1"/>
  <c r="B16765" i="1"/>
  <c r="C16765" i="1"/>
  <c r="A10865" i="1"/>
  <c r="B10865" i="1"/>
  <c r="C10865" i="1"/>
  <c r="A10499" i="1"/>
  <c r="B10499" i="1"/>
  <c r="C10499" i="1"/>
  <c r="A14452" i="1"/>
  <c r="B14452" i="1"/>
  <c r="C14452" i="1"/>
  <c r="A14454" i="1"/>
  <c r="B14454" i="1"/>
  <c r="C14454" i="1"/>
  <c r="A12462" i="1"/>
  <c r="B12462" i="1"/>
  <c r="C12462" i="1"/>
  <c r="A10560" i="1"/>
  <c r="B10560" i="1"/>
  <c r="C10560" i="1"/>
  <c r="A15467" i="1"/>
  <c r="B15467" i="1"/>
  <c r="C15467" i="1"/>
  <c r="A21668" i="1"/>
  <c r="B21668" i="1"/>
  <c r="C21668" i="1"/>
  <c r="A8729" i="1"/>
  <c r="B8729" i="1"/>
  <c r="C8729" i="1"/>
  <c r="A15474" i="1"/>
  <c r="B15474" i="1"/>
  <c r="C15474" i="1"/>
  <c r="A21675" i="1"/>
  <c r="B21675" i="1"/>
  <c r="C21675" i="1"/>
  <c r="A8730" i="1"/>
  <c r="B8730" i="1"/>
  <c r="C8730" i="1"/>
  <c r="A21676" i="1"/>
  <c r="B21676" i="1"/>
  <c r="C21676" i="1"/>
  <c r="A9226" i="1"/>
  <c r="B9226" i="1"/>
  <c r="C9226" i="1"/>
  <c r="A9224" i="1"/>
  <c r="B9224" i="1"/>
  <c r="C9224" i="1"/>
  <c r="A19140" i="1"/>
  <c r="B19140" i="1"/>
  <c r="C19140" i="1"/>
  <c r="A4479" i="1"/>
  <c r="B4479" i="1"/>
  <c r="C4479" i="1"/>
  <c r="A4663" i="1"/>
  <c r="B4663" i="1"/>
  <c r="C4663" i="1"/>
  <c r="A4661" i="1"/>
  <c r="B4661" i="1"/>
  <c r="C4661" i="1"/>
  <c r="A4662" i="1"/>
  <c r="B4662" i="1"/>
  <c r="C4662" i="1"/>
  <c r="A4664" i="1"/>
  <c r="B4664" i="1"/>
  <c r="C4664" i="1"/>
  <c r="A2423" i="1"/>
  <c r="B2423" i="1"/>
  <c r="C2423" i="1"/>
  <c r="A14315" i="1"/>
  <c r="B14315" i="1"/>
  <c r="C14315" i="1"/>
  <c r="A5120" i="1"/>
  <c r="B5120" i="1"/>
  <c r="C5120" i="1"/>
  <c r="A5118" i="1"/>
  <c r="B5118" i="1"/>
  <c r="C5118" i="1"/>
  <c r="A5119" i="1"/>
  <c r="B5119" i="1"/>
  <c r="C5119" i="1"/>
  <c r="A4938" i="1"/>
  <c r="B4938" i="1"/>
  <c r="C4938" i="1"/>
  <c r="A4937" i="1"/>
  <c r="B4937" i="1"/>
  <c r="C4937" i="1"/>
  <c r="A4935" i="1"/>
  <c r="B4935" i="1"/>
  <c r="C4935" i="1"/>
  <c r="A5121" i="1"/>
  <c r="B5121" i="1"/>
  <c r="C5121" i="1"/>
  <c r="A4936" i="1"/>
  <c r="B4936" i="1"/>
  <c r="C4936" i="1"/>
  <c r="A5164" i="1"/>
  <c r="B5164" i="1"/>
  <c r="C5164" i="1"/>
  <c r="A5163" i="1"/>
  <c r="B5163" i="1"/>
  <c r="C5163" i="1"/>
  <c r="A3378" i="1"/>
  <c r="B3378" i="1"/>
  <c r="C3378" i="1"/>
  <c r="A5161" i="1"/>
  <c r="B5161" i="1"/>
  <c r="C5161" i="1"/>
  <c r="A5100" i="1"/>
  <c r="B5100" i="1"/>
  <c r="C5100" i="1"/>
  <c r="A5103" i="1"/>
  <c r="B5103" i="1"/>
  <c r="C5103" i="1"/>
  <c r="A5169" i="1"/>
  <c r="B5169" i="1"/>
  <c r="C5169" i="1"/>
  <c r="A5167" i="1"/>
  <c r="B5167" i="1"/>
  <c r="C5167" i="1"/>
  <c r="A22871" i="1"/>
  <c r="B22871" i="1"/>
  <c r="C22871" i="1"/>
  <c r="A199" i="1"/>
  <c r="B199" i="1"/>
  <c r="C199" i="1"/>
  <c r="A21227" i="1"/>
  <c r="B21227" i="1"/>
  <c r="C21227" i="1"/>
  <c r="A21228" i="1"/>
  <c r="B21228" i="1"/>
  <c r="C21228" i="1"/>
  <c r="A21297" i="1"/>
  <c r="B21297" i="1"/>
  <c r="C21297" i="1"/>
  <c r="A21245" i="1"/>
  <c r="B21245" i="1"/>
  <c r="C21245" i="1"/>
  <c r="A21239" i="1"/>
  <c r="B21239" i="1"/>
  <c r="C21239" i="1"/>
  <c r="A21246" i="1"/>
  <c r="B21246" i="1"/>
  <c r="C21246" i="1"/>
  <c r="A21292" i="1"/>
  <c r="B21292" i="1"/>
  <c r="C21292" i="1"/>
  <c r="A21299" i="1"/>
  <c r="B21299" i="1"/>
  <c r="C21299" i="1"/>
  <c r="A7866" i="1"/>
  <c r="B7866" i="1"/>
  <c r="C7866" i="1"/>
  <c r="A192" i="1"/>
  <c r="B192" i="1"/>
  <c r="C192" i="1"/>
  <c r="A7852" i="1"/>
  <c r="B7852" i="1"/>
  <c r="C7852" i="1"/>
  <c r="A7864" i="1"/>
  <c r="B7864" i="1"/>
  <c r="C7864" i="1"/>
  <c r="A7834" i="1"/>
  <c r="B7834" i="1"/>
  <c r="C7834" i="1"/>
  <c r="A10341" i="1"/>
  <c r="B10341" i="1"/>
  <c r="C10341" i="1"/>
  <c r="A10811" i="1"/>
  <c r="B10811" i="1"/>
  <c r="C10811" i="1"/>
  <c r="A1695" i="1"/>
  <c r="B1695" i="1"/>
  <c r="C1695" i="1"/>
  <c r="A19144" i="1"/>
  <c r="B19144" i="1"/>
  <c r="C19144" i="1"/>
  <c r="A14697" i="1"/>
  <c r="B14697" i="1"/>
  <c r="C14697" i="1"/>
  <c r="A14698" i="1"/>
  <c r="B14698" i="1"/>
  <c r="C14698" i="1"/>
  <c r="A3148" i="1"/>
  <c r="B3148" i="1"/>
  <c r="C3148" i="1"/>
  <c r="A19359" i="1"/>
  <c r="B19359" i="1"/>
  <c r="C19359" i="1"/>
  <c r="A8713" i="1"/>
  <c r="B8713" i="1"/>
  <c r="C8713" i="1"/>
  <c r="A8706" i="1"/>
  <c r="B8706" i="1"/>
  <c r="C8706" i="1"/>
  <c r="A8694" i="1"/>
  <c r="B8694" i="1"/>
  <c r="C8694" i="1"/>
  <c r="A8691" i="1"/>
  <c r="B8691" i="1"/>
  <c r="C8691" i="1"/>
  <c r="A20721" i="1"/>
  <c r="B20721" i="1"/>
  <c r="C20721" i="1"/>
  <c r="A545" i="1"/>
  <c r="B545" i="1"/>
  <c r="C545" i="1"/>
  <c r="A7791" i="1"/>
  <c r="B7791" i="1"/>
  <c r="C7791" i="1"/>
  <c r="A10832" i="1"/>
  <c r="B10832" i="1"/>
  <c r="C10832" i="1"/>
  <c r="A10853" i="1"/>
  <c r="B10853" i="1"/>
  <c r="C10853" i="1"/>
  <c r="A10831" i="1"/>
  <c r="B10831" i="1"/>
  <c r="C10831" i="1"/>
  <c r="A543" i="1"/>
  <c r="B543" i="1"/>
  <c r="C543" i="1"/>
  <c r="A544" i="1"/>
  <c r="B544" i="1"/>
  <c r="C544" i="1"/>
  <c r="A10951" i="1"/>
  <c r="B10951" i="1"/>
  <c r="C10951" i="1"/>
  <c r="A10950" i="1"/>
  <c r="B10950" i="1"/>
  <c r="C10950" i="1"/>
  <c r="A10952" i="1"/>
  <c r="B10952" i="1"/>
  <c r="C10952" i="1"/>
  <c r="A10953" i="1"/>
  <c r="B10953" i="1"/>
  <c r="C10953" i="1"/>
  <c r="A17550" i="1"/>
  <c r="B17550" i="1"/>
  <c r="C17550" i="1"/>
  <c r="A10351" i="1"/>
  <c r="B10351" i="1"/>
  <c r="C10351" i="1"/>
  <c r="A9229" i="1"/>
  <c r="B9229" i="1"/>
  <c r="C9229" i="1"/>
  <c r="A10870" i="1"/>
  <c r="B10870" i="1"/>
  <c r="C10870" i="1"/>
  <c r="A2455" i="1"/>
  <c r="B2455" i="1"/>
  <c r="C2455" i="1"/>
  <c r="A9227" i="1"/>
  <c r="B9227" i="1"/>
  <c r="C9227" i="1"/>
  <c r="A10806" i="1"/>
  <c r="B10806" i="1"/>
  <c r="C10806" i="1"/>
  <c r="A10826" i="1"/>
  <c r="B10826" i="1"/>
  <c r="C10826" i="1"/>
  <c r="A10863" i="1"/>
  <c r="B10863" i="1"/>
  <c r="C10863" i="1"/>
  <c r="A11392" i="1"/>
  <c r="B11392" i="1"/>
  <c r="C11392" i="1"/>
  <c r="A7797" i="1"/>
  <c r="B7797" i="1"/>
  <c r="C7797" i="1"/>
  <c r="A7796" i="1"/>
  <c r="B7796" i="1"/>
  <c r="C7796" i="1"/>
  <c r="A22766" i="1"/>
  <c r="C22766" i="1"/>
  <c r="A22764" i="1"/>
  <c r="B22764" i="1"/>
  <c r="C22764" i="1"/>
  <c r="A22763" i="1"/>
  <c r="B22763" i="1"/>
  <c r="C22763" i="1"/>
  <c r="A18480" i="1"/>
  <c r="B18480" i="1"/>
  <c r="C18480" i="1"/>
  <c r="A7991" i="1"/>
  <c r="B7991" i="1"/>
  <c r="C7991" i="1"/>
  <c r="A16774" i="1"/>
  <c r="B16774" i="1"/>
  <c r="C16774" i="1"/>
  <c r="A8674" i="1"/>
  <c r="B8674" i="1"/>
  <c r="C8674" i="1"/>
  <c r="A8646" i="1"/>
  <c r="B8646" i="1"/>
  <c r="C8646" i="1"/>
  <c r="A10939" i="1"/>
  <c r="B10939" i="1"/>
  <c r="C10939" i="1"/>
  <c r="A10937" i="1"/>
  <c r="B10937" i="1"/>
  <c r="C10937" i="1"/>
  <c r="A13700" i="1"/>
  <c r="B13700" i="1"/>
  <c r="C13700" i="1"/>
  <c r="A16554" i="1"/>
  <c r="B16554" i="1"/>
  <c r="C16554" i="1"/>
  <c r="A3325" i="1"/>
  <c r="B3325" i="1"/>
  <c r="C3325" i="1"/>
  <c r="A3321" i="1"/>
  <c r="B3321" i="1"/>
  <c r="C3321" i="1"/>
  <c r="A3323" i="1"/>
  <c r="B3323" i="1"/>
  <c r="C3323" i="1"/>
  <c r="A3324" i="1"/>
  <c r="B3324" i="1"/>
  <c r="C3324" i="1"/>
  <c r="A3326" i="1"/>
  <c r="B3326" i="1"/>
  <c r="C3326" i="1"/>
  <c r="A2421" i="1"/>
  <c r="B2421" i="1"/>
  <c r="C2421" i="1"/>
  <c r="A7794" i="1"/>
  <c r="B7794" i="1"/>
  <c r="C7794" i="1"/>
  <c r="A12853" i="1"/>
  <c r="B12853" i="1"/>
  <c r="C12853" i="1"/>
  <c r="A12854" i="1"/>
  <c r="B12854" i="1"/>
  <c r="C12854" i="1"/>
  <c r="A7792" i="1"/>
  <c r="B7792" i="1"/>
  <c r="C7792" i="1"/>
  <c r="A22493" i="1"/>
  <c r="B22493" i="1"/>
  <c r="C22493" i="1"/>
  <c r="A24129" i="1"/>
  <c r="B24129" i="1"/>
  <c r="C24129" i="1"/>
  <c r="A11700" i="1"/>
  <c r="B11700" i="1"/>
  <c r="C11700" i="1"/>
  <c r="A11712" i="1"/>
  <c r="B11712" i="1"/>
  <c r="C11712" i="1"/>
  <c r="A24117" i="1"/>
  <c r="B24117" i="1"/>
  <c r="C24117" i="1"/>
  <c r="A11672" i="1"/>
  <c r="B11672" i="1"/>
  <c r="C11672" i="1"/>
  <c r="A22812" i="1"/>
  <c r="B22812" i="1"/>
  <c r="C22812" i="1"/>
  <c r="A11713" i="1"/>
  <c r="B11713" i="1"/>
  <c r="C11713" i="1"/>
  <c r="A21170" i="1"/>
  <c r="B21170" i="1"/>
  <c r="C21170" i="1"/>
  <c r="A11699" i="1"/>
  <c r="B11699" i="1"/>
  <c r="C11699" i="1"/>
  <c r="A11675" i="1"/>
  <c r="B11675" i="1"/>
  <c r="C11675" i="1"/>
  <c r="A17415" i="1"/>
  <c r="B17415" i="1"/>
  <c r="C17415" i="1"/>
  <c r="A17414" i="1"/>
  <c r="B17414" i="1"/>
  <c r="C17414" i="1"/>
  <c r="A11695" i="1"/>
  <c r="B11695" i="1"/>
  <c r="C11695" i="1"/>
  <c r="A11697" i="1"/>
  <c r="B11697" i="1"/>
  <c r="C11697" i="1"/>
  <c r="A11677" i="1"/>
  <c r="B11677" i="1"/>
  <c r="C11677" i="1"/>
  <c r="A11696" i="1"/>
  <c r="B11696" i="1"/>
  <c r="C11696" i="1"/>
  <c r="A11698" i="1"/>
  <c r="B11698" i="1"/>
  <c r="C11698" i="1"/>
  <c r="A18446" i="1"/>
  <c r="B18446" i="1"/>
  <c r="C18446" i="1"/>
  <c r="A18445" i="1"/>
  <c r="B18445" i="1"/>
  <c r="C18445" i="1"/>
  <c r="A11661" i="1"/>
  <c r="B11661" i="1"/>
  <c r="C11661" i="1"/>
  <c r="A11670" i="1"/>
  <c r="B11670" i="1"/>
  <c r="C11670" i="1"/>
  <c r="A11134" i="1"/>
  <c r="B11134" i="1"/>
  <c r="C11134" i="1"/>
  <c r="A20226" i="1"/>
  <c r="B20226" i="1"/>
  <c r="C20226" i="1"/>
  <c r="A20229" i="1"/>
  <c r="B20229" i="1"/>
  <c r="C20229" i="1"/>
  <c r="A15468" i="1"/>
  <c r="B15468" i="1"/>
  <c r="C15468" i="1"/>
  <c r="A14718" i="1"/>
  <c r="B14718" i="1"/>
  <c r="C14718" i="1"/>
  <c r="A14589" i="1"/>
  <c r="B14589" i="1"/>
  <c r="C14589" i="1"/>
  <c r="A3322" i="1"/>
  <c r="B3322" i="1"/>
  <c r="C3322" i="1"/>
  <c r="A3149" i="1"/>
  <c r="B3149" i="1"/>
  <c r="C3149" i="1"/>
  <c r="A3150" i="1"/>
  <c r="B3150" i="1"/>
  <c r="C3150" i="1"/>
  <c r="A3151" i="1"/>
  <c r="B3151" i="1"/>
  <c r="C3151" i="1"/>
  <c r="A3152" i="1"/>
  <c r="B3152" i="1"/>
  <c r="C3152" i="1"/>
  <c r="A3327" i="1"/>
  <c r="B3327" i="1"/>
  <c r="C3327" i="1"/>
  <c r="A14717" i="1"/>
  <c r="B14717" i="1"/>
  <c r="C14717" i="1"/>
  <c r="A14693" i="1"/>
  <c r="B14693" i="1"/>
  <c r="C14693" i="1"/>
  <c r="A23518" i="1"/>
  <c r="B23518" i="1"/>
  <c r="C23518" i="1"/>
  <c r="A23519" i="1"/>
  <c r="B23519" i="1"/>
  <c r="C23519" i="1"/>
  <c r="A23520" i="1"/>
  <c r="B23520" i="1"/>
  <c r="C23520" i="1"/>
  <c r="A23521" i="1"/>
  <c r="B23521" i="1"/>
  <c r="C23521" i="1"/>
  <c r="A16785" i="1"/>
  <c r="B16785" i="1"/>
  <c r="C16785" i="1"/>
  <c r="A5692" i="1"/>
  <c r="B5692" i="1"/>
  <c r="C5692" i="1"/>
  <c r="A5693" i="1"/>
  <c r="B5693" i="1"/>
  <c r="C5693" i="1"/>
  <c r="A15472" i="1"/>
  <c r="B15472" i="1"/>
  <c r="C15472" i="1"/>
  <c r="A15471" i="1"/>
  <c r="B15471" i="1"/>
  <c r="C15471" i="1"/>
  <c r="A5104" i="1"/>
  <c r="B5104" i="1"/>
  <c r="C5104" i="1"/>
  <c r="A5160" i="1"/>
  <c r="B5160" i="1"/>
  <c r="C5160" i="1"/>
  <c r="A11664" i="1"/>
  <c r="B11664" i="1"/>
  <c r="C11664" i="1"/>
  <c r="A11665" i="1"/>
  <c r="B11665" i="1"/>
  <c r="C11665" i="1"/>
  <c r="A11662" i="1"/>
  <c r="B11662" i="1"/>
  <c r="C11662" i="1"/>
  <c r="A11663" i="1"/>
  <c r="B11663" i="1"/>
  <c r="C11663" i="1"/>
  <c r="A12463" i="1"/>
  <c r="B12463" i="1"/>
  <c r="C12463" i="1"/>
  <c r="A11247" i="1"/>
  <c r="B11247" i="1"/>
  <c r="C11247" i="1"/>
  <c r="A11246" i="1"/>
  <c r="B11246" i="1"/>
  <c r="C11246" i="1"/>
  <c r="A20499" i="1"/>
  <c r="B20499" i="1"/>
  <c r="C20499" i="1"/>
  <c r="A2448" i="1"/>
  <c r="B2448" i="1"/>
  <c r="C2448" i="1"/>
  <c r="A24205" i="1"/>
  <c r="B24205" i="1"/>
  <c r="C24205" i="1"/>
  <c r="A8382" i="1"/>
  <c r="B8382" i="1"/>
  <c r="C8382" i="1"/>
  <c r="A14287" i="1"/>
  <c r="B14287" i="1"/>
  <c r="C14287" i="1"/>
  <c r="A12868" i="1"/>
  <c r="B12868" i="1"/>
  <c r="C12868" i="1"/>
  <c r="A12867" i="1"/>
  <c r="B12867" i="1"/>
  <c r="C12867" i="1"/>
  <c r="A13070" i="1"/>
  <c r="B13070" i="1"/>
  <c r="C13070" i="1"/>
  <c r="A13061" i="1"/>
  <c r="B13061" i="1"/>
  <c r="C13061" i="1"/>
  <c r="A13059" i="1"/>
  <c r="B13059" i="1"/>
  <c r="C13059" i="1"/>
  <c r="A13060" i="1"/>
  <c r="B13060" i="1"/>
  <c r="C13060" i="1"/>
  <c r="A13057" i="1"/>
  <c r="B13057" i="1"/>
  <c r="C13057" i="1"/>
  <c r="A13058" i="1"/>
  <c r="B13058" i="1"/>
  <c r="C13058" i="1"/>
  <c r="A10846" i="1"/>
  <c r="B10846" i="1"/>
  <c r="C10846" i="1"/>
  <c r="A13072" i="1"/>
  <c r="B13072" i="1"/>
  <c r="C13072" i="1"/>
  <c r="A12855" i="1"/>
  <c r="B12855" i="1"/>
  <c r="C12855" i="1"/>
  <c r="A12869" i="1"/>
  <c r="B12869" i="1"/>
  <c r="C12869" i="1"/>
  <c r="A12870" i="1"/>
  <c r="B12870" i="1"/>
  <c r="C12870" i="1"/>
  <c r="A12889" i="1"/>
  <c r="B12889" i="1"/>
  <c r="C12889" i="1"/>
  <c r="A7775" i="1"/>
  <c r="B7775" i="1"/>
  <c r="C7775" i="1"/>
  <c r="A7774" i="1"/>
  <c r="B7774" i="1"/>
  <c r="C7774" i="1"/>
  <c r="A7782" i="1"/>
  <c r="B7782" i="1"/>
  <c r="C7782" i="1"/>
  <c r="A7779" i="1"/>
  <c r="B7779" i="1"/>
  <c r="C7779" i="1"/>
  <c r="A7778" i="1"/>
  <c r="B7778" i="1"/>
  <c r="C7778" i="1"/>
  <c r="A22622" i="1"/>
  <c r="B22622" i="1"/>
  <c r="C22622" i="1"/>
  <c r="A7781" i="1"/>
  <c r="B7781" i="1"/>
  <c r="C7781" i="1"/>
  <c r="A22599" i="1"/>
  <c r="B22599" i="1"/>
  <c r="C22599" i="1"/>
  <c r="A9223" i="1"/>
  <c r="B9223" i="1"/>
  <c r="C9223" i="1"/>
  <c r="A2500" i="1"/>
  <c r="B2500" i="1"/>
  <c r="C2500" i="1"/>
  <c r="A10042" i="1"/>
  <c r="B10042" i="1"/>
  <c r="C10042" i="1"/>
  <c r="A3681" i="1"/>
  <c r="B3681" i="1"/>
  <c r="C3681" i="1"/>
  <c r="A11782" i="1"/>
  <c r="B11782" i="1"/>
  <c r="C11782" i="1"/>
  <c r="A16982" i="1"/>
  <c r="B16982" i="1"/>
  <c r="C16982" i="1"/>
  <c r="A13695" i="1"/>
  <c r="B13695" i="1"/>
  <c r="C13695" i="1"/>
  <c r="A13764" i="1"/>
  <c r="B13764" i="1"/>
  <c r="C13764" i="1"/>
  <c r="A11635" i="1"/>
  <c r="B11635" i="1"/>
  <c r="C11635" i="1"/>
  <c r="A13976" i="1"/>
  <c r="B13976" i="1"/>
  <c r="C13976" i="1"/>
  <c r="A13974" i="1"/>
  <c r="B13974" i="1"/>
  <c r="C13974" i="1"/>
  <c r="A13006" i="1"/>
  <c r="B13006" i="1"/>
  <c r="C13006" i="1"/>
  <c r="A13004" i="1"/>
  <c r="B13004" i="1"/>
  <c r="C13004" i="1"/>
  <c r="A13007" i="1"/>
  <c r="B13007" i="1"/>
  <c r="C13007" i="1"/>
  <c r="A13053" i="1"/>
  <c r="B13053" i="1"/>
  <c r="C13053" i="1"/>
  <c r="A13005" i="1"/>
  <c r="B13005" i="1"/>
  <c r="C13005" i="1"/>
  <c r="A13054" i="1"/>
  <c r="B13054" i="1"/>
  <c r="C13054" i="1"/>
  <c r="A13003" i="1"/>
  <c r="B13003" i="1"/>
  <c r="C13003" i="1"/>
  <c r="A13049" i="1"/>
  <c r="B13049" i="1"/>
  <c r="C13049" i="1"/>
  <c r="A13180" i="1"/>
  <c r="B13180" i="1"/>
  <c r="C13180" i="1"/>
  <c r="A13055" i="1"/>
  <c r="B13055" i="1"/>
  <c r="C13055" i="1"/>
  <c r="A13052" i="1"/>
  <c r="B13052" i="1"/>
  <c r="C13052" i="1"/>
  <c r="A13975" i="1"/>
  <c r="B13975" i="1"/>
  <c r="C13975" i="1"/>
  <c r="A13973" i="1"/>
  <c r="B13973" i="1"/>
  <c r="C13973" i="1"/>
  <c r="A14252" i="1"/>
  <c r="B14252" i="1"/>
  <c r="C14252" i="1"/>
  <c r="A14253" i="1"/>
  <c r="B14253" i="1"/>
  <c r="C14253" i="1"/>
  <c r="A2453" i="1"/>
  <c r="B2453" i="1"/>
  <c r="C2453" i="1"/>
  <c r="A2466" i="1"/>
  <c r="B2466" i="1"/>
  <c r="C2466" i="1"/>
  <c r="A2469" i="1"/>
  <c r="B2469" i="1"/>
  <c r="C2469" i="1"/>
  <c r="A14261" i="1"/>
  <c r="B14261" i="1"/>
  <c r="C14261" i="1"/>
  <c r="A14260" i="1"/>
  <c r="B14260" i="1"/>
  <c r="C14260" i="1"/>
  <c r="A14259" i="1"/>
  <c r="B14259" i="1"/>
  <c r="C14259" i="1"/>
  <c r="A13050" i="1"/>
  <c r="B13050" i="1"/>
  <c r="C13050" i="1"/>
  <c r="A13051" i="1"/>
  <c r="B13051" i="1"/>
  <c r="C13051" i="1"/>
  <c r="A12987" i="1"/>
  <c r="B12987" i="1"/>
  <c r="C12987" i="1"/>
  <c r="A12918" i="1"/>
  <c r="B12918" i="1"/>
  <c r="C12918" i="1"/>
  <c r="A12917" i="1"/>
  <c r="B12917" i="1"/>
  <c r="C12917" i="1"/>
  <c r="A12880" i="1"/>
  <c r="B12880" i="1"/>
  <c r="C12880" i="1"/>
  <c r="A12877" i="1"/>
  <c r="B12877" i="1"/>
  <c r="C12877" i="1"/>
  <c r="A12857" i="1"/>
  <c r="B12857" i="1"/>
  <c r="C12857" i="1"/>
  <c r="A12856" i="1"/>
  <c r="B12856" i="1"/>
  <c r="C12856" i="1"/>
  <c r="A14249" i="1"/>
  <c r="B14249" i="1"/>
  <c r="C14249" i="1"/>
  <c r="A2451" i="1"/>
  <c r="B2451" i="1"/>
  <c r="C2451" i="1"/>
  <c r="A2464" i="1"/>
  <c r="B2464" i="1"/>
  <c r="C2464" i="1"/>
  <c r="A2467" i="1"/>
  <c r="B2467" i="1"/>
  <c r="C2467" i="1"/>
  <c r="A13056" i="1"/>
  <c r="B13056" i="1"/>
  <c r="C13056" i="1"/>
  <c r="A13064" i="1"/>
  <c r="B13064" i="1"/>
  <c r="C13064" i="1"/>
  <c r="A13034" i="1"/>
  <c r="B13034" i="1"/>
  <c r="C13034" i="1"/>
  <c r="A19289" i="1"/>
  <c r="B19289" i="1"/>
  <c r="C19289" i="1"/>
  <c r="A19280" i="1"/>
  <c r="B19280" i="1"/>
  <c r="C19280" i="1"/>
  <c r="A19292" i="1"/>
  <c r="B19292" i="1"/>
  <c r="C19292" i="1"/>
  <c r="A19278" i="1"/>
  <c r="B19278" i="1"/>
  <c r="C19278" i="1"/>
  <c r="A19285" i="1"/>
  <c r="B19285" i="1"/>
  <c r="C19285" i="1"/>
  <c r="A19291" i="1"/>
  <c r="B19291" i="1"/>
  <c r="C19291" i="1"/>
  <c r="A19281" i="1"/>
  <c r="B19281" i="1"/>
  <c r="C19281" i="1"/>
  <c r="A19293" i="1"/>
  <c r="B19293" i="1"/>
  <c r="C19293" i="1"/>
  <c r="A19279" i="1"/>
  <c r="B19279" i="1"/>
  <c r="C19279" i="1"/>
  <c r="A19286" i="1"/>
  <c r="B19286" i="1"/>
  <c r="C19286" i="1"/>
  <c r="A19290" i="1"/>
  <c r="B19290" i="1"/>
  <c r="C19290" i="1"/>
  <c r="A19287" i="1"/>
  <c r="B19287" i="1"/>
  <c r="C19287" i="1"/>
  <c r="A19294" i="1"/>
  <c r="B19294" i="1"/>
  <c r="C19294" i="1"/>
  <c r="A24221" i="1"/>
  <c r="B24221" i="1"/>
  <c r="C24221" i="1"/>
  <c r="A24220" i="1"/>
  <c r="B24220" i="1"/>
  <c r="C24220" i="1"/>
  <c r="A24218" i="1"/>
  <c r="B24218" i="1"/>
  <c r="C24218" i="1"/>
  <c r="A19299" i="1"/>
  <c r="B19299" i="1"/>
  <c r="C19299" i="1"/>
  <c r="A19295" i="1"/>
  <c r="B19295" i="1"/>
  <c r="C19295" i="1"/>
  <c r="A19298" i="1"/>
  <c r="B19298" i="1"/>
  <c r="C19298" i="1"/>
  <c r="A25310" i="1"/>
  <c r="B25310" i="1"/>
  <c r="C25310" i="1"/>
  <c r="A21205" i="1"/>
  <c r="B21205" i="1"/>
  <c r="C21205" i="1"/>
  <c r="A6468" i="1"/>
  <c r="B6468" i="1"/>
  <c r="C6468" i="1"/>
  <c r="A19301" i="1"/>
  <c r="B19301" i="1"/>
  <c r="C19301" i="1"/>
  <c r="A19282" i="1"/>
  <c r="B19282" i="1"/>
  <c r="C19282" i="1"/>
  <c r="A19283" i="1"/>
  <c r="B19283" i="1"/>
  <c r="C19283" i="1"/>
  <c r="A21207" i="1"/>
  <c r="B21207" i="1"/>
  <c r="C21207" i="1"/>
  <c r="A19274" i="1"/>
  <c r="B19274" i="1"/>
  <c r="C19274" i="1"/>
  <c r="A19268" i="1"/>
  <c r="B19268" i="1"/>
  <c r="C19268" i="1"/>
  <c r="A19270" i="1"/>
  <c r="B19270" i="1"/>
  <c r="C19270" i="1"/>
  <c r="A19272" i="1"/>
  <c r="B19272" i="1"/>
  <c r="C19272" i="1"/>
  <c r="A19276" i="1"/>
  <c r="B19276" i="1"/>
  <c r="C19276" i="1"/>
  <c r="A19275" i="1"/>
  <c r="B19275" i="1"/>
  <c r="C19275" i="1"/>
  <c r="A19269" i="1"/>
  <c r="B19269" i="1"/>
  <c r="C19269" i="1"/>
  <c r="A19271" i="1"/>
  <c r="B19271" i="1"/>
  <c r="C19271" i="1"/>
  <c r="A19273" i="1"/>
  <c r="B19273" i="1"/>
  <c r="C19273" i="1"/>
  <c r="A19277" i="1"/>
  <c r="B19277" i="1"/>
  <c r="C19277" i="1"/>
  <c r="A19297" i="1"/>
  <c r="B19297" i="1"/>
  <c r="C19297" i="1"/>
  <c r="A19296" i="1"/>
  <c r="B19296" i="1"/>
  <c r="C19296" i="1"/>
  <c r="A24219" i="1"/>
  <c r="B24219" i="1"/>
  <c r="C24219" i="1"/>
  <c r="A24216" i="1"/>
  <c r="B24216" i="1"/>
  <c r="C24216" i="1"/>
  <c r="A24217" i="1"/>
  <c r="B24217" i="1"/>
  <c r="C24217" i="1"/>
  <c r="A24215" i="1"/>
  <c r="B24215" i="1"/>
  <c r="C24215" i="1"/>
  <c r="A19300" i="1"/>
  <c r="B19300" i="1"/>
  <c r="C19300" i="1"/>
  <c r="A19288" i="1"/>
  <c r="B19288" i="1"/>
  <c r="C19288" i="1"/>
  <c r="A19284" i="1"/>
  <c r="B19284" i="1"/>
  <c r="C19284" i="1"/>
  <c r="A2357" i="1"/>
  <c r="B2357" i="1"/>
  <c r="C2357" i="1"/>
  <c r="A2355" i="1"/>
  <c r="B2355" i="1"/>
  <c r="C2355" i="1"/>
  <c r="A22411" i="1"/>
  <c r="B22411" i="1"/>
  <c r="C22411" i="1"/>
  <c r="A14277" i="1"/>
  <c r="B14277" i="1"/>
  <c r="C14277" i="1"/>
  <c r="A14243" i="1"/>
  <c r="B14243" i="1"/>
  <c r="C14243" i="1"/>
  <c r="A7859" i="1"/>
  <c r="B7859" i="1"/>
  <c r="C7859" i="1"/>
  <c r="A7858" i="1"/>
  <c r="B7858" i="1"/>
  <c r="C7858" i="1"/>
  <c r="A7846" i="1"/>
  <c r="B7846" i="1"/>
  <c r="C7846" i="1"/>
  <c r="A7860" i="1"/>
  <c r="B7860" i="1"/>
  <c r="C7860" i="1"/>
  <c r="A7861" i="1"/>
  <c r="B7861" i="1"/>
  <c r="C7861" i="1"/>
  <c r="A10346" i="1"/>
  <c r="B10346" i="1"/>
  <c r="C10346" i="1"/>
  <c r="A13037" i="1"/>
  <c r="B13037" i="1"/>
  <c r="C13037" i="1"/>
  <c r="A2337" i="1"/>
  <c r="B2337" i="1"/>
  <c r="C2337" i="1"/>
  <c r="A18792" i="1"/>
  <c r="B18792" i="1"/>
  <c r="C18792" i="1"/>
  <c r="A19143" i="1"/>
  <c r="B19143" i="1"/>
  <c r="C19143" i="1"/>
  <c r="A13036" i="1"/>
  <c r="B13036" i="1"/>
  <c r="C13036" i="1"/>
  <c r="A16756" i="1"/>
  <c r="B16756" i="1"/>
  <c r="C16756" i="1"/>
  <c r="A10993" i="1"/>
  <c r="B10993" i="1"/>
  <c r="C10993" i="1"/>
  <c r="A17707" i="1"/>
  <c r="B17707" i="1"/>
  <c r="C17707" i="1"/>
  <c r="A19368" i="1"/>
  <c r="B19368" i="1"/>
  <c r="C19368" i="1"/>
  <c r="A2403" i="1"/>
  <c r="B2403" i="1"/>
  <c r="C2403" i="1"/>
  <c r="A10987" i="1"/>
  <c r="B10987" i="1"/>
  <c r="C10987" i="1"/>
  <c r="A22277" i="1"/>
  <c r="B22277" i="1"/>
  <c r="C22277" i="1"/>
  <c r="A22275" i="1"/>
  <c r="B22275" i="1"/>
  <c r="C22275" i="1"/>
  <c r="A22279" i="1"/>
  <c r="B22279" i="1"/>
  <c r="C22279" i="1"/>
  <c r="A11449" i="1"/>
  <c r="B11449" i="1"/>
  <c r="C11449" i="1"/>
  <c r="A11453" i="1"/>
  <c r="B11453" i="1"/>
  <c r="C11453" i="1"/>
  <c r="A22278" i="1"/>
  <c r="B22278" i="1"/>
  <c r="C22278" i="1"/>
  <c r="A22276" i="1"/>
  <c r="B22276" i="1"/>
  <c r="C22276" i="1"/>
  <c r="A10983" i="1"/>
  <c r="B10983" i="1"/>
  <c r="C10983" i="1"/>
  <c r="A17710" i="1"/>
  <c r="B17710" i="1"/>
  <c r="C17710" i="1"/>
  <c r="A19200" i="1"/>
  <c r="B19200" i="1"/>
  <c r="C19200" i="1"/>
  <c r="A20126" i="1"/>
  <c r="B20126" i="1"/>
  <c r="C20126" i="1"/>
  <c r="A10989" i="1"/>
  <c r="B10989" i="1"/>
  <c r="C10989" i="1"/>
  <c r="A5094" i="1"/>
  <c r="B5094" i="1"/>
  <c r="C5094" i="1"/>
  <c r="A5092" i="1"/>
  <c r="B5092" i="1"/>
  <c r="C5092" i="1"/>
  <c r="A5093" i="1"/>
  <c r="B5093" i="1"/>
  <c r="C5093" i="1"/>
  <c r="A5091" i="1"/>
  <c r="B5091" i="1"/>
  <c r="C5091" i="1"/>
  <c r="A5087" i="1"/>
  <c r="B5087" i="1"/>
  <c r="C5087" i="1"/>
  <c r="A10985" i="1"/>
  <c r="B10985" i="1"/>
  <c r="C10985" i="1"/>
  <c r="A5089" i="1"/>
  <c r="B5089" i="1"/>
  <c r="C5089" i="1"/>
  <c r="A4477" i="1"/>
  <c r="B4477" i="1"/>
  <c r="C4477" i="1"/>
  <c r="A4474" i="1"/>
  <c r="B4474" i="1"/>
  <c r="C4474" i="1"/>
  <c r="A4476" i="1"/>
  <c r="B4476" i="1"/>
  <c r="C4476" i="1"/>
  <c r="A16755" i="1"/>
  <c r="B16755" i="1"/>
  <c r="C16755" i="1"/>
  <c r="A8775" i="1"/>
  <c r="B8775" i="1"/>
  <c r="C8775" i="1"/>
  <c r="A8772" i="1"/>
  <c r="B8772" i="1"/>
  <c r="C8772" i="1"/>
  <c r="A8770" i="1"/>
  <c r="B8770" i="1"/>
  <c r="C8770" i="1"/>
  <c r="A8773" i="1"/>
  <c r="B8773" i="1"/>
  <c r="C8773" i="1"/>
  <c r="A24153" i="1"/>
  <c r="B24153" i="1"/>
  <c r="C24153" i="1"/>
  <c r="A8377" i="1"/>
  <c r="B8377" i="1"/>
  <c r="C8377" i="1"/>
  <c r="A21127" i="1"/>
  <c r="B21127" i="1"/>
  <c r="C21127" i="1"/>
  <c r="A21131" i="1"/>
  <c r="B21131" i="1"/>
  <c r="C21131" i="1"/>
  <c r="A21118" i="1"/>
  <c r="B21118" i="1"/>
  <c r="C21118" i="1"/>
  <c r="A21124" i="1"/>
  <c r="B21124" i="1"/>
  <c r="C21124" i="1"/>
  <c r="A21120" i="1"/>
  <c r="B21120" i="1"/>
  <c r="C21120" i="1"/>
  <c r="A21125" i="1"/>
  <c r="B21125" i="1"/>
  <c r="C21125" i="1"/>
  <c r="A21129" i="1"/>
  <c r="B21129" i="1"/>
  <c r="C21129" i="1"/>
  <c r="A21126" i="1"/>
  <c r="B21126" i="1"/>
  <c r="C21126" i="1"/>
  <c r="A21130" i="1"/>
  <c r="B21130" i="1"/>
  <c r="C21130" i="1"/>
  <c r="A21117" i="1"/>
  <c r="B21117" i="1"/>
  <c r="C21117" i="1"/>
  <c r="A25667" i="1"/>
  <c r="B25667" i="1"/>
  <c r="C25667" i="1"/>
  <c r="A21123" i="1"/>
  <c r="B21123" i="1"/>
  <c r="C21123" i="1"/>
  <c r="A21119" i="1"/>
  <c r="B21119" i="1"/>
  <c r="C21119" i="1"/>
  <c r="A21575" i="1"/>
  <c r="B21575" i="1"/>
  <c r="C21575" i="1"/>
  <c r="A21576" i="1"/>
  <c r="B21576" i="1"/>
  <c r="C21576" i="1"/>
  <c r="A21574" i="1"/>
  <c r="B21574" i="1"/>
  <c r="C21574" i="1"/>
  <c r="A21573" i="1"/>
  <c r="B21573" i="1"/>
  <c r="C21573" i="1"/>
  <c r="A636" i="1"/>
  <c r="B636" i="1"/>
  <c r="C636" i="1"/>
  <c r="A637" i="1"/>
  <c r="B637" i="1"/>
  <c r="C637" i="1"/>
  <c r="A638" i="1"/>
  <c r="B638" i="1"/>
  <c r="C638" i="1"/>
  <c r="A495" i="1"/>
  <c r="B495" i="1"/>
  <c r="C495" i="1"/>
  <c r="A16753" i="1"/>
  <c r="B16753" i="1"/>
  <c r="C16753" i="1"/>
  <c r="A490" i="1"/>
  <c r="B490" i="1"/>
  <c r="C490" i="1"/>
  <c r="A493" i="1"/>
  <c r="B493" i="1"/>
  <c r="C493" i="1"/>
  <c r="A21114" i="1"/>
  <c r="B21114" i="1"/>
  <c r="C21114" i="1"/>
  <c r="A21113" i="1"/>
  <c r="B21113" i="1"/>
  <c r="C21113" i="1"/>
  <c r="A21112" i="1"/>
  <c r="B21112" i="1"/>
  <c r="C21112" i="1"/>
  <c r="A21111" i="1"/>
  <c r="B21111" i="1"/>
  <c r="C21111" i="1"/>
  <c r="A21116" i="1"/>
  <c r="B21116" i="1"/>
  <c r="C21116" i="1"/>
  <c r="A21115" i="1"/>
  <c r="B21115" i="1"/>
  <c r="C21115" i="1"/>
  <c r="A21133" i="1"/>
  <c r="B21133" i="1"/>
  <c r="C21133" i="1"/>
  <c r="A21134" i="1"/>
  <c r="B21134" i="1"/>
  <c r="C21134" i="1"/>
  <c r="A10503" i="1"/>
  <c r="B10503" i="1"/>
  <c r="C10503" i="1"/>
  <c r="A18879" i="1"/>
  <c r="B18879" i="1"/>
  <c r="C18879" i="1"/>
  <c r="A22920" i="1"/>
  <c r="B22920" i="1"/>
  <c r="C22920" i="1"/>
  <c r="A19114" i="1"/>
  <c r="B19114" i="1"/>
  <c r="C19114" i="1"/>
  <c r="A12164" i="1"/>
  <c r="B12164" i="1"/>
  <c r="C12164" i="1"/>
  <c r="A10874" i="1"/>
  <c r="B10874" i="1"/>
  <c r="C10874" i="1"/>
  <c r="A10969" i="1"/>
  <c r="B10969" i="1"/>
  <c r="C10969" i="1"/>
  <c r="A10967" i="1"/>
  <c r="B10967" i="1"/>
  <c r="C10967" i="1"/>
  <c r="A10968" i="1"/>
  <c r="B10968" i="1"/>
  <c r="C10968" i="1"/>
  <c r="A10971" i="1"/>
  <c r="B10971" i="1"/>
  <c r="C10971" i="1"/>
  <c r="A2711" i="1"/>
  <c r="B2711" i="1"/>
  <c r="C2711" i="1"/>
  <c r="A10970" i="1"/>
  <c r="B10970" i="1"/>
  <c r="C10970" i="1"/>
  <c r="A22768" i="1"/>
  <c r="C22768" i="1"/>
  <c r="A16763" i="1"/>
  <c r="B16763" i="1"/>
  <c r="C16763" i="1"/>
  <c r="A16764" i="1"/>
  <c r="B16764" i="1"/>
  <c r="C16764" i="1"/>
  <c r="A21346" i="1"/>
  <c r="B21346" i="1"/>
  <c r="C21346" i="1"/>
  <c r="A17534" i="1"/>
  <c r="B17534" i="1"/>
  <c r="C17534" i="1"/>
  <c r="A16761" i="1"/>
  <c r="B16761" i="1"/>
  <c r="C16761" i="1"/>
  <c r="A11613" i="1"/>
  <c r="B11613" i="1"/>
  <c r="C11613" i="1"/>
  <c r="A18486" i="1"/>
  <c r="B18486" i="1"/>
  <c r="C18486" i="1"/>
  <c r="A2709" i="1"/>
  <c r="B2709" i="1"/>
  <c r="C2709" i="1"/>
  <c r="A474" i="1"/>
  <c r="B474" i="1"/>
  <c r="C474" i="1"/>
  <c r="A473" i="1"/>
  <c r="B473" i="1"/>
  <c r="C473" i="1"/>
  <c r="A472" i="1"/>
  <c r="B472" i="1"/>
  <c r="C472" i="1"/>
  <c r="A471" i="1"/>
  <c r="B471" i="1"/>
  <c r="C471" i="1"/>
  <c r="A470" i="1"/>
  <c r="B470" i="1"/>
  <c r="C470" i="1"/>
  <c r="A469" i="1"/>
  <c r="B469" i="1"/>
  <c r="C469" i="1"/>
  <c r="A10864" i="1"/>
  <c r="B10864" i="1"/>
  <c r="C10864" i="1"/>
  <c r="A10856" i="1"/>
  <c r="B10856" i="1"/>
  <c r="C10856" i="1"/>
  <c r="A18485" i="1"/>
  <c r="B18485" i="1"/>
  <c r="C18485" i="1"/>
  <c r="A18487" i="1"/>
  <c r="B18487" i="1"/>
  <c r="C18487" i="1"/>
  <c r="A2450" i="1"/>
  <c r="B2450" i="1"/>
  <c r="C2450" i="1"/>
  <c r="A2710" i="1"/>
  <c r="B2710" i="1"/>
  <c r="C2710" i="1"/>
  <c r="A19363" i="1"/>
  <c r="B19363" i="1"/>
  <c r="C19363" i="1"/>
  <c r="A19364" i="1"/>
  <c r="B19364" i="1"/>
  <c r="C19364" i="1"/>
  <c r="A19365" i="1"/>
  <c r="B19365" i="1"/>
  <c r="C19365" i="1"/>
  <c r="A17709" i="1"/>
  <c r="B17709" i="1"/>
  <c r="C17709" i="1"/>
  <c r="A11659" i="1"/>
  <c r="B11659" i="1"/>
  <c r="C11659" i="1"/>
  <c r="A11660" i="1"/>
  <c r="B11660" i="1"/>
  <c r="C11660" i="1"/>
  <c r="A198" i="1"/>
  <c r="B198" i="1"/>
  <c r="C198" i="1"/>
  <c r="A8849" i="1"/>
  <c r="B8849" i="1"/>
  <c r="C8849" i="1"/>
  <c r="A8848" i="1"/>
  <c r="B8848" i="1"/>
  <c r="C8848" i="1"/>
  <c r="A21398" i="1"/>
  <c r="B21398" i="1"/>
  <c r="C21398" i="1"/>
  <c r="A2707" i="1"/>
  <c r="B2707" i="1"/>
  <c r="C2707" i="1"/>
  <c r="A549" i="1"/>
  <c r="B549" i="1"/>
  <c r="C549" i="1"/>
  <c r="A19358" i="1"/>
  <c r="B19358" i="1"/>
  <c r="C19358" i="1"/>
  <c r="A146" i="1"/>
  <c r="B146" i="1"/>
  <c r="C146" i="1"/>
  <c r="A8852" i="1"/>
  <c r="B8852" i="1"/>
  <c r="C8852" i="1"/>
  <c r="A8851" i="1"/>
  <c r="B8851" i="1"/>
  <c r="C8851" i="1"/>
  <c r="A7833" i="1"/>
  <c r="B7833" i="1"/>
  <c r="C7833" i="1"/>
  <c r="A7832" i="1"/>
  <c r="B7832" i="1"/>
  <c r="C7832" i="1"/>
  <c r="A8850" i="1"/>
  <c r="B8850" i="1"/>
  <c r="C8850" i="1"/>
  <c r="A21400" i="1"/>
  <c r="B21400" i="1"/>
  <c r="C21400" i="1"/>
  <c r="A6736" i="1"/>
  <c r="B6736" i="1"/>
  <c r="C6736" i="1"/>
  <c r="A2706" i="1"/>
  <c r="B2706" i="1"/>
  <c r="C2706" i="1"/>
  <c r="A11716" i="1"/>
  <c r="B11716" i="1"/>
  <c r="C11716" i="1"/>
  <c r="A11714" i="1"/>
  <c r="B11714" i="1"/>
  <c r="C11714" i="1"/>
  <c r="A11717" i="1"/>
  <c r="B11717" i="1"/>
  <c r="C11717" i="1"/>
  <c r="A2721" i="1"/>
  <c r="B2721" i="1"/>
  <c r="C2721" i="1"/>
  <c r="A18460" i="1"/>
  <c r="B18460" i="1"/>
  <c r="C18460" i="1"/>
  <c r="A18916" i="1"/>
  <c r="B18916" i="1"/>
  <c r="C18916" i="1"/>
  <c r="A18917" i="1"/>
  <c r="B18917" i="1"/>
  <c r="C18917" i="1"/>
  <c r="A9262" i="1"/>
  <c r="B9262" i="1"/>
  <c r="C9262" i="1"/>
  <c r="A21499" i="1"/>
  <c r="B21499" i="1"/>
  <c r="C21499" i="1"/>
  <c r="A10506" i="1"/>
  <c r="B10506" i="1"/>
  <c r="C10506" i="1"/>
  <c r="A10505" i="1"/>
  <c r="B10505" i="1"/>
  <c r="C10505" i="1"/>
  <c r="A10509" i="1"/>
  <c r="B10509" i="1"/>
  <c r="C10509" i="1"/>
  <c r="A10510" i="1"/>
  <c r="B10510" i="1"/>
  <c r="C10510" i="1"/>
  <c r="A10528" i="1"/>
  <c r="B10528" i="1"/>
  <c r="C10528" i="1"/>
  <c r="A2719" i="1"/>
  <c r="B2719" i="1"/>
  <c r="C2719" i="1"/>
  <c r="A10529" i="1"/>
  <c r="B10529" i="1"/>
  <c r="C10529" i="1"/>
  <c r="A10530" i="1"/>
  <c r="B10530" i="1"/>
  <c r="C10530" i="1"/>
  <c r="A10531" i="1"/>
  <c r="B10531" i="1"/>
  <c r="C10531" i="1"/>
  <c r="A10507" i="1"/>
  <c r="B10507" i="1"/>
  <c r="C10507" i="1"/>
  <c r="A10512" i="1"/>
  <c r="B10512" i="1"/>
  <c r="C10512" i="1"/>
  <c r="A10515" i="1"/>
  <c r="B10515" i="1"/>
  <c r="C10515" i="1"/>
  <c r="A10518" i="1"/>
  <c r="B10518" i="1"/>
  <c r="C10518" i="1"/>
  <c r="A18914" i="1"/>
  <c r="B18914" i="1"/>
  <c r="C18914" i="1"/>
  <c r="A18915" i="1"/>
  <c r="B18915" i="1"/>
  <c r="C18915" i="1"/>
  <c r="A4725" i="1"/>
  <c r="B4725" i="1"/>
  <c r="C4725" i="1"/>
  <c r="A2720" i="1"/>
  <c r="B2720" i="1"/>
  <c r="C2720" i="1"/>
  <c r="A4716" i="1"/>
  <c r="B4716" i="1"/>
  <c r="C4716" i="1"/>
  <c r="A7918" i="1"/>
  <c r="B7918" i="1"/>
  <c r="C7918" i="1"/>
  <c r="A7920" i="1"/>
  <c r="B7920" i="1"/>
  <c r="C7920" i="1"/>
  <c r="A7917" i="1"/>
  <c r="B7917" i="1"/>
  <c r="C7917" i="1"/>
  <c r="A8671" i="1"/>
  <c r="B8671" i="1"/>
  <c r="C8671" i="1"/>
  <c r="A9218" i="1"/>
  <c r="B9218" i="1"/>
  <c r="C9218" i="1"/>
  <c r="A6746" i="1"/>
  <c r="B6746" i="1"/>
  <c r="C6746" i="1"/>
  <c r="A12687" i="1"/>
  <c r="B12687" i="1"/>
  <c r="C12687" i="1"/>
  <c r="A4069" i="1"/>
  <c r="B4069" i="1"/>
  <c r="C4069" i="1"/>
  <c r="A12101" i="1"/>
  <c r="B12101" i="1"/>
  <c r="C12101" i="1"/>
  <c r="A2712" i="1"/>
  <c r="B2712" i="1"/>
  <c r="C2712" i="1"/>
  <c r="A18477" i="1"/>
  <c r="B18477" i="1"/>
  <c r="C18477" i="1"/>
  <c r="A18537" i="1"/>
  <c r="B18537" i="1"/>
  <c r="C18537" i="1"/>
  <c r="A18525" i="1"/>
  <c r="B18525" i="1"/>
  <c r="C18525" i="1"/>
  <c r="A18526" i="1"/>
  <c r="B18526" i="1"/>
  <c r="C18526" i="1"/>
  <c r="A18505" i="1"/>
  <c r="B18505" i="1"/>
  <c r="C18505" i="1"/>
  <c r="A2722" i="1"/>
  <c r="B2722" i="1"/>
  <c r="C2722" i="1"/>
  <c r="A7830" i="1"/>
  <c r="B7830" i="1"/>
  <c r="C7830" i="1"/>
  <c r="A11077" i="1"/>
  <c r="B11077" i="1"/>
  <c r="C11077" i="1"/>
  <c r="A11076" i="1"/>
  <c r="B11076" i="1"/>
  <c r="C11076" i="1"/>
  <c r="A16754" i="1"/>
  <c r="B16754" i="1"/>
  <c r="C16754" i="1"/>
  <c r="A21652" i="1"/>
  <c r="B21652" i="1"/>
  <c r="C21652" i="1"/>
  <c r="A21661" i="1"/>
  <c r="B21661" i="1"/>
  <c r="C21661" i="1"/>
  <c r="A21660" i="1"/>
  <c r="B21660" i="1"/>
  <c r="C21660" i="1"/>
  <c r="A18918" i="1"/>
  <c r="B18918" i="1"/>
  <c r="C18918" i="1"/>
  <c r="A21109" i="1"/>
  <c r="B21109" i="1"/>
  <c r="C21109" i="1"/>
  <c r="A21107" i="1"/>
  <c r="B21107" i="1"/>
  <c r="C21107" i="1"/>
  <c r="A18451" i="1"/>
  <c r="B18451" i="1"/>
  <c r="C18451" i="1"/>
  <c r="A21122" i="1"/>
  <c r="B21122" i="1"/>
  <c r="C21122" i="1"/>
  <c r="A11075" i="1"/>
  <c r="B11075" i="1"/>
  <c r="C11075" i="1"/>
  <c r="A21135" i="1"/>
  <c r="B21135" i="1"/>
  <c r="C21135" i="1"/>
  <c r="A7824" i="1"/>
  <c r="B7824" i="1"/>
  <c r="C7824" i="1"/>
  <c r="A7823" i="1"/>
  <c r="B7823" i="1"/>
  <c r="C7823" i="1"/>
  <c r="A8862" i="1"/>
  <c r="B8862" i="1"/>
  <c r="C8862" i="1"/>
  <c r="A12618" i="1"/>
  <c r="B12618" i="1"/>
  <c r="C12618" i="1"/>
  <c r="A12617" i="1"/>
  <c r="B12617" i="1"/>
  <c r="C12617" i="1"/>
  <c r="A21108" i="1"/>
  <c r="B21108" i="1"/>
  <c r="C21108" i="1"/>
  <c r="A21110" i="1"/>
  <c r="B21110" i="1"/>
  <c r="C21110" i="1"/>
  <c r="A8745" i="1"/>
  <c r="B8745" i="1"/>
  <c r="C8745" i="1"/>
  <c r="A21121" i="1"/>
  <c r="B21121" i="1"/>
  <c r="C21121" i="1"/>
  <c r="A21128" i="1"/>
  <c r="B21128" i="1"/>
  <c r="C21128" i="1"/>
  <c r="A21132" i="1"/>
  <c r="B21132" i="1"/>
  <c r="C21132" i="1"/>
  <c r="A9764" i="1"/>
  <c r="B9764" i="1"/>
  <c r="C9764" i="1"/>
  <c r="A10875" i="1"/>
  <c r="B10875" i="1"/>
  <c r="C10875" i="1"/>
  <c r="A10977" i="1"/>
  <c r="B10977" i="1"/>
  <c r="C10977" i="1"/>
  <c r="A10855" i="1"/>
  <c r="B10855" i="1"/>
  <c r="C10855" i="1"/>
  <c r="A18991" i="1"/>
  <c r="B18991" i="1"/>
  <c r="C18991" i="1"/>
  <c r="A2405" i="1"/>
  <c r="B2405" i="1"/>
  <c r="C2405" i="1"/>
  <c r="A2708" i="1"/>
  <c r="B2708" i="1"/>
  <c r="C2708" i="1"/>
  <c r="A18992" i="1"/>
  <c r="B18992" i="1"/>
  <c r="C18992" i="1"/>
  <c r="A2718" i="1"/>
  <c r="B2718" i="1"/>
  <c r="C2718" i="1"/>
  <c r="A2717" i="1"/>
  <c r="B2717" i="1"/>
  <c r="C2717" i="1"/>
  <c r="A2716" i="1"/>
  <c r="B2716" i="1"/>
  <c r="C2716" i="1"/>
  <c r="A2714" i="1"/>
  <c r="B2714" i="1"/>
  <c r="C2714" i="1"/>
  <c r="A2715" i="1"/>
  <c r="B2715" i="1"/>
  <c r="C2715" i="1"/>
  <c r="A2713" i="1"/>
  <c r="B2713" i="1"/>
  <c r="C2713" i="1"/>
  <c r="A10990" i="1"/>
  <c r="B10990" i="1"/>
  <c r="C10990" i="1"/>
  <c r="A10986" i="1"/>
  <c r="B10986" i="1"/>
  <c r="C10986" i="1"/>
  <c r="A8381" i="1"/>
  <c r="B8381" i="1"/>
  <c r="C8381" i="1"/>
  <c r="A2483" i="1"/>
  <c r="B2483" i="1"/>
  <c r="C2483" i="1"/>
  <c r="A10988" i="1"/>
  <c r="B10988" i="1"/>
  <c r="C10988" i="1"/>
  <c r="A10984" i="1"/>
  <c r="B10984" i="1"/>
  <c r="C10984" i="1"/>
  <c r="A13173" i="1"/>
  <c r="B13173" i="1"/>
  <c r="C13173" i="1"/>
  <c r="A10578" i="1"/>
  <c r="B10578" i="1"/>
  <c r="C10578" i="1"/>
  <c r="A4483" i="1"/>
  <c r="B4483" i="1"/>
  <c r="C4483" i="1"/>
  <c r="A4481" i="1"/>
  <c r="B4481" i="1"/>
  <c r="C4481" i="1"/>
  <c r="A4482" i="1"/>
  <c r="B4482" i="1"/>
  <c r="C4482" i="1"/>
  <c r="A5090" i="1"/>
  <c r="B5090" i="1"/>
  <c r="C5090" i="1"/>
  <c r="A5086" i="1"/>
  <c r="B5086" i="1"/>
  <c r="C5086" i="1"/>
  <c r="A5088" i="1"/>
  <c r="B5088" i="1"/>
  <c r="C5088" i="1"/>
  <c r="A18969" i="1"/>
  <c r="B18969" i="1"/>
  <c r="C18969" i="1"/>
  <c r="A679" i="1"/>
  <c r="B679" i="1"/>
  <c r="C679" i="1"/>
  <c r="A14271" i="1"/>
  <c r="B14271" i="1"/>
  <c r="C14271" i="1"/>
  <c r="A13174" i="1"/>
  <c r="B13174" i="1"/>
  <c r="C13174" i="1"/>
  <c r="A13157" i="1"/>
  <c r="B13157" i="1"/>
  <c r="C13157" i="1"/>
  <c r="A2385" i="1"/>
  <c r="B2385" i="1"/>
  <c r="C2385" i="1"/>
  <c r="A2391" i="1"/>
  <c r="B2391" i="1"/>
  <c r="C2391" i="1"/>
  <c r="A2388" i="1"/>
  <c r="B2388" i="1"/>
  <c r="C2388" i="1"/>
  <c r="A13160" i="1"/>
  <c r="B13160" i="1"/>
  <c r="C13160" i="1"/>
  <c r="A13158" i="1"/>
  <c r="B13158" i="1"/>
  <c r="C13158" i="1"/>
  <c r="A20131" i="1"/>
  <c r="B20131" i="1"/>
  <c r="C20131" i="1"/>
  <c r="A20136" i="1"/>
  <c r="B20136" i="1"/>
  <c r="C20136" i="1"/>
  <c r="A13109" i="1"/>
  <c r="B13109" i="1"/>
  <c r="C13109" i="1"/>
  <c r="A22285" i="1"/>
  <c r="B22285" i="1"/>
  <c r="C22285" i="1"/>
  <c r="A11312" i="1"/>
  <c r="B11312" i="1"/>
  <c r="C11312" i="1"/>
  <c r="A5197" i="1"/>
  <c r="B5197" i="1"/>
  <c r="C5197" i="1"/>
  <c r="A24072" i="1"/>
  <c r="B24072" i="1"/>
  <c r="C24072" i="1"/>
  <c r="A19824" i="1"/>
  <c r="B19824" i="1"/>
  <c r="C19824" i="1"/>
  <c r="A17886" i="1"/>
  <c r="B17886" i="1"/>
  <c r="C17886" i="1"/>
  <c r="A19793" i="1"/>
  <c r="B19793" i="1"/>
  <c r="C19793" i="1"/>
  <c r="A11374" i="1"/>
  <c r="B11374" i="1"/>
  <c r="C11374" i="1"/>
  <c r="A25371" i="1"/>
  <c r="B25371" i="1"/>
  <c r="C25371" i="1"/>
  <c r="A23840" i="1"/>
  <c r="B23840" i="1"/>
  <c r="C23840" i="1"/>
  <c r="A6793" i="1"/>
  <c r="B6793" i="1"/>
  <c r="C6793" i="1"/>
  <c r="A23927" i="1"/>
  <c r="B23927" i="1"/>
  <c r="C23927" i="1"/>
  <c r="A16442" i="1"/>
  <c r="B16442" i="1"/>
  <c r="C16442" i="1"/>
  <c r="A24769" i="1"/>
  <c r="B24769" i="1"/>
  <c r="C24769" i="1"/>
  <c r="A19732" i="1"/>
  <c r="B19732" i="1"/>
  <c r="C19732" i="1"/>
  <c r="A4246" i="1"/>
  <c r="B4246" i="1"/>
  <c r="C4246" i="1"/>
  <c r="A22003" i="1"/>
  <c r="B22003" i="1"/>
  <c r="C22003" i="1"/>
  <c r="A8315" i="1"/>
  <c r="B8315" i="1"/>
  <c r="C8315" i="1"/>
  <c r="A6615" i="1"/>
  <c r="B6615" i="1"/>
  <c r="C6615" i="1"/>
  <c r="A4467" i="1"/>
  <c r="B4467" i="1"/>
  <c r="C4467" i="1"/>
  <c r="A20814" i="1"/>
  <c r="B20814" i="1"/>
  <c r="C20814" i="1"/>
  <c r="A6330" i="1"/>
  <c r="B6330" i="1"/>
  <c r="C6330" i="1"/>
  <c r="A18153" i="1"/>
  <c r="B18153" i="1"/>
  <c r="C18153" i="1"/>
  <c r="A321" i="1"/>
  <c r="B321" i="1"/>
  <c r="C321" i="1"/>
  <c r="A24838" i="1"/>
  <c r="B24838" i="1"/>
  <c r="C24838" i="1"/>
  <c r="A3573" i="1"/>
  <c r="B3573" i="1"/>
  <c r="C3573" i="1"/>
  <c r="A3575" i="1"/>
  <c r="B3575" i="1"/>
  <c r="C3575" i="1"/>
  <c r="A21011" i="1"/>
  <c r="B21011" i="1"/>
  <c r="C21011" i="1"/>
  <c r="A325" i="1"/>
  <c r="B325" i="1"/>
  <c r="C325" i="1"/>
  <c r="A25748" i="1"/>
  <c r="B25748" i="1"/>
  <c r="C25748" i="1"/>
  <c r="A14494" i="1"/>
  <c r="B14494" i="1"/>
  <c r="C14494" i="1"/>
  <c r="A14496" i="1"/>
  <c r="B14496" i="1"/>
  <c r="C14496" i="1"/>
  <c r="A3500" i="1"/>
  <c r="B3500" i="1"/>
  <c r="C3500" i="1"/>
  <c r="A23197" i="1"/>
  <c r="B23197" i="1"/>
  <c r="C23197" i="1"/>
  <c r="A8319" i="1"/>
  <c r="B8319" i="1"/>
  <c r="C8319" i="1"/>
  <c r="A11174" i="1"/>
  <c r="B11174" i="1"/>
  <c r="C11174" i="1"/>
  <c r="A11172" i="1"/>
  <c r="B11172" i="1"/>
  <c r="C11172" i="1"/>
  <c r="A11176" i="1"/>
  <c r="B11176" i="1"/>
  <c r="C11176" i="1"/>
  <c r="A11195" i="1"/>
  <c r="B11195" i="1"/>
  <c r="C11195" i="1"/>
  <c r="A17098" i="1"/>
  <c r="B17098" i="1"/>
  <c r="C17098" i="1"/>
  <c r="A11192" i="1"/>
  <c r="B11192" i="1"/>
  <c r="C11192" i="1"/>
  <c r="A11208" i="1"/>
  <c r="B11208" i="1"/>
  <c r="C11208" i="1"/>
  <c r="A11296" i="1"/>
  <c r="B11296" i="1"/>
  <c r="C11296" i="1"/>
  <c r="A23963" i="1"/>
  <c r="B23963" i="1"/>
  <c r="C23963" i="1"/>
  <c r="A19370" i="1"/>
  <c r="B19370" i="1"/>
  <c r="C19370" i="1"/>
  <c r="A11294" i="1"/>
  <c r="B11294" i="1"/>
  <c r="C11294" i="1"/>
  <c r="A11190" i="1"/>
  <c r="B11190" i="1"/>
  <c r="C11190" i="1"/>
  <c r="A11179" i="1"/>
  <c r="B11179" i="1"/>
  <c r="C11179" i="1"/>
  <c r="A16015" i="1"/>
  <c r="B16015" i="1"/>
  <c r="C16015" i="1"/>
  <c r="A326" i="1"/>
  <c r="B326" i="1"/>
  <c r="C326" i="1"/>
  <c r="A3427" i="1"/>
  <c r="B3427" i="1"/>
  <c r="C3427" i="1"/>
  <c r="A8297" i="1"/>
  <c r="B8297" i="1"/>
  <c r="C8297" i="1"/>
  <c r="A8296" i="1"/>
  <c r="B8296" i="1"/>
  <c r="C8296" i="1"/>
  <c r="A16440" i="1"/>
  <c r="B16440" i="1"/>
  <c r="C16440" i="1"/>
  <c r="A16439" i="1"/>
  <c r="B16439" i="1"/>
  <c r="C16439" i="1"/>
  <c r="A3379" i="1"/>
  <c r="B3379" i="1"/>
  <c r="C3379" i="1"/>
  <c r="A11358" i="1"/>
  <c r="B11358" i="1"/>
  <c r="C11358" i="1"/>
  <c r="A3602" i="1"/>
  <c r="B3602" i="1"/>
  <c r="C3602" i="1"/>
  <c r="A456" i="1"/>
  <c r="B456" i="1"/>
  <c r="C456" i="1"/>
  <c r="A23848" i="1"/>
  <c r="B23848" i="1"/>
  <c r="C23848" i="1"/>
  <c r="A1959" i="1"/>
  <c r="B1959" i="1"/>
  <c r="C1959" i="1"/>
  <c r="A461" i="1"/>
  <c r="B461" i="1"/>
  <c r="C461" i="1"/>
  <c r="A462" i="1"/>
  <c r="B462" i="1"/>
  <c r="C462" i="1"/>
  <c r="A22755" i="1"/>
  <c r="B22755" i="1"/>
  <c r="C22755" i="1"/>
  <c r="A18927" i="1"/>
  <c r="B18927" i="1"/>
  <c r="C18927" i="1"/>
  <c r="A18924" i="1"/>
  <c r="B18924" i="1"/>
  <c r="C18924" i="1"/>
  <c r="A17772" i="1"/>
  <c r="B17772" i="1"/>
  <c r="C17772" i="1"/>
  <c r="A17767" i="1"/>
  <c r="B17767" i="1"/>
  <c r="C17767" i="1"/>
  <c r="A1365" i="1"/>
  <c r="B1365" i="1"/>
  <c r="C1365" i="1"/>
  <c r="A19727" i="1"/>
  <c r="B19727" i="1"/>
  <c r="C19727" i="1"/>
  <c r="A1548" i="1"/>
  <c r="B1548" i="1"/>
  <c r="C1548" i="1"/>
  <c r="A17154" i="1"/>
  <c r="B17154" i="1"/>
  <c r="C17154" i="1"/>
  <c r="A11221" i="1"/>
  <c r="B11221" i="1"/>
  <c r="C11221" i="1"/>
  <c r="A8312" i="1"/>
  <c r="B8312" i="1"/>
  <c r="C8312" i="1"/>
  <c r="A1958" i="1"/>
  <c r="B1958" i="1"/>
  <c r="C1958" i="1"/>
  <c r="A1961" i="1"/>
  <c r="B1961" i="1"/>
  <c r="C1961" i="1"/>
  <c r="A1952" i="1"/>
  <c r="B1952" i="1"/>
  <c r="C1952" i="1"/>
  <c r="A3498" i="1"/>
  <c r="B3498" i="1"/>
  <c r="C3498" i="1"/>
  <c r="A17170" i="1"/>
  <c r="B17170" i="1"/>
  <c r="C17170" i="1"/>
  <c r="A18627" i="1"/>
  <c r="B18627" i="1"/>
  <c r="C18627" i="1"/>
  <c r="A1553" i="1"/>
  <c r="B1553" i="1"/>
  <c r="C1553" i="1"/>
  <c r="A25510" i="1"/>
  <c r="B25510" i="1"/>
  <c r="C25510" i="1"/>
  <c r="A25511" i="1"/>
  <c r="B25511" i="1"/>
  <c r="C25511" i="1"/>
  <c r="A25588" i="1"/>
  <c r="B25588" i="1"/>
  <c r="C25588" i="1"/>
  <c r="A14345" i="1"/>
  <c r="B14345" i="1"/>
  <c r="C14345" i="1"/>
  <c r="A25165" i="1"/>
  <c r="B25165" i="1"/>
  <c r="C25165" i="1"/>
  <c r="A14135" i="1"/>
  <c r="B14135" i="1"/>
  <c r="C14135" i="1"/>
  <c r="A23193" i="1"/>
  <c r="B23193" i="1"/>
  <c r="C23193" i="1"/>
  <c r="A16441" i="1"/>
  <c r="B16441" i="1"/>
  <c r="C16441" i="1"/>
  <c r="A18313" i="1"/>
  <c r="B18313" i="1"/>
  <c r="C18313" i="1"/>
  <c r="A15145" i="1"/>
  <c r="B15145" i="1"/>
  <c r="C15145" i="1"/>
  <c r="A23948" i="1"/>
  <c r="B23948" i="1"/>
  <c r="C23948" i="1"/>
  <c r="A6797" i="1"/>
  <c r="B6797" i="1"/>
  <c r="C6797" i="1"/>
  <c r="A6231" i="1"/>
  <c r="B6231" i="1"/>
  <c r="C6231" i="1"/>
  <c r="A17775" i="1"/>
  <c r="B17775" i="1"/>
  <c r="C17775" i="1"/>
  <c r="A24757" i="1"/>
  <c r="B24757" i="1"/>
  <c r="C24757" i="1"/>
  <c r="A14759" i="1"/>
  <c r="B14759" i="1"/>
  <c r="C14759" i="1"/>
  <c r="A18922" i="1"/>
  <c r="B18922" i="1"/>
  <c r="C18922" i="1"/>
  <c r="A10495" i="1"/>
  <c r="B10495" i="1"/>
  <c r="C10495" i="1"/>
  <c r="A14114" i="1"/>
  <c r="B14114" i="1"/>
  <c r="C14114" i="1"/>
  <c r="A7338" i="1"/>
  <c r="B7338" i="1"/>
  <c r="C7338" i="1"/>
  <c r="A3217" i="1"/>
  <c r="B3217" i="1"/>
  <c r="C3217" i="1"/>
  <c r="A25573" i="1"/>
  <c r="B25573" i="1"/>
  <c r="C25573" i="1"/>
  <c r="A18926" i="1"/>
  <c r="B18926" i="1"/>
  <c r="C18926" i="1"/>
  <c r="A17524" i="1"/>
  <c r="B17524" i="1"/>
  <c r="C17524" i="1"/>
  <c r="A9331" i="1"/>
  <c r="B9331" i="1"/>
  <c r="C9331" i="1"/>
  <c r="A14426" i="1"/>
  <c r="B14426" i="1"/>
  <c r="C14426" i="1"/>
  <c r="A1376" i="1"/>
  <c r="B1376" i="1"/>
  <c r="C1376" i="1"/>
  <c r="A1477" i="1"/>
  <c r="B1477" i="1"/>
  <c r="C1477" i="1"/>
  <c r="A24616" i="1"/>
  <c r="B24616" i="1"/>
  <c r="C24616" i="1"/>
  <c r="A17079" i="1"/>
  <c r="B17079" i="1"/>
  <c r="C17079" i="1"/>
  <c r="A18622" i="1"/>
  <c r="B18622" i="1"/>
  <c r="C18622" i="1"/>
  <c r="A1517" i="1"/>
  <c r="B1517" i="1"/>
  <c r="C1517" i="1"/>
  <c r="A1563" i="1"/>
  <c r="B1563" i="1"/>
  <c r="C1563" i="1"/>
  <c r="A17085" i="1"/>
  <c r="B17085" i="1"/>
  <c r="C17085" i="1"/>
  <c r="A1518" i="1"/>
  <c r="B1518" i="1"/>
  <c r="C1518" i="1"/>
  <c r="A7179" i="1"/>
  <c r="B7179" i="1"/>
  <c r="C7179" i="1"/>
  <c r="A20989" i="1"/>
  <c r="B20989" i="1"/>
  <c r="C20989" i="1"/>
  <c r="A24408" i="1"/>
  <c r="B24408" i="1"/>
  <c r="C24408" i="1"/>
  <c r="A5272" i="1"/>
  <c r="B5272" i="1"/>
  <c r="C5272" i="1"/>
  <c r="A7038" i="1"/>
  <c r="B7038" i="1"/>
  <c r="C7038" i="1"/>
  <c r="A8286" i="1"/>
  <c r="B8286" i="1"/>
  <c r="C8286" i="1"/>
  <c r="A8290" i="1"/>
  <c r="B8290" i="1"/>
  <c r="C8290" i="1"/>
  <c r="A24576" i="1"/>
  <c r="B24576" i="1"/>
  <c r="C24576" i="1"/>
  <c r="A7177" i="1"/>
  <c r="B7177" i="1"/>
  <c r="C7177" i="1"/>
  <c r="A19725" i="1"/>
  <c r="B19725" i="1"/>
  <c r="C19725" i="1"/>
  <c r="A3570" i="1"/>
  <c r="B3570" i="1"/>
  <c r="C3570" i="1"/>
  <c r="A18626" i="1"/>
  <c r="B18626" i="1"/>
  <c r="C18626" i="1"/>
  <c r="A17095" i="1"/>
  <c r="B17095" i="1"/>
  <c r="C17095" i="1"/>
  <c r="A14421" i="1"/>
  <c r="B14421" i="1"/>
  <c r="C14421" i="1"/>
  <c r="A14422" i="1"/>
  <c r="B14422" i="1"/>
  <c r="C14422" i="1"/>
  <c r="A19985" i="1"/>
  <c r="B19985" i="1"/>
  <c r="C19985" i="1"/>
  <c r="A20993" i="1"/>
  <c r="B20993" i="1"/>
  <c r="C20993" i="1"/>
  <c r="A14134" i="1"/>
  <c r="B14134" i="1"/>
  <c r="C14134" i="1"/>
  <c r="A14129" i="1"/>
  <c r="B14129" i="1"/>
  <c r="C14129" i="1"/>
  <c r="A23845" i="1"/>
  <c r="B23845" i="1"/>
  <c r="C23845" i="1"/>
  <c r="A23846" i="1"/>
  <c r="B23846" i="1"/>
  <c r="C23846" i="1"/>
  <c r="A24575" i="1"/>
  <c r="B24575" i="1"/>
  <c r="C24575" i="1"/>
  <c r="A23186" i="1"/>
  <c r="B23186" i="1"/>
  <c r="C23186" i="1"/>
  <c r="A23465" i="1"/>
  <c r="B23465" i="1"/>
  <c r="C23465" i="1"/>
  <c r="A3472" i="1"/>
  <c r="B3472" i="1"/>
  <c r="C3472" i="1"/>
  <c r="A3474" i="1"/>
  <c r="B3474" i="1"/>
  <c r="C3474" i="1"/>
  <c r="A22401" i="1"/>
  <c r="B22401" i="1"/>
  <c r="C22401" i="1"/>
  <c r="A19440" i="1"/>
  <c r="B19440" i="1"/>
  <c r="C19440" i="1"/>
  <c r="A22467" i="1"/>
  <c r="B22467" i="1"/>
  <c r="C22467" i="1"/>
  <c r="A17553" i="1"/>
  <c r="B17553" i="1"/>
  <c r="C17553" i="1"/>
  <c r="A7267" i="1"/>
  <c r="B7267" i="1"/>
  <c r="C7267" i="1"/>
  <c r="A19151" i="1"/>
  <c r="B19151" i="1"/>
  <c r="C19151" i="1"/>
  <c r="A14433" i="1"/>
  <c r="B14433" i="1"/>
  <c r="C14433" i="1"/>
  <c r="A14429" i="1"/>
  <c r="B14429" i="1"/>
  <c r="C14429" i="1"/>
  <c r="A14430" i="1"/>
  <c r="B14430" i="1"/>
  <c r="C14430" i="1"/>
  <c r="A14427" i="1"/>
  <c r="B14427" i="1"/>
  <c r="C14427" i="1"/>
  <c r="A20988" i="1"/>
  <c r="B20988" i="1"/>
  <c r="C20988" i="1"/>
  <c r="A14070" i="1"/>
  <c r="B14070" i="1"/>
  <c r="C14070" i="1"/>
  <c r="A18319" i="1"/>
  <c r="B18319" i="1"/>
  <c r="C18319" i="1"/>
  <c r="A3383" i="1"/>
  <c r="B3383" i="1"/>
  <c r="C3383" i="1"/>
  <c r="A11701" i="1"/>
  <c r="B11701" i="1"/>
  <c r="C11701" i="1"/>
  <c r="A24340" i="1"/>
  <c r="B24340" i="1"/>
  <c r="C24340" i="1"/>
  <c r="A22468" i="1"/>
  <c r="B22468" i="1"/>
  <c r="C22468" i="1"/>
  <c r="A3380" i="1"/>
  <c r="B3380" i="1"/>
  <c r="C3380" i="1"/>
  <c r="A8952" i="1"/>
  <c r="B8952" i="1"/>
  <c r="C8952" i="1"/>
  <c r="A5731" i="1"/>
  <c r="B5731" i="1"/>
  <c r="C5731" i="1"/>
  <c r="A19445" i="1"/>
  <c r="B19445" i="1"/>
  <c r="C19445" i="1"/>
  <c r="A4417" i="1"/>
  <c r="B4417" i="1"/>
  <c r="C4417" i="1"/>
  <c r="A14130" i="1"/>
  <c r="B14130" i="1"/>
  <c r="C14130" i="1"/>
  <c r="A12716" i="1"/>
  <c r="B12716" i="1"/>
  <c r="C12716" i="1"/>
  <c r="A1374" i="1"/>
  <c r="B1374" i="1"/>
  <c r="C1374" i="1"/>
  <c r="A19695" i="1"/>
  <c r="B19695" i="1"/>
  <c r="C19695" i="1"/>
  <c r="A18010" i="1"/>
  <c r="B18010" i="1"/>
  <c r="C18010" i="1"/>
  <c r="A24657" i="1"/>
  <c r="B24657" i="1"/>
  <c r="C24657" i="1"/>
  <c r="A10110" i="1"/>
  <c r="B10110" i="1"/>
  <c r="C10110" i="1"/>
  <c r="A3061" i="1"/>
  <c r="B3061" i="1"/>
  <c r="C3061" i="1"/>
  <c r="A17309" i="1"/>
  <c r="B17309" i="1"/>
  <c r="C17309" i="1"/>
  <c r="A4243" i="1"/>
  <c r="B4243" i="1"/>
  <c r="C4243" i="1"/>
  <c r="A18623" i="1"/>
  <c r="B18623" i="1"/>
  <c r="C18623" i="1"/>
  <c r="A1550" i="1"/>
  <c r="B1550" i="1"/>
  <c r="C1550" i="1"/>
  <c r="A4113" i="1"/>
  <c r="B4113" i="1"/>
  <c r="C4113" i="1"/>
  <c r="A24656" i="1"/>
  <c r="B24656" i="1"/>
  <c r="C24656" i="1"/>
  <c r="A5198" i="1"/>
  <c r="B5198" i="1"/>
  <c r="C5198" i="1"/>
  <c r="A24759" i="1"/>
  <c r="B24759" i="1"/>
  <c r="C24759" i="1"/>
  <c r="A14736" i="1"/>
  <c r="B14736" i="1"/>
  <c r="C14736" i="1"/>
  <c r="A14737" i="1"/>
  <c r="B14737" i="1"/>
  <c r="C14737" i="1"/>
  <c r="A20990" i="1"/>
  <c r="B20990" i="1"/>
  <c r="C20990" i="1"/>
  <c r="A1368" i="1"/>
  <c r="B1368" i="1"/>
  <c r="C1368" i="1"/>
  <c r="A22445" i="1"/>
  <c r="B22445" i="1"/>
  <c r="C22445" i="1"/>
  <c r="A17803" i="1"/>
  <c r="B17803" i="1"/>
  <c r="C17803" i="1"/>
  <c r="A17854" i="1"/>
  <c r="B17854" i="1"/>
  <c r="C17854" i="1"/>
  <c r="A18629" i="1"/>
  <c r="B18629" i="1"/>
  <c r="C18629" i="1"/>
  <c r="A1375" i="1"/>
  <c r="B1375" i="1"/>
  <c r="C1375" i="1"/>
  <c r="A12699" i="1"/>
  <c r="B12699" i="1"/>
  <c r="C12699" i="1"/>
  <c r="A6787" i="1"/>
  <c r="B6787" i="1"/>
  <c r="C6787" i="1"/>
  <c r="A14119" i="1"/>
  <c r="C14119" i="1"/>
  <c r="A9689" i="1"/>
  <c r="B9689" i="1"/>
  <c r="C9689" i="1"/>
  <c r="A25521" i="1"/>
  <c r="B25521" i="1"/>
  <c r="C25521" i="1"/>
  <c r="A15152" i="1"/>
  <c r="B15152" i="1"/>
  <c r="C15152" i="1"/>
  <c r="A24654" i="1"/>
  <c r="B24654" i="1"/>
  <c r="C24654" i="1"/>
  <c r="A23215" i="1"/>
  <c r="B23215" i="1"/>
  <c r="C23215" i="1"/>
  <c r="A24570" i="1"/>
  <c r="B24570" i="1"/>
  <c r="C24570" i="1"/>
  <c r="A18075" i="1"/>
  <c r="B18075" i="1"/>
  <c r="C18075" i="1"/>
  <c r="A15490" i="1"/>
  <c r="B15490" i="1"/>
  <c r="C15490" i="1"/>
  <c r="A11308" i="1"/>
  <c r="B11308" i="1"/>
  <c r="C11308" i="1"/>
  <c r="A22409" i="1"/>
  <c r="B22409" i="1"/>
  <c r="C22409" i="1"/>
  <c r="A5390" i="1"/>
  <c r="B5390" i="1"/>
  <c r="C5390" i="1"/>
  <c r="A5380" i="1"/>
  <c r="B5380" i="1"/>
  <c r="C5380" i="1"/>
  <c r="A18767" i="1"/>
  <c r="B18767" i="1"/>
  <c r="C18767" i="1"/>
  <c r="A4241" i="1"/>
  <c r="B4241" i="1"/>
  <c r="C4241" i="1"/>
  <c r="A14132" i="1"/>
  <c r="B14132" i="1"/>
  <c r="C14132" i="1"/>
  <c r="A10250" i="1"/>
  <c r="B10250" i="1"/>
  <c r="C10250" i="1"/>
  <c r="A11682" i="1"/>
  <c r="B11682" i="1"/>
  <c r="C11682" i="1"/>
  <c r="A12230" i="1"/>
  <c r="B12230" i="1"/>
  <c r="C12230" i="1"/>
  <c r="A25043" i="1"/>
  <c r="B25043" i="1"/>
  <c r="C25043" i="1"/>
  <c r="A8547" i="1"/>
  <c r="B8547" i="1"/>
  <c r="C8547" i="1"/>
  <c r="A8571" i="1"/>
  <c r="B8571" i="1"/>
  <c r="C8571" i="1"/>
  <c r="A23943" i="1"/>
  <c r="B23943" i="1"/>
  <c r="C23943" i="1"/>
  <c r="A17770" i="1"/>
  <c r="B17770" i="1"/>
  <c r="C17770" i="1"/>
  <c r="A23619" i="1"/>
  <c r="B23619" i="1"/>
  <c r="C23619" i="1"/>
  <c r="A14199" i="1"/>
  <c r="B14199" i="1"/>
  <c r="C14199" i="1"/>
  <c r="A6035" i="1"/>
  <c r="B6035" i="1"/>
  <c r="C6035" i="1"/>
  <c r="A1350" i="1"/>
  <c r="B1350" i="1"/>
  <c r="C1350" i="1"/>
  <c r="A15143" i="1"/>
  <c r="B15143" i="1"/>
  <c r="C15143" i="1"/>
  <c r="A19124" i="1"/>
  <c r="B19124" i="1"/>
  <c r="C19124" i="1"/>
  <c r="A10911" i="1"/>
  <c r="B10911" i="1"/>
  <c r="C10911" i="1"/>
  <c r="A10910" i="1"/>
  <c r="B10910" i="1"/>
  <c r="C10910" i="1"/>
  <c r="A19960" i="1"/>
  <c r="B19960" i="1"/>
  <c r="C19960" i="1"/>
  <c r="A4196" i="1"/>
  <c r="B4196" i="1"/>
  <c r="C4196" i="1"/>
  <c r="A4194" i="1"/>
  <c r="B4194" i="1"/>
  <c r="C4194" i="1"/>
  <c r="A21638" i="1"/>
  <c r="B21638" i="1"/>
  <c r="C21638" i="1"/>
  <c r="A17081" i="1"/>
  <c r="B17081" i="1"/>
  <c r="C17081" i="1"/>
  <c r="A1809" i="1"/>
  <c r="B1809" i="1"/>
  <c r="C1809" i="1"/>
  <c r="A23977" i="1"/>
  <c r="B23977" i="1"/>
  <c r="C23977" i="1"/>
  <c r="A21724" i="1"/>
  <c r="B21724" i="1"/>
  <c r="C21724" i="1"/>
  <c r="A25301" i="1"/>
  <c r="B25301" i="1"/>
  <c r="C25301" i="1"/>
  <c r="A16078" i="1"/>
  <c r="B16078" i="1"/>
  <c r="C16078" i="1"/>
  <c r="A24595" i="1"/>
  <c r="B24595" i="1"/>
  <c r="C24595" i="1"/>
  <c r="A24593" i="1"/>
  <c r="B24593" i="1"/>
  <c r="C24593" i="1"/>
  <c r="A11326" i="1"/>
  <c r="B11326" i="1"/>
  <c r="C11326" i="1"/>
  <c r="A20987" i="1"/>
  <c r="B20987" i="1"/>
  <c r="C20987" i="1"/>
  <c r="A14739" i="1"/>
  <c r="B14739" i="1"/>
  <c r="C14739" i="1"/>
  <c r="A22094" i="1"/>
  <c r="B22094" i="1"/>
  <c r="C22094" i="1"/>
  <c r="A11876" i="1"/>
  <c r="B11876" i="1"/>
  <c r="C11876" i="1"/>
  <c r="A16573" i="1"/>
  <c r="B16573" i="1"/>
  <c r="C16573" i="1"/>
  <c r="A18590" i="1"/>
  <c r="B18590" i="1"/>
  <c r="C18590" i="1"/>
  <c r="A3497" i="1"/>
  <c r="B3497" i="1"/>
  <c r="C3497" i="1"/>
  <c r="A8289" i="1"/>
  <c r="B8289" i="1"/>
  <c r="C8289" i="1"/>
  <c r="A14501" i="1"/>
  <c r="B14501" i="1"/>
  <c r="C14501" i="1"/>
  <c r="A20508" i="1"/>
  <c r="B20508" i="1"/>
  <c r="C20508" i="1"/>
  <c r="A11679" i="1"/>
  <c r="B11679" i="1"/>
  <c r="C11679" i="1"/>
  <c r="A18932" i="1"/>
  <c r="B18932" i="1"/>
  <c r="C18932" i="1"/>
  <c r="A18931" i="1"/>
  <c r="B18931" i="1"/>
  <c r="C18931" i="1"/>
  <c r="A20657" i="1"/>
  <c r="B20657" i="1"/>
  <c r="C20657" i="1"/>
  <c r="A7611" i="1"/>
  <c r="B7611" i="1"/>
  <c r="C7611" i="1"/>
  <c r="A17104" i="1"/>
  <c r="B17104" i="1"/>
  <c r="C17104" i="1"/>
  <c r="A23326" i="1"/>
  <c r="B23326" i="1"/>
  <c r="C23326" i="1"/>
  <c r="A19971" i="1"/>
  <c r="B19971" i="1"/>
  <c r="C19971" i="1"/>
  <c r="A10236" i="1"/>
  <c r="B10236" i="1"/>
  <c r="C10236" i="1"/>
  <c r="A10233" i="1"/>
  <c r="B10233" i="1"/>
  <c r="C10233" i="1"/>
  <c r="A10232" i="1"/>
  <c r="B10232" i="1"/>
  <c r="C10232" i="1"/>
  <c r="A10239" i="1"/>
  <c r="B10239" i="1"/>
  <c r="C10239" i="1"/>
  <c r="A10238" i="1"/>
  <c r="B10238" i="1"/>
  <c r="C10238" i="1"/>
  <c r="A23643" i="1"/>
  <c r="B23643" i="1"/>
  <c r="C23643" i="1"/>
  <c r="A3818" i="1"/>
  <c r="B3818" i="1"/>
  <c r="C3818" i="1"/>
  <c r="A4142" i="1"/>
  <c r="B4142" i="1"/>
  <c r="C4142" i="1"/>
  <c r="A1950" i="1"/>
  <c r="B1950" i="1"/>
  <c r="C1950" i="1"/>
  <c r="A19800" i="1"/>
  <c r="B19800" i="1"/>
  <c r="C19800" i="1"/>
  <c r="A10668" i="1"/>
  <c r="B10668" i="1"/>
  <c r="C10668" i="1"/>
  <c r="A4413" i="1"/>
  <c r="B4413" i="1"/>
  <c r="C4413" i="1"/>
  <c r="A12701" i="1"/>
  <c r="B12701" i="1"/>
  <c r="C12701" i="1"/>
  <c r="A11325" i="1"/>
  <c r="B11325" i="1"/>
  <c r="C11325" i="1"/>
  <c r="A22753" i="1"/>
  <c r="B22753" i="1"/>
  <c r="C22753" i="1"/>
  <c r="A22752" i="1"/>
  <c r="B22752" i="1"/>
  <c r="C22752" i="1"/>
  <c r="A14572" i="1"/>
  <c r="B14572" i="1"/>
  <c r="C14572" i="1"/>
  <c r="A22615" i="1"/>
  <c r="B22615" i="1"/>
  <c r="C22615" i="1"/>
  <c r="A212" i="1"/>
  <c r="B212" i="1"/>
  <c r="C212" i="1"/>
  <c r="A10792" i="1"/>
  <c r="B10792" i="1"/>
  <c r="C10792" i="1"/>
  <c r="A14178" i="1"/>
  <c r="B14178" i="1"/>
  <c r="C14178" i="1"/>
  <c r="A14176" i="1"/>
  <c r="B14176" i="1"/>
  <c r="C14176" i="1"/>
  <c r="A6616" i="1"/>
  <c r="B6616" i="1"/>
  <c r="C6616" i="1"/>
  <c r="A11684" i="1"/>
  <c r="B11684" i="1"/>
  <c r="C11684" i="1"/>
  <c r="A19376" i="1"/>
  <c r="B19376" i="1"/>
  <c r="C19376" i="1"/>
  <c r="A14323" i="1"/>
  <c r="B14323" i="1"/>
  <c r="C14323" i="1"/>
  <c r="A3168" i="1"/>
  <c r="B3168" i="1"/>
  <c r="C3168" i="1"/>
  <c r="A18321" i="1"/>
  <c r="B18321" i="1"/>
  <c r="C18321" i="1"/>
  <c r="A15705" i="1"/>
  <c r="B15705" i="1"/>
  <c r="C15705" i="1"/>
  <c r="A22410" i="1"/>
  <c r="B22410" i="1"/>
  <c r="C22410" i="1"/>
  <c r="A24165" i="1"/>
  <c r="B24165" i="1"/>
  <c r="C24165" i="1"/>
  <c r="A24182" i="1"/>
  <c r="B24182" i="1"/>
  <c r="C24182" i="1"/>
  <c r="A10309" i="1"/>
  <c r="B10309" i="1"/>
  <c r="C10309" i="1"/>
  <c r="A12638" i="1"/>
  <c r="B12638" i="1"/>
  <c r="C12638" i="1"/>
  <c r="A20008" i="1"/>
  <c r="B20008" i="1"/>
  <c r="C20008" i="1"/>
  <c r="A10907" i="1"/>
  <c r="B10907" i="1"/>
  <c r="C10907" i="1"/>
  <c r="A11959" i="1"/>
  <c r="B11959" i="1"/>
  <c r="C11959" i="1"/>
  <c r="A11958" i="1"/>
  <c r="B11958" i="1"/>
  <c r="C11958" i="1"/>
  <c r="A3480" i="1"/>
  <c r="B3480" i="1"/>
  <c r="C3480" i="1"/>
  <c r="A10401" i="1"/>
  <c r="B10401" i="1"/>
  <c r="C10401" i="1"/>
  <c r="A13413" i="1"/>
  <c r="B13413" i="1"/>
  <c r="C13413" i="1"/>
  <c r="A13393" i="1"/>
  <c r="B13393" i="1"/>
  <c r="C13393" i="1"/>
  <c r="A23871" i="1"/>
  <c r="B23871" i="1"/>
  <c r="C23871" i="1"/>
  <c r="A22007" i="1"/>
  <c r="B22007" i="1"/>
  <c r="C22007" i="1"/>
  <c r="A14346" i="1"/>
  <c r="B14346" i="1"/>
  <c r="C14346" i="1"/>
  <c r="A3969" i="1"/>
  <c r="B3969" i="1"/>
  <c r="C3969" i="1"/>
  <c r="A9826" i="1"/>
  <c r="B9826" i="1"/>
  <c r="C9826" i="1"/>
  <c r="A9869" i="1"/>
  <c r="B9869" i="1"/>
  <c r="C9869" i="1"/>
  <c r="A12711" i="1"/>
  <c r="B12711" i="1"/>
  <c r="C12711" i="1"/>
  <c r="A25519" i="1"/>
  <c r="B25519" i="1"/>
  <c r="C25519" i="1"/>
  <c r="A18624" i="1"/>
  <c r="B18624" i="1"/>
  <c r="C18624" i="1"/>
  <c r="A1552" i="1"/>
  <c r="B1552" i="1"/>
  <c r="C1552" i="1"/>
  <c r="A171" i="1"/>
  <c r="B171" i="1"/>
  <c r="C171" i="1"/>
  <c r="A22749" i="1"/>
  <c r="B22749" i="1"/>
  <c r="C22749" i="1"/>
  <c r="A22747" i="1"/>
  <c r="B22747" i="1"/>
  <c r="C22747" i="1"/>
  <c r="A22756" i="1"/>
  <c r="B22756" i="1"/>
  <c r="C22756" i="1"/>
  <c r="A14343" i="1"/>
  <c r="B14343" i="1"/>
  <c r="C14343" i="1"/>
  <c r="A25335" i="1"/>
  <c r="B25335" i="1"/>
  <c r="C25335" i="1"/>
  <c r="A23356" i="1"/>
  <c r="B23356" i="1"/>
  <c r="C23356" i="1"/>
  <c r="A9254" i="1"/>
  <c r="B9254" i="1"/>
  <c r="C9254" i="1"/>
  <c r="A10901" i="1"/>
  <c r="B10901" i="1"/>
  <c r="C10901" i="1"/>
  <c r="A2295" i="1"/>
  <c r="B2295" i="1"/>
  <c r="C2295" i="1"/>
  <c r="A11683" i="1"/>
  <c r="B11683" i="1"/>
  <c r="C11683" i="1"/>
  <c r="A10201" i="1"/>
  <c r="B10201" i="1"/>
  <c r="C10201" i="1"/>
  <c r="A14418" i="1"/>
  <c r="B14418" i="1"/>
  <c r="C14418" i="1"/>
  <c r="A10899" i="1"/>
  <c r="B10899" i="1"/>
  <c r="C10899" i="1"/>
  <c r="A23191" i="1"/>
  <c r="B23191" i="1"/>
  <c r="C23191" i="1"/>
  <c r="A15484" i="1"/>
  <c r="B15484" i="1"/>
  <c r="C15484" i="1"/>
  <c r="A8311" i="1"/>
  <c r="B8311" i="1"/>
  <c r="C8311" i="1"/>
  <c r="A7305" i="1"/>
  <c r="B7305" i="1"/>
  <c r="C7305" i="1"/>
  <c r="A19797" i="1"/>
  <c r="B19797" i="1"/>
  <c r="C19797" i="1"/>
  <c r="A12352" i="1"/>
  <c r="B12352" i="1"/>
  <c r="C12352" i="1"/>
  <c r="A24028" i="1"/>
  <c r="B24028" i="1"/>
  <c r="C24028" i="1"/>
  <c r="A14312" i="1"/>
  <c r="B14312" i="1"/>
  <c r="C14312" i="1"/>
  <c r="A14311" i="1"/>
  <c r="B14311" i="1"/>
  <c r="C14311" i="1"/>
  <c r="A3034" i="1"/>
  <c r="B3034" i="1"/>
  <c r="C3034" i="1"/>
  <c r="A3046" i="1"/>
  <c r="B3046" i="1"/>
  <c r="C3046" i="1"/>
  <c r="A18882" i="1"/>
  <c r="B18882" i="1"/>
  <c r="C18882" i="1"/>
  <c r="A17981" i="1"/>
  <c r="B17981" i="1"/>
  <c r="C17981" i="1"/>
  <c r="A17975" i="1"/>
  <c r="B17975" i="1"/>
  <c r="C17975" i="1"/>
  <c r="A21762" i="1"/>
  <c r="B21762" i="1"/>
  <c r="C21762" i="1"/>
  <c r="A21763" i="1"/>
  <c r="B21763" i="1"/>
  <c r="C21763" i="1"/>
  <c r="A1155" i="1"/>
  <c r="B1155" i="1"/>
  <c r="C1155" i="1"/>
  <c r="A3056" i="1"/>
  <c r="B3056" i="1"/>
  <c r="C3056" i="1"/>
  <c r="A16568" i="1"/>
  <c r="B16568" i="1"/>
  <c r="C16568" i="1"/>
  <c r="A12378" i="1"/>
  <c r="B12378" i="1"/>
  <c r="C12378" i="1"/>
  <c r="A19927" i="1"/>
  <c r="B19927" i="1"/>
  <c r="C19927" i="1"/>
  <c r="A2881" i="1"/>
  <c r="B2881" i="1"/>
  <c r="C2881" i="1"/>
  <c r="A6123" i="1"/>
  <c r="B6123" i="1"/>
  <c r="C6123" i="1"/>
  <c r="A11639" i="1"/>
  <c r="B11639" i="1"/>
  <c r="C11639" i="1"/>
  <c r="A16851" i="1"/>
  <c r="B16851" i="1"/>
  <c r="C16851" i="1"/>
  <c r="A242" i="1"/>
  <c r="B242" i="1"/>
  <c r="C242" i="1"/>
  <c r="A20689" i="1"/>
  <c r="B20689" i="1"/>
  <c r="C20689" i="1"/>
  <c r="A20695" i="1"/>
  <c r="B20695" i="1"/>
  <c r="C20695" i="1"/>
  <c r="A11103" i="1"/>
  <c r="B11103" i="1"/>
  <c r="C11103" i="1"/>
  <c r="A11231" i="1"/>
  <c r="B11231" i="1"/>
  <c r="C11231" i="1"/>
  <c r="A8212" i="1"/>
  <c r="B8212" i="1"/>
  <c r="C8212" i="1"/>
  <c r="A9876" i="1"/>
  <c r="B9876" i="1"/>
  <c r="C9876" i="1"/>
  <c r="A24229" i="1"/>
  <c r="B24229" i="1"/>
  <c r="C24229" i="1"/>
  <c r="A7578" i="1"/>
  <c r="B7578" i="1"/>
  <c r="C7578" i="1"/>
  <c r="A20848" i="1"/>
  <c r="B20848" i="1"/>
  <c r="C20848" i="1"/>
  <c r="A20851" i="1"/>
  <c r="B20851" i="1"/>
  <c r="C20851" i="1"/>
  <c r="A20266" i="1"/>
  <c r="B20266" i="1"/>
  <c r="C20266" i="1"/>
  <c r="A20263" i="1"/>
  <c r="B20263" i="1"/>
  <c r="C20263" i="1"/>
  <c r="A6400" i="1"/>
  <c r="B6400" i="1"/>
  <c r="C6400" i="1"/>
  <c r="A6399" i="1"/>
  <c r="B6399" i="1"/>
  <c r="C6399" i="1"/>
  <c r="A20928" i="1"/>
  <c r="B20928" i="1"/>
  <c r="C20928" i="1"/>
  <c r="A2796" i="1"/>
  <c r="B2796" i="1"/>
  <c r="C2796" i="1"/>
  <c r="A3090" i="1"/>
  <c r="B3090" i="1"/>
  <c r="C3090" i="1"/>
  <c r="A8951" i="1"/>
  <c r="B8951" i="1"/>
  <c r="C8951" i="1"/>
  <c r="A16613" i="1"/>
  <c r="B16613" i="1"/>
  <c r="C16613" i="1"/>
  <c r="A17352" i="1"/>
  <c r="B17352" i="1"/>
  <c r="C17352" i="1"/>
  <c r="A17353" i="1"/>
  <c r="B17353" i="1"/>
  <c r="C17353" i="1"/>
  <c r="A1282" i="1"/>
  <c r="B1282" i="1"/>
  <c r="C1282" i="1"/>
  <c r="A19745" i="1"/>
  <c r="B19745" i="1"/>
  <c r="C19745" i="1"/>
  <c r="A7296" i="1"/>
  <c r="B7296" i="1"/>
  <c r="C7296" i="1"/>
  <c r="A7311" i="1"/>
  <c r="B7311" i="1"/>
  <c r="C7311" i="1"/>
  <c r="A8176" i="1"/>
  <c r="B8176" i="1"/>
  <c r="C8176" i="1"/>
  <c r="A16732" i="1"/>
  <c r="B16732" i="1"/>
  <c r="C16732" i="1"/>
  <c r="A21689" i="1"/>
  <c r="B21689" i="1"/>
  <c r="C21689" i="1"/>
  <c r="A16663" i="1"/>
  <c r="B16663" i="1"/>
  <c r="C16663" i="1"/>
  <c r="A9896" i="1"/>
  <c r="B9896" i="1"/>
  <c r="C9896" i="1"/>
  <c r="A9899" i="1"/>
  <c r="B9899" i="1"/>
  <c r="C9899" i="1"/>
  <c r="A9897" i="1"/>
  <c r="B9897" i="1"/>
  <c r="C9897" i="1"/>
  <c r="A9898" i="1"/>
  <c r="B9898" i="1"/>
  <c r="C9898" i="1"/>
  <c r="A1857" i="1"/>
  <c r="B1857" i="1"/>
  <c r="C1857" i="1"/>
  <c r="A22150" i="1"/>
  <c r="B22150" i="1"/>
  <c r="C22150" i="1"/>
  <c r="A22151" i="1"/>
  <c r="B22151" i="1"/>
  <c r="C22151" i="1"/>
  <c r="A22152" i="1"/>
  <c r="B22152" i="1"/>
  <c r="C22152" i="1"/>
  <c r="A22153" i="1"/>
  <c r="B22153" i="1"/>
  <c r="C22153" i="1"/>
  <c r="A20015" i="1"/>
  <c r="B20015" i="1"/>
  <c r="C20015" i="1"/>
  <c r="A4146" i="1"/>
  <c r="B4146" i="1"/>
  <c r="C4146" i="1"/>
  <c r="A11681" i="1"/>
  <c r="B11681" i="1"/>
  <c r="C11681" i="1"/>
  <c r="A21747" i="1"/>
  <c r="B21747" i="1"/>
  <c r="C21747" i="1"/>
  <c r="A18312" i="1"/>
  <c r="B18312" i="1"/>
  <c r="C18312" i="1"/>
  <c r="A11965" i="1"/>
  <c r="B11965" i="1"/>
  <c r="C11965" i="1"/>
  <c r="A20844" i="1"/>
  <c r="B20844" i="1"/>
  <c r="C20844" i="1"/>
  <c r="A20574" i="1"/>
  <c r="B20574" i="1"/>
  <c r="C20574" i="1"/>
  <c r="A16730" i="1"/>
  <c r="B16730" i="1"/>
  <c r="C16730" i="1"/>
  <c r="A20828" i="1"/>
  <c r="B20828" i="1"/>
  <c r="C20828" i="1"/>
  <c r="A20904" i="1"/>
  <c r="B20904" i="1"/>
  <c r="C20904" i="1"/>
  <c r="A20527" i="1"/>
  <c r="B20527" i="1"/>
  <c r="C20527" i="1"/>
  <c r="A20512" i="1"/>
  <c r="B20512" i="1"/>
  <c r="C20512" i="1"/>
  <c r="A20690" i="1"/>
  <c r="B20690" i="1"/>
  <c r="C20690" i="1"/>
  <c r="A20697" i="1"/>
  <c r="B20697" i="1"/>
  <c r="C20697" i="1"/>
  <c r="A10943" i="1"/>
  <c r="B10943" i="1"/>
  <c r="C10943" i="1"/>
  <c r="A19995" i="1"/>
  <c r="B19995" i="1"/>
  <c r="C19995" i="1"/>
  <c r="A20878" i="1"/>
  <c r="B20878" i="1"/>
  <c r="C20878" i="1"/>
  <c r="A6352" i="1"/>
  <c r="B6352" i="1"/>
  <c r="C6352" i="1"/>
  <c r="A17277" i="1"/>
  <c r="B17277" i="1"/>
  <c r="C17277" i="1"/>
  <c r="A17276" i="1"/>
  <c r="B17276" i="1"/>
  <c r="C17276" i="1"/>
  <c r="A8183" i="1"/>
  <c r="B8183" i="1"/>
  <c r="C8183" i="1"/>
  <c r="A20576" i="1"/>
  <c r="B20576" i="1"/>
  <c r="C20576" i="1"/>
  <c r="A21746" i="1"/>
  <c r="B21746" i="1"/>
  <c r="C21746" i="1"/>
  <c r="A20534" i="1"/>
  <c r="B20534" i="1"/>
  <c r="C20534" i="1"/>
  <c r="A9393" i="1"/>
  <c r="B9393" i="1"/>
  <c r="C9393" i="1"/>
  <c r="A23320" i="1"/>
  <c r="B23320" i="1"/>
  <c r="C23320" i="1"/>
  <c r="A11866" i="1"/>
  <c r="B11866" i="1"/>
  <c r="C11866" i="1"/>
  <c r="A23601" i="1"/>
  <c r="B23601" i="1"/>
  <c r="C23601" i="1"/>
  <c r="A20755" i="1"/>
  <c r="B20755" i="1"/>
  <c r="C20755" i="1"/>
  <c r="A4151" i="1"/>
  <c r="B4151" i="1"/>
  <c r="C4151" i="1"/>
  <c r="A6349" i="1"/>
  <c r="B6349" i="1"/>
  <c r="C6349" i="1"/>
  <c r="A18955" i="1"/>
  <c r="B18955" i="1"/>
  <c r="C18955" i="1"/>
  <c r="A18956" i="1"/>
  <c r="B18956" i="1"/>
  <c r="C18956" i="1"/>
  <c r="A19953" i="1"/>
  <c r="B19953" i="1"/>
  <c r="C19953" i="1"/>
  <c r="A20897" i="1"/>
  <c r="B20897" i="1"/>
  <c r="C20897" i="1"/>
  <c r="A11829" i="1"/>
  <c r="B11829" i="1"/>
  <c r="C11829" i="1"/>
  <c r="A14545" i="1"/>
  <c r="B14545" i="1"/>
  <c r="C14545" i="1"/>
  <c r="A1864" i="1"/>
  <c r="B1864" i="1"/>
  <c r="C1864" i="1"/>
  <c r="A8053" i="1"/>
  <c r="B8053" i="1"/>
  <c r="C8053" i="1"/>
  <c r="A20795" i="1"/>
  <c r="B20795" i="1"/>
  <c r="C20795" i="1"/>
  <c r="A20277" i="1"/>
  <c r="B20277" i="1"/>
  <c r="C20277" i="1"/>
  <c r="A20862" i="1"/>
  <c r="B20862" i="1"/>
  <c r="C20862" i="1"/>
  <c r="A11589" i="1"/>
  <c r="B11589" i="1"/>
  <c r="C11589" i="1"/>
  <c r="A603" i="1"/>
  <c r="B603" i="1"/>
  <c r="C603" i="1"/>
  <c r="A21414" i="1"/>
  <c r="B21414" i="1"/>
  <c r="C21414" i="1"/>
  <c r="A22421" i="1"/>
  <c r="B22421" i="1"/>
  <c r="C22421" i="1"/>
  <c r="A3676" i="1"/>
  <c r="B3676" i="1"/>
  <c r="C3676" i="1"/>
  <c r="A18025" i="1"/>
  <c r="B18025" i="1"/>
  <c r="C18025" i="1"/>
  <c r="A20898" i="1"/>
  <c r="B20898" i="1"/>
  <c r="C20898" i="1"/>
  <c r="A20529" i="1"/>
  <c r="B20529" i="1"/>
  <c r="C20529" i="1"/>
  <c r="A20668" i="1"/>
  <c r="B20668" i="1"/>
  <c r="C20668" i="1"/>
  <c r="A11930" i="1"/>
  <c r="B11930" i="1"/>
  <c r="C11930" i="1"/>
  <c r="A969" i="1"/>
  <c r="B969" i="1"/>
  <c r="C969" i="1"/>
  <c r="A25154" i="1"/>
  <c r="B25154" i="1"/>
  <c r="C25154" i="1"/>
  <c r="A5206" i="1"/>
  <c r="B5206" i="1"/>
  <c r="C5206" i="1"/>
  <c r="A23590" i="1"/>
  <c r="B23590" i="1"/>
  <c r="C23590" i="1"/>
  <c r="A7310" i="1"/>
  <c r="B7310" i="1"/>
  <c r="C7310" i="1"/>
  <c r="A15136" i="1"/>
  <c r="B15136" i="1"/>
  <c r="C15136" i="1"/>
  <c r="A15135" i="1"/>
  <c r="B15135" i="1"/>
  <c r="C15135" i="1"/>
  <c r="A19483" i="1"/>
  <c r="B19483" i="1"/>
  <c r="C19483" i="1"/>
  <c r="A16454" i="1"/>
  <c r="B16454" i="1"/>
  <c r="C16454" i="1"/>
  <c r="A23198" i="1"/>
  <c r="B23198" i="1"/>
  <c r="C23198" i="1"/>
  <c r="A4150" i="1"/>
  <c r="B4150" i="1"/>
  <c r="C4150" i="1"/>
  <c r="A20048" i="1"/>
  <c r="B20048" i="1"/>
  <c r="C20048" i="1"/>
  <c r="A7656" i="1"/>
  <c r="B7656" i="1"/>
  <c r="C7656" i="1"/>
  <c r="A19954" i="1"/>
  <c r="B19954" i="1"/>
  <c r="C19954" i="1"/>
  <c r="A19948" i="1"/>
  <c r="B19948" i="1"/>
  <c r="C19948" i="1"/>
  <c r="A12417" i="1"/>
  <c r="B12417" i="1"/>
  <c r="C12417" i="1"/>
  <c r="A7169" i="1"/>
  <c r="B7169" i="1"/>
  <c r="C7169" i="1"/>
  <c r="A11828" i="1"/>
  <c r="B11828" i="1"/>
  <c r="C11828" i="1"/>
  <c r="A11827" i="1"/>
  <c r="B11827" i="1"/>
  <c r="C11827" i="1"/>
  <c r="A11826" i="1"/>
  <c r="B11826" i="1"/>
  <c r="C11826" i="1"/>
  <c r="A15731" i="1"/>
  <c r="B15731" i="1"/>
  <c r="C15731" i="1"/>
  <c r="A17796" i="1"/>
  <c r="B17796" i="1"/>
  <c r="C17796" i="1"/>
  <c r="A11680" i="1"/>
  <c r="B11680" i="1"/>
  <c r="C11680" i="1"/>
  <c r="A3603" i="1"/>
  <c r="B3603" i="1"/>
  <c r="C3603" i="1"/>
  <c r="A3084" i="1"/>
  <c r="B3084" i="1"/>
  <c r="C3084" i="1"/>
  <c r="A3974" i="1"/>
  <c r="B3974" i="1"/>
  <c r="C3974" i="1"/>
  <c r="A6348" i="1"/>
  <c r="B6348" i="1"/>
  <c r="C6348" i="1"/>
  <c r="A11872" i="1"/>
  <c r="B11872" i="1"/>
  <c r="C11872" i="1"/>
  <c r="A11873" i="1"/>
  <c r="B11873" i="1"/>
  <c r="C11873" i="1"/>
  <c r="A11875" i="1"/>
  <c r="B11875" i="1"/>
  <c r="C11875" i="1"/>
  <c r="A19951" i="1"/>
  <c r="B19951" i="1"/>
  <c r="C19951" i="1"/>
  <c r="A19949" i="1"/>
  <c r="B19949" i="1"/>
  <c r="C19949" i="1"/>
  <c r="A20450" i="1"/>
  <c r="B20450" i="1"/>
  <c r="C20450" i="1"/>
  <c r="A16594" i="1"/>
  <c r="B16594" i="1"/>
  <c r="C16594" i="1"/>
  <c r="A20540" i="1"/>
  <c r="B20540" i="1"/>
  <c r="C20540" i="1"/>
  <c r="A24090" i="1"/>
  <c r="B24090" i="1"/>
  <c r="C24090" i="1"/>
  <c r="A16724" i="1"/>
  <c r="B16724" i="1"/>
  <c r="C16724" i="1"/>
  <c r="A19737" i="1"/>
  <c r="B19737" i="1"/>
  <c r="C19737" i="1"/>
  <c r="A19739" i="1"/>
  <c r="B19739" i="1"/>
  <c r="C19739" i="1"/>
  <c r="A24774" i="1"/>
  <c r="B24774" i="1"/>
  <c r="C24774" i="1"/>
  <c r="A7280" i="1"/>
  <c r="B7280" i="1"/>
  <c r="C7280" i="1"/>
  <c r="A10289" i="1"/>
  <c r="B10289" i="1"/>
  <c r="C10289" i="1"/>
  <c r="A18005" i="1"/>
  <c r="B18005" i="1"/>
  <c r="C18005" i="1"/>
  <c r="A18006" i="1"/>
  <c r="B18006" i="1"/>
  <c r="C18006" i="1"/>
  <c r="A4127" i="1"/>
  <c r="B4127" i="1"/>
  <c r="C4127" i="1"/>
  <c r="A16719" i="1"/>
  <c r="B16719" i="1"/>
  <c r="C16719" i="1"/>
  <c r="A16705" i="1"/>
  <c r="B16705" i="1"/>
  <c r="C16705" i="1"/>
  <c r="A16706" i="1"/>
  <c r="B16706" i="1"/>
  <c r="C16706" i="1"/>
  <c r="A16714" i="1"/>
  <c r="B16714" i="1"/>
  <c r="C16714" i="1"/>
  <c r="A16710" i="1"/>
  <c r="B16710" i="1"/>
  <c r="C16710" i="1"/>
  <c r="A16712" i="1"/>
  <c r="B16712" i="1"/>
  <c r="C16712" i="1"/>
  <c r="A16716" i="1"/>
  <c r="B16716" i="1"/>
  <c r="C16716" i="1"/>
  <c r="A16711" i="1"/>
  <c r="B16711" i="1"/>
  <c r="C16711" i="1"/>
  <c r="A17144" i="1"/>
  <c r="B17144" i="1"/>
  <c r="C17144" i="1"/>
  <c r="A17146" i="1"/>
  <c r="B17146" i="1"/>
  <c r="C17146" i="1"/>
  <c r="A17151" i="1"/>
  <c r="B17151" i="1"/>
  <c r="C17151" i="1"/>
  <c r="A17157" i="1"/>
  <c r="B17157" i="1"/>
  <c r="C17157" i="1"/>
  <c r="A17297" i="1"/>
  <c r="B17297" i="1"/>
  <c r="C17297" i="1"/>
  <c r="A18746" i="1"/>
  <c r="B18746" i="1"/>
  <c r="C18746" i="1"/>
  <c r="A18749" i="1"/>
  <c r="B18749" i="1"/>
  <c r="C18749" i="1"/>
  <c r="A18750" i="1"/>
  <c r="B18750" i="1"/>
  <c r="C18750" i="1"/>
  <c r="A18711" i="1"/>
  <c r="B18711" i="1"/>
  <c r="C18711" i="1"/>
  <c r="A18744" i="1"/>
  <c r="B18744" i="1"/>
  <c r="C18744" i="1"/>
  <c r="A1540" i="1"/>
  <c r="B1540" i="1"/>
  <c r="C1540" i="1"/>
  <c r="A1541" i="1"/>
  <c r="B1541" i="1"/>
  <c r="C1541" i="1"/>
  <c r="A1542" i="1"/>
  <c r="B1542" i="1"/>
  <c r="C1542" i="1"/>
  <c r="A1543" i="1"/>
  <c r="B1543" i="1"/>
  <c r="C1543" i="1"/>
  <c r="A1590" i="1"/>
  <c r="B1590" i="1"/>
  <c r="C1590" i="1"/>
  <c r="A19058" i="1"/>
  <c r="B19058" i="1"/>
  <c r="C19058" i="1"/>
  <c r="A21533" i="1"/>
  <c r="B21533" i="1"/>
  <c r="C21533" i="1"/>
  <c r="A3600" i="1"/>
  <c r="B3600" i="1"/>
  <c r="C3600" i="1"/>
  <c r="A20859" i="1"/>
  <c r="B20859" i="1"/>
  <c r="C20859" i="1"/>
  <c r="A20370" i="1"/>
  <c r="B20370" i="1"/>
  <c r="C20370" i="1"/>
  <c r="A2753" i="1"/>
  <c r="B2753" i="1"/>
  <c r="C2753" i="1"/>
  <c r="A20561" i="1"/>
  <c r="B20561" i="1"/>
  <c r="C20561" i="1"/>
  <c r="A6180" i="1"/>
  <c r="B6180" i="1"/>
  <c r="C6180" i="1"/>
  <c r="A6202" i="1"/>
  <c r="B6202" i="1"/>
  <c r="C6202" i="1"/>
  <c r="A3085" i="1"/>
  <c r="B3085" i="1"/>
  <c r="C3085" i="1"/>
  <c r="A9747" i="1"/>
  <c r="B9747" i="1"/>
  <c r="C9747" i="1"/>
  <c r="A5704" i="1"/>
  <c r="B5704" i="1"/>
  <c r="C5704" i="1"/>
  <c r="A20034" i="1"/>
  <c r="B20034" i="1"/>
  <c r="C20034" i="1"/>
  <c r="A20240" i="1"/>
  <c r="B20240" i="1"/>
  <c r="C20240" i="1"/>
  <c r="A20251" i="1"/>
  <c r="B20251" i="1"/>
  <c r="C20251" i="1"/>
  <c r="A20250" i="1"/>
  <c r="B20250" i="1"/>
  <c r="C20250" i="1"/>
  <c r="A20246" i="1"/>
  <c r="B20246" i="1"/>
  <c r="C20246" i="1"/>
  <c r="A20598" i="1"/>
  <c r="B20598" i="1"/>
  <c r="C20598" i="1"/>
  <c r="A16656" i="1"/>
  <c r="B16656" i="1"/>
  <c r="C16656" i="1"/>
  <c r="A16654" i="1"/>
  <c r="B16654" i="1"/>
  <c r="C16654" i="1"/>
  <c r="A13110" i="1"/>
  <c r="B13110" i="1"/>
  <c r="C13110" i="1"/>
  <c r="A11678" i="1"/>
  <c r="B11678" i="1"/>
  <c r="C11678" i="1"/>
  <c r="A7544" i="1"/>
  <c r="B7544" i="1"/>
  <c r="C7544" i="1"/>
  <c r="A20843" i="1"/>
  <c r="B20843" i="1"/>
  <c r="C20843" i="1"/>
  <c r="A9675" i="1"/>
  <c r="B9675" i="1"/>
  <c r="C9675" i="1"/>
  <c r="A9664" i="1"/>
  <c r="B9664" i="1"/>
  <c r="C9664" i="1"/>
  <c r="A9672" i="1"/>
  <c r="B9672" i="1"/>
  <c r="C9672" i="1"/>
  <c r="A17186" i="1"/>
  <c r="B17186" i="1"/>
  <c r="C17186" i="1"/>
  <c r="A4202" i="1"/>
  <c r="B4202" i="1"/>
  <c r="C4202" i="1"/>
  <c r="A16727" i="1"/>
  <c r="B16727" i="1"/>
  <c r="C16727" i="1"/>
  <c r="A20481" i="1"/>
  <c r="B20481" i="1"/>
  <c r="C20481" i="1"/>
  <c r="A20858" i="1"/>
  <c r="B20858" i="1"/>
  <c r="C20858" i="1"/>
  <c r="A20869" i="1"/>
  <c r="B20869" i="1"/>
  <c r="C20869" i="1"/>
  <c r="A11476" i="1"/>
  <c r="B11476" i="1"/>
  <c r="C11476" i="1"/>
  <c r="A11477" i="1"/>
  <c r="B11477" i="1"/>
  <c r="C11477" i="1"/>
  <c r="A13603" i="1"/>
  <c r="B13603" i="1"/>
  <c r="C13603" i="1"/>
  <c r="A14544" i="1"/>
  <c r="B14544" i="1"/>
  <c r="C14544" i="1"/>
  <c r="A24470" i="1"/>
  <c r="B24470" i="1"/>
  <c r="C24470" i="1"/>
  <c r="A8139" i="1"/>
  <c r="B8139" i="1"/>
  <c r="C8139" i="1"/>
  <c r="A1768" i="1"/>
  <c r="B1768" i="1"/>
  <c r="C1768" i="1"/>
  <c r="A19864" i="1"/>
  <c r="B19864" i="1"/>
  <c r="C19864" i="1"/>
  <c r="A20016" i="1"/>
  <c r="B20016" i="1"/>
  <c r="C20016" i="1"/>
  <c r="A20017" i="1"/>
  <c r="B20017" i="1"/>
  <c r="C20017" i="1"/>
  <c r="A20105" i="1"/>
  <c r="B20105" i="1"/>
  <c r="C20105" i="1"/>
  <c r="A15137" i="1"/>
  <c r="B15137" i="1"/>
  <c r="C15137" i="1"/>
  <c r="A25496" i="1"/>
  <c r="B25496" i="1"/>
  <c r="C25496" i="1"/>
  <c r="A25494" i="1"/>
  <c r="B25494" i="1"/>
  <c r="C25494" i="1"/>
  <c r="A24345" i="1"/>
  <c r="B24345" i="1"/>
  <c r="C24345" i="1"/>
  <c r="A24346" i="1"/>
  <c r="B24346" i="1"/>
  <c r="C24346" i="1"/>
  <c r="A24348" i="1"/>
  <c r="B24348" i="1"/>
  <c r="C24348" i="1"/>
  <c r="A24349" i="1"/>
  <c r="B24349" i="1"/>
  <c r="C24349" i="1"/>
  <c r="A24351" i="1"/>
  <c r="B24351" i="1"/>
  <c r="C24351" i="1"/>
  <c r="A24337" i="1"/>
  <c r="B24337" i="1"/>
  <c r="C24337" i="1"/>
  <c r="A24339" i="1"/>
  <c r="B24339" i="1"/>
  <c r="C24339" i="1"/>
  <c r="A24341" i="1"/>
  <c r="B24341" i="1"/>
  <c r="C24341" i="1"/>
  <c r="A24342" i="1"/>
  <c r="B24342" i="1"/>
  <c r="C24342" i="1"/>
  <c r="A18886" i="1"/>
  <c r="B18886" i="1"/>
  <c r="C18886" i="1"/>
  <c r="A24847" i="1"/>
  <c r="B24847" i="1"/>
  <c r="C24847" i="1"/>
  <c r="A24849" i="1"/>
  <c r="B24849" i="1"/>
  <c r="C24849" i="1"/>
  <c r="A12812" i="1"/>
  <c r="B12812" i="1"/>
  <c r="C12812" i="1"/>
  <c r="A19634" i="1"/>
  <c r="B19634" i="1"/>
  <c r="C19634" i="1"/>
  <c r="A11290" i="1"/>
  <c r="B11290" i="1"/>
  <c r="C11290" i="1"/>
  <c r="A20280" i="1"/>
  <c r="B20280" i="1"/>
  <c r="C20280" i="1"/>
  <c r="A7339" i="1"/>
  <c r="B7339" i="1"/>
  <c r="C7339" i="1"/>
  <c r="A22010" i="1"/>
  <c r="B22010" i="1"/>
  <c r="C22010" i="1"/>
  <c r="A8072" i="1"/>
  <c r="B8072" i="1"/>
  <c r="C8072" i="1"/>
  <c r="A24921" i="1"/>
  <c r="B24921" i="1"/>
  <c r="C24921" i="1"/>
  <c r="A24920" i="1"/>
  <c r="B24920" i="1"/>
  <c r="C24920" i="1"/>
  <c r="A20447" i="1"/>
  <c r="B20447" i="1"/>
  <c r="C20447" i="1"/>
  <c r="A7306" i="1"/>
  <c r="B7306" i="1"/>
  <c r="C7306" i="1"/>
  <c r="A8131" i="1"/>
  <c r="B8131" i="1"/>
  <c r="C8131" i="1"/>
  <c r="A8128" i="1"/>
  <c r="B8128" i="1"/>
  <c r="C8128" i="1"/>
  <c r="A8123" i="1"/>
  <c r="B8123" i="1"/>
  <c r="C8123" i="1"/>
  <c r="A8122" i="1"/>
  <c r="B8122" i="1"/>
  <c r="C8122" i="1"/>
  <c r="A8121" i="1"/>
  <c r="B8121" i="1"/>
  <c r="C8121" i="1"/>
  <c r="A8065" i="1"/>
  <c r="B8065" i="1"/>
  <c r="C8065" i="1"/>
  <c r="A8062" i="1"/>
  <c r="B8062" i="1"/>
  <c r="C8062" i="1"/>
  <c r="A8061" i="1"/>
  <c r="B8061" i="1"/>
  <c r="C8061" i="1"/>
  <c r="A8060" i="1"/>
  <c r="B8060" i="1"/>
  <c r="C8060" i="1"/>
  <c r="A8054" i="1"/>
  <c r="B8054" i="1"/>
  <c r="C8054" i="1"/>
  <c r="A2751" i="1"/>
  <c r="B2751" i="1"/>
  <c r="C2751" i="1"/>
  <c r="A19988" i="1"/>
  <c r="B19988" i="1"/>
  <c r="C19988" i="1"/>
  <c r="A19989" i="1"/>
  <c r="B19989" i="1"/>
  <c r="C19989" i="1"/>
  <c r="A13336" i="1"/>
  <c r="B13336" i="1"/>
  <c r="C13336" i="1"/>
  <c r="A13337" i="1"/>
  <c r="B13337" i="1"/>
  <c r="C13337" i="1"/>
  <c r="A19968" i="1"/>
  <c r="B19968" i="1"/>
  <c r="C19968" i="1"/>
  <c r="A7626" i="1"/>
  <c r="B7626" i="1"/>
  <c r="C7626" i="1"/>
  <c r="A7649" i="1"/>
  <c r="B7649" i="1"/>
  <c r="C7649" i="1"/>
  <c r="A7785" i="1"/>
  <c r="B7785" i="1"/>
  <c r="C7785" i="1"/>
  <c r="A19845" i="1"/>
  <c r="B19845" i="1"/>
  <c r="C19845" i="1"/>
  <c r="A19846" i="1"/>
  <c r="B19846" i="1"/>
  <c r="C19846" i="1"/>
  <c r="A7750" i="1"/>
  <c r="B7750" i="1"/>
  <c r="C7750" i="1"/>
  <c r="A3160" i="1"/>
  <c r="B3160" i="1"/>
  <c r="C3160" i="1"/>
  <c r="A25190" i="1"/>
  <c r="B25190" i="1"/>
  <c r="C25190" i="1"/>
  <c r="A25191" i="1"/>
  <c r="B25191" i="1"/>
  <c r="C25191" i="1"/>
  <c r="A17199" i="1"/>
  <c r="B17199" i="1"/>
  <c r="C17199" i="1"/>
  <c r="A17200" i="1"/>
  <c r="B17200" i="1"/>
  <c r="C17200" i="1"/>
  <c r="A17197" i="1"/>
  <c r="B17197" i="1"/>
  <c r="C17197" i="1"/>
  <c r="A17198" i="1"/>
  <c r="B17198" i="1"/>
  <c r="C17198" i="1"/>
  <c r="A11848" i="1"/>
  <c r="B11848" i="1"/>
  <c r="C11848" i="1"/>
  <c r="A11849" i="1"/>
  <c r="B11849" i="1"/>
  <c r="C11849" i="1"/>
  <c r="A11850" i="1"/>
  <c r="B11850" i="1"/>
  <c r="C11850" i="1"/>
  <c r="A11851" i="1"/>
  <c r="B11851" i="1"/>
  <c r="C11851" i="1"/>
  <c r="A11852" i="1"/>
  <c r="B11852" i="1"/>
  <c r="C11852" i="1"/>
  <c r="A11853" i="1"/>
  <c r="B11853" i="1"/>
  <c r="C11853" i="1"/>
  <c r="A11854" i="1"/>
  <c r="B11854" i="1"/>
  <c r="C11854" i="1"/>
  <c r="A21750" i="1"/>
  <c r="B21750" i="1"/>
  <c r="C21750" i="1"/>
  <c r="A11855" i="1"/>
  <c r="B11855" i="1"/>
  <c r="C11855" i="1"/>
  <c r="A11856" i="1"/>
  <c r="B11856" i="1"/>
  <c r="C11856" i="1"/>
  <c r="A11857" i="1"/>
  <c r="B11857" i="1"/>
  <c r="C11857" i="1"/>
  <c r="A15298" i="1"/>
  <c r="B15298" i="1"/>
  <c r="C15298" i="1"/>
  <c r="A15266" i="1"/>
  <c r="B15266" i="1"/>
  <c r="C15266" i="1"/>
  <c r="A12401" i="1"/>
  <c r="B12401" i="1"/>
  <c r="C12401" i="1"/>
  <c r="A25238" i="1"/>
  <c r="B25238" i="1"/>
  <c r="C25238" i="1"/>
  <c r="A17906" i="1"/>
  <c r="B17906" i="1"/>
  <c r="C17906" i="1"/>
  <c r="A6568" i="1"/>
  <c r="B6568" i="1"/>
  <c r="C6568" i="1"/>
  <c r="A24902" i="1"/>
  <c r="B24902" i="1"/>
  <c r="C24902" i="1"/>
  <c r="A20903" i="1"/>
  <c r="B20903" i="1"/>
  <c r="C20903" i="1"/>
  <c r="A20900" i="1"/>
  <c r="B20900" i="1"/>
  <c r="C20900" i="1"/>
  <c r="A20868" i="1"/>
  <c r="B20868" i="1"/>
  <c r="C20868" i="1"/>
  <c r="A20861" i="1"/>
  <c r="B20861" i="1"/>
  <c r="C20861" i="1"/>
  <c r="A20883" i="1"/>
  <c r="B20883" i="1"/>
  <c r="C20883" i="1"/>
  <c r="A20912" i="1"/>
  <c r="B20912" i="1"/>
  <c r="C20912" i="1"/>
  <c r="A20884" i="1"/>
  <c r="B20884" i="1"/>
  <c r="C20884" i="1"/>
  <c r="A20882" i="1"/>
  <c r="B20882" i="1"/>
  <c r="C20882" i="1"/>
  <c r="A20881" i="1"/>
  <c r="B20881" i="1"/>
  <c r="C20881" i="1"/>
  <c r="A20879" i="1"/>
  <c r="B20879" i="1"/>
  <c r="C20879" i="1"/>
  <c r="A20855" i="1"/>
  <c r="B20855" i="1"/>
  <c r="C20855" i="1"/>
  <c r="A20925" i="1"/>
  <c r="B20925" i="1"/>
  <c r="C20925" i="1"/>
  <c r="A20860" i="1"/>
  <c r="B20860" i="1"/>
  <c r="C20860" i="1"/>
  <c r="A25483" i="1"/>
  <c r="B25483" i="1"/>
  <c r="C25483" i="1"/>
  <c r="A25485" i="1"/>
  <c r="B25485" i="1"/>
  <c r="C25485" i="1"/>
  <c r="A8955" i="1"/>
  <c r="B8955" i="1"/>
  <c r="C8955" i="1"/>
  <c r="A9681" i="1"/>
  <c r="B9681" i="1"/>
  <c r="C9681" i="1"/>
  <c r="A20880" i="1"/>
  <c r="B20880" i="1"/>
  <c r="C20880" i="1"/>
  <c r="A25104" i="1"/>
  <c r="B25104" i="1"/>
  <c r="C25104" i="1"/>
  <c r="A20516" i="1"/>
  <c r="B20516" i="1"/>
  <c r="C20516" i="1"/>
  <c r="A20580" i="1"/>
  <c r="B20580" i="1"/>
  <c r="C20580" i="1"/>
  <c r="A20583" i="1"/>
  <c r="B20583" i="1"/>
  <c r="C20583" i="1"/>
  <c r="A20572" i="1"/>
  <c r="B20572" i="1"/>
  <c r="C20572" i="1"/>
  <c r="A20433" i="1"/>
  <c r="B20433" i="1"/>
  <c r="C20433" i="1"/>
  <c r="A20521" i="1"/>
  <c r="B20521" i="1"/>
  <c r="C20521" i="1"/>
  <c r="A20424" i="1"/>
  <c r="B20424" i="1"/>
  <c r="C20424" i="1"/>
  <c r="A20597" i="1"/>
  <c r="B20597" i="1"/>
  <c r="C20597" i="1"/>
  <c r="A20589" i="1"/>
  <c r="B20589" i="1"/>
  <c r="C20589" i="1"/>
  <c r="A17883" i="1"/>
  <c r="B17883" i="1"/>
  <c r="C17883" i="1"/>
  <c r="A9745" i="1"/>
  <c r="B9745" i="1"/>
  <c r="C9745" i="1"/>
  <c r="A20286" i="1"/>
  <c r="B20286" i="1"/>
  <c r="C20286" i="1"/>
  <c r="A20279" i="1"/>
  <c r="B20279" i="1"/>
  <c r="C20279" i="1"/>
  <c r="A8184" i="1"/>
  <c r="B8184" i="1"/>
  <c r="C8184" i="1"/>
  <c r="A18096" i="1"/>
  <c r="B18096" i="1"/>
  <c r="C18096" i="1"/>
  <c r="A11642" i="1"/>
  <c r="B11642" i="1"/>
  <c r="C11642" i="1"/>
  <c r="A18942" i="1"/>
  <c r="B18942" i="1"/>
  <c r="C18942" i="1"/>
  <c r="A22406" i="1"/>
  <c r="B22406" i="1"/>
  <c r="C22406" i="1"/>
  <c r="A22405" i="1"/>
  <c r="B22405" i="1"/>
  <c r="C22405" i="1"/>
  <c r="A17890" i="1"/>
  <c r="B17890" i="1"/>
  <c r="C17890" i="1"/>
  <c r="A17885" i="1"/>
  <c r="B17885" i="1"/>
  <c r="C17885" i="1"/>
  <c r="A23741" i="1"/>
  <c r="B23741" i="1"/>
  <c r="C23741" i="1"/>
  <c r="A24531" i="1"/>
  <c r="B24531" i="1"/>
  <c r="C24531" i="1"/>
  <c r="A2809" i="1"/>
  <c r="B2809" i="1"/>
  <c r="C2809" i="1"/>
  <c r="A2774" i="1"/>
  <c r="B2774" i="1"/>
  <c r="C2774" i="1"/>
  <c r="A795" i="1"/>
  <c r="B795" i="1"/>
  <c r="C795" i="1"/>
  <c r="A838" i="1"/>
  <c r="B838" i="1"/>
  <c r="C838" i="1"/>
  <c r="A843" i="1"/>
  <c r="B843" i="1"/>
  <c r="C843" i="1"/>
  <c r="A20082" i="1"/>
  <c r="B20082" i="1"/>
  <c r="C20082" i="1"/>
  <c r="A20083" i="1"/>
  <c r="B20083" i="1"/>
  <c r="C20083" i="1"/>
  <c r="A20085" i="1"/>
  <c r="B20085" i="1"/>
  <c r="C20085" i="1"/>
  <c r="A20086" i="1"/>
  <c r="B20086" i="1"/>
  <c r="C20086" i="1"/>
  <c r="A20108" i="1"/>
  <c r="B20108" i="1"/>
  <c r="C20108" i="1"/>
  <c r="A20107" i="1"/>
  <c r="B20107" i="1"/>
  <c r="C20107" i="1"/>
  <c r="A9740" i="1"/>
  <c r="B9740" i="1"/>
  <c r="C9740" i="1"/>
  <c r="A20061" i="1"/>
  <c r="B20061" i="1"/>
  <c r="C20061" i="1"/>
  <c r="A20110" i="1"/>
  <c r="B20110" i="1"/>
  <c r="C20110" i="1"/>
  <c r="A16718" i="1"/>
  <c r="B16718" i="1"/>
  <c r="C16718" i="1"/>
  <c r="A16695" i="1"/>
  <c r="B16695" i="1"/>
  <c r="C16695" i="1"/>
  <c r="A22154" i="1"/>
  <c r="B22154" i="1"/>
  <c r="C22154" i="1"/>
  <c r="A21875" i="1"/>
  <c r="B21875" i="1"/>
  <c r="C21875" i="1"/>
  <c r="A17507" i="1"/>
  <c r="B17507" i="1"/>
  <c r="C17507" i="1"/>
  <c r="A18061" i="1"/>
  <c r="B18061" i="1"/>
  <c r="C18061" i="1"/>
  <c r="A23746" i="1"/>
  <c r="B23746" i="1"/>
  <c r="C23746" i="1"/>
  <c r="A17914" i="1"/>
  <c r="B17914" i="1"/>
  <c r="C17914" i="1"/>
  <c r="A16731" i="1"/>
  <c r="B16731" i="1"/>
  <c r="C16731" i="1"/>
  <c r="A20268" i="1"/>
  <c r="B20268" i="1"/>
  <c r="C20268" i="1"/>
  <c r="A20269" i="1"/>
  <c r="B20269" i="1"/>
  <c r="C20269" i="1"/>
  <c r="A25110" i="1"/>
  <c r="B25110" i="1"/>
  <c r="C25110" i="1"/>
  <c r="A19792" i="1"/>
  <c r="B19792" i="1"/>
  <c r="C19792" i="1"/>
  <c r="A18064" i="1"/>
  <c r="B18064" i="1"/>
  <c r="C18064" i="1"/>
  <c r="A18062" i="1"/>
  <c r="B18062" i="1"/>
  <c r="C18062" i="1"/>
  <c r="A18063" i="1"/>
  <c r="B18063" i="1"/>
  <c r="C18063" i="1"/>
  <c r="A6294" i="1"/>
  <c r="B6294" i="1"/>
  <c r="C6294" i="1"/>
  <c r="A2775" i="1"/>
  <c r="B2775" i="1"/>
  <c r="C2775" i="1"/>
  <c r="A15780" i="1"/>
  <c r="B15780" i="1"/>
  <c r="C15780" i="1"/>
  <c r="A16081" i="1"/>
  <c r="B16081" i="1"/>
  <c r="C16081" i="1"/>
  <c r="A20278" i="1"/>
  <c r="B20278" i="1"/>
  <c r="C20278" i="1"/>
  <c r="A23737" i="1"/>
  <c r="B23737" i="1"/>
  <c r="C23737" i="1"/>
  <c r="A8192" i="1"/>
  <c r="B8192" i="1"/>
  <c r="C8192" i="1"/>
  <c r="A20041" i="1"/>
  <c r="B20041" i="1"/>
  <c r="C20041" i="1"/>
  <c r="A20045" i="1"/>
  <c r="B20045" i="1"/>
  <c r="C20045" i="1"/>
  <c r="A20040" i="1"/>
  <c r="B20040" i="1"/>
  <c r="C20040" i="1"/>
  <c r="A24754" i="1"/>
  <c r="B24754" i="1"/>
  <c r="C24754" i="1"/>
  <c r="A5546" i="1"/>
  <c r="B5546" i="1"/>
  <c r="C5546" i="1"/>
  <c r="A21009" i="1"/>
  <c r="B21009" i="1"/>
  <c r="C21009" i="1"/>
  <c r="A21719" i="1"/>
  <c r="B21719" i="1"/>
  <c r="C21719" i="1"/>
  <c r="A21706" i="1"/>
  <c r="B21706" i="1"/>
  <c r="C21706" i="1"/>
  <c r="A21728" i="1"/>
  <c r="B21728" i="1"/>
  <c r="C21728" i="1"/>
  <c r="A21729" i="1"/>
  <c r="B21729" i="1"/>
  <c r="C21729" i="1"/>
  <c r="A11830" i="1"/>
  <c r="B11830" i="1"/>
  <c r="C11830" i="1"/>
  <c r="A21753" i="1"/>
  <c r="B21753" i="1"/>
  <c r="C21753" i="1"/>
  <c r="A21707" i="1"/>
  <c r="B21707" i="1"/>
  <c r="C21707" i="1"/>
  <c r="A16664" i="1"/>
  <c r="B16664" i="1"/>
  <c r="C16664" i="1"/>
  <c r="A20079" i="1"/>
  <c r="B20079" i="1"/>
  <c r="C20079" i="1"/>
  <c r="A16666" i="1"/>
  <c r="B16666" i="1"/>
  <c r="C16666" i="1"/>
  <c r="A16665" i="1"/>
  <c r="B16665" i="1"/>
  <c r="C16665" i="1"/>
  <c r="A16669" i="1"/>
  <c r="B16669" i="1"/>
  <c r="C16669" i="1"/>
  <c r="A16667" i="1"/>
  <c r="B16667" i="1"/>
  <c r="C16667" i="1"/>
  <c r="A16668" i="1"/>
  <c r="B16668" i="1"/>
  <c r="C16668" i="1"/>
  <c r="A20057" i="1"/>
  <c r="B20057" i="1"/>
  <c r="C20057" i="1"/>
  <c r="A20058" i="1"/>
  <c r="B20058" i="1"/>
  <c r="C20058" i="1"/>
  <c r="A760" i="1"/>
  <c r="B760" i="1"/>
  <c r="C760" i="1"/>
  <c r="A758" i="1"/>
  <c r="B758" i="1"/>
  <c r="C758" i="1"/>
  <c r="A21071" i="1"/>
  <c r="B21071" i="1"/>
  <c r="C21071" i="1"/>
  <c r="A17784" i="1"/>
  <c r="B17784" i="1"/>
  <c r="C17784" i="1"/>
  <c r="A25652" i="1"/>
  <c r="B25652" i="1"/>
  <c r="C25652" i="1"/>
  <c r="A25651" i="1"/>
  <c r="B25651" i="1"/>
  <c r="C25651" i="1"/>
  <c r="A25650" i="1"/>
  <c r="B25650" i="1"/>
  <c r="C25650" i="1"/>
  <c r="A1149" i="1"/>
  <c r="B1149" i="1"/>
  <c r="C1149" i="1"/>
  <c r="A1148" i="1"/>
  <c r="B1148" i="1"/>
  <c r="C1148" i="1"/>
  <c r="A20592" i="1"/>
  <c r="B20592" i="1"/>
  <c r="C20592" i="1"/>
  <c r="A5748" i="1"/>
  <c r="B5748" i="1"/>
  <c r="C5748" i="1"/>
  <c r="A22550" i="1"/>
  <c r="B22550" i="1"/>
  <c r="C22550" i="1"/>
  <c r="A11493" i="1"/>
  <c r="B11493" i="1"/>
  <c r="C11493" i="1"/>
  <c r="A20166" i="1"/>
  <c r="B20166" i="1"/>
  <c r="C20166" i="1"/>
  <c r="A21034" i="1"/>
  <c r="B21034" i="1"/>
  <c r="C21034" i="1"/>
  <c r="A14532" i="1"/>
  <c r="B14532" i="1"/>
  <c r="C14532" i="1"/>
  <c r="A19462" i="1"/>
  <c r="B19462" i="1"/>
  <c r="C19462" i="1"/>
  <c r="A19726" i="1"/>
  <c r="B19726" i="1"/>
  <c r="C19726" i="1"/>
  <c r="A8586" i="1"/>
  <c r="B8586" i="1"/>
  <c r="C8586" i="1"/>
  <c r="A1171" i="1"/>
  <c r="B1171" i="1"/>
  <c r="C1171" i="1"/>
  <c r="A1172" i="1"/>
  <c r="B1172" i="1"/>
  <c r="C1172" i="1"/>
  <c r="A23496" i="1"/>
  <c r="B23496" i="1"/>
  <c r="C23496" i="1"/>
  <c r="A19375" i="1"/>
  <c r="B19375" i="1"/>
  <c r="C19375" i="1"/>
  <c r="A14663" i="1"/>
  <c r="B14663" i="1"/>
  <c r="C14663" i="1"/>
  <c r="A6247" i="1"/>
  <c r="B6247" i="1"/>
  <c r="C6247" i="1"/>
  <c r="A18318" i="1"/>
  <c r="B18318" i="1"/>
  <c r="C18318" i="1"/>
  <c r="A8515" i="1"/>
  <c r="B8515" i="1"/>
  <c r="C8515" i="1"/>
  <c r="A23220" i="1"/>
  <c r="B23220" i="1"/>
  <c r="C23220" i="1"/>
  <c r="A23237" i="1"/>
  <c r="B23237" i="1"/>
  <c r="C23237" i="1"/>
  <c r="A14757" i="1"/>
  <c r="B14757" i="1"/>
  <c r="C14757" i="1"/>
  <c r="A24598" i="1"/>
  <c r="B24598" i="1"/>
  <c r="C24598" i="1"/>
  <c r="A17801" i="1"/>
  <c r="B17801" i="1"/>
  <c r="C17801" i="1"/>
  <c r="A11962" i="1"/>
  <c r="B11962" i="1"/>
  <c r="C11962" i="1"/>
  <c r="A24513" i="1"/>
  <c r="B24513" i="1"/>
  <c r="C24513" i="1"/>
  <c r="A1994" i="1"/>
  <c r="B1994" i="1"/>
  <c r="C1994" i="1"/>
  <c r="A1993" i="1"/>
  <c r="B1993" i="1"/>
  <c r="C1993" i="1"/>
  <c r="A24820" i="1"/>
  <c r="B24820" i="1"/>
  <c r="C24820" i="1"/>
  <c r="A23125" i="1"/>
  <c r="B23125" i="1"/>
  <c r="C23125" i="1"/>
  <c r="A6206" i="1"/>
  <c r="B6206" i="1"/>
  <c r="C6206" i="1"/>
  <c r="A6201" i="1"/>
  <c r="B6201" i="1"/>
  <c r="C6201" i="1"/>
  <c r="A6207" i="1"/>
  <c r="B6207" i="1"/>
  <c r="C6207" i="1"/>
  <c r="A6204" i="1"/>
  <c r="B6204" i="1"/>
  <c r="C6204" i="1"/>
  <c r="A6203" i="1"/>
  <c r="B6203" i="1"/>
  <c r="C6203" i="1"/>
  <c r="A4247" i="1"/>
  <c r="B4247" i="1"/>
  <c r="C4247" i="1"/>
  <c r="A7547" i="1"/>
  <c r="B7547" i="1"/>
  <c r="C7547" i="1"/>
  <c r="A9495" i="1"/>
  <c r="B9495" i="1"/>
  <c r="C9495" i="1"/>
  <c r="A1098" i="1"/>
  <c r="B1098" i="1"/>
  <c r="C1098" i="1"/>
  <c r="A20524" i="1"/>
  <c r="B20524" i="1"/>
  <c r="C20524" i="1"/>
  <c r="A25489" i="1"/>
  <c r="B25489" i="1"/>
  <c r="C25489" i="1"/>
  <c r="A20032" i="1"/>
  <c r="B20032" i="1"/>
  <c r="C20032" i="1"/>
  <c r="A896" i="1"/>
  <c r="B896" i="1"/>
  <c r="C896" i="1"/>
  <c r="A22000" i="1"/>
  <c r="B22000" i="1"/>
  <c r="C22000" i="1"/>
  <c r="A21999" i="1"/>
  <c r="B21999" i="1"/>
  <c r="C21999" i="1"/>
  <c r="A759" i="1"/>
  <c r="B759" i="1"/>
  <c r="C759" i="1"/>
  <c r="A1137" i="1"/>
  <c r="B1137" i="1"/>
  <c r="C1137" i="1"/>
  <c r="A1156" i="1"/>
  <c r="B1156" i="1"/>
  <c r="C1156" i="1"/>
  <c r="A21531" i="1"/>
  <c r="B21531" i="1"/>
  <c r="C21531" i="1"/>
  <c r="A8177" i="1"/>
  <c r="B8177" i="1"/>
  <c r="C8177" i="1"/>
  <c r="A5367" i="1"/>
  <c r="B5367" i="1"/>
  <c r="C5367" i="1"/>
  <c r="A19183" i="1"/>
  <c r="B19183" i="1"/>
  <c r="C19183" i="1"/>
  <c r="A3566" i="1"/>
  <c r="B3566" i="1"/>
  <c r="C3566" i="1"/>
  <c r="A19106" i="1"/>
  <c r="B19106" i="1"/>
  <c r="C19106" i="1"/>
  <c r="A6225" i="1"/>
  <c r="B6225" i="1"/>
  <c r="C6225" i="1"/>
  <c r="A8337" i="1"/>
  <c r="B8337" i="1"/>
  <c r="C8337" i="1"/>
  <c r="A7367" i="1"/>
  <c r="B7367" i="1"/>
  <c r="C7367" i="1"/>
  <c r="A7381" i="1"/>
  <c r="B7381" i="1"/>
  <c r="C7381" i="1"/>
  <c r="A12346" i="1"/>
  <c r="B12346" i="1"/>
  <c r="C12346" i="1"/>
  <c r="A653" i="1"/>
  <c r="B653" i="1"/>
  <c r="C653" i="1"/>
  <c r="A61" i="1"/>
  <c r="B61" i="1"/>
  <c r="C61" i="1"/>
  <c r="A9531" i="1"/>
  <c r="B9531" i="1"/>
  <c r="C9531" i="1"/>
  <c r="A9530" i="1"/>
  <c r="B9530" i="1"/>
  <c r="C9530" i="1"/>
  <c r="A19452" i="1"/>
  <c r="B19452" i="1"/>
  <c r="C19452" i="1"/>
  <c r="A14165" i="1"/>
  <c r="B14165" i="1"/>
  <c r="C14165" i="1"/>
  <c r="A3973" i="1"/>
  <c r="B3973" i="1"/>
  <c r="C3973" i="1"/>
  <c r="A16050" i="1"/>
  <c r="B16050" i="1"/>
  <c r="C16050" i="1"/>
  <c r="A9677" i="1"/>
  <c r="B9677" i="1"/>
  <c r="C9677" i="1"/>
  <c r="A14161" i="1"/>
  <c r="B14161" i="1"/>
  <c r="C14161" i="1"/>
  <c r="A19451" i="1"/>
  <c r="B19451" i="1"/>
  <c r="C19451" i="1"/>
  <c r="A10895" i="1"/>
  <c r="B10895" i="1"/>
  <c r="C10895" i="1"/>
  <c r="A10891" i="1"/>
  <c r="B10891" i="1"/>
  <c r="C10891" i="1"/>
  <c r="A10704" i="1"/>
  <c r="B10704" i="1"/>
  <c r="C10704" i="1"/>
  <c r="A19465" i="1"/>
  <c r="B19465" i="1"/>
  <c r="C19465" i="1"/>
  <c r="A66" i="1"/>
  <c r="B66" i="1"/>
  <c r="C66" i="1"/>
  <c r="A13884" i="1"/>
  <c r="B13884" i="1"/>
  <c r="C13884" i="1"/>
  <c r="A21422" i="1"/>
  <c r="B21422" i="1"/>
  <c r="C21422" i="1"/>
  <c r="A23863" i="1"/>
  <c r="B23863" i="1"/>
  <c r="C23863" i="1"/>
  <c r="A20441" i="1"/>
  <c r="B20441" i="1"/>
  <c r="C20441" i="1"/>
  <c r="A8882" i="1"/>
  <c r="B8882" i="1"/>
  <c r="C8882" i="1"/>
  <c r="A16030" i="1"/>
  <c r="B16030" i="1"/>
  <c r="C16030" i="1"/>
  <c r="A23438" i="1"/>
  <c r="B23438" i="1"/>
  <c r="C23438" i="1"/>
  <c r="A24009" i="1"/>
  <c r="B24009" i="1"/>
  <c r="C24009" i="1"/>
  <c r="A11250" i="1"/>
  <c r="B11250" i="1"/>
  <c r="C11250" i="1"/>
  <c r="A11249" i="1"/>
  <c r="B11249" i="1"/>
  <c r="C11249" i="1"/>
  <c r="A11279" i="1"/>
  <c r="B11279" i="1"/>
  <c r="C11279" i="1"/>
  <c r="A3396" i="1"/>
  <c r="B3396" i="1"/>
  <c r="C3396" i="1"/>
  <c r="A3401" i="1"/>
  <c r="B3401" i="1"/>
  <c r="C3401" i="1"/>
  <c r="A20946" i="1"/>
  <c r="B20946" i="1"/>
  <c r="C20946" i="1"/>
  <c r="A15317" i="1"/>
  <c r="B15317" i="1"/>
  <c r="C15317" i="1"/>
  <c r="A4112" i="1"/>
  <c r="B4112" i="1"/>
  <c r="C4112" i="1"/>
  <c r="A1682" i="1"/>
  <c r="B1682" i="1"/>
  <c r="C1682" i="1"/>
  <c r="A21850" i="1"/>
  <c r="B21850" i="1"/>
  <c r="C21850" i="1"/>
  <c r="A7001" i="1"/>
  <c r="B7001" i="1"/>
  <c r="C7001" i="1"/>
  <c r="A23333" i="1"/>
  <c r="B23333" i="1"/>
  <c r="C23333" i="1"/>
  <c r="A12414" i="1"/>
  <c r="B12414" i="1"/>
  <c r="C12414" i="1"/>
  <c r="A5933" i="1"/>
  <c r="B5933" i="1"/>
  <c r="C5933" i="1"/>
  <c r="A5971" i="1"/>
  <c r="B5971" i="1"/>
  <c r="C5971" i="1"/>
  <c r="A17596" i="1"/>
  <c r="B17596" i="1"/>
  <c r="C17596" i="1"/>
  <c r="A17594" i="1"/>
  <c r="B17594" i="1"/>
  <c r="C17594" i="1"/>
  <c r="A17595" i="1"/>
  <c r="B17595" i="1"/>
  <c r="C17595" i="1"/>
  <c r="A19472" i="1"/>
  <c r="B19472" i="1"/>
  <c r="C19472" i="1"/>
  <c r="A25022" i="1"/>
  <c r="B25022" i="1"/>
  <c r="C25022" i="1"/>
  <c r="A4414" i="1"/>
  <c r="B4414" i="1"/>
  <c r="C4414" i="1"/>
  <c r="A21929" i="1"/>
  <c r="B21929" i="1"/>
  <c r="C21929" i="1"/>
  <c r="A18890" i="1"/>
  <c r="B18890" i="1"/>
  <c r="C18890" i="1"/>
  <c r="A17499" i="1"/>
  <c r="B17499" i="1"/>
  <c r="C17499" i="1"/>
  <c r="A1690" i="1"/>
  <c r="B1690" i="1"/>
  <c r="C1690" i="1"/>
  <c r="A3995" i="1"/>
  <c r="B3995" i="1"/>
  <c r="C3995" i="1"/>
  <c r="A24401" i="1"/>
  <c r="B24401" i="1"/>
  <c r="C24401" i="1"/>
  <c r="A16843" i="1"/>
  <c r="B16843" i="1"/>
  <c r="C16843" i="1"/>
  <c r="A3994" i="1"/>
  <c r="B3994" i="1"/>
  <c r="C3994" i="1"/>
  <c r="A24071" i="1"/>
  <c r="B24071" i="1"/>
  <c r="C24071" i="1"/>
  <c r="A16434" i="1"/>
  <c r="B16434" i="1"/>
  <c r="C16434" i="1"/>
  <c r="A23192" i="1"/>
  <c r="B23192" i="1"/>
  <c r="C23192" i="1"/>
  <c r="A24644" i="1"/>
  <c r="B24644" i="1"/>
  <c r="C24644" i="1"/>
  <c r="A8484" i="1"/>
  <c r="B8484" i="1"/>
  <c r="C8484" i="1"/>
  <c r="A3471" i="1"/>
  <c r="B3471" i="1"/>
  <c r="C3471" i="1"/>
  <c r="A7533" i="1"/>
  <c r="B7533" i="1"/>
  <c r="C7533" i="1"/>
  <c r="A3469" i="1"/>
  <c r="B3469" i="1"/>
  <c r="C3469" i="1"/>
  <c r="A24663" i="1"/>
  <c r="B24663" i="1"/>
  <c r="C24663" i="1"/>
  <c r="A20283" i="1"/>
  <c r="B20283" i="1"/>
  <c r="C20283" i="1"/>
  <c r="A14502" i="1"/>
  <c r="B14502" i="1"/>
  <c r="C14502" i="1"/>
  <c r="A16720" i="1"/>
  <c r="B16720" i="1"/>
  <c r="C16720" i="1"/>
  <c r="A17203" i="1"/>
  <c r="B17203" i="1"/>
  <c r="C17203" i="1"/>
  <c r="A13431" i="1"/>
  <c r="B13431" i="1"/>
  <c r="C13431" i="1"/>
  <c r="A13364" i="1"/>
  <c r="C13364" i="1"/>
  <c r="A520" i="1"/>
  <c r="B520" i="1"/>
  <c r="C520" i="1"/>
  <c r="A22921" i="1"/>
  <c r="B22921" i="1"/>
  <c r="C22921" i="1"/>
  <c r="A3773" i="1"/>
  <c r="B3773" i="1"/>
  <c r="C3773" i="1"/>
  <c r="A3778" i="1"/>
  <c r="B3778" i="1"/>
  <c r="C3778" i="1"/>
  <c r="A9686" i="1"/>
  <c r="B9686" i="1"/>
  <c r="C9686" i="1"/>
  <c r="A20035" i="1"/>
  <c r="B20035" i="1"/>
  <c r="C20035" i="1"/>
  <c r="A20273" i="1"/>
  <c r="B20273" i="1"/>
  <c r="C20273" i="1"/>
  <c r="A20291" i="1"/>
  <c r="B20291" i="1"/>
  <c r="C20291" i="1"/>
  <c r="A20270" i="1"/>
  <c r="B20270" i="1"/>
  <c r="C20270" i="1"/>
  <c r="A16150" i="1"/>
  <c r="B16150" i="1"/>
  <c r="C16150" i="1"/>
  <c r="A10721" i="1"/>
  <c r="B10721" i="1"/>
  <c r="C10721" i="1"/>
  <c r="A2813" i="1"/>
  <c r="B2813" i="1"/>
  <c r="C2813" i="1"/>
  <c r="A20281" i="1"/>
  <c r="B20281" i="1"/>
  <c r="C20281" i="1"/>
  <c r="A20027" i="1"/>
  <c r="B20027" i="1"/>
  <c r="C20027" i="1"/>
  <c r="A20046" i="1"/>
  <c r="B20046" i="1"/>
  <c r="C20046" i="1"/>
  <c r="A20047" i="1"/>
  <c r="B20047" i="1"/>
  <c r="C20047" i="1"/>
  <c r="A20049" i="1"/>
  <c r="B20049" i="1"/>
  <c r="C20049" i="1"/>
  <c r="A20050" i="1"/>
  <c r="B20050" i="1"/>
  <c r="C20050" i="1"/>
  <c r="A20036" i="1"/>
  <c r="B20036" i="1"/>
  <c r="C20036" i="1"/>
  <c r="A8124" i="1"/>
  <c r="B8124" i="1"/>
  <c r="C8124" i="1"/>
  <c r="A8141" i="1"/>
  <c r="B8141" i="1"/>
  <c r="C8141" i="1"/>
  <c r="A8136" i="1"/>
  <c r="B8136" i="1"/>
  <c r="C8136" i="1"/>
  <c r="A8108" i="1"/>
  <c r="B8108" i="1"/>
  <c r="C8108" i="1"/>
  <c r="A25484" i="1"/>
  <c r="B25484" i="1"/>
  <c r="C25484" i="1"/>
  <c r="A20887" i="1"/>
  <c r="B20887" i="1"/>
  <c r="C20887" i="1"/>
  <c r="A20927" i="1"/>
  <c r="B20927" i="1"/>
  <c r="C20927" i="1"/>
  <c r="A8191" i="1"/>
  <c r="B8191" i="1"/>
  <c r="C8191" i="1"/>
  <c r="A17957" i="1"/>
  <c r="B17957" i="1"/>
  <c r="C17957" i="1"/>
  <c r="A20305" i="1"/>
  <c r="B20305" i="1"/>
  <c r="C20305" i="1"/>
  <c r="A12292" i="1"/>
  <c r="B12292" i="1"/>
  <c r="C12292" i="1"/>
  <c r="A8827" i="1"/>
  <c r="B8827" i="1"/>
  <c r="C8827" i="1"/>
  <c r="A8401" i="1"/>
  <c r="B8401" i="1"/>
  <c r="C8401" i="1"/>
  <c r="A17205" i="1"/>
  <c r="B17205" i="1"/>
  <c r="C17205" i="1"/>
  <c r="A17024" i="1"/>
  <c r="B17024" i="1"/>
  <c r="C17024" i="1"/>
  <c r="A11400" i="1"/>
  <c r="B11400" i="1"/>
  <c r="C11400" i="1"/>
  <c r="A18639" i="1"/>
  <c r="B18639" i="1"/>
  <c r="C18639" i="1"/>
  <c r="A4693" i="1"/>
  <c r="B4693" i="1"/>
  <c r="C4693" i="1"/>
  <c r="A12395" i="1"/>
  <c r="B12395" i="1"/>
  <c r="C12395" i="1"/>
  <c r="A3153" i="1"/>
  <c r="B3153" i="1"/>
  <c r="C3153" i="1"/>
  <c r="A25391" i="1"/>
  <c r="B25391" i="1"/>
  <c r="C25391" i="1"/>
  <c r="A18307" i="1"/>
  <c r="B18307" i="1"/>
  <c r="C18307" i="1"/>
  <c r="A23830" i="1"/>
  <c r="B23830" i="1"/>
  <c r="C23830" i="1"/>
  <c r="A6599" i="1"/>
  <c r="B6599" i="1"/>
  <c r="C6599" i="1"/>
  <c r="A23658" i="1"/>
  <c r="B23658" i="1"/>
  <c r="C23658" i="1"/>
  <c r="A23629" i="1"/>
  <c r="B23629" i="1"/>
  <c r="C23629" i="1"/>
  <c r="A23630" i="1"/>
  <c r="B23630" i="1"/>
  <c r="C23630" i="1"/>
  <c r="A19535" i="1"/>
  <c r="B19535" i="1"/>
  <c r="C19535" i="1"/>
  <c r="A19504" i="1"/>
  <c r="B19504" i="1"/>
  <c r="C19504" i="1"/>
  <c r="A5521" i="1"/>
  <c r="B5521" i="1"/>
  <c r="C5521" i="1"/>
  <c r="A5518" i="1"/>
  <c r="B5518" i="1"/>
  <c r="C5518" i="1"/>
  <c r="A5519" i="1"/>
  <c r="B5519" i="1"/>
  <c r="C5519" i="1"/>
  <c r="A24645" i="1"/>
  <c r="B24645" i="1"/>
  <c r="C24645" i="1"/>
  <c r="A24649" i="1"/>
  <c r="B24649" i="1"/>
  <c r="C24649" i="1"/>
  <c r="A24642" i="1"/>
  <c r="B24642" i="1"/>
  <c r="C24642" i="1"/>
  <c r="A8462" i="1"/>
  <c r="B8462" i="1"/>
  <c r="C8462" i="1"/>
  <c r="A3980" i="1"/>
  <c r="B3980" i="1"/>
  <c r="C3980" i="1"/>
  <c r="A16852" i="1"/>
  <c r="B16852" i="1"/>
  <c r="C16852" i="1"/>
  <c r="A17446" i="1"/>
  <c r="B17446" i="1"/>
  <c r="C17446" i="1"/>
  <c r="A8218" i="1"/>
  <c r="B8218" i="1"/>
  <c r="C8218" i="1"/>
  <c r="A9824" i="1"/>
  <c r="B9824" i="1"/>
  <c r="C9824" i="1"/>
  <c r="A15142" i="1"/>
  <c r="B15142" i="1"/>
  <c r="C15142" i="1"/>
  <c r="A24641" i="1"/>
  <c r="B24641" i="1"/>
  <c r="C24641" i="1"/>
  <c r="A8355" i="1"/>
  <c r="B8355" i="1"/>
  <c r="C8355" i="1"/>
  <c r="A12550" i="1"/>
  <c r="B12550" i="1"/>
  <c r="C12550" i="1"/>
  <c r="A24758" i="1"/>
  <c r="B24758" i="1"/>
  <c r="C24758" i="1"/>
  <c r="A12652" i="1"/>
  <c r="B12652" i="1"/>
  <c r="C12652" i="1"/>
  <c r="A15465" i="1"/>
  <c r="B15465" i="1"/>
  <c r="C15465" i="1"/>
  <c r="A7718" i="1"/>
  <c r="B7718" i="1"/>
  <c r="C7718" i="1"/>
  <c r="A23799" i="1"/>
  <c r="B23799" i="1"/>
  <c r="C23799" i="1"/>
  <c r="A10292" i="1"/>
  <c r="B10292" i="1"/>
  <c r="C10292" i="1"/>
  <c r="A10290" i="1"/>
  <c r="B10290" i="1"/>
  <c r="C10290" i="1"/>
  <c r="A6253" i="1"/>
  <c r="B6253" i="1"/>
  <c r="C6253" i="1"/>
  <c r="A6222" i="1"/>
  <c r="B6222" i="1"/>
  <c r="C6222" i="1"/>
  <c r="A7178" i="1"/>
  <c r="B7178" i="1"/>
  <c r="C7178" i="1"/>
  <c r="A7337" i="1"/>
  <c r="B7337" i="1"/>
  <c r="C7337" i="1"/>
  <c r="A23597" i="1"/>
  <c r="B23597" i="1"/>
  <c r="C23597" i="1"/>
  <c r="A16582" i="1"/>
  <c r="B16582" i="1"/>
  <c r="C16582" i="1"/>
  <c r="A19069" i="1"/>
  <c r="B19069" i="1"/>
  <c r="C19069" i="1"/>
  <c r="A22674" i="1"/>
  <c r="B22674" i="1"/>
  <c r="C22674" i="1"/>
  <c r="A9789" i="1"/>
  <c r="B9789" i="1"/>
  <c r="C9789" i="1"/>
  <c r="A5522" i="1"/>
  <c r="B5522" i="1"/>
  <c r="C5522" i="1"/>
  <c r="A5523" i="1"/>
  <c r="B5523" i="1"/>
  <c r="C5523" i="1"/>
  <c r="A8591" i="1"/>
  <c r="B8591" i="1"/>
  <c r="C8591" i="1"/>
  <c r="A24643" i="1"/>
  <c r="B24643" i="1"/>
  <c r="C24643" i="1"/>
  <c r="A24646" i="1"/>
  <c r="B24646" i="1"/>
  <c r="C24646" i="1"/>
  <c r="A20410" i="1"/>
  <c r="B20410" i="1"/>
  <c r="C20410" i="1"/>
  <c r="A2901" i="1"/>
  <c r="B2901" i="1"/>
  <c r="C2901" i="1"/>
  <c r="A13388" i="1"/>
  <c r="B13388" i="1"/>
  <c r="C13388" i="1"/>
  <c r="A21759" i="1"/>
  <c r="B21759" i="1"/>
  <c r="C21759" i="1"/>
  <c r="A15494" i="1"/>
  <c r="B15494" i="1"/>
  <c r="C15494" i="1"/>
  <c r="A23891" i="1"/>
  <c r="B23891" i="1"/>
  <c r="C23891" i="1"/>
  <c r="A23953" i="1"/>
  <c r="B23953" i="1"/>
  <c r="C23953" i="1"/>
  <c r="A19021" i="1"/>
  <c r="B19021" i="1"/>
  <c r="C19021" i="1"/>
  <c r="A15950" i="1"/>
  <c r="B15950" i="1"/>
  <c r="C15950" i="1"/>
  <c r="A24256" i="1"/>
  <c r="B24256" i="1"/>
  <c r="C24256" i="1"/>
  <c r="A19955" i="1"/>
  <c r="B19955" i="1"/>
  <c r="C19955" i="1"/>
  <c r="A16847" i="1"/>
  <c r="B16847" i="1"/>
  <c r="C16847" i="1"/>
  <c r="A9954" i="1"/>
  <c r="B9954" i="1"/>
  <c r="C9954" i="1"/>
  <c r="A20966" i="1"/>
  <c r="B20966" i="1"/>
  <c r="C20966" i="1"/>
  <c r="A13216" i="1"/>
  <c r="B13216" i="1"/>
  <c r="C13216" i="1"/>
  <c r="A20300" i="1"/>
  <c r="B20300" i="1"/>
  <c r="C20300" i="1"/>
  <c r="A22163" i="1"/>
  <c r="B22163" i="1"/>
  <c r="C22163" i="1"/>
  <c r="A24325" i="1"/>
  <c r="B24325" i="1"/>
  <c r="C24325" i="1"/>
  <c r="A17336" i="1"/>
  <c r="B17336" i="1"/>
  <c r="C17336" i="1"/>
  <c r="A23806" i="1"/>
  <c r="B23806" i="1"/>
  <c r="C23806" i="1"/>
  <c r="A17860" i="1"/>
  <c r="B17860" i="1"/>
  <c r="C17860" i="1"/>
  <c r="A5182" i="1"/>
  <c r="B5182" i="1"/>
  <c r="C5182" i="1"/>
  <c r="A24362" i="1"/>
  <c r="B24362" i="1"/>
  <c r="C24362" i="1"/>
  <c r="A19464" i="1"/>
  <c r="B19464" i="1"/>
  <c r="C19464" i="1"/>
  <c r="A17846" i="1"/>
  <c r="B17846" i="1"/>
  <c r="C17846" i="1"/>
  <c r="A16047" i="1"/>
  <c r="B16047" i="1"/>
  <c r="C16047" i="1"/>
  <c r="A5743" i="1"/>
  <c r="B5743" i="1"/>
  <c r="C5743" i="1"/>
  <c r="A13636" i="1"/>
  <c r="B13636" i="1"/>
  <c r="C13636" i="1"/>
  <c r="A698" i="1"/>
  <c r="B698" i="1"/>
  <c r="C698" i="1"/>
  <c r="A12290" i="1"/>
  <c r="B12290" i="1"/>
  <c r="C12290" i="1"/>
  <c r="A18661" i="1"/>
  <c r="B18661" i="1"/>
  <c r="C18661" i="1"/>
  <c r="A18660" i="1"/>
  <c r="B18660" i="1"/>
  <c r="C18660" i="1"/>
  <c r="A13187" i="1"/>
  <c r="B13187" i="1"/>
  <c r="C13187" i="1"/>
  <c r="A8116" i="1"/>
  <c r="B8116" i="1"/>
  <c r="C8116" i="1"/>
  <c r="A15996" i="1"/>
  <c r="B15996" i="1"/>
  <c r="C15996" i="1"/>
  <c r="A11967" i="1"/>
  <c r="B11967" i="1"/>
  <c r="C11967" i="1"/>
  <c r="A6319" i="1"/>
  <c r="B6319" i="1"/>
  <c r="C6319" i="1"/>
  <c r="A18342" i="1"/>
  <c r="B18342" i="1"/>
  <c r="C18342" i="1"/>
  <c r="A14121" i="1"/>
  <c r="B14121" i="1"/>
  <c r="C14121" i="1"/>
  <c r="A14117" i="1"/>
  <c r="B14117" i="1"/>
  <c r="C14117" i="1"/>
  <c r="A14816" i="1"/>
  <c r="B14816" i="1"/>
  <c r="C14816" i="1"/>
  <c r="A9500" i="1"/>
  <c r="B9500" i="1"/>
  <c r="C9500" i="1"/>
  <c r="A16684" i="1"/>
  <c r="B16684" i="1"/>
  <c r="C16684" i="1"/>
  <c r="A20009" i="1"/>
  <c r="B20009" i="1"/>
  <c r="C20009" i="1"/>
  <c r="A13567" i="1"/>
  <c r="B13567" i="1"/>
  <c r="C13567" i="1"/>
  <c r="A20485" i="1"/>
  <c r="B20485" i="1"/>
  <c r="C20485" i="1"/>
  <c r="A1476" i="1"/>
  <c r="B1476" i="1"/>
  <c r="C1476" i="1"/>
  <c r="A886" i="1"/>
  <c r="B886" i="1"/>
  <c r="C886" i="1"/>
  <c r="A9386" i="1"/>
  <c r="B9386" i="1"/>
  <c r="C9386" i="1"/>
  <c r="A13572" i="1"/>
  <c r="B13572" i="1"/>
  <c r="C13572" i="1"/>
  <c r="A17910" i="1"/>
  <c r="B17910" i="1"/>
  <c r="C17910" i="1"/>
  <c r="A8417" i="1"/>
  <c r="B8417" i="1"/>
  <c r="C8417" i="1"/>
  <c r="A23970" i="1"/>
  <c r="B23970" i="1"/>
  <c r="C23970" i="1"/>
  <c r="A23969" i="1"/>
  <c r="B23969" i="1"/>
  <c r="C23969" i="1"/>
  <c r="A19027" i="1"/>
  <c r="B19027" i="1"/>
  <c r="C19027" i="1"/>
  <c r="A686" i="1"/>
  <c r="B686" i="1"/>
  <c r="C686" i="1"/>
  <c r="A10803" i="1"/>
  <c r="B10803" i="1"/>
  <c r="C10803" i="1"/>
  <c r="A14841" i="1"/>
  <c r="B14841" i="1"/>
  <c r="C14841" i="1"/>
  <c r="A24714" i="1"/>
  <c r="B24714" i="1"/>
  <c r="C24714" i="1"/>
  <c r="A6833" i="1"/>
  <c r="B6833" i="1"/>
  <c r="C6833" i="1"/>
  <c r="A6824" i="1"/>
  <c r="B6824" i="1"/>
  <c r="C6824" i="1"/>
  <c r="A11820" i="1"/>
  <c r="B11820" i="1"/>
  <c r="C11820" i="1"/>
  <c r="A11822" i="1"/>
  <c r="B11822" i="1"/>
  <c r="C11822" i="1"/>
  <c r="A23828" i="1"/>
  <c r="B23828" i="1"/>
  <c r="C23828" i="1"/>
  <c r="A23827" i="1"/>
  <c r="B23827" i="1"/>
  <c r="C23827" i="1"/>
  <c r="A16614" i="1"/>
  <c r="B16614" i="1"/>
  <c r="C16614" i="1"/>
  <c r="A22447" i="1"/>
  <c r="B22447" i="1"/>
  <c r="C22447" i="1"/>
  <c r="A21767" i="1"/>
  <c r="B21767" i="1"/>
  <c r="C21767" i="1"/>
  <c r="A11892" i="1"/>
  <c r="B11892" i="1"/>
  <c r="C11892" i="1"/>
  <c r="A1532" i="1"/>
  <c r="B1532" i="1"/>
  <c r="C1532" i="1"/>
  <c r="A22961" i="1"/>
  <c r="B22961" i="1"/>
  <c r="C22961" i="1"/>
  <c r="A14818" i="1"/>
  <c r="B14818" i="1"/>
  <c r="C14818" i="1"/>
  <c r="A25556" i="1"/>
  <c r="B25556" i="1"/>
  <c r="C25556" i="1"/>
  <c r="A17045" i="1"/>
  <c r="B17045" i="1"/>
  <c r="C17045" i="1"/>
  <c r="A6078" i="1"/>
  <c r="B6078" i="1"/>
  <c r="C6078" i="1"/>
  <c r="A11927" i="1"/>
  <c r="B11927" i="1"/>
  <c r="C11927" i="1"/>
  <c r="A3671" i="1"/>
  <c r="B3671" i="1"/>
  <c r="C3671" i="1"/>
  <c r="A7266" i="1"/>
  <c r="B7266" i="1"/>
  <c r="C7266" i="1"/>
  <c r="A13422" i="1"/>
  <c r="B13422" i="1"/>
  <c r="C13422" i="1"/>
  <c r="A20011" i="1"/>
  <c r="B20011" i="1"/>
  <c r="C20011" i="1"/>
  <c r="A17920" i="1"/>
  <c r="B17920" i="1"/>
  <c r="C17920" i="1"/>
  <c r="A6805" i="1"/>
  <c r="B6805" i="1"/>
  <c r="C6805" i="1"/>
  <c r="A1661" i="1"/>
  <c r="B1661" i="1"/>
  <c r="C1661" i="1"/>
  <c r="A10752" i="1"/>
  <c r="B10752" i="1"/>
  <c r="C10752" i="1"/>
  <c r="A10749" i="1"/>
  <c r="B10749" i="1"/>
  <c r="C10749" i="1"/>
  <c r="A7333" i="1"/>
  <c r="B7333" i="1"/>
  <c r="C7333" i="1"/>
  <c r="A12228" i="1"/>
  <c r="B12228" i="1"/>
  <c r="C12228" i="1"/>
  <c r="A1196" i="1"/>
  <c r="B1196" i="1"/>
  <c r="C1196" i="1"/>
  <c r="A2230" i="1"/>
  <c r="B2230" i="1"/>
  <c r="C2230" i="1"/>
  <c r="A12240" i="1"/>
  <c r="B12240" i="1"/>
  <c r="C12240" i="1"/>
  <c r="A12655" i="1"/>
  <c r="B12655" i="1"/>
  <c r="C12655" i="1"/>
  <c r="A14815" i="1"/>
  <c r="B14815" i="1"/>
  <c r="C14815" i="1"/>
  <c r="A2966" i="1"/>
  <c r="B2966" i="1"/>
  <c r="C2966" i="1"/>
  <c r="A22575" i="1"/>
  <c r="B22575" i="1"/>
  <c r="C22575" i="1"/>
  <c r="A20938" i="1"/>
  <c r="B20938" i="1"/>
  <c r="C20938" i="1"/>
  <c r="A20760" i="1"/>
  <c r="B20760" i="1"/>
  <c r="C20760" i="1"/>
  <c r="A23805" i="1"/>
  <c r="B23805" i="1"/>
  <c r="C23805" i="1"/>
  <c r="A18863" i="1"/>
  <c r="B18863" i="1"/>
  <c r="C18863" i="1"/>
  <c r="A5439" i="1"/>
  <c r="B5439" i="1"/>
  <c r="C5439" i="1"/>
  <c r="A14929" i="1"/>
  <c r="B14929" i="1"/>
  <c r="C14929" i="1"/>
  <c r="A24323" i="1"/>
  <c r="B24323" i="1"/>
  <c r="C24323" i="1"/>
  <c r="A11978" i="1"/>
  <c r="B11978" i="1"/>
  <c r="C11978" i="1"/>
  <c r="A17069" i="1"/>
  <c r="B17069" i="1"/>
  <c r="C17069" i="1"/>
  <c r="A22946" i="1"/>
  <c r="B22946" i="1"/>
  <c r="C22946" i="1"/>
  <c r="A14434" i="1"/>
  <c r="B14434" i="1"/>
  <c r="C14434" i="1"/>
  <c r="A13770" i="1"/>
  <c r="B13770" i="1"/>
  <c r="C13770" i="1"/>
  <c r="A22933" i="1"/>
  <c r="B22933" i="1"/>
  <c r="C22933" i="1"/>
  <c r="A24684" i="1"/>
  <c r="B24684" i="1"/>
  <c r="C24684" i="1"/>
  <c r="A8461" i="1"/>
  <c r="B8461" i="1"/>
  <c r="C8461" i="1"/>
  <c r="A13608" i="1"/>
  <c r="B13608" i="1"/>
  <c r="C13608" i="1"/>
  <c r="A24324" i="1"/>
  <c r="B24324" i="1"/>
  <c r="C24324" i="1"/>
  <c r="A13599" i="1"/>
  <c r="B13599" i="1"/>
  <c r="C13599" i="1"/>
  <c r="A17155" i="1"/>
  <c r="B17155" i="1"/>
  <c r="C17155" i="1"/>
  <c r="A21527" i="1"/>
  <c r="B21527" i="1"/>
  <c r="C21527" i="1"/>
  <c r="A15692" i="1"/>
  <c r="B15692" i="1"/>
  <c r="C15692" i="1"/>
  <c r="A18743" i="1"/>
  <c r="B18743" i="1"/>
  <c r="C18743" i="1"/>
  <c r="A13452" i="1"/>
  <c r="B13452" i="1"/>
  <c r="C13452" i="1"/>
  <c r="A11384" i="1"/>
  <c r="B11384" i="1"/>
  <c r="C11384" i="1"/>
  <c r="A18921" i="1"/>
  <c r="B18921" i="1"/>
  <c r="C18921" i="1"/>
  <c r="A18925" i="1"/>
  <c r="B18925" i="1"/>
  <c r="C18925" i="1"/>
  <c r="A23890" i="1"/>
  <c r="B23890" i="1"/>
  <c r="C23890" i="1"/>
  <c r="A15487" i="1"/>
  <c r="B15487" i="1"/>
  <c r="C15487" i="1"/>
  <c r="A21644" i="1"/>
  <c r="B21644" i="1"/>
  <c r="C21644" i="1"/>
  <c r="A20870" i="1"/>
  <c r="B20870" i="1"/>
  <c r="C20870" i="1"/>
  <c r="A11505" i="1"/>
  <c r="B11505" i="1"/>
  <c r="C11505" i="1"/>
  <c r="A6983" i="1"/>
  <c r="B6983" i="1"/>
  <c r="C6983" i="1"/>
  <c r="A20667" i="1"/>
  <c r="B20667" i="1"/>
  <c r="C20667" i="1"/>
  <c r="A14182" i="1"/>
  <c r="B14182" i="1"/>
  <c r="C14182" i="1"/>
  <c r="A17206" i="1"/>
  <c r="B17206" i="1"/>
  <c r="C17206" i="1"/>
  <c r="A14319" i="1"/>
  <c r="B14319" i="1"/>
  <c r="C14319" i="1"/>
  <c r="A23218" i="1"/>
  <c r="B23218" i="1"/>
  <c r="C23218" i="1"/>
  <c r="A4808" i="1"/>
  <c r="B4808" i="1"/>
  <c r="C4808" i="1"/>
  <c r="A6619" i="1"/>
  <c r="B6619" i="1"/>
  <c r="C6619" i="1"/>
  <c r="A10451" i="1"/>
  <c r="B10451" i="1"/>
  <c r="C10451" i="1"/>
  <c r="A3533" i="1"/>
  <c r="B3533" i="1"/>
  <c r="C3533" i="1"/>
  <c r="A23982" i="1"/>
  <c r="B23982" i="1"/>
  <c r="C23982" i="1"/>
  <c r="A23983" i="1"/>
  <c r="B23983" i="1"/>
  <c r="C23983" i="1"/>
  <c r="A18601" i="1"/>
  <c r="B18601" i="1"/>
  <c r="C18601" i="1"/>
  <c r="A22991" i="1"/>
  <c r="B22991" i="1"/>
  <c r="C22991" i="1"/>
  <c r="A8288" i="1"/>
  <c r="B8288" i="1"/>
  <c r="C8288" i="1"/>
  <c r="A14330" i="1"/>
  <c r="B14330" i="1"/>
  <c r="C14330" i="1"/>
  <c r="A22655" i="1"/>
  <c r="B22655" i="1"/>
  <c r="C22655" i="1"/>
  <c r="A5218" i="1"/>
  <c r="B5218" i="1"/>
  <c r="C5218" i="1"/>
  <c r="A8348" i="1"/>
  <c r="B8348" i="1"/>
  <c r="C8348" i="1"/>
  <c r="A23084" i="1"/>
  <c r="B23084" i="1"/>
  <c r="C23084" i="1"/>
  <c r="A20685" i="1"/>
  <c r="B20685" i="1"/>
  <c r="C20685" i="1"/>
  <c r="A22290" i="1"/>
  <c r="B22290" i="1"/>
  <c r="C22290" i="1"/>
  <c r="A20497" i="1"/>
  <c r="B20497" i="1"/>
  <c r="C20497" i="1"/>
  <c r="A24373" i="1"/>
  <c r="B24373" i="1"/>
  <c r="C24373" i="1"/>
  <c r="A18752" i="1"/>
  <c r="B18752" i="1"/>
  <c r="C18752" i="1"/>
  <c r="A20043" i="1"/>
  <c r="B20043" i="1"/>
  <c r="C20043" i="1"/>
  <c r="A13624" i="1"/>
  <c r="B13624" i="1"/>
  <c r="C13624" i="1"/>
  <c r="A20582" i="1"/>
  <c r="B20582" i="1"/>
  <c r="C20582" i="1"/>
  <c r="A9463" i="1"/>
  <c r="B9463" i="1"/>
  <c r="C9463" i="1"/>
  <c r="A23335" i="1"/>
  <c r="B23335" i="1"/>
  <c r="C23335" i="1"/>
  <c r="A24995" i="1"/>
  <c r="B24995" i="1"/>
  <c r="C24995" i="1"/>
  <c r="A19528" i="1"/>
  <c r="B19528" i="1"/>
  <c r="C19528" i="1"/>
  <c r="A12710" i="1"/>
  <c r="B12710" i="1"/>
  <c r="C12710" i="1"/>
  <c r="A19950" i="1"/>
  <c r="B19950" i="1"/>
  <c r="C19950" i="1"/>
  <c r="A1744" i="1"/>
  <c r="B1744" i="1"/>
  <c r="C1744" i="1"/>
  <c r="A8435" i="1"/>
  <c r="B8435" i="1"/>
  <c r="C8435" i="1"/>
  <c r="A17798" i="1"/>
  <c r="B17798" i="1"/>
  <c r="C17798" i="1"/>
  <c r="A8826" i="1"/>
  <c r="B8826" i="1"/>
  <c r="C8826" i="1"/>
  <c r="A19479" i="1"/>
  <c r="B19479" i="1"/>
  <c r="C19479" i="1"/>
  <c r="A14111" i="1"/>
  <c r="B14111" i="1"/>
  <c r="C14111" i="1"/>
  <c r="A24895" i="1"/>
  <c r="B24895" i="1"/>
  <c r="C24895" i="1"/>
  <c r="A20517" i="1"/>
  <c r="B20517" i="1"/>
  <c r="C20517" i="1"/>
  <c r="A7685" i="1"/>
  <c r="B7685" i="1"/>
  <c r="C7685" i="1"/>
  <c r="A24761" i="1"/>
  <c r="B24761" i="1"/>
  <c r="C24761" i="1"/>
  <c r="A16575" i="1"/>
  <c r="B16575" i="1"/>
  <c r="C16575" i="1"/>
  <c r="A8105" i="1"/>
  <c r="B8105" i="1"/>
  <c r="C8105" i="1"/>
  <c r="A10465" i="1"/>
  <c r="B10465" i="1"/>
  <c r="C10465" i="1"/>
  <c r="A20492" i="1"/>
  <c r="B20492" i="1"/>
  <c r="C20492" i="1"/>
  <c r="A8165" i="1"/>
  <c r="B8165" i="1"/>
  <c r="C8165" i="1"/>
  <c r="A24912" i="1"/>
  <c r="B24912" i="1"/>
  <c r="C24912" i="1"/>
  <c r="A12217" i="1"/>
  <c r="B12217" i="1"/>
  <c r="C12217" i="1"/>
  <c r="A20113" i="1"/>
  <c r="B20113" i="1"/>
  <c r="C20113" i="1"/>
  <c r="A8204" i="1"/>
  <c r="B8204" i="1"/>
  <c r="C8204" i="1"/>
  <c r="A14273" i="1"/>
  <c r="B14273" i="1"/>
  <c r="C14273" i="1"/>
  <c r="A20013" i="1"/>
  <c r="B20013" i="1"/>
  <c r="C20013" i="1"/>
  <c r="A3455" i="1"/>
  <c r="B3455" i="1"/>
  <c r="C3455" i="1"/>
  <c r="A25057" i="1"/>
  <c r="B25057" i="1"/>
  <c r="C25057" i="1"/>
  <c r="A20964" i="1"/>
  <c r="B20964" i="1"/>
  <c r="C20964" i="1"/>
  <c r="A3457" i="1"/>
  <c r="B3457" i="1"/>
  <c r="C3457" i="1"/>
  <c r="A3464" i="1"/>
  <c r="B3464" i="1"/>
  <c r="C3464" i="1"/>
  <c r="A17810" i="1"/>
  <c r="B17810" i="1"/>
  <c r="C17810" i="1"/>
  <c r="A17894" i="1"/>
  <c r="B17894" i="1"/>
  <c r="C17894" i="1"/>
  <c r="A18640" i="1"/>
  <c r="B18640" i="1"/>
  <c r="C18640" i="1"/>
  <c r="A3617" i="1"/>
  <c r="B3617" i="1"/>
  <c r="C3617" i="1"/>
  <c r="A25700" i="1"/>
  <c r="B25700" i="1"/>
  <c r="C25700" i="1"/>
  <c r="A2675" i="1"/>
  <c r="B2675" i="1"/>
  <c r="C2675" i="1"/>
  <c r="A22392" i="1"/>
  <c r="B22392" i="1"/>
  <c r="C22392" i="1"/>
  <c r="A12039" i="1"/>
  <c r="B12039" i="1"/>
  <c r="C12039" i="1"/>
  <c r="A3460" i="1"/>
  <c r="B3460" i="1"/>
  <c r="C3460" i="1"/>
  <c r="A9901" i="1"/>
  <c r="B9901" i="1"/>
  <c r="C9901" i="1"/>
  <c r="A17795" i="1"/>
  <c r="B17795" i="1"/>
  <c r="C17795" i="1"/>
  <c r="A3585" i="1"/>
  <c r="B3585" i="1"/>
  <c r="C3585" i="1"/>
  <c r="A3594" i="1"/>
  <c r="B3594" i="1"/>
  <c r="C3594" i="1"/>
  <c r="A17855" i="1"/>
  <c r="B17855" i="1"/>
  <c r="C17855" i="1"/>
  <c r="A18731" i="1"/>
  <c r="B18731" i="1"/>
  <c r="C18731" i="1"/>
  <c r="A12294" i="1"/>
  <c r="B12294" i="1"/>
  <c r="C12294" i="1"/>
  <c r="A24904" i="1"/>
  <c r="B24904" i="1"/>
  <c r="C24904" i="1"/>
  <c r="A3462" i="1"/>
  <c r="B3462" i="1"/>
  <c r="C3462" i="1"/>
  <c r="A18621" i="1"/>
  <c r="B18621" i="1"/>
  <c r="C18621" i="1"/>
  <c r="A24825" i="1"/>
  <c r="B24825" i="1"/>
  <c r="C24825" i="1"/>
  <c r="A24512" i="1"/>
  <c r="B24512" i="1"/>
  <c r="C24512" i="1"/>
  <c r="A8444" i="1"/>
  <c r="B8444" i="1"/>
  <c r="C8444" i="1"/>
  <c r="A23253" i="1"/>
  <c r="B23253" i="1"/>
  <c r="C23253" i="1"/>
  <c r="A17580" i="1"/>
  <c r="B17580" i="1"/>
  <c r="C17580" i="1"/>
  <c r="A19598" i="1"/>
  <c r="B19598" i="1"/>
  <c r="C19598" i="1"/>
  <c r="A17909" i="1"/>
  <c r="B17909" i="1"/>
  <c r="C17909" i="1"/>
  <c r="A14905" i="1"/>
  <c r="B14905" i="1"/>
  <c r="C14905" i="1"/>
  <c r="A8342" i="1"/>
  <c r="B8342" i="1"/>
  <c r="C8342" i="1"/>
  <c r="A14548" i="1"/>
  <c r="B14548" i="1"/>
  <c r="C14548" i="1"/>
  <c r="A16466" i="1"/>
  <c r="B16466" i="1"/>
  <c r="C16466" i="1"/>
  <c r="A19763" i="1"/>
  <c r="B19763" i="1"/>
  <c r="C19763" i="1"/>
  <c r="A11933" i="1"/>
  <c r="B11933" i="1"/>
  <c r="C11933" i="1"/>
  <c r="A3449" i="1"/>
  <c r="B3449" i="1"/>
  <c r="C3449" i="1"/>
  <c r="A3445" i="1"/>
  <c r="B3445" i="1"/>
  <c r="C3445" i="1"/>
  <c r="A3446" i="1"/>
  <c r="B3446" i="1"/>
  <c r="C3446" i="1"/>
  <c r="A3447" i="1"/>
  <c r="B3447" i="1"/>
  <c r="C3447" i="1"/>
  <c r="A3444" i="1"/>
  <c r="B3444" i="1"/>
  <c r="C3444" i="1"/>
  <c r="A20575" i="1"/>
  <c r="B20575" i="1"/>
  <c r="C20575" i="1"/>
  <c r="A3392" i="1"/>
  <c r="B3392" i="1"/>
  <c r="C3392" i="1"/>
  <c r="A3395" i="1"/>
  <c r="B3395" i="1"/>
  <c r="C3395" i="1"/>
  <c r="A15118" i="1"/>
  <c r="B15118" i="1"/>
  <c r="C15118" i="1"/>
  <c r="A20491" i="1"/>
  <c r="B20491" i="1"/>
  <c r="C20491" i="1"/>
  <c r="A15116" i="1"/>
  <c r="B15116" i="1"/>
  <c r="C15116" i="1"/>
  <c r="A6557" i="1"/>
  <c r="B6557" i="1"/>
  <c r="C6557" i="1"/>
  <c r="A24826" i="1"/>
  <c r="B24826" i="1"/>
  <c r="C24826" i="1"/>
  <c r="A8441" i="1"/>
  <c r="B8441" i="1"/>
  <c r="C8441" i="1"/>
  <c r="A19502" i="1"/>
  <c r="B19502" i="1"/>
  <c r="C19502" i="1"/>
  <c r="A23233" i="1"/>
  <c r="B23233" i="1"/>
  <c r="C23233" i="1"/>
  <c r="A23236" i="1"/>
  <c r="B23236" i="1"/>
  <c r="C23236" i="1"/>
  <c r="A21813" i="1"/>
  <c r="B21813" i="1"/>
  <c r="C21813" i="1"/>
  <c r="A16726" i="1"/>
  <c r="B16726" i="1"/>
  <c r="C16726" i="1"/>
  <c r="A2239" i="1"/>
  <c r="B2239" i="1"/>
  <c r="C2239" i="1"/>
  <c r="A19590" i="1"/>
  <c r="B19590" i="1"/>
  <c r="C19590" i="1"/>
  <c r="A19593" i="1"/>
  <c r="B19593" i="1"/>
  <c r="C19593" i="1"/>
  <c r="A19595" i="1"/>
  <c r="B19595" i="1"/>
  <c r="C19595" i="1"/>
  <c r="A19604" i="1"/>
  <c r="B19604" i="1"/>
  <c r="C19604" i="1"/>
  <c r="A19610" i="1"/>
  <c r="B19610" i="1"/>
  <c r="C19610" i="1"/>
  <c r="A25003" i="1"/>
  <c r="B25003" i="1"/>
  <c r="C25003" i="1"/>
  <c r="A24903" i="1"/>
  <c r="B24903" i="1"/>
  <c r="C24903" i="1"/>
  <c r="A24997" i="1"/>
  <c r="B24997" i="1"/>
  <c r="C24997" i="1"/>
  <c r="A24824" i="1"/>
  <c r="B24824" i="1"/>
  <c r="C24824" i="1"/>
  <c r="A8490" i="1"/>
  <c r="B8490" i="1"/>
  <c r="C8490" i="1"/>
  <c r="A20684" i="1"/>
  <c r="B20684" i="1"/>
  <c r="C20684" i="1"/>
  <c r="A8485" i="1"/>
  <c r="B8485" i="1"/>
  <c r="C8485" i="1"/>
  <c r="A24768" i="1"/>
  <c r="B24768" i="1"/>
  <c r="C24768" i="1"/>
  <c r="A16435" i="1"/>
  <c r="B16435" i="1"/>
  <c r="C16435" i="1"/>
  <c r="A8318" i="1"/>
  <c r="B8318" i="1"/>
  <c r="C8318" i="1"/>
  <c r="A23255" i="1"/>
  <c r="B23255" i="1"/>
  <c r="C23255" i="1"/>
  <c r="A23239" i="1"/>
  <c r="B23239" i="1"/>
  <c r="C23239" i="1"/>
  <c r="A14865" i="1"/>
  <c r="B14865" i="1"/>
  <c r="C14865" i="1"/>
  <c r="A18677" i="1"/>
  <c r="B18677" i="1"/>
  <c r="C18677" i="1"/>
  <c r="A14324" i="1"/>
  <c r="B14324" i="1"/>
  <c r="C14324" i="1"/>
  <c r="A8939" i="1"/>
  <c r="B8939" i="1"/>
  <c r="C8939" i="1"/>
  <c r="A16477" i="1"/>
  <c r="B16477" i="1"/>
  <c r="C16477" i="1"/>
  <c r="A20163" i="1"/>
  <c r="B20163" i="1"/>
  <c r="C20163" i="1"/>
  <c r="A20164" i="1"/>
  <c r="B20164" i="1"/>
  <c r="C20164" i="1"/>
  <c r="A18215" i="1"/>
  <c r="B18215" i="1"/>
  <c r="C18215" i="1"/>
  <c r="A11864" i="1"/>
  <c r="B11864" i="1"/>
  <c r="C11864" i="1"/>
  <c r="A12084" i="1"/>
  <c r="B12084" i="1"/>
  <c r="C12084" i="1"/>
  <c r="A25441" i="1"/>
  <c r="B25441" i="1"/>
  <c r="C25441" i="1"/>
  <c r="A5329" i="1"/>
  <c r="B5329" i="1"/>
  <c r="C5329" i="1"/>
  <c r="A24770" i="1"/>
  <c r="B24770" i="1"/>
  <c r="C24770" i="1"/>
  <c r="A19741" i="1"/>
  <c r="B19741" i="1"/>
  <c r="C19741" i="1"/>
  <c r="A17998" i="1"/>
  <c r="B17998" i="1"/>
  <c r="C17998" i="1"/>
  <c r="A4902" i="1"/>
  <c r="B4902" i="1"/>
  <c r="C4902" i="1"/>
  <c r="A17999" i="1"/>
  <c r="B17999" i="1"/>
  <c r="C17999" i="1"/>
  <c r="A25042" i="1"/>
  <c r="B25042" i="1"/>
  <c r="C25042" i="1"/>
  <c r="A7763" i="1"/>
  <c r="B7763" i="1"/>
  <c r="C7763" i="1"/>
  <c r="A25040" i="1"/>
  <c r="B25040" i="1"/>
  <c r="C25040" i="1"/>
  <c r="A19471" i="1"/>
  <c r="B19471" i="1"/>
  <c r="C19471" i="1"/>
  <c r="A18420" i="1"/>
  <c r="B18420" i="1"/>
  <c r="C18420" i="1"/>
  <c r="A10710" i="1"/>
  <c r="B10710" i="1"/>
  <c r="C10710" i="1"/>
  <c r="A10711" i="1"/>
  <c r="B10711" i="1"/>
  <c r="C10711" i="1"/>
  <c r="A14197" i="1"/>
  <c r="B14197" i="1"/>
  <c r="C14197" i="1"/>
  <c r="A9796" i="1"/>
  <c r="B9796" i="1"/>
  <c r="C9796" i="1"/>
  <c r="A3078" i="1"/>
  <c r="B3078" i="1"/>
  <c r="C3078" i="1"/>
  <c r="A15374" i="1"/>
  <c r="B15374" i="1"/>
  <c r="C15374" i="1"/>
  <c r="A1143" i="1"/>
  <c r="B1143" i="1"/>
  <c r="C1143" i="1"/>
  <c r="A1142" i="1"/>
  <c r="B1142" i="1"/>
  <c r="C1142" i="1"/>
  <c r="A2229" i="1"/>
  <c r="B2229" i="1"/>
  <c r="C2229" i="1"/>
  <c r="A25326" i="1"/>
  <c r="B25326" i="1"/>
  <c r="C25326" i="1"/>
  <c r="A11968" i="1"/>
  <c r="B11968" i="1"/>
  <c r="C11968" i="1"/>
  <c r="A25105" i="1"/>
  <c r="B25105" i="1"/>
  <c r="C25105" i="1"/>
  <c r="A17286" i="1"/>
  <c r="B17286" i="1"/>
  <c r="C17286" i="1"/>
  <c r="A3571" i="1"/>
  <c r="B3571" i="1"/>
  <c r="C3571" i="1"/>
  <c r="A23582" i="1"/>
  <c r="B23582" i="1"/>
  <c r="C23582" i="1"/>
  <c r="A2307" i="1"/>
  <c r="B2307" i="1"/>
  <c r="C2307" i="1"/>
  <c r="A2306" i="1"/>
  <c r="B2306" i="1"/>
  <c r="C2306" i="1"/>
  <c r="A20081" i="1"/>
  <c r="B20081" i="1"/>
  <c r="C20081" i="1"/>
  <c r="A23949" i="1"/>
  <c r="B23949" i="1"/>
  <c r="C23949" i="1"/>
  <c r="A14864" i="1"/>
  <c r="B14864" i="1"/>
  <c r="C14864" i="1"/>
  <c r="A18675" i="1"/>
  <c r="B18675" i="1"/>
  <c r="C18675" i="1"/>
  <c r="A8450" i="1"/>
  <c r="B8450" i="1"/>
  <c r="C8450" i="1"/>
  <c r="A25002" i="1"/>
  <c r="B25002" i="1"/>
  <c r="C25002" i="1"/>
  <c r="A20886" i="1"/>
  <c r="B20886" i="1"/>
  <c r="C20886" i="1"/>
  <c r="A25327" i="1"/>
  <c r="B25327" i="1"/>
  <c r="C25327" i="1"/>
  <c r="A24701" i="1"/>
  <c r="B24701" i="1"/>
  <c r="C24701" i="1"/>
  <c r="A23800" i="1"/>
  <c r="B23800" i="1"/>
  <c r="C23800" i="1"/>
  <c r="A5472" i="1"/>
  <c r="B5472" i="1"/>
  <c r="C5472" i="1"/>
  <c r="A5480" i="1"/>
  <c r="B5480" i="1"/>
  <c r="C5480" i="1"/>
  <c r="A14897" i="1"/>
  <c r="B14897" i="1"/>
  <c r="C14897" i="1"/>
  <c r="A5463" i="1"/>
  <c r="B5463" i="1"/>
  <c r="C5463" i="1"/>
  <c r="A6114" i="1"/>
  <c r="B6114" i="1"/>
  <c r="C6114" i="1"/>
  <c r="A25017" i="1"/>
  <c r="C25017" i="1"/>
  <c r="A12427" i="1"/>
  <c r="C12427" i="1"/>
  <c r="A6310" i="1"/>
  <c r="B6310" i="1"/>
  <c r="C6310" i="1"/>
  <c r="A19561" i="1"/>
  <c r="B19561" i="1"/>
  <c r="C19561" i="1"/>
  <c r="A24777" i="1"/>
  <c r="B24777" i="1"/>
  <c r="C24777" i="1"/>
  <c r="A24509" i="1"/>
  <c r="B24509" i="1"/>
  <c r="C24509" i="1"/>
  <c r="A20687" i="1"/>
  <c r="B20687" i="1"/>
  <c r="C20687" i="1"/>
  <c r="A20699" i="1"/>
  <c r="B20699" i="1"/>
  <c r="C20699" i="1"/>
  <c r="A9894" i="1"/>
  <c r="B9894" i="1"/>
  <c r="C9894" i="1"/>
  <c r="A3693" i="1"/>
  <c r="B3693" i="1"/>
  <c r="C3693" i="1"/>
  <c r="A22092" i="1"/>
  <c r="B22092" i="1"/>
  <c r="C22092" i="1"/>
  <c r="A22091" i="1"/>
  <c r="B22091" i="1"/>
  <c r="C22091" i="1"/>
  <c r="A20899" i="1"/>
  <c r="B20899" i="1"/>
  <c r="C20899" i="1"/>
  <c r="A11977" i="1"/>
  <c r="B11977" i="1"/>
  <c r="C11977" i="1"/>
  <c r="A7198" i="1"/>
  <c r="B7198" i="1"/>
  <c r="C7198" i="1"/>
  <c r="A20917" i="1"/>
  <c r="B20917" i="1"/>
  <c r="C20917" i="1"/>
  <c r="A14869" i="1"/>
  <c r="C14869" i="1"/>
  <c r="A14668" i="1"/>
  <c r="B14668" i="1"/>
  <c r="C14668" i="1"/>
  <c r="A17989" i="1"/>
  <c r="B17989" i="1"/>
  <c r="C17989" i="1"/>
  <c r="A8570" i="1"/>
  <c r="B8570" i="1"/>
  <c r="C8570" i="1"/>
  <c r="A16478" i="1"/>
  <c r="B16478" i="1"/>
  <c r="C16478" i="1"/>
  <c r="A18676" i="1"/>
  <c r="B18676" i="1"/>
  <c r="C18676" i="1"/>
  <c r="A105" i="1"/>
  <c r="B105" i="1"/>
  <c r="C105" i="1"/>
  <c r="A5304" i="1"/>
  <c r="B5304" i="1"/>
  <c r="C5304" i="1"/>
  <c r="A12784" i="1"/>
  <c r="B12784" i="1"/>
  <c r="C12784" i="1"/>
  <c r="A12813" i="1"/>
  <c r="B12813" i="1"/>
  <c r="C12813" i="1"/>
  <c r="A24599" i="1"/>
  <c r="B24599" i="1"/>
  <c r="C24599" i="1"/>
  <c r="A24594" i="1"/>
  <c r="B24594" i="1"/>
  <c r="C24594" i="1"/>
  <c r="A9712" i="1"/>
  <c r="B9712" i="1"/>
  <c r="C9712" i="1"/>
  <c r="A12772" i="1"/>
  <c r="B12772" i="1"/>
  <c r="C12772" i="1"/>
  <c r="A8000" i="1"/>
  <c r="B8000" i="1"/>
  <c r="C8000" i="1"/>
  <c r="A24679" i="1"/>
  <c r="B24679" i="1"/>
  <c r="C24679" i="1"/>
  <c r="A21961" i="1"/>
  <c r="B21961" i="1"/>
  <c r="C21961" i="1"/>
  <c r="A3453" i="1"/>
  <c r="B3453" i="1"/>
  <c r="C3453" i="1"/>
  <c r="A22959" i="1"/>
  <c r="B22959" i="1"/>
  <c r="C22959" i="1"/>
  <c r="A3454" i="1"/>
  <c r="B3454" i="1"/>
  <c r="C3454" i="1"/>
  <c r="A8937" i="1"/>
  <c r="B8937" i="1"/>
  <c r="C8937" i="1"/>
  <c r="A16445" i="1"/>
  <c r="B16445" i="1"/>
  <c r="C16445" i="1"/>
  <c r="A18683" i="1"/>
  <c r="B18683" i="1"/>
  <c r="C18683" i="1"/>
  <c r="A18436" i="1"/>
  <c r="B18436" i="1"/>
  <c r="C18436" i="1"/>
  <c r="A8599" i="1"/>
  <c r="B8599" i="1"/>
  <c r="C8599" i="1"/>
  <c r="A19424" i="1"/>
  <c r="B19424" i="1"/>
  <c r="C19424" i="1"/>
  <c r="A5399" i="1"/>
  <c r="B5399" i="1"/>
  <c r="C5399" i="1"/>
  <c r="A5911" i="1"/>
  <c r="B5911" i="1"/>
  <c r="C5911" i="1"/>
  <c r="A23321" i="1"/>
  <c r="B23321" i="1"/>
  <c r="C23321" i="1"/>
  <c r="A9905" i="1"/>
  <c r="B9905" i="1"/>
  <c r="C9905" i="1"/>
  <c r="A9906" i="1"/>
  <c r="B9906" i="1"/>
  <c r="C9906" i="1"/>
  <c r="A18887" i="1"/>
  <c r="B18887" i="1"/>
  <c r="C18887" i="1"/>
  <c r="A9150" i="1"/>
  <c r="B9150" i="1"/>
  <c r="C9150" i="1"/>
  <c r="A20969" i="1"/>
  <c r="B20969" i="1"/>
  <c r="C20969" i="1"/>
  <c r="A5291" i="1"/>
  <c r="B5291" i="1"/>
  <c r="C5291" i="1"/>
  <c r="A17135" i="1"/>
  <c r="B17135" i="1"/>
  <c r="C17135" i="1"/>
  <c r="A1579" i="1"/>
  <c r="B1579" i="1"/>
  <c r="C1579" i="1"/>
  <c r="A21994" i="1"/>
  <c r="B21994" i="1"/>
  <c r="C21994" i="1"/>
  <c r="A21993" i="1"/>
  <c r="B21993" i="1"/>
  <c r="C21993" i="1"/>
  <c r="A21995" i="1"/>
  <c r="B21995" i="1"/>
  <c r="C21995" i="1"/>
  <c r="A22628" i="1"/>
  <c r="B22628" i="1"/>
  <c r="C22628" i="1"/>
  <c r="A19826" i="1"/>
  <c r="B19826" i="1"/>
  <c r="C19826" i="1"/>
  <c r="A24162" i="1"/>
  <c r="B24162" i="1"/>
  <c r="C24162" i="1"/>
  <c r="A21073" i="1"/>
  <c r="B21073" i="1"/>
  <c r="C21073" i="1"/>
  <c r="A8294" i="1"/>
  <c r="B8294" i="1"/>
  <c r="C8294" i="1"/>
  <c r="A14735" i="1"/>
  <c r="B14735" i="1"/>
  <c r="C14735" i="1"/>
  <c r="A5394" i="1"/>
  <c r="B5394" i="1"/>
  <c r="C5394" i="1"/>
  <c r="A23314" i="1"/>
  <c r="B23314" i="1"/>
  <c r="C23314" i="1"/>
  <c r="A23267" i="1"/>
  <c r="B23267" i="1"/>
  <c r="C23267" i="1"/>
  <c r="A9819" i="1"/>
  <c r="B9819" i="1"/>
  <c r="C9819" i="1"/>
  <c r="A19780" i="1"/>
  <c r="B19780" i="1"/>
  <c r="C19780" i="1"/>
  <c r="A22745" i="1"/>
  <c r="B22745" i="1"/>
  <c r="C22745" i="1"/>
  <c r="A18780" i="1"/>
  <c r="B18780" i="1"/>
  <c r="C18780" i="1"/>
  <c r="A17582" i="1"/>
  <c r="B17582" i="1"/>
  <c r="C17582" i="1"/>
  <c r="A17583" i="1"/>
  <c r="B17583" i="1"/>
  <c r="C17583" i="1"/>
  <c r="A17584" i="1"/>
  <c r="B17584" i="1"/>
  <c r="C17584" i="1"/>
  <c r="A17900" i="1"/>
  <c r="B17900" i="1"/>
  <c r="C17900" i="1"/>
  <c r="A24544" i="1"/>
  <c r="B24544" i="1"/>
  <c r="C24544" i="1"/>
  <c r="A1577" i="1"/>
  <c r="B1577" i="1"/>
  <c r="C1577" i="1"/>
  <c r="A18664" i="1"/>
  <c r="B18664" i="1"/>
  <c r="C18664" i="1"/>
  <c r="A17809" i="1"/>
  <c r="B17809" i="1"/>
  <c r="C17809" i="1"/>
  <c r="A23136" i="1"/>
  <c r="B23136" i="1"/>
  <c r="C23136" i="1"/>
  <c r="A17111" i="1"/>
  <c r="B17111" i="1"/>
  <c r="C17111" i="1"/>
  <c r="A17918" i="1"/>
  <c r="B17918" i="1"/>
  <c r="C17918" i="1"/>
  <c r="A15982" i="1"/>
  <c r="B15982" i="1"/>
  <c r="C15982" i="1"/>
  <c r="A16069" i="1"/>
  <c r="B16069" i="1"/>
  <c r="C16069" i="1"/>
  <c r="A14147" i="1"/>
  <c r="B14147" i="1"/>
  <c r="C14147" i="1"/>
  <c r="A5451" i="1"/>
  <c r="B5451" i="1"/>
  <c r="C5451" i="1"/>
  <c r="A5341" i="1"/>
  <c r="B5341" i="1"/>
  <c r="C5341" i="1"/>
  <c r="A23869" i="1"/>
  <c r="B23869" i="1"/>
  <c r="C23869" i="1"/>
  <c r="A17018" i="1"/>
  <c r="B17018" i="1"/>
  <c r="C17018" i="1"/>
  <c r="A25133" i="1"/>
  <c r="B25133" i="1"/>
  <c r="C25133" i="1"/>
  <c r="A19994" i="1"/>
  <c r="B19994" i="1"/>
  <c r="C19994" i="1"/>
  <c r="A21820" i="1"/>
  <c r="B21820" i="1"/>
  <c r="C21820" i="1"/>
  <c r="A7304" i="1"/>
  <c r="B7304" i="1"/>
  <c r="C7304" i="1"/>
  <c r="A7309" i="1"/>
  <c r="B7309" i="1"/>
  <c r="C7309" i="1"/>
  <c r="A15289" i="1"/>
  <c r="B15289" i="1"/>
  <c r="C15289" i="1"/>
  <c r="A15291" i="1"/>
  <c r="B15291" i="1"/>
  <c r="C15291" i="1"/>
  <c r="A15288" i="1"/>
  <c r="B15288" i="1"/>
  <c r="C15288" i="1"/>
  <c r="A19790" i="1"/>
  <c r="B19790" i="1"/>
  <c r="C19790" i="1"/>
  <c r="A19791" i="1"/>
  <c r="B19791" i="1"/>
  <c r="C19791" i="1"/>
  <c r="A17249" i="1"/>
  <c r="B17249" i="1"/>
  <c r="C17249" i="1"/>
  <c r="A17250" i="1"/>
  <c r="B17250" i="1"/>
  <c r="C17250" i="1"/>
  <c r="A17252" i="1"/>
  <c r="B17252" i="1"/>
  <c r="C17252" i="1"/>
  <c r="A17245" i="1"/>
  <c r="B17245" i="1"/>
  <c r="C17245" i="1"/>
  <c r="A17244" i="1"/>
  <c r="B17244" i="1"/>
  <c r="C17244" i="1"/>
  <c r="A17246" i="1"/>
  <c r="B17246" i="1"/>
  <c r="C17246" i="1"/>
  <c r="A16094" i="1"/>
  <c r="B16094" i="1"/>
  <c r="C16094" i="1"/>
  <c r="A17248" i="1"/>
  <c r="B17248" i="1"/>
  <c r="C17248" i="1"/>
  <c r="A8545" i="1"/>
  <c r="B8545" i="1"/>
  <c r="C8545" i="1"/>
  <c r="A17802" i="1"/>
  <c r="B17802" i="1"/>
  <c r="C17802" i="1"/>
  <c r="A17110" i="1"/>
  <c r="B17110" i="1"/>
  <c r="C17110" i="1"/>
  <c r="A22534" i="1"/>
  <c r="B22534" i="1"/>
  <c r="C22534" i="1"/>
  <c r="A16093" i="1"/>
  <c r="B16093" i="1"/>
  <c r="C16093" i="1"/>
  <c r="A7064" i="1"/>
  <c r="B7064" i="1"/>
  <c r="C7064" i="1"/>
  <c r="A7070" i="1"/>
  <c r="B7070" i="1"/>
  <c r="C7070" i="1"/>
  <c r="A7076" i="1"/>
  <c r="B7076" i="1"/>
  <c r="C7076" i="1"/>
  <c r="A7082" i="1"/>
  <c r="B7082" i="1"/>
  <c r="C7082" i="1"/>
  <c r="A7086" i="1"/>
  <c r="B7086" i="1"/>
  <c r="C7086" i="1"/>
  <c r="A14896" i="1"/>
  <c r="B14896" i="1"/>
  <c r="C14896" i="1"/>
  <c r="A8540" i="1"/>
  <c r="B8540" i="1"/>
  <c r="C8540" i="1"/>
  <c r="A20654" i="1"/>
  <c r="B20654" i="1"/>
  <c r="C20654" i="1"/>
  <c r="A18320" i="1"/>
  <c r="B18320" i="1"/>
  <c r="C18320" i="1"/>
  <c r="A25656" i="1"/>
  <c r="B25656" i="1"/>
  <c r="C25656" i="1"/>
  <c r="A14102" i="1"/>
  <c r="B14102" i="1"/>
  <c r="C14102" i="1"/>
  <c r="A20030" i="1"/>
  <c r="B20030" i="1"/>
  <c r="C20030" i="1"/>
  <c r="A12451" i="1"/>
  <c r="B12451" i="1"/>
  <c r="C12451" i="1"/>
  <c r="A6755" i="1"/>
  <c r="B6755" i="1"/>
  <c r="C6755" i="1"/>
  <c r="A19820" i="1"/>
  <c r="B19820" i="1"/>
  <c r="C19820" i="1"/>
  <c r="A23086" i="1"/>
  <c r="B23086" i="1"/>
  <c r="C23086" i="1"/>
  <c r="A15065" i="1"/>
  <c r="B15065" i="1"/>
  <c r="C15065" i="1"/>
  <c r="A4787" i="1"/>
  <c r="B4787" i="1"/>
  <c r="C4787" i="1"/>
  <c r="A15824" i="1"/>
  <c r="B15824" i="1"/>
  <c r="C15824" i="1"/>
  <c r="A20724" i="1"/>
  <c r="B20724" i="1"/>
  <c r="C20724" i="1"/>
  <c r="A2838" i="1"/>
  <c r="B2838" i="1"/>
  <c r="C2838" i="1"/>
  <c r="A2829" i="1"/>
  <c r="B2829" i="1"/>
  <c r="C2829" i="1"/>
  <c r="A24223" i="1"/>
  <c r="B24223" i="1"/>
  <c r="C24223" i="1"/>
  <c r="A16103" i="1"/>
  <c r="B16103" i="1"/>
  <c r="C16103" i="1"/>
  <c r="A1150" i="1"/>
  <c r="B1150" i="1"/>
  <c r="C1150" i="1"/>
  <c r="A18638" i="1"/>
  <c r="B18638" i="1"/>
  <c r="C18638" i="1"/>
  <c r="A17078" i="1"/>
  <c r="B17078" i="1"/>
  <c r="C17078" i="1"/>
  <c r="A25044" i="1"/>
  <c r="B25044" i="1"/>
  <c r="C25044" i="1"/>
  <c r="A20511" i="1"/>
  <c r="B20511" i="1"/>
  <c r="C20511" i="1"/>
  <c r="A22962" i="1"/>
  <c r="B22962" i="1"/>
  <c r="C22962" i="1"/>
  <c r="A17008" i="1"/>
  <c r="B17008" i="1"/>
  <c r="C17008" i="1"/>
  <c r="A22019" i="1"/>
  <c r="B22019" i="1"/>
  <c r="C22019" i="1"/>
  <c r="A20906" i="1"/>
  <c r="B20906" i="1"/>
  <c r="C20906" i="1"/>
  <c r="A20473" i="1"/>
  <c r="B20473" i="1"/>
  <c r="C20473" i="1"/>
  <c r="A20553" i="1"/>
  <c r="B20553" i="1"/>
  <c r="C20553" i="1"/>
  <c r="A1863" i="1"/>
  <c r="B1863" i="1"/>
  <c r="C1863" i="1"/>
  <c r="A25210" i="1"/>
  <c r="B25210" i="1"/>
  <c r="C25210" i="1"/>
  <c r="A17093" i="1"/>
  <c r="B17093" i="1"/>
  <c r="C17093" i="1"/>
  <c r="A19473" i="1"/>
  <c r="B19473" i="1"/>
  <c r="C19473" i="1"/>
  <c r="A12231" i="1"/>
  <c r="B12231" i="1"/>
  <c r="C12231" i="1"/>
  <c r="A20094" i="1"/>
  <c r="B20094" i="1"/>
  <c r="C20094" i="1"/>
  <c r="A17431" i="1"/>
  <c r="B17431" i="1"/>
  <c r="C17431" i="1"/>
  <c r="A20313" i="1"/>
  <c r="B20313" i="1"/>
  <c r="C20313" i="1"/>
  <c r="A1151" i="1"/>
  <c r="B1151" i="1"/>
  <c r="C1151" i="1"/>
  <c r="A10938" i="1"/>
  <c r="B10938" i="1"/>
  <c r="C10938" i="1"/>
  <c r="A22597" i="1"/>
  <c r="B22597" i="1"/>
  <c r="C22597" i="1"/>
  <c r="A8195" i="1"/>
  <c r="B8195" i="1"/>
  <c r="C8195" i="1"/>
  <c r="A16444" i="1"/>
  <c r="B16444" i="1"/>
  <c r="C16444" i="1"/>
  <c r="A24877" i="1"/>
  <c r="B24877" i="1"/>
  <c r="C24877" i="1"/>
  <c r="A24876" i="1"/>
  <c r="B24876" i="1"/>
  <c r="C24876" i="1"/>
  <c r="A13441" i="1"/>
  <c r="B13441" i="1"/>
  <c r="C13441" i="1"/>
  <c r="A18419" i="1"/>
  <c r="B18419" i="1"/>
  <c r="C18419" i="1"/>
  <c r="A20236" i="1"/>
  <c r="B20236" i="1"/>
  <c r="C20236" i="1"/>
  <c r="A23694" i="1"/>
  <c r="B23694" i="1"/>
  <c r="C23694" i="1"/>
  <c r="A12783" i="1"/>
  <c r="B12783" i="1"/>
  <c r="C12783" i="1"/>
  <c r="A6414" i="1"/>
  <c r="B6414" i="1"/>
  <c r="C6414" i="1"/>
  <c r="A25195" i="1"/>
  <c r="B25195" i="1"/>
  <c r="C25195" i="1"/>
  <c r="A8167" i="1"/>
  <c r="B8167" i="1"/>
  <c r="C8167" i="1"/>
  <c r="A8442" i="1"/>
  <c r="B8442" i="1"/>
  <c r="C8442" i="1"/>
  <c r="A23592" i="1"/>
  <c r="B23592" i="1"/>
  <c r="C23592" i="1"/>
  <c r="A23595" i="1"/>
  <c r="B23595" i="1"/>
  <c r="C23595" i="1"/>
  <c r="A25524" i="1"/>
  <c r="B25524" i="1"/>
  <c r="C25524" i="1"/>
  <c r="A4416" i="1"/>
  <c r="B4416" i="1"/>
  <c r="C4416" i="1"/>
  <c r="A20889" i="1"/>
  <c r="B20889" i="1"/>
  <c r="C20889" i="1"/>
  <c r="A20907" i="1"/>
  <c r="B20907" i="1"/>
  <c r="C20907" i="1"/>
  <c r="A20909" i="1"/>
  <c r="B20909" i="1"/>
  <c r="C20909" i="1"/>
  <c r="A8140" i="1"/>
  <c r="B8140" i="1"/>
  <c r="C8140" i="1"/>
  <c r="A25243" i="1"/>
  <c r="B25243" i="1"/>
  <c r="C25243" i="1"/>
  <c r="A9129" i="1"/>
  <c r="B9129" i="1"/>
  <c r="C9129" i="1"/>
  <c r="A9140" i="1"/>
  <c r="B9140" i="1"/>
  <c r="C9140" i="1"/>
  <c r="A24833" i="1"/>
  <c r="B24833" i="1"/>
  <c r="C24833" i="1"/>
  <c r="A1169" i="1"/>
  <c r="B1169" i="1"/>
  <c r="C1169" i="1"/>
  <c r="A4277" i="1"/>
  <c r="B4277" i="1"/>
  <c r="C4277" i="1"/>
  <c r="A15667" i="1"/>
  <c r="B15667" i="1"/>
  <c r="C15667" i="1"/>
  <c r="A25512" i="1"/>
  <c r="B25512" i="1"/>
  <c r="C25512" i="1"/>
  <c r="A8219" i="1"/>
  <c r="B8219" i="1"/>
  <c r="C8219" i="1"/>
  <c r="A16068" i="1"/>
  <c r="B16068" i="1"/>
  <c r="C16068" i="1"/>
  <c r="A23319" i="1"/>
  <c r="B23319" i="1"/>
  <c r="C23319" i="1"/>
  <c r="A16618" i="1"/>
  <c r="B16618" i="1"/>
  <c r="C16618" i="1"/>
  <c r="A7542" i="1"/>
  <c r="B7542" i="1"/>
  <c r="C7542" i="1"/>
  <c r="A6570" i="1"/>
  <c r="B6570" i="1"/>
  <c r="C6570" i="1"/>
  <c r="A7281" i="1"/>
  <c r="B7281" i="1"/>
  <c r="C7281" i="1"/>
  <c r="A7307" i="1"/>
  <c r="B7307" i="1"/>
  <c r="C7307" i="1"/>
  <c r="A7127" i="1"/>
  <c r="B7127" i="1"/>
  <c r="C7127" i="1"/>
  <c r="A7126" i="1"/>
  <c r="B7126" i="1"/>
  <c r="C7126" i="1"/>
  <c r="A18432" i="1"/>
  <c r="B18432" i="1"/>
  <c r="C18432" i="1"/>
  <c r="A20800" i="1"/>
  <c r="B20800" i="1"/>
  <c r="C20800" i="1"/>
  <c r="A12285" i="1"/>
  <c r="B12285" i="1"/>
  <c r="C12285" i="1"/>
  <c r="A19305" i="1"/>
  <c r="B19305" i="1"/>
  <c r="C19305" i="1"/>
  <c r="A14175" i="1"/>
  <c r="B14175" i="1"/>
  <c r="C14175" i="1"/>
  <c r="A14318" i="1"/>
  <c r="B14318" i="1"/>
  <c r="C14318" i="1"/>
  <c r="A7427" i="1"/>
  <c r="B7427" i="1"/>
  <c r="C7427" i="1"/>
  <c r="A7316" i="1"/>
  <c r="B7316" i="1"/>
  <c r="C7316" i="1"/>
  <c r="A14095" i="1"/>
  <c r="B14095" i="1"/>
  <c r="C14095" i="1"/>
  <c r="A1683" i="1"/>
  <c r="B1683" i="1"/>
  <c r="C1683" i="1"/>
  <c r="A7282" i="1"/>
  <c r="B7282" i="1"/>
  <c r="C7282" i="1"/>
  <c r="A13407" i="1"/>
  <c r="B13407" i="1"/>
  <c r="C13407" i="1"/>
  <c r="A18673" i="1"/>
  <c r="B18673" i="1"/>
  <c r="C18673" i="1"/>
  <c r="A7661" i="1"/>
  <c r="B7661" i="1"/>
  <c r="C7661" i="1"/>
  <c r="A15325" i="1"/>
  <c r="B15325" i="1"/>
  <c r="C15325" i="1"/>
  <c r="A21022" i="1"/>
  <c r="B21022" i="1"/>
  <c r="C21022" i="1"/>
  <c r="A21872" i="1"/>
  <c r="B21872" i="1"/>
  <c r="C21872" i="1"/>
  <c r="A1941" i="1"/>
  <c r="B1941" i="1"/>
  <c r="C1941" i="1"/>
  <c r="A23789" i="1"/>
  <c r="B23789" i="1"/>
  <c r="C23789" i="1"/>
  <c r="A19870" i="1"/>
  <c r="B19870" i="1"/>
  <c r="C19870" i="1"/>
  <c r="A24506" i="1"/>
  <c r="B24506" i="1"/>
  <c r="C24506" i="1"/>
  <c r="A2308" i="1"/>
  <c r="B2308" i="1"/>
  <c r="C2308" i="1"/>
  <c r="A20241" i="1"/>
  <c r="B20241" i="1"/>
  <c r="C20241" i="1"/>
  <c r="A22147" i="1"/>
  <c r="B22147" i="1"/>
  <c r="C22147" i="1"/>
  <c r="A22663" i="1"/>
  <c r="B22663" i="1"/>
  <c r="C22663" i="1"/>
  <c r="A17833" i="1"/>
  <c r="B17833" i="1"/>
  <c r="C17833" i="1"/>
  <c r="A20591" i="1"/>
  <c r="B20591" i="1"/>
  <c r="C20591" i="1"/>
  <c r="A20482" i="1"/>
  <c r="B20482" i="1"/>
  <c r="C20482" i="1"/>
  <c r="A24334" i="1"/>
  <c r="B24334" i="1"/>
  <c r="C24334" i="1"/>
  <c r="A20995" i="1"/>
  <c r="B20995" i="1"/>
  <c r="C20995" i="1"/>
  <c r="A16446" i="1"/>
  <c r="B16446" i="1"/>
  <c r="C16446" i="1"/>
  <c r="A18667" i="1"/>
  <c r="B18667" i="1"/>
  <c r="C18667" i="1"/>
  <c r="A23440" i="1"/>
  <c r="B23440" i="1"/>
  <c r="C23440" i="1"/>
  <c r="A23439" i="1"/>
  <c r="B23439" i="1"/>
  <c r="C23439" i="1"/>
  <c r="A18423" i="1"/>
  <c r="B18423" i="1"/>
  <c r="C18423" i="1"/>
  <c r="A17915" i="1"/>
  <c r="B17915" i="1"/>
  <c r="C17915" i="1"/>
  <c r="A24901" i="1"/>
  <c r="B24901" i="1"/>
  <c r="C24901" i="1"/>
  <c r="A24772" i="1"/>
  <c r="B24772" i="1"/>
  <c r="C24772" i="1"/>
  <c r="A25046" i="1"/>
  <c r="B25046" i="1"/>
  <c r="C25046" i="1"/>
  <c r="A20523" i="1"/>
  <c r="B20523" i="1"/>
  <c r="C20523" i="1"/>
  <c r="A21709" i="1"/>
  <c r="B21709" i="1"/>
  <c r="C21709" i="1"/>
  <c r="A5215" i="1"/>
  <c r="B5215" i="1"/>
  <c r="C5215" i="1"/>
  <c r="A24089" i="1"/>
  <c r="B24089" i="1"/>
  <c r="C24089" i="1"/>
  <c r="A14839" i="1"/>
  <c r="B14839" i="1"/>
  <c r="C14839" i="1"/>
  <c r="A1144" i="1"/>
  <c r="B1144" i="1"/>
  <c r="C1144" i="1"/>
  <c r="A17857" i="1"/>
  <c r="B17857" i="1"/>
  <c r="C17857" i="1"/>
  <c r="A25076" i="1"/>
  <c r="B25076" i="1"/>
  <c r="C25076" i="1"/>
  <c r="A18317" i="1"/>
  <c r="B18317" i="1"/>
  <c r="C18317" i="1"/>
  <c r="A15777" i="1"/>
  <c r="B15777" i="1"/>
  <c r="C15777" i="1"/>
  <c r="A329" i="1"/>
  <c r="B329" i="1"/>
  <c r="C329" i="1"/>
  <c r="A14893" i="1"/>
  <c r="B14893" i="1"/>
  <c r="C14893" i="1"/>
  <c r="A10398" i="1"/>
  <c r="B10398" i="1"/>
  <c r="C10398" i="1"/>
  <c r="A10391" i="1"/>
  <c r="B10391" i="1"/>
  <c r="C10391" i="1"/>
  <c r="A24894" i="1"/>
  <c r="B24894" i="1"/>
  <c r="C24894" i="1"/>
  <c r="A15812" i="1"/>
  <c r="B15812" i="1"/>
  <c r="C15812" i="1"/>
  <c r="A12178" i="1"/>
  <c r="B12178" i="1"/>
  <c r="C12178" i="1"/>
  <c r="A24172" i="1"/>
  <c r="B24172" i="1"/>
  <c r="C24172" i="1"/>
  <c r="A19669" i="1"/>
  <c r="B19669" i="1"/>
  <c r="C19669" i="1"/>
  <c r="A1128" i="1"/>
  <c r="B1128" i="1"/>
  <c r="C1128" i="1"/>
  <c r="A25467" i="1"/>
  <c r="B25467" i="1"/>
  <c r="C25467" i="1"/>
  <c r="A8074" i="1"/>
  <c r="B8074" i="1"/>
  <c r="C8074" i="1"/>
  <c r="A20396" i="1"/>
  <c r="B20396" i="1"/>
  <c r="C20396" i="1"/>
  <c r="A20453" i="1"/>
  <c r="B20453" i="1"/>
  <c r="C20453" i="1"/>
  <c r="A7314" i="1"/>
  <c r="B7314" i="1"/>
  <c r="C7314" i="1"/>
  <c r="A7321" i="1"/>
  <c r="B7321" i="1"/>
  <c r="C7321" i="1"/>
  <c r="A7293" i="1"/>
  <c r="B7293" i="1"/>
  <c r="C7293" i="1"/>
  <c r="A1859" i="1"/>
  <c r="B1859" i="1"/>
  <c r="C1859" i="1"/>
  <c r="A12403" i="1"/>
  <c r="B12403" i="1"/>
  <c r="C12403" i="1"/>
  <c r="A2271" i="1"/>
  <c r="B2271" i="1"/>
  <c r="C2271" i="1"/>
  <c r="A18031" i="1"/>
  <c r="B18031" i="1"/>
  <c r="C18031" i="1"/>
  <c r="A18030" i="1"/>
  <c r="B18030" i="1"/>
  <c r="C18030" i="1"/>
  <c r="A18029" i="1"/>
  <c r="B18029" i="1"/>
  <c r="C18029" i="1"/>
  <c r="A8542" i="1"/>
  <c r="B8542" i="1"/>
  <c r="C8542" i="1"/>
  <c r="A11289" i="1"/>
  <c r="B11289" i="1"/>
  <c r="C11289" i="1"/>
  <c r="A11291" i="1"/>
  <c r="B11291" i="1"/>
  <c r="C11291" i="1"/>
  <c r="A11288" i="1"/>
  <c r="B11288" i="1"/>
  <c r="C11288" i="1"/>
  <c r="A20428" i="1"/>
  <c r="B20428" i="1"/>
  <c r="C20428" i="1"/>
  <c r="A24343" i="1"/>
  <c r="B24343" i="1"/>
  <c r="C24343" i="1"/>
  <c r="A7107" i="1"/>
  <c r="B7107" i="1"/>
  <c r="C7107" i="1"/>
  <c r="A15992" i="1"/>
  <c r="B15992" i="1"/>
  <c r="C15992" i="1"/>
  <c r="A15983" i="1"/>
  <c r="B15983" i="1"/>
  <c r="C15983" i="1"/>
  <c r="A13838" i="1"/>
  <c r="B13838" i="1"/>
  <c r="C13838" i="1"/>
  <c r="A12382" i="1"/>
  <c r="B12382" i="1"/>
  <c r="C12382" i="1"/>
  <c r="A21629" i="1"/>
  <c r="B21629" i="1"/>
  <c r="C21629" i="1"/>
  <c r="A22093" i="1"/>
  <c r="B22093" i="1"/>
  <c r="C22093" i="1"/>
  <c r="A3433" i="1"/>
  <c r="B3433" i="1"/>
  <c r="C3433" i="1"/>
  <c r="A13236" i="1"/>
  <c r="B13236" i="1"/>
  <c r="C13236" i="1"/>
  <c r="A13235" i="1"/>
  <c r="B13235" i="1"/>
  <c r="C13235" i="1"/>
  <c r="A13587" i="1"/>
  <c r="B13587" i="1"/>
  <c r="C13587" i="1"/>
  <c r="A2283" i="1"/>
  <c r="B2283" i="1"/>
  <c r="C2283" i="1"/>
  <c r="A21867" i="1"/>
  <c r="B21867" i="1"/>
  <c r="C21867" i="1"/>
  <c r="A20807" i="1"/>
  <c r="B20807" i="1"/>
  <c r="C20807" i="1"/>
  <c r="A8950" i="1"/>
  <c r="B8950" i="1"/>
  <c r="C8950" i="1"/>
  <c r="A5208" i="1"/>
  <c r="B5208" i="1"/>
  <c r="C5208" i="1"/>
  <c r="A14862" i="1"/>
  <c r="B14862" i="1"/>
  <c r="C14862" i="1"/>
  <c r="A16475" i="1"/>
  <c r="B16475" i="1"/>
  <c r="C16475" i="1"/>
  <c r="A23252" i="1"/>
  <c r="B23252" i="1"/>
  <c r="C23252" i="1"/>
  <c r="A24602" i="1"/>
  <c r="B24602" i="1"/>
  <c r="C24602" i="1"/>
  <c r="A4081" i="1"/>
  <c r="B4081" i="1"/>
  <c r="C4081" i="1"/>
  <c r="A7608" i="1"/>
  <c r="B7608" i="1"/>
  <c r="C7608" i="1"/>
  <c r="A23642" i="1"/>
  <c r="B23642" i="1"/>
  <c r="C23642" i="1"/>
  <c r="A23660" i="1"/>
  <c r="B23660" i="1"/>
  <c r="C23660" i="1"/>
  <c r="A23794" i="1"/>
  <c r="B23794" i="1"/>
  <c r="C23794" i="1"/>
  <c r="A7066" i="1"/>
  <c r="B7066" i="1"/>
  <c r="C7066" i="1"/>
  <c r="A7075" i="1"/>
  <c r="B7075" i="1"/>
  <c r="C7075" i="1"/>
  <c r="A7040" i="1"/>
  <c r="B7040" i="1"/>
  <c r="C7040" i="1"/>
  <c r="A25514" i="1"/>
  <c r="B25514" i="1"/>
  <c r="C25514" i="1"/>
  <c r="A2075" i="1"/>
  <c r="B2075" i="1"/>
  <c r="C2075" i="1"/>
  <c r="A8588" i="1"/>
  <c r="B8588" i="1"/>
  <c r="C8588" i="1"/>
  <c r="A17774" i="1"/>
  <c r="B17774" i="1"/>
  <c r="C17774" i="1"/>
  <c r="A2939" i="1"/>
  <c r="B2939" i="1"/>
  <c r="C2939" i="1"/>
  <c r="A20168" i="1"/>
  <c r="B20168" i="1"/>
  <c r="C20168" i="1"/>
  <c r="A23224" i="1"/>
  <c r="B23224" i="1"/>
  <c r="C23224" i="1"/>
  <c r="A25049" i="1"/>
  <c r="B25049" i="1"/>
  <c r="C25049" i="1"/>
  <c r="A10225" i="1"/>
  <c r="B10225" i="1"/>
  <c r="C10225" i="1"/>
  <c r="A24522" i="1"/>
  <c r="B24522" i="1"/>
  <c r="C24522" i="1"/>
  <c r="A8975" i="1"/>
  <c r="B8975" i="1"/>
  <c r="C8975" i="1"/>
  <c r="A22821" i="1"/>
  <c r="B22821" i="1"/>
  <c r="C22821" i="1"/>
  <c r="A16080" i="1"/>
  <c r="B16080" i="1"/>
  <c r="C16080" i="1"/>
  <c r="A16721" i="1"/>
  <c r="B16721" i="1"/>
  <c r="C16721" i="1"/>
  <c r="A16722" i="1"/>
  <c r="B16722" i="1"/>
  <c r="C16722" i="1"/>
  <c r="A16723" i="1"/>
  <c r="B16723" i="1"/>
  <c r="C16723" i="1"/>
  <c r="A16907" i="1"/>
  <c r="B16907" i="1"/>
  <c r="C16907" i="1"/>
  <c r="A16911" i="1"/>
  <c r="B16911" i="1"/>
  <c r="C16911" i="1"/>
  <c r="A8962" i="1"/>
  <c r="B8962" i="1"/>
  <c r="C8962" i="1"/>
  <c r="A21530" i="1"/>
  <c r="B21530" i="1"/>
  <c r="C21530" i="1"/>
  <c r="A6350" i="1"/>
  <c r="B6350" i="1"/>
  <c r="C6350" i="1"/>
  <c r="A23421" i="1"/>
  <c r="B23421" i="1"/>
  <c r="C23421" i="1"/>
  <c r="A23422" i="1"/>
  <c r="B23422" i="1"/>
  <c r="C23422" i="1"/>
  <c r="A22593" i="1"/>
  <c r="B22593" i="1"/>
  <c r="C22593" i="1"/>
  <c r="A22677" i="1"/>
  <c r="B22677" i="1"/>
  <c r="C22677" i="1"/>
  <c r="A10285" i="1"/>
  <c r="B10285" i="1"/>
  <c r="C10285" i="1"/>
  <c r="A10286" i="1"/>
  <c r="B10286" i="1"/>
  <c r="C10286" i="1"/>
  <c r="A20044" i="1"/>
  <c r="B20044" i="1"/>
  <c r="C20044" i="1"/>
  <c r="A19175" i="1"/>
  <c r="B19175" i="1"/>
  <c r="C19175" i="1"/>
  <c r="A15064" i="1"/>
  <c r="B15064" i="1"/>
  <c r="C15064" i="1"/>
  <c r="A15062" i="1"/>
  <c r="B15062" i="1"/>
  <c r="C15062" i="1"/>
  <c r="A8338" i="1"/>
  <c r="B8338" i="1"/>
  <c r="C8338" i="1"/>
  <c r="A327" i="1"/>
  <c r="B327" i="1"/>
  <c r="C327" i="1"/>
  <c r="A24559" i="1"/>
  <c r="B24559" i="1"/>
  <c r="C24559" i="1"/>
  <c r="A20901" i="1"/>
  <c r="B20901" i="1"/>
  <c r="C20901" i="1"/>
  <c r="A20794" i="1"/>
  <c r="B20794" i="1"/>
  <c r="C20794" i="1"/>
  <c r="A20532" i="1"/>
  <c r="B20532" i="1"/>
  <c r="C20532" i="1"/>
  <c r="A17296" i="1"/>
  <c r="B17296" i="1"/>
  <c r="C17296" i="1"/>
  <c r="A17229" i="1"/>
  <c r="B17229" i="1"/>
  <c r="C17229" i="1"/>
  <c r="A16109" i="1"/>
  <c r="B16109" i="1"/>
  <c r="C16109" i="1"/>
  <c r="A231" i="1"/>
  <c r="B231" i="1"/>
  <c r="C231" i="1"/>
  <c r="A229" i="1"/>
  <c r="B229" i="1"/>
  <c r="C229" i="1"/>
  <c r="A20116" i="1"/>
  <c r="B20116" i="1"/>
  <c r="C20116" i="1"/>
  <c r="A20439" i="1"/>
  <c r="B20439" i="1"/>
  <c r="C20439" i="1"/>
  <c r="A20528" i="1"/>
  <c r="B20528" i="1"/>
  <c r="C20528" i="1"/>
  <c r="A20543" i="1"/>
  <c r="B20543" i="1"/>
  <c r="C20543" i="1"/>
  <c r="A12020" i="1"/>
  <c r="B12020" i="1"/>
  <c r="C12020" i="1"/>
  <c r="A12024" i="1"/>
  <c r="B12024" i="1"/>
  <c r="C12024" i="1"/>
  <c r="A10019" i="1"/>
  <c r="B10019" i="1"/>
  <c r="C10019" i="1"/>
  <c r="A13892" i="1"/>
  <c r="B13892" i="1"/>
  <c r="C13892" i="1"/>
  <c r="A17067" i="1"/>
  <c r="B17067" i="1"/>
  <c r="C17067" i="1"/>
  <c r="A14136" i="1"/>
  <c r="B14136" i="1"/>
  <c r="C14136" i="1"/>
  <c r="A8358" i="1"/>
  <c r="B8358" i="1"/>
  <c r="C8358" i="1"/>
  <c r="A12225" i="1"/>
  <c r="B12225" i="1"/>
  <c r="C12225" i="1"/>
  <c r="A19018" i="1"/>
  <c r="B19018" i="1"/>
  <c r="C19018" i="1"/>
  <c r="A6331" i="1"/>
  <c r="B6331" i="1"/>
  <c r="C6331" i="1"/>
  <c r="A14148" i="1"/>
  <c r="B14148" i="1"/>
  <c r="C14148" i="1"/>
  <c r="A14115" i="1"/>
  <c r="B14115" i="1"/>
  <c r="C14115" i="1"/>
  <c r="A8064" i="1"/>
  <c r="B8064" i="1"/>
  <c r="C8064" i="1"/>
  <c r="A8067" i="1"/>
  <c r="B8067" i="1"/>
  <c r="C8067" i="1"/>
  <c r="A8071" i="1"/>
  <c r="B8071" i="1"/>
  <c r="C8071" i="1"/>
  <c r="A21938" i="1"/>
  <c r="B21938" i="1"/>
  <c r="C21938" i="1"/>
  <c r="A17220" i="1"/>
  <c r="B17220" i="1"/>
  <c r="C17220" i="1"/>
  <c r="A20468" i="1"/>
  <c r="B20468" i="1"/>
  <c r="C20468" i="1"/>
  <c r="A20857" i="1"/>
  <c r="B20857" i="1"/>
  <c r="C20857" i="1"/>
  <c r="A3390" i="1"/>
  <c r="B3390" i="1"/>
  <c r="C3390" i="1"/>
  <c r="A11846" i="1"/>
  <c r="B11846" i="1"/>
  <c r="C11846" i="1"/>
  <c r="A15153" i="1"/>
  <c r="B15153" i="1"/>
  <c r="C15153" i="1"/>
  <c r="A21866" i="1"/>
  <c r="B21866" i="1"/>
  <c r="C21866" i="1"/>
  <c r="A21851" i="1"/>
  <c r="B21851" i="1"/>
  <c r="C21851" i="1"/>
  <c r="A13419" i="1"/>
  <c r="B13419" i="1"/>
  <c r="C13419" i="1"/>
  <c r="A9667" i="1"/>
  <c r="B9667" i="1"/>
  <c r="C9667" i="1"/>
  <c r="A9662" i="1"/>
  <c r="B9662" i="1"/>
  <c r="C9662" i="1"/>
  <c r="A9668" i="1"/>
  <c r="B9668" i="1"/>
  <c r="C9668" i="1"/>
  <c r="A8879" i="1"/>
  <c r="B8879" i="1"/>
  <c r="C8879" i="1"/>
  <c r="A725" i="1"/>
  <c r="B725" i="1"/>
  <c r="C725" i="1"/>
  <c r="A9767" i="1"/>
  <c r="B9767" i="1"/>
  <c r="C9767" i="1"/>
  <c r="A12064" i="1"/>
  <c r="B12064" i="1"/>
  <c r="C12064" i="1"/>
  <c r="A17812" i="1"/>
  <c r="B17812" i="1"/>
  <c r="C17812" i="1"/>
  <c r="A10742" i="1"/>
  <c r="B10742" i="1"/>
  <c r="C10742" i="1"/>
  <c r="A11511" i="1"/>
  <c r="B11511" i="1"/>
  <c r="C11511" i="1"/>
  <c r="A14918" i="1"/>
  <c r="B14918" i="1"/>
  <c r="C14918" i="1"/>
  <c r="A1747" i="1"/>
  <c r="B1747" i="1"/>
  <c r="C1747" i="1"/>
  <c r="A1949" i="1"/>
  <c r="B1949" i="1"/>
  <c r="C1949" i="1"/>
  <c r="A3527" i="1"/>
  <c r="B3527" i="1"/>
  <c r="C3527" i="1"/>
  <c r="A8066" i="1"/>
  <c r="B8066" i="1"/>
  <c r="C8066" i="1"/>
  <c r="A21748" i="1"/>
  <c r="B21748" i="1"/>
  <c r="C21748" i="1"/>
  <c r="A21758" i="1"/>
  <c r="B21758" i="1"/>
  <c r="C21758" i="1"/>
  <c r="A24648" i="1"/>
  <c r="B24648" i="1"/>
  <c r="C24648" i="1"/>
  <c r="A5950" i="1"/>
  <c r="B5950" i="1"/>
  <c r="C5950" i="1"/>
  <c r="A11232" i="1"/>
  <c r="B11232" i="1"/>
  <c r="C11232" i="1"/>
  <c r="A11164" i="1"/>
  <c r="B11164" i="1"/>
  <c r="C11164" i="1"/>
  <c r="A8166" i="1"/>
  <c r="B8166" i="1"/>
  <c r="C8166" i="1"/>
  <c r="A24543" i="1"/>
  <c r="B24543" i="1"/>
  <c r="C24543" i="1"/>
  <c r="A22680" i="1"/>
  <c r="B22680" i="1"/>
  <c r="C22680" i="1"/>
  <c r="A20261" i="1"/>
  <c r="B20261" i="1"/>
  <c r="C20261" i="1"/>
  <c r="A20253" i="1"/>
  <c r="B20253" i="1"/>
  <c r="C20253" i="1"/>
  <c r="A1139" i="1"/>
  <c r="B1139" i="1"/>
  <c r="C1139" i="1"/>
  <c r="A20971" i="1"/>
  <c r="B20971" i="1"/>
  <c r="C20971" i="1"/>
  <c r="A20970" i="1"/>
  <c r="B20970" i="1"/>
  <c r="C20970" i="1"/>
  <c r="A3692" i="1"/>
  <c r="B3692" i="1"/>
  <c r="C3692" i="1"/>
  <c r="A20117" i="1"/>
  <c r="B20117" i="1"/>
  <c r="C20117" i="1"/>
  <c r="A6988" i="1"/>
  <c r="B6988" i="1"/>
  <c r="C6988" i="1"/>
  <c r="A3157" i="1"/>
  <c r="B3157" i="1"/>
  <c r="C3157" i="1"/>
  <c r="A3159" i="1"/>
  <c r="B3159" i="1"/>
  <c r="C3159" i="1"/>
  <c r="A3158" i="1"/>
  <c r="B3158" i="1"/>
  <c r="C3158" i="1"/>
  <c r="A2649" i="1"/>
  <c r="B2649" i="1"/>
  <c r="C2649" i="1"/>
  <c r="A2650" i="1"/>
  <c r="B2650" i="1"/>
  <c r="C2650" i="1"/>
  <c r="A2651" i="1"/>
  <c r="B2651" i="1"/>
  <c r="C2651" i="1"/>
  <c r="A3156" i="1"/>
  <c r="B3156" i="1"/>
  <c r="C3156" i="1"/>
  <c r="A14499" i="1"/>
  <c r="B14499" i="1"/>
  <c r="C14499" i="1"/>
  <c r="A21826" i="1"/>
  <c r="B21826" i="1"/>
  <c r="C21826" i="1"/>
  <c r="A10221" i="1"/>
  <c r="B10221" i="1"/>
  <c r="C10221" i="1"/>
  <c r="A6459" i="1"/>
  <c r="B6459" i="1"/>
  <c r="C6459" i="1"/>
  <c r="A10707" i="1"/>
  <c r="B10707" i="1"/>
  <c r="C10707" i="1"/>
  <c r="A5453" i="1"/>
  <c r="B5453" i="1"/>
  <c r="C5453" i="1"/>
  <c r="A5462" i="1"/>
  <c r="B5462" i="1"/>
  <c r="C5462" i="1"/>
  <c r="A23911" i="1"/>
  <c r="B23911" i="1"/>
  <c r="C23911" i="1"/>
  <c r="A11821" i="1"/>
  <c r="B11821" i="1"/>
  <c r="C11821" i="1"/>
  <c r="A13510" i="1"/>
  <c r="B13510" i="1"/>
  <c r="C13510" i="1"/>
  <c r="A13511" i="1"/>
  <c r="B13511" i="1"/>
  <c r="C13511" i="1"/>
  <c r="A19403" i="1"/>
  <c r="B19403" i="1"/>
  <c r="C19403" i="1"/>
  <c r="A3582" i="1"/>
  <c r="B3582" i="1"/>
  <c r="C3582" i="1"/>
  <c r="A3583" i="1"/>
  <c r="B3583" i="1"/>
  <c r="C3583" i="1"/>
  <c r="A10021" i="1"/>
  <c r="B10021" i="1"/>
  <c r="C10021" i="1"/>
  <c r="A10022" i="1"/>
  <c r="B10022" i="1"/>
  <c r="C10022" i="1"/>
  <c r="A7500" i="1"/>
  <c r="B7500" i="1"/>
  <c r="C7500" i="1"/>
  <c r="A1145" i="1"/>
  <c r="B1145" i="1"/>
  <c r="C1145" i="1"/>
  <c r="A13490" i="1"/>
  <c r="B13490" i="1"/>
  <c r="C13490" i="1"/>
  <c r="A13429" i="1"/>
  <c r="B13429" i="1"/>
  <c r="C13429" i="1"/>
  <c r="A1138" i="1"/>
  <c r="B1138" i="1"/>
  <c r="C1138" i="1"/>
  <c r="A25520" i="1"/>
  <c r="B25520" i="1"/>
  <c r="C25520" i="1"/>
  <c r="A25523" i="1"/>
  <c r="B25523" i="1"/>
  <c r="C25523" i="1"/>
  <c r="A18742" i="1"/>
  <c r="B18742" i="1"/>
  <c r="C18742" i="1"/>
  <c r="A21061" i="1"/>
  <c r="B21061" i="1"/>
  <c r="C21061" i="1"/>
  <c r="A2657" i="1"/>
  <c r="B2657" i="1"/>
  <c r="C2657" i="1"/>
  <c r="A18715" i="1"/>
  <c r="B18715" i="1"/>
  <c r="C18715" i="1"/>
  <c r="A18714" i="1"/>
  <c r="B18714" i="1"/>
  <c r="C18714" i="1"/>
  <c r="A18712" i="1"/>
  <c r="B18712" i="1"/>
  <c r="C18712" i="1"/>
  <c r="A18713" i="1"/>
  <c r="B18713" i="1"/>
  <c r="C18713" i="1"/>
  <c r="A16459" i="1"/>
  <c r="B16459" i="1"/>
  <c r="C16459" i="1"/>
  <c r="A16457" i="1"/>
  <c r="B16457" i="1"/>
  <c r="C16457" i="1"/>
  <c r="A16458" i="1"/>
  <c r="B16458" i="1"/>
  <c r="C16458" i="1"/>
  <c r="A16460" i="1"/>
  <c r="B16460" i="1"/>
  <c r="C16460" i="1"/>
  <c r="A20254" i="1"/>
  <c r="B20254" i="1"/>
  <c r="C20254" i="1"/>
  <c r="A16072" i="1"/>
  <c r="B16072" i="1"/>
  <c r="C16072" i="1"/>
  <c r="A6530" i="1"/>
  <c r="B6530" i="1"/>
  <c r="C6530" i="1"/>
  <c r="A6524" i="1"/>
  <c r="B6524" i="1"/>
  <c r="C6524" i="1"/>
  <c r="A17639" i="1"/>
  <c r="B17639" i="1"/>
  <c r="C17639" i="1"/>
  <c r="A25574" i="1"/>
  <c r="B25574" i="1"/>
  <c r="C25574" i="1"/>
  <c r="A24996" i="1"/>
  <c r="B24996" i="1"/>
  <c r="C24996" i="1"/>
  <c r="A9738" i="1"/>
  <c r="B9738" i="1"/>
  <c r="C9738" i="1"/>
  <c r="A9739" i="1"/>
  <c r="B9739" i="1"/>
  <c r="C9739" i="1"/>
  <c r="A21032" i="1"/>
  <c r="B21032" i="1"/>
  <c r="C21032" i="1"/>
  <c r="A3665" i="1"/>
  <c r="B3665" i="1"/>
  <c r="C3665" i="1"/>
  <c r="A19250" i="1"/>
  <c r="B19250" i="1"/>
  <c r="C19250" i="1"/>
  <c r="A17190" i="1"/>
  <c r="B17190" i="1"/>
  <c r="C17190" i="1"/>
  <c r="A1285" i="1"/>
  <c r="B1285" i="1"/>
  <c r="C1285" i="1"/>
  <c r="A25488" i="1"/>
  <c r="B25488" i="1"/>
  <c r="C25488" i="1"/>
  <c r="A15138" i="1"/>
  <c r="B15138" i="1"/>
  <c r="C15138" i="1"/>
  <c r="A1154" i="1"/>
  <c r="B1154" i="1"/>
  <c r="C1154" i="1"/>
  <c r="A1146" i="1"/>
  <c r="B1146" i="1"/>
  <c r="C1146" i="1"/>
  <c r="A7340" i="1"/>
  <c r="B7340" i="1"/>
  <c r="C7340" i="1"/>
  <c r="A17807" i="1"/>
  <c r="B17807" i="1"/>
  <c r="C17807" i="1"/>
  <c r="A12348" i="1"/>
  <c r="B12348" i="1"/>
  <c r="C12348" i="1"/>
  <c r="A17103" i="1"/>
  <c r="B17103" i="1"/>
  <c r="C17103" i="1"/>
  <c r="A18753" i="1"/>
  <c r="B18753" i="1"/>
  <c r="C18753" i="1"/>
  <c r="A25025" i="1"/>
  <c r="B25025" i="1"/>
  <c r="C25025" i="1"/>
  <c r="A7628" i="1"/>
  <c r="B7628" i="1"/>
  <c r="C7628" i="1"/>
  <c r="A17768" i="1"/>
  <c r="B17768" i="1"/>
  <c r="C17768" i="1"/>
  <c r="A19061" i="1"/>
  <c r="B19061" i="1"/>
  <c r="C19061" i="1"/>
  <c r="A11512" i="1"/>
  <c r="B11512" i="1"/>
  <c r="C11512" i="1"/>
  <c r="A15213" i="1"/>
  <c r="B15213" i="1"/>
  <c r="C15213" i="1"/>
  <c r="A25597" i="1"/>
  <c r="B25597" i="1"/>
  <c r="C25597" i="1"/>
  <c r="A22761" i="1"/>
  <c r="B22761" i="1"/>
  <c r="C22761" i="1"/>
  <c r="A6210" i="1"/>
  <c r="B6210" i="1"/>
  <c r="C6210" i="1"/>
  <c r="A6200" i="1"/>
  <c r="B6200" i="1"/>
  <c r="C6200" i="1"/>
  <c r="A14819" i="1"/>
  <c r="B14819" i="1"/>
  <c r="C14819" i="1"/>
  <c r="A18817" i="1"/>
  <c r="B18817" i="1"/>
  <c r="C18817" i="1"/>
  <c r="A17223" i="1"/>
  <c r="B17223" i="1"/>
  <c r="C17223" i="1"/>
  <c r="A17225" i="1"/>
  <c r="B17225" i="1"/>
  <c r="C17225" i="1"/>
  <c r="A17010" i="1"/>
  <c r="B17010" i="1"/>
  <c r="C17010" i="1"/>
  <c r="A14561" i="1"/>
  <c r="B14561" i="1"/>
  <c r="C14561" i="1"/>
  <c r="A24875" i="1"/>
  <c r="B24875" i="1"/>
  <c r="C24875" i="1"/>
  <c r="A10234" i="1"/>
  <c r="B10234" i="1"/>
  <c r="C10234" i="1"/>
  <c r="A23216" i="1"/>
  <c r="B23216" i="1"/>
  <c r="C23216" i="1"/>
  <c r="A15730" i="1"/>
  <c r="B15730" i="1"/>
  <c r="C15730" i="1"/>
  <c r="A10139" i="1"/>
  <c r="B10139" i="1"/>
  <c r="C10139" i="1"/>
  <c r="A15319" i="1"/>
  <c r="B15319" i="1"/>
  <c r="C15319" i="1"/>
  <c r="A9710" i="1"/>
  <c r="B9710" i="1"/>
  <c r="C9710" i="1"/>
  <c r="A12072" i="1"/>
  <c r="B12072" i="1"/>
  <c r="C12072" i="1"/>
  <c r="A3572" i="1"/>
  <c r="B3572" i="1"/>
  <c r="C3572" i="1"/>
  <c r="A20615" i="1"/>
  <c r="B20615" i="1"/>
  <c r="C20615" i="1"/>
  <c r="A18097" i="1"/>
  <c r="B18097" i="1"/>
  <c r="C18097" i="1"/>
  <c r="A10607" i="1"/>
  <c r="B10607" i="1"/>
  <c r="C10607" i="1"/>
  <c r="A726" i="1"/>
  <c r="B726" i="1"/>
  <c r="C726" i="1"/>
  <c r="A14010" i="1"/>
  <c r="B14010" i="1"/>
  <c r="C14010" i="1"/>
  <c r="A19717" i="1"/>
  <c r="B19717" i="1"/>
  <c r="C19717" i="1"/>
  <c r="A20896" i="1"/>
  <c r="B20896" i="1"/>
  <c r="C20896" i="1"/>
  <c r="A20895" i="1"/>
  <c r="B20895" i="1"/>
  <c r="C20895" i="1"/>
  <c r="A18405" i="1"/>
  <c r="B18405" i="1"/>
  <c r="C18405" i="1"/>
  <c r="A8056" i="1"/>
  <c r="B8056" i="1"/>
  <c r="C8056" i="1"/>
  <c r="A1479" i="1"/>
  <c r="B1479" i="1"/>
  <c r="C1479" i="1"/>
  <c r="A15294" i="1"/>
  <c r="B15294" i="1"/>
  <c r="C15294" i="1"/>
  <c r="A15293" i="1"/>
  <c r="B15293" i="1"/>
  <c r="C15293" i="1"/>
  <c r="A5717" i="1"/>
  <c r="B5717" i="1"/>
  <c r="C5717" i="1"/>
  <c r="A17017" i="1"/>
  <c r="B17017" i="1"/>
  <c r="C17017" i="1"/>
  <c r="A21970" i="1"/>
  <c r="B21970" i="1"/>
  <c r="C21970" i="1"/>
  <c r="A2039" i="1"/>
  <c r="B2039" i="1"/>
  <c r="C2039" i="1"/>
  <c r="A13202" i="1"/>
  <c r="B13202" i="1"/>
  <c r="C13202" i="1"/>
  <c r="A23603" i="1"/>
  <c r="B23603" i="1"/>
  <c r="C23603" i="1"/>
  <c r="A23604" i="1"/>
  <c r="B23604" i="1"/>
  <c r="C23604" i="1"/>
  <c r="A23612" i="1"/>
  <c r="B23612" i="1"/>
  <c r="C23612" i="1"/>
  <c r="A23613" i="1"/>
  <c r="B23613" i="1"/>
  <c r="C23613" i="1"/>
  <c r="A23608" i="1"/>
  <c r="B23608" i="1"/>
  <c r="C23608" i="1"/>
  <c r="A23606" i="1"/>
  <c r="B23606" i="1"/>
  <c r="C23606" i="1"/>
  <c r="A23611" i="1"/>
  <c r="B23611" i="1"/>
  <c r="C23611" i="1"/>
  <c r="A8437" i="1"/>
  <c r="B8437" i="1"/>
  <c r="C8437" i="1"/>
  <c r="A13637" i="1"/>
  <c r="B13637" i="1"/>
  <c r="C13637" i="1"/>
  <c r="A18724" i="1"/>
  <c r="B18724" i="1"/>
  <c r="C18724" i="1"/>
  <c r="A1140" i="1"/>
  <c r="B1140" i="1"/>
  <c r="C1140" i="1"/>
  <c r="A1131" i="1"/>
  <c r="B1131" i="1"/>
  <c r="C1131" i="1"/>
  <c r="A14787" i="1"/>
  <c r="B14787" i="1"/>
  <c r="C14787" i="1"/>
  <c r="A1166" i="1"/>
  <c r="B1166" i="1"/>
  <c r="C1166" i="1"/>
  <c r="A20804" i="1"/>
  <c r="B20804" i="1"/>
  <c r="C20804" i="1"/>
  <c r="A22146" i="1"/>
  <c r="B22146" i="1"/>
  <c r="C22146" i="1"/>
  <c r="A7641" i="1"/>
  <c r="B7641" i="1"/>
  <c r="C7641" i="1"/>
  <c r="A19942" i="1"/>
  <c r="B19942" i="1"/>
  <c r="C19942" i="1"/>
  <c r="A6398" i="1"/>
  <c r="B6398" i="1"/>
  <c r="C6398" i="1"/>
  <c r="A4002" i="1"/>
  <c r="B4002" i="1"/>
  <c r="C4002" i="1"/>
  <c r="A15662" i="1"/>
  <c r="B15662" i="1"/>
  <c r="C15662" i="1"/>
  <c r="A25576" i="1"/>
  <c r="B25576" i="1"/>
  <c r="C25576" i="1"/>
  <c r="A10296" i="1"/>
  <c r="B10296" i="1"/>
  <c r="C10296" i="1"/>
  <c r="A10297" i="1"/>
  <c r="B10297" i="1"/>
  <c r="C10297" i="1"/>
  <c r="A10298" i="1"/>
  <c r="B10298" i="1"/>
  <c r="C10298" i="1"/>
  <c r="A19842" i="1"/>
  <c r="B19842" i="1"/>
  <c r="C19842" i="1"/>
  <c r="A12778" i="1"/>
  <c r="B12778" i="1"/>
  <c r="C12778" i="1"/>
  <c r="A23851" i="1"/>
  <c r="B23851" i="1"/>
  <c r="C23851" i="1"/>
  <c r="A1385" i="1"/>
  <c r="B1385" i="1"/>
  <c r="C1385" i="1"/>
  <c r="A7004" i="1"/>
  <c r="B7004" i="1"/>
  <c r="C7004" i="1"/>
  <c r="A25122" i="1"/>
  <c r="B25122" i="1"/>
  <c r="C25122" i="1"/>
  <c r="A10294" i="1"/>
  <c r="B10294" i="1"/>
  <c r="C10294" i="1"/>
  <c r="A19863" i="1"/>
  <c r="B19863" i="1"/>
  <c r="C19863" i="1"/>
  <c r="A12074" i="1"/>
  <c r="B12074" i="1"/>
  <c r="C12074" i="1"/>
  <c r="A20504" i="1"/>
  <c r="B20504" i="1"/>
  <c r="C20504" i="1"/>
  <c r="A7279" i="1"/>
  <c r="B7279" i="1"/>
  <c r="C7279" i="1"/>
  <c r="A7285" i="1"/>
  <c r="B7285" i="1"/>
  <c r="C7285" i="1"/>
  <c r="A7284" i="1"/>
  <c r="B7284" i="1"/>
  <c r="C7284" i="1"/>
  <c r="A6559" i="1"/>
  <c r="B6559" i="1"/>
  <c r="C6559" i="1"/>
  <c r="A8587" i="1"/>
  <c r="B8587" i="1"/>
  <c r="C8587" i="1"/>
  <c r="A23880" i="1"/>
  <c r="B23880" i="1"/>
  <c r="C23880" i="1"/>
  <c r="A17123" i="1"/>
  <c r="B17123" i="1"/>
  <c r="C17123" i="1"/>
  <c r="A17125" i="1"/>
  <c r="B17125" i="1"/>
  <c r="C17125" i="1"/>
  <c r="A17124" i="1"/>
  <c r="B17124" i="1"/>
  <c r="C17124" i="1"/>
  <c r="A18747" i="1"/>
  <c r="B18747" i="1"/>
  <c r="C18747" i="1"/>
  <c r="A16704" i="1"/>
  <c r="B16704" i="1"/>
  <c r="C16704" i="1"/>
  <c r="A3597" i="1"/>
  <c r="B3597" i="1"/>
  <c r="C3597" i="1"/>
  <c r="A724" i="1"/>
  <c r="B724" i="1"/>
  <c r="C724" i="1"/>
  <c r="A10012" i="1"/>
  <c r="B10012" i="1"/>
  <c r="C10012" i="1"/>
  <c r="A12060" i="1"/>
  <c r="B12060" i="1"/>
  <c r="C12060" i="1"/>
  <c r="A12059" i="1"/>
  <c r="B12059" i="1"/>
  <c r="C12059" i="1"/>
  <c r="A11375" i="1"/>
  <c r="B11375" i="1"/>
  <c r="C11375" i="1"/>
  <c r="A11824" i="1"/>
  <c r="B11824" i="1"/>
  <c r="C11824" i="1"/>
  <c r="A24278" i="1"/>
  <c r="B24278" i="1"/>
  <c r="C24278" i="1"/>
  <c r="A17776" i="1"/>
  <c r="B17776" i="1"/>
  <c r="C17776" i="1"/>
  <c r="A4181" i="1"/>
  <c r="B4181" i="1"/>
  <c r="C4181" i="1"/>
  <c r="A19840" i="1"/>
  <c r="B19840" i="1"/>
  <c r="C19840" i="1"/>
  <c r="A12702" i="1"/>
  <c r="B12702" i="1"/>
  <c r="C12702" i="1"/>
  <c r="A12714" i="1"/>
  <c r="B12714" i="1"/>
  <c r="C12714" i="1"/>
  <c r="A4351" i="1"/>
  <c r="B4351" i="1"/>
  <c r="C4351" i="1"/>
  <c r="A15296" i="1"/>
  <c r="B15296" i="1"/>
  <c r="C15296" i="1"/>
  <c r="A13203" i="1"/>
  <c r="B13203" i="1"/>
  <c r="C13203" i="1"/>
  <c r="A18086" i="1"/>
  <c r="B18086" i="1"/>
  <c r="C18086" i="1"/>
  <c r="A18084" i="1"/>
  <c r="B18084" i="1"/>
  <c r="C18084" i="1"/>
  <c r="A20813" i="1"/>
  <c r="B20813" i="1"/>
  <c r="C20813" i="1"/>
  <c r="A8287" i="1"/>
  <c r="B8287" i="1"/>
  <c r="C8287" i="1"/>
  <c r="A8114" i="1"/>
  <c r="B8114" i="1"/>
  <c r="C8114" i="1"/>
  <c r="A7652" i="1"/>
  <c r="B7652" i="1"/>
  <c r="C7652" i="1"/>
  <c r="A7651" i="1"/>
  <c r="B7651" i="1"/>
  <c r="C7651" i="1"/>
  <c r="A24270" i="1"/>
  <c r="B24270" i="1"/>
  <c r="C24270" i="1"/>
  <c r="A19929" i="1"/>
  <c r="B19929" i="1"/>
  <c r="C19929" i="1"/>
  <c r="A1689" i="1"/>
  <c r="B1689" i="1"/>
  <c r="C1689" i="1"/>
  <c r="A23600" i="1"/>
  <c r="B23600" i="1"/>
  <c r="C23600" i="1"/>
  <c r="A3997" i="1"/>
  <c r="B3997" i="1"/>
  <c r="C3997" i="1"/>
  <c r="A10017" i="1"/>
  <c r="B10017" i="1"/>
  <c r="C10017" i="1"/>
  <c r="A10015" i="1"/>
  <c r="B10015" i="1"/>
  <c r="C10015" i="1"/>
  <c r="A18791" i="1"/>
  <c r="B18791" i="1"/>
  <c r="C18791" i="1"/>
  <c r="A24416" i="1"/>
  <c r="B24416" i="1"/>
  <c r="C24416" i="1"/>
  <c r="A20923" i="1"/>
  <c r="B20923" i="1"/>
  <c r="C20923" i="1"/>
  <c r="A3595" i="1"/>
  <c r="B3595" i="1"/>
  <c r="C3595" i="1"/>
  <c r="A24850" i="1"/>
  <c r="B24850" i="1"/>
  <c r="C24850" i="1"/>
  <c r="A12129" i="1"/>
  <c r="B12129" i="1"/>
  <c r="C12129" i="1"/>
  <c r="A18334" i="1"/>
  <c r="B18334" i="1"/>
  <c r="C18334" i="1"/>
  <c r="A16913" i="1"/>
  <c r="B16913" i="1"/>
  <c r="C16913" i="1"/>
  <c r="A24801" i="1"/>
  <c r="B24801" i="1"/>
  <c r="C24801" i="1"/>
  <c r="A24802" i="1"/>
  <c r="B24802" i="1"/>
  <c r="C24802" i="1"/>
  <c r="A15139" i="1"/>
  <c r="B15139" i="1"/>
  <c r="C15139" i="1"/>
  <c r="A3664" i="1"/>
  <c r="B3664" i="1"/>
  <c r="C3664" i="1"/>
  <c r="A3547" i="1"/>
  <c r="B3547" i="1"/>
  <c r="C3547" i="1"/>
  <c r="A17888" i="1"/>
  <c r="B17888" i="1"/>
  <c r="C17888" i="1"/>
  <c r="A19843" i="1"/>
  <c r="B19843" i="1"/>
  <c r="C19843" i="1"/>
  <c r="A25482" i="1"/>
  <c r="B25482" i="1"/>
  <c r="C25482" i="1"/>
  <c r="A11921" i="1"/>
  <c r="B11921" i="1"/>
  <c r="C11921" i="1"/>
  <c r="A6313" i="1"/>
  <c r="B6313" i="1"/>
  <c r="C6313" i="1"/>
  <c r="A6314" i="1"/>
  <c r="B6314" i="1"/>
  <c r="C6314" i="1"/>
  <c r="A6315" i="1"/>
  <c r="B6315" i="1"/>
  <c r="C6315" i="1"/>
  <c r="A6316" i="1"/>
  <c r="B6316" i="1"/>
  <c r="C6316" i="1"/>
  <c r="A6317" i="1"/>
  <c r="B6317" i="1"/>
  <c r="C6317" i="1"/>
  <c r="A20288" i="1"/>
  <c r="B20288" i="1"/>
  <c r="C20288" i="1"/>
  <c r="A18151" i="1"/>
  <c r="B18151" i="1"/>
  <c r="C18151" i="1"/>
  <c r="A24037" i="1"/>
  <c r="B24037" i="1"/>
  <c r="C24037" i="1"/>
  <c r="A18885" i="1"/>
  <c r="B18885" i="1"/>
  <c r="C18885" i="1"/>
  <c r="A3197" i="1"/>
  <c r="B3197" i="1"/>
  <c r="C3197" i="1"/>
  <c r="A21848" i="1"/>
  <c r="B21848" i="1"/>
  <c r="C21848" i="1"/>
  <c r="A10034" i="1"/>
  <c r="B10034" i="1"/>
  <c r="C10034" i="1"/>
  <c r="A10033" i="1"/>
  <c r="B10033" i="1"/>
  <c r="C10033" i="1"/>
  <c r="A24549" i="1"/>
  <c r="B24549" i="1"/>
  <c r="C24549" i="1"/>
  <c r="A24552" i="1"/>
  <c r="B24552" i="1"/>
  <c r="C24552" i="1"/>
  <c r="A24545" i="1"/>
  <c r="B24545" i="1"/>
  <c r="C24545" i="1"/>
  <c r="A24550" i="1"/>
  <c r="B24550" i="1"/>
  <c r="C24550" i="1"/>
  <c r="A24551" i="1"/>
  <c r="B24551" i="1"/>
  <c r="C24551" i="1"/>
  <c r="A24546" i="1"/>
  <c r="B24546" i="1"/>
  <c r="C24546" i="1"/>
  <c r="A16661" i="1"/>
  <c r="B16661" i="1"/>
  <c r="C16661" i="1"/>
  <c r="A6157" i="1"/>
  <c r="B6157" i="1"/>
  <c r="C6157" i="1"/>
  <c r="A10053" i="1"/>
  <c r="B10053" i="1"/>
  <c r="C10053" i="1"/>
  <c r="A10057" i="1"/>
  <c r="B10057" i="1"/>
  <c r="C10057" i="1"/>
  <c r="A16685" i="1"/>
  <c r="B16685" i="1"/>
  <c r="C16685" i="1"/>
  <c r="A11752" i="1"/>
  <c r="B11752" i="1"/>
  <c r="C11752" i="1"/>
  <c r="A16056" i="1"/>
  <c r="B16056" i="1"/>
  <c r="C16056" i="1"/>
  <c r="A5946" i="1"/>
  <c r="B5946" i="1"/>
  <c r="C5946" i="1"/>
  <c r="A5945" i="1"/>
  <c r="B5945" i="1"/>
  <c r="C5945" i="1"/>
  <c r="A8120" i="1"/>
  <c r="B8120" i="1"/>
  <c r="C8120" i="1"/>
  <c r="A18256" i="1"/>
  <c r="B18256" i="1"/>
  <c r="C18256" i="1"/>
  <c r="A8093" i="1"/>
  <c r="B8093" i="1"/>
  <c r="C8093" i="1"/>
  <c r="A8095" i="1"/>
  <c r="B8095" i="1"/>
  <c r="C8095" i="1"/>
  <c r="A8119" i="1"/>
  <c r="B8119" i="1"/>
  <c r="C8119" i="1"/>
  <c r="A12412" i="1"/>
  <c r="B12412" i="1"/>
  <c r="C12412" i="1"/>
  <c r="A8094" i="1"/>
  <c r="B8094" i="1"/>
  <c r="C8094" i="1"/>
  <c r="A12815" i="1"/>
  <c r="B12815" i="1"/>
  <c r="C12815" i="1"/>
  <c r="A8096" i="1"/>
  <c r="B8096" i="1"/>
  <c r="C8096" i="1"/>
  <c r="A11570" i="1"/>
  <c r="B11570" i="1"/>
  <c r="C11570" i="1"/>
  <c r="A11401" i="1"/>
  <c r="B11401" i="1"/>
  <c r="C11401" i="1"/>
  <c r="A14314" i="1"/>
  <c r="B14314" i="1"/>
  <c r="C14314" i="1"/>
  <c r="A14313" i="1"/>
  <c r="B14313" i="1"/>
  <c r="C14313" i="1"/>
  <c r="A19446" i="1"/>
  <c r="B19446" i="1"/>
  <c r="C19446" i="1"/>
  <c r="A14164" i="1"/>
  <c r="B14164" i="1"/>
  <c r="C14164" i="1"/>
  <c r="A20809" i="1"/>
  <c r="B20809" i="1"/>
  <c r="C20809" i="1"/>
  <c r="A15326" i="1"/>
  <c r="B15326" i="1"/>
  <c r="C15326" i="1"/>
  <c r="A18251" i="1"/>
  <c r="B18251" i="1"/>
  <c r="C18251" i="1"/>
  <c r="A21526" i="1"/>
  <c r="B21526" i="1"/>
  <c r="C21526" i="1"/>
  <c r="A2540" i="1"/>
  <c r="B2540" i="1"/>
  <c r="C2540" i="1"/>
  <c r="A12040" i="1"/>
  <c r="B12040" i="1"/>
  <c r="C12040" i="1"/>
  <c r="A20244" i="1"/>
  <c r="B20244" i="1"/>
  <c r="C20244" i="1"/>
  <c r="A20239" i="1"/>
  <c r="B20239" i="1"/>
  <c r="C20239" i="1"/>
  <c r="A16846" i="1"/>
  <c r="B16846" i="1"/>
  <c r="C16846" i="1"/>
  <c r="A16845" i="1"/>
  <c r="B16845" i="1"/>
  <c r="C16845" i="1"/>
  <c r="A7653" i="1"/>
  <c r="B7653" i="1"/>
  <c r="C7653" i="1"/>
  <c r="A7654" i="1"/>
  <c r="B7654" i="1"/>
  <c r="C7654" i="1"/>
  <c r="A16844" i="1"/>
  <c r="B16844" i="1"/>
  <c r="C16844" i="1"/>
  <c r="A18815" i="1"/>
  <c r="B18815" i="1"/>
  <c r="C18815" i="1"/>
  <c r="A5360" i="1"/>
  <c r="B5360" i="1"/>
  <c r="C5360" i="1"/>
  <c r="A19746" i="1"/>
  <c r="B19746" i="1"/>
  <c r="C19746" i="1"/>
  <c r="A18670" i="1"/>
  <c r="B18670" i="1"/>
  <c r="C18670" i="1"/>
  <c r="A870" i="1"/>
  <c r="B870" i="1"/>
  <c r="C870" i="1"/>
  <c r="A16476" i="1"/>
  <c r="B16476" i="1"/>
  <c r="C16476" i="1"/>
  <c r="A8541" i="1"/>
  <c r="B8541" i="1"/>
  <c r="C8541" i="1"/>
  <c r="A19567" i="1"/>
  <c r="B19567" i="1"/>
  <c r="C19567" i="1"/>
  <c r="A23277" i="1"/>
  <c r="B23277" i="1"/>
  <c r="C23277" i="1"/>
  <c r="A23258" i="1"/>
  <c r="B23258" i="1"/>
  <c r="C23258" i="1"/>
  <c r="A16473" i="1"/>
  <c r="B16473" i="1"/>
  <c r="C16473" i="1"/>
  <c r="A104" i="1"/>
  <c r="B104" i="1"/>
  <c r="C104" i="1"/>
  <c r="A11238" i="1"/>
  <c r="B11238" i="1"/>
  <c r="C11238" i="1"/>
  <c r="A11237" i="1"/>
  <c r="B11237" i="1"/>
  <c r="C11237" i="1"/>
  <c r="A1152" i="1"/>
  <c r="B1152" i="1"/>
  <c r="C1152" i="1"/>
  <c r="A19844" i="1"/>
  <c r="B19844" i="1"/>
  <c r="C19844" i="1"/>
  <c r="A8110" i="1"/>
  <c r="B8110" i="1"/>
  <c r="C8110" i="1"/>
  <c r="A8103" i="1"/>
  <c r="B8103" i="1"/>
  <c r="C8103" i="1"/>
  <c r="A18592" i="1"/>
  <c r="B18592" i="1"/>
  <c r="C18592" i="1"/>
  <c r="A16086" i="1"/>
  <c r="B16086" i="1"/>
  <c r="C16086" i="1"/>
  <c r="A10240" i="1"/>
  <c r="B10240" i="1"/>
  <c r="C10240" i="1"/>
  <c r="A10237" i="1"/>
  <c r="B10237" i="1"/>
  <c r="C10237" i="1"/>
  <c r="A7174" i="1"/>
  <c r="B7174" i="1"/>
  <c r="C7174" i="1"/>
  <c r="A8316" i="1"/>
  <c r="B8316" i="1"/>
  <c r="C8316" i="1"/>
  <c r="A16443" i="1"/>
  <c r="B16443" i="1"/>
  <c r="C16443" i="1"/>
  <c r="A20559" i="1"/>
  <c r="B20559" i="1"/>
  <c r="C20559" i="1"/>
  <c r="A20456" i="1"/>
  <c r="B20456" i="1"/>
  <c r="C20456" i="1"/>
  <c r="A20380" i="1"/>
  <c r="B20380" i="1"/>
  <c r="C20380" i="1"/>
  <c r="A3576" i="1"/>
  <c r="B3576" i="1"/>
  <c r="C3576" i="1"/>
  <c r="A14666" i="1"/>
  <c r="B14666" i="1"/>
  <c r="C14666" i="1"/>
  <c r="A14669" i="1"/>
  <c r="B14669" i="1"/>
  <c r="C14669" i="1"/>
  <c r="A16437" i="1"/>
  <c r="B16437" i="1"/>
  <c r="C16437" i="1"/>
  <c r="A8313" i="1"/>
  <c r="B8313" i="1"/>
  <c r="C8313" i="1"/>
  <c r="A20290" i="1"/>
  <c r="B20290" i="1"/>
  <c r="C20290" i="1"/>
  <c r="A68" i="1"/>
  <c r="B68" i="1"/>
  <c r="C68" i="1"/>
  <c r="A8758" i="1"/>
  <c r="B8758" i="1"/>
  <c r="C8758" i="1"/>
  <c r="A20382" i="1"/>
  <c r="B20382" i="1"/>
  <c r="C20382" i="1"/>
  <c r="A17356" i="1"/>
  <c r="B17356" i="1"/>
  <c r="C17356" i="1"/>
  <c r="A8230" i="1"/>
  <c r="B8230" i="1"/>
  <c r="C8230" i="1"/>
  <c r="A8603" i="1"/>
  <c r="B8603" i="1"/>
  <c r="C8603" i="1"/>
  <c r="A22689" i="1"/>
  <c r="B22689" i="1"/>
  <c r="C22689" i="1"/>
  <c r="A12212" i="1"/>
  <c r="B12212" i="1"/>
  <c r="C12212" i="1"/>
  <c r="A12419" i="1"/>
  <c r="B12419" i="1"/>
  <c r="C12419" i="1"/>
  <c r="A17622" i="1"/>
  <c r="B17622" i="1"/>
  <c r="C17622" i="1"/>
  <c r="A17587" i="1"/>
  <c r="B17587" i="1"/>
  <c r="C17587" i="1"/>
  <c r="A17590" i="1"/>
  <c r="B17590" i="1"/>
  <c r="C17590" i="1"/>
  <c r="A18002" i="1"/>
  <c r="B18002" i="1"/>
  <c r="C18002" i="1"/>
  <c r="A18941" i="1"/>
  <c r="B18941" i="1"/>
  <c r="C18941" i="1"/>
  <c r="A22688" i="1"/>
  <c r="B22688" i="1"/>
  <c r="C22688" i="1"/>
  <c r="A22099" i="1"/>
  <c r="B22099" i="1"/>
  <c r="C22099" i="1"/>
  <c r="A22106" i="1"/>
  <c r="B22106" i="1"/>
  <c r="C22106" i="1"/>
  <c r="A19629" i="1"/>
  <c r="B19629" i="1"/>
  <c r="C19629" i="1"/>
  <c r="A11862" i="1"/>
  <c r="B11862" i="1"/>
  <c r="C11862" i="1"/>
  <c r="A11863" i="1"/>
  <c r="B11863" i="1"/>
  <c r="C11863" i="1"/>
  <c r="A19972" i="1"/>
  <c r="B19972" i="1"/>
  <c r="C19972" i="1"/>
  <c r="A16503" i="1"/>
  <c r="B16503" i="1"/>
  <c r="C16503" i="1"/>
  <c r="A16482" i="1"/>
  <c r="B16482" i="1"/>
  <c r="C16482" i="1"/>
  <c r="A18672" i="1"/>
  <c r="B18672" i="1"/>
  <c r="C18672" i="1"/>
  <c r="A17623" i="1"/>
  <c r="B17623" i="1"/>
  <c r="C17623" i="1"/>
  <c r="A20963" i="1"/>
  <c r="B20963" i="1"/>
  <c r="C20963" i="1"/>
  <c r="A2558" i="1"/>
  <c r="B2558" i="1"/>
  <c r="C2558" i="1"/>
  <c r="A13494" i="1"/>
  <c r="C13494" i="1"/>
  <c r="A25041" i="1"/>
  <c r="B25041" i="1"/>
  <c r="C25041" i="1"/>
  <c r="A20973" i="1"/>
  <c r="B20973" i="1"/>
  <c r="C20973" i="1"/>
  <c r="A20972" i="1"/>
  <c r="B20972" i="1"/>
  <c r="C20972" i="1"/>
  <c r="A22456" i="1"/>
  <c r="B22456" i="1"/>
  <c r="C22456" i="1"/>
  <c r="A22454" i="1"/>
  <c r="B22454" i="1"/>
  <c r="C22454" i="1"/>
  <c r="A22128" i="1"/>
  <c r="B22128" i="1"/>
  <c r="C22128" i="1"/>
  <c r="A21594" i="1"/>
  <c r="B21594" i="1"/>
  <c r="C21594" i="1"/>
  <c r="A21595" i="1"/>
  <c r="B21595" i="1"/>
  <c r="C21595" i="1"/>
  <c r="A3691" i="1"/>
  <c r="B3691" i="1"/>
  <c r="C3691" i="1"/>
  <c r="A22455" i="1"/>
  <c r="B22455" i="1"/>
  <c r="C22455" i="1"/>
  <c r="A22480" i="1"/>
  <c r="B22480" i="1"/>
  <c r="C22480" i="1"/>
  <c r="A7319" i="1"/>
  <c r="B7319" i="1"/>
  <c r="C7319" i="1"/>
  <c r="A25245" i="1"/>
  <c r="B25245" i="1"/>
  <c r="C25245" i="1"/>
  <c r="A16461" i="1"/>
  <c r="B16461" i="1"/>
  <c r="C16461" i="1"/>
  <c r="A15134" i="1"/>
  <c r="B15134" i="1"/>
  <c r="C15134" i="1"/>
  <c r="A5780" i="1"/>
  <c r="B5780" i="1"/>
  <c r="C5780" i="1"/>
  <c r="A13536" i="1"/>
  <c r="B13536" i="1"/>
  <c r="C13536" i="1"/>
  <c r="A20937" i="1"/>
  <c r="B20937" i="1"/>
  <c r="C20937" i="1"/>
  <c r="A23009" i="1"/>
  <c r="B23009" i="1"/>
  <c r="C23009" i="1"/>
  <c r="A2292" i="1"/>
  <c r="B2292" i="1"/>
  <c r="C2292" i="1"/>
  <c r="A5897" i="1"/>
  <c r="B5897" i="1"/>
  <c r="C5897" i="1"/>
  <c r="A14863" i="1"/>
  <c r="B14863" i="1"/>
  <c r="C14863" i="1"/>
  <c r="A6113" i="1"/>
  <c r="B6113" i="1"/>
  <c r="C6113" i="1"/>
  <c r="A6115" i="1"/>
  <c r="B6115" i="1"/>
  <c r="C6115" i="1"/>
  <c r="A20007" i="1"/>
  <c r="B20007" i="1"/>
  <c r="C20007" i="1"/>
  <c r="A20232" i="1"/>
  <c r="B20232" i="1"/>
  <c r="C20232" i="1"/>
  <c r="A23899" i="1"/>
  <c r="B23899" i="1"/>
  <c r="C23899" i="1"/>
  <c r="A10722" i="1"/>
  <c r="B10722" i="1"/>
  <c r="C10722" i="1"/>
  <c r="A18343" i="1"/>
  <c r="B18343" i="1"/>
  <c r="C18343" i="1"/>
  <c r="A16912" i="1"/>
  <c r="B16912" i="1"/>
  <c r="C16912" i="1"/>
  <c r="A16708" i="1"/>
  <c r="B16708" i="1"/>
  <c r="C16708" i="1"/>
  <c r="A11315" i="1"/>
  <c r="B11315" i="1"/>
  <c r="C11315" i="1"/>
  <c r="A11314" i="1"/>
  <c r="B11314" i="1"/>
  <c r="C11314" i="1"/>
  <c r="A25522" i="1"/>
  <c r="B25522" i="1"/>
  <c r="C25522" i="1"/>
  <c r="A12552" i="1"/>
  <c r="B12552" i="1"/>
  <c r="C12552" i="1"/>
  <c r="A20579" i="1"/>
  <c r="B20579" i="1"/>
  <c r="C20579" i="1"/>
  <c r="A20586" i="1"/>
  <c r="B20586" i="1"/>
  <c r="C20586" i="1"/>
  <c r="A20024" i="1"/>
  <c r="B20024" i="1"/>
  <c r="C20024" i="1"/>
  <c r="A6993" i="1"/>
  <c r="B6993" i="1"/>
  <c r="C6993" i="1"/>
  <c r="A2658" i="1"/>
  <c r="B2658" i="1"/>
  <c r="C2658" i="1"/>
  <c r="A2659" i="1"/>
  <c r="B2659" i="1"/>
  <c r="C2659" i="1"/>
  <c r="A11459" i="1"/>
  <c r="B11459" i="1"/>
  <c r="C11459" i="1"/>
  <c r="A24905" i="1"/>
  <c r="B24905" i="1"/>
  <c r="C24905" i="1"/>
  <c r="A13389" i="1"/>
  <c r="B13389" i="1"/>
  <c r="C13389" i="1"/>
  <c r="A6680" i="1"/>
  <c r="B6680" i="1"/>
  <c r="C6680" i="1"/>
  <c r="A6684" i="1"/>
  <c r="B6684" i="1"/>
  <c r="C6684" i="1"/>
  <c r="A6685" i="1"/>
  <c r="B6685" i="1"/>
  <c r="C6685" i="1"/>
  <c r="A6687" i="1"/>
  <c r="B6687" i="1"/>
  <c r="C6687" i="1"/>
  <c r="A17195" i="1"/>
  <c r="B17195" i="1"/>
  <c r="C17195" i="1"/>
  <c r="A3588" i="1"/>
  <c r="B3588" i="1"/>
  <c r="C3588" i="1"/>
  <c r="A3589" i="1"/>
  <c r="B3589" i="1"/>
  <c r="C3589" i="1"/>
  <c r="A23695" i="1"/>
  <c r="B23695" i="1"/>
  <c r="C23695" i="1"/>
  <c r="A11917" i="1"/>
  <c r="B11917" i="1"/>
  <c r="C11917" i="1"/>
  <c r="A9420" i="1"/>
  <c r="B9420" i="1"/>
  <c r="C9420" i="1"/>
  <c r="A11481" i="1"/>
  <c r="B11481" i="1"/>
  <c r="C11481" i="1"/>
  <c r="A9438" i="1"/>
  <c r="B9438" i="1"/>
  <c r="C9438" i="1"/>
  <c r="A6682" i="1"/>
  <c r="B6682" i="1"/>
  <c r="C6682" i="1"/>
  <c r="A6683" i="1"/>
  <c r="B6683" i="1"/>
  <c r="C6683" i="1"/>
  <c r="A6686" i="1"/>
  <c r="B6686" i="1"/>
  <c r="C6686" i="1"/>
  <c r="A6681" i="1"/>
  <c r="B6681" i="1"/>
  <c r="C6681" i="1"/>
  <c r="A6688" i="1"/>
  <c r="B6688" i="1"/>
  <c r="C6688" i="1"/>
  <c r="A6689" i="1"/>
  <c r="B6689" i="1"/>
  <c r="C6689" i="1"/>
  <c r="A4244" i="1"/>
  <c r="B4244" i="1"/>
  <c r="C4244" i="1"/>
  <c r="A16689" i="1"/>
  <c r="B16689" i="1"/>
  <c r="C16689" i="1"/>
  <c r="A25240" i="1"/>
  <c r="B25240" i="1"/>
  <c r="C25240" i="1"/>
  <c r="A2810" i="1"/>
  <c r="B2810" i="1"/>
  <c r="C2810" i="1"/>
  <c r="A15276" i="1"/>
  <c r="B15276" i="1"/>
  <c r="C15276" i="1"/>
  <c r="A12339" i="1"/>
  <c r="B12339" i="1"/>
  <c r="C12339" i="1"/>
  <c r="A12376" i="1"/>
  <c r="B12376" i="1"/>
  <c r="C12376" i="1"/>
  <c r="A20599" i="1"/>
  <c r="B20599" i="1"/>
  <c r="C20599" i="1"/>
  <c r="A7751" i="1"/>
  <c r="B7751" i="1"/>
  <c r="C7751" i="1"/>
  <c r="A19967" i="1"/>
  <c r="B19967" i="1"/>
  <c r="C19967" i="1"/>
  <c r="A19461" i="1"/>
  <c r="B19461" i="1"/>
  <c r="C19461" i="1"/>
  <c r="A12030" i="1"/>
  <c r="B12030" i="1"/>
  <c r="C12030" i="1"/>
  <c r="A19932" i="1"/>
  <c r="B19932" i="1"/>
  <c r="C19932" i="1"/>
  <c r="A1093" i="1"/>
  <c r="B1093" i="1"/>
  <c r="C1093" i="1"/>
  <c r="A16707" i="1"/>
  <c r="B16707" i="1"/>
  <c r="C16707" i="1"/>
  <c r="A24627" i="1"/>
  <c r="B24627" i="1"/>
  <c r="C24627" i="1"/>
  <c r="A15257" i="1"/>
  <c r="B15257" i="1"/>
  <c r="C15257" i="1"/>
  <c r="A5520" i="1"/>
  <c r="B5520" i="1"/>
  <c r="C5520" i="1"/>
  <c r="A10014" i="1"/>
  <c r="B10014" i="1"/>
  <c r="C10014" i="1"/>
  <c r="A6337" i="1"/>
  <c r="B6337" i="1"/>
  <c r="C6337" i="1"/>
  <c r="A6336" i="1"/>
  <c r="B6336" i="1"/>
  <c r="C6336" i="1"/>
  <c r="A6130" i="1"/>
  <c r="B6130" i="1"/>
  <c r="C6130" i="1"/>
  <c r="A6132" i="1"/>
  <c r="B6132" i="1"/>
  <c r="C6132" i="1"/>
  <c r="A6137" i="1"/>
  <c r="B6137" i="1"/>
  <c r="C6137" i="1"/>
  <c r="A17294" i="1"/>
  <c r="B17294" i="1"/>
  <c r="C17294" i="1"/>
  <c r="A17293" i="1"/>
  <c r="B17293" i="1"/>
  <c r="C17293" i="1"/>
  <c r="A7175" i="1"/>
  <c r="B7175" i="1"/>
  <c r="C7175" i="1"/>
  <c r="A2265" i="1"/>
  <c r="B2265" i="1"/>
  <c r="C2265" i="1"/>
  <c r="A2266" i="1"/>
  <c r="B2266" i="1"/>
  <c r="C2266" i="1"/>
  <c r="A2267" i="1"/>
  <c r="B2267" i="1"/>
  <c r="C2267" i="1"/>
  <c r="A2268" i="1"/>
  <c r="B2268" i="1"/>
  <c r="C2268" i="1"/>
  <c r="A10768" i="1"/>
  <c r="B10768" i="1"/>
  <c r="C10768" i="1"/>
  <c r="A10767" i="1"/>
  <c r="B10767" i="1"/>
  <c r="C10767" i="1"/>
  <c r="A10390" i="1"/>
  <c r="B10390" i="1"/>
  <c r="C10390" i="1"/>
  <c r="A10397" i="1"/>
  <c r="B10397" i="1"/>
  <c r="C10397" i="1"/>
  <c r="A7765" i="1"/>
  <c r="B7765" i="1"/>
  <c r="C7765" i="1"/>
  <c r="A12411" i="1"/>
  <c r="B12411" i="1"/>
  <c r="C12411" i="1"/>
  <c r="A18930" i="1"/>
  <c r="B18930" i="1"/>
  <c r="C18930" i="1"/>
  <c r="A25146" i="1"/>
  <c r="B25146" i="1"/>
  <c r="C25146" i="1"/>
  <c r="A12171" i="1"/>
  <c r="B12171" i="1"/>
  <c r="C12171" i="1"/>
  <c r="A9211" i="1"/>
  <c r="B9211" i="1"/>
  <c r="C9211" i="1"/>
  <c r="A2199" i="1"/>
  <c r="B2199" i="1"/>
  <c r="C2199" i="1"/>
  <c r="A14665" i="1"/>
  <c r="B14665" i="1"/>
  <c r="C14665" i="1"/>
  <c r="A20056" i="1"/>
  <c r="B20056" i="1"/>
  <c r="C20056" i="1"/>
  <c r="A18904" i="1"/>
  <c r="B18904" i="1"/>
  <c r="C18904" i="1"/>
  <c r="A20873" i="1"/>
  <c r="B20873" i="1"/>
  <c r="C20873" i="1"/>
  <c r="A2126" i="1"/>
  <c r="B2126" i="1"/>
  <c r="C2126" i="1"/>
  <c r="A25108" i="1"/>
  <c r="B25108" i="1"/>
  <c r="C25108" i="1"/>
  <c r="A20874" i="1"/>
  <c r="B20874" i="1"/>
  <c r="C20874" i="1"/>
  <c r="A1176" i="1"/>
  <c r="B1176" i="1"/>
  <c r="C1176" i="1"/>
  <c r="A2759" i="1"/>
  <c r="B2759" i="1"/>
  <c r="C2759" i="1"/>
  <c r="A16687" i="1"/>
  <c r="B16687" i="1"/>
  <c r="C16687" i="1"/>
  <c r="A12075" i="1"/>
  <c r="B12075" i="1"/>
  <c r="C12075" i="1"/>
  <c r="A12168" i="1"/>
  <c r="B12168" i="1"/>
  <c r="C12168" i="1"/>
  <c r="A15315" i="1"/>
  <c r="B15315" i="1"/>
  <c r="C15315" i="1"/>
  <c r="A19198" i="1"/>
  <c r="B19198" i="1"/>
  <c r="C19198" i="1"/>
  <c r="A20506" i="1"/>
  <c r="B20506" i="1"/>
  <c r="C20506" i="1"/>
  <c r="A2933" i="1"/>
  <c r="B2933" i="1"/>
  <c r="C2933" i="1"/>
  <c r="A12327" i="1"/>
  <c r="B12327" i="1"/>
  <c r="C12327" i="1"/>
  <c r="A14664" i="1"/>
  <c r="B14664" i="1"/>
  <c r="C14664" i="1"/>
  <c r="A12313" i="1"/>
  <c r="B12313" i="1"/>
  <c r="C12313" i="1"/>
  <c r="A9139" i="1"/>
  <c r="B9139" i="1"/>
  <c r="C9139" i="1"/>
  <c r="A8091" i="1"/>
  <c r="B8091" i="1"/>
  <c r="C8091" i="1"/>
  <c r="A12023" i="1"/>
  <c r="B12023" i="1"/>
  <c r="C12023" i="1"/>
  <c r="A25268" i="1"/>
  <c r="B25268" i="1"/>
  <c r="C25268" i="1"/>
  <c r="A6645" i="1"/>
  <c r="B6645" i="1"/>
  <c r="C6645" i="1"/>
  <c r="A20498" i="1"/>
  <c r="B20498" i="1"/>
  <c r="C20498" i="1"/>
  <c r="A2979" i="1"/>
  <c r="B2979" i="1"/>
  <c r="C2979" i="1"/>
  <c r="A20924" i="1"/>
  <c r="B20924" i="1"/>
  <c r="C20924" i="1"/>
  <c r="A3586" i="1"/>
  <c r="B3586" i="1"/>
  <c r="C3586" i="1"/>
  <c r="A3590" i="1"/>
  <c r="B3590" i="1"/>
  <c r="C3590" i="1"/>
  <c r="A6275" i="1"/>
  <c r="B6275" i="1"/>
  <c r="C6275" i="1"/>
  <c r="A24848" i="1"/>
  <c r="B24848" i="1"/>
  <c r="C24848" i="1"/>
  <c r="A12413" i="1"/>
  <c r="B12413" i="1"/>
  <c r="C12413" i="1"/>
  <c r="A24851" i="1"/>
  <c r="B24851" i="1"/>
  <c r="C24851" i="1"/>
  <c r="A3545" i="1"/>
  <c r="B3545" i="1"/>
  <c r="C3545" i="1"/>
  <c r="A3079" i="1"/>
  <c r="B3079" i="1"/>
  <c r="C3079" i="1"/>
  <c r="A16688" i="1"/>
  <c r="B16688" i="1"/>
  <c r="C16688" i="1"/>
  <c r="A8596" i="1"/>
  <c r="B8596" i="1"/>
  <c r="C8596" i="1"/>
  <c r="A10105" i="1"/>
  <c r="B10105" i="1"/>
  <c r="C10105" i="1"/>
  <c r="A20084" i="1"/>
  <c r="B20084" i="1"/>
  <c r="C20084" i="1"/>
  <c r="A22399" i="1"/>
  <c r="B22399" i="1"/>
  <c r="C22399" i="1"/>
  <c r="A17315" i="1"/>
  <c r="B17315" i="1"/>
  <c r="C17315" i="1"/>
  <c r="A12377" i="1"/>
  <c r="B12377" i="1"/>
  <c r="C12377" i="1"/>
  <c r="A14844" i="1"/>
  <c r="B14844" i="1"/>
  <c r="C14844" i="1"/>
  <c r="A5396" i="1"/>
  <c r="B5396" i="1"/>
  <c r="C5396" i="1"/>
  <c r="A5393" i="1"/>
  <c r="B5393" i="1"/>
  <c r="C5393" i="1"/>
  <c r="A18686" i="1"/>
  <c r="B18686" i="1"/>
  <c r="C18686" i="1"/>
  <c r="A17275" i="1"/>
  <c r="B17275" i="1"/>
  <c r="C17275" i="1"/>
  <c r="A20112" i="1"/>
  <c r="B20112" i="1"/>
  <c r="C20112" i="1"/>
  <c r="A19538" i="1"/>
  <c r="B19538" i="1"/>
  <c r="C19538" i="1"/>
  <c r="A21930" i="1"/>
  <c r="B21930" i="1"/>
  <c r="C21930" i="1"/>
  <c r="A10018" i="1"/>
  <c r="B10018" i="1"/>
  <c r="C10018" i="1"/>
  <c r="A13621" i="1"/>
  <c r="B13621" i="1"/>
  <c r="C13621" i="1"/>
  <c r="A5268" i="1"/>
  <c r="B5268" i="1"/>
  <c r="C5268" i="1"/>
  <c r="A22669" i="1"/>
  <c r="B22669" i="1"/>
  <c r="C22669" i="1"/>
  <c r="A16110" i="1"/>
  <c r="B16110" i="1"/>
  <c r="C16110" i="1"/>
  <c r="A6318" i="1"/>
  <c r="B6318" i="1"/>
  <c r="C6318" i="1"/>
  <c r="A6322" i="1"/>
  <c r="B6322" i="1"/>
  <c r="C6322" i="1"/>
  <c r="A13373" i="1"/>
  <c r="B13373" i="1"/>
  <c r="C13373" i="1"/>
  <c r="A8130" i="1"/>
  <c r="B8130" i="1"/>
  <c r="C8130" i="1"/>
  <c r="A4125" i="1"/>
  <c r="B4125" i="1"/>
  <c r="C4125" i="1"/>
  <c r="A11837" i="1"/>
  <c r="B11837" i="1"/>
  <c r="C11837" i="1"/>
  <c r="A11839" i="1"/>
  <c r="B11839" i="1"/>
  <c r="C11839" i="1"/>
  <c r="A11842" i="1"/>
  <c r="B11842" i="1"/>
  <c r="C11842" i="1"/>
  <c r="A11833" i="1"/>
  <c r="B11833" i="1"/>
  <c r="C11833" i="1"/>
  <c r="A23792" i="1"/>
  <c r="B23792" i="1"/>
  <c r="C23792" i="1"/>
  <c r="A18161" i="1"/>
  <c r="B18161" i="1"/>
  <c r="C18161" i="1"/>
  <c r="A1167" i="1"/>
  <c r="B1167" i="1"/>
  <c r="C1167" i="1"/>
  <c r="A1168" i="1"/>
  <c r="B1168" i="1"/>
  <c r="C1168" i="1"/>
  <c r="A4691" i="1"/>
  <c r="B4691" i="1"/>
  <c r="C4691" i="1"/>
  <c r="A3476" i="1"/>
  <c r="B3476" i="1"/>
  <c r="C3476" i="1"/>
  <c r="A10020" i="1"/>
  <c r="B10020" i="1"/>
  <c r="C10020" i="1"/>
  <c r="A9471" i="1"/>
  <c r="B9471" i="1"/>
  <c r="C9471" i="1"/>
  <c r="A25491" i="1"/>
  <c r="B25491" i="1"/>
  <c r="C25491" i="1"/>
  <c r="A25102" i="1"/>
  <c r="B25102" i="1"/>
  <c r="C25102" i="1"/>
  <c r="A5273" i="1"/>
  <c r="B5273" i="1"/>
  <c r="C5273" i="1"/>
  <c r="A3659" i="1"/>
  <c r="B3659" i="1"/>
  <c r="C3659" i="1"/>
  <c r="A20264" i="1"/>
  <c r="B20264" i="1"/>
  <c r="C20264" i="1"/>
  <c r="A20274" i="1"/>
  <c r="B20274" i="1"/>
  <c r="C20274" i="1"/>
  <c r="A9149" i="1"/>
  <c r="B9149" i="1"/>
  <c r="C9149" i="1"/>
  <c r="A9153" i="1"/>
  <c r="B9153" i="1"/>
  <c r="C9153" i="1"/>
  <c r="A20877" i="1"/>
  <c r="B20877" i="1"/>
  <c r="C20877" i="1"/>
  <c r="A7647" i="1"/>
  <c r="B7647" i="1"/>
  <c r="C7647" i="1"/>
  <c r="A7648" i="1"/>
  <c r="B7648" i="1"/>
  <c r="C7648" i="1"/>
  <c r="A23591" i="1"/>
  <c r="B23591" i="1"/>
  <c r="C23591" i="1"/>
  <c r="A19182" i="1"/>
  <c r="B19182" i="1"/>
  <c r="C19182" i="1"/>
  <c r="A3607" i="1"/>
  <c r="B3607" i="1"/>
  <c r="C3607" i="1"/>
  <c r="A1116" i="1"/>
  <c r="B1116" i="1"/>
  <c r="C1116" i="1"/>
  <c r="A24992" i="1"/>
  <c r="B24992" i="1"/>
  <c r="C24992" i="1"/>
  <c r="A7251" i="1"/>
  <c r="B7251" i="1"/>
  <c r="C7251" i="1"/>
  <c r="A20748" i="1"/>
  <c r="B20748" i="1"/>
  <c r="C20748" i="1"/>
  <c r="A18085" i="1"/>
  <c r="B18085" i="1"/>
  <c r="C18085" i="1"/>
  <c r="A23990" i="1"/>
  <c r="B23990" i="1"/>
  <c r="C23990" i="1"/>
  <c r="A23991" i="1"/>
  <c r="B23991" i="1"/>
  <c r="C23991" i="1"/>
  <c r="A24066" i="1"/>
  <c r="B24066" i="1"/>
  <c r="C24066" i="1"/>
  <c r="A23992" i="1"/>
  <c r="B23992" i="1"/>
  <c r="C23992" i="1"/>
  <c r="A15250" i="1"/>
  <c r="B15250" i="1"/>
  <c r="C15250" i="1"/>
  <c r="A3942" i="1"/>
  <c r="B3942" i="1"/>
  <c r="C3942" i="1"/>
  <c r="A19952" i="1"/>
  <c r="B19952" i="1"/>
  <c r="C19952" i="1"/>
  <c r="A23849" i="1"/>
  <c r="B23849" i="1"/>
  <c r="C23849" i="1"/>
  <c r="A24558" i="1"/>
  <c r="B24558" i="1"/>
  <c r="C24558" i="1"/>
  <c r="A24523" i="1"/>
  <c r="B24523" i="1"/>
  <c r="C24523" i="1"/>
  <c r="A24226" i="1"/>
  <c r="B24226" i="1"/>
  <c r="C24226" i="1"/>
  <c r="A22090" i="1"/>
  <c r="B22090" i="1"/>
  <c r="C22090" i="1"/>
  <c r="A7320" i="1"/>
  <c r="B7320" i="1"/>
  <c r="C7320" i="1"/>
  <c r="A9461" i="1"/>
  <c r="B9461" i="1"/>
  <c r="C9461" i="1"/>
  <c r="A23647" i="1"/>
  <c r="B23647" i="1"/>
  <c r="C23647" i="1"/>
  <c r="A23648" i="1"/>
  <c r="B23648" i="1"/>
  <c r="C23648" i="1"/>
  <c r="A13796" i="1"/>
  <c r="B13796" i="1"/>
  <c r="C13796" i="1"/>
  <c r="A2331" i="1"/>
  <c r="B2331" i="1"/>
  <c r="C2331" i="1"/>
  <c r="A21421" i="1"/>
  <c r="B21421" i="1"/>
  <c r="C21421" i="1"/>
  <c r="A9413" i="1"/>
  <c r="B9413" i="1"/>
  <c r="C9413" i="1"/>
  <c r="A21023" i="1"/>
  <c r="B21023" i="1"/>
  <c r="C21023" i="1"/>
  <c r="A21024" i="1"/>
  <c r="B21024" i="1"/>
  <c r="C21024" i="1"/>
  <c r="A21025" i="1"/>
  <c r="B21025" i="1"/>
  <c r="C21025" i="1"/>
  <c r="A6073" i="1"/>
  <c r="B6073" i="1"/>
  <c r="C6073" i="1"/>
  <c r="A6061" i="1"/>
  <c r="B6061" i="1"/>
  <c r="C6061" i="1"/>
  <c r="A6072" i="1"/>
  <c r="B6072" i="1"/>
  <c r="C6072" i="1"/>
  <c r="A6074" i="1"/>
  <c r="B6074" i="1"/>
  <c r="C6074" i="1"/>
  <c r="A20784" i="1"/>
  <c r="B20784" i="1"/>
  <c r="C20784" i="1"/>
  <c r="A20788" i="1"/>
  <c r="B20788" i="1"/>
  <c r="C20788" i="1"/>
  <c r="A25368" i="1"/>
  <c r="B25368" i="1"/>
  <c r="C25368" i="1"/>
  <c r="A13342" i="1"/>
  <c r="B13342" i="1"/>
  <c r="C13342" i="1"/>
  <c r="A5303" i="1"/>
  <c r="B5303" i="1"/>
  <c r="C5303" i="1"/>
  <c r="A15279" i="1"/>
  <c r="B15279" i="1"/>
  <c r="C15279" i="1"/>
  <c r="A3418" i="1"/>
  <c r="B3418" i="1"/>
  <c r="C3418" i="1"/>
  <c r="A3424" i="1"/>
  <c r="B3424" i="1"/>
  <c r="C3424" i="1"/>
  <c r="A3394" i="1"/>
  <c r="B3394" i="1"/>
  <c r="C3394" i="1"/>
  <c r="A14829" i="1"/>
  <c r="B14829" i="1"/>
  <c r="C14829" i="1"/>
  <c r="A8572" i="1"/>
  <c r="B8572" i="1"/>
  <c r="C8572" i="1"/>
  <c r="A17145" i="1"/>
  <c r="B17145" i="1"/>
  <c r="C17145" i="1"/>
  <c r="A17149" i="1"/>
  <c r="B17149" i="1"/>
  <c r="C17149" i="1"/>
  <c r="A17156" i="1"/>
  <c r="B17156" i="1"/>
  <c r="C17156" i="1"/>
  <c r="A17134" i="1"/>
  <c r="B17134" i="1"/>
  <c r="C17134" i="1"/>
  <c r="A25273" i="1"/>
  <c r="B25273" i="1"/>
  <c r="C25273" i="1"/>
  <c r="A23954" i="1"/>
  <c r="B23954" i="1"/>
  <c r="C23954" i="1"/>
  <c r="A19057" i="1"/>
  <c r="B19057" i="1"/>
  <c r="C19057" i="1"/>
  <c r="A25145" i="1"/>
  <c r="B25145" i="1"/>
  <c r="C25145" i="1"/>
  <c r="A11776" i="1"/>
  <c r="B11776" i="1"/>
  <c r="C11776" i="1"/>
  <c r="A7717" i="1"/>
  <c r="B7717" i="1"/>
  <c r="C7717" i="1"/>
  <c r="A18200" i="1"/>
  <c r="B18200" i="1"/>
  <c r="C18200" i="1"/>
  <c r="A22805" i="1"/>
  <c r="B22805" i="1"/>
  <c r="C22805" i="1"/>
  <c r="A18201" i="1"/>
  <c r="B18201" i="1"/>
  <c r="C18201" i="1"/>
  <c r="A19688" i="1"/>
  <c r="B19688" i="1"/>
  <c r="C19688" i="1"/>
  <c r="A23610" i="1"/>
  <c r="B23610" i="1"/>
  <c r="C23610" i="1"/>
  <c r="A23599" i="1"/>
  <c r="B23599" i="1"/>
  <c r="C23599" i="1"/>
  <c r="A20408" i="1"/>
  <c r="B20408" i="1"/>
  <c r="C20408" i="1"/>
  <c r="A23971" i="1"/>
  <c r="B23971" i="1"/>
  <c r="C23971" i="1"/>
  <c r="A20569" i="1"/>
  <c r="B20569" i="1"/>
  <c r="C20569" i="1"/>
  <c r="A20355" i="1"/>
  <c r="B20355" i="1"/>
  <c r="C20355" i="1"/>
  <c r="A18308" i="1"/>
  <c r="B18308" i="1"/>
  <c r="C18308" i="1"/>
  <c r="A11324" i="1"/>
  <c r="B11324" i="1"/>
  <c r="C11324" i="1"/>
  <c r="A9155" i="1"/>
  <c r="B9155" i="1"/>
  <c r="C9155" i="1"/>
  <c r="A14547" i="1"/>
  <c r="B14547" i="1"/>
  <c r="C14547" i="1"/>
  <c r="A13237" i="1"/>
  <c r="B13237" i="1"/>
  <c r="C13237" i="1"/>
  <c r="A17873" i="1"/>
  <c r="B17873" i="1"/>
  <c r="C17873" i="1"/>
  <c r="A3393" i="1"/>
  <c r="B3393" i="1"/>
  <c r="C3393" i="1"/>
  <c r="A23368" i="1"/>
  <c r="B23368" i="1"/>
  <c r="C23368" i="1"/>
  <c r="A1199" i="1"/>
  <c r="B1199" i="1"/>
  <c r="C1199" i="1"/>
  <c r="A1202" i="1"/>
  <c r="B1202" i="1"/>
  <c r="C1202" i="1"/>
  <c r="A1205" i="1"/>
  <c r="B1205" i="1"/>
  <c r="C1205" i="1"/>
  <c r="A1208" i="1"/>
  <c r="B1208" i="1"/>
  <c r="C1208" i="1"/>
  <c r="A1211" i="1"/>
  <c r="B1211" i="1"/>
  <c r="C1211" i="1"/>
  <c r="A1213" i="1"/>
  <c r="B1213" i="1"/>
  <c r="C1213" i="1"/>
  <c r="A1215" i="1"/>
  <c r="B1215" i="1"/>
  <c r="C1215" i="1"/>
  <c r="A1217" i="1"/>
  <c r="B1217" i="1"/>
  <c r="C1217" i="1"/>
  <c r="A1218" i="1"/>
  <c r="B1218" i="1"/>
  <c r="C1218" i="1"/>
  <c r="A1247" i="1"/>
  <c r="B1247" i="1"/>
  <c r="C1247" i="1"/>
  <c r="A1250" i="1"/>
  <c r="B1250" i="1"/>
  <c r="C1250" i="1"/>
  <c r="A1253" i="1"/>
  <c r="B1253" i="1"/>
  <c r="C1253" i="1"/>
  <c r="A1248" i="1"/>
  <c r="B1248" i="1"/>
  <c r="C1248" i="1"/>
  <c r="A1251" i="1"/>
  <c r="B1251" i="1"/>
  <c r="C1251" i="1"/>
  <c r="A1254" i="1"/>
  <c r="B1254" i="1"/>
  <c r="C1254" i="1"/>
  <c r="A18266" i="1"/>
  <c r="B18266" i="1"/>
  <c r="C18266" i="1"/>
  <c r="A18267" i="1"/>
  <c r="B18267" i="1"/>
  <c r="C18267" i="1"/>
  <c r="A6537" i="1"/>
  <c r="B6537" i="1"/>
  <c r="C6537" i="1"/>
  <c r="A25144" i="1"/>
  <c r="B25144" i="1"/>
  <c r="C25144" i="1"/>
  <c r="A21854" i="1"/>
  <c r="B21854" i="1"/>
  <c r="C21854" i="1"/>
  <c r="A21744" i="1"/>
  <c r="B21744" i="1"/>
  <c r="C21744" i="1"/>
  <c r="A21741" i="1"/>
  <c r="B21741" i="1"/>
  <c r="C21741" i="1"/>
  <c r="A21742" i="1"/>
  <c r="B21742" i="1"/>
  <c r="C21742" i="1"/>
  <c r="A21749" i="1"/>
  <c r="B21749" i="1"/>
  <c r="C21749" i="1"/>
  <c r="A21745" i="1"/>
  <c r="B21745" i="1"/>
  <c r="C21745" i="1"/>
  <c r="A9688" i="1"/>
  <c r="B9688" i="1"/>
  <c r="C9688" i="1"/>
  <c r="A24033" i="1"/>
  <c r="B24033" i="1"/>
  <c r="C24033" i="1"/>
  <c r="A12071" i="1"/>
  <c r="B12071" i="1"/>
  <c r="C12071" i="1"/>
  <c r="A2040" i="1"/>
  <c r="B2040" i="1"/>
  <c r="C2040" i="1"/>
  <c r="A2112" i="1"/>
  <c r="B2112" i="1"/>
  <c r="C2112" i="1"/>
  <c r="A3534" i="1"/>
  <c r="B3534" i="1"/>
  <c r="C3534" i="1"/>
  <c r="A18665" i="1"/>
  <c r="B18665" i="1"/>
  <c r="C18665" i="1"/>
  <c r="A16079" i="1"/>
  <c r="B16079" i="1"/>
  <c r="C16079" i="1"/>
  <c r="A3514" i="1"/>
  <c r="B3514" i="1"/>
  <c r="C3514" i="1"/>
  <c r="A25033" i="1"/>
  <c r="B25033" i="1"/>
  <c r="C25033" i="1"/>
  <c r="A11292" i="1"/>
  <c r="B11292" i="1"/>
  <c r="C11292" i="1"/>
  <c r="A7295" i="1"/>
  <c r="B7295" i="1"/>
  <c r="C7295" i="1"/>
  <c r="A5374" i="1"/>
  <c r="B5374" i="1"/>
  <c r="C5374" i="1"/>
  <c r="A16425" i="1"/>
  <c r="B16425" i="1"/>
  <c r="C16425" i="1"/>
  <c r="A23964" i="1"/>
  <c r="B23964" i="1"/>
  <c r="C23964" i="1"/>
  <c r="A24934" i="1"/>
  <c r="B24934" i="1"/>
  <c r="C24934" i="1"/>
  <c r="A24823" i="1"/>
  <c r="B24823" i="1"/>
  <c r="C24823" i="1"/>
  <c r="A8600" i="1"/>
  <c r="B8600" i="1"/>
  <c r="C8600" i="1"/>
  <c r="A8449" i="1"/>
  <c r="B8449" i="1"/>
  <c r="C8449" i="1"/>
  <c r="A15910" i="1"/>
  <c r="B15910" i="1"/>
  <c r="C15910" i="1"/>
  <c r="A20069" i="1"/>
  <c r="B20069" i="1"/>
  <c r="C20069" i="1"/>
  <c r="A20071" i="1"/>
  <c r="B20071" i="1"/>
  <c r="C20071" i="1"/>
  <c r="A20072" i="1"/>
  <c r="B20072" i="1"/>
  <c r="C20072" i="1"/>
  <c r="A20073" i="1"/>
  <c r="B20073" i="1"/>
  <c r="C20073" i="1"/>
  <c r="A20067" i="1"/>
  <c r="B20067" i="1"/>
  <c r="C20067" i="1"/>
  <c r="A20068" i="1"/>
  <c r="B20068" i="1"/>
  <c r="C20068" i="1"/>
  <c r="A18666" i="1"/>
  <c r="B18666" i="1"/>
  <c r="C18666" i="1"/>
  <c r="A4161" i="1"/>
  <c r="B4161" i="1"/>
  <c r="C4161" i="1"/>
  <c r="A6213" i="1"/>
  <c r="B6213" i="1"/>
  <c r="C6213" i="1"/>
  <c r="A14358" i="1"/>
  <c r="B14358" i="1"/>
  <c r="C14358" i="1"/>
  <c r="A17423" i="1"/>
  <c r="B17423" i="1"/>
  <c r="C17423" i="1"/>
  <c r="A17400" i="1"/>
  <c r="B17400" i="1"/>
  <c r="C17400" i="1"/>
  <c r="A19869" i="1"/>
  <c r="B19869" i="1"/>
  <c r="C19869" i="1"/>
  <c r="A3385" i="1"/>
  <c r="B3385" i="1"/>
  <c r="C3385" i="1"/>
  <c r="A3387" i="1"/>
  <c r="B3387" i="1"/>
  <c r="C3387" i="1"/>
  <c r="A3429" i="1"/>
  <c r="B3429" i="1"/>
  <c r="C3429" i="1"/>
  <c r="A3388" i="1"/>
  <c r="B3388" i="1"/>
  <c r="C3388" i="1"/>
  <c r="A3434" i="1"/>
  <c r="B3434" i="1"/>
  <c r="C3434" i="1"/>
  <c r="A3391" i="1"/>
  <c r="B3391" i="1"/>
  <c r="C3391" i="1"/>
  <c r="A3386" i="1"/>
  <c r="B3386" i="1"/>
  <c r="C3386" i="1"/>
  <c r="A23262" i="1"/>
  <c r="B23262" i="1"/>
  <c r="C23262" i="1"/>
  <c r="A12779" i="1"/>
  <c r="B12779" i="1"/>
  <c r="C12779" i="1"/>
  <c r="A18104" i="1"/>
  <c r="B18104" i="1"/>
  <c r="C18104" i="1"/>
  <c r="A8750" i="1"/>
  <c r="B8750" i="1"/>
  <c r="C8750" i="1"/>
  <c r="A25637" i="1"/>
  <c r="B25637" i="1"/>
  <c r="C25637" i="1"/>
  <c r="A16686" i="1"/>
  <c r="B16686" i="1"/>
  <c r="C16686" i="1"/>
  <c r="A13374" i="1"/>
  <c r="B13374" i="1"/>
  <c r="C13374" i="1"/>
  <c r="A23241" i="1"/>
  <c r="B23241" i="1"/>
  <c r="C23241" i="1"/>
  <c r="A24993" i="1"/>
  <c r="B24993" i="1"/>
  <c r="C24993" i="1"/>
  <c r="A21953" i="1"/>
  <c r="B21953" i="1"/>
  <c r="C21953" i="1"/>
  <c r="A25613" i="1"/>
  <c r="B25613" i="1"/>
  <c r="C25613" i="1"/>
  <c r="A5908" i="1"/>
  <c r="B5908" i="1"/>
  <c r="C5908" i="1"/>
  <c r="A25614" i="1"/>
  <c r="B25614" i="1"/>
  <c r="C25614" i="1"/>
  <c r="A4893" i="1"/>
  <c r="B4893" i="1"/>
  <c r="C4893" i="1"/>
  <c r="A4895" i="1"/>
  <c r="B4895" i="1"/>
  <c r="C4895" i="1"/>
  <c r="A4896" i="1"/>
  <c r="B4896" i="1"/>
  <c r="C4896" i="1"/>
  <c r="A4892" i="1"/>
  <c r="B4892" i="1"/>
  <c r="C4892" i="1"/>
  <c r="A12404" i="1"/>
  <c r="B12404" i="1"/>
  <c r="C12404" i="1"/>
  <c r="A18322" i="1"/>
  <c r="B18322" i="1"/>
  <c r="C18322" i="1"/>
  <c r="A8175" i="1"/>
  <c r="B8175" i="1"/>
  <c r="C8175" i="1"/>
  <c r="A23528" i="1"/>
  <c r="B23528" i="1"/>
  <c r="C23528" i="1"/>
  <c r="A6542" i="1"/>
  <c r="B6542" i="1"/>
  <c r="C6542" i="1"/>
  <c r="A18687" i="1"/>
  <c r="B18687" i="1"/>
  <c r="C18687" i="1"/>
  <c r="A23121" i="1"/>
  <c r="B23121" i="1"/>
  <c r="C23121" i="1"/>
  <c r="A7186" i="1"/>
  <c r="B7186" i="1"/>
  <c r="C7186" i="1"/>
  <c r="A2940" i="1"/>
  <c r="B2940" i="1"/>
  <c r="C2940" i="1"/>
  <c r="A7209" i="1"/>
  <c r="B7209" i="1"/>
  <c r="C7209" i="1"/>
  <c r="A13218" i="1"/>
  <c r="B13218" i="1"/>
  <c r="C13218" i="1"/>
  <c r="A13219" i="1"/>
  <c r="B13219" i="1"/>
  <c r="C13219" i="1"/>
  <c r="A2009" i="1"/>
  <c r="B2009" i="1"/>
  <c r="C2009" i="1"/>
  <c r="A2006" i="1"/>
  <c r="B2006" i="1"/>
  <c r="C2006" i="1"/>
  <c r="A20894" i="1"/>
  <c r="B20894" i="1"/>
  <c r="C20894" i="1"/>
  <c r="A2013" i="1"/>
  <c r="B2013" i="1"/>
  <c r="C2013" i="1"/>
  <c r="A6070" i="1"/>
  <c r="B6070" i="1"/>
  <c r="C6070" i="1"/>
  <c r="A6069" i="1"/>
  <c r="B6069" i="1"/>
  <c r="C6069" i="1"/>
  <c r="A6049" i="1"/>
  <c r="B6049" i="1"/>
  <c r="C6049" i="1"/>
  <c r="A24542" i="1"/>
  <c r="B24542" i="1"/>
  <c r="C24542" i="1"/>
  <c r="A1935" i="1"/>
  <c r="B1935" i="1"/>
  <c r="C1935" i="1"/>
  <c r="A23189" i="1"/>
  <c r="B23189" i="1"/>
  <c r="C23189" i="1"/>
  <c r="A8298" i="1"/>
  <c r="B8298" i="1"/>
  <c r="C8298" i="1"/>
  <c r="A22960" i="1"/>
  <c r="B22960" i="1"/>
  <c r="C22960" i="1"/>
  <c r="A6102" i="1"/>
  <c r="B6102" i="1"/>
  <c r="C6102" i="1"/>
  <c r="A19235" i="1"/>
  <c r="B19235" i="1"/>
  <c r="C19235" i="1"/>
  <c r="A19237" i="1"/>
  <c r="B19237" i="1"/>
  <c r="C19237" i="1"/>
  <c r="A19711" i="1"/>
  <c r="B19711" i="1"/>
  <c r="C19711" i="1"/>
  <c r="A19721" i="1"/>
  <c r="B19721" i="1"/>
  <c r="C19721" i="1"/>
  <c r="A25147" i="1"/>
  <c r="B25147" i="1"/>
  <c r="C25147" i="1"/>
  <c r="A20076" i="1"/>
  <c r="B20076" i="1"/>
  <c r="C20076" i="1"/>
  <c r="A24626" i="1"/>
  <c r="B24626" i="1"/>
  <c r="C24626" i="1"/>
  <c r="A21865" i="1"/>
  <c r="B21865" i="1"/>
  <c r="C21865" i="1"/>
  <c r="A19738" i="1"/>
  <c r="B19738" i="1"/>
  <c r="C19738" i="1"/>
  <c r="A20893" i="1"/>
  <c r="B20893" i="1"/>
  <c r="C20893" i="1"/>
  <c r="A12387" i="1"/>
  <c r="B12387" i="1"/>
  <c r="C12387" i="1"/>
  <c r="A751" i="1"/>
  <c r="B751" i="1"/>
  <c r="C751" i="1"/>
  <c r="A20568" i="1"/>
  <c r="B20568" i="1"/>
  <c r="C20568" i="1"/>
  <c r="A20519" i="1"/>
  <c r="B20519" i="1"/>
  <c r="C20519" i="1"/>
  <c r="A17907" i="1"/>
  <c r="B17907" i="1"/>
  <c r="C17907" i="1"/>
  <c r="A11360" i="1"/>
  <c r="B11360" i="1"/>
  <c r="C11360" i="1"/>
  <c r="A21104" i="1"/>
  <c r="B21104" i="1"/>
  <c r="C21104" i="1"/>
  <c r="A267" i="1"/>
  <c r="B267" i="1"/>
  <c r="C267" i="1"/>
  <c r="A17152" i="1"/>
  <c r="B17152" i="1"/>
  <c r="C17152" i="1"/>
  <c r="A25509" i="1"/>
  <c r="B25509" i="1"/>
  <c r="C25509" i="1"/>
  <c r="A15283" i="1"/>
  <c r="B15283" i="1"/>
  <c r="C15283" i="1"/>
  <c r="A17411" i="1"/>
  <c r="B17411" i="1"/>
  <c r="C17411" i="1"/>
  <c r="A7201" i="1"/>
  <c r="B7201" i="1"/>
  <c r="C7201" i="1"/>
  <c r="A7192" i="1"/>
  <c r="B7192" i="1"/>
  <c r="C7192" i="1"/>
  <c r="A6877" i="1"/>
  <c r="B6877" i="1"/>
  <c r="C6877" i="1"/>
  <c r="A6992" i="1"/>
  <c r="B6992" i="1"/>
  <c r="C6992" i="1"/>
  <c r="A11287" i="1"/>
  <c r="B11287" i="1"/>
  <c r="C11287" i="1"/>
  <c r="A9932" i="1"/>
  <c r="B9932" i="1"/>
  <c r="C9932" i="1"/>
  <c r="A2074" i="1"/>
  <c r="B2074" i="1"/>
  <c r="C2074" i="1"/>
  <c r="A2076" i="1"/>
  <c r="B2076" i="1"/>
  <c r="C2076" i="1"/>
  <c r="A2073" i="1"/>
  <c r="B2073" i="1"/>
  <c r="C2073" i="1"/>
  <c r="A6133" i="1"/>
  <c r="B6133" i="1"/>
  <c r="C6133" i="1"/>
  <c r="A15526" i="1"/>
  <c r="B15526" i="1"/>
  <c r="C15526" i="1"/>
  <c r="A1135" i="1"/>
  <c r="C1135" i="1"/>
  <c r="A17897" i="1"/>
  <c r="B17897" i="1"/>
  <c r="C17897" i="1"/>
  <c r="A9930" i="1"/>
  <c r="B9930" i="1"/>
  <c r="C9930" i="1"/>
  <c r="A7558" i="1"/>
  <c r="B7558" i="1"/>
  <c r="C7558" i="1"/>
  <c r="A243" i="1"/>
  <c r="B243" i="1"/>
  <c r="C243" i="1"/>
  <c r="A347" i="1"/>
  <c r="B347" i="1"/>
  <c r="C347" i="1"/>
  <c r="A12774" i="1"/>
  <c r="B12774" i="1"/>
  <c r="C12774" i="1"/>
  <c r="A9778" i="1"/>
  <c r="B9778" i="1"/>
  <c r="C9778" i="1"/>
  <c r="A16474" i="1"/>
  <c r="B16474" i="1"/>
  <c r="C16474" i="1"/>
  <c r="A20096" i="1"/>
  <c r="B20096" i="1"/>
  <c r="C20096" i="1"/>
  <c r="A23257" i="1"/>
  <c r="B23257" i="1"/>
  <c r="C23257" i="1"/>
  <c r="A23225" i="1"/>
  <c r="B23225" i="1"/>
  <c r="C23225" i="1"/>
  <c r="A20101" i="1"/>
  <c r="B20101" i="1"/>
  <c r="C20101" i="1"/>
  <c r="A24827" i="1"/>
  <c r="B24827" i="1"/>
  <c r="C24827" i="1"/>
  <c r="A18923" i="1"/>
  <c r="B18923" i="1"/>
  <c r="C18923" i="1"/>
  <c r="A19560" i="1"/>
  <c r="B19560" i="1"/>
  <c r="C19560" i="1"/>
  <c r="A10249" i="1"/>
  <c r="B10249" i="1"/>
  <c r="C10249" i="1"/>
  <c r="A20867" i="1"/>
  <c r="B20867" i="1"/>
  <c r="C20867" i="1"/>
  <c r="A20577" i="1"/>
  <c r="B20577" i="1"/>
  <c r="C20577" i="1"/>
  <c r="A3641" i="1"/>
  <c r="B3641" i="1"/>
  <c r="C3641" i="1"/>
  <c r="A25234" i="1"/>
  <c r="B25234" i="1"/>
  <c r="C25234" i="1"/>
  <c r="A881" i="1"/>
  <c r="B881" i="1"/>
  <c r="C881" i="1"/>
  <c r="A10396" i="1"/>
  <c r="B10396" i="1"/>
  <c r="C10396" i="1"/>
  <c r="A11316" i="1"/>
  <c r="B11316" i="1"/>
  <c r="C11316" i="1"/>
  <c r="A11317" i="1"/>
  <c r="B11317" i="1"/>
  <c r="C11317" i="1"/>
  <c r="A11478" i="1"/>
  <c r="B11478" i="1"/>
  <c r="C11478" i="1"/>
  <c r="A24255" i="1"/>
  <c r="B24255" i="1"/>
  <c r="C24255" i="1"/>
  <c r="A5288" i="1"/>
  <c r="B5288" i="1"/>
  <c r="C5288" i="1"/>
  <c r="A25149" i="1"/>
  <c r="B25149" i="1"/>
  <c r="C25149" i="1"/>
  <c r="A18957" i="1"/>
  <c r="B18957" i="1"/>
  <c r="C18957" i="1"/>
  <c r="A2976" i="1"/>
  <c r="B2976" i="1"/>
  <c r="C2976" i="1"/>
  <c r="A16481" i="1"/>
  <c r="B16481" i="1"/>
  <c r="C16481" i="1"/>
  <c r="A20201" i="1"/>
  <c r="B20201" i="1"/>
  <c r="C20201" i="1"/>
  <c r="A10887" i="1"/>
  <c r="B10887" i="1"/>
  <c r="C10887" i="1"/>
  <c r="A100" i="1"/>
  <c r="B100" i="1"/>
  <c r="C100" i="1"/>
  <c r="A1157" i="1"/>
  <c r="B1157" i="1"/>
  <c r="C1157" i="1"/>
  <c r="A20363" i="1"/>
  <c r="B20363" i="1"/>
  <c r="C20363" i="1"/>
  <c r="A14758" i="1"/>
  <c r="B14758" i="1"/>
  <c r="C14758" i="1"/>
  <c r="A8546" i="1"/>
  <c r="B8546" i="1"/>
  <c r="C8546" i="1"/>
  <c r="A13513" i="1"/>
  <c r="B13513" i="1"/>
  <c r="C13513" i="1"/>
  <c r="A18934" i="1"/>
  <c r="B18934" i="1"/>
  <c r="C18934" i="1"/>
  <c r="A6068" i="1"/>
  <c r="B6068" i="1"/>
  <c r="C6068" i="1"/>
  <c r="A9135" i="1"/>
  <c r="B9135" i="1"/>
  <c r="C9135" i="1"/>
  <c r="A11825" i="1"/>
  <c r="B11825" i="1"/>
  <c r="C11825" i="1"/>
  <c r="A19729" i="1"/>
  <c r="B19729" i="1"/>
  <c r="C19729" i="1"/>
  <c r="A24962" i="1"/>
  <c r="B24962" i="1"/>
  <c r="C24962" i="1"/>
  <c r="A6353" i="1"/>
  <c r="B6353" i="1"/>
  <c r="C6353" i="1"/>
  <c r="A20029" i="1"/>
  <c r="B20029" i="1"/>
  <c r="C20029" i="1"/>
  <c r="A8134" i="1"/>
  <c r="B8134" i="1"/>
  <c r="C8134" i="1"/>
  <c r="A8135" i="1"/>
  <c r="B8135" i="1"/>
  <c r="C8135" i="1"/>
  <c r="A2783" i="1"/>
  <c r="B2783" i="1"/>
  <c r="C2783" i="1"/>
  <c r="A3599" i="1"/>
  <c r="B3599" i="1"/>
  <c r="C3599" i="1"/>
  <c r="A2791" i="1"/>
  <c r="B2791" i="1"/>
  <c r="C2791" i="1"/>
  <c r="A7135" i="1"/>
  <c r="B7135" i="1"/>
  <c r="C7135" i="1"/>
  <c r="A24829" i="1"/>
  <c r="B24829" i="1"/>
  <c r="C24829" i="1"/>
  <c r="A24900" i="1"/>
  <c r="B24900" i="1"/>
  <c r="C24900" i="1"/>
  <c r="A11286" i="1"/>
  <c r="B11286" i="1"/>
  <c r="C11286" i="1"/>
  <c r="A6156" i="1"/>
  <c r="B6156" i="1"/>
  <c r="C6156" i="1"/>
  <c r="A6152" i="1"/>
  <c r="B6152" i="1"/>
  <c r="C6152" i="1"/>
  <c r="A6155" i="1"/>
  <c r="B6155" i="1"/>
  <c r="C6155" i="1"/>
  <c r="A15312" i="1"/>
  <c r="B15312" i="1"/>
  <c r="C15312" i="1"/>
  <c r="A18884" i="1"/>
  <c r="B18884" i="1"/>
  <c r="C18884" i="1"/>
  <c r="A19040" i="1"/>
  <c r="B19040" i="1"/>
  <c r="C19040" i="1"/>
  <c r="A729" i="1"/>
  <c r="B729" i="1"/>
  <c r="C729" i="1"/>
  <c r="A9208" i="1"/>
  <c r="B9208" i="1"/>
  <c r="C9208" i="1"/>
  <c r="A16690" i="1"/>
  <c r="B16690" i="1"/>
  <c r="C16690" i="1"/>
  <c r="A16696" i="1"/>
  <c r="B16696" i="1"/>
  <c r="C16696" i="1"/>
  <c r="A3962" i="1"/>
  <c r="B3962" i="1"/>
  <c r="C3962" i="1"/>
  <c r="A17289" i="1"/>
  <c r="B17289" i="1"/>
  <c r="C17289" i="1"/>
  <c r="A20314" i="1"/>
  <c r="B20314" i="1"/>
  <c r="C20314" i="1"/>
  <c r="A16692" i="1"/>
  <c r="B16692" i="1"/>
  <c r="C16692" i="1"/>
  <c r="A16694" i="1"/>
  <c r="B16694" i="1"/>
  <c r="C16694" i="1"/>
  <c r="A9210" i="1"/>
  <c r="B9210" i="1"/>
  <c r="C9210" i="1"/>
  <c r="A9209" i="1"/>
  <c r="B9209" i="1"/>
  <c r="C9209" i="1"/>
  <c r="A11226" i="1"/>
  <c r="B11226" i="1"/>
  <c r="C11226" i="1"/>
  <c r="A15302" i="1"/>
  <c r="B15302" i="1"/>
  <c r="C15302" i="1"/>
  <c r="A20991" i="1"/>
  <c r="B20991" i="1"/>
  <c r="C20991" i="1"/>
  <c r="A22863" i="1"/>
  <c r="B22863" i="1"/>
  <c r="C22863" i="1"/>
  <c r="A13898" i="1"/>
  <c r="B13898" i="1"/>
  <c r="C13898" i="1"/>
  <c r="A5890" i="1"/>
  <c r="B5890" i="1"/>
  <c r="C5890" i="1"/>
  <c r="A25516" i="1"/>
  <c r="B25516" i="1"/>
  <c r="C25516" i="1"/>
  <c r="A1554" i="1"/>
  <c r="B1554" i="1"/>
  <c r="C1554" i="1"/>
  <c r="A2198" i="1"/>
  <c r="B2198" i="1"/>
  <c r="C2198" i="1"/>
  <c r="A2197" i="1"/>
  <c r="B2197" i="1"/>
  <c r="C2197" i="1"/>
  <c r="A19830" i="1"/>
  <c r="B19830" i="1"/>
  <c r="C19830" i="1"/>
  <c r="A12334" i="1"/>
  <c r="B12334" i="1"/>
  <c r="C12334" i="1"/>
  <c r="A15831" i="1"/>
  <c r="B15831" i="1"/>
  <c r="C15831" i="1"/>
  <c r="A10755" i="1"/>
  <c r="B10755" i="1"/>
  <c r="C10755" i="1"/>
  <c r="A14183" i="1"/>
  <c r="B14183" i="1"/>
  <c r="C14183" i="1"/>
  <c r="A9770" i="1"/>
  <c r="B9770" i="1"/>
  <c r="C9770" i="1"/>
  <c r="A17050" i="1"/>
  <c r="B17050" i="1"/>
  <c r="C17050" i="1"/>
  <c r="A19012" i="1"/>
  <c r="B19012" i="1"/>
  <c r="C19012" i="1"/>
  <c r="A10483" i="1"/>
  <c r="B10483" i="1"/>
  <c r="C10483" i="1"/>
  <c r="A19133" i="1"/>
  <c r="B19133" i="1"/>
  <c r="C19133" i="1"/>
  <c r="A24830" i="1"/>
  <c r="B24830" i="1"/>
  <c r="C24830" i="1"/>
  <c r="A19125" i="1"/>
  <c r="B19125" i="1"/>
  <c r="C19125" i="1"/>
  <c r="A20075" i="1"/>
  <c r="B20075" i="1"/>
  <c r="C20075" i="1"/>
  <c r="A7564" i="1"/>
  <c r="B7564" i="1"/>
  <c r="C7564" i="1"/>
  <c r="A7569" i="1"/>
  <c r="B7569" i="1"/>
  <c r="C7569" i="1"/>
  <c r="A7570" i="1"/>
  <c r="B7570" i="1"/>
  <c r="C7570" i="1"/>
  <c r="A7576" i="1"/>
  <c r="B7576" i="1"/>
  <c r="C7576" i="1"/>
  <c r="A19937" i="1"/>
  <c r="B19937" i="1"/>
  <c r="C19937" i="1"/>
  <c r="A19941" i="1"/>
  <c r="B19941" i="1"/>
  <c r="C19941" i="1"/>
  <c r="A19938" i="1"/>
  <c r="B19938" i="1"/>
  <c r="C19938" i="1"/>
  <c r="A19939" i="1"/>
  <c r="B19939" i="1"/>
  <c r="C19939" i="1"/>
  <c r="A19940" i="1"/>
  <c r="B19940" i="1"/>
  <c r="C19940" i="1"/>
  <c r="A257" i="1"/>
  <c r="B257" i="1"/>
  <c r="C257" i="1"/>
  <c r="A9414" i="1"/>
  <c r="B9414" i="1"/>
  <c r="C9414" i="1"/>
  <c r="A21775" i="1"/>
  <c r="B21775" i="1"/>
  <c r="C21775" i="1"/>
  <c r="A7640" i="1"/>
  <c r="B7640" i="1"/>
  <c r="C7640" i="1"/>
  <c r="A19898" i="1"/>
  <c r="B19898" i="1"/>
  <c r="C19898" i="1"/>
  <c r="A15519" i="1"/>
  <c r="B15519" i="1"/>
  <c r="C15519" i="1"/>
  <c r="A5344" i="1"/>
  <c r="B5344" i="1"/>
  <c r="C5344" i="1"/>
  <c r="A16697" i="1"/>
  <c r="B16697" i="1"/>
  <c r="C16697" i="1"/>
  <c r="A2200" i="1"/>
  <c r="B2200" i="1"/>
  <c r="C2200" i="1"/>
  <c r="A2201" i="1"/>
  <c r="B2201" i="1"/>
  <c r="C2201" i="1"/>
  <c r="A8188" i="1"/>
  <c r="B8188" i="1"/>
  <c r="C8188" i="1"/>
  <c r="A8189" i="1"/>
  <c r="B8189" i="1"/>
  <c r="C8189" i="1"/>
  <c r="A17758" i="1"/>
  <c r="B17758" i="1"/>
  <c r="C17758" i="1"/>
  <c r="A22850" i="1"/>
  <c r="B22850" i="1"/>
  <c r="C22850" i="1"/>
  <c r="A8092" i="1"/>
  <c r="B8092" i="1"/>
  <c r="C8092" i="1"/>
  <c r="A24852" i="1"/>
  <c r="B24852" i="1"/>
  <c r="C24852" i="1"/>
  <c r="A24853" i="1"/>
  <c r="B24853" i="1"/>
  <c r="C24853" i="1"/>
  <c r="A5528" i="1"/>
  <c r="B5528" i="1"/>
  <c r="C5528" i="1"/>
  <c r="A20165" i="1"/>
  <c r="B20165" i="1"/>
  <c r="C20165" i="1"/>
  <c r="A14374" i="1"/>
  <c r="B14374" i="1"/>
  <c r="C14374" i="1"/>
  <c r="A17049" i="1"/>
  <c r="B17049" i="1"/>
  <c r="C17049" i="1"/>
  <c r="A10479" i="1"/>
  <c r="B10479" i="1"/>
  <c r="C10479" i="1"/>
  <c r="A23348" i="1"/>
  <c r="B23348" i="1"/>
  <c r="C23348" i="1"/>
  <c r="A16728" i="1"/>
  <c r="B16728" i="1"/>
  <c r="C16728" i="1"/>
  <c r="A16729" i="1"/>
  <c r="B16729" i="1"/>
  <c r="C16729" i="1"/>
  <c r="A16725" i="1"/>
  <c r="B16725" i="1"/>
  <c r="C16725" i="1"/>
  <c r="A14179" i="1"/>
  <c r="B14179" i="1"/>
  <c r="C14179" i="1"/>
  <c r="A11919" i="1"/>
  <c r="B11919" i="1"/>
  <c r="C11919" i="1"/>
  <c r="A19123" i="1"/>
  <c r="B19123" i="1"/>
  <c r="C19123" i="1"/>
  <c r="A16075" i="1"/>
  <c r="B16075" i="1"/>
  <c r="C16075" i="1"/>
  <c r="A3605" i="1"/>
  <c r="B3605" i="1"/>
  <c r="C3605" i="1"/>
  <c r="A16671" i="1"/>
  <c r="B16671" i="1"/>
  <c r="C16671" i="1"/>
  <c r="A20494" i="1"/>
  <c r="B20494" i="1"/>
  <c r="C20494" i="1"/>
  <c r="A13635" i="1"/>
  <c r="B13635" i="1"/>
  <c r="C13635" i="1"/>
  <c r="A13634" i="1"/>
  <c r="B13634" i="1"/>
  <c r="C13634" i="1"/>
  <c r="A16569" i="1"/>
  <c r="B16569" i="1"/>
  <c r="C16569" i="1"/>
  <c r="A19742" i="1"/>
  <c r="B19742" i="1"/>
  <c r="C19742" i="1"/>
  <c r="A19330" i="1"/>
  <c r="B19330" i="1"/>
  <c r="C19330" i="1"/>
  <c r="A19339" i="1"/>
  <c r="B19339" i="1"/>
  <c r="C19339" i="1"/>
  <c r="A5545" i="1"/>
  <c r="B5545" i="1"/>
  <c r="C5545" i="1"/>
  <c r="A5544" i="1"/>
  <c r="B5544" i="1"/>
  <c r="C5544" i="1"/>
  <c r="A15830" i="1"/>
  <c r="B15830" i="1"/>
  <c r="C15830" i="1"/>
  <c r="A15832" i="1"/>
  <c r="B15832" i="1"/>
  <c r="C15832" i="1"/>
  <c r="A20292" i="1"/>
  <c r="B20292" i="1"/>
  <c r="C20292" i="1"/>
  <c r="A16698" i="1"/>
  <c r="B16698" i="1"/>
  <c r="C16698" i="1"/>
  <c r="A16699" i="1"/>
  <c r="B16699" i="1"/>
  <c r="C16699" i="1"/>
  <c r="A8317" i="1"/>
  <c r="B8317" i="1"/>
  <c r="C8317" i="1"/>
  <c r="A24771" i="1"/>
  <c r="B24771" i="1"/>
  <c r="C24771" i="1"/>
  <c r="A19728" i="1"/>
  <c r="B19728" i="1"/>
  <c r="C19728" i="1"/>
  <c r="A23196" i="1"/>
  <c r="B23196" i="1"/>
  <c r="C23196" i="1"/>
  <c r="A25166" i="1"/>
  <c r="B25166" i="1"/>
  <c r="C25166" i="1"/>
  <c r="A19772" i="1"/>
  <c r="B19772" i="1"/>
  <c r="C19772" i="1"/>
  <c r="A16733" i="1"/>
  <c r="B16733" i="1"/>
  <c r="C16733" i="1"/>
  <c r="A25206" i="1"/>
  <c r="B25206" i="1"/>
  <c r="C25206" i="1"/>
  <c r="A25207" i="1"/>
  <c r="B25207" i="1"/>
  <c r="C25207" i="1"/>
  <c r="A21821" i="1"/>
  <c r="B21821" i="1"/>
  <c r="C21821" i="1"/>
  <c r="A18888" i="1"/>
  <c r="B18888" i="1"/>
  <c r="C18888" i="1"/>
  <c r="A9783" i="1"/>
  <c r="B9783" i="1"/>
  <c r="C9783" i="1"/>
  <c r="A9188" i="1"/>
  <c r="B9188" i="1"/>
  <c r="C9188" i="1"/>
  <c r="A24819" i="1"/>
  <c r="B24819" i="1"/>
  <c r="C24819" i="1"/>
  <c r="A8489" i="1"/>
  <c r="B8489" i="1"/>
  <c r="C8489" i="1"/>
  <c r="A132" i="1"/>
  <c r="B132" i="1"/>
  <c r="C132" i="1"/>
  <c r="A2981" i="1"/>
  <c r="B2981" i="1"/>
  <c r="C2981" i="1"/>
  <c r="A23188" i="1"/>
  <c r="B23188" i="1"/>
  <c r="C23188" i="1"/>
  <c r="A8190" i="1"/>
  <c r="B8190" i="1"/>
  <c r="C8190" i="1"/>
  <c r="A25417" i="1"/>
  <c r="B25417" i="1"/>
  <c r="C25417" i="1"/>
  <c r="A6544" i="1"/>
  <c r="B6544" i="1"/>
  <c r="C6544" i="1"/>
  <c r="A21849" i="1"/>
  <c r="B21849" i="1"/>
  <c r="C21849" i="1"/>
  <c r="A21823" i="1"/>
  <c r="B21823" i="1"/>
  <c r="C21823" i="1"/>
  <c r="A21822" i="1"/>
  <c r="B21822" i="1"/>
  <c r="C21822" i="1"/>
  <c r="A14344" i="1"/>
  <c r="B14344" i="1"/>
  <c r="C14344" i="1"/>
  <c r="A8270" i="1"/>
  <c r="B8270" i="1"/>
  <c r="C8270" i="1"/>
  <c r="A8025" i="1"/>
  <c r="B8025" i="1"/>
  <c r="C8025" i="1"/>
  <c r="A4786" i="1"/>
  <c r="B4786" i="1"/>
  <c r="C4786" i="1"/>
  <c r="A23085" i="1"/>
  <c r="B23085" i="1"/>
  <c r="C23085" i="1"/>
  <c r="A20725" i="1"/>
  <c r="B20725" i="1"/>
  <c r="C20725" i="1"/>
  <c r="A6774" i="1"/>
  <c r="B6774" i="1"/>
  <c r="C6774" i="1"/>
  <c r="A13562" i="1"/>
  <c r="B13562" i="1"/>
  <c r="C13562" i="1"/>
  <c r="A17043" i="1"/>
  <c r="B17043" i="1"/>
  <c r="C17043" i="1"/>
  <c r="A17851" i="1"/>
  <c r="B17851" i="1"/>
  <c r="C17851" i="1"/>
  <c r="A11140" i="1"/>
  <c r="B11140" i="1"/>
  <c r="C11140" i="1"/>
  <c r="A24896" i="1"/>
  <c r="B24896" i="1"/>
  <c r="C24896" i="1"/>
  <c r="A24897" i="1"/>
  <c r="B24897" i="1"/>
  <c r="C24897" i="1"/>
  <c r="A9902" i="1"/>
  <c r="B9902" i="1"/>
  <c r="C9902" i="1"/>
  <c r="A579" i="1"/>
  <c r="B579" i="1"/>
  <c r="C579" i="1"/>
  <c r="A13400" i="1"/>
  <c r="B13400" i="1"/>
  <c r="C13400" i="1"/>
  <c r="A4240" i="1"/>
  <c r="B4240" i="1"/>
  <c r="C4240" i="1"/>
  <c r="A561" i="1"/>
  <c r="B561" i="1"/>
  <c r="C561" i="1"/>
  <c r="A16479" i="1"/>
  <c r="B16479" i="1"/>
  <c r="C16479" i="1"/>
  <c r="A9690" i="1"/>
  <c r="B9690" i="1"/>
  <c r="C9690" i="1"/>
  <c r="A18688" i="1"/>
  <c r="B18688" i="1"/>
  <c r="C18688" i="1"/>
  <c r="A3364" i="1"/>
  <c r="B3364" i="1"/>
  <c r="C3364" i="1"/>
  <c r="A4692" i="1"/>
  <c r="B4692" i="1"/>
  <c r="C4692" i="1"/>
  <c r="A17074" i="1"/>
  <c r="B17074" i="1"/>
  <c r="C17074" i="1"/>
  <c r="A12347" i="1"/>
  <c r="B12347" i="1"/>
  <c r="C12347" i="1"/>
  <c r="A18637" i="1"/>
  <c r="B18637" i="1"/>
  <c r="C18637" i="1"/>
  <c r="A3086" i="1"/>
  <c r="B3086" i="1"/>
  <c r="C3086" i="1"/>
  <c r="A20092" i="1"/>
  <c r="B20092" i="1"/>
  <c r="C20092" i="1"/>
  <c r="A7183" i="1"/>
  <c r="B7183" i="1"/>
  <c r="C7183" i="1"/>
  <c r="A5263" i="1"/>
  <c r="B5263" i="1"/>
  <c r="C5263" i="1"/>
  <c r="A5205" i="1"/>
  <c r="B5205" i="1"/>
  <c r="C5205" i="1"/>
  <c r="A5264" i="1"/>
  <c r="B5264" i="1"/>
  <c r="C5264" i="1"/>
  <c r="A17891" i="1"/>
  <c r="B17891" i="1"/>
  <c r="C17891" i="1"/>
  <c r="A13552" i="1"/>
  <c r="B13552" i="1"/>
  <c r="C13552" i="1"/>
  <c r="A13387" i="1"/>
  <c r="B13387" i="1"/>
  <c r="C13387" i="1"/>
  <c r="A17786" i="1"/>
  <c r="B17786" i="1"/>
  <c r="C17786" i="1"/>
  <c r="A5540" i="1"/>
  <c r="B5540" i="1"/>
  <c r="C5540" i="1"/>
  <c r="A22832" i="1"/>
  <c r="B22832" i="1"/>
  <c r="C22832" i="1"/>
  <c r="A14667" i="1"/>
  <c r="B14667" i="1"/>
  <c r="C14667" i="1"/>
  <c r="A15295" i="1"/>
  <c r="B15295" i="1"/>
  <c r="C15295" i="1"/>
  <c r="A19470" i="1"/>
  <c r="B19470" i="1"/>
  <c r="C19470" i="1"/>
  <c r="A19469" i="1"/>
  <c r="B19469" i="1"/>
  <c r="C19469" i="1"/>
  <c r="A20189" i="1"/>
  <c r="B20189" i="1"/>
  <c r="C20189" i="1"/>
  <c r="A25525" i="1"/>
  <c r="B25525" i="1"/>
  <c r="C25525" i="1"/>
  <c r="A3100" i="1"/>
  <c r="B3100" i="1"/>
  <c r="C3100" i="1"/>
  <c r="A16405" i="1"/>
  <c r="B16405" i="1"/>
  <c r="C16405" i="1"/>
  <c r="A21606" i="1"/>
  <c r="B21606" i="1"/>
  <c r="C21606" i="1"/>
  <c r="A21602" i="1"/>
  <c r="B21602" i="1"/>
  <c r="C21602" i="1"/>
  <c r="A23576" i="1"/>
  <c r="B23576" i="1"/>
  <c r="C23576" i="1"/>
  <c r="A23575" i="1"/>
  <c r="B23575" i="1"/>
  <c r="C23575" i="1"/>
  <c r="A23577" i="1"/>
  <c r="B23577" i="1"/>
  <c r="C23577" i="1"/>
  <c r="A23578" i="1"/>
  <c r="B23578" i="1"/>
  <c r="C23578" i="1"/>
  <c r="A16606" i="1"/>
  <c r="B16606" i="1"/>
  <c r="C16606" i="1"/>
  <c r="A15287" i="1"/>
  <c r="B15287" i="1"/>
  <c r="C15287" i="1"/>
  <c r="A25004" i="1"/>
  <c r="B25004" i="1"/>
  <c r="C25004" i="1"/>
  <c r="A8245" i="1"/>
  <c r="B8245" i="1"/>
  <c r="C8245" i="1"/>
  <c r="A25298" i="1"/>
  <c r="B25298" i="1"/>
  <c r="C25298" i="1"/>
  <c r="A10016" i="1"/>
  <c r="B10016" i="1"/>
  <c r="C10016" i="1"/>
  <c r="A10030" i="1"/>
  <c r="B10030" i="1"/>
  <c r="C10030" i="1"/>
  <c r="A21093" i="1"/>
  <c r="B21093" i="1"/>
  <c r="C21093" i="1"/>
  <c r="A16564" i="1"/>
  <c r="B16564" i="1"/>
  <c r="C16564" i="1"/>
  <c r="A21091" i="1"/>
  <c r="B21091" i="1"/>
  <c r="C21091" i="1"/>
  <c r="A21075" i="1"/>
  <c r="B21075" i="1"/>
  <c r="C21075" i="1"/>
  <c r="A10114" i="1"/>
  <c r="B10114" i="1"/>
  <c r="C10114" i="1"/>
  <c r="A10111" i="1"/>
  <c r="B10111" i="1"/>
  <c r="C10111" i="1"/>
  <c r="A15259" i="1"/>
  <c r="B15259" i="1"/>
  <c r="C15259" i="1"/>
  <c r="A10115" i="1"/>
  <c r="B10115" i="1"/>
  <c r="C10115" i="1"/>
  <c r="A10116" i="1"/>
  <c r="B10116" i="1"/>
  <c r="C10116" i="1"/>
  <c r="A16571" i="1"/>
  <c r="B16571" i="1"/>
  <c r="C16571" i="1"/>
  <c r="A11104" i="1"/>
  <c r="B11104" i="1"/>
  <c r="C11104" i="1"/>
  <c r="A11230" i="1"/>
  <c r="B11230" i="1"/>
  <c r="C11230" i="1"/>
  <c r="A21928" i="1"/>
  <c r="B21928" i="1"/>
  <c r="C21928" i="1"/>
  <c r="A8144" i="1"/>
  <c r="B8144" i="1"/>
  <c r="C8144" i="1"/>
  <c r="A5847" i="1"/>
  <c r="B5847" i="1"/>
  <c r="C5847" i="1"/>
  <c r="A13579" i="1"/>
  <c r="B13579" i="1"/>
  <c r="C13579" i="1"/>
  <c r="A12034" i="1"/>
  <c r="B12034" i="1"/>
  <c r="C12034" i="1"/>
  <c r="A12035" i="1"/>
  <c r="B12035" i="1"/>
  <c r="C12035" i="1"/>
  <c r="A13644" i="1"/>
  <c r="B13644" i="1"/>
  <c r="C13644" i="1"/>
  <c r="A13570" i="1"/>
  <c r="B13570" i="1"/>
  <c r="C13570" i="1"/>
  <c r="A12073" i="1"/>
  <c r="B12073" i="1"/>
  <c r="C12073" i="1"/>
  <c r="A1153" i="1"/>
  <c r="B1153" i="1"/>
  <c r="C1153" i="1"/>
  <c r="A13584" i="1"/>
  <c r="B13584" i="1"/>
  <c r="C13584" i="1"/>
  <c r="A13643" i="1"/>
  <c r="B13643" i="1"/>
  <c r="C13643" i="1"/>
  <c r="A13641" i="1"/>
  <c r="B13641" i="1"/>
  <c r="C13641" i="1"/>
  <c r="A1147" i="1"/>
  <c r="B1147" i="1"/>
  <c r="C1147" i="1"/>
  <c r="A1102" i="1"/>
  <c r="B1102" i="1"/>
  <c r="C1102" i="1"/>
  <c r="A13642" i="1"/>
  <c r="B13642" i="1"/>
  <c r="C13642" i="1"/>
  <c r="A13585" i="1"/>
  <c r="B13585" i="1"/>
  <c r="C13585" i="1"/>
  <c r="A25293" i="1"/>
  <c r="B25293" i="1"/>
  <c r="C25293" i="1"/>
  <c r="A13366" i="1"/>
  <c r="B13366" i="1"/>
  <c r="C13366" i="1"/>
  <c r="A13568" i="1"/>
  <c r="B13568" i="1"/>
  <c r="C13568" i="1"/>
  <c r="A1509" i="1"/>
  <c r="B1509" i="1"/>
  <c r="C1509" i="1"/>
  <c r="A13367" i="1"/>
  <c r="B13367" i="1"/>
  <c r="C13367" i="1"/>
  <c r="A13368" i="1"/>
  <c r="B13368" i="1"/>
  <c r="C13368" i="1"/>
  <c r="A1510" i="1"/>
  <c r="B1510" i="1"/>
  <c r="C1510" i="1"/>
  <c r="A13569" i="1"/>
  <c r="B13569" i="1"/>
  <c r="C13569" i="1"/>
  <c r="A10223" i="1"/>
  <c r="B10223" i="1"/>
  <c r="C10223" i="1"/>
  <c r="A12054" i="1"/>
  <c r="B12054" i="1"/>
  <c r="C12054" i="1"/>
  <c r="A12053" i="1"/>
  <c r="B12053" i="1"/>
  <c r="C12053" i="1"/>
  <c r="A10222" i="1"/>
  <c r="B10222" i="1"/>
  <c r="C10222" i="1"/>
  <c r="A16111" i="1"/>
  <c r="B16111" i="1"/>
  <c r="C16111" i="1"/>
  <c r="A21092" i="1"/>
  <c r="B21092" i="1"/>
  <c r="C21092" i="1"/>
  <c r="A15590" i="1"/>
  <c r="B15590" i="1"/>
  <c r="C15590" i="1"/>
  <c r="A10797" i="1"/>
  <c r="B10797" i="1"/>
  <c r="C10797" i="1"/>
  <c r="A13639" i="1"/>
  <c r="B13639" i="1"/>
  <c r="C13639" i="1"/>
  <c r="A3083" i="1"/>
  <c r="B3083" i="1"/>
  <c r="C3083" i="1"/>
  <c r="A14486" i="1"/>
  <c r="B14486" i="1"/>
  <c r="C14486" i="1"/>
  <c r="A25385" i="1"/>
  <c r="B25385" i="1"/>
  <c r="C25385" i="1"/>
  <c r="A25376" i="1"/>
  <c r="B25376" i="1"/>
  <c r="C25376" i="1"/>
  <c r="A25377" i="1"/>
  <c r="B25377" i="1"/>
  <c r="C25377" i="1"/>
  <c r="A25375" i="1"/>
  <c r="B25375" i="1"/>
  <c r="C25375" i="1"/>
  <c r="A3053" i="1"/>
  <c r="B3053" i="1"/>
  <c r="C3053" i="1"/>
  <c r="A3054" i="1"/>
  <c r="B3054" i="1"/>
  <c r="C3054" i="1"/>
  <c r="A20103" i="1"/>
  <c r="B20103" i="1"/>
  <c r="C20103" i="1"/>
  <c r="A15587" i="1"/>
  <c r="B15587" i="1"/>
  <c r="C15587" i="1"/>
  <c r="A1094" i="1"/>
  <c r="B1094" i="1"/>
  <c r="C1094" i="1"/>
  <c r="A1141" i="1"/>
  <c r="B1141" i="1"/>
  <c r="C1141" i="1"/>
  <c r="A12025" i="1"/>
  <c r="B12025" i="1"/>
  <c r="C12025" i="1"/>
  <c r="A25383" i="1"/>
  <c r="B25383" i="1"/>
  <c r="C25383" i="1"/>
  <c r="A5647" i="1"/>
  <c r="B5647" i="1"/>
  <c r="C5647" i="1"/>
  <c r="A7716" i="1"/>
  <c r="B7716" i="1"/>
  <c r="C7716" i="1"/>
  <c r="A17549" i="1"/>
  <c r="B17549" i="1"/>
  <c r="C17549" i="1"/>
  <c r="A17551" i="1"/>
  <c r="B17551" i="1"/>
  <c r="C17551" i="1"/>
  <c r="A15591" i="1"/>
  <c r="B15591" i="1"/>
  <c r="C15591" i="1"/>
  <c r="A873" i="1"/>
  <c r="B873" i="1"/>
  <c r="C873" i="1"/>
  <c r="A24629" i="1"/>
  <c r="B24629" i="1"/>
  <c r="C24629" i="1"/>
  <c r="A15588" i="1"/>
  <c r="B15588" i="1"/>
  <c r="C15588" i="1"/>
  <c r="A20262" i="1"/>
  <c r="B20262" i="1"/>
  <c r="C20262" i="1"/>
  <c r="A7151" i="1"/>
  <c r="B7151" i="1"/>
  <c r="C7151" i="1"/>
  <c r="A14529" i="1"/>
  <c r="B14529" i="1"/>
  <c r="C14529" i="1"/>
  <c r="A25078" i="1"/>
  <c r="B25078" i="1"/>
  <c r="C25078" i="1"/>
  <c r="A4905" i="1"/>
  <c r="B4905" i="1"/>
  <c r="C4905" i="1"/>
  <c r="A14828" i="1"/>
  <c r="B14828" i="1"/>
  <c r="C14828" i="1"/>
  <c r="A14907" i="1"/>
  <c r="B14907" i="1"/>
  <c r="C14907" i="1"/>
  <c r="A1170" i="1"/>
  <c r="B1170" i="1"/>
  <c r="C1170" i="1"/>
  <c r="A14903" i="1"/>
  <c r="B14903" i="1"/>
  <c r="C14903" i="1"/>
  <c r="A14902" i="1"/>
  <c r="B14902" i="1"/>
  <c r="C14902" i="1"/>
  <c r="A17475" i="1"/>
  <c r="B17475" i="1"/>
  <c r="C17475" i="1"/>
  <c r="A14899" i="1"/>
  <c r="B14899" i="1"/>
  <c r="C14899" i="1"/>
  <c r="A14900" i="1"/>
  <c r="B14900" i="1"/>
  <c r="C14900" i="1"/>
  <c r="A14906" i="1"/>
  <c r="B14906" i="1"/>
  <c r="C14906" i="1"/>
  <c r="A9518" i="1"/>
  <c r="B9518" i="1"/>
  <c r="C9518" i="1"/>
  <c r="A9490" i="1"/>
  <c r="B9490" i="1"/>
  <c r="C9490" i="1"/>
  <c r="A1162" i="1"/>
  <c r="B1162" i="1"/>
  <c r="C1162" i="1"/>
  <c r="A1159" i="1"/>
  <c r="B1159" i="1"/>
  <c r="C1159" i="1"/>
  <c r="A1133" i="1"/>
  <c r="B1133" i="1"/>
  <c r="C1133" i="1"/>
  <c r="A1134" i="1"/>
  <c r="B1134" i="1"/>
  <c r="C1134" i="1"/>
  <c r="A20098" i="1"/>
  <c r="B20098" i="1"/>
  <c r="C20098" i="1"/>
  <c r="A965" i="1"/>
  <c r="B965" i="1"/>
  <c r="C965" i="1"/>
  <c r="A964" i="1"/>
  <c r="B964" i="1"/>
  <c r="C964" i="1"/>
  <c r="A1108" i="1"/>
  <c r="B1108" i="1"/>
  <c r="C1108" i="1"/>
  <c r="A20099" i="1"/>
  <c r="B20099" i="1"/>
  <c r="C20099" i="1"/>
  <c r="A1109" i="1"/>
  <c r="B1109" i="1"/>
  <c r="C1109" i="1"/>
  <c r="A1107" i="1"/>
  <c r="B1107" i="1"/>
  <c r="C1107" i="1"/>
  <c r="A9512" i="1"/>
  <c r="B9512" i="1"/>
  <c r="C9512" i="1"/>
  <c r="A963" i="1"/>
  <c r="B963" i="1"/>
  <c r="C963" i="1"/>
  <c r="A9487" i="1"/>
  <c r="B9487" i="1"/>
  <c r="C9487" i="1"/>
  <c r="A1105" i="1"/>
  <c r="B1105" i="1"/>
  <c r="C1105" i="1"/>
  <c r="A1106" i="1"/>
  <c r="B1106" i="1"/>
  <c r="C1106" i="1"/>
  <c r="A19740" i="1"/>
  <c r="B19740" i="1"/>
  <c r="C19740" i="1"/>
  <c r="A25061" i="1"/>
  <c r="B25061" i="1"/>
  <c r="C25061" i="1"/>
  <c r="A17513" i="1"/>
  <c r="B17513" i="1"/>
  <c r="C17513" i="1"/>
  <c r="A17514" i="1"/>
  <c r="B17514" i="1"/>
  <c r="C17514" i="1"/>
  <c r="A12188" i="1"/>
  <c r="B12188" i="1"/>
  <c r="C12188" i="1"/>
  <c r="A8972" i="1"/>
  <c r="B8972" i="1"/>
  <c r="C8972" i="1"/>
  <c r="A8966" i="1"/>
  <c r="B8966" i="1"/>
  <c r="C8966" i="1"/>
  <c r="A360" i="1"/>
  <c r="B360" i="1"/>
  <c r="C360" i="1"/>
  <c r="A15850" i="1"/>
  <c r="B15850" i="1"/>
  <c r="C15850" i="1"/>
  <c r="A372" i="1"/>
  <c r="B372" i="1"/>
  <c r="C372" i="1"/>
  <c r="A20122" i="1"/>
  <c r="B20122" i="1"/>
  <c r="C20122" i="1"/>
  <c r="A3779" i="1"/>
  <c r="B3779" i="1"/>
  <c r="C3779" i="1"/>
  <c r="A13851" i="1"/>
  <c r="B13851" i="1"/>
  <c r="C13851" i="1"/>
  <c r="A2802" i="1"/>
  <c r="B2802" i="1"/>
  <c r="C2802" i="1"/>
  <c r="A8969" i="1"/>
  <c r="B8969" i="1"/>
  <c r="C8969" i="1"/>
  <c r="A14495" i="1"/>
  <c r="B14495" i="1"/>
  <c r="C14495" i="1"/>
  <c r="A14484" i="1"/>
  <c r="B14484" i="1"/>
  <c r="C14484" i="1"/>
  <c r="A14483" i="1"/>
  <c r="B14483" i="1"/>
  <c r="C14483" i="1"/>
  <c r="A14492" i="1"/>
  <c r="B14492" i="1"/>
  <c r="C14492" i="1"/>
  <c r="A14487" i="1"/>
  <c r="B14487" i="1"/>
  <c r="C14487" i="1"/>
  <c r="A14489" i="1"/>
  <c r="B14489" i="1"/>
  <c r="C14489" i="1"/>
  <c r="A16031" i="1"/>
  <c r="B16031" i="1"/>
  <c r="C16031" i="1"/>
  <c r="A8880" i="1"/>
  <c r="B8880" i="1"/>
  <c r="C8880" i="1"/>
  <c r="A8883" i="1"/>
  <c r="B8883" i="1"/>
  <c r="C8883" i="1"/>
  <c r="A6773" i="1"/>
  <c r="B6773" i="1"/>
  <c r="C6773" i="1"/>
  <c r="A11513" i="1"/>
  <c r="B11513" i="1"/>
  <c r="C11513" i="1"/>
  <c r="A20114" i="1"/>
  <c r="B20114" i="1"/>
  <c r="C20114" i="1"/>
  <c r="A20593" i="1"/>
  <c r="B20593" i="1"/>
  <c r="C20593" i="1"/>
  <c r="A20595" i="1"/>
  <c r="B20595" i="1"/>
  <c r="C20595" i="1"/>
  <c r="A20594" i="1"/>
  <c r="B20594" i="1"/>
  <c r="C20594" i="1"/>
  <c r="A20478" i="1"/>
  <c r="B20478" i="1"/>
  <c r="C20478" i="1"/>
  <c r="A20479" i="1"/>
  <c r="B20479" i="1"/>
  <c r="C20479" i="1"/>
  <c r="A10798" i="1"/>
  <c r="B10798" i="1"/>
  <c r="C10798" i="1"/>
  <c r="A10098" i="1"/>
  <c r="B10098" i="1"/>
  <c r="C10098" i="1"/>
  <c r="A14497" i="1"/>
  <c r="B14497" i="1"/>
  <c r="C14497" i="1"/>
  <c r="A8881" i="1"/>
  <c r="B8881" i="1"/>
  <c r="C8881" i="1"/>
  <c r="A4212" i="1"/>
  <c r="B4212" i="1"/>
  <c r="C4212" i="1"/>
  <c r="A20596" i="1"/>
  <c r="B20596" i="1"/>
  <c r="C20596" i="1"/>
  <c r="A20014" i="1"/>
  <c r="B20014" i="1"/>
  <c r="C20014" i="1"/>
  <c r="A14880" i="1"/>
  <c r="B14880" i="1"/>
  <c r="C14880" i="1"/>
  <c r="A18385" i="1"/>
  <c r="B18385" i="1"/>
  <c r="C18385" i="1"/>
  <c r="A14493" i="1"/>
  <c r="B14493" i="1"/>
  <c r="C14493" i="1"/>
  <c r="A18367" i="1"/>
  <c r="B18367" i="1"/>
  <c r="C18367" i="1"/>
  <c r="A14498" i="1"/>
  <c r="B14498" i="1"/>
  <c r="C14498" i="1"/>
  <c r="A8081" i="1"/>
  <c r="B8081" i="1"/>
  <c r="C8081" i="1"/>
  <c r="A14491" i="1"/>
  <c r="B14491" i="1"/>
  <c r="C14491" i="1"/>
  <c r="A18368" i="1"/>
  <c r="B18368" i="1"/>
  <c r="C18368" i="1"/>
  <c r="A14485" i="1"/>
  <c r="B14485" i="1"/>
  <c r="C14485" i="1"/>
  <c r="A12600" i="1"/>
  <c r="B12600" i="1"/>
  <c r="C12600" i="1"/>
  <c r="A20484" i="1"/>
  <c r="B20484" i="1"/>
  <c r="C20484" i="1"/>
  <c r="A20483" i="1"/>
  <c r="B20483" i="1"/>
  <c r="C20483" i="1"/>
  <c r="A20585" i="1"/>
  <c r="B20585" i="1"/>
  <c r="C20585" i="1"/>
  <c r="A10318" i="1"/>
  <c r="B10318" i="1"/>
  <c r="C10318" i="1"/>
  <c r="A16602" i="1"/>
  <c r="B16602" i="1"/>
  <c r="C16602" i="1"/>
  <c r="A11173" i="1"/>
  <c r="B11173" i="1"/>
  <c r="C11173" i="1"/>
  <c r="A11171" i="1"/>
  <c r="B11171" i="1"/>
  <c r="C11171" i="1"/>
  <c r="A11177" i="1"/>
  <c r="B11177" i="1"/>
  <c r="C11177" i="1"/>
  <c r="A16611" i="1"/>
  <c r="B16611" i="1"/>
  <c r="C16611" i="1"/>
  <c r="A11175" i="1"/>
  <c r="B11175" i="1"/>
  <c r="C11175" i="1"/>
  <c r="A18929" i="1"/>
  <c r="B18929" i="1"/>
  <c r="C18929" i="1"/>
  <c r="A1097" i="1"/>
  <c r="B1097" i="1"/>
  <c r="C1097" i="1"/>
  <c r="A9427" i="1"/>
  <c r="B9427" i="1"/>
  <c r="C9427" i="1"/>
  <c r="A15585" i="1"/>
  <c r="B15585" i="1"/>
  <c r="C15585" i="1"/>
  <c r="A14867" i="1"/>
  <c r="B14867" i="1"/>
  <c r="C14867" i="1"/>
  <c r="A19600" i="1"/>
  <c r="B19600" i="1"/>
  <c r="C19600" i="1"/>
  <c r="A25010" i="1"/>
  <c r="B25010" i="1"/>
  <c r="C25010" i="1"/>
  <c r="A16193" i="1"/>
  <c r="B16193" i="1"/>
  <c r="C16193" i="1"/>
  <c r="A7312" i="1"/>
  <c r="B7312" i="1"/>
  <c r="C7312" i="1"/>
  <c r="A13406" i="1"/>
  <c r="B13406" i="1"/>
  <c r="C13406" i="1"/>
  <c r="A13405" i="1"/>
  <c r="B13405" i="1"/>
  <c r="C13405" i="1"/>
  <c r="A15723" i="1"/>
  <c r="B15723" i="1"/>
  <c r="C15723" i="1"/>
  <c r="A18889" i="1"/>
  <c r="B18889" i="1"/>
  <c r="C18889" i="1"/>
  <c r="A15720" i="1"/>
  <c r="B15720" i="1"/>
  <c r="C15720" i="1"/>
  <c r="A7541" i="1"/>
  <c r="B7541" i="1"/>
  <c r="C7541" i="1"/>
  <c r="A164" i="1"/>
  <c r="B164" i="1"/>
  <c r="C164" i="1"/>
  <c r="A17908" i="1"/>
  <c r="B17908" i="1"/>
  <c r="C17908" i="1"/>
  <c r="A24708" i="1"/>
  <c r="B24708" i="1"/>
  <c r="C24708" i="1"/>
  <c r="A8042" i="1"/>
  <c r="B8042" i="1"/>
  <c r="C8042" i="1"/>
  <c r="A2752" i="1"/>
  <c r="B2752" i="1"/>
  <c r="C2752" i="1"/>
  <c r="A24828" i="1"/>
  <c r="B24828" i="1"/>
  <c r="C24828" i="1"/>
  <c r="A9527" i="1"/>
  <c r="B9527" i="1"/>
  <c r="C9527" i="1"/>
  <c r="A13533" i="1"/>
  <c r="B13533" i="1"/>
  <c r="C13533" i="1"/>
  <c r="A10772" i="1"/>
  <c r="B10772" i="1"/>
  <c r="C10772" i="1"/>
  <c r="A21845" i="1"/>
  <c r="B21845" i="1"/>
  <c r="C21845" i="1"/>
  <c r="A19056" i="1"/>
  <c r="B19056" i="1"/>
  <c r="C19056" i="1"/>
  <c r="A25237" i="1"/>
  <c r="B25237" i="1"/>
  <c r="C25237" i="1"/>
  <c r="A15985" i="1"/>
  <c r="B15985" i="1"/>
  <c r="C15985" i="1"/>
  <c r="A15986" i="1"/>
  <c r="B15986" i="1"/>
  <c r="C15986" i="1"/>
  <c r="A16113" i="1"/>
  <c r="B16113" i="1"/>
  <c r="C16113" i="1"/>
  <c r="A6594" i="1"/>
  <c r="B6594" i="1"/>
  <c r="C6594" i="1"/>
  <c r="A3483" i="1"/>
  <c r="B3483" i="1"/>
  <c r="C3483" i="1"/>
  <c r="A21683" i="1"/>
  <c r="B21683" i="1"/>
  <c r="C21683" i="1"/>
  <c r="A4889" i="1"/>
  <c r="B4889" i="1"/>
  <c r="C4889" i="1"/>
  <c r="A8082" i="1"/>
  <c r="B8082" i="1"/>
  <c r="C8082" i="1"/>
  <c r="A9966" i="1"/>
  <c r="B9966" i="1"/>
  <c r="C9966" i="1"/>
  <c r="A9924" i="1"/>
  <c r="B9924" i="1"/>
  <c r="C9924" i="1"/>
  <c r="A9385" i="1"/>
  <c r="B9385" i="1"/>
  <c r="C9385" i="1"/>
  <c r="A13424" i="1"/>
  <c r="B13424" i="1"/>
  <c r="C13424" i="1"/>
  <c r="A12381" i="1"/>
  <c r="B12381" i="1"/>
  <c r="C12381" i="1"/>
  <c r="A25409" i="1"/>
  <c r="B25409" i="1"/>
  <c r="C25409" i="1"/>
  <c r="A13369" i="1"/>
  <c r="B13369" i="1"/>
  <c r="C13369" i="1"/>
  <c r="A3673" i="1"/>
  <c r="B3673" i="1"/>
  <c r="C3673" i="1"/>
  <c r="A12719" i="1"/>
  <c r="B12719" i="1"/>
  <c r="C12719" i="1"/>
  <c r="A19013" i="1"/>
  <c r="B19013" i="1"/>
  <c r="C19013" i="1"/>
  <c r="A22939" i="1"/>
  <c r="B22939" i="1"/>
  <c r="C22939" i="1"/>
  <c r="A20510" i="1"/>
  <c r="B20510" i="1"/>
  <c r="C20510" i="1"/>
  <c r="A23509" i="1"/>
  <c r="B23509" i="1"/>
  <c r="C23509" i="1"/>
  <c r="A8949" i="1"/>
  <c r="B8949" i="1"/>
  <c r="C8949" i="1"/>
  <c r="A300" i="1"/>
  <c r="B300" i="1"/>
  <c r="C300" i="1"/>
  <c r="A7322" i="1"/>
  <c r="B7322" i="1"/>
  <c r="C7322" i="1"/>
  <c r="A7326" i="1"/>
  <c r="B7326" i="1"/>
  <c r="C7326" i="1"/>
  <c r="A20087" i="1"/>
  <c r="B20087" i="1"/>
  <c r="C20087" i="1"/>
  <c r="A16701" i="1"/>
  <c r="B16701" i="1"/>
  <c r="C16701" i="1"/>
  <c r="A16702" i="1"/>
  <c r="B16702" i="1"/>
  <c r="C16702" i="1"/>
  <c r="A16700" i="1"/>
  <c r="B16700" i="1"/>
  <c r="C16700" i="1"/>
  <c r="A17301" i="1"/>
  <c r="B17301" i="1"/>
  <c r="C17301" i="1"/>
  <c r="A13791" i="1"/>
  <c r="B13791" i="1"/>
  <c r="C13791" i="1"/>
  <c r="A2258" i="1"/>
  <c r="B2258" i="1"/>
  <c r="C2258" i="1"/>
  <c r="A688" i="1"/>
  <c r="B688" i="1"/>
  <c r="C688" i="1"/>
  <c r="A1514" i="1"/>
  <c r="B1514" i="1"/>
  <c r="C1514" i="1"/>
  <c r="A15998" i="1"/>
  <c r="B15998" i="1"/>
  <c r="C15998" i="1"/>
  <c r="A17285" i="1"/>
  <c r="B17285" i="1"/>
  <c r="C17285" i="1"/>
  <c r="A18653" i="1"/>
  <c r="B18653" i="1"/>
  <c r="C18653" i="1"/>
  <c r="A18729" i="1"/>
  <c r="B18729" i="1"/>
  <c r="C18729" i="1"/>
  <c r="A20167" i="1"/>
  <c r="B20167" i="1"/>
  <c r="C20167" i="1"/>
  <c r="A13848" i="1"/>
  <c r="B13848" i="1"/>
  <c r="C13848" i="1"/>
  <c r="A20678" i="1"/>
  <c r="B20678" i="1"/>
  <c r="C20678" i="1"/>
  <c r="A4812" i="1"/>
  <c r="B4812" i="1"/>
  <c r="C4812" i="1"/>
  <c r="A16115" i="1"/>
  <c r="B16115" i="1"/>
  <c r="C16115" i="1"/>
  <c r="A16104" i="1"/>
  <c r="B16104" i="1"/>
  <c r="C16104" i="1"/>
  <c r="A17375" i="1"/>
  <c r="B17375" i="1"/>
  <c r="C17375" i="1"/>
  <c r="A24557" i="1"/>
  <c r="B24557" i="1"/>
  <c r="C24557" i="1"/>
  <c r="A606" i="1"/>
  <c r="B606" i="1"/>
  <c r="C606" i="1"/>
  <c r="A8420" i="1"/>
  <c r="B8420" i="1"/>
  <c r="C8420" i="1"/>
  <c r="A7458" i="1"/>
  <c r="B7458" i="1"/>
  <c r="C7458" i="1"/>
  <c r="A2119" i="1"/>
  <c r="B2119" i="1"/>
  <c r="C2119" i="1"/>
  <c r="A14913" i="1"/>
  <c r="B14913" i="1"/>
  <c r="C14913" i="1"/>
  <c r="A17209" i="1"/>
  <c r="B17209" i="1"/>
  <c r="C17209" i="1"/>
  <c r="A24379" i="1"/>
  <c r="B24379" i="1"/>
  <c r="C24379" i="1"/>
  <c r="A14940" i="1"/>
  <c r="B14940" i="1"/>
  <c r="C14940" i="1"/>
  <c r="A16309" i="1"/>
  <c r="B16309" i="1"/>
  <c r="C16309" i="1"/>
  <c r="A20077" i="1"/>
  <c r="B20077" i="1"/>
  <c r="C20077" i="1"/>
  <c r="A616" i="1"/>
  <c r="B616" i="1"/>
  <c r="C616" i="1"/>
  <c r="A17856" i="1"/>
  <c r="B17856" i="1"/>
  <c r="C17856" i="1"/>
  <c r="A17497" i="1"/>
  <c r="B17497" i="1"/>
  <c r="C17497" i="1"/>
  <c r="A22922" i="1"/>
  <c r="B22922" i="1"/>
  <c r="C22922" i="1"/>
  <c r="A24554" i="1"/>
  <c r="B24554" i="1"/>
  <c r="C24554" i="1"/>
  <c r="A13391" i="1"/>
  <c r="B13391" i="1"/>
  <c r="C13391" i="1"/>
  <c r="A12058" i="1"/>
  <c r="B12058" i="1"/>
  <c r="C12058" i="1"/>
  <c r="A5682" i="1"/>
  <c r="B5682" i="1"/>
  <c r="C5682" i="1"/>
  <c r="A3642" i="1"/>
  <c r="B3642" i="1"/>
  <c r="C3642" i="1"/>
  <c r="A3604" i="1"/>
  <c r="B3604" i="1"/>
  <c r="C3604" i="1"/>
  <c r="A15684" i="1"/>
  <c r="B15684" i="1"/>
  <c r="C15684" i="1"/>
  <c r="A9132" i="1"/>
  <c r="B9132" i="1"/>
  <c r="C9132" i="1"/>
  <c r="A9142" i="1"/>
  <c r="B9142" i="1"/>
  <c r="C9142" i="1"/>
  <c r="A20486" i="1"/>
  <c r="B20486" i="1"/>
  <c r="C20486" i="1"/>
  <c r="A3955" i="1"/>
  <c r="B3955" i="1"/>
  <c r="C3955" i="1"/>
  <c r="A24518" i="1"/>
  <c r="B24518" i="1"/>
  <c r="C24518" i="1"/>
  <c r="A24499" i="1"/>
  <c r="B24499" i="1"/>
  <c r="C24499" i="1"/>
  <c r="A24673" i="1"/>
  <c r="B24673" i="1"/>
  <c r="C24673" i="1"/>
  <c r="A1111" i="1"/>
  <c r="B1111" i="1"/>
  <c r="C1111" i="1"/>
  <c r="A15265" i="1"/>
  <c r="B15265" i="1"/>
  <c r="C15265" i="1"/>
  <c r="A15263" i="1"/>
  <c r="B15263" i="1"/>
  <c r="C15263" i="1"/>
  <c r="A15282" i="1"/>
  <c r="B15282" i="1"/>
  <c r="C15282" i="1"/>
  <c r="A8147" i="1"/>
  <c r="B8147" i="1"/>
  <c r="C8147" i="1"/>
  <c r="A299" i="1"/>
  <c r="B299" i="1"/>
  <c r="C299" i="1"/>
  <c r="A2270" i="1"/>
  <c r="B2270" i="1"/>
  <c r="C2270" i="1"/>
  <c r="A2798" i="1"/>
  <c r="B2798" i="1"/>
  <c r="C2798" i="1"/>
  <c r="A2797" i="1"/>
  <c r="B2797" i="1"/>
  <c r="C2797" i="1"/>
  <c r="A3212" i="1"/>
  <c r="B3212" i="1"/>
  <c r="C3212" i="1"/>
  <c r="A23826" i="1"/>
  <c r="B23826" i="1"/>
  <c r="C23826" i="1"/>
  <c r="A24795" i="1"/>
  <c r="B24795" i="1"/>
  <c r="C24795" i="1"/>
  <c r="A4022" i="1"/>
  <c r="B4022" i="1"/>
  <c r="C4022" i="1"/>
  <c r="A15592" i="1"/>
  <c r="B15592" i="1"/>
  <c r="C15592" i="1"/>
  <c r="A19334" i="1"/>
  <c r="B19334" i="1"/>
  <c r="C19334" i="1"/>
  <c r="A9784" i="1"/>
  <c r="B9784" i="1"/>
  <c r="C9784" i="1"/>
  <c r="A19332" i="1"/>
  <c r="B19332" i="1"/>
  <c r="C19332" i="1"/>
  <c r="A9684" i="1"/>
  <c r="B9684" i="1"/>
  <c r="C9684" i="1"/>
  <c r="A12775" i="1"/>
  <c r="B12775" i="1"/>
  <c r="C12775" i="1"/>
  <c r="A10395" i="1"/>
  <c r="B10395" i="1"/>
  <c r="C10395" i="1"/>
  <c r="A9678" i="1"/>
  <c r="B9678" i="1"/>
  <c r="C9678" i="1"/>
  <c r="A1862" i="1"/>
  <c r="B1862" i="1"/>
  <c r="C1862" i="1"/>
  <c r="A1861" i="1"/>
  <c r="B1861" i="1"/>
  <c r="C1861" i="1"/>
  <c r="A1858" i="1"/>
  <c r="B1858" i="1"/>
  <c r="C1858" i="1"/>
  <c r="A22384" i="1"/>
  <c r="B22384" i="1"/>
  <c r="C22384" i="1"/>
  <c r="A18961" i="1"/>
  <c r="B18961" i="1"/>
  <c r="C18961" i="1"/>
  <c r="A18959" i="1"/>
  <c r="B18959" i="1"/>
  <c r="C18959" i="1"/>
  <c r="A22762" i="1"/>
  <c r="B22762" i="1"/>
  <c r="C22762" i="1"/>
  <c r="A24092" i="1"/>
  <c r="B24092" i="1"/>
  <c r="C24092" i="1"/>
  <c r="A25109" i="1"/>
  <c r="B25109" i="1"/>
  <c r="C25109" i="1"/>
  <c r="A10200" i="1"/>
  <c r="B10200" i="1"/>
  <c r="C10200" i="1"/>
  <c r="A18963" i="1"/>
  <c r="B18963" i="1"/>
  <c r="C18963" i="1"/>
  <c r="A18958" i="1"/>
  <c r="B18958" i="1"/>
  <c r="C18958" i="1"/>
  <c r="A19647" i="1"/>
  <c r="B19647" i="1"/>
  <c r="C19647" i="1"/>
  <c r="A16436" i="1"/>
  <c r="B16436" i="1"/>
  <c r="C16436" i="1"/>
  <c r="A18962" i="1"/>
  <c r="B18962" i="1"/>
  <c r="C18962" i="1"/>
  <c r="A10904" i="1"/>
  <c r="B10904" i="1"/>
  <c r="C10904" i="1"/>
  <c r="A23966" i="1"/>
  <c r="B23966" i="1"/>
  <c r="C23966" i="1"/>
  <c r="A3601" i="1"/>
  <c r="B3601" i="1"/>
  <c r="C3601" i="1"/>
  <c r="A3587" i="1"/>
  <c r="B3587" i="1"/>
  <c r="C3587" i="1"/>
  <c r="A3655" i="1"/>
  <c r="B3655" i="1"/>
  <c r="C3655" i="1"/>
  <c r="A20480" i="1"/>
  <c r="B20480" i="1"/>
  <c r="C20480" i="1"/>
  <c r="A3095" i="1"/>
  <c r="B3095" i="1"/>
  <c r="C3095" i="1"/>
  <c r="A8259" i="1"/>
  <c r="B8259" i="1"/>
  <c r="C8259" i="1"/>
  <c r="A9475" i="1"/>
  <c r="B9475" i="1"/>
  <c r="C9475" i="1"/>
  <c r="A8258" i="1"/>
  <c r="B8258" i="1"/>
  <c r="C8258" i="1"/>
  <c r="A8260" i="1"/>
  <c r="B8260" i="1"/>
  <c r="C8260" i="1"/>
  <c r="A2127" i="1"/>
  <c r="B2127" i="1"/>
  <c r="C2127" i="1"/>
  <c r="A2202" i="1"/>
  <c r="B2202" i="1"/>
  <c r="C2202" i="1"/>
  <c r="A18906" i="1"/>
  <c r="B18906" i="1"/>
  <c r="C18906" i="1"/>
  <c r="A10902" i="1"/>
  <c r="B10902" i="1"/>
  <c r="C10902" i="1"/>
  <c r="A19010" i="1"/>
  <c r="B19010" i="1"/>
  <c r="C19010" i="1"/>
  <c r="A22594" i="1"/>
  <c r="B22594" i="1"/>
  <c r="C22594" i="1"/>
  <c r="A10906" i="1"/>
  <c r="B10906" i="1"/>
  <c r="C10906" i="1"/>
  <c r="A24170" i="1"/>
  <c r="B24170" i="1"/>
  <c r="C24170" i="1"/>
  <c r="A11218" i="1"/>
  <c r="B11218" i="1"/>
  <c r="C11218" i="1"/>
  <c r="A11219" i="1"/>
  <c r="B11219" i="1"/>
  <c r="C11219" i="1"/>
  <c r="A11220" i="1"/>
  <c r="B11220" i="1"/>
  <c r="C11220" i="1"/>
  <c r="A11217" i="1"/>
  <c r="B11217" i="1"/>
  <c r="C11217" i="1"/>
  <c r="A14922" i="1"/>
  <c r="B14922" i="1"/>
  <c r="C14922" i="1"/>
  <c r="A9015" i="1"/>
  <c r="B9015" i="1"/>
  <c r="C9015" i="1"/>
  <c r="A9024" i="1"/>
  <c r="B9024" i="1"/>
  <c r="C9024" i="1"/>
  <c r="A8112" i="1"/>
  <c r="B8112" i="1"/>
  <c r="C8112" i="1"/>
  <c r="A14849" i="1"/>
  <c r="B14849" i="1"/>
  <c r="C14849" i="1"/>
  <c r="A15066" i="1"/>
  <c r="B15066" i="1"/>
  <c r="C15066" i="1"/>
  <c r="A9126" i="1"/>
  <c r="B9126" i="1"/>
  <c r="C9126" i="1"/>
  <c r="A9019" i="1"/>
  <c r="B9019" i="1"/>
  <c r="C9019" i="1"/>
  <c r="A10409" i="1"/>
  <c r="B10409" i="1"/>
  <c r="C10409" i="1"/>
  <c r="A11870" i="1"/>
  <c r="B11870" i="1"/>
  <c r="C11870" i="1"/>
  <c r="A17221" i="1"/>
  <c r="B17221" i="1"/>
  <c r="C17221" i="1"/>
  <c r="A11170" i="1"/>
  <c r="B11170" i="1"/>
  <c r="C11170" i="1"/>
  <c r="A11656" i="1"/>
  <c r="B11656" i="1"/>
  <c r="C11656" i="1"/>
  <c r="A15994" i="1"/>
  <c r="B15994" i="1"/>
  <c r="C15994" i="1"/>
  <c r="A875" i="1"/>
  <c r="B875" i="1"/>
  <c r="C875" i="1"/>
  <c r="A16135" i="1"/>
  <c r="B16135" i="1"/>
  <c r="C16135" i="1"/>
  <c r="A21996" i="1"/>
  <c r="B21996" i="1"/>
  <c r="C21996" i="1"/>
  <c r="A23120" i="1"/>
  <c r="B23120" i="1"/>
  <c r="C23120" i="1"/>
  <c r="A9691" i="1"/>
  <c r="B9691" i="1"/>
  <c r="C9691" i="1"/>
  <c r="A15974" i="1"/>
  <c r="B15974" i="1"/>
  <c r="C15974" i="1"/>
  <c r="A6861" i="1"/>
  <c r="B6861" i="1"/>
  <c r="C6861" i="1"/>
  <c r="A3030" i="1"/>
  <c r="B3030" i="1"/>
  <c r="C3030" i="1"/>
  <c r="A1597" i="1"/>
  <c r="B1597" i="1"/>
  <c r="C1597" i="1"/>
  <c r="A24151" i="1"/>
  <c r="B24151" i="1"/>
  <c r="C24151" i="1"/>
  <c r="A14478" i="1"/>
  <c r="B14478" i="1"/>
  <c r="C14478" i="1"/>
  <c r="A20371" i="1"/>
  <c r="B20371" i="1"/>
  <c r="C20371" i="1"/>
  <c r="A20342" i="1"/>
  <c r="B20342" i="1"/>
  <c r="C20342" i="1"/>
  <c r="A20789" i="1"/>
  <c r="B20789" i="1"/>
  <c r="C20789" i="1"/>
  <c r="A20389" i="1"/>
  <c r="B20389" i="1"/>
  <c r="C20389" i="1"/>
  <c r="A20324" i="1"/>
  <c r="B20324" i="1"/>
  <c r="C20324" i="1"/>
  <c r="A16621" i="1"/>
  <c r="B16621" i="1"/>
  <c r="C16621" i="1"/>
  <c r="A24780" i="1"/>
  <c r="B24780" i="1"/>
  <c r="C24780" i="1"/>
  <c r="A23955" i="1"/>
  <c r="B23955" i="1"/>
  <c r="C23955" i="1"/>
  <c r="A10795" i="1"/>
  <c r="B10795" i="1"/>
  <c r="C10795" i="1"/>
  <c r="A18027" i="1"/>
  <c r="B18027" i="1"/>
  <c r="C18027" i="1"/>
  <c r="A19816" i="1"/>
  <c r="B19816" i="1"/>
  <c r="C19816" i="1"/>
  <c r="A18717" i="1"/>
  <c r="B18717" i="1"/>
  <c r="C18717" i="1"/>
  <c r="A15284" i="1"/>
  <c r="B15284" i="1"/>
  <c r="C15284" i="1"/>
  <c r="A1161" i="1"/>
  <c r="B1161" i="1"/>
  <c r="C1161" i="1"/>
  <c r="A1163" i="1"/>
  <c r="B1163" i="1"/>
  <c r="C1163" i="1"/>
  <c r="A1160" i="1"/>
  <c r="B1160" i="1"/>
  <c r="C1160" i="1"/>
  <c r="A24227" i="1"/>
  <c r="B24227" i="1"/>
  <c r="C24227" i="1"/>
  <c r="A24224" i="1"/>
  <c r="B24224" i="1"/>
  <c r="C24224" i="1"/>
  <c r="A12771" i="1"/>
  <c r="B12771" i="1"/>
  <c r="C12771" i="1"/>
  <c r="A9163" i="1"/>
  <c r="B9163" i="1"/>
  <c r="C9163" i="1"/>
  <c r="A10314" i="1"/>
  <c r="B10314" i="1"/>
  <c r="C10314" i="1"/>
  <c r="A17384" i="1"/>
  <c r="B17384" i="1"/>
  <c r="C17384" i="1"/>
  <c r="A20345" i="1"/>
  <c r="B20345" i="1"/>
  <c r="C20345" i="1"/>
  <c r="A11644" i="1"/>
  <c r="B11644" i="1"/>
  <c r="C11644" i="1"/>
  <c r="A14490" i="1"/>
  <c r="B14490" i="1"/>
  <c r="C14490" i="1"/>
  <c r="A25472" i="1"/>
  <c r="B25472" i="1"/>
  <c r="C25472" i="1"/>
  <c r="A23299" i="1"/>
  <c r="B23299" i="1"/>
  <c r="C23299" i="1"/>
  <c r="A12037" i="1"/>
  <c r="B12037" i="1"/>
  <c r="C12037" i="1"/>
  <c r="A13415" i="1"/>
  <c r="B13415" i="1"/>
  <c r="C13415" i="1"/>
  <c r="A5637" i="1"/>
  <c r="B5637" i="1"/>
  <c r="C5637" i="1"/>
  <c r="A6595" i="1"/>
  <c r="B6595" i="1"/>
  <c r="C6595" i="1"/>
  <c r="A25557" i="1"/>
  <c r="B25557" i="1"/>
  <c r="C25557" i="1"/>
  <c r="A6593" i="1"/>
  <c r="B6593" i="1"/>
  <c r="C6593" i="1"/>
  <c r="A10032" i="1"/>
  <c r="B10032" i="1"/>
  <c r="C10032" i="1"/>
  <c r="A10031" i="1"/>
  <c r="B10031" i="1"/>
  <c r="C10031" i="1"/>
  <c r="A24188" i="1"/>
  <c r="B24188" i="1"/>
  <c r="C24188" i="1"/>
  <c r="A16660" i="1"/>
  <c r="B16660" i="1"/>
  <c r="C16660" i="1"/>
  <c r="A11446" i="1"/>
  <c r="B11446" i="1"/>
  <c r="C11446" i="1"/>
  <c r="A8090" i="1"/>
  <c r="B8090" i="1"/>
  <c r="C8090" i="1"/>
  <c r="A8088" i="1"/>
  <c r="B8088" i="1"/>
  <c r="C8088" i="1"/>
  <c r="A8087" i="1"/>
  <c r="B8087" i="1"/>
  <c r="C8087" i="1"/>
  <c r="A8132" i="1"/>
  <c r="B8132" i="1"/>
  <c r="C8132" i="1"/>
  <c r="A8079" i="1"/>
  <c r="B8079" i="1"/>
  <c r="C8079" i="1"/>
  <c r="A8111" i="1"/>
  <c r="B8111" i="1"/>
  <c r="C8111" i="1"/>
  <c r="A8068" i="1"/>
  <c r="B8068" i="1"/>
  <c r="C8068" i="1"/>
  <c r="A8058" i="1"/>
  <c r="B8058" i="1"/>
  <c r="C8058" i="1"/>
  <c r="A8057" i="1"/>
  <c r="B8057" i="1"/>
  <c r="C8057" i="1"/>
  <c r="A8049" i="1"/>
  <c r="B8049" i="1"/>
  <c r="C8049" i="1"/>
  <c r="A8089" i="1"/>
  <c r="B8089" i="1"/>
  <c r="C8089" i="1"/>
  <c r="A9702" i="1"/>
  <c r="B9702" i="1"/>
  <c r="C9702" i="1"/>
  <c r="A20284" i="1"/>
  <c r="B20284" i="1"/>
  <c r="C20284" i="1"/>
  <c r="A17974" i="1"/>
  <c r="B17974" i="1"/>
  <c r="C17974" i="1"/>
  <c r="A20276" i="1"/>
  <c r="B20276" i="1"/>
  <c r="C20276" i="1"/>
  <c r="A20275" i="1"/>
  <c r="B20275" i="1"/>
  <c r="C20275" i="1"/>
  <c r="A16713" i="1"/>
  <c r="B16713" i="1"/>
  <c r="C16713" i="1"/>
  <c r="A16717" i="1"/>
  <c r="B16717" i="1"/>
  <c r="C16717" i="1"/>
  <c r="A16715" i="1"/>
  <c r="B16715" i="1"/>
  <c r="C16715" i="1"/>
  <c r="A1114" i="1"/>
  <c r="B1114" i="1"/>
  <c r="C1114" i="1"/>
  <c r="A12353" i="1"/>
  <c r="B12353" i="1"/>
  <c r="C12353" i="1"/>
  <c r="A19966" i="1"/>
  <c r="B19966" i="1"/>
  <c r="C19966" i="1"/>
  <c r="A19969" i="1"/>
  <c r="B19969" i="1"/>
  <c r="C19969" i="1"/>
  <c r="A8143" i="1"/>
  <c r="B8143" i="1"/>
  <c r="C8143" i="1"/>
  <c r="A8142" i="1"/>
  <c r="B8142" i="1"/>
  <c r="C8142" i="1"/>
  <c r="A10085" i="1"/>
  <c r="B10085" i="1"/>
  <c r="C10085" i="1"/>
  <c r="A24517" i="1"/>
  <c r="B24517" i="1"/>
  <c r="C24517" i="1"/>
  <c r="A19784" i="1"/>
  <c r="B19784" i="1"/>
  <c r="C19784" i="1"/>
  <c r="A1684" i="1"/>
  <c r="B1684" i="1"/>
  <c r="C1684" i="1"/>
  <c r="A8115" i="1"/>
  <c r="B8115" i="1"/>
  <c r="C8115" i="1"/>
  <c r="A18678" i="1"/>
  <c r="B18678" i="1"/>
  <c r="C18678" i="1"/>
  <c r="A16480" i="1"/>
  <c r="B16480" i="1"/>
  <c r="C16480" i="1"/>
  <c r="A19614" i="1"/>
  <c r="B19614" i="1"/>
  <c r="C19614" i="1"/>
  <c r="A24252" i="1"/>
  <c r="B24252" i="1"/>
  <c r="C24252" i="1"/>
  <c r="A8944" i="1"/>
  <c r="B8944" i="1"/>
  <c r="C8944" i="1"/>
  <c r="A24034" i="1"/>
  <c r="B24034" i="1"/>
  <c r="C24034" i="1"/>
  <c r="A24924" i="1"/>
  <c r="B24924" i="1"/>
  <c r="C24924" i="1"/>
  <c r="A15531" i="1"/>
  <c r="B15531" i="1"/>
  <c r="C15531" i="1"/>
  <c r="A3703" i="1"/>
  <c r="B3703" i="1"/>
  <c r="C3703" i="1"/>
  <c r="A10756" i="1"/>
  <c r="B10756" i="1"/>
  <c r="C10756" i="1"/>
  <c r="A15307" i="1"/>
  <c r="B15307" i="1"/>
  <c r="C15307" i="1"/>
  <c r="A3661" i="1"/>
  <c r="B3661" i="1"/>
  <c r="C3661" i="1"/>
  <c r="A10763" i="1"/>
  <c r="B10763" i="1"/>
  <c r="C10763" i="1"/>
  <c r="A25725" i="1"/>
  <c r="B25725" i="1"/>
  <c r="C25725" i="1"/>
  <c r="A17150" i="1"/>
  <c r="B17150" i="1"/>
  <c r="C17150" i="1"/>
  <c r="A14845" i="1"/>
  <c r="B14845" i="1"/>
  <c r="C14845" i="1"/>
  <c r="A11543" i="1"/>
  <c r="B11543" i="1"/>
  <c r="C11543" i="1"/>
  <c r="A22609" i="1"/>
  <c r="B22609" i="1"/>
  <c r="C22609" i="1"/>
  <c r="A11445" i="1"/>
  <c r="B11445" i="1"/>
  <c r="C11445" i="1"/>
  <c r="A3528" i="1"/>
  <c r="B3528" i="1"/>
  <c r="C3528" i="1"/>
  <c r="A16285" i="1"/>
  <c r="B16285" i="1"/>
  <c r="C16285" i="1"/>
  <c r="A9453" i="1"/>
  <c r="B9453" i="1"/>
  <c r="C9453" i="1"/>
  <c r="A6957" i="1"/>
  <c r="B6957" i="1"/>
  <c r="C6957" i="1"/>
  <c r="A422" i="1"/>
  <c r="B422" i="1"/>
  <c r="C422" i="1"/>
  <c r="A2885" i="1"/>
  <c r="B2885" i="1"/>
  <c r="C2885" i="1"/>
  <c r="A3361" i="1"/>
  <c r="B3361" i="1"/>
  <c r="C3361" i="1"/>
  <c r="A17034" i="1"/>
  <c r="B17034" i="1"/>
  <c r="C17034" i="1"/>
  <c r="A17136" i="1"/>
  <c r="B17136" i="1"/>
  <c r="C17136" i="1"/>
  <c r="A17821" i="1"/>
  <c r="B17821" i="1"/>
  <c r="C17821" i="1"/>
  <c r="A25616" i="1"/>
  <c r="B25616" i="1"/>
  <c r="C25616" i="1"/>
  <c r="A17302" i="1"/>
  <c r="B17302" i="1"/>
  <c r="C17302" i="1"/>
  <c r="A8436" i="1"/>
  <c r="B8436" i="1"/>
  <c r="C8436" i="1"/>
  <c r="A3515" i="1"/>
  <c r="B3515" i="1"/>
  <c r="C3515" i="1"/>
  <c r="A17977" i="1"/>
  <c r="B17977" i="1"/>
  <c r="C17977" i="1"/>
  <c r="A9935" i="1"/>
  <c r="B9935" i="1"/>
  <c r="C9935" i="1"/>
  <c r="A25615" i="1"/>
  <c r="B25615" i="1"/>
  <c r="C25615" i="1"/>
  <c r="A14817" i="1"/>
  <c r="B14817" i="1"/>
  <c r="C14817" i="1"/>
  <c r="A23731" i="1"/>
  <c r="B23731" i="1"/>
  <c r="C23731" i="1"/>
  <c r="A11311" i="1"/>
  <c r="B11311" i="1"/>
  <c r="C11311" i="1"/>
  <c r="A7033" i="1"/>
  <c r="B7033" i="1"/>
  <c r="C7033" i="1"/>
  <c r="A24354" i="1"/>
  <c r="B24354" i="1"/>
  <c r="C24354" i="1"/>
  <c r="A24809" i="1"/>
  <c r="B24809" i="1"/>
  <c r="C24809" i="1"/>
  <c r="A8626" i="1"/>
  <c r="B8626" i="1"/>
  <c r="C8626" i="1"/>
  <c r="A8627" i="1"/>
  <c r="B8627" i="1"/>
  <c r="C8627" i="1"/>
  <c r="A16471" i="1"/>
  <c r="B16471" i="1"/>
  <c r="C16471" i="1"/>
  <c r="A20573" i="1"/>
  <c r="B20573" i="1"/>
  <c r="C20573" i="1"/>
  <c r="A23730" i="1"/>
  <c r="B23730" i="1"/>
  <c r="C23730" i="1"/>
  <c r="A17779" i="1"/>
  <c r="B17779" i="1"/>
  <c r="C17779" i="1"/>
  <c r="A23733" i="1"/>
  <c r="B23733" i="1"/>
  <c r="C23733" i="1"/>
  <c r="A23732" i="1"/>
  <c r="B23732" i="1"/>
  <c r="C23732" i="1"/>
  <c r="A14143" i="1"/>
  <c r="B14143" i="1"/>
  <c r="C14143" i="1"/>
  <c r="A9820" i="1"/>
  <c r="B9820" i="1"/>
  <c r="C9820" i="1"/>
  <c r="A9827" i="1"/>
  <c r="B9827" i="1"/>
  <c r="C9827" i="1"/>
  <c r="A2848" i="1"/>
  <c r="B2848" i="1"/>
  <c r="C2848" i="1"/>
  <c r="A8324" i="1"/>
  <c r="B8324" i="1"/>
  <c r="C8324" i="1"/>
  <c r="A14507" i="1"/>
  <c r="B14507" i="1"/>
  <c r="C14507" i="1"/>
  <c r="A5194" i="1"/>
  <c r="B5194" i="1"/>
  <c r="C5194" i="1"/>
  <c r="A7278" i="1"/>
  <c r="B7278" i="1"/>
  <c r="C7278" i="1"/>
  <c r="A7150" i="1"/>
  <c r="B7150" i="1"/>
  <c r="C7150" i="1"/>
  <c r="A15663" i="1"/>
  <c r="B15663" i="1"/>
  <c r="C15663" i="1"/>
  <c r="A15628" i="1"/>
  <c r="B15628" i="1"/>
  <c r="C15628" i="1"/>
  <c r="A22581" i="1"/>
  <c r="B22581" i="1"/>
  <c r="C22581" i="1"/>
  <c r="A22623" i="1"/>
  <c r="B22623" i="1"/>
  <c r="C22623" i="1"/>
  <c r="A17020" i="1"/>
  <c r="B17020" i="1"/>
  <c r="C17020" i="1"/>
  <c r="A8038" i="1"/>
  <c r="B8038" i="1"/>
  <c r="C8038" i="1"/>
  <c r="A16507" i="1"/>
  <c r="B16507" i="1"/>
  <c r="C16507" i="1"/>
  <c r="A14480" i="1"/>
  <c r="B14480" i="1"/>
  <c r="C14480" i="1"/>
  <c r="A14477" i="1"/>
  <c r="B14477" i="1"/>
  <c r="C14477" i="1"/>
  <c r="A3042" i="1"/>
  <c r="B3042" i="1"/>
  <c r="C3042" i="1"/>
  <c r="A3043" i="1"/>
  <c r="B3043" i="1"/>
  <c r="C3043" i="1"/>
  <c r="A14583" i="1"/>
  <c r="B14583" i="1"/>
  <c r="C14583" i="1"/>
  <c r="A15395" i="1"/>
  <c r="B15395" i="1"/>
  <c r="C15395" i="1"/>
  <c r="A21841" i="1"/>
  <c r="B21841" i="1"/>
  <c r="C21841" i="1"/>
  <c r="A17142" i="1"/>
  <c r="B17142" i="1"/>
  <c r="C17142" i="1"/>
  <c r="A17143" i="1"/>
  <c r="B17143" i="1"/>
  <c r="C17143" i="1"/>
  <c r="A11303" i="1"/>
  <c r="B11303" i="1"/>
  <c r="C11303" i="1"/>
  <c r="A6879" i="1"/>
  <c r="B6879" i="1"/>
  <c r="C6879" i="1"/>
  <c r="A22880" i="1"/>
  <c r="B22880" i="1"/>
  <c r="C22880" i="1"/>
  <c r="A16273" i="1"/>
  <c r="B16273" i="1"/>
  <c r="C16273" i="1"/>
  <c r="A24548" i="1"/>
  <c r="B24548" i="1"/>
  <c r="C24548" i="1"/>
  <c r="A24547" i="1"/>
  <c r="B24547" i="1"/>
  <c r="C24547" i="1"/>
  <c r="A16156" i="1"/>
  <c r="B16156" i="1"/>
  <c r="C16156" i="1"/>
  <c r="A7156" i="1"/>
  <c r="B7156" i="1"/>
  <c r="C7156" i="1"/>
  <c r="A7155" i="1"/>
  <c r="B7155" i="1"/>
  <c r="C7155" i="1"/>
  <c r="A16703" i="1"/>
  <c r="B16703" i="1"/>
  <c r="C16703" i="1"/>
  <c r="A16076" i="1"/>
  <c r="B16076" i="1"/>
  <c r="C16076" i="1"/>
  <c r="A1667" i="1"/>
  <c r="B1667" i="1"/>
  <c r="C1667" i="1"/>
  <c r="A25563" i="1"/>
  <c r="B25563" i="1"/>
  <c r="C25563" i="1"/>
  <c r="A11754" i="1"/>
  <c r="B11754" i="1"/>
  <c r="C11754" i="1"/>
  <c r="A19808" i="1"/>
  <c r="B19808" i="1"/>
  <c r="C19808" i="1"/>
  <c r="A6116" i="1"/>
  <c r="B6116" i="1"/>
  <c r="C6116" i="1"/>
  <c r="A1287" i="1"/>
  <c r="B1287" i="1"/>
  <c r="C1287" i="1"/>
  <c r="A1776" i="1"/>
  <c r="B1776" i="1"/>
  <c r="C1776" i="1"/>
  <c r="A17141" i="1"/>
  <c r="B17141" i="1"/>
  <c r="C17141" i="1"/>
  <c r="A13561" i="1"/>
  <c r="B13561" i="1"/>
  <c r="C13561" i="1"/>
  <c r="A4689" i="1"/>
  <c r="B4689" i="1"/>
  <c r="C4689" i="1"/>
  <c r="A8487" i="1"/>
  <c r="B8487" i="1"/>
  <c r="C8487" i="1"/>
  <c r="A21997" i="1"/>
  <c r="B21997" i="1"/>
  <c r="C21997" i="1"/>
  <c r="A21992" i="1"/>
  <c r="B21992" i="1"/>
  <c r="C21992" i="1"/>
  <c r="A17204" i="1"/>
  <c r="B17204" i="1"/>
  <c r="C17204" i="1"/>
  <c r="A1361" i="1"/>
  <c r="B1361" i="1"/>
  <c r="C1361" i="1"/>
  <c r="A17834" i="1"/>
  <c r="B17834" i="1"/>
  <c r="C17834" i="1"/>
  <c r="A12062" i="1"/>
  <c r="B12062" i="1"/>
  <c r="C12062" i="1"/>
  <c r="A7356" i="1"/>
  <c r="B7356" i="1"/>
  <c r="C7356" i="1"/>
  <c r="A9488" i="1"/>
  <c r="B9488" i="1"/>
  <c r="C9488" i="1"/>
  <c r="A1373" i="1"/>
  <c r="B1373" i="1"/>
  <c r="C1373" i="1"/>
  <c r="A19208" i="1"/>
  <c r="B19208" i="1"/>
  <c r="C19208" i="1"/>
  <c r="A17071" i="1"/>
  <c r="B17071" i="1"/>
  <c r="C17071" i="1"/>
  <c r="A12700" i="1"/>
  <c r="B12700" i="1"/>
  <c r="C12700" i="1"/>
  <c r="A6293" i="1"/>
  <c r="B6293" i="1"/>
  <c r="C6293" i="1"/>
  <c r="A2777" i="1"/>
  <c r="B2777" i="1"/>
  <c r="C2777" i="1"/>
  <c r="A2530" i="1"/>
  <c r="B2530" i="1"/>
  <c r="C2530" i="1"/>
  <c r="A3371" i="1"/>
  <c r="B3371" i="1"/>
  <c r="C3371" i="1"/>
  <c r="A3367" i="1"/>
  <c r="B3367" i="1"/>
  <c r="C3367" i="1"/>
  <c r="A3412" i="1"/>
  <c r="B3412" i="1"/>
  <c r="C3412" i="1"/>
  <c r="A11976" i="1"/>
  <c r="B11976" i="1"/>
  <c r="C11976" i="1"/>
  <c r="A1954" i="1"/>
  <c r="B1954" i="1"/>
  <c r="C1954" i="1"/>
  <c r="A25475" i="1"/>
  <c r="B25475" i="1"/>
  <c r="C25475" i="1"/>
  <c r="A17412" i="1"/>
  <c r="B17412" i="1"/>
  <c r="C17412" i="1"/>
  <c r="A24398" i="1"/>
  <c r="B24398" i="1"/>
  <c r="C24398" i="1"/>
  <c r="A15949" i="1"/>
  <c r="B15949" i="1"/>
  <c r="C15949" i="1"/>
  <c r="A18674" i="1"/>
  <c r="B18674" i="1"/>
  <c r="C18674" i="1"/>
  <c r="A19602" i="1"/>
  <c r="B19602" i="1"/>
  <c r="C19602" i="1"/>
  <c r="A19599" i="1"/>
  <c r="B19599" i="1"/>
  <c r="C19599" i="1"/>
  <c r="A19605" i="1"/>
  <c r="B19605" i="1"/>
  <c r="C19605" i="1"/>
  <c r="A19601" i="1"/>
  <c r="B19601" i="1"/>
  <c r="C19601" i="1"/>
  <c r="A19613" i="1"/>
  <c r="B19613" i="1"/>
  <c r="C19613" i="1"/>
  <c r="A20557" i="1"/>
  <c r="B20557" i="1"/>
  <c r="C20557" i="1"/>
  <c r="A8451" i="1"/>
  <c r="B8451" i="1"/>
  <c r="C8451" i="1"/>
  <c r="A3986" i="1"/>
  <c r="B3986" i="1"/>
  <c r="C3986" i="1"/>
  <c r="A8101" i="1"/>
  <c r="B8101" i="1"/>
  <c r="C8101" i="1"/>
  <c r="A8102" i="1"/>
  <c r="B8102" i="1"/>
  <c r="C8102" i="1"/>
  <c r="A895" i="1"/>
  <c r="B895" i="1"/>
  <c r="C895" i="1"/>
  <c r="A894" i="1"/>
  <c r="B894" i="1"/>
  <c r="C894" i="1"/>
  <c r="A8396" i="1"/>
  <c r="B8396" i="1"/>
  <c r="C8396" i="1"/>
  <c r="A20849" i="1"/>
  <c r="B20849" i="1"/>
  <c r="C20849" i="1"/>
  <c r="A25112" i="1"/>
  <c r="B25112" i="1"/>
  <c r="C25112" i="1"/>
  <c r="A25111" i="1"/>
  <c r="B25111" i="1"/>
  <c r="C25111" i="1"/>
  <c r="A24919" i="1"/>
  <c r="B24919" i="1"/>
  <c r="C24919" i="1"/>
  <c r="A771" i="1"/>
  <c r="B771" i="1"/>
  <c r="C771" i="1"/>
  <c r="A17849" i="1"/>
  <c r="B17849" i="1"/>
  <c r="C17849" i="1"/>
  <c r="A12351" i="1"/>
  <c r="B12351" i="1"/>
  <c r="C12351" i="1"/>
  <c r="A18636" i="1"/>
  <c r="B18636" i="1"/>
  <c r="C18636" i="1"/>
  <c r="A17073" i="1"/>
  <c r="B17073" i="1"/>
  <c r="C17073" i="1"/>
  <c r="A14920" i="1"/>
  <c r="B14920" i="1"/>
  <c r="C14920" i="1"/>
  <c r="A20212" i="1"/>
  <c r="B20212" i="1"/>
  <c r="C20212" i="1"/>
  <c r="A9567" i="1"/>
  <c r="B9567" i="1"/>
  <c r="C9567" i="1"/>
  <c r="A9565" i="1"/>
  <c r="B9565" i="1"/>
  <c r="C9565" i="1"/>
  <c r="A9564" i="1"/>
  <c r="B9564" i="1"/>
  <c r="C9564" i="1"/>
  <c r="A9566" i="1"/>
  <c r="B9566" i="1"/>
  <c r="C9566" i="1"/>
  <c r="A9669" i="1"/>
  <c r="B9669" i="1"/>
  <c r="C9669" i="1"/>
  <c r="A22625" i="1"/>
  <c r="B22625" i="1"/>
  <c r="C22625" i="1"/>
  <c r="A23508" i="1"/>
  <c r="B23508" i="1"/>
  <c r="C23508" i="1"/>
  <c r="A23507" i="1"/>
  <c r="B23507" i="1"/>
  <c r="C23507" i="1"/>
  <c r="A23501" i="1"/>
  <c r="B23501" i="1"/>
  <c r="C23501" i="1"/>
  <c r="A2041" i="1"/>
  <c r="B2041" i="1"/>
  <c r="C2041" i="1"/>
  <c r="A19026" i="1"/>
  <c r="B19026" i="1"/>
  <c r="C19026" i="1"/>
  <c r="A4299" i="1"/>
  <c r="B4299" i="1"/>
  <c r="C4299" i="1"/>
  <c r="A4300" i="1"/>
  <c r="B4300" i="1"/>
  <c r="C4300" i="1"/>
  <c r="A19523" i="1"/>
  <c r="B19523" i="1"/>
  <c r="C19523" i="1"/>
  <c r="A23514" i="1"/>
  <c r="B23514" i="1"/>
  <c r="C23514" i="1"/>
  <c r="A11859" i="1"/>
  <c r="B11859" i="1"/>
  <c r="C11859" i="1"/>
  <c r="A11878" i="1"/>
  <c r="B11878" i="1"/>
  <c r="C11878" i="1"/>
  <c r="A11871" i="1"/>
  <c r="B11871" i="1"/>
  <c r="C11871" i="1"/>
  <c r="A11879" i="1"/>
  <c r="B11879" i="1"/>
  <c r="C11879" i="1"/>
  <c r="A3663" i="1"/>
  <c r="B3663" i="1"/>
  <c r="C3663" i="1"/>
  <c r="A17814" i="1"/>
  <c r="B17814" i="1"/>
  <c r="C17814" i="1"/>
  <c r="A24907" i="1"/>
  <c r="B24907" i="1"/>
  <c r="C24907" i="1"/>
  <c r="A17787" i="1"/>
  <c r="B17787" i="1"/>
  <c r="C17787" i="1"/>
  <c r="A17896" i="1"/>
  <c r="B17896" i="1"/>
  <c r="C17896" i="1"/>
  <c r="A13556" i="1"/>
  <c r="B13556" i="1"/>
  <c r="C13556" i="1"/>
  <c r="A13620" i="1"/>
  <c r="B13620" i="1"/>
  <c r="C13620" i="1"/>
  <c r="A6449" i="1"/>
  <c r="B6449" i="1"/>
  <c r="C6449" i="1"/>
  <c r="A12428" i="1"/>
  <c r="B12428" i="1"/>
  <c r="C12428" i="1"/>
  <c r="A18903" i="1"/>
  <c r="B18903" i="1"/>
  <c r="C18903" i="1"/>
  <c r="A13563" i="1"/>
  <c r="B13563" i="1"/>
  <c r="C13563" i="1"/>
  <c r="A885" i="1"/>
  <c r="B885" i="1"/>
  <c r="C885" i="1"/>
  <c r="A749" i="1"/>
  <c r="B749" i="1"/>
  <c r="C749" i="1"/>
  <c r="A750" i="1"/>
  <c r="B750" i="1"/>
  <c r="C750" i="1"/>
  <c r="A9936" i="1"/>
  <c r="B9936" i="1"/>
  <c r="C9936" i="1"/>
  <c r="A12186" i="1"/>
  <c r="B12186" i="1"/>
  <c r="C12186" i="1"/>
  <c r="A12061" i="1"/>
  <c r="B12061" i="1"/>
  <c r="C12061" i="1"/>
  <c r="A18417" i="1"/>
  <c r="B18417" i="1"/>
  <c r="C18417" i="1"/>
  <c r="A2754" i="1"/>
  <c r="B2754" i="1"/>
  <c r="C2754" i="1"/>
  <c r="A25272" i="1"/>
  <c r="B25272" i="1"/>
  <c r="C25272" i="1"/>
  <c r="A23874" i="1"/>
  <c r="B23874" i="1"/>
  <c r="C23874" i="1"/>
  <c r="A23878" i="1"/>
  <c r="B23878" i="1"/>
  <c r="C23878" i="1"/>
  <c r="A23892" i="1"/>
  <c r="B23892" i="1"/>
  <c r="C23892" i="1"/>
  <c r="A19458" i="1"/>
  <c r="B19458" i="1"/>
  <c r="C19458" i="1"/>
  <c r="A14826" i="1"/>
  <c r="B14826" i="1"/>
  <c r="C14826" i="1"/>
  <c r="A15270" i="1"/>
  <c r="B15270" i="1"/>
  <c r="C15270" i="1"/>
  <c r="A20375" i="1"/>
  <c r="B20375" i="1"/>
  <c r="C20375" i="1"/>
  <c r="A13440" i="1"/>
  <c r="B13440" i="1"/>
  <c r="C13440" i="1"/>
  <c r="A15269" i="1"/>
  <c r="B15269" i="1"/>
  <c r="C15269" i="1"/>
  <c r="A21786" i="1"/>
  <c r="B21786" i="1"/>
  <c r="C21786" i="1"/>
  <c r="A16615" i="1"/>
  <c r="B16615" i="1"/>
  <c r="C16615" i="1"/>
  <c r="A15255" i="1"/>
  <c r="B15255" i="1"/>
  <c r="C15255" i="1"/>
  <c r="A18412" i="1"/>
  <c r="B18412" i="1"/>
  <c r="C18412" i="1"/>
  <c r="A369" i="1"/>
  <c r="B369" i="1"/>
  <c r="C369" i="1"/>
  <c r="A15256" i="1"/>
  <c r="B15256" i="1"/>
  <c r="C15256" i="1"/>
  <c r="A24635" i="1"/>
  <c r="B24635" i="1"/>
  <c r="C24635" i="1"/>
  <c r="A24636" i="1"/>
  <c r="B24636" i="1"/>
  <c r="C24636" i="1"/>
  <c r="A24634" i="1"/>
  <c r="B24634" i="1"/>
  <c r="C24634" i="1"/>
  <c r="A7273" i="1"/>
  <c r="B7273" i="1"/>
  <c r="C7273" i="1"/>
  <c r="A15252" i="1"/>
  <c r="B15252" i="1"/>
  <c r="C15252" i="1"/>
  <c r="A17448" i="1"/>
  <c r="B17448" i="1"/>
  <c r="C17448" i="1"/>
  <c r="A22956" i="1"/>
  <c r="B22956" i="1"/>
  <c r="C22956" i="1"/>
  <c r="A22958" i="1"/>
  <c r="B22958" i="1"/>
  <c r="C22958" i="1"/>
  <c r="A15253" i="1"/>
  <c r="B15253" i="1"/>
  <c r="C15253" i="1"/>
  <c r="A24647" i="1"/>
  <c r="B24647" i="1"/>
  <c r="C24647" i="1"/>
  <c r="A5340" i="1"/>
  <c r="B5340" i="1"/>
  <c r="C5340" i="1"/>
  <c r="A10794" i="1"/>
  <c r="B10794" i="1"/>
  <c r="C10794" i="1"/>
  <c r="A24651" i="1"/>
  <c r="B24651" i="1"/>
  <c r="C24651" i="1"/>
  <c r="A24650" i="1"/>
  <c r="B24650" i="1"/>
  <c r="C24650" i="1"/>
  <c r="A24652" i="1"/>
  <c r="B24652" i="1"/>
  <c r="C24652" i="1"/>
  <c r="A8530" i="1"/>
  <c r="B8530" i="1"/>
  <c r="C8530" i="1"/>
  <c r="A8511" i="1"/>
  <c r="B8511" i="1"/>
  <c r="C8511" i="1"/>
  <c r="A8518" i="1"/>
  <c r="B8518" i="1"/>
  <c r="C8518" i="1"/>
  <c r="A18114" i="1"/>
  <c r="B18114" i="1"/>
  <c r="C18114" i="1"/>
  <c r="A18113" i="1"/>
  <c r="B18113" i="1"/>
  <c r="C18113" i="1"/>
  <c r="A16120" i="1"/>
  <c r="B16120" i="1"/>
  <c r="C16120" i="1"/>
  <c r="A20960" i="1"/>
  <c r="B20960" i="1"/>
  <c r="C20960" i="1"/>
  <c r="A7676" i="1"/>
  <c r="B7676" i="1"/>
  <c r="C7676" i="1"/>
  <c r="A11966" i="1"/>
  <c r="B11966" i="1"/>
  <c r="C11966" i="1"/>
  <c r="A6412" i="1"/>
  <c r="B6412" i="1"/>
  <c r="C6412" i="1"/>
  <c r="A7359" i="1"/>
  <c r="B7359" i="1"/>
  <c r="C7359" i="1"/>
  <c r="A24788" i="1"/>
  <c r="B24788" i="1"/>
  <c r="C24788" i="1"/>
  <c r="A16453" i="1"/>
  <c r="B16453" i="1"/>
  <c r="C16453" i="1"/>
  <c r="A7101" i="1"/>
  <c r="B7101" i="1"/>
  <c r="C7101" i="1"/>
  <c r="A6388" i="1"/>
  <c r="B6388" i="1"/>
  <c r="C6388" i="1"/>
  <c r="A23620" i="1"/>
  <c r="B23620" i="1"/>
  <c r="C23620" i="1"/>
  <c r="A22540" i="1"/>
  <c r="B22540" i="1"/>
  <c r="C22540" i="1"/>
  <c r="A12651" i="1"/>
  <c r="B12651" i="1"/>
  <c r="C12651" i="1"/>
  <c r="A12011" i="1"/>
  <c r="B12011" i="1"/>
  <c r="C12011" i="1"/>
  <c r="A20551" i="1"/>
  <c r="B20551" i="1"/>
  <c r="C20551" i="1"/>
  <c r="A20542" i="1"/>
  <c r="B20542" i="1"/>
  <c r="C20542" i="1"/>
  <c r="A20560" i="1"/>
  <c r="B20560" i="1"/>
  <c r="C20560" i="1"/>
  <c r="A20515" i="1"/>
  <c r="B20515" i="1"/>
  <c r="C20515" i="1"/>
  <c r="A20544" i="1"/>
  <c r="B20544" i="1"/>
  <c r="C20544" i="1"/>
  <c r="A16566" i="1"/>
  <c r="B16566" i="1"/>
  <c r="C16566" i="1"/>
  <c r="A530" i="1"/>
  <c r="B530" i="1"/>
  <c r="C530" i="1"/>
  <c r="A6531" i="1"/>
  <c r="B6531" i="1"/>
  <c r="C6531" i="1"/>
  <c r="A3368" i="1"/>
  <c r="B3368" i="1"/>
  <c r="C3368" i="1"/>
  <c r="A11860" i="1"/>
  <c r="B11860" i="1"/>
  <c r="C11860" i="1"/>
  <c r="A24358" i="1"/>
  <c r="B24358" i="1"/>
  <c r="C24358" i="1"/>
  <c r="A14789" i="1"/>
  <c r="B14789" i="1"/>
  <c r="C14789" i="1"/>
  <c r="A18258" i="1"/>
  <c r="B18258" i="1"/>
  <c r="C18258" i="1"/>
  <c r="A8932" i="1"/>
  <c r="B8932" i="1"/>
  <c r="C8932" i="1"/>
  <c r="A17260" i="1"/>
  <c r="B17260" i="1"/>
  <c r="C17260" i="1"/>
  <c r="A1545" i="1"/>
  <c r="B1545" i="1"/>
  <c r="C1545" i="1"/>
  <c r="A17261" i="1"/>
  <c r="B17261" i="1"/>
  <c r="C17261" i="1"/>
  <c r="A16268" i="1"/>
  <c r="B16268" i="1"/>
  <c r="C16268" i="1"/>
  <c r="A24485" i="1"/>
  <c r="B24485" i="1"/>
  <c r="C24485" i="1"/>
  <c r="A19817" i="1"/>
  <c r="B19817" i="1"/>
  <c r="C19817" i="1"/>
  <c r="A25246" i="1"/>
  <c r="B25246" i="1"/>
  <c r="C25246" i="1"/>
  <c r="A11509" i="1"/>
  <c r="B11509" i="1"/>
  <c r="C11509" i="1"/>
  <c r="A12202" i="1"/>
  <c r="B12202" i="1"/>
  <c r="C12202" i="1"/>
  <c r="A18695" i="1"/>
  <c r="B18695" i="1"/>
  <c r="C18695" i="1"/>
  <c r="A17811" i="1"/>
  <c r="B17811" i="1"/>
  <c r="C17811" i="1"/>
  <c r="A12208" i="1"/>
  <c r="B12208" i="1"/>
  <c r="C12208" i="1"/>
  <c r="A12209" i="1"/>
  <c r="B12209" i="1"/>
  <c r="C12209" i="1"/>
  <c r="A10025" i="1"/>
  <c r="B10025" i="1"/>
  <c r="C10025" i="1"/>
  <c r="A13638" i="1"/>
  <c r="B13638" i="1"/>
  <c r="C13638" i="1"/>
  <c r="A9931" i="1"/>
  <c r="B9931" i="1"/>
  <c r="C9931" i="1"/>
  <c r="A7308" i="1"/>
  <c r="B7308" i="1"/>
  <c r="C7308" i="1"/>
  <c r="A16448" i="1"/>
  <c r="B16448" i="1"/>
  <c r="C16448" i="1"/>
  <c r="A17844" i="1"/>
  <c r="B17844" i="1"/>
  <c r="C17844" i="1"/>
  <c r="A10293" i="1"/>
  <c r="B10293" i="1"/>
  <c r="C10293" i="1"/>
  <c r="A23151" i="1"/>
  <c r="B23151" i="1"/>
  <c r="C23151" i="1"/>
  <c r="A14549" i="1"/>
  <c r="B14549" i="1"/>
  <c r="C14549" i="1"/>
  <c r="A6177" i="1"/>
  <c r="B6177" i="1"/>
  <c r="C6177" i="1"/>
  <c r="A6209" i="1"/>
  <c r="B6209" i="1"/>
  <c r="C6209" i="1"/>
  <c r="A6205" i="1"/>
  <c r="B6205" i="1"/>
  <c r="C6205" i="1"/>
  <c r="A15995" i="1"/>
  <c r="B15995" i="1"/>
  <c r="C15995" i="1"/>
  <c r="A25682" i="1"/>
  <c r="B25682" i="1"/>
  <c r="C25682" i="1"/>
  <c r="A6881" i="1"/>
  <c r="B6881" i="1"/>
  <c r="C6881" i="1"/>
  <c r="A22316" i="1"/>
  <c r="B22316" i="1"/>
  <c r="C22316" i="1"/>
  <c r="A7646" i="1"/>
  <c r="B7646" i="1"/>
  <c r="C7646" i="1"/>
  <c r="A9486" i="1"/>
  <c r="B9486" i="1"/>
  <c r="C9486" i="1"/>
  <c r="A20507" i="1"/>
  <c r="B20507" i="1"/>
  <c r="C20507" i="1"/>
  <c r="A20947" i="1"/>
  <c r="B20947" i="1"/>
  <c r="C20947" i="1"/>
  <c r="A25703" i="1"/>
  <c r="B25703" i="1"/>
  <c r="C25703" i="1"/>
  <c r="A5736" i="1"/>
  <c r="B5736" i="1"/>
  <c r="C5736" i="1"/>
  <c r="A14946" i="1"/>
  <c r="B14946" i="1"/>
  <c r="C14946" i="1"/>
  <c r="A15229" i="1"/>
  <c r="B15229" i="1"/>
  <c r="C15229" i="1"/>
  <c r="A14947" i="1"/>
  <c r="B14947" i="1"/>
  <c r="C14947" i="1"/>
  <c r="A25636" i="1"/>
  <c r="B25636" i="1"/>
  <c r="C25636" i="1"/>
  <c r="A19829" i="1"/>
  <c r="B19829" i="1"/>
  <c r="C19829" i="1"/>
  <c r="A24173" i="1"/>
  <c r="B24173" i="1"/>
  <c r="C24173" i="1"/>
  <c r="A20888" i="1"/>
  <c r="B20888" i="1"/>
  <c r="C20888" i="1"/>
  <c r="A12738" i="1"/>
  <c r="B12738" i="1"/>
  <c r="C12738" i="1"/>
  <c r="A25477" i="1"/>
  <c r="B25477" i="1"/>
  <c r="C25477" i="1"/>
  <c r="A4894" i="1"/>
  <c r="B4894" i="1"/>
  <c r="C4894" i="1"/>
  <c r="A9731" i="1"/>
  <c r="B9731" i="1"/>
  <c r="C9731" i="1"/>
  <c r="A7055" i="1"/>
  <c r="B7055" i="1"/>
  <c r="C7055" i="1"/>
  <c r="A2046" i="1"/>
  <c r="B2046" i="1"/>
  <c r="C2046" i="1"/>
  <c r="A9964" i="1"/>
  <c r="B9964" i="1"/>
  <c r="C9964" i="1"/>
  <c r="A25387" i="1"/>
  <c r="B25387" i="1"/>
  <c r="C25387" i="1"/>
  <c r="A18883" i="1"/>
  <c r="B18883" i="1"/>
  <c r="C18883" i="1"/>
  <c r="A22888" i="1"/>
  <c r="B22888" i="1"/>
  <c r="C22888" i="1"/>
  <c r="A9123" i="1"/>
  <c r="B9123" i="1"/>
  <c r="C9123" i="1"/>
  <c r="A18865" i="1"/>
  <c r="B18865" i="1"/>
  <c r="C18865" i="1"/>
  <c r="A18284" i="1"/>
  <c r="B18284" i="1"/>
  <c r="C18284" i="1"/>
  <c r="A4387" i="1"/>
  <c r="B4387" i="1"/>
  <c r="C4387" i="1"/>
  <c r="A11323" i="1"/>
  <c r="B11323" i="1"/>
  <c r="C11323" i="1"/>
  <c r="A251" i="1"/>
  <c r="B251" i="1"/>
  <c r="C251" i="1"/>
  <c r="A1071" i="1"/>
  <c r="B1071" i="1"/>
  <c r="C1071" i="1"/>
  <c r="A25590" i="1"/>
  <c r="B25590" i="1"/>
  <c r="C25590" i="1"/>
  <c r="A25589" i="1"/>
  <c r="B25589" i="1"/>
  <c r="C25589" i="1"/>
  <c r="A16683" i="1"/>
  <c r="B16683" i="1"/>
  <c r="C16683" i="1"/>
  <c r="A16673" i="1"/>
  <c r="B16673" i="1"/>
  <c r="C16673" i="1"/>
  <c r="A20934" i="1"/>
  <c r="B20934" i="1"/>
  <c r="C20934" i="1"/>
  <c r="A24763" i="1"/>
  <c r="B24763" i="1"/>
  <c r="C24763" i="1"/>
  <c r="A1185" i="1"/>
  <c r="B1185" i="1"/>
  <c r="C1185" i="1"/>
  <c r="A24790" i="1"/>
  <c r="B24790" i="1"/>
  <c r="C24790" i="1"/>
  <c r="A12653" i="1"/>
  <c r="B12653" i="1"/>
  <c r="C12653" i="1"/>
  <c r="A1182" i="1"/>
  <c r="B1182" i="1"/>
  <c r="C1182" i="1"/>
  <c r="A20961" i="1"/>
  <c r="B20961" i="1"/>
  <c r="C20961" i="1"/>
  <c r="A17284" i="1"/>
  <c r="B17284" i="1"/>
  <c r="C17284" i="1"/>
  <c r="A5720" i="1"/>
  <c r="B5720" i="1"/>
  <c r="C5720" i="1"/>
  <c r="A12201" i="1"/>
  <c r="B12201" i="1"/>
  <c r="C12201" i="1"/>
  <c r="A18641" i="1"/>
  <c r="B18641" i="1"/>
  <c r="C18641" i="1"/>
  <c r="A19828" i="1"/>
  <c r="B19828" i="1"/>
  <c r="C19828" i="1"/>
  <c r="A14944" i="1"/>
  <c r="B14944" i="1"/>
  <c r="C14944" i="1"/>
  <c r="A17159" i="1"/>
  <c r="B17159" i="1"/>
  <c r="C17159" i="1"/>
  <c r="A6558" i="1"/>
  <c r="B6558" i="1"/>
  <c r="C6558" i="1"/>
  <c r="A17153" i="1"/>
  <c r="B17153" i="1"/>
  <c r="C17153" i="1"/>
  <c r="A9007" i="1"/>
  <c r="B9007" i="1"/>
  <c r="C9007" i="1"/>
  <c r="A8987" i="1"/>
  <c r="B8987" i="1"/>
  <c r="C8987" i="1"/>
  <c r="A1754" i="1"/>
  <c r="B1754" i="1"/>
  <c r="C1754" i="1"/>
  <c r="A17797" i="1"/>
  <c r="B17797" i="1"/>
  <c r="C17797" i="1"/>
  <c r="A17325" i="1"/>
  <c r="B17325" i="1"/>
  <c r="C17325" i="1"/>
  <c r="A13798" i="1"/>
  <c r="B13798" i="1"/>
  <c r="C13798" i="1"/>
  <c r="A17305" i="1"/>
  <c r="B17305" i="1"/>
  <c r="C17305" i="1"/>
  <c r="A20111" i="1"/>
  <c r="B20111" i="1"/>
  <c r="C20111" i="1"/>
  <c r="A8986" i="1"/>
  <c r="B8986" i="1"/>
  <c r="C8986" i="1"/>
  <c r="A1555" i="1"/>
  <c r="B1555" i="1"/>
  <c r="C1555" i="1"/>
  <c r="A17158" i="1"/>
  <c r="B17158" i="1"/>
  <c r="C17158" i="1"/>
  <c r="A13564" i="1"/>
  <c r="B13564" i="1"/>
  <c r="C13564" i="1"/>
  <c r="A1578" i="1"/>
  <c r="B1578" i="1"/>
  <c r="C1578" i="1"/>
  <c r="A1534" i="1"/>
  <c r="B1534" i="1"/>
  <c r="C1534" i="1"/>
  <c r="A17303" i="1"/>
  <c r="B17303" i="1"/>
  <c r="C17303" i="1"/>
  <c r="A25072" i="1"/>
  <c r="B25072" i="1"/>
  <c r="C25072" i="1"/>
  <c r="A13878" i="1"/>
  <c r="B13878" i="1"/>
  <c r="C13878" i="1"/>
  <c r="A21874" i="1"/>
  <c r="B21874" i="1"/>
  <c r="C21874" i="1"/>
  <c r="A20932" i="1"/>
  <c r="B20932" i="1"/>
  <c r="C20932" i="1"/>
  <c r="A20571" i="1"/>
  <c r="B20571" i="1"/>
  <c r="C20571" i="1"/>
  <c r="A19427" i="1"/>
  <c r="B19427" i="1"/>
  <c r="C19427" i="1"/>
  <c r="A17076" i="1"/>
  <c r="B17076" i="1"/>
  <c r="C17076" i="1"/>
  <c r="A23529" i="1"/>
  <c r="B23529" i="1"/>
  <c r="C23529" i="1"/>
  <c r="A6211" i="1"/>
  <c r="B6211" i="1"/>
  <c r="C6211" i="1"/>
  <c r="A6179" i="1"/>
  <c r="B6179" i="1"/>
  <c r="C6179" i="1"/>
  <c r="A7352" i="1"/>
  <c r="B7352" i="1"/>
  <c r="C7352" i="1"/>
  <c r="A18565" i="1"/>
  <c r="B18565" i="1"/>
  <c r="C18565" i="1"/>
  <c r="A22654" i="1"/>
  <c r="B22654" i="1"/>
  <c r="C22654" i="1"/>
  <c r="A1928" i="1"/>
  <c r="B1928" i="1"/>
  <c r="C1928" i="1"/>
  <c r="A4847" i="1"/>
  <c r="B4847" i="1"/>
  <c r="C4847" i="1"/>
  <c r="A20362" i="1"/>
  <c r="B20362" i="1"/>
  <c r="C20362" i="1"/>
  <c r="A20563" i="1"/>
  <c r="B20563" i="1"/>
  <c r="C20563" i="1"/>
  <c r="A20530" i="1"/>
  <c r="B20530" i="1"/>
  <c r="C20530" i="1"/>
  <c r="A16693" i="1"/>
  <c r="B16693" i="1"/>
  <c r="C16693" i="1"/>
  <c r="A16691" i="1"/>
  <c r="B16691" i="1"/>
  <c r="C16691" i="1"/>
  <c r="A16709" i="1"/>
  <c r="B16709" i="1"/>
  <c r="C16709" i="1"/>
  <c r="A17083" i="1"/>
  <c r="B17083" i="1"/>
  <c r="C17083" i="1"/>
  <c r="A18740" i="1"/>
  <c r="B18740" i="1"/>
  <c r="C18740" i="1"/>
  <c r="A25638" i="1"/>
  <c r="B25638" i="1"/>
  <c r="C25638" i="1"/>
  <c r="A13439" i="1"/>
  <c r="B13439" i="1"/>
  <c r="C13439" i="1"/>
  <c r="A11141" i="1"/>
  <c r="B11141" i="1"/>
  <c r="C11141" i="1"/>
  <c r="A19246" i="1"/>
  <c r="B19246" i="1"/>
  <c r="C19246" i="1"/>
  <c r="A11928" i="1"/>
  <c r="B11928" i="1"/>
  <c r="C11928" i="1"/>
  <c r="A3551" i="1"/>
  <c r="B3551" i="1"/>
  <c r="C3551" i="1"/>
  <c r="A12418" i="1"/>
  <c r="B12418" i="1"/>
  <c r="C12418" i="1"/>
  <c r="A9406" i="1"/>
  <c r="B9406" i="1"/>
  <c r="C9406" i="1"/>
  <c r="A24562" i="1"/>
  <c r="B24562" i="1"/>
  <c r="C24562" i="1"/>
  <c r="A24532" i="1"/>
  <c r="B24532" i="1"/>
  <c r="C24532" i="1"/>
  <c r="A12280" i="1"/>
  <c r="B12280" i="1"/>
  <c r="C12280" i="1"/>
  <c r="A13729" i="1"/>
  <c r="B13729" i="1"/>
  <c r="C13729" i="1"/>
  <c r="A12474" i="1"/>
  <c r="B12474" i="1"/>
  <c r="C12474" i="1"/>
  <c r="A17161" i="1"/>
  <c r="B17161" i="1"/>
  <c r="C17161" i="1"/>
  <c r="A11556" i="1"/>
  <c r="B11556" i="1"/>
  <c r="C11556" i="1"/>
  <c r="A4430" i="1"/>
  <c r="B4430" i="1"/>
  <c r="C4430" i="1"/>
  <c r="A13849" i="1"/>
  <c r="B13849" i="1"/>
  <c r="C13849" i="1"/>
  <c r="A9808" i="1"/>
  <c r="B9808" i="1"/>
  <c r="C9808" i="1"/>
  <c r="A17295" i="1"/>
  <c r="B17295" i="1"/>
  <c r="C17295" i="1"/>
  <c r="A2128" i="1"/>
  <c r="B2128" i="1"/>
  <c r="C2128" i="1"/>
  <c r="A9158" i="1"/>
  <c r="B9158" i="1"/>
  <c r="C9158" i="1"/>
  <c r="A21964" i="1"/>
  <c r="B21964" i="1"/>
  <c r="C21964" i="1"/>
  <c r="A21963" i="1"/>
  <c r="B21963" i="1"/>
  <c r="C21963" i="1"/>
  <c r="A21972" i="1"/>
  <c r="B21972" i="1"/>
  <c r="C21972" i="1"/>
  <c r="A21987" i="1"/>
  <c r="B21987" i="1"/>
  <c r="C21987" i="1"/>
  <c r="A13794" i="1"/>
  <c r="B13794" i="1"/>
  <c r="C13794" i="1"/>
  <c r="A6208" i="1"/>
  <c r="B6208" i="1"/>
  <c r="C6208" i="1"/>
  <c r="A21973" i="1"/>
  <c r="B21973" i="1"/>
  <c r="C21973" i="1"/>
  <c r="A10027" i="1"/>
  <c r="B10027" i="1"/>
  <c r="C10027" i="1"/>
  <c r="A10013" i="1"/>
  <c r="B10013" i="1"/>
  <c r="C10013" i="1"/>
  <c r="A12446" i="1"/>
  <c r="B12446" i="1"/>
  <c r="C12446" i="1"/>
  <c r="A2968" i="1"/>
  <c r="B2968" i="1"/>
  <c r="C2968" i="1"/>
  <c r="A11456" i="1"/>
  <c r="B11456" i="1"/>
  <c r="C11456" i="1"/>
  <c r="A9146" i="1"/>
  <c r="B9146" i="1"/>
  <c r="C9146" i="1"/>
  <c r="A5186" i="1"/>
  <c r="B5186" i="1"/>
  <c r="C5186" i="1"/>
  <c r="A25598" i="1"/>
  <c r="B25598" i="1"/>
  <c r="C25598" i="1"/>
  <c r="A4276" i="1"/>
  <c r="B4276" i="1"/>
  <c r="C4276" i="1"/>
  <c r="A5312" i="1"/>
  <c r="B5312" i="1"/>
  <c r="C5312" i="1"/>
  <c r="A5972" i="1"/>
  <c r="B5972" i="1"/>
  <c r="C5972" i="1"/>
  <c r="A18386" i="1"/>
  <c r="B18386" i="1"/>
  <c r="C18386" i="1"/>
  <c r="A6158" i="1"/>
  <c r="B6158" i="1"/>
  <c r="C6158" i="1"/>
  <c r="A13354" i="1"/>
  <c r="B13354" i="1"/>
  <c r="C13354" i="1"/>
  <c r="A7165" i="1"/>
  <c r="B7165" i="1"/>
  <c r="C7165" i="1"/>
  <c r="A7184" i="1"/>
  <c r="B7184" i="1"/>
  <c r="C7184" i="1"/>
  <c r="A8915" i="1"/>
  <c r="B8915" i="1"/>
  <c r="C8915" i="1"/>
  <c r="A15458" i="1"/>
  <c r="B15458" i="1"/>
  <c r="C15458" i="1"/>
  <c r="A15457" i="1"/>
  <c r="B15457" i="1"/>
  <c r="C15457" i="1"/>
  <c r="A17476" i="1"/>
  <c r="B17476" i="1"/>
  <c r="C17476" i="1"/>
  <c r="A10096" i="1"/>
  <c r="B10096" i="1"/>
  <c r="C10096" i="1"/>
  <c r="A20619" i="1"/>
  <c r="B20619" i="1"/>
  <c r="C20619" i="1"/>
  <c r="A20091" i="1"/>
  <c r="B20091" i="1"/>
  <c r="C20091" i="1"/>
  <c r="A24228" i="1"/>
  <c r="B24228" i="1"/>
  <c r="C24228" i="1"/>
  <c r="A8910" i="1"/>
  <c r="B8910" i="1"/>
  <c r="C8910" i="1"/>
  <c r="A17838" i="1"/>
  <c r="B17838" i="1"/>
  <c r="C17838" i="1"/>
  <c r="A17837" i="1"/>
  <c r="B17837" i="1"/>
  <c r="C17837" i="1"/>
  <c r="A11389" i="1"/>
  <c r="B11389" i="1"/>
  <c r="C11389" i="1"/>
  <c r="A24360" i="1"/>
  <c r="B24360" i="1"/>
  <c r="C24360" i="1"/>
  <c r="A8016" i="1"/>
  <c r="B8016" i="1"/>
  <c r="C8016" i="1"/>
  <c r="A16680" i="1"/>
  <c r="B16680" i="1"/>
  <c r="C16680" i="1"/>
  <c r="A15984" i="1"/>
  <c r="B15984" i="1"/>
  <c r="C15984" i="1"/>
  <c r="A15988" i="1"/>
  <c r="B15988" i="1"/>
  <c r="C15988" i="1"/>
  <c r="A15989" i="1"/>
  <c r="B15989" i="1"/>
  <c r="C15989" i="1"/>
  <c r="A22446" i="1"/>
  <c r="B22446" i="1"/>
  <c r="C22446" i="1"/>
  <c r="A12335" i="1"/>
  <c r="B12335" i="1"/>
  <c r="C12335" i="1"/>
  <c r="A23646" i="1"/>
  <c r="B23646" i="1"/>
  <c r="C23646" i="1"/>
  <c r="A23649" i="1"/>
  <c r="B23649" i="1"/>
  <c r="C23649" i="1"/>
  <c r="A23644" i="1"/>
  <c r="B23644" i="1"/>
  <c r="C23644" i="1"/>
  <c r="A23661" i="1"/>
  <c r="B23661" i="1"/>
  <c r="C23661" i="1"/>
  <c r="A7557" i="1"/>
  <c r="B7557" i="1"/>
  <c r="C7557" i="1"/>
  <c r="A15346" i="1"/>
  <c r="B15346" i="1"/>
  <c r="C15346" i="1"/>
  <c r="A14088" i="1"/>
  <c r="B14088" i="1"/>
  <c r="C14088" i="1"/>
  <c r="A20501" i="1"/>
  <c r="B20501" i="1"/>
  <c r="C20501" i="1"/>
  <c r="A10214" i="1"/>
  <c r="B10214" i="1"/>
  <c r="C10214" i="1"/>
  <c r="A14925" i="1"/>
  <c r="B14925" i="1"/>
  <c r="C14925" i="1"/>
  <c r="A17799" i="1"/>
  <c r="B17799" i="1"/>
  <c r="C17799" i="1"/>
  <c r="A17068" i="1"/>
  <c r="B17068" i="1"/>
  <c r="C17068" i="1"/>
  <c r="A16292" i="1"/>
  <c r="B16292" i="1"/>
  <c r="C16292" i="1"/>
  <c r="A9350" i="1"/>
  <c r="B9350" i="1"/>
  <c r="C9350" i="1"/>
  <c r="A247" i="1"/>
  <c r="B247" i="1"/>
  <c r="C247" i="1"/>
  <c r="A5931" i="1"/>
  <c r="B5931" i="1"/>
  <c r="C5931" i="1"/>
  <c r="A25266" i="1"/>
  <c r="B25266" i="1"/>
  <c r="C25266" i="1"/>
  <c r="A11319" i="1"/>
  <c r="B11319" i="1"/>
  <c r="C11319" i="1"/>
  <c r="A11320" i="1"/>
  <c r="B11320" i="1"/>
  <c r="C11320" i="1"/>
  <c r="A19961" i="1"/>
  <c r="B19961" i="1"/>
  <c r="C19961" i="1"/>
  <c r="A6277" i="1"/>
  <c r="B6277" i="1"/>
  <c r="C6277" i="1"/>
  <c r="A22156" i="1"/>
  <c r="B22156" i="1"/>
  <c r="C22156" i="1"/>
  <c r="A10271" i="1"/>
  <c r="B10271" i="1"/>
  <c r="C10271" i="1"/>
  <c r="A21734" i="1"/>
  <c r="B21734" i="1"/>
  <c r="C21734" i="1"/>
  <c r="A21735" i="1"/>
  <c r="B21735" i="1"/>
  <c r="C21735" i="1"/>
  <c r="A21730" i="1"/>
  <c r="B21730" i="1"/>
  <c r="C21730" i="1"/>
  <c r="A21733" i="1"/>
  <c r="B21733" i="1"/>
  <c r="C21733" i="1"/>
  <c r="A21736" i="1"/>
  <c r="B21736" i="1"/>
  <c r="C21736" i="1"/>
  <c r="A14157" i="1"/>
  <c r="B14157" i="1"/>
  <c r="C14157" i="1"/>
  <c r="A10269" i="1"/>
  <c r="B10269" i="1"/>
  <c r="C10269" i="1"/>
  <c r="A3356" i="1"/>
  <c r="B3356" i="1"/>
  <c r="C3356" i="1"/>
  <c r="A13191" i="1"/>
  <c r="B13191" i="1"/>
  <c r="C13191" i="1"/>
  <c r="A15212" i="1"/>
  <c r="B15212" i="1"/>
  <c r="C15212" i="1"/>
  <c r="A12705" i="1"/>
  <c r="B12705" i="1"/>
  <c r="C12705" i="1"/>
  <c r="A17259" i="1"/>
  <c r="B17259" i="1"/>
  <c r="C17259" i="1"/>
  <c r="A15781" i="1"/>
  <c r="B15781" i="1"/>
  <c r="C15781" i="1"/>
  <c r="A18416" i="1"/>
  <c r="B18416" i="1"/>
  <c r="C18416" i="1"/>
  <c r="A19959" i="1"/>
  <c r="B19959" i="1"/>
  <c r="C19959" i="1"/>
  <c r="A10747" i="1"/>
  <c r="B10747" i="1"/>
  <c r="C10747" i="1"/>
  <c r="A10748" i="1"/>
  <c r="B10748" i="1"/>
  <c r="C10748" i="1"/>
  <c r="A19594" i="1"/>
  <c r="B19594" i="1"/>
  <c r="C19594" i="1"/>
  <c r="A7162" i="1"/>
  <c r="B7162" i="1"/>
  <c r="C7162" i="1"/>
  <c r="A19724" i="1"/>
  <c r="B19724" i="1"/>
  <c r="C19724" i="1"/>
  <c r="A19662" i="1"/>
  <c r="B19662" i="1"/>
  <c r="C19662" i="1"/>
  <c r="A7161" i="1"/>
  <c r="B7161" i="1"/>
  <c r="C7161" i="1"/>
  <c r="A21907" i="1"/>
  <c r="B21907" i="1"/>
  <c r="C21907" i="1"/>
  <c r="A22366" i="1"/>
  <c r="B22366" i="1"/>
  <c r="C22366" i="1"/>
  <c r="A23922" i="1"/>
  <c r="B23922" i="1"/>
  <c r="C23922" i="1"/>
  <c r="A11780" i="1"/>
  <c r="B11780" i="1"/>
  <c r="C11780" i="1"/>
  <c r="A5735" i="1"/>
  <c r="B5735" i="1"/>
  <c r="C5735" i="1"/>
  <c r="A11196" i="1"/>
  <c r="B11196" i="1"/>
  <c r="C11196" i="1"/>
  <c r="A4418" i="1"/>
  <c r="B4418" i="1"/>
  <c r="C4418" i="1"/>
  <c r="A24274" i="1"/>
  <c r="B24274" i="1"/>
  <c r="C24274" i="1"/>
  <c r="A18158" i="1"/>
  <c r="B18158" i="1"/>
  <c r="C18158" i="1"/>
  <c r="A18159" i="1"/>
  <c r="B18159" i="1"/>
  <c r="C18159" i="1"/>
  <c r="A18160" i="1"/>
  <c r="B18160" i="1"/>
  <c r="C18160" i="1"/>
  <c r="A18162" i="1"/>
  <c r="B18162" i="1"/>
  <c r="C18162" i="1"/>
  <c r="A17827" i="1"/>
  <c r="B17827" i="1"/>
  <c r="C17827" i="1"/>
  <c r="A17893" i="1"/>
  <c r="B17893" i="1"/>
  <c r="C17893" i="1"/>
  <c r="A17181" i="1"/>
  <c r="B17181" i="1"/>
  <c r="C17181" i="1"/>
  <c r="A16095" i="1"/>
  <c r="B16095" i="1"/>
  <c r="C16095" i="1"/>
  <c r="A24925" i="1"/>
  <c r="B24925" i="1"/>
  <c r="C24925" i="1"/>
  <c r="A10026" i="1"/>
  <c r="B10026" i="1"/>
  <c r="C10026" i="1"/>
  <c r="A15232" i="1"/>
  <c r="B15232" i="1"/>
  <c r="C15232" i="1"/>
  <c r="A6066" i="1"/>
  <c r="B6066" i="1"/>
  <c r="C6066" i="1"/>
  <c r="A6058" i="1"/>
  <c r="B6058" i="1"/>
  <c r="C6058" i="1"/>
  <c r="A6067" i="1"/>
  <c r="B6067" i="1"/>
  <c r="C6067" i="1"/>
  <c r="A6071" i="1"/>
  <c r="B6071" i="1"/>
  <c r="C6071" i="1"/>
  <c r="A9159" i="1"/>
  <c r="B9159" i="1"/>
  <c r="C9159" i="1"/>
  <c r="A4822" i="1"/>
  <c r="B4822" i="1"/>
  <c r="C4822" i="1"/>
  <c r="A20673" i="1"/>
  <c r="B20673" i="1"/>
  <c r="C20673" i="1"/>
  <c r="A1164" i="1"/>
  <c r="B1164" i="1"/>
  <c r="C1164" i="1"/>
  <c r="A17980" i="1"/>
  <c r="B17980" i="1"/>
  <c r="C17980" i="1"/>
  <c r="A18716" i="1"/>
  <c r="B18716" i="1"/>
  <c r="C18716" i="1"/>
  <c r="A7549" i="1"/>
  <c r="B7549" i="1"/>
  <c r="C7549" i="1"/>
  <c r="A7545" i="1"/>
  <c r="B7545" i="1"/>
  <c r="C7545" i="1"/>
  <c r="A7195" i="1"/>
  <c r="B7195" i="1"/>
  <c r="C7195" i="1"/>
  <c r="A18866" i="1"/>
  <c r="B18866" i="1"/>
  <c r="C18866" i="1"/>
  <c r="A6990" i="1"/>
  <c r="B6990" i="1"/>
  <c r="C6990" i="1"/>
  <c r="A22192" i="1"/>
  <c r="B22192" i="1"/>
  <c r="C22192" i="1"/>
  <c r="A22193" i="1"/>
  <c r="B22193" i="1"/>
  <c r="C22193" i="1"/>
  <c r="A12717" i="1"/>
  <c r="B12717" i="1"/>
  <c r="C12717" i="1"/>
  <c r="A24096" i="1"/>
  <c r="B24096" i="1"/>
  <c r="C24096" i="1"/>
  <c r="A8919" i="1"/>
  <c r="B8919" i="1"/>
  <c r="C8919" i="1"/>
  <c r="A7977" i="1"/>
  <c r="B7977" i="1"/>
  <c r="C7977" i="1"/>
  <c r="A7976" i="1"/>
  <c r="B7976" i="1"/>
  <c r="C7976" i="1"/>
  <c r="A7974" i="1"/>
  <c r="B7974" i="1"/>
  <c r="C7974" i="1"/>
  <c r="A1598" i="1"/>
  <c r="B1598" i="1"/>
  <c r="C1598" i="1"/>
  <c r="A9791" i="1"/>
  <c r="B9791" i="1"/>
  <c r="C9791" i="1"/>
  <c r="A17292" i="1"/>
  <c r="B17292" i="1"/>
  <c r="C17292" i="1"/>
  <c r="A14943" i="1"/>
  <c r="B14943" i="1"/>
  <c r="C14943" i="1"/>
  <c r="A4447" i="1"/>
  <c r="B4447" i="1"/>
  <c r="C4447" i="1"/>
  <c r="A20694" i="1"/>
  <c r="B20694" i="1"/>
  <c r="C20694" i="1"/>
  <c r="A14919" i="1"/>
  <c r="B14919" i="1"/>
  <c r="C14919" i="1"/>
  <c r="A12207" i="1"/>
  <c r="B12207" i="1"/>
  <c r="C12207" i="1"/>
  <c r="A19696" i="1"/>
  <c r="B19696" i="1"/>
  <c r="C19696" i="1"/>
  <c r="A7435" i="1"/>
  <c r="B7435" i="1"/>
  <c r="C7435" i="1"/>
  <c r="A1266" i="1"/>
  <c r="B1266" i="1"/>
  <c r="C1266" i="1"/>
  <c r="A1263" i="1"/>
  <c r="B1263" i="1"/>
  <c r="C1263" i="1"/>
  <c r="A1267" i="1"/>
  <c r="B1267" i="1"/>
  <c r="C1267" i="1"/>
  <c r="A1262" i="1"/>
  <c r="B1262" i="1"/>
  <c r="C1262" i="1"/>
  <c r="A7204" i="1"/>
  <c r="B7204" i="1"/>
  <c r="C7204" i="1"/>
  <c r="A5212" i="1"/>
  <c r="B5212" i="1"/>
  <c r="C5212" i="1"/>
  <c r="A23663" i="1"/>
  <c r="B23663" i="1"/>
  <c r="C23663" i="1"/>
  <c r="A23666" i="1"/>
  <c r="B23666" i="1"/>
  <c r="C23666" i="1"/>
  <c r="A23665" i="1"/>
  <c r="B23665" i="1"/>
  <c r="C23665" i="1"/>
  <c r="A23664" i="1"/>
  <c r="B23664" i="1"/>
  <c r="C23664" i="1"/>
  <c r="A23662" i="1"/>
  <c r="B23662" i="1"/>
  <c r="C23662" i="1"/>
  <c r="A3951" i="1"/>
  <c r="B3951" i="1"/>
  <c r="C3951" i="1"/>
  <c r="A3953" i="1"/>
  <c r="B3953" i="1"/>
  <c r="C3953" i="1"/>
  <c r="A3982" i="1"/>
  <c r="B3982" i="1"/>
  <c r="C3982" i="1"/>
  <c r="A3190" i="1"/>
  <c r="B3190" i="1"/>
  <c r="C3190" i="1"/>
  <c r="A9144" i="1"/>
  <c r="B9144" i="1"/>
  <c r="C9144" i="1"/>
  <c r="A21847" i="1"/>
  <c r="B21847" i="1"/>
  <c r="C21847" i="1"/>
  <c r="A24841" i="1"/>
  <c r="B24841" i="1"/>
  <c r="C24841" i="1"/>
  <c r="A25612" i="1"/>
  <c r="B25612" i="1"/>
  <c r="C25612" i="1"/>
  <c r="A5286" i="1"/>
  <c r="B5286" i="1"/>
  <c r="C5286" i="1"/>
  <c r="A25508" i="1"/>
  <c r="B25508" i="1"/>
  <c r="C25508" i="1"/>
  <c r="A3154" i="1"/>
  <c r="B3154" i="1"/>
  <c r="C3154" i="1"/>
  <c r="A8592" i="1"/>
  <c r="B8592" i="1"/>
  <c r="C8592" i="1"/>
  <c r="A15672" i="1"/>
  <c r="B15672" i="1"/>
  <c r="C15672" i="1"/>
  <c r="A17874" i="1"/>
  <c r="B17874" i="1"/>
  <c r="C17874" i="1"/>
  <c r="A17867" i="1"/>
  <c r="B17867" i="1"/>
  <c r="C17867" i="1"/>
  <c r="A17881" i="1"/>
  <c r="B17881" i="1"/>
  <c r="C17881" i="1"/>
  <c r="A20876" i="1"/>
  <c r="B20876" i="1"/>
  <c r="C20876" i="1"/>
  <c r="A20555" i="1"/>
  <c r="B20555" i="1"/>
  <c r="C20555" i="1"/>
  <c r="A15050" i="1"/>
  <c r="B15050" i="1"/>
  <c r="C15050" i="1"/>
  <c r="A24054" i="1"/>
  <c r="B24054" i="1"/>
  <c r="C24054" i="1"/>
  <c r="A24472" i="1"/>
  <c r="B24472" i="1"/>
  <c r="C24472" i="1"/>
  <c r="A20565" i="1"/>
  <c r="B20565" i="1"/>
  <c r="C20565" i="1"/>
  <c r="A14153" i="1"/>
  <c r="B14153" i="1"/>
  <c r="C14153" i="1"/>
  <c r="A7978" i="1"/>
  <c r="B7978" i="1"/>
  <c r="C7978" i="1"/>
  <c r="A5536" i="1"/>
  <c r="B5536" i="1"/>
  <c r="C5536" i="1"/>
  <c r="A7975" i="1"/>
  <c r="B7975" i="1"/>
  <c r="C7975" i="1"/>
  <c r="A6107" i="1"/>
  <c r="B6107" i="1"/>
  <c r="C6107" i="1"/>
  <c r="A14177" i="1"/>
  <c r="B14177" i="1"/>
  <c r="C14177" i="1"/>
  <c r="A6047" i="1"/>
  <c r="B6047" i="1"/>
  <c r="C6047" i="1"/>
  <c r="A6048" i="1"/>
  <c r="B6048" i="1"/>
  <c r="C6048" i="1"/>
  <c r="A5895" i="1"/>
  <c r="B5895" i="1"/>
  <c r="C5895" i="1"/>
  <c r="A14898" i="1"/>
  <c r="B14898" i="1"/>
  <c r="C14898" i="1"/>
  <c r="A20115" i="1"/>
  <c r="B20115" i="1"/>
  <c r="C20115" i="1"/>
  <c r="A5893" i="1"/>
  <c r="B5893" i="1"/>
  <c r="C5893" i="1"/>
  <c r="A6055" i="1"/>
  <c r="B6055" i="1"/>
  <c r="C6055" i="1"/>
  <c r="A16807" i="1"/>
  <c r="B16807" i="1"/>
  <c r="C16807" i="1"/>
  <c r="A8163" i="1"/>
  <c r="B8163" i="1"/>
  <c r="C8163" i="1"/>
  <c r="A6050" i="1"/>
  <c r="B6050" i="1"/>
  <c r="C6050" i="1"/>
  <c r="A10480" i="1"/>
  <c r="B10480" i="1"/>
  <c r="C10480" i="1"/>
  <c r="A6341" i="1"/>
  <c r="B6341" i="1"/>
  <c r="C6341" i="1"/>
  <c r="A6126" i="1"/>
  <c r="B6126" i="1"/>
  <c r="C6126" i="1"/>
  <c r="A21771" i="1"/>
  <c r="B21771" i="1"/>
  <c r="C21771" i="1"/>
  <c r="A22464" i="1"/>
  <c r="B22464" i="1"/>
  <c r="C22464" i="1"/>
  <c r="A11571" i="1"/>
  <c r="B11571" i="1"/>
  <c r="C11571" i="1"/>
  <c r="A4860" i="1"/>
  <c r="B4860" i="1"/>
  <c r="C4860" i="1"/>
  <c r="A1816" i="1"/>
  <c r="B1816" i="1"/>
  <c r="C1816" i="1"/>
  <c r="A5861" i="1"/>
  <c r="B5861" i="1"/>
  <c r="C5861" i="1"/>
  <c r="A8193" i="1"/>
  <c r="B8193" i="1"/>
  <c r="C8193" i="1"/>
  <c r="A20645" i="1"/>
  <c r="B20645" i="1"/>
  <c r="C20645" i="1"/>
  <c r="A694" i="1"/>
  <c r="B694" i="1"/>
  <c r="C694" i="1"/>
  <c r="A10265" i="1"/>
  <c r="B10265" i="1"/>
  <c r="C10265" i="1"/>
  <c r="A23325" i="1"/>
  <c r="B23325" i="1"/>
  <c r="C23325" i="1"/>
  <c r="A5352" i="1"/>
  <c r="B5352" i="1"/>
  <c r="C5352" i="1"/>
  <c r="A9570" i="1"/>
  <c r="B9570" i="1"/>
  <c r="C9570" i="1"/>
  <c r="A23893" i="1"/>
  <c r="B23893" i="1"/>
  <c r="C23893" i="1"/>
  <c r="A23894" i="1"/>
  <c r="B23894" i="1"/>
  <c r="C23894" i="1"/>
  <c r="A7681" i="1"/>
  <c r="B7681" i="1"/>
  <c r="C7681" i="1"/>
  <c r="A7678" i="1"/>
  <c r="B7678" i="1"/>
  <c r="C7678" i="1"/>
  <c r="A25609" i="1"/>
  <c r="B25609" i="1"/>
  <c r="C25609" i="1"/>
  <c r="A25618" i="1"/>
  <c r="B25618" i="1"/>
  <c r="C25618" i="1"/>
  <c r="A25619" i="1"/>
  <c r="B25619" i="1"/>
  <c r="C25619" i="1"/>
  <c r="A24796" i="1"/>
  <c r="B24796" i="1"/>
  <c r="C24796" i="1"/>
  <c r="A8976" i="1"/>
  <c r="B8976" i="1"/>
  <c r="C8976" i="1"/>
  <c r="A7415" i="1"/>
  <c r="B7415" i="1"/>
  <c r="C7415" i="1"/>
  <c r="A10741" i="1"/>
  <c r="B10741" i="1"/>
  <c r="C10741" i="1"/>
  <c r="A8210" i="1"/>
  <c r="B8210" i="1"/>
  <c r="C8210" i="1"/>
  <c r="A4144" i="1"/>
  <c r="B4144" i="1"/>
  <c r="C4144" i="1"/>
  <c r="A19091" i="1"/>
  <c r="B19091" i="1"/>
  <c r="C19091" i="1"/>
  <c r="A19450" i="1"/>
  <c r="B19450" i="1"/>
  <c r="C19450" i="1"/>
  <c r="A14560" i="1"/>
  <c r="B14560" i="1"/>
  <c r="C14560" i="1"/>
  <c r="A20153" i="1"/>
  <c r="B20153" i="1"/>
  <c r="C20153" i="1"/>
  <c r="A20154" i="1"/>
  <c r="B20154" i="1"/>
  <c r="C20154" i="1"/>
  <c r="A20156" i="1"/>
  <c r="B20156" i="1"/>
  <c r="C20156" i="1"/>
  <c r="A20151" i="1"/>
  <c r="B20151" i="1"/>
  <c r="C20151" i="1"/>
  <c r="A20152" i="1"/>
  <c r="B20152" i="1"/>
  <c r="C20152" i="1"/>
  <c r="A20157" i="1"/>
  <c r="B20157" i="1"/>
  <c r="C20157" i="1"/>
  <c r="A20155" i="1"/>
  <c r="B20155" i="1"/>
  <c r="C20155" i="1"/>
  <c r="A23770" i="1"/>
  <c r="B23770" i="1"/>
  <c r="C23770" i="1"/>
  <c r="A20566" i="1"/>
  <c r="B20566" i="1"/>
  <c r="C20566" i="1"/>
  <c r="A20525" i="1"/>
  <c r="B20525" i="1"/>
  <c r="C20525" i="1"/>
  <c r="A15990" i="1"/>
  <c r="B15990" i="1"/>
  <c r="C15990" i="1"/>
  <c r="A15991" i="1"/>
  <c r="B15991" i="1"/>
  <c r="C15991" i="1"/>
  <c r="A5307" i="1"/>
  <c r="B5307" i="1"/>
  <c r="C5307" i="1"/>
  <c r="A5281" i="1"/>
  <c r="B5281" i="1"/>
  <c r="C5281" i="1"/>
  <c r="A12051" i="1"/>
  <c r="B12051" i="1"/>
  <c r="C12051" i="1"/>
  <c r="A19412" i="1"/>
  <c r="B19412" i="1"/>
  <c r="C19412" i="1"/>
  <c r="A1723" i="1"/>
  <c r="B1723" i="1"/>
  <c r="C1723" i="1"/>
  <c r="A16681" i="1"/>
  <c r="B16681" i="1"/>
  <c r="C16681" i="1"/>
  <c r="A16682" i="1"/>
  <c r="B16682" i="1"/>
  <c r="C16682" i="1"/>
  <c r="A10917" i="1"/>
  <c r="B10917" i="1"/>
  <c r="C10917" i="1"/>
  <c r="A3098" i="1"/>
  <c r="B3098" i="1"/>
  <c r="C3098" i="1"/>
  <c r="A12057" i="1"/>
  <c r="B12057" i="1"/>
  <c r="C12057" i="1"/>
  <c r="A5719" i="1"/>
  <c r="B5719" i="1"/>
  <c r="C5719" i="1"/>
  <c r="A15951" i="1"/>
  <c r="B15951" i="1"/>
  <c r="C15951" i="1"/>
  <c r="A15952" i="1"/>
  <c r="B15952" i="1"/>
  <c r="C15952" i="1"/>
  <c r="A15954" i="1"/>
  <c r="B15954" i="1"/>
  <c r="C15954" i="1"/>
  <c r="A16634" i="1"/>
  <c r="B16634" i="1"/>
  <c r="C16634" i="1"/>
  <c r="A15953" i="1"/>
  <c r="B15953" i="1"/>
  <c r="C15953" i="1"/>
  <c r="A20578" i="1"/>
  <c r="B20578" i="1"/>
  <c r="C20578" i="1"/>
  <c r="A6271" i="1"/>
  <c r="B6271" i="1"/>
  <c r="C6271" i="1"/>
  <c r="A23118" i="1"/>
  <c r="B23118" i="1"/>
  <c r="C23118" i="1"/>
  <c r="A12458" i="1"/>
  <c r="B12458" i="1"/>
  <c r="C12458" i="1"/>
  <c r="A12459" i="1"/>
  <c r="B12459" i="1"/>
  <c r="C12459" i="1"/>
  <c r="A4190" i="1"/>
  <c r="B4190" i="1"/>
  <c r="C4190" i="1"/>
  <c r="A3666" i="1"/>
  <c r="B3666" i="1"/>
  <c r="C3666" i="1"/>
  <c r="A8055" i="1"/>
  <c r="B8055" i="1"/>
  <c r="C8055" i="1"/>
  <c r="A6060" i="1"/>
  <c r="B6060" i="1"/>
  <c r="C6060" i="1"/>
  <c r="A6054" i="1"/>
  <c r="B6054" i="1"/>
  <c r="C6054" i="1"/>
  <c r="A6809" i="1"/>
  <c r="B6809" i="1"/>
  <c r="C6809" i="1"/>
  <c r="A10076" i="1"/>
  <c r="B10076" i="1"/>
  <c r="C10076" i="1"/>
  <c r="A6059" i="1"/>
  <c r="B6059" i="1"/>
  <c r="C6059" i="1"/>
  <c r="A23502" i="1"/>
  <c r="B23502" i="1"/>
  <c r="C23502" i="1"/>
  <c r="A7772" i="1"/>
  <c r="B7772" i="1"/>
  <c r="C7772" i="1"/>
  <c r="A6063" i="1"/>
  <c r="B6063" i="1"/>
  <c r="C6063" i="1"/>
  <c r="A11309" i="1"/>
  <c r="B11309" i="1"/>
  <c r="C11309" i="1"/>
  <c r="A18952" i="1"/>
  <c r="B18952" i="1"/>
  <c r="C18952" i="1"/>
  <c r="A18953" i="1"/>
  <c r="B18953" i="1"/>
  <c r="C18953" i="1"/>
  <c r="A7546" i="1"/>
  <c r="B7546" i="1"/>
  <c r="C7546" i="1"/>
  <c r="A7581" i="1"/>
  <c r="B7581" i="1"/>
  <c r="C7581" i="1"/>
  <c r="A7650" i="1"/>
  <c r="B7650" i="1"/>
  <c r="C7650" i="1"/>
  <c r="A6344" i="1"/>
  <c r="B6344" i="1"/>
  <c r="C6344" i="1"/>
  <c r="A19930" i="1"/>
  <c r="B19930" i="1"/>
  <c r="C19930" i="1"/>
  <c r="A2047" i="1"/>
  <c r="B2047" i="1"/>
  <c r="C2047" i="1"/>
  <c r="A6586" i="1"/>
  <c r="B6586" i="1"/>
  <c r="C6586" i="1"/>
  <c r="A18016" i="1"/>
  <c r="B18016" i="1"/>
  <c r="C18016" i="1"/>
  <c r="A16312" i="1"/>
  <c r="B16312" i="1"/>
  <c r="C16312" i="1"/>
  <c r="A20198" i="1"/>
  <c r="B20198" i="1"/>
  <c r="C20198" i="1"/>
  <c r="A25386" i="1"/>
  <c r="B25386" i="1"/>
  <c r="C25386" i="1"/>
  <c r="A24222" i="1"/>
  <c r="B24222" i="1"/>
  <c r="C24222" i="1"/>
  <c r="A1112" i="1"/>
  <c r="B1112" i="1"/>
  <c r="C1112" i="1"/>
  <c r="A1113" i="1"/>
  <c r="B1113" i="1"/>
  <c r="C1113" i="1"/>
  <c r="A16674" i="1"/>
  <c r="B16674" i="1"/>
  <c r="C16674" i="1"/>
  <c r="A15278" i="1"/>
  <c r="B15278" i="1"/>
  <c r="C15278" i="1"/>
  <c r="A9465" i="1"/>
  <c r="B9465" i="1"/>
  <c r="C9465" i="1"/>
  <c r="A3208" i="1"/>
  <c r="B3208" i="1"/>
  <c r="C3208" i="1"/>
  <c r="A9550" i="1"/>
  <c r="B9550" i="1"/>
  <c r="C9550" i="1"/>
  <c r="A24245" i="1"/>
  <c r="B24245" i="1"/>
  <c r="C24245" i="1"/>
  <c r="A3171" i="1"/>
  <c r="B3171" i="1"/>
  <c r="C3171" i="1"/>
  <c r="A6089" i="1"/>
  <c r="B6089" i="1"/>
  <c r="C6089" i="1"/>
  <c r="A6088" i="1"/>
  <c r="B6088" i="1"/>
  <c r="C6088" i="1"/>
  <c r="A9551" i="1"/>
  <c r="B9551" i="1"/>
  <c r="C9551" i="1"/>
  <c r="A12191" i="1"/>
  <c r="B12191" i="1"/>
  <c r="C12191" i="1"/>
  <c r="A24423" i="1"/>
  <c r="B24423" i="1"/>
  <c r="C24423" i="1"/>
  <c r="A24424" i="1"/>
  <c r="B24424" i="1"/>
  <c r="C24424" i="1"/>
  <c r="A21752" i="1"/>
  <c r="B21752" i="1"/>
  <c r="C21752" i="1"/>
  <c r="A1779" i="1"/>
  <c r="B1779" i="1"/>
  <c r="C1779" i="1"/>
  <c r="A18603" i="1"/>
  <c r="B18603" i="1"/>
  <c r="C18603" i="1"/>
  <c r="A24537" i="1"/>
  <c r="B24537" i="1"/>
  <c r="C24537" i="1"/>
  <c r="A1173" i="1"/>
  <c r="B1173" i="1"/>
  <c r="C1173" i="1"/>
  <c r="A20104" i="1"/>
  <c r="B20104" i="1"/>
  <c r="C20104" i="1"/>
  <c r="A8125" i="1"/>
  <c r="B8125" i="1"/>
  <c r="C8125" i="1"/>
  <c r="A22103" i="1"/>
  <c r="B22103" i="1"/>
  <c r="C22103" i="1"/>
  <c r="A2898" i="1"/>
  <c r="B2898" i="1"/>
  <c r="C2898" i="1"/>
  <c r="A21413" i="1"/>
  <c r="B21413" i="1"/>
  <c r="C21413" i="1"/>
  <c r="A21482" i="1"/>
  <c r="B21482" i="1"/>
  <c r="C21482" i="1"/>
  <c r="A18181" i="1"/>
  <c r="B18181" i="1"/>
  <c r="C18181" i="1"/>
  <c r="A9508" i="1"/>
  <c r="B9508" i="1"/>
  <c r="C9508" i="1"/>
  <c r="A15305" i="1"/>
  <c r="B15305" i="1"/>
  <c r="C15305" i="1"/>
  <c r="A15314" i="1"/>
  <c r="B15314" i="1"/>
  <c r="C15314" i="1"/>
  <c r="A15306" i="1"/>
  <c r="B15306" i="1"/>
  <c r="C15306" i="1"/>
  <c r="A15299" i="1"/>
  <c r="B15299" i="1"/>
  <c r="C15299" i="1"/>
  <c r="A15271" i="1"/>
  <c r="B15271" i="1"/>
  <c r="C15271" i="1"/>
  <c r="A16929" i="1"/>
  <c r="B16929" i="1"/>
  <c r="C16929" i="1"/>
  <c r="A25143" i="1"/>
  <c r="B25143" i="1"/>
  <c r="C25143" i="1"/>
  <c r="A5259" i="1"/>
  <c r="B5259" i="1"/>
  <c r="C5259" i="1"/>
  <c r="A11523" i="1"/>
  <c r="B11523" i="1"/>
  <c r="C11523" i="1"/>
  <c r="A3397" i="1"/>
  <c r="B3397" i="1"/>
  <c r="C3397" i="1"/>
  <c r="A22328" i="1"/>
  <c r="B22328" i="1"/>
  <c r="C22328" i="1"/>
  <c r="A5967" i="1"/>
  <c r="B5967" i="1"/>
  <c r="C5967" i="1"/>
  <c r="A3096" i="1"/>
  <c r="B3096" i="1"/>
  <c r="C3096" i="1"/>
  <c r="A21366" i="1"/>
  <c r="B21366" i="1"/>
  <c r="C21366" i="1"/>
  <c r="A6626" i="1"/>
  <c r="B6626" i="1"/>
  <c r="C6626" i="1"/>
  <c r="A5398" i="1"/>
  <c r="B5398" i="1"/>
  <c r="C5398" i="1"/>
  <c r="A19945" i="1"/>
  <c r="B19945" i="1"/>
  <c r="C19945" i="1"/>
  <c r="A19946" i="1"/>
  <c r="B19946" i="1"/>
  <c r="C19946" i="1"/>
  <c r="A19947" i="1"/>
  <c r="B19947" i="1"/>
  <c r="C19947" i="1"/>
  <c r="A13408" i="1"/>
  <c r="B13408" i="1"/>
  <c r="C13408" i="1"/>
  <c r="A15522" i="1"/>
  <c r="B15522" i="1"/>
  <c r="C15522" i="1"/>
  <c r="A12630" i="1"/>
  <c r="B12630" i="1"/>
  <c r="C12630" i="1"/>
  <c r="A11277" i="1"/>
  <c r="B11277" i="1"/>
  <c r="C11277" i="1"/>
  <c r="A3060" i="1"/>
  <c r="B3060" i="1"/>
  <c r="C3060" i="1"/>
  <c r="A6146" i="1"/>
  <c r="B6146" i="1"/>
  <c r="C6146" i="1"/>
  <c r="A1165" i="1"/>
  <c r="B1165" i="1"/>
  <c r="C1165" i="1"/>
  <c r="A9639" i="1"/>
  <c r="B9639" i="1"/>
  <c r="C9639" i="1"/>
  <c r="A9634" i="1"/>
  <c r="B9634" i="1"/>
  <c r="C9634" i="1"/>
  <c r="A9585" i="1"/>
  <c r="B9585" i="1"/>
  <c r="C9585" i="1"/>
  <c r="A9647" i="1"/>
  <c r="B9647" i="1"/>
  <c r="C9647" i="1"/>
  <c r="A9584" i="1"/>
  <c r="B9584" i="1"/>
  <c r="C9584" i="1"/>
  <c r="A19956" i="1"/>
  <c r="B19956" i="1"/>
  <c r="C19956" i="1"/>
  <c r="A13486" i="1"/>
  <c r="B13486" i="1"/>
  <c r="C13486" i="1"/>
  <c r="A19965" i="1"/>
  <c r="B19965" i="1"/>
  <c r="C19965" i="1"/>
  <c r="A19453" i="1"/>
  <c r="B19453" i="1"/>
  <c r="C19453" i="1"/>
  <c r="A19441" i="1"/>
  <c r="B19441" i="1"/>
  <c r="C19441" i="1"/>
  <c r="A3536" i="1"/>
  <c r="B3536" i="1"/>
  <c r="C3536" i="1"/>
  <c r="A23583" i="1"/>
  <c r="B23583" i="1"/>
  <c r="C23583" i="1"/>
  <c r="A11585" i="1"/>
  <c r="B11585" i="1"/>
  <c r="C11585" i="1"/>
  <c r="A15093" i="1"/>
  <c r="B15093" i="1"/>
  <c r="C15093" i="1"/>
  <c r="A15101" i="1"/>
  <c r="B15101" i="1"/>
  <c r="C15101" i="1"/>
  <c r="A24111" i="1"/>
  <c r="B24111" i="1"/>
  <c r="C24111" i="1"/>
  <c r="A19676" i="1"/>
  <c r="B19676" i="1"/>
  <c r="C19676" i="1"/>
  <c r="A18644" i="1"/>
  <c r="B18644" i="1"/>
  <c r="C18644" i="1"/>
  <c r="A22803" i="1"/>
  <c r="B22803" i="1"/>
  <c r="C22803" i="1"/>
  <c r="A1110" i="1"/>
  <c r="B1110" i="1"/>
  <c r="C1110" i="1"/>
  <c r="A20674" i="1"/>
  <c r="B20674" i="1"/>
  <c r="C20674" i="1"/>
  <c r="A24922" i="1"/>
  <c r="B24922" i="1"/>
  <c r="C24922" i="1"/>
  <c r="A6798" i="1"/>
  <c r="B6798" i="1"/>
  <c r="C6798" i="1"/>
  <c r="A7802" i="1"/>
  <c r="B7802" i="1"/>
  <c r="C7802" i="1"/>
  <c r="A353" i="1"/>
  <c r="B353" i="1"/>
  <c r="C353" i="1"/>
  <c r="A4189" i="1"/>
  <c r="B4189" i="1"/>
  <c r="C4189" i="1"/>
  <c r="A10143" i="1"/>
  <c r="B10143" i="1"/>
  <c r="C10143" i="1"/>
  <c r="A23787" i="1"/>
  <c r="B23787" i="1"/>
  <c r="C23787" i="1"/>
  <c r="A22667" i="1"/>
  <c r="B22667" i="1"/>
  <c r="C22667" i="1"/>
  <c r="A10944" i="1"/>
  <c r="B10944" i="1"/>
  <c r="C10944" i="1"/>
  <c r="A15697" i="1"/>
  <c r="B15697" i="1"/>
  <c r="C15697" i="1"/>
  <c r="A15678" i="1"/>
  <c r="B15678" i="1"/>
  <c r="C15678" i="1"/>
  <c r="A6882" i="1"/>
  <c r="B6882" i="1"/>
  <c r="C6882" i="1"/>
  <c r="A16281" i="1"/>
  <c r="B16281" i="1"/>
  <c r="C16281" i="1"/>
  <c r="A19158" i="1"/>
  <c r="B19158" i="1"/>
  <c r="C19158" i="1"/>
  <c r="A4820" i="1"/>
  <c r="B4820" i="1"/>
  <c r="C4820" i="1"/>
  <c r="A4126" i="1"/>
  <c r="B4126" i="1"/>
  <c r="C4126" i="1"/>
  <c r="A9692" i="1"/>
  <c r="B9692" i="1"/>
  <c r="C9692" i="1"/>
  <c r="A2297" i="1"/>
  <c r="B2297" i="1"/>
  <c r="C2297" i="1"/>
  <c r="A16860" i="1"/>
  <c r="B16860" i="1"/>
  <c r="C16860" i="1"/>
  <c r="A19076" i="1"/>
  <c r="B19076" i="1"/>
  <c r="C19076" i="1"/>
  <c r="A12415" i="1"/>
  <c r="B12415" i="1"/>
  <c r="C12415" i="1"/>
  <c r="A7152" i="1"/>
  <c r="B7152" i="1"/>
  <c r="C7152" i="1"/>
  <c r="A4080" i="1"/>
  <c r="B4080" i="1"/>
  <c r="C4080" i="1"/>
  <c r="A7238" i="1"/>
  <c r="B7238" i="1"/>
  <c r="C7238" i="1"/>
  <c r="A23524" i="1"/>
  <c r="B23524" i="1"/>
  <c r="C23524" i="1"/>
  <c r="A21523" i="1"/>
  <c r="B21523" i="1"/>
  <c r="C21523" i="1"/>
  <c r="A12329" i="1"/>
  <c r="B12329" i="1"/>
  <c r="C12329" i="1"/>
  <c r="A20612" i="1"/>
  <c r="B20612" i="1"/>
  <c r="C20612" i="1"/>
  <c r="A17044" i="1"/>
  <c r="B17044" i="1"/>
  <c r="C17044" i="1"/>
  <c r="A17376" i="1"/>
  <c r="B17376" i="1"/>
  <c r="C17376" i="1"/>
  <c r="A11189" i="1"/>
  <c r="B11189" i="1"/>
  <c r="C11189" i="1"/>
  <c r="A11193" i="1"/>
  <c r="B11193" i="1"/>
  <c r="C11193" i="1"/>
  <c r="A11194" i="1"/>
  <c r="B11194" i="1"/>
  <c r="C11194" i="1"/>
  <c r="A12804" i="1"/>
  <c r="B12804" i="1"/>
  <c r="C12804" i="1"/>
  <c r="A1697" i="1"/>
  <c r="B1697" i="1"/>
  <c r="C1697" i="1"/>
  <c r="A13759" i="1"/>
  <c r="B13759" i="1"/>
  <c r="C13759" i="1"/>
  <c r="A25152" i="1"/>
  <c r="B25152" i="1"/>
  <c r="C25152" i="1"/>
  <c r="A954" i="1"/>
  <c r="B954" i="1"/>
  <c r="C954" i="1"/>
  <c r="A1072" i="1"/>
  <c r="B1072" i="1"/>
  <c r="C1072" i="1"/>
  <c r="A1073" i="1"/>
  <c r="B1073" i="1"/>
  <c r="C1073" i="1"/>
  <c r="A13597" i="1"/>
  <c r="B13597" i="1"/>
  <c r="C13597" i="1"/>
  <c r="A10399" i="1"/>
  <c r="B10399" i="1"/>
  <c r="C10399" i="1"/>
  <c r="A23157" i="1"/>
  <c r="B23157" i="1"/>
  <c r="C23157" i="1"/>
  <c r="A6145" i="1"/>
  <c r="B6145" i="1"/>
  <c r="C6145" i="1"/>
  <c r="A2051" i="1"/>
  <c r="B2051" i="1"/>
  <c r="C2051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46" i="1"/>
  <c r="B946" i="1"/>
  <c r="C946" i="1"/>
  <c r="A943" i="1"/>
  <c r="B943" i="1"/>
  <c r="C943" i="1"/>
  <c r="A944" i="1"/>
  <c r="B944" i="1"/>
  <c r="C944" i="1"/>
  <c r="A942" i="1"/>
  <c r="B942" i="1"/>
  <c r="C942" i="1"/>
  <c r="A921" i="1"/>
  <c r="B921" i="1"/>
  <c r="C921" i="1"/>
  <c r="A20102" i="1"/>
  <c r="B20102" i="1"/>
  <c r="C20102" i="1"/>
  <c r="A922" i="1"/>
  <c r="B922" i="1"/>
  <c r="C922" i="1"/>
  <c r="A926" i="1"/>
  <c r="B926" i="1"/>
  <c r="C926" i="1"/>
  <c r="A12408" i="1"/>
  <c r="B12408" i="1"/>
  <c r="C12408" i="1"/>
  <c r="A20655" i="1"/>
  <c r="B20655" i="1"/>
  <c r="C20655" i="1"/>
  <c r="A1115" i="1"/>
  <c r="B1115" i="1"/>
  <c r="C1115" i="1"/>
  <c r="A25561" i="1"/>
  <c r="B25561" i="1"/>
  <c r="C25561" i="1"/>
  <c r="A16149" i="1"/>
  <c r="B16149" i="1"/>
  <c r="C16149" i="1"/>
  <c r="A6989" i="1"/>
  <c r="B6989" i="1"/>
  <c r="C6989" i="1"/>
  <c r="A14152" i="1"/>
  <c r="B14152" i="1"/>
  <c r="C14152" i="1"/>
  <c r="A14163" i="1"/>
  <c r="B14163" i="1"/>
  <c r="C14163" i="1"/>
  <c r="A7478" i="1"/>
  <c r="B7478" i="1"/>
  <c r="C7478" i="1"/>
  <c r="A20080" i="1"/>
  <c r="B20080" i="1"/>
  <c r="C20080" i="1"/>
  <c r="A16777" i="1"/>
  <c r="B16777" i="1"/>
  <c r="C16777" i="1"/>
  <c r="A6087" i="1"/>
  <c r="B6087" i="1"/>
  <c r="C6087" i="1"/>
  <c r="A25325" i="1"/>
  <c r="B25325" i="1"/>
  <c r="C25325" i="1"/>
  <c r="A9937" i="1"/>
  <c r="B9937" i="1"/>
  <c r="C9937" i="1"/>
  <c r="A60" i="1"/>
  <c r="B60" i="1"/>
  <c r="C60" i="1"/>
  <c r="A7722" i="1"/>
  <c r="B7722" i="1"/>
  <c r="C7722" i="1"/>
  <c r="A8186" i="1"/>
  <c r="B8186" i="1"/>
  <c r="C8186" i="1"/>
  <c r="A2552" i="1"/>
  <c r="B2552" i="1"/>
  <c r="C2552" i="1"/>
  <c r="A19174" i="1"/>
  <c r="B19174" i="1"/>
  <c r="C19174" i="1"/>
  <c r="A24335" i="1"/>
  <c r="B24335" i="1"/>
  <c r="C24335" i="1"/>
  <c r="A24336" i="1"/>
  <c r="B24336" i="1"/>
  <c r="C24336" i="1"/>
  <c r="A24338" i="1"/>
  <c r="B24338" i="1"/>
  <c r="C24338" i="1"/>
  <c r="A24328" i="1"/>
  <c r="B24328" i="1"/>
  <c r="C24328" i="1"/>
  <c r="A24347" i="1"/>
  <c r="B24347" i="1"/>
  <c r="C24347" i="1"/>
  <c r="A24352" i="1"/>
  <c r="B24352" i="1"/>
  <c r="C24352" i="1"/>
  <c r="A24350" i="1"/>
  <c r="B24350" i="1"/>
  <c r="C24350" i="1"/>
  <c r="A17869" i="1"/>
  <c r="B17869" i="1"/>
  <c r="C17869" i="1"/>
  <c r="A17870" i="1"/>
  <c r="B17870" i="1"/>
  <c r="C17870" i="1"/>
  <c r="A17868" i="1"/>
  <c r="B17868" i="1"/>
  <c r="C17868" i="1"/>
  <c r="A17871" i="1"/>
  <c r="B17871" i="1"/>
  <c r="C17871" i="1"/>
  <c r="A17872" i="1"/>
  <c r="B17872" i="1"/>
  <c r="C17872" i="1"/>
  <c r="A17876" i="1"/>
  <c r="B17876" i="1"/>
  <c r="C17876" i="1"/>
  <c r="A17878" i="1"/>
  <c r="B17878" i="1"/>
  <c r="C17878" i="1"/>
  <c r="A17877" i="1"/>
  <c r="B17877" i="1"/>
  <c r="C17877" i="1"/>
  <c r="A897" i="1"/>
  <c r="B897" i="1"/>
  <c r="C897" i="1"/>
  <c r="A4114" i="1"/>
  <c r="B4114" i="1"/>
  <c r="C4114" i="1"/>
  <c r="A9717" i="1"/>
  <c r="B9717" i="1"/>
  <c r="C9717" i="1"/>
  <c r="A13398" i="1"/>
  <c r="B13398" i="1"/>
  <c r="C13398" i="1"/>
  <c r="A17242" i="1"/>
  <c r="B17242" i="1"/>
  <c r="C17242" i="1"/>
  <c r="A17241" i="1"/>
  <c r="B17241" i="1"/>
  <c r="C17241" i="1"/>
  <c r="A17127" i="1"/>
  <c r="B17127" i="1"/>
  <c r="C17127" i="1"/>
  <c r="A17234" i="1"/>
  <c r="B17234" i="1"/>
  <c r="C17234" i="1"/>
  <c r="A17341" i="1"/>
  <c r="B17341" i="1"/>
  <c r="C17341" i="1"/>
  <c r="A17233" i="1"/>
  <c r="B17233" i="1"/>
  <c r="C17233" i="1"/>
  <c r="A17272" i="1"/>
  <c r="B17272" i="1"/>
  <c r="C17272" i="1"/>
  <c r="A17273" i="1"/>
  <c r="B17273" i="1"/>
  <c r="C17273" i="1"/>
  <c r="A17086" i="1"/>
  <c r="B17086" i="1"/>
  <c r="C17086" i="1"/>
  <c r="A17232" i="1"/>
  <c r="B17232" i="1"/>
  <c r="C17232" i="1"/>
  <c r="A17230" i="1"/>
  <c r="B17230" i="1"/>
  <c r="C17230" i="1"/>
  <c r="A18692" i="1"/>
  <c r="B18692" i="1"/>
  <c r="C18692" i="1"/>
  <c r="A18693" i="1"/>
  <c r="B18693" i="1"/>
  <c r="C18693" i="1"/>
  <c r="A18708" i="1"/>
  <c r="B18708" i="1"/>
  <c r="C18708" i="1"/>
  <c r="A18694" i="1"/>
  <c r="B18694" i="1"/>
  <c r="C18694" i="1"/>
  <c r="A1575" i="1"/>
  <c r="B1575" i="1"/>
  <c r="C1575" i="1"/>
  <c r="A1573" i="1"/>
  <c r="B1573" i="1"/>
  <c r="C1573" i="1"/>
  <c r="A1572" i="1"/>
  <c r="B1572" i="1"/>
  <c r="C1572" i="1"/>
  <c r="A1569" i="1"/>
  <c r="B1569" i="1"/>
  <c r="C1569" i="1"/>
  <c r="A1565" i="1"/>
  <c r="B1565" i="1"/>
  <c r="C1565" i="1"/>
  <c r="A1592" i="1"/>
  <c r="B1592" i="1"/>
  <c r="C1592" i="1"/>
  <c r="A1574" i="1"/>
  <c r="B1574" i="1"/>
  <c r="C1574" i="1"/>
  <c r="A1576" i="1"/>
  <c r="B1576" i="1"/>
  <c r="C1576" i="1"/>
  <c r="A1571" i="1"/>
  <c r="B1571" i="1"/>
  <c r="C1571" i="1"/>
  <c r="A1594" i="1"/>
  <c r="B1594" i="1"/>
  <c r="C1594" i="1"/>
  <c r="A1570" i="1"/>
  <c r="B1570" i="1"/>
  <c r="C1570" i="1"/>
  <c r="A15552" i="1"/>
  <c r="B15552" i="1"/>
  <c r="C15552" i="1"/>
  <c r="A4021" i="1"/>
  <c r="B4021" i="1"/>
  <c r="C4021" i="1"/>
  <c r="A1297" i="1"/>
  <c r="B1297" i="1"/>
  <c r="C1297" i="1"/>
  <c r="A18710" i="1"/>
  <c r="B18710" i="1"/>
  <c r="C18710" i="1"/>
  <c r="A18702" i="1"/>
  <c r="B18702" i="1"/>
  <c r="C18702" i="1"/>
  <c r="A17243" i="1"/>
  <c r="B17243" i="1"/>
  <c r="C17243" i="1"/>
  <c r="A8329" i="1"/>
  <c r="B8329" i="1"/>
  <c r="C8329" i="1"/>
  <c r="A20195" i="1"/>
  <c r="B20195" i="1"/>
  <c r="C20195" i="1"/>
  <c r="A17240" i="1"/>
  <c r="B17240" i="1"/>
  <c r="C17240" i="1"/>
  <c r="A17235" i="1"/>
  <c r="B17235" i="1"/>
  <c r="C17235" i="1"/>
  <c r="A17271" i="1"/>
  <c r="B17271" i="1"/>
  <c r="C17271" i="1"/>
  <c r="A2874" i="1"/>
  <c r="B2874" i="1"/>
  <c r="C2874" i="1"/>
  <c r="A25458" i="1"/>
  <c r="B25458" i="1"/>
  <c r="C25458" i="1"/>
  <c r="A8078" i="1"/>
  <c r="B8078" i="1"/>
  <c r="C8078" i="1"/>
  <c r="A20391" i="1"/>
  <c r="B20391" i="1"/>
  <c r="C20391" i="1"/>
  <c r="A20419" i="1"/>
  <c r="B20419" i="1"/>
  <c r="C20419" i="1"/>
  <c r="A5579" i="1"/>
  <c r="B5579" i="1"/>
  <c r="C5579" i="1"/>
  <c r="A7737" i="1"/>
  <c r="B7737" i="1"/>
  <c r="C7737" i="1"/>
  <c r="A23456" i="1"/>
  <c r="B23456" i="1"/>
  <c r="C23456" i="1"/>
  <c r="A4744" i="1"/>
  <c r="B4744" i="1"/>
  <c r="C4744" i="1"/>
  <c r="A23839" i="1"/>
  <c r="B23839" i="1"/>
  <c r="C23839" i="1"/>
  <c r="A25424" i="1"/>
  <c r="B25424" i="1"/>
  <c r="C25424" i="1"/>
  <c r="A8421" i="1"/>
  <c r="B8421" i="1"/>
  <c r="C8421" i="1"/>
  <c r="A20646" i="1"/>
  <c r="B20646" i="1"/>
  <c r="C20646" i="1"/>
  <c r="A4128" i="1"/>
  <c r="B4128" i="1"/>
  <c r="C4128" i="1"/>
  <c r="A16067" i="1"/>
  <c r="B16067" i="1"/>
  <c r="C16067" i="1"/>
  <c r="A8579" i="1"/>
  <c r="B8579" i="1"/>
  <c r="C8579" i="1"/>
  <c r="A4362" i="1"/>
  <c r="B4362" i="1"/>
  <c r="C4362" i="1"/>
  <c r="A24884" i="1"/>
  <c r="B24884" i="1"/>
  <c r="C24884" i="1"/>
  <c r="A14704" i="1"/>
  <c r="B14704" i="1"/>
  <c r="C14704" i="1"/>
  <c r="A115" i="1"/>
  <c r="B115" i="1"/>
  <c r="C115" i="1"/>
  <c r="A119" i="1"/>
  <c r="B119" i="1"/>
  <c r="C119" i="1"/>
  <c r="A9726" i="1"/>
  <c r="B9726" i="1"/>
  <c r="C9726" i="1"/>
  <c r="A9729" i="1"/>
  <c r="B9729" i="1"/>
  <c r="C9729" i="1"/>
  <c r="A8582" i="1"/>
  <c r="B8582" i="1"/>
  <c r="C8582" i="1"/>
  <c r="A14707" i="1"/>
  <c r="B14707" i="1"/>
  <c r="C14707" i="1"/>
  <c r="A23107" i="1"/>
  <c r="B23107" i="1"/>
  <c r="C23107" i="1"/>
  <c r="A23106" i="1"/>
  <c r="B23106" i="1"/>
  <c r="C23106" i="1"/>
  <c r="A21490" i="1"/>
  <c r="B21490" i="1"/>
  <c r="C21490" i="1"/>
  <c r="A1551" i="1"/>
  <c r="B1551" i="1"/>
  <c r="C1551" i="1"/>
  <c r="A20010" i="1"/>
  <c r="B20010" i="1"/>
  <c r="C20010" i="1"/>
  <c r="A17740" i="1"/>
  <c r="B17740" i="1"/>
  <c r="C17740" i="1"/>
  <c r="A25401" i="1"/>
  <c r="B25401" i="1"/>
  <c r="C25401" i="1"/>
  <c r="A5979" i="1"/>
  <c r="B5979" i="1"/>
  <c r="C5979" i="1"/>
  <c r="A6086" i="1"/>
  <c r="B6086" i="1"/>
  <c r="C6086" i="1"/>
  <c r="A13481" i="1"/>
  <c r="B13481" i="1"/>
  <c r="C13481" i="1"/>
  <c r="A13831" i="1"/>
  <c r="B13831" i="1"/>
  <c r="C13831" i="1"/>
  <c r="A3644" i="1"/>
  <c r="B3644" i="1"/>
  <c r="C3644" i="1"/>
  <c r="A6866" i="1"/>
  <c r="B6866" i="1"/>
  <c r="C6866" i="1"/>
  <c r="A25299" i="1"/>
  <c r="B25299" i="1"/>
  <c r="C25299" i="1"/>
  <c r="A13670" i="1"/>
  <c r="B13670" i="1"/>
  <c r="C13670" i="1"/>
  <c r="A6425" i="1"/>
  <c r="B6425" i="1"/>
  <c r="C6425" i="1"/>
  <c r="A8853" i="1"/>
  <c r="B8853" i="1"/>
  <c r="C8853" i="1"/>
  <c r="A6753" i="1"/>
  <c r="B6753" i="1"/>
  <c r="C6753" i="1"/>
  <c r="A573" i="1"/>
  <c r="B573" i="1"/>
  <c r="C573" i="1"/>
  <c r="A788" i="1"/>
  <c r="B788" i="1"/>
  <c r="C788" i="1"/>
  <c r="A808" i="1"/>
  <c r="B808" i="1"/>
  <c r="C808" i="1"/>
  <c r="A12014" i="1"/>
  <c r="B12014" i="1"/>
  <c r="C12014" i="1"/>
  <c r="A12013" i="1"/>
  <c r="B12013" i="1"/>
  <c r="C12013" i="1"/>
  <c r="A830" i="1"/>
  <c r="B830" i="1"/>
  <c r="C830" i="1"/>
  <c r="A10648" i="1"/>
  <c r="B10648" i="1"/>
  <c r="C10648" i="1"/>
  <c r="A2582" i="1"/>
  <c r="B2582" i="1"/>
  <c r="C2582" i="1"/>
  <c r="A21934" i="1"/>
  <c r="B21934" i="1"/>
  <c r="C21934" i="1"/>
  <c r="A6548" i="1"/>
  <c r="B6548" i="1"/>
  <c r="C6548" i="1"/>
  <c r="A1177" i="1"/>
  <c r="B1177" i="1"/>
  <c r="C1177" i="1"/>
  <c r="A18147" i="1"/>
  <c r="B18147" i="1"/>
  <c r="C18147" i="1"/>
  <c r="A9067" i="1"/>
  <c r="B9067" i="1"/>
  <c r="C9067" i="1"/>
  <c r="A7625" i="1"/>
  <c r="B7625" i="1"/>
  <c r="C7625" i="1"/>
  <c r="A9503" i="1"/>
  <c r="B9503" i="1"/>
  <c r="C9503" i="1"/>
  <c r="A572" i="1"/>
  <c r="B572" i="1"/>
  <c r="C572" i="1"/>
  <c r="A17000" i="1"/>
  <c r="B17000" i="1"/>
  <c r="C17000" i="1"/>
  <c r="A19484" i="1"/>
  <c r="B19484" i="1"/>
  <c r="C19484" i="1"/>
  <c r="A20348" i="1"/>
  <c r="B20348" i="1"/>
  <c r="C20348" i="1"/>
  <c r="A20319" i="1"/>
  <c r="B20319" i="1"/>
  <c r="C20319" i="1"/>
  <c r="A20448" i="1"/>
  <c r="B20448" i="1"/>
  <c r="C20448" i="1"/>
  <c r="A23670" i="1"/>
  <c r="B23670" i="1"/>
  <c r="C23670" i="1"/>
  <c r="A23625" i="1"/>
  <c r="B23625" i="1"/>
  <c r="C23625" i="1"/>
  <c r="A9157" i="1"/>
  <c r="B9157" i="1"/>
  <c r="C9157" i="1"/>
  <c r="A1527" i="1"/>
  <c r="B1527" i="1"/>
  <c r="C1527" i="1"/>
  <c r="A24024" i="1"/>
  <c r="B24024" i="1"/>
  <c r="C24024" i="1"/>
  <c r="A12041" i="1"/>
  <c r="B12041" i="1"/>
  <c r="C12041" i="1"/>
  <c r="A12342" i="1"/>
  <c r="B12342" i="1"/>
  <c r="C12342" i="1"/>
  <c r="A8954" i="1"/>
  <c r="B8954" i="1"/>
  <c r="C8954" i="1"/>
  <c r="A11382" i="1"/>
  <c r="B11382" i="1"/>
  <c r="C11382" i="1"/>
  <c r="A20394" i="1"/>
  <c r="B20394" i="1"/>
  <c r="C20394" i="1"/>
  <c r="A20321" i="1"/>
  <c r="B20321" i="1"/>
  <c r="C20321" i="1"/>
  <c r="A20390" i="1"/>
  <c r="B20390" i="1"/>
  <c r="C20390" i="1"/>
  <c r="A20095" i="1"/>
  <c r="B20095" i="1"/>
  <c r="C20095" i="1"/>
  <c r="A9559" i="1"/>
  <c r="B9559" i="1"/>
  <c r="C9559" i="1"/>
  <c r="A14103" i="1"/>
  <c r="B14103" i="1"/>
  <c r="C14103" i="1"/>
  <c r="A16810" i="1"/>
  <c r="B16810" i="1"/>
  <c r="C16810" i="1"/>
  <c r="A16257" i="1"/>
  <c r="B16257" i="1"/>
  <c r="C16257" i="1"/>
  <c r="A4020" i="1"/>
  <c r="B4020" i="1"/>
  <c r="C4020" i="1"/>
  <c r="A19850" i="1"/>
  <c r="B19850" i="1"/>
  <c r="C19850" i="1"/>
  <c r="A18707" i="1"/>
  <c r="B18707" i="1"/>
  <c r="C18707" i="1"/>
  <c r="A9119" i="1"/>
  <c r="B9119" i="1"/>
  <c r="C9119" i="1"/>
  <c r="A9104" i="1"/>
  <c r="B9104" i="1"/>
  <c r="C9104" i="1"/>
  <c r="A9095" i="1"/>
  <c r="B9095" i="1"/>
  <c r="C9095" i="1"/>
  <c r="A12808" i="1"/>
  <c r="B12808" i="1"/>
  <c r="C12808" i="1"/>
  <c r="A7618" i="1"/>
  <c r="B7618" i="1"/>
  <c r="C7618" i="1"/>
  <c r="A9065" i="1"/>
  <c r="B9065" i="1"/>
  <c r="C9065" i="1"/>
  <c r="A9108" i="1"/>
  <c r="B9108" i="1"/>
  <c r="C9108" i="1"/>
  <c r="A1415" i="1"/>
  <c r="B1415" i="1"/>
  <c r="C1415" i="1"/>
  <c r="A20303" i="1"/>
  <c r="B20303" i="1"/>
  <c r="C20303" i="1"/>
  <c r="A24981" i="1"/>
  <c r="B24981" i="1"/>
  <c r="C24981" i="1"/>
  <c r="A19962" i="1"/>
  <c r="B19962" i="1"/>
  <c r="C19962" i="1"/>
  <c r="A19394" i="1"/>
  <c r="B19394" i="1"/>
  <c r="C19394" i="1"/>
  <c r="A1281" i="1"/>
  <c r="B1281" i="1"/>
  <c r="C1281" i="1"/>
  <c r="A22994" i="1"/>
  <c r="B22994" i="1"/>
  <c r="C22994" i="1"/>
  <c r="A12816" i="1"/>
  <c r="B12816" i="1"/>
  <c r="C12816" i="1"/>
  <c r="A12810" i="1"/>
  <c r="B12810" i="1"/>
  <c r="C12810" i="1"/>
  <c r="A6986" i="1"/>
  <c r="B6986" i="1"/>
  <c r="C6986" i="1"/>
  <c r="A18330" i="1"/>
  <c r="B18330" i="1"/>
  <c r="C18330" i="1"/>
  <c r="A18326" i="1"/>
  <c r="B18326" i="1"/>
  <c r="C18326" i="1"/>
  <c r="A1530" i="1"/>
  <c r="B1530" i="1"/>
  <c r="C1530" i="1"/>
  <c r="A1531" i="1"/>
  <c r="B1531" i="1"/>
  <c r="C1531" i="1"/>
  <c r="A17808" i="1"/>
  <c r="B17808" i="1"/>
  <c r="C17808" i="1"/>
  <c r="A12021" i="1"/>
  <c r="B12021" i="1"/>
  <c r="C12021" i="1"/>
  <c r="A9152" i="1"/>
  <c r="B9152" i="1"/>
  <c r="C9152" i="1"/>
  <c r="A20337" i="1"/>
  <c r="B20337" i="1"/>
  <c r="C20337" i="1"/>
  <c r="A8784" i="1"/>
  <c r="B8784" i="1"/>
  <c r="C8784" i="1"/>
  <c r="A10264" i="1"/>
  <c r="B10264" i="1"/>
  <c r="C10264" i="1"/>
  <c r="A5639" i="1"/>
  <c r="B5639" i="1"/>
  <c r="C5639" i="1"/>
  <c r="A8052" i="1"/>
  <c r="B8052" i="1"/>
  <c r="C8052" i="1"/>
  <c r="A12422" i="1"/>
  <c r="B12422" i="1"/>
  <c r="C12422" i="1"/>
  <c r="A16098" i="1"/>
  <c r="B16098" i="1"/>
  <c r="C16098" i="1"/>
  <c r="A14424" i="1"/>
  <c r="B14424" i="1"/>
  <c r="C14424" i="1"/>
  <c r="A16534" i="1"/>
  <c r="B16534" i="1"/>
  <c r="C16534" i="1"/>
  <c r="A21000" i="1"/>
  <c r="B21000" i="1"/>
  <c r="C21000" i="1"/>
  <c r="A17852" i="1"/>
  <c r="B17852" i="1"/>
  <c r="C17852" i="1"/>
  <c r="A9443" i="1"/>
  <c r="B9443" i="1"/>
  <c r="C9443" i="1"/>
  <c r="A14353" i="1"/>
  <c r="B14353" i="1"/>
  <c r="C14353" i="1"/>
  <c r="A10719" i="1"/>
  <c r="B10719" i="1"/>
  <c r="C10719" i="1"/>
  <c r="A19101" i="1"/>
  <c r="B19101" i="1"/>
  <c r="C19101" i="1"/>
  <c r="A20979" i="1"/>
  <c r="B20979" i="1"/>
  <c r="C20979" i="1"/>
  <c r="A9440" i="1"/>
  <c r="B9440" i="1"/>
  <c r="C9440" i="1"/>
  <c r="A9200" i="1"/>
  <c r="B9200" i="1"/>
  <c r="C9200" i="1"/>
  <c r="A4681" i="1"/>
  <c r="B4681" i="1"/>
  <c r="C4681" i="1"/>
  <c r="A12337" i="1"/>
  <c r="B12337" i="1"/>
  <c r="C12337" i="1"/>
  <c r="A22631" i="1"/>
  <c r="B22631" i="1"/>
  <c r="C22631" i="1"/>
  <c r="A17832" i="1"/>
  <c r="B17832" i="1"/>
  <c r="C17832" i="1"/>
  <c r="A9201" i="1"/>
  <c r="B9201" i="1"/>
  <c r="C9201" i="1"/>
  <c r="A9202" i="1"/>
  <c r="B9202" i="1"/>
  <c r="C9202" i="1"/>
  <c r="A19062" i="1"/>
  <c r="B19062" i="1"/>
  <c r="C19062" i="1"/>
  <c r="A22661" i="1"/>
  <c r="B22661" i="1"/>
  <c r="C22661" i="1"/>
  <c r="A16014" i="1"/>
  <c r="B16014" i="1"/>
  <c r="C16014" i="1"/>
  <c r="A16070" i="1"/>
  <c r="B16070" i="1"/>
  <c r="C16070" i="1"/>
  <c r="A16114" i="1"/>
  <c r="B16114" i="1"/>
  <c r="C16114" i="1"/>
  <c r="A10106" i="1"/>
  <c r="B10106" i="1"/>
  <c r="C10106" i="1"/>
  <c r="A776" i="1"/>
  <c r="B776" i="1"/>
  <c r="C776" i="1"/>
  <c r="A3535" i="1"/>
  <c r="B3535" i="1"/>
  <c r="C3535" i="1"/>
  <c r="A9439" i="1"/>
  <c r="B9439" i="1"/>
  <c r="C9439" i="1"/>
  <c r="A16099" i="1"/>
  <c r="B16099" i="1"/>
  <c r="C16099" i="1"/>
  <c r="A5614" i="1"/>
  <c r="B5614" i="1"/>
  <c r="C5614" i="1"/>
  <c r="A7455" i="1"/>
  <c r="B7455" i="1"/>
  <c r="C7455" i="1"/>
  <c r="A16901" i="1"/>
  <c r="B16901" i="1"/>
  <c r="C16901" i="1"/>
  <c r="A5200" i="1"/>
  <c r="B5200" i="1"/>
  <c r="C5200" i="1"/>
  <c r="A5202" i="1"/>
  <c r="B5202" i="1"/>
  <c r="C5202" i="1"/>
  <c r="A24950" i="1"/>
  <c r="B24950" i="1"/>
  <c r="C24950" i="1"/>
  <c r="A17783" i="1"/>
  <c r="B17783" i="1"/>
  <c r="C17783" i="1"/>
  <c r="A11407" i="1"/>
  <c r="B11407" i="1"/>
  <c r="C11407" i="1"/>
  <c r="A16883" i="1"/>
  <c r="B16883" i="1"/>
  <c r="C16883" i="1"/>
  <c r="A16881" i="1"/>
  <c r="B16881" i="1"/>
  <c r="C16881" i="1"/>
  <c r="A15214" i="1"/>
  <c r="B15214" i="1"/>
  <c r="C15214" i="1"/>
  <c r="A23538" i="1"/>
  <c r="B23538" i="1"/>
  <c r="C23538" i="1"/>
  <c r="A23539" i="1"/>
  <c r="B23539" i="1"/>
  <c r="C23539" i="1"/>
  <c r="A23540" i="1"/>
  <c r="B23540" i="1"/>
  <c r="C23540" i="1"/>
  <c r="A23541" i="1"/>
  <c r="B23541" i="1"/>
  <c r="C23541" i="1"/>
  <c r="A23542" i="1"/>
  <c r="B23542" i="1"/>
  <c r="C23542" i="1"/>
  <c r="A23544" i="1"/>
  <c r="B23544" i="1"/>
  <c r="C23544" i="1"/>
  <c r="A23547" i="1"/>
  <c r="B23547" i="1"/>
  <c r="C23547" i="1"/>
  <c r="A23543" i="1"/>
  <c r="B23543" i="1"/>
  <c r="C23543" i="1"/>
  <c r="A23545" i="1"/>
  <c r="B23545" i="1"/>
  <c r="C23545" i="1"/>
  <c r="A23546" i="1"/>
  <c r="B23546" i="1"/>
  <c r="C23546" i="1"/>
  <c r="A23548" i="1"/>
  <c r="B23548" i="1"/>
  <c r="C23548" i="1"/>
  <c r="A23549" i="1"/>
  <c r="B23549" i="1"/>
  <c r="C23549" i="1"/>
  <c r="A7703" i="1"/>
  <c r="B7703" i="1"/>
  <c r="C7703" i="1"/>
  <c r="A6439" i="1"/>
  <c r="B6439" i="1"/>
  <c r="C6439" i="1"/>
  <c r="A7704" i="1"/>
  <c r="B7704" i="1"/>
  <c r="C7704" i="1"/>
  <c r="A6440" i="1"/>
  <c r="B6440" i="1"/>
  <c r="C6440" i="1"/>
  <c r="A6441" i="1"/>
  <c r="B6441" i="1"/>
  <c r="C6441" i="1"/>
  <c r="A6739" i="1"/>
  <c r="B6739" i="1"/>
  <c r="C6739" i="1"/>
  <c r="A19626" i="1"/>
  <c r="B19626" i="1"/>
  <c r="C19626" i="1"/>
  <c r="A19619" i="1"/>
  <c r="B19619" i="1"/>
  <c r="C19619" i="1"/>
  <c r="A2806" i="1"/>
  <c r="B2806" i="1"/>
  <c r="C2806" i="1"/>
  <c r="A7276" i="1"/>
  <c r="B7276" i="1"/>
  <c r="C7276" i="1"/>
  <c r="A7292" i="1"/>
  <c r="B7292" i="1"/>
  <c r="C7292" i="1"/>
  <c r="A3166" i="1"/>
  <c r="B3166" i="1"/>
  <c r="C3166" i="1"/>
  <c r="A3173" i="1"/>
  <c r="B3173" i="1"/>
  <c r="C3173" i="1"/>
  <c r="A11989" i="1"/>
  <c r="B11989" i="1"/>
  <c r="C11989" i="1"/>
  <c r="A9160" i="1"/>
  <c r="B9160" i="1"/>
  <c r="C9160" i="1"/>
  <c r="A2961" i="1"/>
  <c r="B2961" i="1"/>
  <c r="C2961" i="1"/>
  <c r="A1327" i="1"/>
  <c r="B1327" i="1"/>
  <c r="C1327" i="1"/>
  <c r="A21019" i="1"/>
  <c r="B21019" i="1"/>
  <c r="C21019" i="1"/>
  <c r="A18853" i="1"/>
  <c r="B18853" i="1"/>
  <c r="C18853" i="1"/>
  <c r="A12077" i="1"/>
  <c r="B12077" i="1"/>
  <c r="C12077" i="1"/>
  <c r="A7712" i="1"/>
  <c r="B7712" i="1"/>
  <c r="C7712" i="1"/>
  <c r="A23607" i="1"/>
  <c r="B23607" i="1"/>
  <c r="C23607" i="1"/>
  <c r="A16084" i="1"/>
  <c r="B16084" i="1"/>
  <c r="C16084" i="1"/>
  <c r="A2749" i="1"/>
  <c r="B2749" i="1"/>
  <c r="C2749" i="1"/>
  <c r="A16129" i="1"/>
  <c r="B16129" i="1"/>
  <c r="C16129" i="1"/>
  <c r="A577" i="1"/>
  <c r="B577" i="1"/>
  <c r="C577" i="1"/>
  <c r="A13377" i="1"/>
  <c r="B13377" i="1"/>
  <c r="C13377" i="1"/>
  <c r="A332" i="1"/>
  <c r="B332" i="1"/>
  <c r="C332" i="1"/>
  <c r="A5819" i="1"/>
  <c r="B5819" i="1"/>
  <c r="C5819" i="1"/>
  <c r="A7164" i="1"/>
  <c r="B7164" i="1"/>
  <c r="C7164" i="1"/>
  <c r="A7146" i="1"/>
  <c r="B7146" i="1"/>
  <c r="C7146" i="1"/>
  <c r="A5957" i="1"/>
  <c r="B5957" i="1"/>
  <c r="C5957" i="1"/>
  <c r="A5321" i="1"/>
  <c r="B5321" i="1"/>
  <c r="C5321" i="1"/>
  <c r="A5315" i="1"/>
  <c r="B5315" i="1"/>
  <c r="C5315" i="1"/>
  <c r="A17174" i="1"/>
  <c r="B17174" i="1"/>
  <c r="C17174" i="1"/>
  <c r="A7728" i="1"/>
  <c r="B7728" i="1"/>
  <c r="C7728" i="1"/>
  <c r="A16567" i="1"/>
  <c r="B16567" i="1"/>
  <c r="C16567" i="1"/>
  <c r="A24869" i="1"/>
  <c r="B24869" i="1"/>
  <c r="C24869" i="1"/>
  <c r="A17343" i="1"/>
  <c r="B17343" i="1"/>
  <c r="C17343" i="1"/>
  <c r="A17346" i="1"/>
  <c r="B17346" i="1"/>
  <c r="C17346" i="1"/>
  <c r="A656" i="1"/>
  <c r="B656" i="1"/>
  <c r="C656" i="1"/>
  <c r="A25560" i="1"/>
  <c r="B25560" i="1"/>
  <c r="C25560" i="1"/>
  <c r="A9532" i="1"/>
  <c r="B9532" i="1"/>
  <c r="C9532" i="1"/>
  <c r="A11242" i="1"/>
  <c r="B11242" i="1"/>
  <c r="C11242" i="1"/>
  <c r="A9528" i="1"/>
  <c r="B9528" i="1"/>
  <c r="C9528" i="1"/>
  <c r="A9535" i="1"/>
  <c r="B9535" i="1"/>
  <c r="C9535" i="1"/>
  <c r="A8041" i="1"/>
  <c r="B8041" i="1"/>
  <c r="C8041" i="1"/>
  <c r="A133" i="1"/>
  <c r="B133" i="1"/>
  <c r="C133" i="1"/>
  <c r="A130" i="1"/>
  <c r="B130" i="1"/>
  <c r="C130" i="1"/>
  <c r="A19410" i="1"/>
  <c r="B19410" i="1"/>
  <c r="C19410" i="1"/>
  <c r="A23976" i="1"/>
  <c r="B23976" i="1"/>
  <c r="C23976" i="1"/>
  <c r="A4129" i="1"/>
  <c r="B4129" i="1"/>
  <c r="C4129" i="1"/>
  <c r="A1511" i="1"/>
  <c r="B1511" i="1"/>
  <c r="C1511" i="1"/>
  <c r="A23862" i="1"/>
  <c r="B23862" i="1"/>
  <c r="C23862" i="1"/>
  <c r="A23128" i="1"/>
  <c r="B23128" i="1"/>
  <c r="C23128" i="1"/>
  <c r="A24659" i="1"/>
  <c r="B24659" i="1"/>
  <c r="C24659" i="1"/>
  <c r="A14745" i="1"/>
  <c r="B14745" i="1"/>
  <c r="C14745" i="1"/>
  <c r="A13410" i="1"/>
  <c r="B13410" i="1"/>
  <c r="C13410" i="1"/>
  <c r="A20062" i="1"/>
  <c r="B20062" i="1"/>
  <c r="C20062" i="1"/>
  <c r="A10263" i="1"/>
  <c r="B10263" i="1"/>
  <c r="C10263" i="1"/>
  <c r="A19731" i="1"/>
  <c r="B19731" i="1"/>
  <c r="C19731" i="1"/>
  <c r="A16046" i="1"/>
  <c r="B16046" i="1"/>
  <c r="C16046" i="1"/>
  <c r="A2955" i="1"/>
  <c r="B2955" i="1"/>
  <c r="C2955" i="1"/>
  <c r="A7607" i="1"/>
  <c r="B7607" i="1"/>
  <c r="C7607" i="1"/>
  <c r="A129" i="1"/>
  <c r="B129" i="1"/>
  <c r="C129" i="1"/>
  <c r="A131" i="1"/>
  <c r="B131" i="1"/>
  <c r="C131" i="1"/>
  <c r="A22162" i="1"/>
  <c r="B22162" i="1"/>
  <c r="C22162" i="1"/>
  <c r="A9125" i="1"/>
  <c r="B9125" i="1"/>
  <c r="C9125" i="1"/>
  <c r="A4849" i="1"/>
  <c r="B4849" i="1"/>
  <c r="C4849" i="1"/>
  <c r="A4850" i="1"/>
  <c r="B4850" i="1"/>
  <c r="C4850" i="1"/>
  <c r="A7109" i="1"/>
  <c r="B7109" i="1"/>
  <c r="C7109" i="1"/>
  <c r="A2900" i="1"/>
  <c r="B2900" i="1"/>
  <c r="C2900" i="1"/>
  <c r="A21359" i="1"/>
  <c r="B21359" i="1"/>
  <c r="C21359" i="1"/>
  <c r="A13438" i="1"/>
  <c r="B13438" i="1"/>
  <c r="C13438" i="1"/>
  <c r="A8138" i="1"/>
  <c r="B8138" i="1"/>
  <c r="C8138" i="1"/>
  <c r="A7037" i="1"/>
  <c r="B7037" i="1"/>
  <c r="C7037" i="1"/>
  <c r="A14598" i="1"/>
  <c r="B14598" i="1"/>
  <c r="C14598" i="1"/>
  <c r="A3517" i="1"/>
  <c r="B3517" i="1"/>
  <c r="C3517" i="1"/>
  <c r="A7283" i="1"/>
  <c r="B7283" i="1"/>
  <c r="C7283" i="1"/>
  <c r="A7176" i="1"/>
  <c r="B7176" i="1"/>
  <c r="C7176" i="1"/>
  <c r="A20064" i="1"/>
  <c r="B20064" i="1"/>
  <c r="C20064" i="1"/>
  <c r="A14113" i="1"/>
  <c r="B14113" i="1"/>
  <c r="C14113" i="1"/>
  <c r="A23373" i="1"/>
  <c r="B23373" i="1"/>
  <c r="C23373" i="1"/>
  <c r="A8428" i="1"/>
  <c r="B8428" i="1"/>
  <c r="C8428" i="1"/>
  <c r="A3081" i="1"/>
  <c r="B3081" i="1"/>
  <c r="C3081" i="1"/>
  <c r="A17338" i="1"/>
  <c r="B17338" i="1"/>
  <c r="C17338" i="1"/>
  <c r="A16216" i="1"/>
  <c r="B16216" i="1"/>
  <c r="C16216" i="1"/>
  <c r="A16037" i="1"/>
  <c r="B16037" i="1"/>
  <c r="C16037" i="1"/>
  <c r="A25029" i="1"/>
  <c r="B25029" i="1"/>
  <c r="C25029" i="1"/>
  <c r="A773" i="1"/>
  <c r="B773" i="1"/>
  <c r="C773" i="1"/>
  <c r="A21612" i="1"/>
  <c r="B21612" i="1"/>
  <c r="C21612" i="1"/>
  <c r="A20039" i="1"/>
  <c r="B20039" i="1"/>
  <c r="C20039" i="1"/>
  <c r="A12541" i="1"/>
  <c r="B12541" i="1"/>
  <c r="C12541" i="1"/>
  <c r="A6190" i="1"/>
  <c r="B6190" i="1"/>
  <c r="C6190" i="1"/>
  <c r="A11285" i="1"/>
  <c r="B11285" i="1"/>
  <c r="C11285" i="1"/>
  <c r="A276" i="1"/>
  <c r="B276" i="1"/>
  <c r="C276" i="1"/>
  <c r="A21947" i="1"/>
  <c r="B21947" i="1"/>
  <c r="C21947" i="1"/>
  <c r="A2023" i="1"/>
  <c r="B2023" i="1"/>
  <c r="C2023" i="1"/>
  <c r="A20944" i="1"/>
  <c r="B20944" i="1"/>
  <c r="C20944" i="1"/>
  <c r="A25605" i="1"/>
  <c r="B25605" i="1"/>
  <c r="C25605" i="1"/>
  <c r="A25606" i="1"/>
  <c r="B25606" i="1"/>
  <c r="C25606" i="1"/>
  <c r="A24395" i="1"/>
  <c r="B24395" i="1"/>
  <c r="C24395" i="1"/>
  <c r="A842" i="1"/>
  <c r="B842" i="1"/>
  <c r="C842" i="1"/>
  <c r="A15359" i="1"/>
  <c r="B15359" i="1"/>
  <c r="C15359" i="1"/>
  <c r="A11435" i="1"/>
  <c r="B11435" i="1"/>
  <c r="C11435" i="1"/>
  <c r="A22024" i="1"/>
  <c r="B22024" i="1"/>
  <c r="C22024" i="1"/>
  <c r="A5636" i="1"/>
  <c r="B5636" i="1"/>
  <c r="C5636" i="1"/>
  <c r="A2212" i="1"/>
  <c r="B2212" i="1"/>
  <c r="C2212" i="1"/>
  <c r="A19104" i="1"/>
  <c r="B19104" i="1"/>
  <c r="C19104" i="1"/>
  <c r="A18421" i="1"/>
  <c r="B18421" i="1"/>
  <c r="C18421" i="1"/>
  <c r="A18422" i="1"/>
  <c r="B18422" i="1"/>
  <c r="C18422" i="1"/>
  <c r="A25034" i="1"/>
  <c r="B25034" i="1"/>
  <c r="C25034" i="1"/>
  <c r="A25177" i="1"/>
  <c r="B25177" i="1"/>
  <c r="C25177" i="1"/>
  <c r="A21922" i="1"/>
  <c r="B21922" i="1"/>
  <c r="C21922" i="1"/>
  <c r="A16484" i="1"/>
  <c r="B16484" i="1"/>
  <c r="C16484" i="1"/>
  <c r="A9537" i="1"/>
  <c r="B9537" i="1"/>
  <c r="C9537" i="1"/>
  <c r="A19023" i="1"/>
  <c r="B19023" i="1"/>
  <c r="C19023" i="1"/>
  <c r="A19037" i="1"/>
  <c r="B19037" i="1"/>
  <c r="C19037" i="1"/>
  <c r="A24529" i="1"/>
  <c r="B24529" i="1"/>
  <c r="C24529" i="1"/>
  <c r="A24530" i="1"/>
  <c r="B24530" i="1"/>
  <c r="C24530" i="1"/>
  <c r="A25282" i="1"/>
  <c r="B25282" i="1"/>
  <c r="C25282" i="1"/>
  <c r="A18656" i="1"/>
  <c r="B18656" i="1"/>
  <c r="C18656" i="1"/>
  <c r="A16116" i="1"/>
  <c r="B16116" i="1"/>
  <c r="C16116" i="1"/>
  <c r="A16054" i="1"/>
  <c r="B16054" i="1"/>
  <c r="C16054" i="1"/>
  <c r="A14933" i="1"/>
  <c r="B14933" i="1"/>
  <c r="C14933" i="1"/>
  <c r="A5713" i="1"/>
  <c r="B5713" i="1"/>
  <c r="C5713" i="1"/>
  <c r="A14126" i="1"/>
  <c r="B14126" i="1"/>
  <c r="C14126" i="1"/>
  <c r="A15267" i="1"/>
  <c r="B15267" i="1"/>
  <c r="C15267" i="1"/>
  <c r="A15264" i="1"/>
  <c r="B15264" i="1"/>
  <c r="C15264" i="1"/>
  <c r="A13416" i="1"/>
  <c r="B13416" i="1"/>
  <c r="C13416" i="1"/>
  <c r="A25188" i="1"/>
  <c r="B25188" i="1"/>
  <c r="C25188" i="1"/>
  <c r="A21685" i="1"/>
  <c r="B21685" i="1"/>
  <c r="C21685" i="1"/>
  <c r="A1638" i="1"/>
  <c r="B1638" i="1"/>
  <c r="C1638" i="1"/>
  <c r="A8967" i="1"/>
  <c r="B8967" i="1"/>
  <c r="C8967" i="1"/>
  <c r="A8965" i="1"/>
  <c r="B8965" i="1"/>
  <c r="C8965" i="1"/>
  <c r="A3529" i="1"/>
  <c r="B3529" i="1"/>
  <c r="C3529" i="1"/>
  <c r="A767" i="1"/>
  <c r="B767" i="1"/>
  <c r="C767" i="1"/>
  <c r="A1001" i="1"/>
  <c r="B1001" i="1"/>
  <c r="C1001" i="1"/>
  <c r="A17898" i="1"/>
  <c r="B17898" i="1"/>
  <c r="C17898" i="1"/>
  <c r="A17983" i="1"/>
  <c r="B17983" i="1"/>
  <c r="C17983" i="1"/>
  <c r="A4888" i="1"/>
  <c r="B4888" i="1"/>
  <c r="C4888" i="1"/>
  <c r="A5331" i="1"/>
  <c r="B5331" i="1"/>
  <c r="C5331" i="1"/>
  <c r="A7742" i="1"/>
  <c r="B7742" i="1"/>
  <c r="C7742" i="1"/>
  <c r="A16137" i="1"/>
  <c r="B16137" i="1"/>
  <c r="C16137" i="1"/>
  <c r="A23691" i="1"/>
  <c r="B23691" i="1"/>
  <c r="C23691" i="1"/>
  <c r="A23693" i="1"/>
  <c r="B23693" i="1"/>
  <c r="C23693" i="1"/>
  <c r="A20567" i="1"/>
  <c r="B20567" i="1"/>
  <c r="C20567" i="1"/>
  <c r="A18572" i="1"/>
  <c r="B18572" i="1"/>
  <c r="C18572" i="1"/>
  <c r="A2642" i="1"/>
  <c r="B2642" i="1"/>
  <c r="C2642" i="1"/>
  <c r="A17993" i="1"/>
  <c r="B17993" i="1"/>
  <c r="C17993" i="1"/>
  <c r="A3484" i="1"/>
  <c r="B3484" i="1"/>
  <c r="C3484" i="1"/>
  <c r="A11528" i="1"/>
  <c r="B11528" i="1"/>
  <c r="C11528" i="1"/>
  <c r="A3482" i="1"/>
  <c r="B3482" i="1"/>
  <c r="C3482" i="1"/>
  <c r="A4939" i="1"/>
  <c r="B4939" i="1"/>
  <c r="C4939" i="1"/>
  <c r="A13449" i="1"/>
  <c r="B13449" i="1"/>
  <c r="C13449" i="1"/>
  <c r="A13450" i="1"/>
  <c r="B13450" i="1"/>
  <c r="C13450" i="1"/>
  <c r="A25300" i="1"/>
  <c r="B25300" i="1"/>
  <c r="C25300" i="1"/>
  <c r="A25394" i="1"/>
  <c r="B25394" i="1"/>
  <c r="C25394" i="1"/>
  <c r="A12640" i="1"/>
  <c r="B12640" i="1"/>
  <c r="C12640" i="1"/>
  <c r="A20089" i="1"/>
  <c r="B20089" i="1"/>
  <c r="C20089" i="1"/>
  <c r="A11227" i="1"/>
  <c r="B11227" i="1"/>
  <c r="C11227" i="1"/>
  <c r="A18706" i="1"/>
  <c r="B18706" i="1"/>
  <c r="C18706" i="1"/>
  <c r="A19643" i="1"/>
  <c r="B19643" i="1"/>
  <c r="C19643" i="1"/>
  <c r="A16289" i="1"/>
  <c r="B16289" i="1"/>
  <c r="C16289" i="1"/>
  <c r="A22016" i="1"/>
  <c r="B22016" i="1"/>
  <c r="C22016" i="1"/>
  <c r="A16259" i="1"/>
  <c r="B16259" i="1"/>
  <c r="C16259" i="1"/>
  <c r="A21004" i="1"/>
  <c r="B21004" i="1"/>
  <c r="C21004" i="1"/>
  <c r="A7579" i="1"/>
  <c r="B7579" i="1"/>
  <c r="C7579" i="1"/>
  <c r="A5375" i="1"/>
  <c r="B5375" i="1"/>
  <c r="C5375" i="1"/>
  <c r="A8113" i="1"/>
  <c r="B8113" i="1"/>
  <c r="C8113" i="1"/>
  <c r="A3674" i="1"/>
  <c r="B3674" i="1"/>
  <c r="C3674" i="1"/>
  <c r="A20063" i="1"/>
  <c r="B20063" i="1"/>
  <c r="C20063" i="1"/>
  <c r="A7682" i="1"/>
  <c r="B7682" i="1"/>
  <c r="C7682" i="1"/>
  <c r="A6871" i="1"/>
  <c r="B6871" i="1"/>
  <c r="C6871" i="1"/>
  <c r="A13732" i="1"/>
  <c r="B13732" i="1"/>
  <c r="C13732" i="1"/>
  <c r="A21522" i="1"/>
  <c r="B21522" i="1"/>
  <c r="C21522" i="1"/>
  <c r="A12678" i="1"/>
  <c r="B12678" i="1"/>
  <c r="C12678" i="1"/>
  <c r="A19648" i="1"/>
  <c r="B19648" i="1"/>
  <c r="C19648" i="1"/>
  <c r="A20570" i="1"/>
  <c r="B20570" i="1"/>
  <c r="C20570" i="1"/>
  <c r="A832" i="1"/>
  <c r="B832" i="1"/>
  <c r="C832" i="1"/>
  <c r="A20537" i="1"/>
  <c r="B20537" i="1"/>
  <c r="C20537" i="1"/>
  <c r="A14843" i="1"/>
  <c r="B14843" i="1"/>
  <c r="C14843" i="1"/>
  <c r="A14848" i="1"/>
  <c r="B14848" i="1"/>
  <c r="C14848" i="1"/>
  <c r="A16282" i="1"/>
  <c r="B16282" i="1"/>
  <c r="C16282" i="1"/>
  <c r="A22754" i="1"/>
  <c r="B22754" i="1"/>
  <c r="C22754" i="1"/>
  <c r="A10075" i="1"/>
  <c r="B10075" i="1"/>
  <c r="C10075" i="1"/>
  <c r="A9544" i="1"/>
  <c r="B9544" i="1"/>
  <c r="C9544" i="1"/>
  <c r="A6634" i="1"/>
  <c r="B6634" i="1"/>
  <c r="C6634" i="1"/>
  <c r="A6635" i="1"/>
  <c r="B6635" i="1"/>
  <c r="C6635" i="1"/>
  <c r="A23313" i="1"/>
  <c r="B23313" i="1"/>
  <c r="C23313" i="1"/>
  <c r="A23312" i="1"/>
  <c r="B23312" i="1"/>
  <c r="C23312" i="1"/>
  <c r="A23311" i="1"/>
  <c r="B23311" i="1"/>
  <c r="C23311" i="1"/>
  <c r="A23310" i="1"/>
  <c r="B23310" i="1"/>
  <c r="C23310" i="1"/>
  <c r="A11960" i="1"/>
  <c r="B11960" i="1"/>
  <c r="C11960" i="1"/>
  <c r="A24949" i="1"/>
  <c r="B24949" i="1"/>
  <c r="C24949" i="1"/>
  <c r="A16003" i="1"/>
  <c r="B16003" i="1"/>
  <c r="C16003" i="1"/>
  <c r="A11457" i="1"/>
  <c r="B11457" i="1"/>
  <c r="C11457" i="1"/>
  <c r="A15906" i="1"/>
  <c r="B15906" i="1"/>
  <c r="C15906" i="1"/>
  <c r="A5942" i="1"/>
  <c r="B5942" i="1"/>
  <c r="C5942" i="1"/>
  <c r="A20541" i="1"/>
  <c r="B20541" i="1"/>
  <c r="C20541" i="1"/>
  <c r="A19747" i="1"/>
  <c r="B19747" i="1"/>
  <c r="C19747" i="1"/>
  <c r="A5603" i="1"/>
  <c r="B5603" i="1"/>
  <c r="C5603" i="1"/>
  <c r="A12607" i="1"/>
  <c r="B12607" i="1"/>
  <c r="C12607" i="1"/>
  <c r="A183" i="1"/>
  <c r="B183" i="1"/>
  <c r="C183" i="1"/>
  <c r="A25739" i="1"/>
  <c r="B25739" i="1"/>
  <c r="C25739" i="1"/>
  <c r="A25740" i="1"/>
  <c r="B25740" i="1"/>
  <c r="C25740" i="1"/>
  <c r="A7636" i="1"/>
  <c r="B7636" i="1"/>
  <c r="C7636" i="1"/>
  <c r="A7634" i="1"/>
  <c r="B7634" i="1"/>
  <c r="C7634" i="1"/>
  <c r="A19964" i="1"/>
  <c r="B19964" i="1"/>
  <c r="C19964" i="1"/>
  <c r="A7200" i="1"/>
  <c r="B7200" i="1"/>
  <c r="C7200" i="1"/>
  <c r="A6212" i="1"/>
  <c r="B6212" i="1"/>
  <c r="C6212" i="1"/>
  <c r="A16837" i="1"/>
  <c r="B16837" i="1"/>
  <c r="C16837" i="1"/>
  <c r="A22183" i="1"/>
  <c r="B22183" i="1"/>
  <c r="C22183" i="1"/>
  <c r="A23500" i="1"/>
  <c r="B23500" i="1"/>
  <c r="C23500" i="1"/>
  <c r="A2643" i="1"/>
  <c r="B2643" i="1"/>
  <c r="C2643" i="1"/>
  <c r="A6517" i="1"/>
  <c r="B6517" i="1"/>
  <c r="C6517" i="1"/>
  <c r="A22210" i="1"/>
  <c r="B22210" i="1"/>
  <c r="C22210" i="1"/>
  <c r="A4374" i="1"/>
  <c r="B4374" i="1"/>
  <c r="C4374" i="1"/>
  <c r="A9459" i="1"/>
  <c r="B9459" i="1"/>
  <c r="C9459" i="1"/>
  <c r="A9381" i="1"/>
  <c r="B9381" i="1"/>
  <c r="C9381" i="1"/>
  <c r="A21812" i="1"/>
  <c r="B21812" i="1"/>
  <c r="C21812" i="1"/>
  <c r="A1687" i="1"/>
  <c r="B1687" i="1"/>
  <c r="C1687" i="1"/>
  <c r="A7589" i="1"/>
  <c r="B7589" i="1"/>
  <c r="C7589" i="1"/>
  <c r="A20425" i="1"/>
  <c r="B20425" i="1"/>
  <c r="C20425" i="1"/>
  <c r="A11995" i="1"/>
  <c r="B11995" i="1"/>
  <c r="C11995" i="1"/>
  <c r="A1399" i="1"/>
  <c r="B1399" i="1"/>
  <c r="C1399" i="1"/>
  <c r="A1398" i="1"/>
  <c r="B1398" i="1"/>
  <c r="C1398" i="1"/>
  <c r="A15609" i="1"/>
  <c r="B15609" i="1"/>
  <c r="C15609" i="1"/>
  <c r="A15608" i="1"/>
  <c r="B15608" i="1"/>
  <c r="C15608" i="1"/>
  <c r="A3785" i="1"/>
  <c r="B3785" i="1"/>
  <c r="C3785" i="1"/>
  <c r="A9435" i="1"/>
  <c r="B9435" i="1"/>
  <c r="C9435" i="1"/>
  <c r="A17828" i="1"/>
  <c r="B17828" i="1"/>
  <c r="C17828" i="1"/>
  <c r="A3525" i="1"/>
  <c r="B3525" i="1"/>
  <c r="C3525" i="1"/>
  <c r="A3510" i="1"/>
  <c r="B3510" i="1"/>
  <c r="C3510" i="1"/>
  <c r="A9375" i="1"/>
  <c r="B9375" i="1"/>
  <c r="C9375" i="1"/>
  <c r="A3647" i="1"/>
  <c r="B3647" i="1"/>
  <c r="C3647" i="1"/>
  <c r="A6903" i="1"/>
  <c r="B6903" i="1"/>
  <c r="C6903" i="1"/>
  <c r="A14942" i="1"/>
  <c r="B14942" i="1"/>
  <c r="C14942" i="1"/>
  <c r="A7315" i="1"/>
  <c r="B7315" i="1"/>
  <c r="C7315" i="1"/>
  <c r="A19810" i="1"/>
  <c r="B19810" i="1"/>
  <c r="C19810" i="1"/>
  <c r="A7590" i="1"/>
  <c r="B7590" i="1"/>
  <c r="C7590" i="1"/>
  <c r="A5903" i="1"/>
  <c r="B5903" i="1"/>
  <c r="C5903" i="1"/>
  <c r="A19622" i="1"/>
  <c r="B19622" i="1"/>
  <c r="C19622" i="1"/>
  <c r="A5901" i="1"/>
  <c r="B5901" i="1"/>
  <c r="C5901" i="1"/>
  <c r="A14512" i="1"/>
  <c r="B14512" i="1"/>
  <c r="C14512" i="1"/>
  <c r="A25213" i="1"/>
  <c r="B25213" i="1"/>
  <c r="C25213" i="1"/>
  <c r="A25189" i="1"/>
  <c r="B25189" i="1"/>
  <c r="C25189" i="1"/>
  <c r="A4364" i="1"/>
  <c r="B4364" i="1"/>
  <c r="C4364" i="1"/>
  <c r="A17657" i="1"/>
  <c r="B17657" i="1"/>
  <c r="C17657" i="1"/>
  <c r="A17659" i="1"/>
  <c r="B17659" i="1"/>
  <c r="C17659" i="1"/>
  <c r="A3073" i="1"/>
  <c r="B3073" i="1"/>
  <c r="C3073" i="1"/>
  <c r="A3064" i="1"/>
  <c r="B3064" i="1"/>
  <c r="C3064" i="1"/>
  <c r="A3065" i="1"/>
  <c r="B3065" i="1"/>
  <c r="C3065" i="1"/>
  <c r="A3066" i="1"/>
  <c r="B3066" i="1"/>
  <c r="C3066" i="1"/>
  <c r="A3067" i="1"/>
  <c r="B3067" i="1"/>
  <c r="C3067" i="1"/>
  <c r="A3068" i="1"/>
  <c r="B3068" i="1"/>
  <c r="C3068" i="1"/>
  <c r="A3069" i="1"/>
  <c r="B3069" i="1"/>
  <c r="C3069" i="1"/>
  <c r="A3070" i="1"/>
  <c r="B3070" i="1"/>
  <c r="C3070" i="1"/>
  <c r="A3071" i="1"/>
  <c r="B3071" i="1"/>
  <c r="C3071" i="1"/>
  <c r="A3072" i="1"/>
  <c r="B3072" i="1"/>
  <c r="C3072" i="1"/>
  <c r="A12631" i="1"/>
  <c r="B12631" i="1"/>
  <c r="C12631" i="1"/>
  <c r="A9504" i="1"/>
  <c r="B9504" i="1"/>
  <c r="C9504" i="1"/>
  <c r="A6985" i="1"/>
  <c r="B6985" i="1"/>
  <c r="C6985" i="1"/>
  <c r="A6292" i="1"/>
  <c r="B6292" i="1"/>
  <c r="C6292" i="1"/>
  <c r="A20564" i="1"/>
  <c r="B20564" i="1"/>
  <c r="C20564" i="1"/>
  <c r="A11272" i="1"/>
  <c r="B11272" i="1"/>
  <c r="C11272" i="1"/>
  <c r="A13448" i="1"/>
  <c r="B13448" i="1"/>
  <c r="C13448" i="1"/>
  <c r="A20856" i="1"/>
  <c r="B20856" i="1"/>
  <c r="C20856" i="1"/>
  <c r="A6971" i="1"/>
  <c r="B6971" i="1"/>
  <c r="C6971" i="1"/>
  <c r="A5576" i="1"/>
  <c r="B5576" i="1"/>
  <c r="C5576" i="1"/>
  <c r="A16740" i="1"/>
  <c r="B16740" i="1"/>
  <c r="C16740" i="1"/>
  <c r="A19963" i="1"/>
  <c r="B19963" i="1"/>
  <c r="C19963" i="1"/>
  <c r="A7232" i="1"/>
  <c r="B7232" i="1"/>
  <c r="C7232" i="1"/>
  <c r="A7236" i="1"/>
  <c r="B7236" i="1"/>
  <c r="C7236" i="1"/>
  <c r="A7239" i="1"/>
  <c r="B7239" i="1"/>
  <c r="C7239" i="1"/>
  <c r="A7240" i="1"/>
  <c r="B7240" i="1"/>
  <c r="C7240" i="1"/>
  <c r="A5577" i="1"/>
  <c r="B5577" i="1"/>
  <c r="C5577" i="1"/>
  <c r="A6195" i="1"/>
  <c r="B6195" i="1"/>
  <c r="C6195" i="1"/>
  <c r="A6022" i="1"/>
  <c r="B6022" i="1"/>
  <c r="C6022" i="1"/>
  <c r="A11474" i="1"/>
  <c r="B11474" i="1"/>
  <c r="C11474" i="1"/>
  <c r="A11466" i="1"/>
  <c r="B11466" i="1"/>
  <c r="C11466" i="1"/>
  <c r="A9045" i="1"/>
  <c r="B9045" i="1"/>
  <c r="C9045" i="1"/>
  <c r="A24490" i="1"/>
  <c r="B24490" i="1"/>
  <c r="C24490" i="1"/>
  <c r="A5994" i="1"/>
  <c r="B5994" i="1"/>
  <c r="C5994" i="1"/>
  <c r="A19466" i="1"/>
  <c r="B19466" i="1"/>
  <c r="C19466" i="1"/>
  <c r="A3399" i="1"/>
  <c r="B3399" i="1"/>
  <c r="C3399" i="1"/>
  <c r="A21732" i="1"/>
  <c r="B21732" i="1"/>
  <c r="C21732" i="1"/>
  <c r="A7277" i="1"/>
  <c r="B7277" i="1"/>
  <c r="C7277" i="1"/>
  <c r="A23935" i="1"/>
  <c r="B23935" i="1"/>
  <c r="C23935" i="1"/>
  <c r="A23934" i="1"/>
  <c r="B23934" i="1"/>
  <c r="C23934" i="1"/>
  <c r="A23937" i="1"/>
  <c r="B23937" i="1"/>
  <c r="C23937" i="1"/>
  <c r="A11118" i="1"/>
  <c r="B11118" i="1"/>
  <c r="C11118" i="1"/>
  <c r="A11116" i="1"/>
  <c r="B11116" i="1"/>
  <c r="C11116" i="1"/>
  <c r="A19591" i="1"/>
  <c r="B19591" i="1"/>
  <c r="C19591" i="1"/>
  <c r="A7274" i="1"/>
  <c r="B7274" i="1"/>
  <c r="C7274" i="1"/>
  <c r="A23942" i="1"/>
  <c r="B23942" i="1"/>
  <c r="C23942" i="1"/>
  <c r="A11119" i="1"/>
  <c r="B11119" i="1"/>
  <c r="C11119" i="1"/>
  <c r="A16884" i="1"/>
  <c r="B16884" i="1"/>
  <c r="C16884" i="1"/>
  <c r="A5276" i="1"/>
  <c r="B5276" i="1"/>
  <c r="C5276" i="1"/>
  <c r="A20002" i="1"/>
  <c r="B20002" i="1"/>
  <c r="C20002" i="1"/>
  <c r="A8223" i="1"/>
  <c r="B8223" i="1"/>
  <c r="C8223" i="1"/>
  <c r="A835" i="1"/>
  <c r="B835" i="1"/>
  <c r="C835" i="1"/>
  <c r="A10442" i="1"/>
  <c r="B10442" i="1"/>
  <c r="C10442" i="1"/>
  <c r="A10420" i="1"/>
  <c r="B10420" i="1"/>
  <c r="C10420" i="1"/>
  <c r="A2958" i="1"/>
  <c r="B2958" i="1"/>
  <c r="C2958" i="1"/>
  <c r="A7128" i="1"/>
  <c r="B7128" i="1"/>
  <c r="C7128" i="1"/>
  <c r="A21782" i="1"/>
  <c r="B21782" i="1"/>
  <c r="C21782" i="1"/>
  <c r="A22542" i="1"/>
  <c r="B22542" i="1"/>
  <c r="C22542" i="1"/>
  <c r="A22100" i="1"/>
  <c r="B22100" i="1"/>
  <c r="C22100" i="1"/>
  <c r="A24696" i="1"/>
  <c r="B24696" i="1"/>
  <c r="C24696" i="1"/>
  <c r="A24640" i="1"/>
  <c r="B24640" i="1"/>
  <c r="C24640" i="1"/>
  <c r="A19449" i="1"/>
  <c r="B19449" i="1"/>
  <c r="C19449" i="1"/>
  <c r="A2957" i="1"/>
  <c r="B2957" i="1"/>
  <c r="C2957" i="1"/>
  <c r="A5330" i="1"/>
  <c r="B5330" i="1"/>
  <c r="C5330" i="1"/>
  <c r="A8164" i="1"/>
  <c r="B8164" i="1"/>
  <c r="C8164" i="1"/>
  <c r="A24356" i="1"/>
  <c r="B24356" i="1"/>
  <c r="C24356" i="1"/>
  <c r="A24870" i="1"/>
  <c r="B24870" i="1"/>
  <c r="C24870" i="1"/>
  <c r="A4772" i="1"/>
  <c r="B4772" i="1"/>
  <c r="C4772" i="1"/>
  <c r="A9154" i="1"/>
  <c r="B9154" i="1"/>
  <c r="C9154" i="1"/>
  <c r="A11646" i="1"/>
  <c r="B11646" i="1"/>
  <c r="C11646" i="1"/>
  <c r="A5623" i="1"/>
  <c r="B5623" i="1"/>
  <c r="C5623" i="1"/>
  <c r="A25580" i="1"/>
  <c r="B25580" i="1"/>
  <c r="C25580" i="1"/>
  <c r="A23532" i="1"/>
  <c r="B23532" i="1"/>
  <c r="C23532" i="1"/>
  <c r="A23535" i="1"/>
  <c r="B23535" i="1"/>
  <c r="C23535" i="1"/>
  <c r="A20316" i="1"/>
  <c r="B20316" i="1"/>
  <c r="C20316" i="1"/>
  <c r="A1947" i="1"/>
  <c r="B1947" i="1"/>
  <c r="C1947" i="1"/>
  <c r="A2010" i="1"/>
  <c r="B2010" i="1"/>
  <c r="C2010" i="1"/>
  <c r="A25587" i="1"/>
  <c r="B25587" i="1"/>
  <c r="C25587" i="1"/>
  <c r="A25608" i="1"/>
  <c r="B25608" i="1"/>
  <c r="C25608" i="1"/>
  <c r="A25595" i="1"/>
  <c r="B25595" i="1"/>
  <c r="C25595" i="1"/>
  <c r="A5899" i="1"/>
  <c r="B5899" i="1"/>
  <c r="C5899" i="1"/>
  <c r="A23530" i="1"/>
  <c r="B23530" i="1"/>
  <c r="C23530" i="1"/>
  <c r="A11865" i="1"/>
  <c r="B11865" i="1"/>
  <c r="C11865" i="1"/>
  <c r="A7596" i="1"/>
  <c r="B7596" i="1"/>
  <c r="C7596" i="1"/>
  <c r="A19943" i="1"/>
  <c r="B19943" i="1"/>
  <c r="C19943" i="1"/>
  <c r="A24225" i="1"/>
  <c r="B24225" i="1"/>
  <c r="C24225" i="1"/>
  <c r="A4004" i="1"/>
  <c r="B4004" i="1"/>
  <c r="C4004" i="1"/>
  <c r="A20513" i="1"/>
  <c r="B20513" i="1"/>
  <c r="C20513" i="1"/>
  <c r="A20533" i="1"/>
  <c r="B20533" i="1"/>
  <c r="C20533" i="1"/>
  <c r="A696" i="1"/>
  <c r="B696" i="1"/>
  <c r="C696" i="1"/>
  <c r="A700" i="1"/>
  <c r="B700" i="1"/>
  <c r="C700" i="1"/>
  <c r="A13436" i="1"/>
  <c r="B13436" i="1"/>
  <c r="C13436" i="1"/>
  <c r="A13696" i="1"/>
  <c r="B13696" i="1"/>
  <c r="C13696" i="1"/>
  <c r="A3542" i="1"/>
  <c r="B3542" i="1"/>
  <c r="C3542" i="1"/>
  <c r="A17858" i="1"/>
  <c r="B17858" i="1"/>
  <c r="C17858" i="1"/>
  <c r="A8828" i="1"/>
  <c r="B8828" i="1"/>
  <c r="C8828" i="1"/>
  <c r="A12682" i="1"/>
  <c r="B12682" i="1"/>
  <c r="C12682" i="1"/>
  <c r="A20090" i="1"/>
  <c r="B20090" i="1"/>
  <c r="C20090" i="1"/>
  <c r="A15367" i="1"/>
  <c r="B15367" i="1"/>
  <c r="C15367" i="1"/>
  <c r="A14551" i="1"/>
  <c r="B14551" i="1"/>
  <c r="C14551" i="1"/>
  <c r="A8244" i="1"/>
  <c r="B8244" i="1"/>
  <c r="C8244" i="1"/>
  <c r="A14112" i="1"/>
  <c r="B14112" i="1"/>
  <c r="C14112" i="1"/>
  <c r="A1537" i="1"/>
  <c r="B1537" i="1"/>
  <c r="C1537" i="1"/>
  <c r="A20514" i="1"/>
  <c r="B20514" i="1"/>
  <c r="C20514" i="1"/>
  <c r="A20526" i="1"/>
  <c r="B20526" i="1"/>
  <c r="C20526" i="1"/>
  <c r="A756" i="1"/>
  <c r="B756" i="1"/>
  <c r="C756" i="1"/>
  <c r="A19186" i="1"/>
  <c r="B19186" i="1"/>
  <c r="C19186" i="1"/>
  <c r="A19185" i="1"/>
  <c r="B19185" i="1"/>
  <c r="C19185" i="1"/>
  <c r="A20109" i="1"/>
  <c r="B20109" i="1"/>
  <c r="C20109" i="1"/>
  <c r="A2963" i="1"/>
  <c r="B2963" i="1"/>
  <c r="C2963" i="1"/>
  <c r="A20653" i="1"/>
  <c r="B20653" i="1"/>
  <c r="C20653" i="1"/>
  <c r="A12272" i="1"/>
  <c r="B12272" i="1"/>
  <c r="C12272" i="1"/>
  <c r="A831" i="1"/>
  <c r="B831" i="1"/>
  <c r="C831" i="1"/>
  <c r="A820" i="1"/>
  <c r="B820" i="1"/>
  <c r="C820" i="1"/>
  <c r="A14392" i="1"/>
  <c r="B14392" i="1"/>
  <c r="C14392" i="1"/>
  <c r="A5195" i="1"/>
  <c r="B5195" i="1"/>
  <c r="C5195" i="1"/>
  <c r="A25055" i="1"/>
  <c r="B25055" i="1"/>
  <c r="C25055" i="1"/>
  <c r="A21726" i="1"/>
  <c r="B21726" i="1"/>
  <c r="C21726" i="1"/>
  <c r="A20118" i="1"/>
  <c r="B20118" i="1"/>
  <c r="C20118" i="1"/>
  <c r="A21860" i="1"/>
  <c r="B21860" i="1"/>
  <c r="C21860" i="1"/>
  <c r="A5479" i="1"/>
  <c r="B5479" i="1"/>
  <c r="C5479" i="1"/>
  <c r="A5486" i="1"/>
  <c r="B5486" i="1"/>
  <c r="C5486" i="1"/>
  <c r="A13815" i="1"/>
  <c r="B13815" i="1"/>
  <c r="C13815" i="1"/>
  <c r="A13885" i="1"/>
  <c r="B13885" i="1"/>
  <c r="C13885" i="1"/>
  <c r="A24062" i="1"/>
  <c r="B24062" i="1"/>
  <c r="C24062" i="1"/>
  <c r="A5412" i="1"/>
  <c r="B5412" i="1"/>
  <c r="C5412" i="1"/>
  <c r="A244" i="1"/>
  <c r="B244" i="1"/>
  <c r="C244" i="1"/>
  <c r="A22945" i="1"/>
  <c r="B22945" i="1"/>
  <c r="C22945" i="1"/>
  <c r="A25117" i="1"/>
  <c r="B25117" i="1"/>
  <c r="C25117" i="1"/>
  <c r="A25118" i="1"/>
  <c r="B25118" i="1"/>
  <c r="C25118" i="1"/>
  <c r="A20374" i="1"/>
  <c r="B20374" i="1"/>
  <c r="C20374" i="1"/>
  <c r="A16607" i="1"/>
  <c r="B16607" i="1"/>
  <c r="C16607" i="1"/>
  <c r="A3099" i="1"/>
  <c r="B3099" i="1"/>
  <c r="C3099" i="1"/>
  <c r="A5991" i="1"/>
  <c r="B5991" i="1"/>
  <c r="C5991" i="1"/>
  <c r="A14916" i="1"/>
  <c r="B14916" i="1"/>
  <c r="C14916" i="1"/>
  <c r="A5983" i="1"/>
  <c r="B5983" i="1"/>
  <c r="C5983" i="1"/>
  <c r="A24586" i="1"/>
  <c r="B24586" i="1"/>
  <c r="C24586" i="1"/>
  <c r="A5990" i="1"/>
  <c r="B5990" i="1"/>
  <c r="C5990" i="1"/>
  <c r="A23959" i="1"/>
  <c r="B23959" i="1"/>
  <c r="C23959" i="1"/>
  <c r="A24361" i="1"/>
  <c r="B24361" i="1"/>
  <c r="C24361" i="1"/>
  <c r="A3548" i="1"/>
  <c r="B3548" i="1"/>
  <c r="C3548" i="1"/>
  <c r="A642" i="1"/>
  <c r="B642" i="1"/>
  <c r="C642" i="1"/>
  <c r="A9369" i="1"/>
  <c r="B9369" i="1"/>
  <c r="C9369" i="1"/>
  <c r="A17823" i="1"/>
  <c r="B17823" i="1"/>
  <c r="C17823" i="1"/>
  <c r="A24789" i="1"/>
  <c r="B24789" i="1"/>
  <c r="C24789" i="1"/>
  <c r="A3645" i="1"/>
  <c r="B3645" i="1"/>
  <c r="C3645" i="1"/>
  <c r="A3646" i="1"/>
  <c r="B3646" i="1"/>
  <c r="C3646" i="1"/>
  <c r="A1101" i="1"/>
  <c r="B1101" i="1"/>
  <c r="C1101" i="1"/>
  <c r="A20379" i="1"/>
  <c r="B20379" i="1"/>
  <c r="C20379" i="1"/>
  <c r="A20400" i="1"/>
  <c r="B20400" i="1"/>
  <c r="C20400" i="1"/>
  <c r="A14830" i="1"/>
  <c r="B14830" i="1"/>
  <c r="C14830" i="1"/>
  <c r="A14825" i="1"/>
  <c r="B14825" i="1"/>
  <c r="C14825" i="1"/>
  <c r="A14842" i="1"/>
  <c r="B14842" i="1"/>
  <c r="C14842" i="1"/>
  <c r="A14847" i="1"/>
  <c r="B14847" i="1"/>
  <c r="C14847" i="1"/>
  <c r="A3389" i="1"/>
  <c r="B3389" i="1"/>
  <c r="C3389" i="1"/>
  <c r="A3403" i="1"/>
  <c r="B3403" i="1"/>
  <c r="C3403" i="1"/>
  <c r="A3406" i="1"/>
  <c r="B3406" i="1"/>
  <c r="C3406" i="1"/>
  <c r="A3407" i="1"/>
  <c r="B3407" i="1"/>
  <c r="C3407" i="1"/>
  <c r="A3409" i="1"/>
  <c r="B3409" i="1"/>
  <c r="C3409" i="1"/>
  <c r="A3410" i="1"/>
  <c r="B3410" i="1"/>
  <c r="C3410" i="1"/>
  <c r="A7377" i="1"/>
  <c r="B7377" i="1"/>
  <c r="C7377" i="1"/>
  <c r="A18690" i="1"/>
  <c r="B18690" i="1"/>
  <c r="C18690" i="1"/>
  <c r="A20700" i="1"/>
  <c r="B20700" i="1"/>
  <c r="C20700" i="1"/>
  <c r="A333" i="1"/>
  <c r="B333" i="1"/>
  <c r="C333" i="1"/>
  <c r="A21060" i="1"/>
  <c r="B21060" i="1"/>
  <c r="C21060" i="1"/>
  <c r="A21754" i="1"/>
  <c r="B21754" i="1"/>
  <c r="C21754" i="1"/>
  <c r="A19837" i="1"/>
  <c r="B19837" i="1"/>
  <c r="C19837" i="1"/>
  <c r="A11807" i="1"/>
  <c r="B11807" i="1"/>
  <c r="C11807" i="1"/>
  <c r="A3805" i="1"/>
  <c r="B3805" i="1"/>
  <c r="C3805" i="1"/>
  <c r="A18557" i="1"/>
  <c r="B18557" i="1"/>
  <c r="C18557" i="1"/>
  <c r="A11436" i="1"/>
  <c r="B11436" i="1"/>
  <c r="C11436" i="1"/>
  <c r="A17789" i="1"/>
  <c r="B17789" i="1"/>
  <c r="C17789" i="1"/>
  <c r="A798" i="1"/>
  <c r="B798" i="1"/>
  <c r="C798" i="1"/>
  <c r="A10306" i="1"/>
  <c r="B10306" i="1"/>
  <c r="C10306" i="1"/>
  <c r="A14390" i="1"/>
  <c r="B14390" i="1"/>
  <c r="C14390" i="1"/>
  <c r="A9562" i="1"/>
  <c r="B9562" i="1"/>
  <c r="C9562" i="1"/>
  <c r="A9673" i="1"/>
  <c r="B9673" i="1"/>
  <c r="C9673" i="1"/>
  <c r="A9670" i="1"/>
  <c r="B9670" i="1"/>
  <c r="C9670" i="1"/>
  <c r="A9671" i="1"/>
  <c r="B9671" i="1"/>
  <c r="C9671" i="1"/>
  <c r="A9373" i="1"/>
  <c r="B9373" i="1"/>
  <c r="C9373" i="1"/>
  <c r="A21069" i="1"/>
  <c r="B21069" i="1"/>
  <c r="C21069" i="1"/>
  <c r="A16653" i="1"/>
  <c r="B16653" i="1"/>
  <c r="C16653" i="1"/>
  <c r="A8425" i="1"/>
  <c r="B8425" i="1"/>
  <c r="C8425" i="1"/>
  <c r="A17070" i="1"/>
  <c r="B17070" i="1"/>
  <c r="C17070" i="1"/>
  <c r="A17092" i="1"/>
  <c r="B17092" i="1"/>
  <c r="C17092" i="1"/>
  <c r="A14846" i="1"/>
  <c r="B14846" i="1"/>
  <c r="C14846" i="1"/>
  <c r="A10637" i="1"/>
  <c r="B10637" i="1"/>
  <c r="C10637" i="1"/>
  <c r="A22972" i="1"/>
  <c r="B22972" i="1"/>
  <c r="C22972" i="1"/>
  <c r="A11120" i="1"/>
  <c r="B11120" i="1"/>
  <c r="C11120" i="1"/>
  <c r="A9143" i="1"/>
  <c r="B9143" i="1"/>
  <c r="C9143" i="1"/>
  <c r="A24913" i="1"/>
  <c r="B24913" i="1"/>
  <c r="C24913" i="1"/>
  <c r="A24914" i="1"/>
  <c r="B24914" i="1"/>
  <c r="C24914" i="1"/>
  <c r="A12448" i="1"/>
  <c r="B12448" i="1"/>
  <c r="C12448" i="1"/>
  <c r="A8928" i="1"/>
  <c r="B8928" i="1"/>
  <c r="C8928" i="1"/>
  <c r="A21018" i="1"/>
  <c r="B21018" i="1"/>
  <c r="C21018" i="1"/>
  <c r="A17464" i="1"/>
  <c r="B17464" i="1"/>
  <c r="C17464" i="1"/>
  <c r="A6830" i="1"/>
  <c r="B6830" i="1"/>
  <c r="C6830" i="1"/>
  <c r="A4138" i="1"/>
  <c r="B4138" i="1"/>
  <c r="C4138" i="1"/>
  <c r="A4143" i="1"/>
  <c r="B4143" i="1"/>
  <c r="C4143" i="1"/>
  <c r="A2035" i="1"/>
  <c r="B2035" i="1"/>
  <c r="C2035" i="1"/>
  <c r="A25303" i="1"/>
  <c r="B25303" i="1"/>
  <c r="C25303" i="1"/>
  <c r="A25660" i="1"/>
  <c r="B25660" i="1"/>
  <c r="C25660" i="1"/>
  <c r="A25659" i="1"/>
  <c r="B25659" i="1"/>
  <c r="C25659" i="1"/>
  <c r="A16227" i="1"/>
  <c r="B16227" i="1"/>
  <c r="C16227" i="1"/>
  <c r="A16316" i="1"/>
  <c r="B16316" i="1"/>
  <c r="C16316" i="1"/>
  <c r="A21756" i="1"/>
  <c r="B21756" i="1"/>
  <c r="C21756" i="1"/>
  <c r="A15400" i="1"/>
  <c r="B15400" i="1"/>
  <c r="C15400" i="1"/>
  <c r="A11631" i="1"/>
  <c r="B11631" i="1"/>
  <c r="C11631" i="1"/>
  <c r="A11628" i="1"/>
  <c r="B11628" i="1"/>
  <c r="C11628" i="1"/>
  <c r="A11626" i="1"/>
  <c r="B11626" i="1"/>
  <c r="C11626" i="1"/>
  <c r="A8273" i="1"/>
  <c r="B8273" i="1"/>
  <c r="C8273" i="1"/>
  <c r="A11624" i="1"/>
  <c r="B11624" i="1"/>
  <c r="C11624" i="1"/>
  <c r="A11630" i="1"/>
  <c r="B11630" i="1"/>
  <c r="C11630" i="1"/>
  <c r="A11627" i="1"/>
  <c r="B11627" i="1"/>
  <c r="C11627" i="1"/>
  <c r="A3075" i="1"/>
  <c r="B3075" i="1"/>
  <c r="C3075" i="1"/>
  <c r="A20539" i="1"/>
  <c r="B20539" i="1"/>
  <c r="C20539" i="1"/>
  <c r="A18344" i="1"/>
  <c r="B18344" i="1"/>
  <c r="C18344" i="1"/>
  <c r="A24091" i="1"/>
  <c r="B24091" i="1"/>
  <c r="C24091" i="1"/>
  <c r="A14439" i="1"/>
  <c r="B14439" i="1"/>
  <c r="C14439" i="1"/>
  <c r="A25196" i="1"/>
  <c r="B25196" i="1"/>
  <c r="C25196" i="1"/>
  <c r="A16310" i="1"/>
  <c r="B16310" i="1"/>
  <c r="C16310" i="1"/>
  <c r="A21740" i="1"/>
  <c r="B21740" i="1"/>
  <c r="C21740" i="1"/>
  <c r="A18001" i="1"/>
  <c r="B18001" i="1"/>
  <c r="C18001" i="1"/>
  <c r="A7548" i="1"/>
  <c r="B7548" i="1"/>
  <c r="C7548" i="1"/>
  <c r="A2694" i="1"/>
  <c r="B2694" i="1"/>
  <c r="C2694" i="1"/>
  <c r="A755" i="1"/>
  <c r="B755" i="1"/>
  <c r="C755" i="1"/>
  <c r="A13560" i="1"/>
  <c r="B13560" i="1"/>
  <c r="C13560" i="1"/>
  <c r="A5969" i="1"/>
  <c r="B5969" i="1"/>
  <c r="C5969" i="1"/>
  <c r="A23962" i="1"/>
  <c r="B23962" i="1"/>
  <c r="C23962" i="1"/>
  <c r="A23958" i="1"/>
  <c r="B23958" i="1"/>
  <c r="C23958" i="1"/>
  <c r="A18964" i="1"/>
  <c r="B18964" i="1"/>
  <c r="C18964" i="1"/>
  <c r="A17806" i="1"/>
  <c r="B17806" i="1"/>
  <c r="C17806" i="1"/>
  <c r="A15979" i="1"/>
  <c r="B15979" i="1"/>
  <c r="C15979" i="1"/>
  <c r="A3540" i="1"/>
  <c r="B3540" i="1"/>
  <c r="C3540" i="1"/>
  <c r="A23798" i="1"/>
  <c r="B23798" i="1"/>
  <c r="C23798" i="1"/>
  <c r="A23780" i="1"/>
  <c r="B23780" i="1"/>
  <c r="C23780" i="1"/>
  <c r="A6828" i="1"/>
  <c r="B6828" i="1"/>
  <c r="C6828" i="1"/>
  <c r="A24031" i="1"/>
  <c r="B24031" i="1"/>
  <c r="C24031" i="1"/>
  <c r="A6890" i="1"/>
  <c r="B6890" i="1"/>
  <c r="C6890" i="1"/>
  <c r="A25493" i="1"/>
  <c r="B25493" i="1"/>
  <c r="C25493" i="1"/>
  <c r="A8024" i="1"/>
  <c r="B8024" i="1"/>
  <c r="C8024" i="1"/>
  <c r="A4121" i="1"/>
  <c r="B4121" i="1"/>
  <c r="C4121" i="1"/>
  <c r="A11868" i="1"/>
  <c r="B11868" i="1"/>
  <c r="C11868" i="1"/>
  <c r="A6401" i="1"/>
  <c r="B6401" i="1"/>
  <c r="C6401" i="1"/>
  <c r="A8900" i="1"/>
  <c r="B8900" i="1"/>
  <c r="C8900" i="1"/>
  <c r="A21003" i="1"/>
  <c r="B21003" i="1"/>
  <c r="C21003" i="1"/>
  <c r="A15778" i="1"/>
  <c r="B15778" i="1"/>
  <c r="C15778" i="1"/>
  <c r="A2674" i="1"/>
  <c r="B2674" i="1"/>
  <c r="C2674" i="1"/>
  <c r="A1060" i="1"/>
  <c r="B1060" i="1"/>
  <c r="C1060" i="1"/>
  <c r="A15300" i="1"/>
  <c r="B15300" i="1"/>
  <c r="C15300" i="1"/>
  <c r="A3008" i="1"/>
  <c r="B3008" i="1"/>
  <c r="C3008" i="1"/>
  <c r="A2859" i="1"/>
  <c r="B2859" i="1"/>
  <c r="C2859" i="1"/>
  <c r="A438" i="1"/>
  <c r="B438" i="1"/>
  <c r="C438" i="1"/>
  <c r="A18239" i="1"/>
  <c r="B18239" i="1"/>
  <c r="C18239" i="1"/>
  <c r="A7655" i="1"/>
  <c r="B7655" i="1"/>
  <c r="C7655" i="1"/>
  <c r="A7613" i="1"/>
  <c r="B7613" i="1"/>
  <c r="C7613" i="1"/>
  <c r="A2647" i="1"/>
  <c r="B2647" i="1"/>
  <c r="C2647" i="1"/>
  <c r="A13385" i="1"/>
  <c r="B13385" i="1"/>
  <c r="C13385" i="1"/>
  <c r="A20333" i="1"/>
  <c r="B20333" i="1"/>
  <c r="C20333" i="1"/>
  <c r="A20320" i="1"/>
  <c r="B20320" i="1"/>
  <c r="C20320" i="1"/>
  <c r="A15442" i="1"/>
  <c r="B15442" i="1"/>
  <c r="C15442" i="1"/>
  <c r="A16659" i="1"/>
  <c r="B16659" i="1"/>
  <c r="C16659" i="1"/>
  <c r="A8080" i="1"/>
  <c r="B8080" i="1"/>
  <c r="C8080" i="1"/>
  <c r="A18437" i="1"/>
  <c r="B18437" i="1"/>
  <c r="C18437" i="1"/>
  <c r="A13418" i="1"/>
  <c r="B13418" i="1"/>
  <c r="C13418" i="1"/>
  <c r="A13497" i="1"/>
  <c r="B13497" i="1"/>
  <c r="C13497" i="1"/>
  <c r="A13498" i="1"/>
  <c r="B13498" i="1"/>
  <c r="C13498" i="1"/>
  <c r="A13386" i="1"/>
  <c r="B13386" i="1"/>
  <c r="C13386" i="1"/>
  <c r="A22851" i="1"/>
  <c r="B22851" i="1"/>
  <c r="C22851" i="1"/>
  <c r="A22852" i="1"/>
  <c r="B22852" i="1"/>
  <c r="C22852" i="1"/>
  <c r="A14393" i="1"/>
  <c r="B14393" i="1"/>
  <c r="C14393" i="1"/>
  <c r="A19028" i="1"/>
  <c r="B19028" i="1"/>
  <c r="C19028" i="1"/>
  <c r="A6794" i="1"/>
  <c r="B6794" i="1"/>
  <c r="C6794" i="1"/>
  <c r="A18404" i="1"/>
  <c r="B18404" i="1"/>
  <c r="C18404" i="1"/>
  <c r="A19924" i="1"/>
  <c r="B19924" i="1"/>
  <c r="C19924" i="1"/>
  <c r="A6360" i="1"/>
  <c r="B6360" i="1"/>
  <c r="C6360" i="1"/>
  <c r="A8109" i="1"/>
  <c r="B8109" i="1"/>
  <c r="C8109" i="1"/>
  <c r="A24068" i="1"/>
  <c r="B24068" i="1"/>
  <c r="C24068" i="1"/>
  <c r="A935" i="1"/>
  <c r="B935" i="1"/>
  <c r="C935" i="1"/>
  <c r="A939" i="1"/>
  <c r="B939" i="1"/>
  <c r="C939" i="1"/>
  <c r="A17875" i="1"/>
  <c r="B17875" i="1"/>
  <c r="C17875" i="1"/>
  <c r="A17879" i="1"/>
  <c r="B17879" i="1"/>
  <c r="C17879" i="1"/>
  <c r="A17882" i="1"/>
  <c r="B17882" i="1"/>
  <c r="C17882" i="1"/>
  <c r="A905" i="1"/>
  <c r="B905" i="1"/>
  <c r="C905" i="1"/>
  <c r="A911" i="1"/>
  <c r="B911" i="1"/>
  <c r="C911" i="1"/>
  <c r="A909" i="1"/>
  <c r="B909" i="1"/>
  <c r="C909" i="1"/>
  <c r="A918" i="1"/>
  <c r="B918" i="1"/>
  <c r="C918" i="1"/>
  <c r="A920" i="1"/>
  <c r="B920" i="1"/>
  <c r="C920" i="1"/>
  <c r="A4685" i="1"/>
  <c r="B4685" i="1"/>
  <c r="C4685" i="1"/>
  <c r="A12365" i="1"/>
  <c r="B12365" i="1"/>
  <c r="C12365" i="1"/>
  <c r="A6643" i="1"/>
  <c r="B6643" i="1"/>
  <c r="C6643" i="1"/>
  <c r="A2011" i="1"/>
  <c r="B2011" i="1"/>
  <c r="C2011" i="1"/>
  <c r="A16314" i="1"/>
  <c r="B16314" i="1"/>
  <c r="C16314" i="1"/>
  <c r="A874" i="1"/>
  <c r="B874" i="1"/>
  <c r="C874" i="1"/>
  <c r="A16811" i="1"/>
  <c r="B16811" i="1"/>
  <c r="C16811" i="1"/>
  <c r="A6417" i="1"/>
  <c r="B6417" i="1"/>
  <c r="C6417" i="1"/>
  <c r="A11818" i="1"/>
  <c r="B11818" i="1"/>
  <c r="C11818" i="1"/>
  <c r="A6418" i="1"/>
  <c r="B6418" i="1"/>
  <c r="C6418" i="1"/>
  <c r="A11815" i="1"/>
  <c r="B11815" i="1"/>
  <c r="C11815" i="1"/>
  <c r="A9580" i="1"/>
  <c r="B9580" i="1"/>
  <c r="C9580" i="1"/>
  <c r="A175" i="1"/>
  <c r="B175" i="1"/>
  <c r="C175" i="1"/>
  <c r="A2005" i="1"/>
  <c r="B2005" i="1"/>
  <c r="C2005" i="1"/>
  <c r="A23767" i="1"/>
  <c r="B23767" i="1"/>
  <c r="C23767" i="1"/>
  <c r="A1063" i="1"/>
  <c r="B1063" i="1"/>
  <c r="C1063" i="1"/>
  <c r="A1066" i="1"/>
  <c r="B1066" i="1"/>
  <c r="C1066" i="1"/>
  <c r="A1067" i="1"/>
  <c r="B1067" i="1"/>
  <c r="C1067" i="1"/>
  <c r="A19414" i="1"/>
  <c r="B19414" i="1"/>
  <c r="C19414" i="1"/>
  <c r="A1061" i="1"/>
  <c r="B1061" i="1"/>
  <c r="C1061" i="1"/>
  <c r="A24029" i="1"/>
  <c r="B24029" i="1"/>
  <c r="C24029" i="1"/>
  <c r="A1124" i="1"/>
  <c r="B1124" i="1"/>
  <c r="C1124" i="1"/>
  <c r="A12036" i="1"/>
  <c r="B12036" i="1"/>
  <c r="C12036" i="1"/>
  <c r="A12078" i="1"/>
  <c r="B12078" i="1"/>
  <c r="C12078" i="1"/>
  <c r="A24030" i="1"/>
  <c r="B24030" i="1"/>
  <c r="C24030" i="1"/>
  <c r="A1062" i="1"/>
  <c r="B1062" i="1"/>
  <c r="C1062" i="1"/>
  <c r="A1065" i="1"/>
  <c r="B1065" i="1"/>
  <c r="C1065" i="1"/>
  <c r="A1064" i="1"/>
  <c r="B1064" i="1"/>
  <c r="C1064" i="1"/>
  <c r="A12032" i="1"/>
  <c r="B12032" i="1"/>
  <c r="C12032" i="1"/>
  <c r="A1175" i="1"/>
  <c r="B1175" i="1"/>
  <c r="C1175" i="1"/>
  <c r="A1179" i="1"/>
  <c r="B1179" i="1"/>
  <c r="C1179" i="1"/>
  <c r="A1132" i="1"/>
  <c r="B1132" i="1"/>
  <c r="C1132" i="1"/>
  <c r="A13588" i="1"/>
  <c r="B13588" i="1"/>
  <c r="C13588" i="1"/>
  <c r="A13616" i="1"/>
  <c r="B13616" i="1"/>
  <c r="C13616" i="1"/>
  <c r="A13566" i="1"/>
  <c r="B13566" i="1"/>
  <c r="C13566" i="1"/>
  <c r="A20373" i="1"/>
  <c r="B20373" i="1"/>
  <c r="C20373" i="1"/>
  <c r="A21532" i="1"/>
  <c r="C21532" i="1"/>
  <c r="A12802" i="1"/>
  <c r="B12802" i="1"/>
  <c r="C12802" i="1"/>
  <c r="A12795" i="1"/>
  <c r="B12795" i="1"/>
  <c r="C12795" i="1"/>
  <c r="A940" i="1"/>
  <c r="B940" i="1"/>
  <c r="C940" i="1"/>
  <c r="A11542" i="1"/>
  <c r="B11542" i="1"/>
  <c r="C11542" i="1"/>
  <c r="A5392" i="1"/>
  <c r="B5392" i="1"/>
  <c r="C5392" i="1"/>
  <c r="A7329" i="1"/>
  <c r="B7329" i="1"/>
  <c r="C7329" i="1"/>
  <c r="A25138" i="1"/>
  <c r="B25138" i="1"/>
  <c r="C25138" i="1"/>
  <c r="A21620" i="1"/>
  <c r="B21620" i="1"/>
  <c r="C21620" i="1"/>
  <c r="A774" i="1"/>
  <c r="B774" i="1"/>
  <c r="C774" i="1"/>
  <c r="A23372" i="1"/>
  <c r="B23372" i="1"/>
  <c r="C23372" i="1"/>
  <c r="A8429" i="1"/>
  <c r="B8429" i="1"/>
  <c r="C8429" i="1"/>
  <c r="A19408" i="1"/>
  <c r="B19408" i="1"/>
  <c r="C19408" i="1"/>
  <c r="A12070" i="1"/>
  <c r="B12070" i="1"/>
  <c r="C12070" i="1"/>
  <c r="A1506" i="1"/>
  <c r="B1506" i="1"/>
  <c r="C1506" i="1"/>
  <c r="A13540" i="1"/>
  <c r="B13540" i="1"/>
  <c r="C13540" i="1"/>
  <c r="A13538" i="1"/>
  <c r="B13538" i="1"/>
  <c r="C13538" i="1"/>
  <c r="A13539" i="1"/>
  <c r="B13539" i="1"/>
  <c r="C13539" i="1"/>
  <c r="A13541" i="1"/>
  <c r="B13541" i="1"/>
  <c r="C13541" i="1"/>
  <c r="A4366" i="1"/>
  <c r="B4366" i="1"/>
  <c r="C4366" i="1"/>
  <c r="A1283" i="1"/>
  <c r="B1283" i="1"/>
  <c r="C1283" i="1"/>
  <c r="A8785" i="1"/>
  <c r="B8785" i="1"/>
  <c r="C8785" i="1"/>
  <c r="A24070" i="1"/>
  <c r="B24070" i="1"/>
  <c r="C24070" i="1"/>
  <c r="A20100" i="1"/>
  <c r="B20100" i="1"/>
  <c r="C20100" i="1"/>
  <c r="A22700" i="1"/>
  <c r="B22700" i="1"/>
  <c r="C22700" i="1"/>
  <c r="A7744" i="1"/>
  <c r="B7744" i="1"/>
  <c r="C7744" i="1"/>
  <c r="A24909" i="1"/>
  <c r="B24909" i="1"/>
  <c r="C24909" i="1"/>
  <c r="A7740" i="1"/>
  <c r="B7740" i="1"/>
  <c r="C7740" i="1"/>
  <c r="A25734" i="1"/>
  <c r="B25734" i="1"/>
  <c r="C25734" i="1"/>
  <c r="A16323" i="1"/>
  <c r="B16323" i="1"/>
  <c r="C16323" i="1"/>
  <c r="A20402" i="1"/>
  <c r="B20402" i="1"/>
  <c r="C20402" i="1"/>
  <c r="A6909" i="1"/>
  <c r="B6909" i="1"/>
  <c r="C6909" i="1"/>
  <c r="A8764" i="1"/>
  <c r="B8764" i="1"/>
  <c r="C8764" i="1"/>
  <c r="A21770" i="1"/>
  <c r="B21770" i="1"/>
  <c r="C21770" i="1"/>
  <c r="A1804" i="1"/>
  <c r="B1804" i="1"/>
  <c r="C1804" i="1"/>
  <c r="A22835" i="1"/>
  <c r="B22835" i="1"/>
  <c r="C22835" i="1"/>
  <c r="A9777" i="1"/>
  <c r="B9777" i="1"/>
  <c r="C9777" i="1"/>
  <c r="A16597" i="1"/>
  <c r="B16597" i="1"/>
  <c r="C16597" i="1"/>
  <c r="A6936" i="1"/>
  <c r="B6936" i="1"/>
  <c r="C6936" i="1"/>
  <c r="A8146" i="1"/>
  <c r="B8146" i="1"/>
  <c r="C8146" i="1"/>
  <c r="A3976" i="1"/>
  <c r="B3976" i="1"/>
  <c r="C3976" i="1"/>
  <c r="A8935" i="1"/>
  <c r="B8935" i="1"/>
  <c r="C8935" i="1"/>
  <c r="A12359" i="1"/>
  <c r="B12359" i="1"/>
  <c r="C12359" i="1"/>
  <c r="A15883" i="1"/>
  <c r="B15883" i="1"/>
  <c r="C15883" i="1"/>
  <c r="A25302" i="1"/>
  <c r="B25302" i="1"/>
  <c r="C25302" i="1"/>
  <c r="A18588" i="1"/>
  <c r="B18588" i="1"/>
  <c r="C18588" i="1"/>
  <c r="A11980" i="1"/>
  <c r="B11980" i="1"/>
  <c r="C11980" i="1"/>
  <c r="A10788" i="1"/>
  <c r="B10788" i="1"/>
  <c r="C10788" i="1"/>
  <c r="A24411" i="1"/>
  <c r="B24411" i="1"/>
  <c r="C24411" i="1"/>
  <c r="A617" i="1"/>
  <c r="B617" i="1"/>
  <c r="C617" i="1"/>
  <c r="A639" i="1"/>
  <c r="B639" i="1"/>
  <c r="C639" i="1"/>
  <c r="A23960" i="1"/>
  <c r="B23960" i="1"/>
  <c r="C23960" i="1"/>
  <c r="A23988" i="1"/>
  <c r="B23988" i="1"/>
  <c r="C23988" i="1"/>
  <c r="A5992" i="1"/>
  <c r="B5992" i="1"/>
  <c r="C5992" i="1"/>
  <c r="A138" i="1"/>
  <c r="B138" i="1"/>
  <c r="C138" i="1"/>
  <c r="A16885" i="1"/>
  <c r="B16885" i="1"/>
  <c r="C16885" i="1"/>
  <c r="A7638" i="1"/>
  <c r="B7638" i="1"/>
  <c r="C7638" i="1"/>
  <c r="A7635" i="1"/>
  <c r="B7635" i="1"/>
  <c r="C7635" i="1"/>
  <c r="A2640" i="1"/>
  <c r="B2640" i="1"/>
  <c r="C2640" i="1"/>
  <c r="A2641" i="1"/>
  <c r="B2641" i="1"/>
  <c r="C2641" i="1"/>
  <c r="A7123" i="1"/>
  <c r="B7123" i="1"/>
  <c r="C7123" i="1"/>
  <c r="A21863" i="1"/>
  <c r="B21863" i="1"/>
  <c r="C21863" i="1"/>
  <c r="A8902" i="1"/>
  <c r="B8902" i="1"/>
  <c r="C8902" i="1"/>
  <c r="A11252" i="1"/>
  <c r="B11252" i="1"/>
  <c r="C11252" i="1"/>
  <c r="A1174" i="1"/>
  <c r="B1174" i="1"/>
  <c r="C1174" i="1"/>
  <c r="A20503" i="1"/>
  <c r="B20503" i="1"/>
  <c r="C20503" i="1"/>
  <c r="A1069" i="1"/>
  <c r="B1069" i="1"/>
  <c r="C1069" i="1"/>
  <c r="A958" i="1"/>
  <c r="B958" i="1"/>
  <c r="C958" i="1"/>
  <c r="A8098" i="1"/>
  <c r="B8098" i="1"/>
  <c r="C8098" i="1"/>
  <c r="A19411" i="1"/>
  <c r="B19411" i="1"/>
  <c r="C19411" i="1"/>
  <c r="A11975" i="1"/>
  <c r="B11975" i="1"/>
  <c r="C11975" i="1"/>
  <c r="A18616" i="1"/>
  <c r="B18616" i="1"/>
  <c r="C18616" i="1"/>
  <c r="A18617" i="1"/>
  <c r="B18617" i="1"/>
  <c r="C18617" i="1"/>
  <c r="A9578" i="1"/>
  <c r="B9578" i="1"/>
  <c r="C9578" i="1"/>
  <c r="A24203" i="1"/>
  <c r="B24203" i="1"/>
  <c r="C24203" i="1"/>
  <c r="A19680" i="1"/>
  <c r="B19680" i="1"/>
  <c r="C19680" i="1"/>
  <c r="A19681" i="1"/>
  <c r="B19681" i="1"/>
  <c r="C19681" i="1"/>
  <c r="A1762" i="1"/>
  <c r="B1762" i="1"/>
  <c r="C1762" i="1"/>
  <c r="A2214" i="1"/>
  <c r="B2214" i="1"/>
  <c r="C2214" i="1"/>
  <c r="A17097" i="1"/>
  <c r="B17097" i="1"/>
  <c r="C17097" i="1"/>
  <c r="A17094" i="1"/>
  <c r="B17094" i="1"/>
  <c r="C17094" i="1"/>
  <c r="A20558" i="1"/>
  <c r="B20558" i="1"/>
  <c r="C20558" i="1"/>
  <c r="A11114" i="1"/>
  <c r="B11114" i="1"/>
  <c r="C11114" i="1"/>
  <c r="A11115" i="1"/>
  <c r="B11115" i="1"/>
  <c r="C11115" i="1"/>
  <c r="A6979" i="1"/>
  <c r="B6979" i="1"/>
  <c r="C6979" i="1"/>
  <c r="A826" i="1"/>
  <c r="B826" i="1"/>
  <c r="C826" i="1"/>
  <c r="A17238" i="1"/>
  <c r="B17238" i="1"/>
  <c r="C17238" i="1"/>
  <c r="A24638" i="1"/>
  <c r="B24638" i="1"/>
  <c r="C24638" i="1"/>
  <c r="A20545" i="1"/>
  <c r="B20545" i="1"/>
  <c r="C20545" i="1"/>
  <c r="A15063" i="1"/>
  <c r="B15063" i="1"/>
  <c r="C15063" i="1"/>
  <c r="A12169" i="1"/>
  <c r="B12169" i="1"/>
  <c r="C12169" i="1"/>
  <c r="A644" i="1"/>
  <c r="B644" i="1"/>
  <c r="C644" i="1"/>
  <c r="A11525" i="1"/>
  <c r="B11525" i="1"/>
  <c r="C11525" i="1"/>
  <c r="A7714" i="1"/>
  <c r="B7714" i="1"/>
  <c r="C7714" i="1"/>
  <c r="A18418" i="1"/>
  <c r="B18418" i="1"/>
  <c r="C18418" i="1"/>
  <c r="A8075" i="1"/>
  <c r="B8075" i="1"/>
  <c r="C8075" i="1"/>
  <c r="A17562" i="1"/>
  <c r="B17562" i="1"/>
  <c r="C17562" i="1"/>
  <c r="A21710" i="1"/>
  <c r="B21710" i="1"/>
  <c r="C21710" i="1"/>
  <c r="A4388" i="1"/>
  <c r="B4388" i="1"/>
  <c r="C4388" i="1"/>
  <c r="A5651" i="1"/>
  <c r="B5651" i="1"/>
  <c r="C5651" i="1"/>
  <c r="A8860" i="1"/>
  <c r="B8860" i="1"/>
  <c r="C8860" i="1"/>
  <c r="A21977" i="1"/>
  <c r="B21977" i="1"/>
  <c r="C21977" i="1"/>
  <c r="A16651" i="1"/>
  <c r="B16651" i="1"/>
  <c r="C16651" i="1"/>
  <c r="A20832" i="1"/>
  <c r="B20832" i="1"/>
  <c r="C20832" i="1"/>
  <c r="A20531" i="1"/>
  <c r="B20531" i="1"/>
  <c r="C20531" i="1"/>
  <c r="A20835" i="1"/>
  <c r="B20835" i="1"/>
  <c r="C20835" i="1"/>
  <c r="A20834" i="1"/>
  <c r="B20834" i="1"/>
  <c r="C20834" i="1"/>
  <c r="A20547" i="1"/>
  <c r="B20547" i="1"/>
  <c r="C20547" i="1"/>
  <c r="A16297" i="1"/>
  <c r="B16297" i="1"/>
  <c r="C16297" i="1"/>
  <c r="A23716" i="1"/>
  <c r="B23716" i="1"/>
  <c r="C23716" i="1"/>
  <c r="A23717" i="1"/>
  <c r="B23717" i="1"/>
  <c r="C23717" i="1"/>
  <c r="A16276" i="1"/>
  <c r="B16276" i="1"/>
  <c r="C16276" i="1"/>
  <c r="A14354" i="1"/>
  <c r="B14354" i="1"/>
  <c r="C14354" i="1"/>
  <c r="A5959" i="1"/>
  <c r="B5959" i="1"/>
  <c r="C5959" i="1"/>
  <c r="A1771" i="1"/>
  <c r="B1771" i="1"/>
  <c r="C1771" i="1"/>
  <c r="A1354" i="1"/>
  <c r="B1354" i="1"/>
  <c r="C1354" i="1"/>
  <c r="A1356" i="1"/>
  <c r="B1356" i="1"/>
  <c r="C1356" i="1"/>
  <c r="A15162" i="1"/>
  <c r="B15162" i="1"/>
  <c r="C15162" i="1"/>
  <c r="A6266" i="1"/>
  <c r="B6266" i="1"/>
  <c r="C6266" i="1"/>
  <c r="A11817" i="1"/>
  <c r="B11817" i="1"/>
  <c r="C11817" i="1"/>
  <c r="A14912" i="1"/>
  <c r="B14912" i="1"/>
  <c r="C14912" i="1"/>
  <c r="A19805" i="1"/>
  <c r="B19805" i="1"/>
  <c r="C19805" i="1"/>
  <c r="A3059" i="1"/>
  <c r="B3059" i="1"/>
  <c r="C3059" i="1"/>
  <c r="A14188" i="1"/>
  <c r="B14188" i="1"/>
  <c r="C14188" i="1"/>
  <c r="A14158" i="1"/>
  <c r="B14158" i="1"/>
  <c r="C14158" i="1"/>
  <c r="A4376" i="1"/>
  <c r="B4376" i="1"/>
  <c r="C4376" i="1"/>
  <c r="A6660" i="1"/>
  <c r="B6660" i="1"/>
  <c r="C6660" i="1"/>
  <c r="A6662" i="1"/>
  <c r="B6662" i="1"/>
  <c r="C6662" i="1"/>
  <c r="A6671" i="1"/>
  <c r="B6671" i="1"/>
  <c r="C6671" i="1"/>
  <c r="A6666" i="1"/>
  <c r="B6666" i="1"/>
  <c r="C6666" i="1"/>
  <c r="A6659" i="1"/>
  <c r="B6659" i="1"/>
  <c r="C6659" i="1"/>
  <c r="A6664" i="1"/>
  <c r="B6664" i="1"/>
  <c r="C6664" i="1"/>
  <c r="A6658" i="1"/>
  <c r="B6658" i="1"/>
  <c r="C6658" i="1"/>
  <c r="A23593" i="1"/>
  <c r="B23593" i="1"/>
  <c r="C23593" i="1"/>
  <c r="A6244" i="1"/>
  <c r="B6244" i="1"/>
  <c r="C6244" i="1"/>
  <c r="A6938" i="1"/>
  <c r="B6938" i="1"/>
  <c r="C6938" i="1"/>
  <c r="A5487" i="1"/>
  <c r="B5487" i="1"/>
  <c r="C5487" i="1"/>
  <c r="A5452" i="1"/>
  <c r="B5452" i="1"/>
  <c r="C5452" i="1"/>
  <c r="A19852" i="1"/>
  <c r="B19852" i="1"/>
  <c r="C19852" i="1"/>
  <c r="A11510" i="1"/>
  <c r="B11510" i="1"/>
  <c r="C11510" i="1"/>
  <c r="A18728" i="1"/>
  <c r="B18728" i="1"/>
  <c r="C18728" i="1"/>
  <c r="A18216" i="1"/>
  <c r="B18216" i="1"/>
  <c r="C18216" i="1"/>
  <c r="A6949" i="1"/>
  <c r="B6949" i="1"/>
  <c r="C6949" i="1"/>
  <c r="A8830" i="1"/>
  <c r="B8830" i="1"/>
  <c r="C8830" i="1"/>
  <c r="A8942" i="1"/>
  <c r="B8942" i="1"/>
  <c r="C8942" i="1"/>
  <c r="A137" i="1"/>
  <c r="B137" i="1"/>
  <c r="C137" i="1"/>
  <c r="A16655" i="1"/>
  <c r="B16655" i="1"/>
  <c r="C16655" i="1"/>
  <c r="A16652" i="1"/>
  <c r="B16652" i="1"/>
  <c r="C16652" i="1"/>
  <c r="A917" i="1"/>
  <c r="B917" i="1"/>
  <c r="C917" i="1"/>
  <c r="A936" i="1"/>
  <c r="B936" i="1"/>
  <c r="C936" i="1"/>
  <c r="A947" i="1"/>
  <c r="B947" i="1"/>
  <c r="C947" i="1"/>
  <c r="A24556" i="1"/>
  <c r="B24556" i="1"/>
  <c r="C24556" i="1"/>
  <c r="A19975" i="1"/>
  <c r="B19975" i="1"/>
  <c r="C19975" i="1"/>
  <c r="A8393" i="1"/>
  <c r="B8393" i="1"/>
  <c r="C8393" i="1"/>
  <c r="A25570" i="1"/>
  <c r="B25570" i="1"/>
  <c r="C25570" i="1"/>
  <c r="A25577" i="1"/>
  <c r="B25577" i="1"/>
  <c r="C25577" i="1"/>
  <c r="A4298" i="1"/>
  <c r="B4298" i="1"/>
  <c r="C4298" i="1"/>
  <c r="A3338" i="1"/>
  <c r="B3338" i="1"/>
  <c r="C3338" i="1"/>
  <c r="A3342" i="1"/>
  <c r="B3342" i="1"/>
  <c r="C3342" i="1"/>
  <c r="A19373" i="1"/>
  <c r="B19373" i="1"/>
  <c r="C19373" i="1"/>
  <c r="A15943" i="1"/>
  <c r="B15943" i="1"/>
  <c r="C15943" i="1"/>
  <c r="A6260" i="1"/>
  <c r="B6260" i="1"/>
  <c r="C6260" i="1"/>
  <c r="A10496" i="1"/>
  <c r="B10496" i="1"/>
  <c r="C10496" i="1"/>
  <c r="A25657" i="1"/>
  <c r="B25657" i="1"/>
  <c r="C25657" i="1"/>
  <c r="A12525" i="1"/>
  <c r="B12525" i="1"/>
  <c r="C12525" i="1"/>
  <c r="A12526" i="1"/>
  <c r="B12526" i="1"/>
  <c r="C12526" i="1"/>
  <c r="A23901" i="1"/>
  <c r="B23901" i="1"/>
  <c r="C23901" i="1"/>
  <c r="A871" i="1"/>
  <c r="B871" i="1"/>
  <c r="C871" i="1"/>
  <c r="A6901" i="1"/>
  <c r="B6901" i="1"/>
  <c r="C6901" i="1"/>
  <c r="A20074" i="1"/>
  <c r="B20074" i="1"/>
  <c r="C20074" i="1"/>
  <c r="A6565" i="1"/>
  <c r="B6565" i="1"/>
  <c r="C6565" i="1"/>
  <c r="A23179" i="1"/>
  <c r="B23179" i="1"/>
  <c r="C23179" i="1"/>
  <c r="A8028" i="1"/>
  <c r="B8028" i="1"/>
  <c r="C8028" i="1"/>
  <c r="A6945" i="1"/>
  <c r="B6945" i="1"/>
  <c r="C6945" i="1"/>
  <c r="A25256" i="1"/>
  <c r="B25256" i="1"/>
  <c r="C25256" i="1"/>
  <c r="A5324" i="1"/>
  <c r="B5324" i="1"/>
  <c r="C5324" i="1"/>
  <c r="A18727" i="1"/>
  <c r="B18727" i="1"/>
  <c r="C18727" i="1"/>
  <c r="A4436" i="1"/>
  <c r="B4436" i="1"/>
  <c r="C4436" i="1"/>
  <c r="A17479" i="1"/>
  <c r="B17479" i="1"/>
  <c r="C17479" i="1"/>
  <c r="A12218" i="1"/>
  <c r="B12218" i="1"/>
  <c r="C12218" i="1"/>
  <c r="A16082" i="1"/>
  <c r="B16082" i="1"/>
  <c r="C16082" i="1"/>
  <c r="A20772" i="1"/>
  <c r="B20772" i="1"/>
  <c r="C20772" i="1"/>
  <c r="A9934" i="1"/>
  <c r="B9934" i="1"/>
  <c r="C9934" i="1"/>
  <c r="A4743" i="1"/>
  <c r="B4743" i="1"/>
  <c r="C4743" i="1"/>
  <c r="A2999" i="1"/>
  <c r="B2999" i="1"/>
  <c r="C2999" i="1"/>
  <c r="A20796" i="1"/>
  <c r="B20796" i="1"/>
  <c r="C20796" i="1"/>
  <c r="A15114" i="1"/>
  <c r="B15114" i="1"/>
  <c r="C15114" i="1"/>
  <c r="A5319" i="1"/>
  <c r="B5319" i="1"/>
  <c r="C5319" i="1"/>
  <c r="A25507" i="1"/>
  <c r="B25507" i="1"/>
  <c r="C25507" i="1"/>
  <c r="A16119" i="1"/>
  <c r="B16119" i="1"/>
  <c r="C16119" i="1"/>
  <c r="A8629" i="1"/>
  <c r="B8629" i="1"/>
  <c r="C8629" i="1"/>
  <c r="A20956" i="1"/>
  <c r="B20956" i="1"/>
  <c r="C20956" i="1"/>
  <c r="A9454" i="1"/>
  <c r="B9454" i="1"/>
  <c r="C9454" i="1"/>
  <c r="A3496" i="1"/>
  <c r="B3496" i="1"/>
  <c r="C3496" i="1"/>
  <c r="A1559" i="1"/>
  <c r="B1559" i="1"/>
  <c r="C1559" i="1"/>
  <c r="A1523" i="1"/>
  <c r="B1523" i="1"/>
  <c r="C1523" i="1"/>
  <c r="A20999" i="1"/>
  <c r="B20999" i="1"/>
  <c r="C20999" i="1"/>
  <c r="A777" i="1"/>
  <c r="B777" i="1"/>
  <c r="C777" i="1"/>
  <c r="A9442" i="1"/>
  <c r="B9442" i="1"/>
  <c r="C9442" i="1"/>
  <c r="A17090" i="1"/>
  <c r="B17090" i="1"/>
  <c r="C17090" i="1"/>
  <c r="A17088" i="1"/>
  <c r="B17088" i="1"/>
  <c r="C17088" i="1"/>
  <c r="A17853" i="1"/>
  <c r="B17853" i="1"/>
  <c r="C17853" i="1"/>
  <c r="A16032" i="1"/>
  <c r="B16032" i="1"/>
  <c r="C16032" i="1"/>
  <c r="A16533" i="1"/>
  <c r="B16533" i="1"/>
  <c r="C16533" i="1"/>
  <c r="A16532" i="1"/>
  <c r="B16532" i="1"/>
  <c r="C16532" i="1"/>
  <c r="A20975" i="1"/>
  <c r="B20975" i="1"/>
  <c r="C20975" i="1"/>
  <c r="A8040" i="1"/>
  <c r="B8040" i="1"/>
  <c r="C8040" i="1"/>
  <c r="A3625" i="1"/>
  <c r="B3625" i="1"/>
  <c r="C3625" i="1"/>
  <c r="A1560" i="1"/>
  <c r="B1560" i="1"/>
  <c r="C1560" i="1"/>
  <c r="A17185" i="1"/>
  <c r="B17185" i="1"/>
  <c r="C17185" i="1"/>
  <c r="A20982" i="1"/>
  <c r="B20982" i="1"/>
  <c r="C20982" i="1"/>
  <c r="A20986" i="1"/>
  <c r="B20986" i="1"/>
  <c r="C20986" i="1"/>
  <c r="A6325" i="1"/>
  <c r="B6325" i="1"/>
  <c r="C6325" i="1"/>
  <c r="A17089" i="1"/>
  <c r="B17089" i="1"/>
  <c r="C17089" i="1"/>
  <c r="A890" i="1"/>
  <c r="B890" i="1"/>
  <c r="C890" i="1"/>
  <c r="A9389" i="1"/>
  <c r="B9389" i="1"/>
  <c r="C9389" i="1"/>
  <c r="A892" i="1"/>
  <c r="B892" i="1"/>
  <c r="C892" i="1"/>
  <c r="A7470" i="1"/>
  <c r="B7470" i="1"/>
  <c r="C7470" i="1"/>
  <c r="A17861" i="1"/>
  <c r="B17861" i="1"/>
  <c r="C17861" i="1"/>
  <c r="A17863" i="1"/>
  <c r="B17863" i="1"/>
  <c r="C17863" i="1"/>
  <c r="A17865" i="1"/>
  <c r="B17865" i="1"/>
  <c r="C17865" i="1"/>
  <c r="A17866" i="1"/>
  <c r="B17866" i="1"/>
  <c r="C17866" i="1"/>
  <c r="A17498" i="1"/>
  <c r="B17498" i="1"/>
  <c r="C17498" i="1"/>
  <c r="A5415" i="1"/>
  <c r="B5415" i="1"/>
  <c r="C5415" i="1"/>
  <c r="A889" i="1"/>
  <c r="B889" i="1"/>
  <c r="C889" i="1"/>
  <c r="A1515" i="1"/>
  <c r="B1515" i="1"/>
  <c r="C1515" i="1"/>
  <c r="A887" i="1"/>
  <c r="B887" i="1"/>
  <c r="C887" i="1"/>
  <c r="A20658" i="1"/>
  <c r="B20658" i="1"/>
  <c r="C20658" i="1"/>
  <c r="A9391" i="1"/>
  <c r="B9391" i="1"/>
  <c r="C9391" i="1"/>
  <c r="A12291" i="1"/>
  <c r="B12291" i="1"/>
  <c r="C12291" i="1"/>
  <c r="A20627" i="1"/>
  <c r="B20627" i="1"/>
  <c r="C20627" i="1"/>
  <c r="A891" i="1"/>
  <c r="B891" i="1"/>
  <c r="C891" i="1"/>
  <c r="A9390" i="1"/>
  <c r="B9390" i="1"/>
  <c r="C9390" i="1"/>
  <c r="A893" i="1"/>
  <c r="B893" i="1"/>
  <c r="C893" i="1"/>
  <c r="A5417" i="1"/>
  <c r="B5417" i="1"/>
  <c r="C5417" i="1"/>
  <c r="A17500" i="1"/>
  <c r="B17500" i="1"/>
  <c r="C17500" i="1"/>
  <c r="A9398" i="1"/>
  <c r="B9398" i="1"/>
  <c r="C9398" i="1"/>
  <c r="A3568" i="1"/>
  <c r="B3568" i="1"/>
  <c r="C3568" i="1"/>
  <c r="A9412" i="1"/>
  <c r="B9412" i="1"/>
  <c r="C9412" i="1"/>
  <c r="A17862" i="1"/>
  <c r="B17862" i="1"/>
  <c r="C17862" i="1"/>
  <c r="A20659" i="1"/>
  <c r="B20659" i="1"/>
  <c r="C20659" i="1"/>
  <c r="A20660" i="1"/>
  <c r="B20660" i="1"/>
  <c r="C20660" i="1"/>
  <c r="A22833" i="1"/>
  <c r="B22833" i="1"/>
  <c r="C22833" i="1"/>
  <c r="A9452" i="1"/>
  <c r="B9452" i="1"/>
  <c r="C9452" i="1"/>
  <c r="A17864" i="1"/>
  <c r="B17864" i="1"/>
  <c r="C17864" i="1"/>
  <c r="A18654" i="1"/>
  <c r="B18654" i="1"/>
  <c r="C18654" i="1"/>
  <c r="A3567" i="1"/>
  <c r="B3567" i="1"/>
  <c r="C3567" i="1"/>
  <c r="A20959" i="1"/>
  <c r="B20959" i="1"/>
  <c r="C20959" i="1"/>
  <c r="A10193" i="1"/>
  <c r="B10193" i="1"/>
  <c r="C10193" i="1"/>
  <c r="A17061" i="1"/>
  <c r="B17061" i="1"/>
  <c r="C17061" i="1"/>
  <c r="A1535" i="1"/>
  <c r="B1535" i="1"/>
  <c r="C1535" i="1"/>
  <c r="A5404" i="1"/>
  <c r="B5404" i="1"/>
  <c r="C5404" i="1"/>
  <c r="A9392" i="1"/>
  <c r="B9392" i="1"/>
  <c r="C9392" i="1"/>
  <c r="A9387" i="1"/>
  <c r="B9387" i="1"/>
  <c r="C9387" i="1"/>
  <c r="A9407" i="1"/>
  <c r="B9407" i="1"/>
  <c r="C9407" i="1"/>
  <c r="A11935" i="1"/>
  <c r="B11935" i="1"/>
  <c r="C11935" i="1"/>
  <c r="A11931" i="1"/>
  <c r="B11931" i="1"/>
  <c r="C11931" i="1"/>
  <c r="A9397" i="1"/>
  <c r="B9397" i="1"/>
  <c r="C9397" i="1"/>
  <c r="A25054" i="1"/>
  <c r="B25054" i="1"/>
  <c r="C25054" i="1"/>
  <c r="A13592" i="1"/>
  <c r="B13592" i="1"/>
  <c r="C13592" i="1"/>
  <c r="A1117" i="1"/>
  <c r="B1117" i="1"/>
  <c r="C1117" i="1"/>
  <c r="A1118" i="1"/>
  <c r="B1118" i="1"/>
  <c r="C1118" i="1"/>
  <c r="A5752" i="1"/>
  <c r="B5752" i="1"/>
  <c r="C5752" i="1"/>
  <c r="A19587" i="1"/>
  <c r="B19587" i="1"/>
  <c r="C19587" i="1"/>
  <c r="A19583" i="1"/>
  <c r="B19583" i="1"/>
  <c r="C19583" i="1"/>
  <c r="A14840" i="1"/>
  <c r="B14840" i="1"/>
  <c r="C14840" i="1"/>
  <c r="A620" i="1"/>
  <c r="B620" i="1"/>
  <c r="C620" i="1"/>
  <c r="A13615" i="1"/>
  <c r="B13615" i="1"/>
  <c r="C13615" i="1"/>
  <c r="A1505" i="1"/>
  <c r="B1505" i="1"/>
  <c r="C1505" i="1"/>
  <c r="A16049" i="1"/>
  <c r="B16049" i="1"/>
  <c r="C16049" i="1"/>
  <c r="A6973" i="1"/>
  <c r="B6973" i="1"/>
  <c r="C6973" i="1"/>
  <c r="A6932" i="1"/>
  <c r="B6932" i="1"/>
  <c r="C6932" i="1"/>
  <c r="A818" i="1"/>
  <c r="B818" i="1"/>
  <c r="C818" i="1"/>
  <c r="A1526" i="1"/>
  <c r="B1526" i="1"/>
  <c r="C1526" i="1"/>
  <c r="A23020" i="1"/>
  <c r="B23020" i="1"/>
  <c r="C23020" i="1"/>
  <c r="A23021" i="1"/>
  <c r="B23021" i="1"/>
  <c r="C23021" i="1"/>
  <c r="A23019" i="1"/>
  <c r="B23019" i="1"/>
  <c r="C23019" i="1"/>
  <c r="A22170" i="1"/>
  <c r="B22170" i="1"/>
  <c r="C22170" i="1"/>
  <c r="A12449" i="1"/>
  <c r="B12449" i="1"/>
  <c r="C12449" i="1"/>
  <c r="A10636" i="1"/>
  <c r="B10636" i="1"/>
  <c r="C10636" i="1"/>
  <c r="A19597" i="1"/>
  <c r="B19597" i="1"/>
  <c r="C19597" i="1"/>
  <c r="A17887" i="1"/>
  <c r="B17887" i="1"/>
  <c r="C17887" i="1"/>
  <c r="A3591" i="1"/>
  <c r="B3591" i="1"/>
  <c r="C3591" i="1"/>
  <c r="A11911" i="1"/>
  <c r="B11911" i="1"/>
  <c r="C11911" i="1"/>
  <c r="A7027" i="1"/>
  <c r="C7027" i="1"/>
  <c r="A25434" i="1"/>
  <c r="B25434" i="1"/>
  <c r="C25434" i="1"/>
  <c r="A15633" i="1"/>
  <c r="B15633" i="1"/>
  <c r="C15633" i="1"/>
  <c r="A4259" i="1"/>
  <c r="B4259" i="1"/>
  <c r="C4259" i="1"/>
  <c r="A13742" i="1"/>
  <c r="B13742" i="1"/>
  <c r="C13742" i="1"/>
  <c r="A25645" i="1"/>
  <c r="B25645" i="1"/>
  <c r="C25645" i="1"/>
  <c r="A4901" i="1"/>
  <c r="B4901" i="1"/>
  <c r="C4901" i="1"/>
  <c r="A18087" i="1"/>
  <c r="B18087" i="1"/>
  <c r="C18087" i="1"/>
  <c r="A22185" i="1"/>
  <c r="B22185" i="1"/>
  <c r="C22185" i="1"/>
  <c r="A11327" i="1"/>
  <c r="B11327" i="1"/>
  <c r="C11327" i="1"/>
  <c r="A6587" i="1"/>
  <c r="B6587" i="1"/>
  <c r="C6587" i="1"/>
  <c r="A22205" i="1"/>
  <c r="B22205" i="1"/>
  <c r="C22205" i="1"/>
  <c r="A6148" i="1"/>
  <c r="B6148" i="1"/>
  <c r="C6148" i="1"/>
  <c r="A10450" i="1"/>
  <c r="B10450" i="1"/>
  <c r="C10450" i="1"/>
  <c r="A19958" i="1"/>
  <c r="B19958" i="1"/>
  <c r="C19958" i="1"/>
  <c r="A19944" i="1"/>
  <c r="B19944" i="1"/>
  <c r="C19944" i="1"/>
  <c r="A18726" i="1"/>
  <c r="B18726" i="1"/>
  <c r="C18726" i="1"/>
  <c r="A16650" i="1"/>
  <c r="B16650" i="1"/>
  <c r="C16650" i="1"/>
  <c r="A22797" i="1"/>
  <c r="B22797" i="1"/>
  <c r="C22797" i="1"/>
  <c r="A12741" i="1"/>
  <c r="B12741" i="1"/>
  <c r="C12741" i="1"/>
  <c r="A21785" i="1"/>
  <c r="B21785" i="1"/>
  <c r="C21785" i="1"/>
  <c r="A18115" i="1"/>
  <c r="B18115" i="1"/>
  <c r="C18115" i="1"/>
  <c r="A18116" i="1"/>
  <c r="B18116" i="1"/>
  <c r="C18116" i="1"/>
  <c r="A18165" i="1"/>
  <c r="B18165" i="1"/>
  <c r="C18165" i="1"/>
  <c r="A18166" i="1"/>
  <c r="B18166" i="1"/>
  <c r="C18166" i="1"/>
  <c r="A13586" i="1"/>
  <c r="B13586" i="1"/>
  <c r="C13586" i="1"/>
  <c r="A13591" i="1"/>
  <c r="B13591" i="1"/>
  <c r="C13591" i="1"/>
  <c r="A13593" i="1"/>
  <c r="B13593" i="1"/>
  <c r="C13593" i="1"/>
  <c r="A8384" i="1"/>
  <c r="B8384" i="1"/>
  <c r="C8384" i="1"/>
  <c r="A8385" i="1"/>
  <c r="B8385" i="1"/>
  <c r="C8385" i="1"/>
  <c r="A22230" i="1"/>
  <c r="B22230" i="1"/>
  <c r="C22230" i="1"/>
  <c r="A13506" i="1"/>
  <c r="B13506" i="1"/>
  <c r="C13506" i="1"/>
  <c r="A7404" i="1"/>
  <c r="B7404" i="1"/>
  <c r="C7404" i="1"/>
  <c r="A7405" i="1"/>
  <c r="B7405" i="1"/>
  <c r="C7405" i="1"/>
  <c r="A6657" i="1"/>
  <c r="B6657" i="1"/>
  <c r="C6657" i="1"/>
  <c r="A8014" i="1"/>
  <c r="B8014" i="1"/>
  <c r="C8014" i="1"/>
  <c r="A8941" i="1"/>
  <c r="B8941" i="1"/>
  <c r="C8941" i="1"/>
  <c r="A20001" i="1"/>
  <c r="B20001" i="1"/>
  <c r="C20001" i="1"/>
  <c r="A2982" i="1"/>
  <c r="B2982" i="1"/>
  <c r="C2982" i="1"/>
  <c r="A2977" i="1"/>
  <c r="B2977" i="1"/>
  <c r="C2977" i="1"/>
  <c r="A2978" i="1"/>
  <c r="B2978" i="1"/>
  <c r="C2978" i="1"/>
  <c r="A21824" i="1"/>
  <c r="B21824" i="1"/>
  <c r="C21824" i="1"/>
  <c r="A1764" i="1"/>
  <c r="B1764" i="1"/>
  <c r="C1764" i="1"/>
  <c r="A21370" i="1"/>
  <c r="B21370" i="1"/>
  <c r="C21370" i="1"/>
  <c r="A11586" i="1"/>
  <c r="B11586" i="1"/>
  <c r="C11586" i="1"/>
  <c r="A11883" i="1"/>
  <c r="B11883" i="1"/>
  <c r="C11883" i="1"/>
  <c r="A10702" i="1"/>
  <c r="B10702" i="1"/>
  <c r="C10702" i="1"/>
  <c r="A361" i="1"/>
  <c r="B361" i="1"/>
  <c r="C361" i="1"/>
  <c r="A14754" i="1"/>
  <c r="B14754" i="1"/>
  <c r="C14754" i="1"/>
  <c r="A22672" i="1"/>
  <c r="B22672" i="1"/>
  <c r="C22672" i="1"/>
  <c r="A22673" i="1"/>
  <c r="B22673" i="1"/>
  <c r="C22673" i="1"/>
  <c r="A8943" i="1"/>
  <c r="B8943" i="1"/>
  <c r="C8943" i="1"/>
  <c r="A10137" i="1"/>
  <c r="B10137" i="1"/>
  <c r="C10137" i="1"/>
  <c r="A16097" i="1"/>
  <c r="B16097" i="1"/>
  <c r="C16097" i="1"/>
  <c r="A16019" i="1"/>
  <c r="C16019" i="1"/>
  <c r="A10097" i="1"/>
  <c r="B10097" i="1"/>
  <c r="C10097" i="1"/>
  <c r="A6567" i="1"/>
  <c r="B6567" i="1"/>
  <c r="C6567" i="1"/>
  <c r="A19102" i="1"/>
  <c r="B19102" i="1"/>
  <c r="C19102" i="1"/>
  <c r="A15978" i="1"/>
  <c r="B15978" i="1"/>
  <c r="C15978" i="1"/>
  <c r="A1328" i="1"/>
  <c r="B1328" i="1"/>
  <c r="C1328" i="1"/>
  <c r="A12354" i="1"/>
  <c r="B12354" i="1"/>
  <c r="C12354" i="1"/>
  <c r="A12350" i="1"/>
  <c r="B12350" i="1"/>
  <c r="C12350" i="1"/>
  <c r="A15977" i="1"/>
  <c r="B15977" i="1"/>
  <c r="C15977" i="1"/>
  <c r="A778" i="1"/>
  <c r="B778" i="1"/>
  <c r="C778" i="1"/>
  <c r="A10107" i="1"/>
  <c r="C10107" i="1"/>
  <c r="A25334" i="1"/>
  <c r="B25334" i="1"/>
  <c r="C25334" i="1"/>
  <c r="A23753" i="1"/>
  <c r="B23753" i="1"/>
  <c r="C23753" i="1"/>
  <c r="A15061" i="1"/>
  <c r="B15061" i="1"/>
  <c r="C15061" i="1"/>
  <c r="A23266" i="1"/>
  <c r="B23266" i="1"/>
  <c r="C23266" i="1"/>
  <c r="A23268" i="1"/>
  <c r="B23268" i="1"/>
  <c r="C23268" i="1"/>
  <c r="A8497" i="1"/>
  <c r="B8497" i="1"/>
  <c r="C8497" i="1"/>
  <c r="A627" i="1"/>
  <c r="B627" i="1"/>
  <c r="C627" i="1"/>
  <c r="A6915" i="1"/>
  <c r="B6915" i="1"/>
  <c r="C6915" i="1"/>
  <c r="A15743" i="1"/>
  <c r="B15743" i="1"/>
  <c r="C15743" i="1"/>
  <c r="A15741" i="1"/>
  <c r="B15741" i="1"/>
  <c r="C15741" i="1"/>
  <c r="A15541" i="1"/>
  <c r="B15541" i="1"/>
  <c r="C15541" i="1"/>
  <c r="A20648" i="1"/>
  <c r="B20648" i="1"/>
  <c r="C20648" i="1"/>
  <c r="A6781" i="1"/>
  <c r="B6781" i="1"/>
  <c r="C6781" i="1"/>
  <c r="A13503" i="1"/>
  <c r="B13503" i="1"/>
  <c r="C13503" i="1"/>
  <c r="A20550" i="1"/>
  <c r="B20550" i="1"/>
  <c r="C20550" i="1"/>
  <c r="A11403" i="1"/>
  <c r="B11403" i="1"/>
  <c r="C11403" i="1"/>
  <c r="A3988" i="1"/>
  <c r="B3988" i="1"/>
  <c r="C3988" i="1"/>
  <c r="A328" i="1"/>
  <c r="B328" i="1"/>
  <c r="C328" i="1"/>
  <c r="A23923" i="1"/>
  <c r="B23923" i="1"/>
  <c r="C23923" i="1"/>
  <c r="A20042" i="1"/>
  <c r="B20042" i="1"/>
  <c r="C20042" i="1"/>
  <c r="A3592" i="1"/>
  <c r="B3592" i="1"/>
  <c r="C3592" i="1"/>
  <c r="A5553" i="1"/>
  <c r="B5553" i="1"/>
  <c r="C5553" i="1"/>
  <c r="A5568" i="1"/>
  <c r="B5568" i="1"/>
  <c r="C5568" i="1"/>
  <c r="A5555" i="1"/>
  <c r="B5555" i="1"/>
  <c r="C5555" i="1"/>
  <c r="A5570" i="1"/>
  <c r="B5570" i="1"/>
  <c r="C5570" i="1"/>
  <c r="A10675" i="1"/>
  <c r="B10675" i="1"/>
  <c r="C10675" i="1"/>
  <c r="A10684" i="1"/>
  <c r="B10684" i="1"/>
  <c r="C10684" i="1"/>
  <c r="A22987" i="1"/>
  <c r="B22987" i="1"/>
  <c r="C22987" i="1"/>
  <c r="A7313" i="1"/>
  <c r="B7313" i="1"/>
  <c r="C7313" i="1"/>
  <c r="A17227" i="1"/>
  <c r="B17227" i="1"/>
  <c r="C17227" i="1"/>
  <c r="A814" i="1"/>
  <c r="B814" i="1"/>
  <c r="C814" i="1"/>
  <c r="A7721" i="1"/>
  <c r="B7721" i="1"/>
  <c r="C7721" i="1"/>
  <c r="A25399" i="1"/>
  <c r="B25399" i="1"/>
  <c r="C25399" i="1"/>
  <c r="A23989" i="1"/>
  <c r="B23989" i="1"/>
  <c r="C23989" i="1"/>
  <c r="A16391" i="1"/>
  <c r="B16391" i="1"/>
  <c r="C16391" i="1"/>
  <c r="A3087" i="1"/>
  <c r="B3087" i="1"/>
  <c r="C3087" i="1"/>
  <c r="A3089" i="1"/>
  <c r="B3089" i="1"/>
  <c r="C3089" i="1"/>
  <c r="A21364" i="1"/>
  <c r="B21364" i="1"/>
  <c r="C21364" i="1"/>
  <c r="A18102" i="1"/>
  <c r="B18102" i="1"/>
  <c r="C18102" i="1"/>
  <c r="A21070" i="1"/>
  <c r="B21070" i="1"/>
  <c r="C21070" i="1"/>
  <c r="A3055" i="1"/>
  <c r="B3055" i="1"/>
  <c r="C3055" i="1"/>
  <c r="A4821" i="1"/>
  <c r="B4821" i="1"/>
  <c r="C4821" i="1"/>
  <c r="A17487" i="1"/>
  <c r="B17487" i="1"/>
  <c r="C17487" i="1"/>
  <c r="A14524" i="1"/>
  <c r="B14524" i="1"/>
  <c r="C14524" i="1"/>
  <c r="A7300" i="1"/>
  <c r="B7300" i="1"/>
  <c r="C7300" i="1"/>
  <c r="A19774" i="1"/>
  <c r="B19774" i="1"/>
  <c r="C19774" i="1"/>
  <c r="A17360" i="1"/>
  <c r="B17360" i="1"/>
  <c r="C17360" i="1"/>
  <c r="A14526" i="1"/>
  <c r="B14526" i="1"/>
  <c r="C14526" i="1"/>
  <c r="A19444" i="1"/>
  <c r="B19444" i="1"/>
  <c r="C19444" i="1"/>
  <c r="A8256" i="1"/>
  <c r="B8256" i="1"/>
  <c r="C8256" i="1"/>
  <c r="A5842" i="1"/>
  <c r="B5842" i="1"/>
  <c r="C5842" i="1"/>
  <c r="A24911" i="1"/>
  <c r="B24911" i="1"/>
  <c r="C24911" i="1"/>
  <c r="A12590" i="1"/>
  <c r="B12590" i="1"/>
  <c r="C12590" i="1"/>
  <c r="A12254" i="1"/>
  <c r="B12254" i="1"/>
  <c r="C12254" i="1"/>
  <c r="A12253" i="1"/>
  <c r="B12253" i="1"/>
  <c r="C12253" i="1"/>
  <c r="A12256" i="1"/>
  <c r="B12256" i="1"/>
  <c r="C12256" i="1"/>
  <c r="A12255" i="1"/>
  <c r="B12255" i="1"/>
  <c r="C12255" i="1"/>
  <c r="A12251" i="1"/>
  <c r="B12251" i="1"/>
  <c r="C12251" i="1"/>
  <c r="A12250" i="1"/>
  <c r="B12250" i="1"/>
  <c r="C12250" i="1"/>
  <c r="A12252" i="1"/>
  <c r="B12252" i="1"/>
  <c r="C12252" i="1"/>
  <c r="A12249" i="1"/>
  <c r="B12249" i="1"/>
  <c r="C12249" i="1"/>
  <c r="A7355" i="1"/>
  <c r="B7355" i="1"/>
  <c r="C7355" i="1"/>
  <c r="A13813" i="1"/>
  <c r="B13813" i="1"/>
  <c r="C13813" i="1"/>
  <c r="A357" i="1"/>
  <c r="B357" i="1"/>
  <c r="C357" i="1"/>
  <c r="A10113" i="1"/>
  <c r="B10113" i="1"/>
  <c r="C10113" i="1"/>
  <c r="A6974" i="1"/>
  <c r="B6974" i="1"/>
  <c r="C6974" i="1"/>
  <c r="A15939" i="1"/>
  <c r="B15939" i="1"/>
  <c r="C15939" i="1"/>
  <c r="A23096" i="1"/>
  <c r="B23096" i="1"/>
  <c r="C23096" i="1"/>
  <c r="A20825" i="1"/>
  <c r="B20825" i="1"/>
  <c r="C20825" i="1"/>
  <c r="A17065" i="1"/>
  <c r="B17065" i="1"/>
  <c r="C17065" i="1"/>
  <c r="A6963" i="1"/>
  <c r="B6963" i="1"/>
  <c r="C6963" i="1"/>
  <c r="A5718" i="1"/>
  <c r="C5718" i="1"/>
  <c r="A23468" i="1"/>
  <c r="B23468" i="1"/>
  <c r="C23468" i="1"/>
  <c r="A23380" i="1"/>
  <c r="B23380" i="1"/>
  <c r="C23380" i="1"/>
  <c r="A23467" i="1"/>
  <c r="B23467" i="1"/>
  <c r="C23467" i="1"/>
  <c r="A23375" i="1"/>
  <c r="B23375" i="1"/>
  <c r="C23375" i="1"/>
  <c r="A2282" i="1"/>
  <c r="B2282" i="1"/>
  <c r="C2282" i="1"/>
  <c r="A13501" i="1"/>
  <c r="B13501" i="1"/>
  <c r="C13501" i="1"/>
  <c r="A5582" i="1"/>
  <c r="B5582" i="1"/>
  <c r="C5582" i="1"/>
  <c r="A14298" i="1"/>
  <c r="B14298" i="1"/>
  <c r="C14298" i="1"/>
  <c r="A570" i="1"/>
  <c r="B570" i="1"/>
  <c r="C570" i="1"/>
  <c r="A566" i="1"/>
  <c r="B566" i="1"/>
  <c r="C566" i="1"/>
  <c r="A22671" i="1"/>
  <c r="B22671" i="1"/>
  <c r="C22671" i="1"/>
  <c r="A3362" i="1"/>
  <c r="B3362" i="1"/>
  <c r="C3362" i="1"/>
  <c r="A24317" i="1"/>
  <c r="B24317" i="1"/>
  <c r="C24317" i="1"/>
  <c r="A18427" i="1"/>
  <c r="B18427" i="1"/>
  <c r="C18427" i="1"/>
  <c r="A12465" i="1"/>
  <c r="B12465" i="1"/>
  <c r="C12465" i="1"/>
  <c r="A2510" i="1"/>
  <c r="B2510" i="1"/>
  <c r="C2510" i="1"/>
  <c r="A15737" i="1"/>
  <c r="B15737" i="1"/>
  <c r="C15737" i="1"/>
  <c r="A12612" i="1"/>
  <c r="B12612" i="1"/>
  <c r="C12612" i="1"/>
  <c r="A24873" i="1"/>
  <c r="B24873" i="1"/>
  <c r="C24873" i="1"/>
  <c r="A5858" i="1"/>
  <c r="B5858" i="1"/>
  <c r="C5858" i="1"/>
  <c r="A14351" i="1"/>
  <c r="B14351" i="1"/>
  <c r="C14351" i="1"/>
  <c r="A23344" i="1"/>
  <c r="B23344" i="1"/>
  <c r="C23344" i="1"/>
  <c r="A7506" i="1"/>
  <c r="B7506" i="1"/>
  <c r="C7506" i="1"/>
  <c r="A20661" i="1"/>
  <c r="B20661" i="1"/>
  <c r="C20661" i="1"/>
  <c r="A11936" i="1"/>
  <c r="B11936" i="1"/>
  <c r="C11936" i="1"/>
  <c r="A20496" i="1"/>
  <c r="B20496" i="1"/>
  <c r="C20496" i="1"/>
  <c r="A20495" i="1"/>
  <c r="B20495" i="1"/>
  <c r="C20495" i="1"/>
  <c r="A10469" i="1"/>
  <c r="B10469" i="1"/>
  <c r="C10469" i="1"/>
  <c r="A24082" i="1"/>
  <c r="B24082" i="1"/>
  <c r="C24082" i="1"/>
  <c r="A14540" i="1"/>
  <c r="B14540" i="1"/>
  <c r="C14540" i="1"/>
  <c r="A14577" i="1"/>
  <c r="B14577" i="1"/>
  <c r="C14577" i="1"/>
  <c r="A14087" i="1"/>
  <c r="B14087" i="1"/>
  <c r="C14087" i="1"/>
  <c r="A24094" i="1"/>
  <c r="B24094" i="1"/>
  <c r="C24094" i="1"/>
  <c r="A25101" i="1"/>
  <c r="B25101" i="1"/>
  <c r="C25101" i="1"/>
  <c r="A166" i="1"/>
  <c r="B166" i="1"/>
  <c r="C166" i="1"/>
  <c r="A20610" i="1"/>
  <c r="B20610" i="1"/>
  <c r="C20610" i="1"/>
  <c r="A23819" i="1"/>
  <c r="B23819" i="1"/>
  <c r="C23819" i="1"/>
  <c r="A8440" i="1"/>
  <c r="B8440" i="1"/>
  <c r="C8440" i="1"/>
  <c r="A11402" i="1"/>
  <c r="B11402" i="1"/>
  <c r="C11402" i="1"/>
  <c r="A23765" i="1"/>
  <c r="B23765" i="1"/>
  <c r="C23765" i="1"/>
  <c r="A19105" i="1"/>
  <c r="B19105" i="1"/>
  <c r="C19105" i="1"/>
  <c r="A16125" i="1"/>
  <c r="B16125" i="1"/>
  <c r="C16125" i="1"/>
  <c r="A14336" i="1"/>
  <c r="B14336" i="1"/>
  <c r="C14336" i="1"/>
  <c r="A4398" i="1"/>
  <c r="B4398" i="1"/>
  <c r="C4398" i="1"/>
  <c r="A23338" i="1"/>
  <c r="B23338" i="1"/>
  <c r="C23338" i="1"/>
  <c r="A17722" i="1"/>
  <c r="B17722" i="1"/>
  <c r="C17722" i="1"/>
  <c r="A13426" i="1"/>
  <c r="B13426" i="1"/>
  <c r="C13426" i="1"/>
  <c r="A13427" i="1"/>
  <c r="B13427" i="1"/>
  <c r="C13427" i="1"/>
  <c r="A18133" i="1"/>
  <c r="B18133" i="1"/>
  <c r="C18133" i="1"/>
  <c r="A6384" i="1"/>
  <c r="B6384" i="1"/>
  <c r="C6384" i="1"/>
  <c r="A16105" i="1"/>
  <c r="B16105" i="1"/>
  <c r="C16105" i="1"/>
  <c r="A16106" i="1"/>
  <c r="B16106" i="1"/>
  <c r="C16106" i="1"/>
  <c r="A21494" i="1"/>
  <c r="B21494" i="1"/>
  <c r="C21494" i="1"/>
  <c r="A21491" i="1"/>
  <c r="B21491" i="1"/>
  <c r="C21491" i="1"/>
  <c r="A18077" i="1"/>
  <c r="B18077" i="1"/>
  <c r="C18077" i="1"/>
  <c r="A2322" i="1"/>
  <c r="B2322" i="1"/>
  <c r="C2322" i="1"/>
  <c r="A18851" i="1"/>
  <c r="B18851" i="1"/>
  <c r="C18851" i="1"/>
  <c r="A10787" i="1"/>
  <c r="B10787" i="1"/>
  <c r="C10787" i="1"/>
  <c r="A19122" i="1"/>
  <c r="B19122" i="1"/>
  <c r="C19122" i="1"/>
  <c r="A21870" i="1"/>
  <c r="B21870" i="1"/>
  <c r="C21870" i="1"/>
  <c r="A7771" i="1"/>
  <c r="B7771" i="1"/>
  <c r="C7771" i="1"/>
  <c r="A12555" i="1"/>
  <c r="B12555" i="1"/>
  <c r="C12555" i="1"/>
  <c r="A7743" i="1"/>
  <c r="B7743" i="1"/>
  <c r="C7743" i="1"/>
  <c r="A5909" i="1"/>
  <c r="B5909" i="1"/>
  <c r="C5909" i="1"/>
  <c r="A13334" i="1"/>
  <c r="B13334" i="1"/>
  <c r="C13334" i="1"/>
  <c r="A7026" i="1"/>
  <c r="B7026" i="1"/>
  <c r="C7026" i="1"/>
  <c r="A3660" i="1"/>
  <c r="B3660" i="1"/>
  <c r="C3660" i="1"/>
  <c r="A25012" i="1"/>
  <c r="B25012" i="1"/>
  <c r="C25012" i="1"/>
  <c r="A10918" i="1"/>
  <c r="B10918" i="1"/>
  <c r="C10918" i="1"/>
  <c r="A18659" i="1"/>
  <c r="B18659" i="1"/>
  <c r="C18659" i="1"/>
  <c r="A18658" i="1"/>
  <c r="B18658" i="1"/>
  <c r="C18658" i="1"/>
  <c r="A1077" i="1"/>
  <c r="B1077" i="1"/>
  <c r="C1077" i="1"/>
  <c r="A1076" i="1"/>
  <c r="B1076" i="1"/>
  <c r="C1076" i="1"/>
  <c r="A1005" i="1"/>
  <c r="B1005" i="1"/>
  <c r="C1005" i="1"/>
  <c r="A1003" i="1"/>
  <c r="B1003" i="1"/>
  <c r="C1003" i="1"/>
  <c r="A1004" i="1"/>
  <c r="B1004" i="1"/>
  <c r="C1004" i="1"/>
  <c r="A25024" i="1"/>
  <c r="B25024" i="1"/>
  <c r="C25024" i="1"/>
  <c r="A1642" i="1"/>
  <c r="B1642" i="1"/>
  <c r="C1642" i="1"/>
  <c r="A4898" i="1"/>
  <c r="B4898" i="1"/>
  <c r="C4898" i="1"/>
  <c r="A1099" i="1"/>
  <c r="B1099" i="1"/>
  <c r="C1099" i="1"/>
  <c r="A13559" i="1"/>
  <c r="B13559" i="1"/>
  <c r="C13559" i="1"/>
  <c r="A13417" i="1"/>
  <c r="B13417" i="1"/>
  <c r="C13417" i="1"/>
  <c r="A16121" i="1"/>
  <c r="B16121" i="1"/>
  <c r="C16121" i="1"/>
  <c r="A16123" i="1"/>
  <c r="B16123" i="1"/>
  <c r="C16123" i="1"/>
  <c r="A21764" i="1"/>
  <c r="B21764" i="1"/>
  <c r="C21764" i="1"/>
  <c r="A14932" i="1"/>
  <c r="B14932" i="1"/>
  <c r="C14932" i="1"/>
  <c r="A14917" i="1"/>
  <c r="B14917" i="1"/>
  <c r="C14917" i="1"/>
  <c r="A17902" i="1"/>
  <c r="B17902" i="1"/>
  <c r="C17902" i="1"/>
  <c r="A8993" i="1"/>
  <c r="B8993" i="1"/>
  <c r="C8993" i="1"/>
  <c r="A8994" i="1"/>
  <c r="B8994" i="1"/>
  <c r="C8994" i="1"/>
  <c r="A17991" i="1"/>
  <c r="B17991" i="1"/>
  <c r="C17991" i="1"/>
  <c r="A14488" i="1"/>
  <c r="B14488" i="1"/>
  <c r="C14488" i="1"/>
  <c r="A16272" i="1"/>
  <c r="B16272" i="1"/>
  <c r="C16272" i="1"/>
  <c r="A2121" i="1"/>
  <c r="B2121" i="1"/>
  <c r="C2121" i="1"/>
  <c r="A17546" i="1"/>
  <c r="B17546" i="1"/>
  <c r="C17546" i="1"/>
  <c r="A2320" i="1"/>
  <c r="B2320" i="1"/>
  <c r="C2320" i="1"/>
  <c r="A5605" i="1"/>
  <c r="B5605" i="1"/>
  <c r="C5605" i="1"/>
  <c r="A18615" i="1"/>
  <c r="B18615" i="1"/>
  <c r="C18615" i="1"/>
  <c r="A25200" i="1"/>
  <c r="B25200" i="1"/>
  <c r="C25200" i="1"/>
  <c r="A5184" i="1"/>
  <c r="B5184" i="1"/>
  <c r="C5184" i="1"/>
  <c r="A22640" i="1"/>
  <c r="B22640" i="1"/>
  <c r="C22640" i="1"/>
  <c r="A19307" i="1"/>
  <c r="B19307" i="1"/>
  <c r="C19307" i="1"/>
  <c r="A12707" i="1"/>
  <c r="B12707" i="1"/>
  <c r="C12707" i="1"/>
  <c r="A12706" i="1"/>
  <c r="B12706" i="1"/>
  <c r="C12706" i="1"/>
  <c r="A24076" i="1"/>
  <c r="B24076" i="1"/>
  <c r="C24076" i="1"/>
  <c r="A3989" i="1"/>
  <c r="B3989" i="1"/>
  <c r="C3989" i="1"/>
  <c r="A8584" i="1"/>
  <c r="B8584" i="1"/>
  <c r="C8584" i="1"/>
  <c r="A6030" i="1"/>
  <c r="B6030" i="1"/>
  <c r="C6030" i="1"/>
  <c r="A5306" i="1"/>
  <c r="B5306" i="1"/>
  <c r="C5306" i="1"/>
  <c r="A13800" i="1"/>
  <c r="B13800" i="1"/>
  <c r="C13800" i="1"/>
  <c r="A7483" i="1"/>
  <c r="B7483" i="1"/>
  <c r="C7483" i="1"/>
  <c r="A17664" i="1"/>
  <c r="B17664" i="1"/>
  <c r="C17664" i="1"/>
  <c r="A24263" i="1"/>
  <c r="B24263" i="1"/>
  <c r="C24263" i="1"/>
  <c r="A2532" i="1"/>
  <c r="B2532" i="1"/>
  <c r="C2532" i="1"/>
  <c r="A18860" i="1"/>
  <c r="B18860" i="1"/>
  <c r="C18860" i="1"/>
  <c r="A9249" i="1"/>
  <c r="B9249" i="1"/>
  <c r="C9249" i="1"/>
  <c r="A14213" i="1"/>
  <c r="B14213" i="1"/>
  <c r="C14213" i="1"/>
  <c r="A5941" i="1"/>
  <c r="B5941" i="1"/>
  <c r="C5941" i="1"/>
  <c r="A1610" i="1"/>
  <c r="B1610" i="1"/>
  <c r="C1610" i="1"/>
  <c r="A19053" i="1"/>
  <c r="B19053" i="1"/>
  <c r="C19053" i="1"/>
  <c r="A15331" i="1"/>
  <c r="B15331" i="1"/>
  <c r="C15331" i="1"/>
  <c r="A23866" i="1"/>
  <c r="B23866" i="1"/>
  <c r="C23866" i="1"/>
  <c r="A4742" i="1"/>
  <c r="B4742" i="1"/>
  <c r="C4742" i="1"/>
  <c r="A22990" i="1"/>
  <c r="B22990" i="1"/>
  <c r="C22990" i="1"/>
  <c r="A16134" i="1"/>
  <c r="B16134" i="1"/>
  <c r="C16134" i="1"/>
  <c r="A14578" i="1"/>
  <c r="B14578" i="1"/>
  <c r="C14578" i="1"/>
  <c r="A6604" i="1"/>
  <c r="B6604" i="1"/>
  <c r="C6604" i="1"/>
  <c r="A4456" i="1"/>
  <c r="B4456" i="1"/>
  <c r="C4456" i="1"/>
  <c r="A22666" i="1"/>
  <c r="B22666" i="1"/>
  <c r="C22666" i="1"/>
  <c r="A14576" i="1"/>
  <c r="B14576" i="1"/>
  <c r="C14576" i="1"/>
  <c r="A3538" i="1"/>
  <c r="B3538" i="1"/>
  <c r="C3538" i="1"/>
  <c r="A3537" i="1"/>
  <c r="B3537" i="1"/>
  <c r="C3537" i="1"/>
  <c r="A21014" i="1"/>
  <c r="B21014" i="1"/>
  <c r="C21014" i="1"/>
  <c r="A6605" i="1"/>
  <c r="B6605" i="1"/>
  <c r="C6605" i="1"/>
  <c r="A10956" i="1"/>
  <c r="B10956" i="1"/>
  <c r="C10956" i="1"/>
  <c r="A15470" i="1"/>
  <c r="B15470" i="1"/>
  <c r="C15470" i="1"/>
  <c r="A7007" i="1"/>
  <c r="B7007" i="1"/>
  <c r="C7007" i="1"/>
  <c r="A10626" i="1"/>
  <c r="B10626" i="1"/>
  <c r="C10626" i="1"/>
  <c r="A7006" i="1"/>
  <c r="B7006" i="1"/>
  <c r="C7006" i="1"/>
  <c r="A10625" i="1"/>
  <c r="B10625" i="1"/>
  <c r="C10625" i="1"/>
  <c r="A22018" i="1"/>
  <c r="B22018" i="1"/>
  <c r="C22018" i="1"/>
  <c r="A22084" i="1"/>
  <c r="B22084" i="1"/>
  <c r="C22084" i="1"/>
  <c r="A25621" i="1"/>
  <c r="B25621" i="1"/>
  <c r="C25621" i="1"/>
  <c r="A9727" i="1"/>
  <c r="B9727" i="1"/>
  <c r="C9727" i="1"/>
  <c r="A8580" i="1"/>
  <c r="B8580" i="1"/>
  <c r="C8580" i="1"/>
  <c r="A14705" i="1"/>
  <c r="B14705" i="1"/>
  <c r="C14705" i="1"/>
  <c r="A22849" i="1"/>
  <c r="B22849" i="1"/>
  <c r="C22849" i="1"/>
  <c r="A2792" i="1"/>
  <c r="B2792" i="1"/>
  <c r="C2792" i="1"/>
  <c r="A17750" i="1"/>
  <c r="B17750" i="1"/>
  <c r="C17750" i="1"/>
  <c r="A17794" i="1"/>
  <c r="B17794" i="1"/>
  <c r="C17794" i="1"/>
  <c r="A6665" i="1"/>
  <c r="B6665" i="1"/>
  <c r="C6665" i="1"/>
  <c r="A18127" i="1"/>
  <c r="B18127" i="1"/>
  <c r="C18127" i="1"/>
  <c r="A18126" i="1"/>
  <c r="B18126" i="1"/>
  <c r="C18126" i="1"/>
  <c r="A18128" i="1"/>
  <c r="B18128" i="1"/>
  <c r="C18128" i="1"/>
  <c r="A18130" i="1"/>
  <c r="B18130" i="1"/>
  <c r="C18130" i="1"/>
  <c r="A18129" i="1"/>
  <c r="B18129" i="1"/>
  <c r="C18129" i="1"/>
  <c r="A6637" i="1"/>
  <c r="B6637" i="1"/>
  <c r="C6637" i="1"/>
  <c r="A20656" i="1"/>
  <c r="B20656" i="1"/>
  <c r="C20656" i="1"/>
  <c r="A4806" i="1"/>
  <c r="B4806" i="1"/>
  <c r="C4806" i="1"/>
  <c r="A12367" i="1"/>
  <c r="B12367" i="1"/>
  <c r="C12367" i="1"/>
  <c r="A12007" i="1"/>
  <c r="B12007" i="1"/>
  <c r="C12007" i="1"/>
  <c r="A22377" i="1"/>
  <c r="B22377" i="1"/>
  <c r="C22377" i="1"/>
  <c r="A14569" i="1"/>
  <c r="B14569" i="1"/>
  <c r="C14569" i="1"/>
  <c r="A12349" i="1"/>
  <c r="B12349" i="1"/>
  <c r="C12349" i="1"/>
  <c r="A24234" i="1"/>
  <c r="B24234" i="1"/>
  <c r="C24234" i="1"/>
  <c r="A1277" i="1"/>
  <c r="B1277" i="1"/>
  <c r="C1277" i="1"/>
  <c r="A23305" i="1"/>
  <c r="B23305" i="1"/>
  <c r="C23305" i="1"/>
  <c r="A9577" i="1"/>
  <c r="B9577" i="1"/>
  <c r="C9577" i="1"/>
  <c r="A7067" i="1"/>
  <c r="B7067" i="1"/>
  <c r="C7067" i="1"/>
  <c r="A19351" i="1"/>
  <c r="B19351" i="1"/>
  <c r="C19351" i="1"/>
  <c r="A9651" i="1"/>
  <c r="B9651" i="1"/>
  <c r="C9651" i="1"/>
  <c r="A9652" i="1"/>
  <c r="B9652" i="1"/>
  <c r="C9652" i="1"/>
  <c r="A9571" i="1"/>
  <c r="B9571" i="1"/>
  <c r="C9571" i="1"/>
  <c r="A117" i="1"/>
  <c r="B117" i="1"/>
  <c r="C117" i="1"/>
  <c r="A3343" i="1"/>
  <c r="B3343" i="1"/>
  <c r="C3343" i="1"/>
  <c r="A15492" i="1"/>
  <c r="B15492" i="1"/>
  <c r="C15492" i="1"/>
  <c r="A578" i="1"/>
  <c r="B578" i="1"/>
  <c r="C578" i="1"/>
  <c r="A6829" i="1"/>
  <c r="B6829" i="1"/>
  <c r="C6829" i="1"/>
  <c r="A5939" i="1"/>
  <c r="B5939" i="1"/>
  <c r="C5939" i="1"/>
  <c r="A17674" i="1"/>
  <c r="B17674" i="1"/>
  <c r="C17674" i="1"/>
  <c r="A661" i="1"/>
  <c r="B661" i="1"/>
  <c r="C661" i="1"/>
  <c r="A2845" i="1"/>
  <c r="B2845" i="1"/>
  <c r="C2845" i="1"/>
  <c r="A11458" i="1"/>
  <c r="B11458" i="1"/>
  <c r="C11458" i="1"/>
  <c r="A21396" i="1"/>
  <c r="B21396" i="1"/>
  <c r="C21396" i="1"/>
  <c r="A14272" i="1"/>
  <c r="B14272" i="1"/>
  <c r="C14272" i="1"/>
  <c r="A14266" i="1"/>
  <c r="B14266" i="1"/>
  <c r="C14266" i="1"/>
  <c r="A22512" i="1"/>
  <c r="B22512" i="1"/>
  <c r="C22512" i="1"/>
  <c r="A16562" i="1"/>
  <c r="B16562" i="1"/>
  <c r="C16562" i="1"/>
  <c r="A25407" i="1"/>
  <c r="B25407" i="1"/>
  <c r="C25407" i="1"/>
  <c r="A18167" i="1"/>
  <c r="B18167" i="1"/>
  <c r="C18167" i="1"/>
  <c r="A14915" i="1"/>
  <c r="B14915" i="1"/>
  <c r="C14915" i="1"/>
  <c r="A8371" i="1"/>
  <c r="B8371" i="1"/>
  <c r="C8371" i="1"/>
  <c r="A11955" i="1"/>
  <c r="B11955" i="1"/>
  <c r="C11955" i="1"/>
  <c r="A23345" i="1"/>
  <c r="B23345" i="1"/>
  <c r="C23345" i="1"/>
  <c r="A2132" i="1"/>
  <c r="B2132" i="1"/>
  <c r="C2132" i="1"/>
  <c r="A16373" i="1"/>
  <c r="B16373" i="1"/>
  <c r="C16373" i="1"/>
  <c r="A16375" i="1"/>
  <c r="B16375" i="1"/>
  <c r="C16375" i="1"/>
  <c r="A4381" i="1"/>
  <c r="B4381" i="1"/>
  <c r="C4381" i="1"/>
  <c r="A24437" i="1"/>
  <c r="B24437" i="1"/>
  <c r="C24437" i="1"/>
  <c r="A19203" i="1"/>
  <c r="B19203" i="1"/>
  <c r="C19203" i="1"/>
  <c r="A14144" i="1"/>
  <c r="B14144" i="1"/>
  <c r="C14144" i="1"/>
  <c r="A14106" i="1"/>
  <c r="B14106" i="1"/>
  <c r="C14106" i="1"/>
  <c r="A25694" i="1"/>
  <c r="B25694" i="1"/>
  <c r="C25694" i="1"/>
  <c r="A16472" i="1"/>
  <c r="B16472" i="1"/>
  <c r="C16472" i="1"/>
  <c r="A11953" i="1"/>
  <c r="B11953" i="1"/>
  <c r="C11953" i="1"/>
  <c r="A7813" i="1"/>
  <c r="B7813" i="1"/>
  <c r="C7813" i="1"/>
  <c r="A2111" i="1"/>
  <c r="B2111" i="1"/>
  <c r="C2111" i="1"/>
  <c r="A17718" i="1"/>
  <c r="B17718" i="1"/>
  <c r="C17718" i="1"/>
  <c r="A17884" i="1"/>
  <c r="B17884" i="1"/>
  <c r="C17884" i="1"/>
  <c r="A16071" i="1"/>
  <c r="B16071" i="1"/>
  <c r="C16071" i="1"/>
  <c r="A6876" i="1"/>
  <c r="B6876" i="1"/>
  <c r="C6876" i="1"/>
  <c r="A8953" i="1"/>
  <c r="B8953" i="1"/>
  <c r="C8953" i="1"/>
  <c r="A10369" i="1"/>
  <c r="B10369" i="1"/>
  <c r="C10369" i="1"/>
  <c r="A4267" i="1"/>
  <c r="B4267" i="1"/>
  <c r="C4267" i="1"/>
  <c r="A16986" i="1"/>
  <c r="B16986" i="1"/>
  <c r="C16986" i="1"/>
  <c r="A11503" i="1"/>
  <c r="B11503" i="1"/>
  <c r="C11503" i="1"/>
  <c r="A17457" i="1"/>
  <c r="B17457" i="1"/>
  <c r="C17457" i="1"/>
  <c r="A5880" i="1"/>
  <c r="B5880" i="1"/>
  <c r="C5880" i="1"/>
  <c r="A5876" i="1"/>
  <c r="B5876" i="1"/>
  <c r="C5876" i="1"/>
  <c r="A6032" i="1"/>
  <c r="B6032" i="1"/>
  <c r="C6032" i="1"/>
  <c r="A5877" i="1"/>
  <c r="B5877" i="1"/>
  <c r="C5877" i="1"/>
  <c r="A15612" i="1"/>
  <c r="B15612" i="1"/>
  <c r="C15612" i="1"/>
  <c r="A2131" i="1"/>
  <c r="B2131" i="1"/>
  <c r="C2131" i="1"/>
  <c r="A12369" i="1"/>
  <c r="B12369" i="1"/>
  <c r="C12369" i="1"/>
  <c r="A6355" i="1"/>
  <c r="B6355" i="1"/>
  <c r="C6355" i="1"/>
  <c r="A19209" i="1"/>
  <c r="B19209" i="1"/>
  <c r="C19209" i="1"/>
  <c r="A18083" i="1"/>
  <c r="B18083" i="1"/>
  <c r="C18083" i="1"/>
  <c r="A22576" i="1"/>
  <c r="B22576" i="1"/>
  <c r="C22576" i="1"/>
  <c r="A1873" i="1"/>
  <c r="B1873" i="1"/>
  <c r="C1873" i="1"/>
  <c r="A25617" i="1"/>
  <c r="B25617" i="1"/>
  <c r="C25617" i="1"/>
  <c r="A13765" i="1"/>
  <c r="B13765" i="1"/>
  <c r="C13765" i="1"/>
  <c r="A23952" i="1"/>
  <c r="B23952" i="1"/>
  <c r="C23952" i="1"/>
  <c r="A8635" i="1"/>
  <c r="B8635" i="1"/>
  <c r="C8635" i="1"/>
  <c r="A25429" i="1"/>
  <c r="B25429" i="1"/>
  <c r="C25429" i="1"/>
  <c r="A16267" i="1"/>
  <c r="B16267" i="1"/>
  <c r="C16267" i="1"/>
  <c r="A25497" i="1"/>
  <c r="B25497" i="1"/>
  <c r="C25497" i="1"/>
  <c r="A25498" i="1"/>
  <c r="B25498" i="1"/>
  <c r="C25498" i="1"/>
  <c r="A21904" i="1"/>
  <c r="B21904" i="1"/>
  <c r="C21904" i="1"/>
  <c r="A8012" i="1"/>
  <c r="B8012" i="1"/>
  <c r="C8012" i="1"/>
  <c r="A17381" i="1"/>
  <c r="B17381" i="1"/>
  <c r="C17381" i="1"/>
  <c r="A11322" i="1"/>
  <c r="B11322" i="1"/>
  <c r="C11322" i="1"/>
  <c r="A11321" i="1"/>
  <c r="B11321" i="1"/>
  <c r="C11321" i="1"/>
  <c r="A15161" i="1"/>
  <c r="B15161" i="1"/>
  <c r="C15161" i="1"/>
  <c r="A8548" i="1"/>
  <c r="B8548" i="1"/>
  <c r="C8548" i="1"/>
  <c r="A20066" i="1"/>
  <c r="B20066" i="1"/>
  <c r="C20066" i="1"/>
  <c r="A9679" i="1"/>
  <c r="B9679" i="1"/>
  <c r="C9679" i="1"/>
  <c r="A24069" i="1"/>
  <c r="B24069" i="1"/>
  <c r="C24069" i="1"/>
  <c r="A24942" i="1"/>
  <c r="B24942" i="1"/>
  <c r="C24942" i="1"/>
  <c r="A7193" i="1"/>
  <c r="B7193" i="1"/>
  <c r="C7193" i="1"/>
  <c r="A20315" i="1"/>
  <c r="B20315" i="1"/>
  <c r="C20315" i="1"/>
  <c r="A13879" i="1"/>
  <c r="B13879" i="1"/>
  <c r="C13879" i="1"/>
  <c r="A20097" i="1"/>
  <c r="B20097" i="1"/>
  <c r="C20097" i="1"/>
  <c r="A7041" i="1"/>
  <c r="B7041" i="1"/>
  <c r="C7041" i="1"/>
  <c r="A22953" i="1"/>
  <c r="B22953" i="1"/>
  <c r="C22953" i="1"/>
  <c r="A297" i="1"/>
  <c r="B297" i="1"/>
  <c r="C297" i="1"/>
  <c r="A15657" i="1"/>
  <c r="B15657" i="1"/>
  <c r="C15657" i="1"/>
  <c r="A5533" i="1"/>
  <c r="B5533" i="1"/>
  <c r="C5533" i="1"/>
  <c r="A9772" i="1"/>
  <c r="B9772" i="1"/>
  <c r="C9772" i="1"/>
  <c r="A9773" i="1"/>
  <c r="B9773" i="1"/>
  <c r="C9773" i="1"/>
  <c r="A9771" i="1"/>
  <c r="B9771" i="1"/>
  <c r="C9771" i="1"/>
  <c r="A12326" i="1"/>
  <c r="B12326" i="1"/>
  <c r="C12326" i="1"/>
  <c r="A12324" i="1"/>
  <c r="B12324" i="1"/>
  <c r="C12324" i="1"/>
  <c r="A12200" i="1"/>
  <c r="B12200" i="1"/>
  <c r="C12200" i="1"/>
  <c r="A19798" i="1"/>
  <c r="B19798" i="1"/>
  <c r="C19798" i="1"/>
  <c r="A7477" i="1"/>
  <c r="B7477" i="1"/>
  <c r="C7477" i="1"/>
  <c r="A23018" i="1"/>
  <c r="B23018" i="1"/>
  <c r="C23018" i="1"/>
  <c r="A23022" i="1"/>
  <c r="B23022" i="1"/>
  <c r="C23022" i="1"/>
  <c r="A8501" i="1"/>
  <c r="B8501" i="1"/>
  <c r="C8501" i="1"/>
  <c r="A5369" i="1"/>
  <c r="B5369" i="1"/>
  <c r="C5369" i="1"/>
  <c r="A5424" i="1"/>
  <c r="B5424" i="1"/>
  <c r="C5424" i="1"/>
  <c r="A16462" i="1"/>
  <c r="B16462" i="1"/>
  <c r="C16462" i="1"/>
  <c r="A3879" i="1"/>
  <c r="B3879" i="1"/>
  <c r="C3879" i="1"/>
  <c r="A7420" i="1"/>
  <c r="B7420" i="1"/>
  <c r="C7420" i="1"/>
  <c r="A12514" i="1"/>
  <c r="B12514" i="1"/>
  <c r="C12514" i="1"/>
  <c r="A9704" i="1"/>
  <c r="B9704" i="1"/>
  <c r="C9704" i="1"/>
  <c r="A20065" i="1"/>
  <c r="B20065" i="1"/>
  <c r="C20065" i="1"/>
  <c r="A7423" i="1"/>
  <c r="B7423" i="1"/>
  <c r="C7423" i="1"/>
  <c r="A7424" i="1"/>
  <c r="B7424" i="1"/>
  <c r="C7424" i="1"/>
  <c r="A9737" i="1"/>
  <c r="B9737" i="1"/>
  <c r="C9737" i="1"/>
  <c r="A7496" i="1"/>
  <c r="B7496" i="1"/>
  <c r="C7496" i="1"/>
  <c r="A697" i="1"/>
  <c r="B697" i="1"/>
  <c r="C697" i="1"/>
  <c r="A701" i="1"/>
  <c r="B701" i="1"/>
  <c r="C701" i="1"/>
  <c r="A7459" i="1"/>
  <c r="B7459" i="1"/>
  <c r="C7459" i="1"/>
  <c r="A9212" i="1"/>
  <c r="B9212" i="1"/>
  <c r="C9212" i="1"/>
  <c r="A7489" i="1"/>
  <c r="B7489" i="1"/>
  <c r="C7489" i="1"/>
  <c r="A4903" i="1"/>
  <c r="B4903" i="1"/>
  <c r="C4903" i="1"/>
  <c r="A20012" i="1"/>
  <c r="B20012" i="1"/>
  <c r="C20012" i="1"/>
  <c r="A4904" i="1"/>
  <c r="B4904" i="1"/>
  <c r="C4904" i="1"/>
  <c r="A20033" i="1"/>
  <c r="B20033" i="1"/>
  <c r="C20033" i="1"/>
  <c r="A11749" i="1"/>
  <c r="B11749" i="1"/>
  <c r="C11749" i="1"/>
  <c r="A19788" i="1"/>
  <c r="B19788" i="1"/>
  <c r="C19788" i="1"/>
  <c r="A21816" i="1"/>
  <c r="B21816" i="1"/>
  <c r="C21816" i="1"/>
  <c r="A20205" i="1"/>
  <c r="B20205" i="1"/>
  <c r="C20205" i="1"/>
  <c r="A23512" i="1"/>
  <c r="B23512" i="1"/>
  <c r="C23512" i="1"/>
  <c r="A16886" i="1"/>
  <c r="B16886" i="1"/>
  <c r="C16886" i="1"/>
  <c r="A7084" i="1"/>
  <c r="B7084" i="1"/>
  <c r="C7084" i="1"/>
  <c r="A18781" i="1"/>
  <c r="B18781" i="1"/>
  <c r="C18781" i="1"/>
  <c r="A298" i="1"/>
  <c r="B298" i="1"/>
  <c r="C298" i="1"/>
  <c r="A22954" i="1"/>
  <c r="B22954" i="1"/>
  <c r="C22954" i="1"/>
  <c r="A21647" i="1"/>
  <c r="B21647" i="1"/>
  <c r="C21647" i="1"/>
  <c r="A18625" i="1"/>
  <c r="B18625" i="1"/>
  <c r="C18625" i="1"/>
  <c r="A1490" i="1"/>
  <c r="B1490" i="1"/>
  <c r="C1490" i="1"/>
  <c r="A5926" i="1"/>
  <c r="B5926" i="1"/>
  <c r="C5926" i="1"/>
  <c r="A23471" i="1"/>
  <c r="B23471" i="1"/>
  <c r="C23471" i="1"/>
  <c r="A23470" i="1"/>
  <c r="B23470" i="1"/>
  <c r="C23470" i="1"/>
  <c r="A23472" i="1"/>
  <c r="B23472" i="1"/>
  <c r="C23472" i="1"/>
  <c r="A23392" i="1"/>
  <c r="B23392" i="1"/>
  <c r="C23392" i="1"/>
  <c r="A23469" i="1"/>
  <c r="B23469" i="1"/>
  <c r="C23469" i="1"/>
  <c r="A17222" i="1"/>
  <c r="B17222" i="1"/>
  <c r="C17222" i="1"/>
  <c r="A574" i="1"/>
  <c r="B574" i="1"/>
  <c r="C574" i="1"/>
  <c r="A24601" i="1"/>
  <c r="B24601" i="1"/>
  <c r="C24601" i="1"/>
  <c r="A23531" i="1"/>
  <c r="B23531" i="1"/>
  <c r="C23531" i="1"/>
  <c r="A769" i="1"/>
  <c r="B769" i="1"/>
  <c r="C769" i="1"/>
  <c r="A14155" i="1"/>
  <c r="B14155" i="1"/>
  <c r="C14155" i="1"/>
  <c r="A2301" i="1"/>
  <c r="B2301" i="1"/>
  <c r="C2301" i="1"/>
  <c r="A9817" i="1"/>
  <c r="B9817" i="1"/>
  <c r="C9817" i="1"/>
  <c r="A23383" i="1"/>
  <c r="B23383" i="1"/>
  <c r="C23383" i="1"/>
  <c r="A23384" i="1"/>
  <c r="B23384" i="1"/>
  <c r="C23384" i="1"/>
  <c r="A23382" i="1"/>
  <c r="B23382" i="1"/>
  <c r="C23382" i="1"/>
  <c r="A23473" i="1"/>
  <c r="B23473" i="1"/>
  <c r="C23473" i="1"/>
  <c r="A23474" i="1"/>
  <c r="B23474" i="1"/>
  <c r="C23474" i="1"/>
  <c r="A8543" i="1"/>
  <c r="B8543" i="1"/>
  <c r="C8543" i="1"/>
  <c r="A1352" i="1"/>
  <c r="B1352" i="1"/>
  <c r="C1352" i="1"/>
  <c r="A1353" i="1"/>
  <c r="B1353" i="1"/>
  <c r="C1353" i="1"/>
  <c r="A8002" i="1"/>
  <c r="B8002" i="1"/>
  <c r="C8002" i="1"/>
  <c r="A18788" i="1"/>
  <c r="B18788" i="1"/>
  <c r="C18788" i="1"/>
  <c r="A19205" i="1"/>
  <c r="B19205" i="1"/>
  <c r="C19205" i="1"/>
  <c r="A5850" i="1"/>
  <c r="B5850" i="1"/>
  <c r="C5850" i="1"/>
  <c r="A19204" i="1"/>
  <c r="B19204" i="1"/>
  <c r="C19204" i="1"/>
  <c r="A10194" i="1"/>
  <c r="B10194" i="1"/>
  <c r="C10194" i="1"/>
  <c r="A5219" i="1"/>
  <c r="B5219" i="1"/>
  <c r="C5219" i="1"/>
  <c r="A16157" i="1"/>
  <c r="B16157" i="1"/>
  <c r="C16157" i="1"/>
  <c r="A12216" i="1"/>
  <c r="B12216" i="1"/>
  <c r="C12216" i="1"/>
  <c r="A17096" i="1"/>
  <c r="B17096" i="1"/>
  <c r="C17096" i="1"/>
  <c r="A14329" i="1"/>
  <c r="B14329" i="1"/>
  <c r="C14329" i="1"/>
  <c r="A5725" i="1"/>
  <c r="B5725" i="1"/>
  <c r="C5725" i="1"/>
  <c r="A10894" i="1"/>
  <c r="B10894" i="1"/>
  <c r="C10894" i="1"/>
  <c r="A16153" i="1"/>
  <c r="B16153" i="1"/>
  <c r="C16153" i="1"/>
  <c r="A6611" i="1"/>
  <c r="B6611" i="1"/>
  <c r="C6611" i="1"/>
  <c r="A2123" i="1"/>
  <c r="B2123" i="1"/>
  <c r="C2123" i="1"/>
  <c r="A7666" i="1"/>
  <c r="B7666" i="1"/>
  <c r="C7666" i="1"/>
  <c r="A16127" i="1"/>
  <c r="B16127" i="1"/>
  <c r="C16127" i="1"/>
  <c r="A10725" i="1"/>
  <c r="B10725" i="1"/>
  <c r="C10725" i="1"/>
  <c r="A18438" i="1"/>
  <c r="B18438" i="1"/>
  <c r="C18438" i="1"/>
  <c r="A20180" i="1"/>
  <c r="B20180" i="1"/>
  <c r="C20180" i="1"/>
  <c r="A5891" i="1"/>
  <c r="B5891" i="1"/>
  <c r="C5891" i="1"/>
  <c r="A6481" i="1"/>
  <c r="B6481" i="1"/>
  <c r="C6481" i="1"/>
  <c r="A17736" i="1"/>
  <c r="B17736" i="1"/>
  <c r="C17736" i="1"/>
  <c r="A367" i="1"/>
  <c r="B367" i="1"/>
  <c r="C367" i="1"/>
  <c r="A20954" i="1"/>
  <c r="B20954" i="1"/>
  <c r="C20954" i="1"/>
  <c r="A15698" i="1"/>
  <c r="B15698" i="1"/>
  <c r="C15698" i="1"/>
  <c r="A23928" i="1"/>
  <c r="B23928" i="1"/>
  <c r="C23928" i="1"/>
  <c r="A6109" i="1"/>
  <c r="B6109" i="1"/>
  <c r="C6109" i="1"/>
  <c r="A23330" i="1"/>
  <c r="B23330" i="1"/>
  <c r="C23330" i="1"/>
  <c r="A16036" i="1"/>
  <c r="B16036" i="1"/>
  <c r="C16036" i="1"/>
  <c r="A12116" i="1"/>
  <c r="B12116" i="1"/>
  <c r="C12116" i="1"/>
  <c r="A12117" i="1"/>
  <c r="B12117" i="1"/>
  <c r="C12117" i="1"/>
  <c r="A8841" i="1"/>
  <c r="B8841" i="1"/>
  <c r="C8841" i="1"/>
  <c r="A1923" i="1"/>
  <c r="B1923" i="1"/>
  <c r="C1923" i="1"/>
  <c r="A2027" i="1"/>
  <c r="B2027" i="1"/>
  <c r="C2027" i="1"/>
  <c r="A11812" i="1"/>
  <c r="B11812" i="1"/>
  <c r="C11812" i="1"/>
  <c r="A11816" i="1"/>
  <c r="B11816" i="1"/>
  <c r="C11816" i="1"/>
  <c r="A13199" i="1"/>
  <c r="B13199" i="1"/>
  <c r="C13199" i="1"/>
  <c r="A9133" i="1"/>
  <c r="B9133" i="1"/>
  <c r="C9133" i="1"/>
  <c r="A6332" i="1"/>
  <c r="B6332" i="1"/>
  <c r="C6332" i="1"/>
  <c r="A9127" i="1"/>
  <c r="B9127" i="1"/>
  <c r="C9127" i="1"/>
  <c r="A23659" i="1"/>
  <c r="B23659" i="1"/>
  <c r="C23659" i="1"/>
  <c r="A1486" i="1"/>
  <c r="B1486" i="1"/>
  <c r="C1486" i="1"/>
  <c r="A1546" i="1"/>
  <c r="B1546" i="1"/>
  <c r="C1546" i="1"/>
  <c r="A1519" i="1"/>
  <c r="B1519" i="1"/>
  <c r="C1519" i="1"/>
  <c r="A17258" i="1"/>
  <c r="B17258" i="1"/>
  <c r="C17258" i="1"/>
  <c r="A17365" i="1"/>
  <c r="B17365" i="1"/>
  <c r="C17365" i="1"/>
  <c r="A17316" i="1"/>
  <c r="B17316" i="1"/>
  <c r="C17316" i="1"/>
  <c r="A17319" i="1"/>
  <c r="B17319" i="1"/>
  <c r="C17319" i="1"/>
  <c r="A18733" i="1"/>
  <c r="B18733" i="1"/>
  <c r="C18733" i="1"/>
  <c r="A18739" i="1"/>
  <c r="B18739" i="1"/>
  <c r="C18739" i="1"/>
  <c r="A9648" i="1"/>
  <c r="B9648" i="1"/>
  <c r="C9648" i="1"/>
  <c r="A9616" i="1"/>
  <c r="B9616" i="1"/>
  <c r="C9616" i="1"/>
  <c r="A9640" i="1"/>
  <c r="B9640" i="1"/>
  <c r="C9640" i="1"/>
  <c r="A9593" i="1"/>
  <c r="B9593" i="1"/>
  <c r="C9593" i="1"/>
  <c r="A9596" i="1"/>
  <c r="B9596" i="1"/>
  <c r="C9596" i="1"/>
  <c r="A23354" i="1"/>
  <c r="B23354" i="1"/>
  <c r="C23354" i="1"/>
  <c r="A6034" i="1"/>
  <c r="B6034" i="1"/>
  <c r="C6034" i="1"/>
  <c r="A1920" i="1"/>
  <c r="B1920" i="1"/>
  <c r="C1920" i="1"/>
  <c r="A17231" i="1"/>
  <c r="B17231" i="1"/>
  <c r="C17231" i="1"/>
  <c r="A18689" i="1"/>
  <c r="B18689" i="1"/>
  <c r="C18689" i="1"/>
  <c r="A1567" i="1"/>
  <c r="B1567" i="1"/>
  <c r="C1567" i="1"/>
  <c r="A1520" i="1"/>
  <c r="B1520" i="1"/>
  <c r="C1520" i="1"/>
  <c r="A16249" i="1"/>
  <c r="B16249" i="1"/>
  <c r="C16249" i="1"/>
  <c r="A11861" i="1"/>
  <c r="B11861" i="1"/>
  <c r="C11861" i="1"/>
  <c r="A5616" i="1"/>
  <c r="B5616" i="1"/>
  <c r="C5616" i="1"/>
  <c r="A5613" i="1"/>
  <c r="B5613" i="1"/>
  <c r="C5613" i="1"/>
  <c r="A17363" i="1"/>
  <c r="B17363" i="1"/>
  <c r="C17363" i="1"/>
  <c r="A17072" i="1"/>
  <c r="B17072" i="1"/>
  <c r="C17072" i="1"/>
  <c r="A17080" i="1"/>
  <c r="B17080" i="1"/>
  <c r="C17080" i="1"/>
  <c r="A24775" i="1"/>
  <c r="B24775" i="1"/>
  <c r="C24775" i="1"/>
  <c r="A3020" i="1"/>
  <c r="B3020" i="1"/>
  <c r="C3020" i="1"/>
  <c r="A13547" i="1"/>
  <c r="B13547" i="1"/>
  <c r="C13547" i="1"/>
  <c r="A5898" i="1"/>
  <c r="B5898" i="1"/>
  <c r="C5898" i="1"/>
  <c r="A11757" i="1"/>
  <c r="B11757" i="1"/>
  <c r="C11757" i="1"/>
  <c r="A18775" i="1"/>
  <c r="B18775" i="1"/>
  <c r="C18775" i="1"/>
  <c r="A7206" i="1"/>
  <c r="B7206" i="1"/>
  <c r="C7206" i="1"/>
  <c r="A23632" i="1"/>
  <c r="B23632" i="1"/>
  <c r="C23632" i="1"/>
  <c r="A23633" i="1"/>
  <c r="B23633" i="1"/>
  <c r="C23633" i="1"/>
  <c r="A23635" i="1"/>
  <c r="B23635" i="1"/>
  <c r="C23635" i="1"/>
  <c r="A4025" i="1"/>
  <c r="B4025" i="1"/>
  <c r="C4025" i="1"/>
  <c r="A4015" i="1"/>
  <c r="B4015" i="1"/>
  <c r="C4015" i="1"/>
  <c r="A16833" i="1"/>
  <c r="B16833" i="1"/>
  <c r="C16833" i="1"/>
  <c r="A13669" i="1"/>
  <c r="B13669" i="1"/>
  <c r="C13669" i="1"/>
  <c r="A5278" i="1"/>
  <c r="B5278" i="1"/>
  <c r="C5278" i="1"/>
  <c r="A15687" i="1"/>
  <c r="B15687" i="1"/>
  <c r="C15687" i="1"/>
  <c r="A10410" i="1"/>
  <c r="B10410" i="1"/>
  <c r="C10410" i="1"/>
  <c r="A25005" i="1"/>
  <c r="B25005" i="1"/>
  <c r="C25005" i="1"/>
  <c r="A25006" i="1"/>
  <c r="B25006" i="1"/>
  <c r="C25006" i="1"/>
  <c r="A8494" i="1"/>
  <c r="B8494" i="1"/>
  <c r="C8494" i="1"/>
  <c r="A25228" i="1"/>
  <c r="B25228" i="1"/>
  <c r="C25228" i="1"/>
  <c r="A102" i="1"/>
  <c r="B102" i="1"/>
  <c r="C102" i="1"/>
  <c r="A103" i="1"/>
  <c r="B103" i="1"/>
  <c r="C103" i="1"/>
  <c r="A14866" i="1"/>
  <c r="B14866" i="1"/>
  <c r="C14866" i="1"/>
  <c r="A8496" i="1"/>
  <c r="B8496" i="1"/>
  <c r="C8496" i="1"/>
  <c r="A19475" i="1"/>
  <c r="B19475" i="1"/>
  <c r="C19475" i="1"/>
  <c r="A19474" i="1"/>
  <c r="B19474" i="1"/>
  <c r="C19474" i="1"/>
  <c r="A17719" i="1"/>
  <c r="B17719" i="1"/>
  <c r="C17719" i="1"/>
  <c r="A6347" i="1"/>
  <c r="B6347" i="1"/>
  <c r="C6347" i="1"/>
  <c r="A23895" i="1"/>
  <c r="B23895" i="1"/>
  <c r="C23895" i="1"/>
  <c r="A23423" i="1"/>
  <c r="B23423" i="1"/>
  <c r="C23423" i="1"/>
  <c r="A24264" i="1"/>
  <c r="B24264" i="1"/>
  <c r="C24264" i="1"/>
  <c r="A16818" i="1"/>
  <c r="B16818" i="1"/>
  <c r="C16818" i="1"/>
  <c r="A24271" i="1"/>
  <c r="B24271" i="1"/>
  <c r="C24271" i="1"/>
  <c r="A17313" i="1"/>
  <c r="B17313" i="1"/>
  <c r="C17313" i="1"/>
  <c r="A25229" i="1"/>
  <c r="B25229" i="1"/>
  <c r="C25229" i="1"/>
  <c r="A3799" i="1"/>
  <c r="B3799" i="1"/>
  <c r="C3799" i="1"/>
  <c r="A2026" i="1"/>
  <c r="B2026" i="1"/>
  <c r="C2026" i="1"/>
  <c r="A11802" i="1"/>
  <c r="B11802" i="1"/>
  <c r="C11802" i="1"/>
  <c r="A1524" i="1"/>
  <c r="B1524" i="1"/>
  <c r="C1524" i="1"/>
  <c r="A10235" i="1"/>
  <c r="B10235" i="1"/>
  <c r="C10235" i="1"/>
  <c r="A15835" i="1"/>
  <c r="B15835" i="1"/>
  <c r="C15835" i="1"/>
  <c r="A17193" i="1"/>
  <c r="B17193" i="1"/>
  <c r="C17193" i="1"/>
  <c r="A2259" i="1"/>
  <c r="B2259" i="1"/>
  <c r="C2259" i="1"/>
  <c r="A16933" i="1"/>
  <c r="B16933" i="1"/>
  <c r="C16933" i="1"/>
  <c r="A3408" i="1"/>
  <c r="B3408" i="1"/>
  <c r="C3408" i="1"/>
  <c r="A3470" i="1"/>
  <c r="B3470" i="1"/>
  <c r="C3470" i="1"/>
  <c r="A24249" i="1"/>
  <c r="B24249" i="1"/>
  <c r="C24249" i="1"/>
  <c r="A9455" i="1"/>
  <c r="B9455" i="1"/>
  <c r="C9455" i="1"/>
  <c r="A8558" i="1"/>
  <c r="B8558" i="1"/>
  <c r="C8558" i="1"/>
  <c r="A19565" i="1"/>
  <c r="B19565" i="1"/>
  <c r="C19565" i="1"/>
  <c r="A9650" i="1"/>
  <c r="B9650" i="1"/>
  <c r="C9650" i="1"/>
  <c r="A9649" i="1"/>
  <c r="B9649" i="1"/>
  <c r="C9649" i="1"/>
  <c r="A14573" i="1"/>
  <c r="B14573" i="1"/>
  <c r="C14573" i="1"/>
  <c r="A19326" i="1"/>
  <c r="C19326" i="1"/>
  <c r="A8905" i="1"/>
  <c r="B8905" i="1"/>
  <c r="C8905" i="1"/>
  <c r="A4732" i="1"/>
  <c r="B4732" i="1"/>
  <c r="C4732" i="1"/>
  <c r="A14105" i="1"/>
  <c r="B14105" i="1"/>
  <c r="C14105" i="1"/>
  <c r="A14116" i="1"/>
  <c r="B14116" i="1"/>
  <c r="C14116" i="1"/>
  <c r="A16608" i="1"/>
  <c r="B16608" i="1"/>
  <c r="C16608" i="1"/>
  <c r="A9484" i="1"/>
  <c r="B9484" i="1"/>
  <c r="C9484" i="1"/>
  <c r="A13788" i="1"/>
  <c r="B13788" i="1"/>
  <c r="C13788" i="1"/>
  <c r="A13893" i="1"/>
  <c r="B13893" i="1"/>
  <c r="C13893" i="1"/>
  <c r="A6031" i="1"/>
  <c r="B6031" i="1"/>
  <c r="C6031" i="1"/>
  <c r="A5308" i="1"/>
  <c r="B5308" i="1"/>
  <c r="C5308" i="1"/>
  <c r="A20162" i="1"/>
  <c r="B20162" i="1"/>
  <c r="C20162" i="1"/>
  <c r="A2216" i="1"/>
  <c r="B2216" i="1"/>
  <c r="C2216" i="1"/>
  <c r="A12157" i="1"/>
  <c r="B12157" i="1"/>
  <c r="C12157" i="1"/>
  <c r="A21800" i="1"/>
  <c r="B21800" i="1"/>
  <c r="C21800" i="1"/>
  <c r="A9758" i="1"/>
  <c r="B9758" i="1"/>
  <c r="C9758" i="1"/>
  <c r="A24431" i="1"/>
  <c r="B24431" i="1"/>
  <c r="C24431" i="1"/>
  <c r="A2743" i="1"/>
  <c r="B2743" i="1"/>
  <c r="C2743" i="1"/>
  <c r="A5679" i="1"/>
  <c r="B5679" i="1"/>
  <c r="C5679" i="1"/>
  <c r="A12756" i="1"/>
  <c r="B12756" i="1"/>
  <c r="C12756" i="1"/>
  <c r="A4029" i="1"/>
  <c r="B4029" i="1"/>
  <c r="C4029" i="1"/>
  <c r="A16813" i="1"/>
  <c r="B16813" i="1"/>
  <c r="C16813" i="1"/>
  <c r="A16805" i="1"/>
  <c r="B16805" i="1"/>
  <c r="C16805" i="1"/>
  <c r="A25752" i="1"/>
  <c r="B25752" i="1"/>
  <c r="C25752" i="1"/>
  <c r="A11881" i="1"/>
  <c r="B11881" i="1"/>
  <c r="C11881" i="1"/>
  <c r="A23598" i="1"/>
  <c r="B23598" i="1"/>
  <c r="C23598" i="1"/>
  <c r="A5936" i="1"/>
  <c r="B5936" i="1"/>
  <c r="C5936" i="1"/>
  <c r="A7056" i="1"/>
  <c r="B7056" i="1"/>
  <c r="C7056" i="1"/>
  <c r="A3800" i="1"/>
  <c r="B3800" i="1"/>
  <c r="C3800" i="1"/>
  <c r="A14599" i="1"/>
  <c r="B14599" i="1"/>
  <c r="C14599" i="1"/>
  <c r="A11381" i="1"/>
  <c r="B11381" i="1"/>
  <c r="C11381" i="1"/>
  <c r="A11377" i="1"/>
  <c r="B11377" i="1"/>
  <c r="C11377" i="1"/>
  <c r="A11379" i="1"/>
  <c r="B11379" i="1"/>
  <c r="C11379" i="1"/>
  <c r="A11378" i="1"/>
  <c r="B11378" i="1"/>
  <c r="C11378" i="1"/>
  <c r="A17256" i="1"/>
  <c r="B17256" i="1"/>
  <c r="C17256" i="1"/>
  <c r="A1544" i="1"/>
  <c r="B1544" i="1"/>
  <c r="C1544" i="1"/>
  <c r="A1582" i="1"/>
  <c r="B1582" i="1"/>
  <c r="C1582" i="1"/>
  <c r="A18738" i="1"/>
  <c r="B18738" i="1"/>
  <c r="C18738" i="1"/>
  <c r="A9871" i="1"/>
  <c r="B9871" i="1"/>
  <c r="C9871" i="1"/>
  <c r="A14296" i="1"/>
  <c r="B14296" i="1"/>
  <c r="C14296" i="1"/>
  <c r="A16187" i="1"/>
  <c r="B16187" i="1"/>
  <c r="C16187" i="1"/>
  <c r="A12496" i="1"/>
  <c r="B12496" i="1"/>
  <c r="C12496" i="1"/>
  <c r="A25239" i="1"/>
  <c r="B25239" i="1"/>
  <c r="C25239" i="1"/>
  <c r="A20093" i="1"/>
  <c r="B20093" i="1"/>
  <c r="C20093" i="1"/>
  <c r="A22336" i="1"/>
  <c r="B22336" i="1"/>
  <c r="C22336" i="1"/>
  <c r="A3337" i="1"/>
  <c r="B3337" i="1"/>
  <c r="C3337" i="1"/>
  <c r="A24422" i="1"/>
  <c r="B24422" i="1"/>
  <c r="C24422" i="1"/>
  <c r="A10802" i="1"/>
  <c r="B10802" i="1"/>
  <c r="C10802" i="1"/>
  <c r="A15334" i="1"/>
  <c r="B15334" i="1"/>
  <c r="C15334" i="1"/>
  <c r="A18763" i="1"/>
  <c r="B18763" i="1"/>
  <c r="C18763" i="1"/>
  <c r="A18290" i="1"/>
  <c r="B18290" i="1"/>
  <c r="C18290" i="1"/>
  <c r="A12248" i="1"/>
  <c r="B12248" i="1"/>
  <c r="C12248" i="1"/>
  <c r="A15543" i="1"/>
  <c r="B15543" i="1"/>
  <c r="C15543" i="1"/>
  <c r="A18589" i="1"/>
  <c r="B18589" i="1"/>
  <c r="C18589" i="1"/>
  <c r="A18591" i="1"/>
  <c r="B18591" i="1"/>
  <c r="C18591" i="1"/>
  <c r="A13454" i="1"/>
  <c r="B13454" i="1"/>
  <c r="C13454" i="1"/>
  <c r="A6402" i="1"/>
  <c r="B6402" i="1"/>
  <c r="C6402" i="1"/>
  <c r="A1547" i="1"/>
  <c r="B1547" i="1"/>
  <c r="C1547" i="1"/>
  <c r="A1521" i="1"/>
  <c r="B1521" i="1"/>
  <c r="C1521" i="1"/>
  <c r="A17264" i="1"/>
  <c r="B17264" i="1"/>
  <c r="C17264" i="1"/>
  <c r="A17265" i="1"/>
  <c r="B17265" i="1"/>
  <c r="C17265" i="1"/>
  <c r="A4032" i="1"/>
  <c r="B4032" i="1"/>
  <c r="C4032" i="1"/>
  <c r="A7715" i="1"/>
  <c r="B7715" i="1"/>
  <c r="C7715" i="1"/>
  <c r="A18905" i="1"/>
  <c r="B18905" i="1"/>
  <c r="C18905" i="1"/>
  <c r="A7234" i="1"/>
  <c r="B7234" i="1"/>
  <c r="C7234" i="1"/>
  <c r="A22301" i="1"/>
  <c r="B22301" i="1"/>
  <c r="C22301" i="1"/>
  <c r="A5925" i="1"/>
  <c r="B5925" i="1"/>
  <c r="C5925" i="1"/>
  <c r="A21873" i="1"/>
  <c r="B21873" i="1"/>
  <c r="C21873" i="1"/>
  <c r="A8625" i="1"/>
  <c r="B8625" i="1"/>
  <c r="C8625" i="1"/>
  <c r="A15227" i="1"/>
  <c r="B15227" i="1"/>
  <c r="C15227" i="1"/>
  <c r="A10454" i="1"/>
  <c r="B10454" i="1"/>
  <c r="C10454" i="1"/>
  <c r="A12390" i="1"/>
  <c r="B12390" i="1"/>
  <c r="C12390" i="1"/>
  <c r="A18141" i="1"/>
  <c r="B18141" i="1"/>
  <c r="C18141" i="1"/>
  <c r="A6673" i="1"/>
  <c r="B6673" i="1"/>
  <c r="C6673" i="1"/>
  <c r="A7421" i="1"/>
  <c r="B7421" i="1"/>
  <c r="C7421" i="1"/>
  <c r="A9725" i="1"/>
  <c r="B9725" i="1"/>
  <c r="C9725" i="1"/>
  <c r="A8578" i="1"/>
  <c r="B8578" i="1"/>
  <c r="C8578" i="1"/>
  <c r="A114" i="1"/>
  <c r="B114" i="1"/>
  <c r="C114" i="1"/>
  <c r="A14703" i="1"/>
  <c r="B14703" i="1"/>
  <c r="C14703" i="1"/>
  <c r="A3340" i="1"/>
  <c r="B3340" i="1"/>
  <c r="C3340" i="1"/>
  <c r="A7065" i="1"/>
  <c r="B7065" i="1"/>
  <c r="C7065" i="1"/>
  <c r="A3345" i="1"/>
  <c r="B3345" i="1"/>
  <c r="C3345" i="1"/>
  <c r="A3347" i="1"/>
  <c r="B3347" i="1"/>
  <c r="C3347" i="1"/>
  <c r="A9728" i="1"/>
  <c r="B9728" i="1"/>
  <c r="C9728" i="1"/>
  <c r="A8581" i="1"/>
  <c r="B8581" i="1"/>
  <c r="C8581" i="1"/>
  <c r="A7083" i="1"/>
  <c r="B7083" i="1"/>
  <c r="C7083" i="1"/>
  <c r="A15354" i="1"/>
  <c r="B15354" i="1"/>
  <c r="C15354" i="1"/>
  <c r="A118" i="1"/>
  <c r="B118" i="1"/>
  <c r="C118" i="1"/>
  <c r="A20769" i="1"/>
  <c r="B20769" i="1"/>
  <c r="C20769" i="1"/>
  <c r="A20282" i="1"/>
  <c r="B20282" i="1"/>
  <c r="C20282" i="1"/>
  <c r="A12800" i="1"/>
  <c r="B12800" i="1"/>
  <c r="C12800" i="1"/>
  <c r="A24425" i="1"/>
  <c r="B24425" i="1"/>
  <c r="C24425" i="1"/>
  <c r="A13343" i="1"/>
  <c r="B13343" i="1"/>
  <c r="C13343" i="1"/>
  <c r="A10089" i="1"/>
  <c r="B10089" i="1"/>
  <c r="C10089" i="1"/>
  <c r="A25053" i="1"/>
  <c r="B25053" i="1"/>
  <c r="C25053" i="1"/>
  <c r="A6745" i="1"/>
  <c r="B6745" i="1"/>
  <c r="C6745" i="1"/>
  <c r="A12319" i="1"/>
  <c r="B12319" i="1"/>
  <c r="C12319" i="1"/>
  <c r="A165" i="1"/>
  <c r="B165" i="1"/>
  <c r="C165" i="1"/>
  <c r="A2808" i="1"/>
  <c r="B2808" i="1"/>
  <c r="C2808" i="1"/>
  <c r="A7098" i="1"/>
  <c r="B7098" i="1"/>
  <c r="C7098" i="1"/>
  <c r="A17266" i="1"/>
  <c r="B17266" i="1"/>
  <c r="C17266" i="1"/>
  <c r="A25586" i="1"/>
  <c r="B25586" i="1"/>
  <c r="C25586" i="1"/>
  <c r="A5864" i="1"/>
  <c r="B5864" i="1"/>
  <c r="C5864" i="1"/>
  <c r="A23534" i="1"/>
  <c r="B23534" i="1"/>
  <c r="C23534" i="1"/>
  <c r="A1807" i="1"/>
  <c r="B1807" i="1"/>
  <c r="C1807" i="1"/>
  <c r="A11897" i="1"/>
  <c r="B11897" i="1"/>
  <c r="C11897" i="1"/>
  <c r="A23536" i="1"/>
  <c r="B23536" i="1"/>
  <c r="C23536" i="1"/>
  <c r="A3616" i="1"/>
  <c r="B3616" i="1"/>
  <c r="C3616" i="1"/>
  <c r="A17892" i="1"/>
  <c r="B17892" i="1"/>
  <c r="C17892" i="1"/>
  <c r="A1539" i="1"/>
  <c r="B1539" i="1"/>
  <c r="C1539" i="1"/>
  <c r="A22013" i="1"/>
  <c r="B22013" i="1"/>
  <c r="C22013" i="1"/>
  <c r="A22087" i="1"/>
  <c r="B22087" i="1"/>
  <c r="C22087" i="1"/>
  <c r="A4038" i="1"/>
  <c r="B4038" i="1"/>
  <c r="C4038" i="1"/>
  <c r="A3979" i="1"/>
  <c r="B3979" i="1"/>
  <c r="C3979" i="1"/>
  <c r="A3344" i="1"/>
  <c r="B3344" i="1"/>
  <c r="C3344" i="1"/>
  <c r="A9716" i="1"/>
  <c r="B9716" i="1"/>
  <c r="C9716" i="1"/>
  <c r="A14597" i="1"/>
  <c r="B14597" i="1"/>
  <c r="C14597" i="1"/>
  <c r="A7053" i="1"/>
  <c r="B7053" i="1"/>
  <c r="C7053" i="1"/>
  <c r="A8577" i="1"/>
  <c r="B8577" i="1"/>
  <c r="C8577" i="1"/>
  <c r="A14709" i="1"/>
  <c r="B14709" i="1"/>
  <c r="C14709" i="1"/>
  <c r="A19329" i="1"/>
  <c r="B19329" i="1"/>
  <c r="C19329" i="1"/>
  <c r="A4819" i="1"/>
  <c r="B4819" i="1"/>
  <c r="C4819" i="1"/>
  <c r="A23888" i="1"/>
  <c r="B23888" i="1"/>
  <c r="C23888" i="1"/>
  <c r="A19624" i="1"/>
  <c r="B19624" i="1"/>
  <c r="C19624" i="1"/>
  <c r="A7072" i="1"/>
  <c r="B7072" i="1"/>
  <c r="C7072" i="1"/>
  <c r="A19617" i="1"/>
  <c r="B19617" i="1"/>
  <c r="C19617" i="1"/>
  <c r="A19620" i="1"/>
  <c r="B19620" i="1"/>
  <c r="C19620" i="1"/>
  <c r="A24886" i="1"/>
  <c r="B24886" i="1"/>
  <c r="C24886" i="1"/>
  <c r="A24885" i="1"/>
  <c r="B24885" i="1"/>
  <c r="C24885" i="1"/>
  <c r="A8601" i="1"/>
  <c r="B8601" i="1"/>
  <c r="C8601" i="1"/>
  <c r="A25079" i="1"/>
  <c r="B25079" i="1"/>
  <c r="C25079" i="1"/>
  <c r="A16455" i="1"/>
  <c r="B16455" i="1"/>
  <c r="C16455" i="1"/>
  <c r="A19577" i="1"/>
  <c r="B19577" i="1"/>
  <c r="C19577" i="1"/>
  <c r="A18275" i="1"/>
  <c r="B18275" i="1"/>
  <c r="C18275" i="1"/>
  <c r="A19580" i="1"/>
  <c r="B19580" i="1"/>
  <c r="C19580" i="1"/>
  <c r="A16136" i="1"/>
  <c r="B16136" i="1"/>
  <c r="C16136" i="1"/>
  <c r="A6345" i="1"/>
  <c r="B6345" i="1"/>
  <c r="C6345" i="1"/>
  <c r="A7931" i="1"/>
  <c r="B7931" i="1"/>
  <c r="C7931" i="1"/>
  <c r="A7136" i="1"/>
  <c r="B7136" i="1"/>
  <c r="C7136" i="1"/>
  <c r="A21715" i="1"/>
  <c r="B21715" i="1"/>
  <c r="C21715" i="1"/>
  <c r="A8408" i="1"/>
  <c r="B8408" i="1"/>
  <c r="C8408" i="1"/>
  <c r="A7211" i="1"/>
  <c r="B7211" i="1"/>
  <c r="C7211" i="1"/>
  <c r="A12744" i="1"/>
  <c r="B12744" i="1"/>
  <c r="C12744" i="1"/>
  <c r="A7299" i="1"/>
  <c r="B7299" i="1"/>
  <c r="C7299" i="1"/>
  <c r="A388" i="1"/>
  <c r="B388" i="1"/>
  <c r="C388" i="1"/>
  <c r="A1868" i="1"/>
  <c r="B1868" i="1"/>
  <c r="C1868" i="1"/>
  <c r="A384" i="1"/>
  <c r="B384" i="1"/>
  <c r="C384" i="1"/>
  <c r="A18255" i="1"/>
  <c r="B18255" i="1"/>
  <c r="C18255" i="1"/>
  <c r="A377" i="1"/>
  <c r="B377" i="1"/>
  <c r="C377" i="1"/>
  <c r="A375" i="1"/>
  <c r="B375" i="1"/>
  <c r="C375" i="1"/>
  <c r="A383" i="1"/>
  <c r="B383" i="1"/>
  <c r="C383" i="1"/>
  <c r="A379" i="1"/>
  <c r="B379" i="1"/>
  <c r="C379" i="1"/>
  <c r="A3977" i="1"/>
  <c r="B3977" i="1"/>
  <c r="C3977" i="1"/>
  <c r="A4162" i="1"/>
  <c r="B4162" i="1"/>
  <c r="C4162" i="1"/>
  <c r="A2920" i="1"/>
  <c r="B2920" i="1"/>
  <c r="C2920" i="1"/>
  <c r="A5813" i="1"/>
  <c r="B5813" i="1"/>
  <c r="C5813" i="1"/>
  <c r="A21714" i="1"/>
  <c r="B21714" i="1"/>
  <c r="C21714" i="1"/>
  <c r="A18044" i="1"/>
  <c r="B18044" i="1"/>
  <c r="C18044" i="1"/>
  <c r="A2947" i="1"/>
  <c r="B2947" i="1"/>
  <c r="C2947" i="1"/>
  <c r="A2948" i="1"/>
  <c r="B2948" i="1"/>
  <c r="C2948" i="1"/>
  <c r="A2945" i="1"/>
  <c r="B2945" i="1"/>
  <c r="C2945" i="1"/>
  <c r="A23114" i="1"/>
  <c r="B23114" i="1"/>
  <c r="C23114" i="1"/>
  <c r="A3574" i="1"/>
  <c r="B3574" i="1"/>
  <c r="C3574" i="1"/>
  <c r="A8913" i="1"/>
  <c r="B8913" i="1"/>
  <c r="C8913" i="1"/>
  <c r="A7063" i="1"/>
  <c r="B7063" i="1"/>
  <c r="C7063" i="1"/>
  <c r="A21603" i="1"/>
  <c r="B21603" i="1"/>
  <c r="C21603" i="1"/>
  <c r="A19625" i="1"/>
  <c r="B19625" i="1"/>
  <c r="C19625" i="1"/>
  <c r="A4363" i="1"/>
  <c r="B4363" i="1"/>
  <c r="C4363" i="1"/>
  <c r="A19525" i="1"/>
  <c r="B19525" i="1"/>
  <c r="C19525" i="1"/>
  <c r="A21487" i="1"/>
  <c r="B21487" i="1"/>
  <c r="C21487" i="1"/>
  <c r="A4028" i="1"/>
  <c r="B4028" i="1"/>
  <c r="C4028" i="1"/>
  <c r="A11874" i="1"/>
  <c r="B11874" i="1"/>
  <c r="C11874" i="1"/>
  <c r="A7104" i="1"/>
  <c r="B7104" i="1"/>
  <c r="C7104" i="1"/>
  <c r="A7105" i="1"/>
  <c r="B7105" i="1"/>
  <c r="C7105" i="1"/>
  <c r="A13194" i="1"/>
  <c r="B13194" i="1"/>
  <c r="C13194" i="1"/>
  <c r="A10231" i="1"/>
  <c r="B10231" i="1"/>
  <c r="C10231" i="1"/>
  <c r="A2025" i="1"/>
  <c r="B2025" i="1"/>
  <c r="C2025" i="1"/>
  <c r="A7215" i="1"/>
  <c r="B7215" i="1"/>
  <c r="C7215" i="1"/>
  <c r="A7216" i="1"/>
  <c r="B7216" i="1"/>
  <c r="C7216" i="1"/>
  <c r="A7223" i="1"/>
  <c r="B7223" i="1"/>
  <c r="C7223" i="1"/>
  <c r="A275" i="1"/>
  <c r="B275" i="1"/>
  <c r="C275" i="1"/>
  <c r="A17021" i="1"/>
  <c r="B17021" i="1"/>
  <c r="C17021" i="1"/>
  <c r="A9109" i="1"/>
  <c r="B9109" i="1"/>
  <c r="C9109" i="1"/>
  <c r="A11788" i="1"/>
  <c r="B11788" i="1"/>
  <c r="C11788" i="1"/>
  <c r="A18805" i="1"/>
  <c r="B18805" i="1"/>
  <c r="C18805" i="1"/>
  <c r="A13718" i="1"/>
  <c r="B13718" i="1"/>
  <c r="C13718" i="1"/>
  <c r="A18803" i="1"/>
  <c r="B18803" i="1"/>
  <c r="C18803" i="1"/>
  <c r="A3677" i="1"/>
  <c r="B3677" i="1"/>
  <c r="C3677" i="1"/>
  <c r="A18802" i="1"/>
  <c r="B18802" i="1"/>
  <c r="C18802" i="1"/>
  <c r="A1892" i="1"/>
  <c r="B1892" i="1"/>
  <c r="C1892" i="1"/>
  <c r="A6346" i="1"/>
  <c r="B6346" i="1"/>
  <c r="C6346" i="1"/>
  <c r="A19921" i="1"/>
  <c r="B19921" i="1"/>
  <c r="C19921" i="1"/>
  <c r="A7399" i="1"/>
  <c r="B7399" i="1"/>
  <c r="C7399" i="1"/>
  <c r="A24185" i="1"/>
  <c r="B24185" i="1"/>
  <c r="C24185" i="1"/>
  <c r="A16250" i="1"/>
  <c r="B16250" i="1"/>
  <c r="C16250" i="1"/>
  <c r="A20771" i="1"/>
  <c r="B20771" i="1"/>
  <c r="C20771" i="1"/>
  <c r="A25199" i="1"/>
  <c r="B25199" i="1"/>
  <c r="C25199" i="1"/>
  <c r="A262" i="1"/>
  <c r="B262" i="1"/>
  <c r="C262" i="1"/>
  <c r="A12811" i="1"/>
  <c r="B12811" i="1"/>
  <c r="C12811" i="1"/>
  <c r="A12786" i="1"/>
  <c r="B12786" i="1"/>
  <c r="C12786" i="1"/>
  <c r="A18150" i="1"/>
  <c r="B18150" i="1"/>
  <c r="C18150" i="1"/>
  <c r="A17751" i="1"/>
  <c r="B17751" i="1"/>
  <c r="C17751" i="1"/>
  <c r="A16822" i="1"/>
  <c r="B16822" i="1"/>
  <c r="C16822" i="1"/>
  <c r="A6761" i="1"/>
  <c r="B6761" i="1"/>
  <c r="C6761" i="1"/>
  <c r="A20548" i="1"/>
  <c r="B20548" i="1"/>
  <c r="C20548" i="1"/>
  <c r="A20892" i="1"/>
  <c r="B20892" i="1"/>
  <c r="C20892" i="1"/>
  <c r="A7588" i="1"/>
  <c r="B7588" i="1"/>
  <c r="C7588" i="1"/>
  <c r="A23304" i="1"/>
  <c r="B23304" i="1"/>
  <c r="C23304" i="1"/>
  <c r="A5644" i="1"/>
  <c r="B5644" i="1"/>
  <c r="C5644" i="1"/>
  <c r="A393" i="1"/>
  <c r="B393" i="1"/>
  <c r="C393" i="1"/>
  <c r="A397" i="1"/>
  <c r="B397" i="1"/>
  <c r="C397" i="1"/>
  <c r="A23984" i="1"/>
  <c r="B23984" i="1"/>
  <c r="C23984" i="1"/>
  <c r="A906" i="1"/>
  <c r="B906" i="1"/>
  <c r="C906" i="1"/>
  <c r="A908" i="1"/>
  <c r="B908" i="1"/>
  <c r="C908" i="1"/>
  <c r="A913" i="1"/>
  <c r="B913" i="1"/>
  <c r="C913" i="1"/>
  <c r="A5213" i="1"/>
  <c r="B5213" i="1"/>
  <c r="C5213" i="1"/>
  <c r="A7217" i="1"/>
  <c r="B7217" i="1"/>
  <c r="C7217" i="1"/>
  <c r="A11209" i="1"/>
  <c r="B11209" i="1"/>
  <c r="C11209" i="1"/>
  <c r="A11210" i="1"/>
  <c r="B11210" i="1"/>
  <c r="C11210" i="1"/>
  <c r="A22530" i="1"/>
  <c r="B22530" i="1"/>
  <c r="C22530" i="1"/>
  <c r="A2891" i="1"/>
  <c r="B2891" i="1"/>
  <c r="C2891" i="1"/>
  <c r="A764" i="1"/>
  <c r="B764" i="1"/>
  <c r="C764" i="1"/>
  <c r="A1002" i="1"/>
  <c r="B1002" i="1"/>
  <c r="C1002" i="1"/>
  <c r="A1633" i="1"/>
  <c r="B1633" i="1"/>
  <c r="C1633" i="1"/>
  <c r="A2555" i="1"/>
  <c r="B2555" i="1"/>
  <c r="C2555" i="1"/>
  <c r="A2914" i="1"/>
  <c r="B2914" i="1"/>
  <c r="C2914" i="1"/>
  <c r="A3530" i="1"/>
  <c r="B3530" i="1"/>
  <c r="C3530" i="1"/>
  <c r="A4890" i="1"/>
  <c r="B4890" i="1"/>
  <c r="C4890" i="1"/>
  <c r="A5714" i="1"/>
  <c r="B5714" i="1"/>
  <c r="C5714" i="1"/>
  <c r="A8957" i="1"/>
  <c r="B8957" i="1"/>
  <c r="C8957" i="1"/>
  <c r="A13346" i="1"/>
  <c r="B13346" i="1"/>
  <c r="C13346" i="1"/>
  <c r="A14937" i="1"/>
  <c r="B14937" i="1"/>
  <c r="C14937" i="1"/>
  <c r="A16055" i="1"/>
  <c r="B16055" i="1"/>
  <c r="C16055" i="1"/>
  <c r="A17359" i="1"/>
  <c r="B17359" i="1"/>
  <c r="C17359" i="1"/>
  <c r="A17899" i="1"/>
  <c r="B17899" i="1"/>
  <c r="C17899" i="1"/>
  <c r="A17988" i="1"/>
  <c r="B17988" i="1"/>
  <c r="C17988" i="1"/>
  <c r="A18652" i="1"/>
  <c r="B18652" i="1"/>
  <c r="C18652" i="1"/>
  <c r="A18657" i="1"/>
  <c r="B18657" i="1"/>
  <c r="C18657" i="1"/>
  <c r="A21686" i="1"/>
  <c r="B21686" i="1"/>
  <c r="C21686" i="1"/>
  <c r="A25204" i="1"/>
  <c r="B25204" i="1"/>
  <c r="C25204" i="1"/>
  <c r="A7577" i="1"/>
  <c r="B7577" i="1"/>
  <c r="C7577" i="1"/>
  <c r="A13404" i="1"/>
  <c r="B13404" i="1"/>
  <c r="C13404" i="1"/>
  <c r="A23294" i="1"/>
  <c r="B23294" i="1"/>
  <c r="C23294" i="1"/>
  <c r="A11318" i="1"/>
  <c r="B11318" i="1"/>
  <c r="C11318" i="1"/>
  <c r="A9563" i="1"/>
  <c r="B9563" i="1"/>
  <c r="C9563" i="1"/>
  <c r="A4001" i="1"/>
  <c r="B4001" i="1"/>
  <c r="C4001" i="1"/>
  <c r="A4003" i="1"/>
  <c r="B4003" i="1"/>
  <c r="C4003" i="1"/>
  <c r="A7633" i="1"/>
  <c r="B7633" i="1"/>
  <c r="C7633" i="1"/>
  <c r="A782" i="1"/>
  <c r="B782" i="1"/>
  <c r="C782" i="1"/>
  <c r="A1634" i="1"/>
  <c r="B1634" i="1"/>
  <c r="C1634" i="1"/>
  <c r="A13578" i="1"/>
  <c r="B13578" i="1"/>
  <c r="C13578" i="1"/>
  <c r="A784" i="1"/>
  <c r="B784" i="1"/>
  <c r="C784" i="1"/>
  <c r="A775" i="1"/>
  <c r="B775" i="1"/>
  <c r="C775" i="1"/>
  <c r="A785" i="1"/>
  <c r="B785" i="1"/>
  <c r="C785" i="1"/>
  <c r="A783" i="1"/>
  <c r="B783" i="1"/>
  <c r="C783" i="1"/>
  <c r="A25208" i="1"/>
  <c r="B25208" i="1"/>
  <c r="C25208" i="1"/>
  <c r="A5296" i="1"/>
  <c r="B5296" i="1"/>
  <c r="C5296" i="1"/>
  <c r="A5297" i="1"/>
  <c r="B5297" i="1"/>
  <c r="C5297" i="1"/>
  <c r="A5295" i="1"/>
  <c r="B5295" i="1"/>
  <c r="C5295" i="1"/>
  <c r="A17646" i="1"/>
  <c r="B17646" i="1"/>
  <c r="C17646" i="1"/>
  <c r="A19477" i="1"/>
  <c r="B19477" i="1"/>
  <c r="C19477" i="1"/>
  <c r="A17215" i="1"/>
  <c r="B17215" i="1"/>
  <c r="C17215" i="1"/>
  <c r="A7494" i="1"/>
  <c r="B7494" i="1"/>
  <c r="C7494" i="1"/>
  <c r="A17638" i="1"/>
  <c r="B17638" i="1"/>
  <c r="C17638" i="1"/>
  <c r="A17633" i="1"/>
  <c r="B17633" i="1"/>
  <c r="C17633" i="1"/>
  <c r="A25226" i="1"/>
  <c r="B25226" i="1"/>
  <c r="C25226" i="1"/>
  <c r="A16464" i="1"/>
  <c r="B16464" i="1"/>
  <c r="C16464" i="1"/>
  <c r="A16463" i="1"/>
  <c r="B16463" i="1"/>
  <c r="C16463" i="1"/>
  <c r="A19566" i="1"/>
  <c r="B19566" i="1"/>
  <c r="C19566" i="1"/>
  <c r="A24842" i="1"/>
  <c r="B24842" i="1"/>
  <c r="C24842" i="1"/>
  <c r="A25008" i="1"/>
  <c r="B25008" i="1"/>
  <c r="C25008" i="1"/>
  <c r="A25007" i="1"/>
  <c r="B25007" i="1"/>
  <c r="C25007" i="1"/>
  <c r="A22302" i="1"/>
  <c r="B22302" i="1"/>
  <c r="C22302" i="1"/>
  <c r="A7700" i="1"/>
  <c r="B7700" i="1"/>
  <c r="C7700" i="1"/>
  <c r="A7699" i="1"/>
  <c r="B7699" i="1"/>
  <c r="C7699" i="1"/>
  <c r="A7698" i="1"/>
  <c r="B7698" i="1"/>
  <c r="C7698" i="1"/>
  <c r="A7701" i="1"/>
  <c r="B7701" i="1"/>
  <c r="C7701" i="1"/>
  <c r="A15563" i="1"/>
  <c r="B15563" i="1"/>
  <c r="C15563" i="1"/>
  <c r="A5376" i="1"/>
  <c r="B5376" i="1"/>
  <c r="C5376" i="1"/>
  <c r="A22022" i="1"/>
  <c r="B22022" i="1"/>
  <c r="C22022" i="1"/>
  <c r="A9573" i="1"/>
  <c r="B9573" i="1"/>
  <c r="C9573" i="1"/>
  <c r="A21492" i="1"/>
  <c r="B21492" i="1"/>
  <c r="C21492" i="1"/>
  <c r="A9137" i="1"/>
  <c r="B9137" i="1"/>
  <c r="C9137" i="1"/>
  <c r="A7194" i="1"/>
  <c r="B7194" i="1"/>
  <c r="C7194" i="1"/>
  <c r="A9674" i="1"/>
  <c r="B9674" i="1"/>
  <c r="C9674" i="1"/>
  <c r="A19736" i="1"/>
  <c r="B19736" i="1"/>
  <c r="C19736" i="1"/>
  <c r="A24693" i="1"/>
  <c r="B24693" i="1"/>
  <c r="C24693" i="1"/>
  <c r="A3578" i="1"/>
  <c r="B3578" i="1"/>
  <c r="C3578" i="1"/>
  <c r="A14756" i="1"/>
  <c r="B14756" i="1"/>
  <c r="C14756" i="1"/>
  <c r="A18335" i="1"/>
  <c r="B18335" i="1"/>
  <c r="C18335" i="1"/>
  <c r="A14150" i="1"/>
  <c r="B14150" i="1"/>
  <c r="C14150" i="1"/>
  <c r="A21635" i="1"/>
  <c r="B21635" i="1"/>
  <c r="C21635" i="1"/>
  <c r="A21990" i="1"/>
  <c r="B21990" i="1"/>
  <c r="C21990" i="1"/>
  <c r="A21965" i="1"/>
  <c r="B21965" i="1"/>
  <c r="C21965" i="1"/>
  <c r="A21989" i="1"/>
  <c r="B21989" i="1"/>
  <c r="C21989" i="1"/>
  <c r="A3012" i="1"/>
  <c r="B3012" i="1"/>
  <c r="C3012" i="1"/>
  <c r="A10930" i="1"/>
  <c r="B10930" i="1"/>
  <c r="C10930" i="1"/>
  <c r="A23560" i="1"/>
  <c r="B23560" i="1"/>
  <c r="C23560" i="1"/>
  <c r="A3468" i="1"/>
  <c r="B3468" i="1"/>
  <c r="C3468" i="1"/>
  <c r="A15154" i="1"/>
  <c r="B15154" i="1"/>
  <c r="C15154" i="1"/>
  <c r="A359" i="1"/>
  <c r="B359" i="1"/>
  <c r="C359" i="1"/>
  <c r="A21769" i="1"/>
  <c r="B21769" i="1"/>
  <c r="C21769" i="1"/>
  <c r="A12641" i="1"/>
  <c r="B12641" i="1"/>
  <c r="C12641" i="1"/>
  <c r="A9821" i="1"/>
  <c r="B9821" i="1"/>
  <c r="C9821" i="1"/>
  <c r="A7248" i="1"/>
  <c r="B7248" i="1"/>
  <c r="C7248" i="1"/>
  <c r="A19671" i="1"/>
  <c r="B19671" i="1"/>
  <c r="C19671" i="1"/>
  <c r="A18144" i="1"/>
  <c r="B18144" i="1"/>
  <c r="C18144" i="1"/>
  <c r="A17212" i="1"/>
  <c r="B17212" i="1"/>
  <c r="C17212" i="1"/>
  <c r="A16248" i="1"/>
  <c r="B16248" i="1"/>
  <c r="C16248" i="1"/>
  <c r="A3596" i="1"/>
  <c r="B3596" i="1"/>
  <c r="C3596" i="1"/>
  <c r="A1091" i="1"/>
  <c r="B1091" i="1"/>
  <c r="C1091" i="1"/>
  <c r="A1086" i="1"/>
  <c r="B1086" i="1"/>
  <c r="C1086" i="1"/>
  <c r="A3606" i="1"/>
  <c r="B3606" i="1"/>
  <c r="C3606" i="1"/>
  <c r="A3505" i="1"/>
  <c r="B3505" i="1"/>
  <c r="C3505" i="1"/>
  <c r="A6525" i="1"/>
  <c r="B6525" i="1"/>
  <c r="C6525" i="1"/>
  <c r="A19833" i="1"/>
  <c r="B19833" i="1"/>
  <c r="C19833" i="1"/>
  <c r="A378" i="1"/>
  <c r="B378" i="1"/>
  <c r="C378" i="1"/>
  <c r="A18209" i="1"/>
  <c r="B18209" i="1"/>
  <c r="C18209" i="1"/>
  <c r="A376" i="1"/>
  <c r="B376" i="1"/>
  <c r="C376" i="1"/>
  <c r="A389" i="1"/>
  <c r="B389" i="1"/>
  <c r="C389" i="1"/>
  <c r="A385" i="1"/>
  <c r="B385" i="1"/>
  <c r="C385" i="1"/>
  <c r="A380" i="1"/>
  <c r="B380" i="1"/>
  <c r="C380" i="1"/>
  <c r="A387" i="1"/>
  <c r="B387" i="1"/>
  <c r="C387" i="1"/>
  <c r="A381" i="1"/>
  <c r="B381" i="1"/>
  <c r="C381" i="1"/>
  <c r="A382" i="1"/>
  <c r="B382" i="1"/>
  <c r="C382" i="1"/>
  <c r="A386" i="1"/>
  <c r="B386" i="1"/>
  <c r="C386" i="1"/>
  <c r="A15349" i="1"/>
  <c r="B15349" i="1"/>
  <c r="C15349" i="1"/>
  <c r="A19925" i="1"/>
  <c r="B19925" i="1"/>
  <c r="C19925" i="1"/>
  <c r="A1078" i="1"/>
  <c r="B1078" i="1"/>
  <c r="C1078" i="1"/>
  <c r="A12729" i="1"/>
  <c r="B12729" i="1"/>
  <c r="C12729" i="1"/>
  <c r="A12730" i="1"/>
  <c r="B12730" i="1"/>
  <c r="C12730" i="1"/>
  <c r="A6423" i="1"/>
  <c r="B6423" i="1"/>
  <c r="C6423" i="1"/>
  <c r="A24284" i="1"/>
  <c r="B24284" i="1"/>
  <c r="C24284" i="1"/>
  <c r="A23235" i="1"/>
  <c r="B23235" i="1"/>
  <c r="C23235" i="1"/>
  <c r="A8486" i="1"/>
  <c r="B8486" i="1"/>
  <c r="C8486" i="1"/>
  <c r="A11943" i="1"/>
  <c r="B11943" i="1"/>
  <c r="C11943" i="1"/>
  <c r="A5769" i="1"/>
  <c r="B5769" i="1"/>
  <c r="C5769" i="1"/>
  <c r="A5770" i="1"/>
  <c r="B5770" i="1"/>
  <c r="C5770" i="1"/>
  <c r="A25314" i="1"/>
  <c r="B25314" i="1"/>
  <c r="C25314" i="1"/>
  <c r="A11117" i="1"/>
  <c r="B11117" i="1"/>
  <c r="C11117" i="1"/>
  <c r="A16593" i="1"/>
  <c r="B16593" i="1"/>
  <c r="C16593" i="1"/>
  <c r="A14190" i="1"/>
  <c r="B14190" i="1"/>
  <c r="C14190" i="1"/>
  <c r="A4785" i="1"/>
  <c r="B4785" i="1"/>
  <c r="C4785" i="1"/>
  <c r="A4777" i="1"/>
  <c r="B4777" i="1"/>
  <c r="C4777" i="1"/>
  <c r="A4798" i="1"/>
  <c r="B4798" i="1"/>
  <c r="C4798" i="1"/>
  <c r="A7180" i="1"/>
  <c r="B7180" i="1"/>
  <c r="C7180" i="1"/>
  <c r="A19976" i="1"/>
  <c r="B19976" i="1"/>
  <c r="C19976" i="1"/>
  <c r="A12527" i="1"/>
  <c r="B12527" i="1"/>
  <c r="C12527" i="1"/>
  <c r="A6426" i="1"/>
  <c r="B6426" i="1"/>
  <c r="C6426" i="1"/>
  <c r="A12829" i="1"/>
  <c r="B12829" i="1"/>
  <c r="C12829" i="1"/>
  <c r="A14565" i="1"/>
  <c r="B14565" i="1"/>
  <c r="C14565" i="1"/>
  <c r="A19443" i="1"/>
  <c r="B19443" i="1"/>
  <c r="C19443" i="1"/>
  <c r="A16824" i="1"/>
  <c r="B16824" i="1"/>
  <c r="C16824" i="1"/>
  <c r="A22897" i="1"/>
  <c r="B22897" i="1"/>
  <c r="C22897" i="1"/>
  <c r="A3341" i="1"/>
  <c r="B3341" i="1"/>
  <c r="C3341" i="1"/>
  <c r="A5470" i="1"/>
  <c r="B5470" i="1"/>
  <c r="C5470" i="1"/>
  <c r="A10127" i="1"/>
  <c r="B10127" i="1"/>
  <c r="C10127" i="1"/>
  <c r="A4210" i="1"/>
  <c r="B4210" i="1"/>
  <c r="C4210" i="1"/>
  <c r="A1856" i="1"/>
  <c r="B1856" i="1"/>
  <c r="C1856" i="1"/>
  <c r="A22001" i="1"/>
  <c r="B22001" i="1"/>
  <c r="C22001" i="1"/>
  <c r="A17011" i="1"/>
  <c r="B17011" i="1"/>
  <c r="C17011" i="1"/>
  <c r="A17688" i="1"/>
  <c r="B17688" i="1"/>
  <c r="C17688" i="1"/>
  <c r="A9621" i="1"/>
  <c r="B9621" i="1"/>
  <c r="C9621" i="1"/>
  <c r="A22854" i="1"/>
  <c r="B22854" i="1"/>
  <c r="C22854" i="1"/>
  <c r="A15898" i="1"/>
  <c r="B15898" i="1"/>
  <c r="C15898" i="1"/>
  <c r="A5537" i="1"/>
  <c r="B5537" i="1"/>
  <c r="C5537" i="1"/>
  <c r="A3927" i="1"/>
  <c r="B3927" i="1"/>
  <c r="C3927" i="1"/>
  <c r="A23570" i="1"/>
  <c r="B23570" i="1"/>
  <c r="C23570" i="1"/>
  <c r="A13886" i="1"/>
  <c r="B13886" i="1"/>
  <c r="C13886" i="1"/>
  <c r="A18645" i="1"/>
  <c r="B18645" i="1"/>
  <c r="C18645" i="1"/>
  <c r="A2758" i="1"/>
  <c r="B2758" i="1"/>
  <c r="C2758" i="1"/>
  <c r="A19880" i="1"/>
  <c r="B19880" i="1"/>
  <c r="C19880" i="1"/>
  <c r="A6326" i="1"/>
  <c r="B6326" i="1"/>
  <c r="C6326" i="1"/>
  <c r="A5932" i="1"/>
  <c r="B5932" i="1"/>
  <c r="C5932" i="1"/>
  <c r="A24483" i="1"/>
  <c r="B24483" i="1"/>
  <c r="C24483" i="1"/>
  <c r="A1757" i="1"/>
  <c r="B1757" i="1"/>
  <c r="C1757" i="1"/>
  <c r="A25620" i="1"/>
  <c r="B25620" i="1"/>
  <c r="C25620" i="1"/>
  <c r="A4431" i="1"/>
  <c r="B4431" i="1"/>
  <c r="C4431" i="1"/>
  <c r="A16861" i="1"/>
  <c r="B16861" i="1"/>
  <c r="C16861" i="1"/>
  <c r="A19768" i="1"/>
  <c r="B19768" i="1"/>
  <c r="C19768" i="1"/>
  <c r="A3815" i="1"/>
  <c r="B3815" i="1"/>
  <c r="C3815" i="1"/>
  <c r="A18950" i="1"/>
  <c r="B18950" i="1"/>
  <c r="C18950" i="1"/>
  <c r="A3833" i="1"/>
  <c r="B3833" i="1"/>
  <c r="C3833" i="1"/>
  <c r="A18948" i="1"/>
  <c r="B18948" i="1"/>
  <c r="C18948" i="1"/>
  <c r="A18943" i="1"/>
  <c r="B18943" i="1"/>
  <c r="C18943" i="1"/>
  <c r="A21688" i="1"/>
  <c r="B21688" i="1"/>
  <c r="C21688" i="1"/>
  <c r="A4774" i="1"/>
  <c r="B4774" i="1"/>
  <c r="C4774" i="1"/>
  <c r="A4773" i="1"/>
  <c r="B4773" i="1"/>
  <c r="C4773" i="1"/>
  <c r="A16370" i="1"/>
  <c r="B16370" i="1"/>
  <c r="C16370" i="1"/>
  <c r="A19241" i="1"/>
  <c r="B19241" i="1"/>
  <c r="C19241" i="1"/>
  <c r="A5179" i="1"/>
  <c r="B5179" i="1"/>
  <c r="C5179" i="1"/>
  <c r="A3080" i="1"/>
  <c r="B3080" i="1"/>
  <c r="C3080" i="1"/>
  <c r="A10960" i="1"/>
  <c r="B10960" i="1"/>
  <c r="C10960" i="1"/>
  <c r="A2660" i="1"/>
  <c r="B2660" i="1"/>
  <c r="C2660" i="1"/>
  <c r="A19996" i="1"/>
  <c r="B19996" i="1"/>
  <c r="C19996" i="1"/>
  <c r="A7079" i="1"/>
  <c r="B7079" i="1"/>
  <c r="C7079" i="1"/>
  <c r="A9685" i="1"/>
  <c r="B9685" i="1"/>
  <c r="C9685" i="1"/>
  <c r="A12388" i="1"/>
  <c r="B12388" i="1"/>
  <c r="C12388" i="1"/>
  <c r="A18559" i="1"/>
  <c r="B18559" i="1"/>
  <c r="C18559" i="1"/>
  <c r="A7419" i="1"/>
  <c r="B7419" i="1"/>
  <c r="C7419" i="1"/>
  <c r="A9915" i="1"/>
  <c r="C9915" i="1"/>
  <c r="A15767" i="1"/>
  <c r="B15767" i="1"/>
  <c r="C15767" i="1"/>
  <c r="A18008" i="1"/>
  <c r="B18008" i="1"/>
  <c r="C18008" i="1"/>
  <c r="A7495" i="1"/>
  <c r="B7495" i="1"/>
  <c r="C7495" i="1"/>
  <c r="A373" i="1"/>
  <c r="B373" i="1"/>
  <c r="C373" i="1"/>
  <c r="A1513" i="1"/>
  <c r="B1513" i="1"/>
  <c r="C1513" i="1"/>
  <c r="A6585" i="1"/>
  <c r="B6585" i="1"/>
  <c r="C6585" i="1"/>
  <c r="A23868" i="1"/>
  <c r="B23868" i="1"/>
  <c r="C23868" i="1"/>
  <c r="A24937" i="1"/>
  <c r="B24937" i="1"/>
  <c r="C24937" i="1"/>
  <c r="A24936" i="1"/>
  <c r="B24936" i="1"/>
  <c r="C24936" i="1"/>
  <c r="A22015" i="1"/>
  <c r="B22015" i="1"/>
  <c r="C22015" i="1"/>
  <c r="A713" i="1"/>
  <c r="B713" i="1"/>
  <c r="C713" i="1"/>
  <c r="A2994" i="1"/>
  <c r="B2994" i="1"/>
  <c r="C2994" i="1"/>
  <c r="A20691" i="1"/>
  <c r="B20691" i="1"/>
  <c r="C20691" i="1"/>
  <c r="A3584" i="1"/>
  <c r="B3584" i="1"/>
  <c r="C3584" i="1"/>
  <c r="A24168" i="1"/>
  <c r="B24168" i="1"/>
  <c r="C24168" i="1"/>
  <c r="A10393" i="1"/>
  <c r="B10393" i="1"/>
  <c r="C10393" i="1"/>
  <c r="A5750" i="1"/>
  <c r="B5750" i="1"/>
  <c r="C5750" i="1"/>
  <c r="A9886" i="1"/>
  <c r="B9886" i="1"/>
  <c r="C9886" i="1"/>
  <c r="A8948" i="1"/>
  <c r="B8948" i="1"/>
  <c r="C8948" i="1"/>
  <c r="A21834" i="1"/>
  <c r="B21834" i="1"/>
  <c r="C21834" i="1"/>
  <c r="A17087" i="1"/>
  <c r="B17087" i="1"/>
  <c r="C17087" i="1"/>
  <c r="A24067" i="1"/>
  <c r="B24067" i="1"/>
  <c r="C24067" i="1"/>
  <c r="A17147" i="1"/>
  <c r="B17147" i="1"/>
  <c r="C17147" i="1"/>
  <c r="A16465" i="1"/>
  <c r="B16465" i="1"/>
  <c r="C16465" i="1"/>
  <c r="A3654" i="1"/>
  <c r="B3654" i="1"/>
  <c r="C3654" i="1"/>
  <c r="A23374" i="1"/>
  <c r="B23374" i="1"/>
  <c r="C23374" i="1"/>
  <c r="A23403" i="1"/>
  <c r="B23403" i="1"/>
  <c r="C23403" i="1"/>
  <c r="A23464" i="1"/>
  <c r="B23464" i="1"/>
  <c r="C23464" i="1"/>
  <c r="A7745" i="1"/>
  <c r="B7745" i="1"/>
  <c r="C7745" i="1"/>
  <c r="A7528" i="1"/>
  <c r="B7528" i="1"/>
  <c r="C7528" i="1"/>
  <c r="A8013" i="1"/>
  <c r="B8013" i="1"/>
  <c r="C8013" i="1"/>
  <c r="A7479" i="1"/>
  <c r="B7479" i="1"/>
  <c r="C7479" i="1"/>
  <c r="A15241" i="1"/>
  <c r="B15241" i="1"/>
  <c r="C15241" i="1"/>
  <c r="A10663" i="1"/>
  <c r="B10663" i="1"/>
  <c r="C10663" i="1"/>
  <c r="A11368" i="1"/>
  <c r="B11368" i="1"/>
  <c r="C11368" i="1"/>
  <c r="A5432" i="1"/>
  <c r="B5432" i="1"/>
  <c r="C5432" i="1"/>
  <c r="A7658" i="1"/>
  <c r="B7658" i="1"/>
  <c r="C7658" i="1"/>
  <c r="A11369" i="1"/>
  <c r="B11369" i="1"/>
  <c r="C11369" i="1"/>
  <c r="A2800" i="1"/>
  <c r="B2800" i="1"/>
  <c r="C2800" i="1"/>
  <c r="A10892" i="1"/>
  <c r="B10892" i="1"/>
  <c r="C10892" i="1"/>
  <c r="A5822" i="1"/>
  <c r="B5822" i="1"/>
  <c r="C5822" i="1"/>
  <c r="A12574" i="1"/>
  <c r="B12574" i="1"/>
  <c r="C12574" i="1"/>
  <c r="A12573" i="1"/>
  <c r="B12573" i="1"/>
  <c r="C12573" i="1"/>
  <c r="A6523" i="1"/>
  <c r="B6523" i="1"/>
  <c r="C6523" i="1"/>
  <c r="A6514" i="1"/>
  <c r="B6514" i="1"/>
  <c r="C6514" i="1"/>
  <c r="A11840" i="1"/>
  <c r="B11840" i="1"/>
  <c r="C11840" i="1"/>
  <c r="A11843" i="1"/>
  <c r="B11843" i="1"/>
  <c r="C11843" i="1"/>
  <c r="A11847" i="1"/>
  <c r="B11847" i="1"/>
  <c r="C11847" i="1"/>
  <c r="A11834" i="1"/>
  <c r="B11834" i="1"/>
  <c r="C11834" i="1"/>
  <c r="A11836" i="1"/>
  <c r="B11836" i="1"/>
  <c r="C11836" i="1"/>
  <c r="A16956" i="1"/>
  <c r="B16956" i="1"/>
  <c r="C16956" i="1"/>
  <c r="A122" i="1"/>
  <c r="B122" i="1"/>
  <c r="C122" i="1"/>
  <c r="A3950" i="1"/>
  <c r="B3950" i="1"/>
  <c r="C3950" i="1"/>
  <c r="A3949" i="1"/>
  <c r="B3949" i="1"/>
  <c r="C3949" i="1"/>
  <c r="A3954" i="1"/>
  <c r="B3954" i="1"/>
  <c r="C3954" i="1"/>
  <c r="A4016" i="1"/>
  <c r="B4016" i="1"/>
  <c r="C4016" i="1"/>
  <c r="A11944" i="1"/>
  <c r="B11944" i="1"/>
  <c r="C11944" i="1"/>
  <c r="A18699" i="1"/>
  <c r="B18699" i="1"/>
  <c r="C18699" i="1"/>
  <c r="A17329" i="1"/>
  <c r="B17329" i="1"/>
  <c r="C17329" i="1"/>
  <c r="A11470" i="1"/>
  <c r="B11470" i="1"/>
  <c r="C11470" i="1"/>
  <c r="A24400" i="1"/>
  <c r="B24400" i="1"/>
  <c r="C24400" i="1"/>
  <c r="A24407" i="1"/>
  <c r="B24407" i="1"/>
  <c r="C24407" i="1"/>
  <c r="A6875" i="1"/>
  <c r="B6875" i="1"/>
  <c r="C6875" i="1"/>
  <c r="A14232" i="1"/>
  <c r="B14232" i="1"/>
  <c r="C14232" i="1"/>
  <c r="A18227" i="1"/>
  <c r="B18227" i="1"/>
  <c r="C18227" i="1"/>
  <c r="A7999" i="1"/>
  <c r="B7999" i="1"/>
  <c r="C7999" i="1"/>
  <c r="A16831" i="1"/>
  <c r="B16831" i="1"/>
  <c r="C16831" i="1"/>
  <c r="A10326" i="1"/>
  <c r="B10326" i="1"/>
  <c r="C10326" i="1"/>
  <c r="A9782" i="1"/>
  <c r="B9782" i="1"/>
  <c r="C9782" i="1"/>
  <c r="A2794" i="1"/>
  <c r="B2794" i="1"/>
  <c r="C2794" i="1"/>
  <c r="A2553" i="1"/>
  <c r="B2553" i="1"/>
  <c r="C2553" i="1"/>
  <c r="A17565" i="1"/>
  <c r="B17565" i="1"/>
  <c r="C17565" i="1"/>
  <c r="A16543" i="1"/>
  <c r="B16543" i="1"/>
  <c r="C16543" i="1"/>
  <c r="A16544" i="1"/>
  <c r="B16544" i="1"/>
  <c r="C16544" i="1"/>
  <c r="A23639" i="1"/>
  <c r="B23639" i="1"/>
  <c r="C23639" i="1"/>
  <c r="A23667" i="1"/>
  <c r="B23667" i="1"/>
  <c r="C23667" i="1"/>
  <c r="A18168" i="1"/>
  <c r="B18168" i="1"/>
  <c r="C18168" i="1"/>
  <c r="A16048" i="1"/>
  <c r="B16048" i="1"/>
  <c r="C16048" i="1"/>
  <c r="A5416" i="1"/>
  <c r="B5416" i="1"/>
  <c r="C5416" i="1"/>
  <c r="A18131" i="1"/>
  <c r="B18131" i="1"/>
  <c r="C18131" i="1"/>
  <c r="A4807" i="1"/>
  <c r="B4807" i="1"/>
  <c r="C4807" i="1"/>
  <c r="A17997" i="1"/>
  <c r="B17997" i="1"/>
  <c r="C17997" i="1"/>
  <c r="A12010" i="1"/>
  <c r="B12010" i="1"/>
  <c r="C12010" i="1"/>
  <c r="A12338" i="1"/>
  <c r="B12338" i="1"/>
  <c r="C12338" i="1"/>
  <c r="A16020" i="1"/>
  <c r="B16020" i="1"/>
  <c r="C16020" i="1"/>
  <c r="A25019" i="1"/>
  <c r="B25019" i="1"/>
  <c r="C25019" i="1"/>
  <c r="A1026" i="1"/>
  <c r="B1026" i="1"/>
  <c r="C1026" i="1"/>
  <c r="A10192" i="1"/>
  <c r="B10192" i="1"/>
  <c r="C10192" i="1"/>
  <c r="A17288" i="1"/>
  <c r="B17288" i="1"/>
  <c r="C17288" i="1"/>
  <c r="A16017" i="1"/>
  <c r="B16017" i="1"/>
  <c r="C16017" i="1"/>
  <c r="A460" i="1"/>
  <c r="B460" i="1"/>
  <c r="C460" i="1"/>
  <c r="A9409" i="1"/>
  <c r="B9409" i="1"/>
  <c r="C9409" i="1"/>
  <c r="A20307" i="1"/>
  <c r="B20307" i="1"/>
  <c r="C20307" i="1"/>
  <c r="A11986" i="1"/>
  <c r="B11986" i="1"/>
  <c r="C11986" i="1"/>
  <c r="A20308" i="1"/>
  <c r="B20308" i="1"/>
  <c r="C20308" i="1"/>
  <c r="A14948" i="1"/>
  <c r="B14948" i="1"/>
  <c r="C14948" i="1"/>
  <c r="A4330" i="1"/>
  <c r="B4330" i="1"/>
  <c r="C4330" i="1"/>
  <c r="A4328" i="1"/>
  <c r="B4328" i="1"/>
  <c r="C4328" i="1"/>
  <c r="A4327" i="1"/>
  <c r="B4327" i="1"/>
  <c r="C4327" i="1"/>
  <c r="A4326" i="1"/>
  <c r="B4326" i="1"/>
  <c r="C4326" i="1"/>
  <c r="A4329" i="1"/>
  <c r="B4329" i="1"/>
  <c r="C4329" i="1"/>
  <c r="A4791" i="1"/>
  <c r="B4791" i="1"/>
  <c r="C4791" i="1"/>
  <c r="A4792" i="1"/>
  <c r="B4792" i="1"/>
  <c r="C4792" i="1"/>
  <c r="A7757" i="1"/>
  <c r="B7757" i="1"/>
  <c r="C7757" i="1"/>
  <c r="A5391" i="1"/>
  <c r="B5391" i="1"/>
  <c r="C5391" i="1"/>
  <c r="A4848" i="1"/>
  <c r="B4848" i="1"/>
  <c r="C4848" i="1"/>
  <c r="A15718" i="1"/>
  <c r="B15718" i="1"/>
  <c r="C15718" i="1"/>
  <c r="A3793" i="1"/>
  <c r="B3793" i="1"/>
  <c r="C3793" i="1"/>
  <c r="A4360" i="1"/>
  <c r="B4360" i="1"/>
  <c r="C4360" i="1"/>
  <c r="A18107" i="1"/>
  <c r="B18107" i="1"/>
  <c r="C18107" i="1"/>
  <c r="A21751" i="1"/>
  <c r="B21751" i="1"/>
  <c r="C21751" i="1"/>
  <c r="A12516" i="1"/>
  <c r="B12516" i="1"/>
  <c r="C12516" i="1"/>
  <c r="A8445" i="1"/>
  <c r="B8445" i="1"/>
  <c r="C8445" i="1"/>
  <c r="A6891" i="1"/>
  <c r="B6891" i="1"/>
  <c r="C6891" i="1"/>
  <c r="A16937" i="1"/>
  <c r="B16937" i="1"/>
  <c r="C16937" i="1"/>
  <c r="A8085" i="1"/>
  <c r="B8085" i="1"/>
  <c r="C8085" i="1"/>
  <c r="A8084" i="1"/>
  <c r="B8084" i="1"/>
  <c r="C8084" i="1"/>
  <c r="A1848" i="1"/>
  <c r="B1848" i="1"/>
  <c r="C1848" i="1"/>
  <c r="A22541" i="1"/>
  <c r="B22541" i="1"/>
  <c r="C22541" i="1"/>
  <c r="A770" i="1"/>
  <c r="B770" i="1"/>
  <c r="C770" i="1"/>
  <c r="A690" i="1"/>
  <c r="B690" i="1"/>
  <c r="C690" i="1"/>
  <c r="A691" i="1"/>
  <c r="B691" i="1"/>
  <c r="C691" i="1"/>
  <c r="A14387" i="1"/>
  <c r="B14387" i="1"/>
  <c r="C14387" i="1"/>
  <c r="A16515" i="1"/>
  <c r="B16515" i="1"/>
  <c r="C16515" i="1"/>
  <c r="A16186" i="1"/>
  <c r="B16186" i="1"/>
  <c r="C16186" i="1"/>
  <c r="A17451" i="1"/>
  <c r="B17451" i="1"/>
  <c r="C17451" i="1"/>
  <c r="A1765" i="1"/>
  <c r="B1765" i="1"/>
  <c r="C1765" i="1"/>
  <c r="A1767" i="1"/>
  <c r="B1767" i="1"/>
  <c r="C1767" i="1"/>
  <c r="A1759" i="1"/>
  <c r="B1759" i="1"/>
  <c r="C1759" i="1"/>
  <c r="A8576" i="1"/>
  <c r="B8576" i="1"/>
  <c r="C8576" i="1"/>
  <c r="A18895" i="1"/>
  <c r="B18895" i="1"/>
  <c r="C18895" i="1"/>
  <c r="A6885" i="1"/>
  <c r="B6885" i="1"/>
  <c r="C6885" i="1"/>
  <c r="A25558" i="1"/>
  <c r="B25558" i="1"/>
  <c r="C25558" i="1"/>
  <c r="A4057" i="1"/>
  <c r="B4057" i="1"/>
  <c r="C4057" i="1"/>
  <c r="A3936" i="1"/>
  <c r="B3936" i="1"/>
  <c r="C3936" i="1"/>
  <c r="A8174" i="1"/>
  <c r="B8174" i="1"/>
  <c r="C8174" i="1"/>
  <c r="A11551" i="1"/>
  <c r="B11551" i="1"/>
  <c r="C11551" i="1"/>
  <c r="A23123" i="1"/>
  <c r="B23123" i="1"/>
  <c r="C23123" i="1"/>
  <c r="A11297" i="1"/>
  <c r="B11297" i="1"/>
  <c r="C11297" i="1"/>
  <c r="A11298" i="1"/>
  <c r="B11298" i="1"/>
  <c r="C11298" i="1"/>
  <c r="A11299" i="1"/>
  <c r="B11299" i="1"/>
  <c r="C11299" i="1"/>
  <c r="A11295" i="1"/>
  <c r="B11295" i="1"/>
  <c r="C11295" i="1"/>
  <c r="A20629" i="1"/>
  <c r="B20629" i="1"/>
  <c r="C20629" i="1"/>
  <c r="A24261" i="1"/>
  <c r="B24261" i="1"/>
  <c r="C24261" i="1"/>
  <c r="A25183" i="1"/>
  <c r="B25183" i="1"/>
  <c r="C25183" i="1"/>
  <c r="A21906" i="1"/>
  <c r="B21906" i="1"/>
  <c r="C21906" i="1"/>
  <c r="A12749" i="1"/>
  <c r="B12749" i="1"/>
  <c r="C12749" i="1"/>
  <c r="A3348" i="1"/>
  <c r="B3348" i="1"/>
  <c r="C3348" i="1"/>
  <c r="A9732" i="1"/>
  <c r="B9732" i="1"/>
  <c r="C9732" i="1"/>
  <c r="A14710" i="1"/>
  <c r="B14710" i="1"/>
  <c r="C14710" i="1"/>
  <c r="A123" i="1"/>
  <c r="B123" i="1"/>
  <c r="C123" i="1"/>
  <c r="A21495" i="1"/>
  <c r="B21495" i="1"/>
  <c r="C21495" i="1"/>
  <c r="A18945" i="1"/>
  <c r="B18945" i="1"/>
  <c r="C18945" i="1"/>
  <c r="A9145" i="1"/>
  <c r="B9145" i="1"/>
  <c r="C9145" i="1"/>
  <c r="A9124" i="1"/>
  <c r="B9124" i="1"/>
  <c r="C9124" i="1"/>
  <c r="A2029" i="1"/>
  <c r="B2029" i="1"/>
  <c r="C2029" i="1"/>
  <c r="A18697" i="1"/>
  <c r="B18697" i="1"/>
  <c r="C18697" i="1"/>
  <c r="A11813" i="1"/>
  <c r="B11813" i="1"/>
  <c r="C11813" i="1"/>
  <c r="A3708" i="1"/>
  <c r="B3708" i="1"/>
  <c r="C3708" i="1"/>
  <c r="A13919" i="1"/>
  <c r="B13919" i="1"/>
  <c r="C13919" i="1"/>
  <c r="A20500" i="1"/>
  <c r="B20500" i="1"/>
  <c r="C20500" i="1"/>
  <c r="A9395" i="1"/>
  <c r="B9395" i="1"/>
  <c r="C9395" i="1"/>
  <c r="A12045" i="1"/>
  <c r="B12045" i="1"/>
  <c r="C12045" i="1"/>
  <c r="A754" i="1"/>
  <c r="B754" i="1"/>
  <c r="C754" i="1"/>
  <c r="A21640" i="1"/>
  <c r="B21640" i="1"/>
  <c r="C21640" i="1"/>
  <c r="A23504" i="1"/>
  <c r="B23504" i="1"/>
  <c r="C23504" i="1"/>
  <c r="A16657" i="1"/>
  <c r="B16657" i="1"/>
  <c r="C16657" i="1"/>
  <c r="A10488" i="1"/>
  <c r="B10488" i="1"/>
  <c r="C10488" i="1"/>
  <c r="A5894" i="1"/>
  <c r="B5894" i="1"/>
  <c r="C5894" i="1"/>
  <c r="A2055" i="1"/>
  <c r="B2055" i="1"/>
  <c r="C2055" i="1"/>
  <c r="A11578" i="1"/>
  <c r="B11578" i="1"/>
  <c r="C11578" i="1"/>
  <c r="A25330" i="1"/>
  <c r="B25330" i="1"/>
  <c r="C25330" i="1"/>
  <c r="A18400" i="1"/>
  <c r="B18400" i="1"/>
  <c r="C18400" i="1"/>
  <c r="A20865" i="1"/>
  <c r="B20865" i="1"/>
  <c r="C20865" i="1"/>
  <c r="A25186" i="1"/>
  <c r="B25186" i="1"/>
  <c r="C25186" i="1"/>
  <c r="A20221" i="1"/>
  <c r="B20221" i="1"/>
  <c r="C20221" i="1"/>
  <c r="A8751" i="1"/>
  <c r="B8751" i="1"/>
  <c r="C8751" i="1"/>
  <c r="A8197" i="1"/>
  <c r="B8197" i="1"/>
  <c r="C8197" i="1"/>
  <c r="A24477" i="1"/>
  <c r="B24477" i="1"/>
  <c r="C24477" i="1"/>
  <c r="A23561" i="1"/>
  <c r="B23561" i="1"/>
  <c r="C23561" i="1"/>
  <c r="A23563" i="1"/>
  <c r="B23563" i="1"/>
  <c r="C23563" i="1"/>
  <c r="A23671" i="1"/>
  <c r="B23671" i="1"/>
  <c r="C23671" i="1"/>
  <c r="A5843" i="1"/>
  <c r="B5843" i="1"/>
  <c r="C5843" i="1"/>
  <c r="A13988" i="1"/>
  <c r="B13988" i="1"/>
  <c r="C13988" i="1"/>
  <c r="A21511" i="1"/>
  <c r="B21511" i="1"/>
  <c r="C21511" i="1"/>
  <c r="A6970" i="1"/>
  <c r="B6970" i="1"/>
  <c r="C6970" i="1"/>
  <c r="A5937" i="1"/>
  <c r="B5937" i="1"/>
  <c r="C5937" i="1"/>
  <c r="A8394" i="1"/>
  <c r="B8394" i="1"/>
  <c r="C8394" i="1"/>
  <c r="A20985" i="1"/>
  <c r="B20985" i="1"/>
  <c r="C20985" i="1"/>
  <c r="A17842" i="1"/>
  <c r="B17842" i="1"/>
  <c r="C17842" i="1"/>
  <c r="A25692" i="1"/>
  <c r="B25692" i="1"/>
  <c r="C25692" i="1"/>
  <c r="A25607" i="1"/>
  <c r="B25607" i="1"/>
  <c r="C25607" i="1"/>
  <c r="A19103" i="1"/>
  <c r="B19103" i="1"/>
  <c r="C19103" i="1"/>
  <c r="A1472" i="1"/>
  <c r="B1472" i="1"/>
  <c r="C1472" i="1"/>
  <c r="A12185" i="1"/>
  <c r="B12185" i="1"/>
  <c r="C12185" i="1"/>
  <c r="A2209" i="1"/>
  <c r="B2209" i="1"/>
  <c r="C2209" i="1"/>
  <c r="A14216" i="1"/>
  <c r="B14216" i="1"/>
  <c r="C14216" i="1"/>
  <c r="A6563" i="1"/>
  <c r="B6563" i="1"/>
  <c r="C6563" i="1"/>
  <c r="A23400" i="1"/>
  <c r="B23400" i="1"/>
  <c r="C23400" i="1"/>
  <c r="A13731" i="1"/>
  <c r="B13731" i="1"/>
  <c r="C13731" i="1"/>
  <c r="A18428" i="1"/>
  <c r="B18428" i="1"/>
  <c r="C18428" i="1"/>
  <c r="A22841" i="1"/>
  <c r="B22841" i="1"/>
  <c r="C22841" i="1"/>
  <c r="A22840" i="1"/>
  <c r="B22840" i="1"/>
  <c r="C22840" i="1"/>
  <c r="A8180" i="1"/>
  <c r="B8180" i="1"/>
  <c r="C8180" i="1"/>
  <c r="A18435" i="1"/>
  <c r="B18435" i="1"/>
  <c r="C18435" i="1"/>
  <c r="A2880" i="1"/>
  <c r="B2880" i="1"/>
  <c r="C2880" i="1"/>
  <c r="A624" i="1"/>
  <c r="B624" i="1"/>
  <c r="C624" i="1"/>
  <c r="A1480" i="1"/>
  <c r="B1480" i="1"/>
  <c r="C1480" i="1"/>
  <c r="A16315" i="1"/>
  <c r="B16315" i="1"/>
  <c r="C16315" i="1"/>
  <c r="A6237" i="1"/>
  <c r="B6237" i="1"/>
  <c r="C6237" i="1"/>
  <c r="A8276" i="1"/>
  <c r="B8276" i="1"/>
  <c r="C8276" i="1"/>
  <c r="A8277" i="1"/>
  <c r="B8277" i="1"/>
  <c r="C8277" i="1"/>
  <c r="A15485" i="1"/>
  <c r="B15485" i="1"/>
  <c r="C15485" i="1"/>
  <c r="A16033" i="1"/>
  <c r="B16033" i="1"/>
  <c r="C16033" i="1"/>
  <c r="A16035" i="1"/>
  <c r="B16035" i="1"/>
  <c r="C16035" i="1"/>
  <c r="A23346" i="1"/>
  <c r="B23346" i="1"/>
  <c r="C23346" i="1"/>
  <c r="A854" i="1"/>
  <c r="B854" i="1"/>
  <c r="C854" i="1"/>
  <c r="A15976" i="1"/>
  <c r="B15976" i="1"/>
  <c r="C15976" i="1"/>
  <c r="A17064" i="1"/>
  <c r="B17064" i="1"/>
  <c r="C17064" i="1"/>
  <c r="A20237" i="1"/>
  <c r="B20237" i="1"/>
  <c r="C20237" i="1"/>
  <c r="A22967" i="1"/>
  <c r="B22967" i="1"/>
  <c r="C22967" i="1"/>
  <c r="A24572" i="1"/>
  <c r="B24572" i="1"/>
  <c r="C24572" i="1"/>
  <c r="A24662" i="1"/>
  <c r="B24662" i="1"/>
  <c r="C24662" i="1"/>
  <c r="A17279" i="1"/>
  <c r="B17279" i="1"/>
  <c r="C17279" i="1"/>
  <c r="A14412" i="1"/>
  <c r="B14412" i="1"/>
  <c r="C14412" i="1"/>
  <c r="A20997" i="1"/>
  <c r="B20997" i="1"/>
  <c r="C20997" i="1"/>
  <c r="A10443" i="1"/>
  <c r="B10443" i="1"/>
  <c r="C10443" i="1"/>
  <c r="A4776" i="1"/>
  <c r="B4776" i="1"/>
  <c r="C4776" i="1"/>
  <c r="A4778" i="1"/>
  <c r="B4778" i="1"/>
  <c r="C4778" i="1"/>
  <c r="A24455" i="1"/>
  <c r="B24455" i="1"/>
  <c r="C24455" i="1"/>
  <c r="A6917" i="1"/>
  <c r="B6917" i="1"/>
  <c r="C6917" i="1"/>
  <c r="A16610" i="1"/>
  <c r="B16610" i="1"/>
  <c r="C16610" i="1"/>
  <c r="A18250" i="1"/>
  <c r="B18250" i="1"/>
  <c r="C18250" i="1"/>
  <c r="A3562" i="1"/>
  <c r="B3562" i="1"/>
  <c r="C3562" i="1"/>
  <c r="A23119" i="1"/>
  <c r="B23119" i="1"/>
  <c r="C23119" i="1"/>
  <c r="A19111" i="1"/>
  <c r="B19111" i="1"/>
  <c r="C19111" i="1"/>
  <c r="A12672" i="1"/>
  <c r="B12672" i="1"/>
  <c r="C12672" i="1"/>
  <c r="A4195" i="1"/>
  <c r="B4195" i="1"/>
  <c r="C4195" i="1"/>
  <c r="A2950" i="1"/>
  <c r="B2950" i="1"/>
  <c r="C2950" i="1"/>
  <c r="A2676" i="1"/>
  <c r="B2676" i="1"/>
  <c r="C2676" i="1"/>
  <c r="A19801" i="1"/>
  <c r="B19801" i="1"/>
  <c r="C19801" i="1"/>
  <c r="A22088" i="1"/>
  <c r="B22088" i="1"/>
  <c r="C22088" i="1"/>
  <c r="A16284" i="1"/>
  <c r="B16284" i="1"/>
  <c r="C16284" i="1"/>
  <c r="A17420" i="1"/>
  <c r="B17420" i="1"/>
  <c r="C17420" i="1"/>
  <c r="A10926" i="1"/>
  <c r="B10926" i="1"/>
  <c r="C10926" i="1"/>
  <c r="A15632" i="1"/>
  <c r="B15632" i="1"/>
  <c r="C15632" i="1"/>
  <c r="A18789" i="1"/>
  <c r="B18789" i="1"/>
  <c r="C18789" i="1"/>
  <c r="A4268" i="1"/>
  <c r="B4268" i="1"/>
  <c r="C4268" i="1"/>
  <c r="A5232" i="1"/>
  <c r="B5232" i="1"/>
  <c r="C5232" i="1"/>
  <c r="A14191" i="1"/>
  <c r="B14191" i="1"/>
  <c r="C14191" i="1"/>
  <c r="A17388" i="1"/>
  <c r="B17388" i="1"/>
  <c r="C17388" i="1"/>
  <c r="A25250" i="1"/>
  <c r="B25250" i="1"/>
  <c r="C25250" i="1"/>
  <c r="A19628" i="1"/>
  <c r="B19628" i="1"/>
  <c r="C19628" i="1"/>
  <c r="A322" i="1"/>
  <c r="B322" i="1"/>
  <c r="C322" i="1"/>
  <c r="A3933" i="1"/>
  <c r="B3933" i="1"/>
  <c r="C3933" i="1"/>
  <c r="A25281" i="1"/>
  <c r="B25281" i="1"/>
  <c r="C25281" i="1"/>
  <c r="A2899" i="1"/>
  <c r="B2899" i="1"/>
  <c r="C2899" i="1"/>
  <c r="A3011" i="1"/>
  <c r="B3011" i="1"/>
  <c r="C3011" i="1"/>
  <c r="A273" i="1"/>
  <c r="B273" i="1"/>
  <c r="C273" i="1"/>
  <c r="A25150" i="1"/>
  <c r="B25150" i="1"/>
  <c r="C25150" i="1"/>
  <c r="A17663" i="1"/>
  <c r="B17663" i="1"/>
  <c r="C17663" i="1"/>
  <c r="A11329" i="1"/>
  <c r="B11329" i="1"/>
  <c r="C11329" i="1"/>
  <c r="A3376" i="1"/>
  <c r="B3376" i="1"/>
  <c r="C3376" i="1"/>
  <c r="A6488" i="1"/>
  <c r="B6488" i="1"/>
  <c r="C6488" i="1"/>
  <c r="A16255" i="1"/>
  <c r="B16255" i="1"/>
  <c r="C16255" i="1"/>
  <c r="A8506" i="1"/>
  <c r="B8506" i="1"/>
  <c r="C8506" i="1"/>
  <c r="A8220" i="1"/>
  <c r="B8220" i="1"/>
  <c r="C8220" i="1"/>
  <c r="A258" i="1"/>
  <c r="B258" i="1"/>
  <c r="C258" i="1"/>
  <c r="A19661" i="1"/>
  <c r="B19661" i="1"/>
  <c r="C19661" i="1"/>
  <c r="A15790" i="1"/>
  <c r="B15790" i="1"/>
  <c r="C15790" i="1"/>
  <c r="A24100" i="1"/>
  <c r="B24100" i="1"/>
  <c r="C24100" i="1"/>
  <c r="A5763" i="1"/>
  <c r="B5763" i="1"/>
  <c r="C5763" i="1"/>
  <c r="A21513" i="1"/>
  <c r="B21513" i="1"/>
  <c r="C21513" i="1"/>
  <c r="A16162" i="1"/>
  <c r="B16162" i="1"/>
  <c r="C16162" i="1"/>
  <c r="A16972" i="1"/>
  <c r="B16972" i="1"/>
  <c r="C16972" i="1"/>
  <c r="A7525" i="1"/>
  <c r="B7525" i="1"/>
  <c r="C7525" i="1"/>
  <c r="A23793" i="1"/>
  <c r="B23793" i="1"/>
  <c r="C23793" i="1"/>
  <c r="A2916" i="1"/>
  <c r="B2916" i="1"/>
  <c r="C2916" i="1"/>
  <c r="A19487" i="1"/>
  <c r="B19487" i="1"/>
  <c r="C19487" i="1"/>
  <c r="A16371" i="1"/>
  <c r="B16371" i="1"/>
  <c r="C16371" i="1"/>
  <c r="A14209" i="1"/>
  <c r="B14209" i="1"/>
  <c r="C14209" i="1"/>
  <c r="A14210" i="1"/>
  <c r="B14210" i="1"/>
  <c r="C14210" i="1"/>
  <c r="A1558" i="1"/>
  <c r="B1558" i="1"/>
  <c r="C1558" i="1"/>
  <c r="A1522" i="1"/>
  <c r="B1522" i="1"/>
  <c r="C1522" i="1"/>
  <c r="A17189" i="1"/>
  <c r="B17189" i="1"/>
  <c r="C17189" i="1"/>
  <c r="A3626" i="1"/>
  <c r="B3626" i="1"/>
  <c r="C3626" i="1"/>
  <c r="A20955" i="1"/>
  <c r="B20955" i="1"/>
  <c r="C20955" i="1"/>
  <c r="A15616" i="1"/>
  <c r="B15616" i="1"/>
  <c r="C15616" i="1"/>
  <c r="A7153" i="1"/>
  <c r="B7153" i="1"/>
  <c r="C7153" i="1"/>
  <c r="A23821" i="1"/>
  <c r="B23821" i="1"/>
  <c r="C23821" i="1"/>
  <c r="A4794" i="1"/>
  <c r="B4794" i="1"/>
  <c r="C4794" i="1"/>
  <c r="A4790" i="1"/>
  <c r="B4790" i="1"/>
  <c r="C4790" i="1"/>
  <c r="A4793" i="1"/>
  <c r="B4793" i="1"/>
  <c r="C4793" i="1"/>
  <c r="A7659" i="1"/>
  <c r="B7659" i="1"/>
  <c r="C7659" i="1"/>
  <c r="A19812" i="1"/>
  <c r="B19812" i="1"/>
  <c r="C19812" i="1"/>
  <c r="A9568" i="1"/>
  <c r="B9568" i="1"/>
  <c r="C9568" i="1"/>
  <c r="A10220" i="1"/>
  <c r="B10220" i="1"/>
  <c r="C10220" i="1"/>
  <c r="A7019" i="1"/>
  <c r="B7019" i="1"/>
  <c r="C7019" i="1"/>
  <c r="A10632" i="1"/>
  <c r="B10632" i="1"/>
  <c r="C10632" i="1"/>
  <c r="A10633" i="1"/>
  <c r="B10633" i="1"/>
  <c r="C10633" i="1"/>
  <c r="A10634" i="1"/>
  <c r="B10634" i="1"/>
  <c r="C10634" i="1"/>
  <c r="A19767" i="1"/>
  <c r="B19767" i="1"/>
  <c r="C19767" i="1"/>
  <c r="A12674" i="1"/>
  <c r="B12674" i="1"/>
  <c r="C12674" i="1"/>
  <c r="A20581" i="1"/>
  <c r="B20581" i="1"/>
  <c r="C20581" i="1"/>
  <c r="A10138" i="1"/>
  <c r="B10138" i="1"/>
  <c r="C10138" i="1"/>
  <c r="A9617" i="1"/>
  <c r="B9617" i="1"/>
  <c r="C9617" i="1"/>
  <c r="A9569" i="1"/>
  <c r="B9569" i="1"/>
  <c r="C9569" i="1"/>
  <c r="A22332" i="1"/>
  <c r="B22332" i="1"/>
  <c r="C22332" i="1"/>
  <c r="A2936" i="1"/>
  <c r="B2936" i="1"/>
  <c r="C2936" i="1"/>
  <c r="A2995" i="1"/>
  <c r="B2995" i="1"/>
  <c r="C2995" i="1"/>
  <c r="A24860" i="1"/>
  <c r="B24860" i="1"/>
  <c r="C24860" i="1"/>
  <c r="A24859" i="1"/>
  <c r="B24859" i="1"/>
  <c r="C24859" i="1"/>
  <c r="A21920" i="1"/>
  <c r="B21920" i="1"/>
  <c r="C21920" i="1"/>
  <c r="A16204" i="1"/>
  <c r="B16204" i="1"/>
  <c r="C16204" i="1"/>
  <c r="A15619" i="1"/>
  <c r="B15619" i="1"/>
  <c r="C15619" i="1"/>
  <c r="A7129" i="1"/>
  <c r="B7129" i="1"/>
  <c r="C7129" i="1"/>
  <c r="A18696" i="1"/>
  <c r="B18696" i="1"/>
  <c r="C18696" i="1"/>
  <c r="A7622" i="1"/>
  <c r="B7622" i="1"/>
  <c r="C7622" i="1"/>
  <c r="A20671" i="1"/>
  <c r="B20671" i="1"/>
  <c r="C20671" i="1"/>
  <c r="A20670" i="1"/>
  <c r="B20670" i="1"/>
  <c r="C20670" i="1"/>
  <c r="A23564" i="1"/>
  <c r="B23564" i="1"/>
  <c r="C23564" i="1"/>
  <c r="A23567" i="1"/>
  <c r="B23567" i="1"/>
  <c r="C23567" i="1"/>
  <c r="A23566" i="1"/>
  <c r="B23566" i="1"/>
  <c r="C23566" i="1"/>
  <c r="A23554" i="1"/>
  <c r="B23554" i="1"/>
  <c r="C23554" i="1"/>
  <c r="A23565" i="1"/>
  <c r="B23565" i="1"/>
  <c r="C23565" i="1"/>
  <c r="A1357" i="1"/>
  <c r="B1357" i="1"/>
  <c r="C1357" i="1"/>
  <c r="A14904" i="1"/>
  <c r="B14904" i="1"/>
  <c r="C14904" i="1"/>
  <c r="A10635" i="1"/>
  <c r="B10635" i="1"/>
  <c r="C10635" i="1"/>
  <c r="A7028" i="1"/>
  <c r="B7028" i="1"/>
  <c r="C7028" i="1"/>
  <c r="A6149" i="1"/>
  <c r="B6149" i="1"/>
  <c r="C6149" i="1"/>
  <c r="A9590" i="1"/>
  <c r="B9590" i="1"/>
  <c r="C9590" i="1"/>
  <c r="A4173" i="1"/>
  <c r="B4173" i="1"/>
  <c r="C4173" i="1"/>
  <c r="A4809" i="1"/>
  <c r="B4809" i="1"/>
  <c r="C4809" i="1"/>
  <c r="A2030" i="1"/>
  <c r="B2030" i="1"/>
  <c r="C2030" i="1"/>
  <c r="A7203" i="1"/>
  <c r="B7203" i="1"/>
  <c r="C7203" i="1"/>
  <c r="A17042" i="1"/>
  <c r="B17042" i="1"/>
  <c r="C17042" i="1"/>
  <c r="A23223" i="1"/>
  <c r="B23223" i="1"/>
  <c r="C23223" i="1"/>
  <c r="A5567" i="1"/>
  <c r="B5567" i="1"/>
  <c r="C5567" i="1"/>
  <c r="A5563" i="1"/>
  <c r="B5563" i="1"/>
  <c r="C5563" i="1"/>
  <c r="A25515" i="1"/>
  <c r="B25515" i="1"/>
  <c r="C25515" i="1"/>
  <c r="A1686" i="1"/>
  <c r="B1686" i="1"/>
  <c r="C1686" i="1"/>
  <c r="A16296" i="1"/>
  <c r="B16296" i="1"/>
  <c r="C16296" i="1"/>
  <c r="A7516" i="1"/>
  <c r="B7516" i="1"/>
  <c r="C7516" i="1"/>
  <c r="A1788" i="1"/>
  <c r="B1788" i="1"/>
  <c r="C1788" i="1"/>
  <c r="A17958" i="1"/>
  <c r="B17958" i="1"/>
  <c r="C17958" i="1"/>
  <c r="A20182" i="1"/>
  <c r="B20182" i="1"/>
  <c r="C20182" i="1"/>
  <c r="A1557" i="1"/>
  <c r="B1557" i="1"/>
  <c r="C1557" i="1"/>
  <c r="A20520" i="1"/>
  <c r="B20520" i="1"/>
  <c r="C20520" i="1"/>
  <c r="A7527" i="1"/>
  <c r="B7527" i="1"/>
  <c r="C7527" i="1"/>
  <c r="A23930" i="1"/>
  <c r="B23930" i="1"/>
  <c r="C23930" i="1"/>
  <c r="A19752" i="1"/>
  <c r="B19752" i="1"/>
  <c r="C19752" i="1"/>
  <c r="A17091" i="1"/>
  <c r="B17091" i="1"/>
  <c r="C17091" i="1"/>
  <c r="A25075" i="1"/>
  <c r="B25075" i="1"/>
  <c r="C25075" i="1"/>
  <c r="A2793" i="1"/>
  <c r="B2793" i="1"/>
  <c r="C2793" i="1"/>
  <c r="A17635" i="1"/>
  <c r="B17635" i="1"/>
  <c r="C17635" i="1"/>
  <c r="A15311" i="1"/>
  <c r="B15311" i="1"/>
  <c r="C15311" i="1"/>
  <c r="A23332" i="1"/>
  <c r="B23332" i="1"/>
  <c r="C23332" i="1"/>
  <c r="A17012" i="1"/>
  <c r="B17012" i="1"/>
  <c r="C17012" i="1"/>
  <c r="A15851" i="1"/>
  <c r="B15851" i="1"/>
  <c r="C15851" i="1"/>
  <c r="A20692" i="1"/>
  <c r="B20692" i="1"/>
  <c r="C20692" i="1"/>
  <c r="A11482" i="1"/>
  <c r="B11482" i="1"/>
  <c r="C11482" i="1"/>
  <c r="A3359" i="1"/>
  <c r="B3359" i="1"/>
  <c r="C3359" i="1"/>
  <c r="A11473" i="1"/>
  <c r="B11473" i="1"/>
  <c r="C11473" i="1"/>
  <c r="A23350" i="1"/>
  <c r="B23350" i="1"/>
  <c r="C23350" i="1"/>
  <c r="A22903" i="1"/>
  <c r="B22903" i="1"/>
  <c r="C22903" i="1"/>
  <c r="A9812" i="1"/>
  <c r="B9812" i="1"/>
  <c r="C9812" i="1"/>
  <c r="A11293" i="1"/>
  <c r="B11293" i="1"/>
  <c r="C11293" i="1"/>
  <c r="A7789" i="1"/>
  <c r="B7789" i="1"/>
  <c r="C7789" i="1"/>
  <c r="A25438" i="1"/>
  <c r="B25438" i="1"/>
  <c r="C25438" i="1"/>
  <c r="A25437" i="1"/>
  <c r="B25437" i="1"/>
  <c r="C25437" i="1"/>
  <c r="A23076" i="1"/>
  <c r="B23076" i="1"/>
  <c r="C23076" i="1"/>
  <c r="A12431" i="1"/>
  <c r="B12431" i="1"/>
  <c r="C12431" i="1"/>
  <c r="A18566" i="1"/>
  <c r="B18566" i="1"/>
  <c r="C18566" i="1"/>
  <c r="A18567" i="1"/>
  <c r="B18567" i="1"/>
  <c r="C18567" i="1"/>
  <c r="A18574" i="1"/>
  <c r="B18574" i="1"/>
  <c r="C18574" i="1"/>
  <c r="A18569" i="1"/>
  <c r="B18569" i="1"/>
  <c r="C18569" i="1"/>
  <c r="A4085" i="1"/>
  <c r="B4085" i="1"/>
  <c r="C4085" i="1"/>
  <c r="A3937" i="1"/>
  <c r="B3937" i="1"/>
  <c r="C3937" i="1"/>
  <c r="A270" i="1"/>
  <c r="B270" i="1"/>
  <c r="C270" i="1"/>
  <c r="A24430" i="1"/>
  <c r="B24430" i="1"/>
  <c r="C24430" i="1"/>
  <c r="A6601" i="1"/>
  <c r="B6601" i="1"/>
  <c r="C6601" i="1"/>
  <c r="A6602" i="1"/>
  <c r="B6602" i="1"/>
  <c r="C6602" i="1"/>
  <c r="A6607" i="1"/>
  <c r="B6607" i="1"/>
  <c r="C6607" i="1"/>
  <c r="A5935" i="1"/>
  <c r="B5935" i="1"/>
  <c r="C5935" i="1"/>
  <c r="A7493" i="1"/>
  <c r="B7493" i="1"/>
  <c r="C7493" i="1"/>
  <c r="A15823" i="1"/>
  <c r="B15823" i="1"/>
  <c r="C15823" i="1"/>
  <c r="A22695" i="1"/>
  <c r="B22695" i="1"/>
  <c r="C22695" i="1"/>
  <c r="A12765" i="1"/>
  <c r="B12765" i="1"/>
  <c r="C12765" i="1"/>
  <c r="A16539" i="1"/>
  <c r="B16539" i="1"/>
  <c r="C16539" i="1"/>
  <c r="A16540" i="1"/>
  <c r="B16540" i="1"/>
  <c r="C16540" i="1"/>
  <c r="A15792" i="1"/>
  <c r="B15792" i="1"/>
  <c r="C15792" i="1"/>
  <c r="A13596" i="1"/>
  <c r="B13596" i="1"/>
  <c r="C13596" i="1"/>
  <c r="A884" i="1"/>
  <c r="B884" i="1"/>
  <c r="C884" i="1"/>
  <c r="A13692" i="1"/>
  <c r="B13692" i="1"/>
  <c r="C13692" i="1"/>
  <c r="A6191" i="1"/>
  <c r="B6191" i="1"/>
  <c r="C6191" i="1"/>
  <c r="A6192" i="1"/>
  <c r="B6192" i="1"/>
  <c r="C6192" i="1"/>
  <c r="A20318" i="1"/>
  <c r="B20318" i="1"/>
  <c r="C20318" i="1"/>
  <c r="A2956" i="1"/>
  <c r="B2956" i="1"/>
  <c r="C2956" i="1"/>
  <c r="A6290" i="1"/>
  <c r="B6290" i="1"/>
  <c r="C6290" i="1"/>
  <c r="A19109" i="1"/>
  <c r="B19109" i="1"/>
  <c r="C19109" i="1"/>
  <c r="A3784" i="1"/>
  <c r="B3784" i="1"/>
  <c r="C3784" i="1"/>
  <c r="A25308" i="1"/>
  <c r="B25308" i="1"/>
  <c r="C25308" i="1"/>
  <c r="A25070" i="1"/>
  <c r="B25070" i="1"/>
  <c r="C25070" i="1"/>
  <c r="A25141" i="1"/>
  <c r="B25141" i="1"/>
  <c r="C25141" i="1"/>
  <c r="A24953" i="1"/>
  <c r="B24953" i="1"/>
  <c r="C24953" i="1"/>
  <c r="A24952" i="1"/>
  <c r="B24952" i="1"/>
  <c r="C24952" i="1"/>
  <c r="A24951" i="1"/>
  <c r="B24951" i="1"/>
  <c r="C24951" i="1"/>
  <c r="A25307" i="1"/>
  <c r="B25307" i="1"/>
  <c r="C25307" i="1"/>
  <c r="A15821" i="1"/>
  <c r="B15821" i="1"/>
  <c r="C15821" i="1"/>
  <c r="A16270" i="1"/>
  <c r="B16270" i="1"/>
  <c r="C16270" i="1"/>
  <c r="A21610" i="1"/>
  <c r="B21610" i="1"/>
  <c r="C21610" i="1"/>
  <c r="A15532" i="1"/>
  <c r="B15532" i="1"/>
  <c r="C15532" i="1"/>
  <c r="A3688" i="1"/>
  <c r="B3688" i="1"/>
  <c r="C3688" i="1"/>
  <c r="A3689" i="1"/>
  <c r="B3689" i="1"/>
  <c r="C3689" i="1"/>
  <c r="A22507" i="1"/>
  <c r="B22507" i="1"/>
  <c r="C22507" i="1"/>
  <c r="A21991" i="1"/>
  <c r="B21991" i="1"/>
  <c r="C21991" i="1"/>
  <c r="A24126" i="1"/>
  <c r="B24126" i="1"/>
  <c r="C24126" i="1"/>
  <c r="A7586" i="1"/>
  <c r="B7586" i="1"/>
  <c r="C7586" i="1"/>
  <c r="A19923" i="1"/>
  <c r="B19923" i="1"/>
  <c r="C19923" i="1"/>
  <c r="A2655" i="1"/>
  <c r="B2655" i="1"/>
  <c r="C2655" i="1"/>
  <c r="A2656" i="1"/>
  <c r="B2656" i="1"/>
  <c r="C2656" i="1"/>
  <c r="A20037" i="1"/>
  <c r="B20037" i="1"/>
  <c r="C20037" i="1"/>
  <c r="A2823" i="1"/>
  <c r="B2823" i="1"/>
  <c r="C2823" i="1"/>
  <c r="A2014" i="1"/>
  <c r="B2014" i="1"/>
  <c r="C2014" i="1"/>
  <c r="A1561" i="1"/>
  <c r="B1561" i="1"/>
  <c r="C1561" i="1"/>
  <c r="A18734" i="1"/>
  <c r="B18734" i="1"/>
  <c r="C18734" i="1"/>
  <c r="A6098" i="1"/>
  <c r="B6098" i="1"/>
  <c r="C6098" i="1"/>
  <c r="A4880" i="1"/>
  <c r="B4880" i="1"/>
  <c r="C4880" i="1"/>
  <c r="A20587" i="1"/>
  <c r="B20587" i="1"/>
  <c r="C20587" i="1"/>
  <c r="A20549" i="1"/>
  <c r="B20549" i="1"/>
  <c r="C20549" i="1"/>
  <c r="A2028" i="1"/>
  <c r="B2028" i="1"/>
  <c r="C2028" i="1"/>
  <c r="A7370" i="1"/>
  <c r="B7370" i="1"/>
  <c r="C7370" i="1"/>
  <c r="A3524" i="1"/>
  <c r="B3524" i="1"/>
  <c r="C3524" i="1"/>
  <c r="A1516" i="1"/>
  <c r="B1516" i="1"/>
  <c r="C1516" i="1"/>
  <c r="A17210" i="1"/>
  <c r="B17210" i="1"/>
  <c r="C17210" i="1"/>
  <c r="A18655" i="1"/>
  <c r="B18655" i="1"/>
  <c r="C18655" i="1"/>
  <c r="A15975" i="1"/>
  <c r="B15975" i="1"/>
  <c r="C15975" i="1"/>
  <c r="A5335" i="1"/>
  <c r="B5335" i="1"/>
  <c r="C5335" i="1"/>
  <c r="A6287" i="1"/>
  <c r="B6287" i="1"/>
  <c r="C6287" i="1"/>
  <c r="A6288" i="1"/>
  <c r="B6288" i="1"/>
  <c r="C6288" i="1"/>
  <c r="A6286" i="1"/>
  <c r="B6286" i="1"/>
  <c r="C6286" i="1"/>
  <c r="A781" i="1"/>
  <c r="B781" i="1"/>
  <c r="C781" i="1"/>
  <c r="A2031" i="1"/>
  <c r="B2031" i="1"/>
  <c r="C2031" i="1"/>
  <c r="A16324" i="1"/>
  <c r="B16324" i="1"/>
  <c r="C16324" i="1"/>
  <c r="A17228" i="1"/>
  <c r="B17228" i="1"/>
  <c r="C17228" i="1"/>
  <c r="A17082" i="1"/>
  <c r="B17082" i="1"/>
  <c r="C17082" i="1"/>
  <c r="A17339" i="1"/>
  <c r="B17339" i="1"/>
  <c r="C17339" i="1"/>
  <c r="A10288" i="1"/>
  <c r="B10288" i="1"/>
  <c r="C10288" i="1"/>
  <c r="A10287" i="1"/>
  <c r="B10287" i="1"/>
  <c r="C10287" i="1"/>
  <c r="A7196" i="1"/>
  <c r="B7196" i="1"/>
  <c r="C7196" i="1"/>
  <c r="A4039" i="1"/>
  <c r="B4039" i="1"/>
  <c r="C4039" i="1"/>
  <c r="A5210" i="1"/>
  <c r="B5210" i="1"/>
  <c r="C5210" i="1"/>
  <c r="A22294" i="1"/>
  <c r="B22294" i="1"/>
  <c r="C22294" i="1"/>
  <c r="A22296" i="1"/>
  <c r="B22296" i="1"/>
  <c r="C22296" i="1"/>
  <c r="A22295" i="1"/>
  <c r="B22295" i="1"/>
  <c r="C22295" i="1"/>
  <c r="A2054" i="1"/>
  <c r="B2054" i="1"/>
  <c r="C2054" i="1"/>
  <c r="A7614" i="1"/>
  <c r="B7614" i="1"/>
  <c r="C7614" i="1"/>
  <c r="A1918" i="1"/>
  <c r="B1918" i="1"/>
  <c r="C1918" i="1"/>
  <c r="A7091" i="1"/>
  <c r="B7091" i="1"/>
  <c r="C7091" i="1"/>
  <c r="A18074" i="1"/>
  <c r="B18074" i="1"/>
  <c r="C18074" i="1"/>
  <c r="A1068" i="1"/>
  <c r="B1068" i="1"/>
  <c r="C1068" i="1"/>
  <c r="A7597" i="1"/>
  <c r="B7597" i="1"/>
  <c r="C7597" i="1"/>
  <c r="A2646" i="1"/>
  <c r="B2646" i="1"/>
  <c r="C2646" i="1"/>
  <c r="A2639" i="1"/>
  <c r="B2639" i="1"/>
  <c r="C2639" i="1"/>
  <c r="A2637" i="1"/>
  <c r="B2637" i="1"/>
  <c r="C2637" i="1"/>
  <c r="A604" i="1"/>
  <c r="B604" i="1"/>
  <c r="C604" i="1"/>
  <c r="A6309" i="1"/>
  <c r="B6309" i="1"/>
  <c r="C6309" i="1"/>
  <c r="A6311" i="1"/>
  <c r="B6311" i="1"/>
  <c r="C6311" i="1"/>
  <c r="A6312" i="1"/>
  <c r="B6312" i="1"/>
  <c r="C6312" i="1"/>
  <c r="A24474" i="1"/>
  <c r="B24474" i="1"/>
  <c r="C24474" i="1"/>
  <c r="A8517" i="1"/>
  <c r="B8517" i="1"/>
  <c r="C8517" i="1"/>
  <c r="A8532" i="1"/>
  <c r="B8532" i="1"/>
  <c r="C8532" i="1"/>
  <c r="A5368" i="1"/>
  <c r="B5368" i="1"/>
  <c r="C5368" i="1"/>
  <c r="A24476" i="1"/>
  <c r="B24476" i="1"/>
  <c r="C24476" i="1"/>
  <c r="A24467" i="1"/>
  <c r="B24467" i="1"/>
  <c r="C24467" i="1"/>
  <c r="A8529" i="1"/>
  <c r="B8529" i="1"/>
  <c r="C8529" i="1"/>
  <c r="A5366" i="1"/>
  <c r="B5366" i="1"/>
  <c r="C5366" i="1"/>
  <c r="A24469" i="1"/>
  <c r="B24469" i="1"/>
  <c r="C24469" i="1"/>
  <c r="A12219" i="1"/>
  <c r="B12219" i="1"/>
  <c r="C12219" i="1"/>
  <c r="A8528" i="1"/>
  <c r="B8528" i="1"/>
  <c r="C8528" i="1"/>
  <c r="A24460" i="1"/>
  <c r="B24460" i="1"/>
  <c r="C24460" i="1"/>
  <c r="A8525" i="1"/>
  <c r="B8525" i="1"/>
  <c r="C8525" i="1"/>
  <c r="A5357" i="1"/>
  <c r="B5357" i="1"/>
  <c r="C5357" i="1"/>
  <c r="A24462" i="1"/>
  <c r="B24462" i="1"/>
  <c r="C24462" i="1"/>
  <c r="A5358" i="1"/>
  <c r="B5358" i="1"/>
  <c r="C5358" i="1"/>
  <c r="A8526" i="1"/>
  <c r="B8526" i="1"/>
  <c r="C8526" i="1"/>
  <c r="A24478" i="1"/>
  <c r="B24478" i="1"/>
  <c r="C24478" i="1"/>
  <c r="A24466" i="1"/>
  <c r="B24466" i="1"/>
  <c r="C24466" i="1"/>
  <c r="A8527" i="1"/>
  <c r="B8527" i="1"/>
  <c r="C8527" i="1"/>
  <c r="A24596" i="1"/>
  <c r="B24596" i="1"/>
  <c r="C24596" i="1"/>
  <c r="A24592" i="1"/>
  <c r="B24592" i="1"/>
  <c r="C24592" i="1"/>
  <c r="A24479" i="1"/>
  <c r="B24479" i="1"/>
  <c r="C24479" i="1"/>
  <c r="A8522" i="1"/>
  <c r="B8522" i="1"/>
  <c r="C8522" i="1"/>
  <c r="A16021" i="1"/>
  <c r="B16021" i="1"/>
  <c r="C16021" i="1"/>
  <c r="A20078" i="1"/>
  <c r="B20078" i="1"/>
  <c r="C20078" i="1"/>
  <c r="A21840" i="1"/>
  <c r="B21840" i="1"/>
  <c r="C21840" i="1"/>
  <c r="A1616" i="1"/>
  <c r="B1616" i="1"/>
  <c r="C1616" i="1"/>
  <c r="A18242" i="1"/>
  <c r="B18242" i="1"/>
  <c r="C18242" i="1"/>
  <c r="A18169" i="1"/>
  <c r="B18169" i="1"/>
  <c r="C18169" i="1"/>
  <c r="A857" i="1"/>
  <c r="C857" i="1"/>
  <c r="A25156" i="1"/>
  <c r="B25156" i="1"/>
  <c r="C25156" i="1"/>
  <c r="A1119" i="1"/>
  <c r="B1119" i="1"/>
  <c r="C1119" i="1"/>
  <c r="A1120" i="1"/>
  <c r="B1120" i="1"/>
  <c r="C1120" i="1"/>
  <c r="A18041" i="1"/>
  <c r="B18041" i="1"/>
  <c r="C18041" i="1"/>
  <c r="A3456" i="1"/>
  <c r="B3456" i="1"/>
  <c r="C3456" i="1"/>
  <c r="A693" i="1"/>
  <c r="B693" i="1"/>
  <c r="C693" i="1"/>
  <c r="A3404" i="1"/>
  <c r="B3404" i="1"/>
  <c r="C3404" i="1"/>
  <c r="A20285" i="1"/>
  <c r="B20285" i="1"/>
  <c r="C20285" i="1"/>
  <c r="A9736" i="1"/>
  <c r="B9736" i="1"/>
  <c r="C9736" i="1"/>
  <c r="A7418" i="1"/>
  <c r="B7418" i="1"/>
  <c r="C7418" i="1"/>
  <c r="A12320" i="1"/>
  <c r="B12320" i="1"/>
  <c r="C12320" i="1"/>
  <c r="A18205" i="1"/>
  <c r="B18205" i="1"/>
  <c r="C18205" i="1"/>
  <c r="A20260" i="1"/>
  <c r="B20260" i="1"/>
  <c r="C20260" i="1"/>
  <c r="A25610" i="1"/>
  <c r="B25610" i="1"/>
  <c r="C25610" i="1"/>
  <c r="A25611" i="1"/>
  <c r="B25611" i="1"/>
  <c r="C25611" i="1"/>
  <c r="A5370" i="1"/>
  <c r="B5370" i="1"/>
  <c r="C5370" i="1"/>
  <c r="A24986" i="1"/>
  <c r="B24986" i="1"/>
  <c r="C24986" i="1"/>
  <c r="A24475" i="1"/>
  <c r="B24475" i="1"/>
  <c r="C24475" i="1"/>
  <c r="A24486" i="1"/>
  <c r="B24486" i="1"/>
  <c r="C24486" i="1"/>
  <c r="A15459" i="1"/>
  <c r="B15459" i="1"/>
  <c r="C15459" i="1"/>
  <c r="A15448" i="1"/>
  <c r="B15448" i="1"/>
  <c r="C15448" i="1"/>
  <c r="A786" i="1"/>
  <c r="B786" i="1"/>
  <c r="C786" i="1"/>
  <c r="A22362" i="1"/>
  <c r="B22362" i="1"/>
  <c r="C22362" i="1"/>
  <c r="A22363" i="1"/>
  <c r="B22363" i="1"/>
  <c r="C22363" i="1"/>
  <c r="A12747" i="1"/>
  <c r="B12747" i="1"/>
  <c r="C12747" i="1"/>
  <c r="A20608" i="1"/>
  <c r="B20608" i="1"/>
  <c r="C20608" i="1"/>
  <c r="A21988" i="1"/>
  <c r="B21988" i="1"/>
  <c r="C21988" i="1"/>
  <c r="A22451" i="1"/>
  <c r="B22451" i="1"/>
  <c r="C22451" i="1"/>
  <c r="A13905" i="1"/>
  <c r="B13905" i="1"/>
  <c r="C13905" i="1"/>
  <c r="A5270" i="1"/>
  <c r="B5270" i="1"/>
  <c r="C5270" i="1"/>
  <c r="A5888" i="1"/>
  <c r="B5888" i="1"/>
  <c r="C5888" i="1"/>
  <c r="A14211" i="1"/>
  <c r="B14211" i="1"/>
  <c r="C14211" i="1"/>
  <c r="A14212" i="1"/>
  <c r="B14212" i="1"/>
  <c r="C14212" i="1"/>
  <c r="A25428" i="1"/>
  <c r="B25428" i="1"/>
  <c r="C25428" i="1"/>
  <c r="A21940" i="1"/>
  <c r="B21940" i="1"/>
  <c r="C21940" i="1"/>
  <c r="A21939" i="1"/>
  <c r="B21939" i="1"/>
  <c r="C21939" i="1"/>
  <c r="A427" i="1"/>
  <c r="B427" i="1"/>
  <c r="C427" i="1"/>
  <c r="A8777" i="1"/>
  <c r="B8777" i="1"/>
  <c r="C8777" i="1"/>
  <c r="A22367" i="1"/>
  <c r="B22367" i="1"/>
  <c r="C22367" i="1"/>
  <c r="A5695" i="1"/>
  <c r="B5695" i="1"/>
  <c r="C5695" i="1"/>
  <c r="A23273" i="1"/>
  <c r="B23273" i="1"/>
  <c r="C23273" i="1"/>
  <c r="A24666" i="1"/>
  <c r="B24666" i="1"/>
  <c r="C24666" i="1"/>
  <c r="A14741" i="1"/>
  <c r="B14741" i="1"/>
  <c r="C14741" i="1"/>
  <c r="A323" i="1"/>
  <c r="B323" i="1"/>
  <c r="C323" i="1"/>
  <c r="A3580" i="1"/>
  <c r="B3580" i="1"/>
  <c r="C3580" i="1"/>
  <c r="A19512" i="1"/>
  <c r="B19512" i="1"/>
  <c r="C19512" i="1"/>
  <c r="A19511" i="1"/>
  <c r="B19511" i="1"/>
  <c r="C19511" i="1"/>
  <c r="A19514" i="1"/>
  <c r="B19514" i="1"/>
  <c r="C19514" i="1"/>
  <c r="A19513" i="1"/>
  <c r="B19513" i="1"/>
  <c r="C19513" i="1"/>
  <c r="A19517" i="1"/>
  <c r="B19517" i="1"/>
  <c r="C19517" i="1"/>
  <c r="A19554" i="1"/>
  <c r="B19554" i="1"/>
  <c r="C19554" i="1"/>
  <c r="A3648" i="1"/>
  <c r="B3648" i="1"/>
  <c r="C3648" i="1"/>
  <c r="A25696" i="1"/>
  <c r="B25696" i="1"/>
  <c r="C25696" i="1"/>
  <c r="A2828" i="1"/>
  <c r="B2828" i="1"/>
  <c r="C2828" i="1"/>
  <c r="A22853" i="1"/>
  <c r="B22853" i="1"/>
  <c r="C22853" i="1"/>
  <c r="A19516" i="1"/>
  <c r="B19516" i="1"/>
  <c r="C19516" i="1"/>
  <c r="A18804" i="1"/>
  <c r="B18804" i="1"/>
  <c r="C18804" i="1"/>
  <c r="A611" i="1"/>
  <c r="B611" i="1"/>
  <c r="C611" i="1"/>
  <c r="A18801" i="1"/>
  <c r="B18801" i="1"/>
  <c r="C18801" i="1"/>
  <c r="A1581" i="1"/>
  <c r="B1581" i="1"/>
  <c r="C1581" i="1"/>
  <c r="A6967" i="1"/>
  <c r="B6967" i="1"/>
  <c r="C6967" i="1"/>
  <c r="A13344" i="1"/>
  <c r="B13344" i="1"/>
  <c r="C13344" i="1"/>
  <c r="A23936" i="1"/>
  <c r="B23936" i="1"/>
  <c r="C23936" i="1"/>
  <c r="A23967" i="1"/>
  <c r="B23967" i="1"/>
  <c r="C23967" i="1"/>
  <c r="A5437" i="1"/>
  <c r="B5437" i="1"/>
  <c r="C5437" i="1"/>
  <c r="A5438" i="1"/>
  <c r="B5438" i="1"/>
  <c r="C5438" i="1"/>
  <c r="A2378" i="1"/>
  <c r="B2378" i="1"/>
  <c r="C2378" i="1"/>
  <c r="A25446" i="1"/>
  <c r="B25446" i="1"/>
  <c r="C25446" i="1"/>
  <c r="A14388" i="1"/>
  <c r="B14388" i="1"/>
  <c r="C14388" i="1"/>
  <c r="A14389" i="1"/>
  <c r="B14389" i="1"/>
  <c r="C14389" i="1"/>
  <c r="A9342" i="1"/>
  <c r="B9342" i="1"/>
  <c r="C9342" i="1"/>
  <c r="A19389" i="1"/>
  <c r="B19389" i="1"/>
  <c r="C19389" i="1"/>
  <c r="A19390" i="1"/>
  <c r="B19390" i="1"/>
  <c r="C19390" i="1"/>
  <c r="A10908" i="1"/>
  <c r="B10908" i="1"/>
  <c r="C10908" i="1"/>
  <c r="A16077" i="1"/>
  <c r="B16077" i="1"/>
  <c r="C16077" i="1"/>
  <c r="A11650" i="1"/>
  <c r="B11650" i="1"/>
  <c r="C11650" i="1"/>
  <c r="A15316" i="1"/>
  <c r="B15316" i="1"/>
  <c r="C15316" i="1"/>
  <c r="A13590" i="1"/>
  <c r="B13590" i="1"/>
  <c r="C13590" i="1"/>
  <c r="A13484" i="1"/>
  <c r="B13484" i="1"/>
  <c r="C13484" i="1"/>
  <c r="A24704" i="1"/>
  <c r="B24704" i="1"/>
  <c r="C24704" i="1"/>
  <c r="A24705" i="1"/>
  <c r="B24705" i="1"/>
  <c r="C24705" i="1"/>
  <c r="A19762" i="1"/>
  <c r="B19762" i="1"/>
  <c r="C19762" i="1"/>
  <c r="A21493" i="1"/>
  <c r="B21493" i="1"/>
  <c r="C21493" i="1"/>
  <c r="A3346" i="1"/>
  <c r="B3346" i="1"/>
  <c r="C3346" i="1"/>
  <c r="A9730" i="1"/>
  <c r="B9730" i="1"/>
  <c r="C9730" i="1"/>
  <c r="A8583" i="1"/>
  <c r="B8583" i="1"/>
  <c r="C8583" i="1"/>
  <c r="A7069" i="1"/>
  <c r="B7069" i="1"/>
  <c r="C7069" i="1"/>
  <c r="A120" i="1"/>
  <c r="B120" i="1"/>
  <c r="C120" i="1"/>
  <c r="A14708" i="1"/>
  <c r="B14708" i="1"/>
  <c r="C14708" i="1"/>
  <c r="A21489" i="1"/>
  <c r="B21489" i="1"/>
  <c r="C21489" i="1"/>
  <c r="A4037" i="1"/>
  <c r="B4037" i="1"/>
  <c r="C4037" i="1"/>
  <c r="A10267" i="1"/>
  <c r="B10267" i="1"/>
  <c r="C10267" i="1"/>
  <c r="A7061" i="1"/>
  <c r="B7061" i="1"/>
  <c r="C7061" i="1"/>
  <c r="A9623" i="1"/>
  <c r="B9623" i="1"/>
  <c r="C9623" i="1"/>
  <c r="A1725" i="1"/>
  <c r="B1725" i="1"/>
  <c r="C1725" i="1"/>
  <c r="A16584" i="1"/>
  <c r="B16584" i="1"/>
  <c r="C16584" i="1"/>
  <c r="A5726" i="1"/>
  <c r="B5726" i="1"/>
  <c r="C5726" i="1"/>
  <c r="A16638" i="1"/>
  <c r="B16638" i="1"/>
  <c r="C16638" i="1"/>
  <c r="A4736" i="1"/>
  <c r="B4736" i="1"/>
  <c r="C4736" i="1"/>
  <c r="A2255" i="1"/>
  <c r="B2255" i="1"/>
  <c r="C2255" i="1"/>
  <c r="A8815" i="1"/>
  <c r="B8815" i="1"/>
  <c r="C8815" i="1"/>
  <c r="A3021" i="1"/>
  <c r="B3021" i="1"/>
  <c r="C3021" i="1"/>
  <c r="A17696" i="1"/>
  <c r="B17696" i="1"/>
  <c r="C17696" i="1"/>
  <c r="A9259" i="1"/>
  <c r="B9259" i="1"/>
  <c r="C9259" i="1"/>
  <c r="A10044" i="1"/>
  <c r="B10044" i="1"/>
  <c r="C10044" i="1"/>
  <c r="A179" i="1"/>
  <c r="B179" i="1"/>
  <c r="C179" i="1"/>
  <c r="A14237" i="1"/>
  <c r="B14237" i="1"/>
  <c r="C14237" i="1"/>
  <c r="A12100" i="1"/>
  <c r="B12100" i="1"/>
  <c r="C12100" i="1"/>
  <c r="A1704" i="1"/>
  <c r="B1704" i="1"/>
  <c r="C1704" i="1"/>
  <c r="A12159" i="1"/>
  <c r="B12159" i="1"/>
  <c r="C12159" i="1"/>
  <c r="A8378" i="1"/>
  <c r="B8378" i="1"/>
  <c r="C8378" i="1"/>
  <c r="A21580" i="1"/>
  <c r="B21580" i="1"/>
  <c r="C21580" i="1"/>
  <c r="A5863" i="1"/>
  <c r="B5863" i="1"/>
  <c r="C5863" i="1"/>
  <c r="A17099" i="1"/>
  <c r="B17099" i="1"/>
  <c r="C17099" i="1"/>
  <c r="A25181" i="1"/>
  <c r="B25181" i="1"/>
  <c r="C25181" i="1"/>
  <c r="A25176" i="1"/>
  <c r="B25176" i="1"/>
  <c r="C25176" i="1"/>
  <c r="A25173" i="1"/>
  <c r="B25173" i="1"/>
  <c r="C25173" i="1"/>
  <c r="A25174" i="1"/>
  <c r="B25174" i="1"/>
  <c r="C25174" i="1"/>
  <c r="A25179" i="1"/>
  <c r="B25179" i="1"/>
  <c r="C25179" i="1"/>
  <c r="A25175" i="1"/>
  <c r="B25175" i="1"/>
  <c r="C25175" i="1"/>
  <c r="A5744" i="1"/>
  <c r="B5744" i="1"/>
  <c r="C5744" i="1"/>
  <c r="A24412" i="1"/>
  <c r="B24412" i="1"/>
  <c r="C24412" i="1"/>
  <c r="A3058" i="1"/>
  <c r="B3058" i="1"/>
  <c r="C3058" i="1"/>
  <c r="A21844" i="1"/>
  <c r="B21844" i="1"/>
  <c r="C21844" i="1"/>
  <c r="A23572" i="1"/>
  <c r="B23572" i="1"/>
  <c r="C23572" i="1"/>
  <c r="A7102" i="1"/>
  <c r="B7102" i="1"/>
  <c r="C7102" i="1"/>
  <c r="A21425" i="1"/>
  <c r="B21425" i="1"/>
  <c r="C21425" i="1"/>
  <c r="A25345" i="1"/>
  <c r="B25345" i="1"/>
  <c r="C25345" i="1"/>
  <c r="A21393" i="1"/>
  <c r="B21393" i="1"/>
  <c r="C21393" i="1"/>
  <c r="A21433" i="1"/>
  <c r="B21433" i="1"/>
  <c r="C21433" i="1"/>
  <c r="A18799" i="1"/>
  <c r="B18799" i="1"/>
  <c r="C18799" i="1"/>
  <c r="A14823" i="1"/>
  <c r="B14823" i="1"/>
  <c r="C14823" i="1"/>
  <c r="A16164" i="1"/>
  <c r="B16164" i="1"/>
  <c r="C16164" i="1"/>
  <c r="A25702" i="1"/>
  <c r="B25702" i="1"/>
  <c r="C25702" i="1"/>
  <c r="A19490" i="1"/>
  <c r="B19490" i="1"/>
  <c r="C19490" i="1"/>
  <c r="A22646" i="1"/>
  <c r="B22646" i="1"/>
  <c r="C22646" i="1"/>
  <c r="A14363" i="1"/>
  <c r="B14363" i="1"/>
  <c r="C14363" i="1"/>
  <c r="A13970" i="1"/>
  <c r="B13970" i="1"/>
  <c r="C13970" i="1"/>
  <c r="A9790" i="1"/>
  <c r="B9790" i="1"/>
  <c r="C9790" i="1"/>
  <c r="A8076" i="1"/>
  <c r="B8076" i="1"/>
  <c r="C8076" i="1"/>
  <c r="A12799" i="1"/>
  <c r="B12799" i="1"/>
  <c r="C12799" i="1"/>
  <c r="A23503" i="1"/>
  <c r="B23503" i="1"/>
  <c r="C23503" i="1"/>
  <c r="A8800" i="1"/>
  <c r="B8800" i="1"/>
  <c r="C8800" i="1"/>
  <c r="A8585" i="1"/>
  <c r="B8585" i="1"/>
  <c r="C8585" i="1"/>
  <c r="A8257" i="1"/>
  <c r="B8257" i="1"/>
  <c r="C8257" i="1"/>
  <c r="A9619" i="1"/>
  <c r="B9619" i="1"/>
  <c r="C9619" i="1"/>
  <c r="A9618" i="1"/>
  <c r="B9618" i="1"/>
  <c r="C9618" i="1"/>
  <c r="A21067" i="1"/>
  <c r="B21067" i="1"/>
  <c r="C21067" i="1"/>
  <c r="A16998" i="1"/>
  <c r="B16998" i="1"/>
  <c r="C16998" i="1"/>
  <c r="A22590" i="1"/>
  <c r="B22590" i="1"/>
  <c r="C22590" i="1"/>
  <c r="A9867" i="1"/>
  <c r="B9867" i="1"/>
  <c r="C9867" i="1"/>
  <c r="A25178" i="1"/>
  <c r="B25178" i="1"/>
  <c r="C25178" i="1"/>
  <c r="A17486" i="1"/>
  <c r="B17486" i="1"/>
  <c r="C17486" i="1"/>
  <c r="A1837" i="1"/>
  <c r="B1837" i="1"/>
  <c r="C1837" i="1"/>
  <c r="A7575" i="1"/>
  <c r="B7575" i="1"/>
  <c r="C7575" i="1"/>
  <c r="A6289" i="1"/>
  <c r="B6289" i="1"/>
  <c r="C6289" i="1"/>
  <c r="A17485" i="1"/>
  <c r="B17485" i="1"/>
  <c r="C17485" i="1"/>
  <c r="A2757" i="1"/>
  <c r="B2757" i="1"/>
  <c r="C2757" i="1"/>
  <c r="A362" i="1"/>
  <c r="B362" i="1"/>
  <c r="C362" i="1"/>
  <c r="A374" i="1"/>
  <c r="B374" i="1"/>
  <c r="C374" i="1"/>
  <c r="A15530" i="1"/>
  <c r="B15530" i="1"/>
  <c r="C15530" i="1"/>
  <c r="A22169" i="1"/>
  <c r="B22169" i="1"/>
  <c r="C22169" i="1"/>
  <c r="A15390" i="1"/>
  <c r="B15390" i="1"/>
  <c r="C15390" i="1"/>
  <c r="A9405" i="1"/>
  <c r="B9405" i="1"/>
  <c r="C9405" i="1"/>
  <c r="A9403" i="1"/>
  <c r="B9403" i="1"/>
  <c r="C9403" i="1"/>
  <c r="A22173" i="1"/>
  <c r="B22173" i="1"/>
  <c r="C22173" i="1"/>
  <c r="A14236" i="1"/>
  <c r="B14236" i="1"/>
  <c r="C14236" i="1"/>
  <c r="A10925" i="1"/>
  <c r="B10925" i="1"/>
  <c r="C10925" i="1"/>
  <c r="A11367" i="1"/>
  <c r="B11367" i="1"/>
  <c r="C11367" i="1"/>
  <c r="A10789" i="1"/>
  <c r="B10789" i="1"/>
  <c r="C10789" i="1"/>
  <c r="A11365" i="1"/>
  <c r="B11365" i="1"/>
  <c r="C11365" i="1"/>
  <c r="A11366" i="1"/>
  <c r="B11366" i="1"/>
  <c r="C11366" i="1"/>
  <c r="A421" i="1"/>
  <c r="B421" i="1"/>
  <c r="C421" i="1"/>
  <c r="A419" i="1"/>
  <c r="B419" i="1"/>
  <c r="C419" i="1"/>
  <c r="A16393" i="1"/>
  <c r="B16393" i="1"/>
  <c r="C16393" i="1"/>
  <c r="A18561" i="1"/>
  <c r="B18561" i="1"/>
  <c r="C18561" i="1"/>
  <c r="A2815" i="1"/>
  <c r="B2815" i="1"/>
  <c r="C2815" i="1"/>
  <c r="A12767" i="1"/>
  <c r="B12767" i="1"/>
  <c r="C12767" i="1"/>
  <c r="A25322" i="1"/>
  <c r="B25322" i="1"/>
  <c r="C25322" i="1"/>
  <c r="A17450" i="1"/>
  <c r="B17450" i="1"/>
  <c r="C17450" i="1"/>
  <c r="A1679" i="1"/>
  <c r="B1679" i="1"/>
  <c r="C1679" i="1"/>
  <c r="A16341" i="1"/>
  <c r="B16341" i="1"/>
  <c r="C16341" i="1"/>
  <c r="A23162" i="1"/>
  <c r="B23162" i="1"/>
  <c r="C23162" i="1"/>
  <c r="A16183" i="1"/>
  <c r="B16183" i="1"/>
  <c r="C16183" i="1"/>
  <c r="A4852" i="1"/>
  <c r="B4852" i="1"/>
  <c r="C4852" i="1"/>
  <c r="A6975" i="1"/>
  <c r="B6975" i="1"/>
  <c r="C6975" i="1"/>
  <c r="A1495" i="1"/>
  <c r="B1495" i="1"/>
  <c r="C1495" i="1"/>
  <c r="A1493" i="1"/>
  <c r="B1493" i="1"/>
  <c r="C1493" i="1"/>
  <c r="A1494" i="1"/>
  <c r="B1494" i="1"/>
  <c r="C1494" i="1"/>
  <c r="A1492" i="1"/>
  <c r="B1492" i="1"/>
  <c r="C1492" i="1"/>
  <c r="A11610" i="1"/>
  <c r="B11610" i="1"/>
  <c r="C11610" i="1"/>
  <c r="A597" i="1"/>
  <c r="B597" i="1"/>
  <c r="C597" i="1"/>
  <c r="A766" i="1"/>
  <c r="B766" i="1"/>
  <c r="C766" i="1"/>
  <c r="A15328" i="1"/>
  <c r="B15328" i="1"/>
  <c r="C15328" i="1"/>
  <c r="A25274" i="1"/>
  <c r="B25274" i="1"/>
  <c r="C25274" i="1"/>
  <c r="A17984" i="1"/>
  <c r="B17984" i="1"/>
  <c r="C17984" i="1"/>
  <c r="A7764" i="1"/>
  <c r="B7764" i="1"/>
  <c r="C7764" i="1"/>
  <c r="A17051" i="1"/>
  <c r="B17051" i="1"/>
  <c r="C17051" i="1"/>
  <c r="A4380" i="1"/>
  <c r="B4380" i="1"/>
  <c r="C4380" i="1"/>
  <c r="A23281" i="1"/>
  <c r="B23281" i="1"/>
  <c r="C23281" i="1"/>
  <c r="A4399" i="1"/>
  <c r="B4399" i="1"/>
  <c r="C4399" i="1"/>
  <c r="A7237" i="1"/>
  <c r="B7237" i="1"/>
  <c r="C7237" i="1"/>
  <c r="A6308" i="1"/>
  <c r="B6308" i="1"/>
  <c r="C6308" i="1"/>
  <c r="A15075" i="1"/>
  <c r="B15075" i="1"/>
  <c r="C15075" i="1"/>
  <c r="A21086" i="1"/>
  <c r="B21086" i="1"/>
  <c r="C21086" i="1"/>
  <c r="A9597" i="1"/>
  <c r="B9597" i="1"/>
  <c r="C9597" i="1"/>
  <c r="A9633" i="1"/>
  <c r="B9633" i="1"/>
  <c r="C9633" i="1"/>
  <c r="A9643" i="1"/>
  <c r="B9643" i="1"/>
  <c r="C9643" i="1"/>
  <c r="A7060" i="1"/>
  <c r="B7060" i="1"/>
  <c r="C7060" i="1"/>
  <c r="A14706" i="1"/>
  <c r="B14706" i="1"/>
  <c r="C14706" i="1"/>
  <c r="A4033" i="1"/>
  <c r="B4033" i="1"/>
  <c r="C4033" i="1"/>
  <c r="A6393" i="1"/>
  <c r="B6393" i="1"/>
  <c r="C6393" i="1"/>
  <c r="A11867" i="1"/>
  <c r="B11867" i="1"/>
  <c r="C11867" i="1"/>
  <c r="A11882" i="1"/>
  <c r="B11882" i="1"/>
  <c r="C11882" i="1"/>
  <c r="A24421" i="1"/>
  <c r="B24421" i="1"/>
  <c r="C24421" i="1"/>
  <c r="A21035" i="1"/>
  <c r="B21035" i="1"/>
  <c r="C21035" i="1"/>
  <c r="A23124" i="1"/>
  <c r="B23124" i="1"/>
  <c r="C23124" i="1"/>
  <c r="A5938" i="1"/>
  <c r="B5938" i="1"/>
  <c r="C5938" i="1"/>
  <c r="A13358" i="1"/>
  <c r="B13358" i="1"/>
  <c r="C13358" i="1"/>
  <c r="A2954" i="1"/>
  <c r="B2954" i="1"/>
  <c r="C2954" i="1"/>
  <c r="A16849" i="1"/>
  <c r="B16849" i="1"/>
  <c r="C16849" i="1"/>
  <c r="A7264" i="1"/>
  <c r="B7264" i="1"/>
  <c r="C7264" i="1"/>
  <c r="A25235" i="1"/>
  <c r="B25235" i="1"/>
  <c r="C25235" i="1"/>
  <c r="A25219" i="1"/>
  <c r="B25219" i="1"/>
  <c r="C25219" i="1"/>
  <c r="A24764" i="1"/>
  <c r="B24764" i="1"/>
  <c r="C24764" i="1"/>
  <c r="A15611" i="1"/>
  <c r="B15611" i="1"/>
  <c r="C15611" i="1"/>
  <c r="A7268" i="1"/>
  <c r="B7268" i="1"/>
  <c r="C7268" i="1"/>
  <c r="A15617" i="1"/>
  <c r="B15617" i="1"/>
  <c r="C15617" i="1"/>
  <c r="A1632" i="1"/>
  <c r="B1632" i="1"/>
  <c r="C1632" i="1"/>
  <c r="A1644" i="1"/>
  <c r="B1644" i="1"/>
  <c r="C1644" i="1"/>
  <c r="A14873" i="1"/>
  <c r="B14873" i="1"/>
  <c r="C14873" i="1"/>
  <c r="A9879" i="1"/>
  <c r="B9879" i="1"/>
  <c r="C9879" i="1"/>
  <c r="A3360" i="1"/>
  <c r="B3360" i="1"/>
  <c r="C3360" i="1"/>
  <c r="A12430" i="1"/>
  <c r="B12430" i="1"/>
  <c r="C12430" i="1"/>
  <c r="A11504" i="1"/>
  <c r="B11504" i="1"/>
  <c r="C11504" i="1"/>
  <c r="A14074" i="1"/>
  <c r="B14074" i="1"/>
  <c r="C14074" i="1"/>
  <c r="A2210" i="1"/>
  <c r="B2210" i="1"/>
  <c r="C2210" i="1"/>
  <c r="A17619" i="1"/>
  <c r="B17619" i="1"/>
  <c r="C17619" i="1"/>
  <c r="A10680" i="1"/>
  <c r="B10680" i="1"/>
  <c r="C10680" i="1"/>
  <c r="A1478" i="1"/>
  <c r="B1478" i="1"/>
  <c r="C1478" i="1"/>
  <c r="A10295" i="1"/>
  <c r="B10295" i="1"/>
  <c r="C10295" i="1"/>
  <c r="A3458" i="1"/>
  <c r="B3458" i="1"/>
  <c r="C3458" i="1"/>
  <c r="A11339" i="1"/>
  <c r="B11339" i="1"/>
  <c r="C11339" i="1"/>
  <c r="A20403" i="1"/>
  <c r="B20403" i="1"/>
  <c r="C20403" i="1"/>
  <c r="A12697" i="1"/>
  <c r="B12697" i="1"/>
  <c r="C12697" i="1"/>
  <c r="A24065" i="1"/>
  <c r="B24065" i="1"/>
  <c r="C24065" i="1"/>
  <c r="A1378" i="1"/>
  <c r="B1378" i="1"/>
  <c r="C1378" i="1"/>
  <c r="A6698" i="1"/>
  <c r="B6698" i="1"/>
  <c r="C6698" i="1"/>
  <c r="A22337" i="1"/>
  <c r="B22337" i="1"/>
  <c r="C22337" i="1"/>
  <c r="A20764" i="1"/>
  <c r="B20764" i="1"/>
  <c r="C20764" i="1"/>
  <c r="A24207" i="1"/>
  <c r="B24207" i="1"/>
  <c r="C24207" i="1"/>
  <c r="A12224" i="1"/>
  <c r="B12224" i="1"/>
  <c r="C12224" i="1"/>
  <c r="A12242" i="1"/>
  <c r="B12242" i="1"/>
  <c r="C12242" i="1"/>
  <c r="A2376" i="1"/>
  <c r="B2376" i="1"/>
  <c r="C2376" i="1"/>
  <c r="A25445" i="1"/>
  <c r="B25445" i="1"/>
  <c r="C25445" i="1"/>
  <c r="A513" i="1"/>
  <c r="B513" i="1"/>
  <c r="C513" i="1"/>
  <c r="A6647" i="1"/>
  <c r="B6647" i="1"/>
  <c r="C6647" i="1"/>
  <c r="A21386" i="1"/>
  <c r="B21386" i="1"/>
  <c r="C21386" i="1"/>
  <c r="A16246" i="1"/>
  <c r="B16246" i="1"/>
  <c r="C16246" i="1"/>
  <c r="A16247" i="1"/>
  <c r="B16247" i="1"/>
  <c r="C16247" i="1"/>
  <c r="A16632" i="1"/>
  <c r="B16632" i="1"/>
  <c r="C16632" i="1"/>
  <c r="A16631" i="1"/>
  <c r="B16631" i="1"/>
  <c r="C16631" i="1"/>
  <c r="A12696" i="1"/>
  <c r="B12696" i="1"/>
  <c r="C12696" i="1"/>
  <c r="A10272" i="1"/>
  <c r="B10272" i="1"/>
  <c r="C10272" i="1"/>
  <c r="A8285" i="1"/>
  <c r="B8285" i="1"/>
  <c r="C8285" i="1"/>
  <c r="A25184" i="1"/>
  <c r="B25184" i="1"/>
  <c r="C25184" i="1"/>
  <c r="A19536" i="1"/>
  <c r="B19536" i="1"/>
  <c r="C19536" i="1"/>
  <c r="A16827" i="1"/>
  <c r="B16827" i="1"/>
  <c r="C16827" i="1"/>
  <c r="A19931" i="1"/>
  <c r="B19931" i="1"/>
  <c r="C19931" i="1"/>
  <c r="A7738" i="1"/>
  <c r="B7738" i="1"/>
  <c r="C7738" i="1"/>
  <c r="A25579" i="1"/>
  <c r="B25579" i="1"/>
  <c r="C25579" i="1"/>
  <c r="A5678" i="1"/>
  <c r="B5678" i="1"/>
  <c r="C5678" i="1"/>
  <c r="A7736" i="1"/>
  <c r="B7736" i="1"/>
  <c r="C7736" i="1"/>
  <c r="A21379" i="1"/>
  <c r="B21379" i="1"/>
  <c r="C21379" i="1"/>
  <c r="A21380" i="1"/>
  <c r="B21380" i="1"/>
  <c r="C21380" i="1"/>
  <c r="A21378" i="1"/>
  <c r="B21378" i="1"/>
  <c r="C21378" i="1"/>
  <c r="A4784" i="1"/>
  <c r="B4784" i="1"/>
  <c r="C4784" i="1"/>
  <c r="A4783" i="1"/>
  <c r="B4783" i="1"/>
  <c r="C4783" i="1"/>
  <c r="A4779" i="1"/>
  <c r="B4779" i="1"/>
  <c r="C4779" i="1"/>
  <c r="A4782" i="1"/>
  <c r="B4782" i="1"/>
  <c r="C4782" i="1"/>
  <c r="A7017" i="1"/>
  <c r="B7017" i="1"/>
  <c r="C7017" i="1"/>
  <c r="A1525" i="1"/>
  <c r="B1525" i="1"/>
  <c r="C1525" i="1"/>
  <c r="A17102" i="1"/>
  <c r="B17102" i="1"/>
  <c r="C17102" i="1"/>
  <c r="A3178" i="1"/>
  <c r="B3178" i="1"/>
  <c r="C3178" i="1"/>
  <c r="A24032" i="1"/>
  <c r="B24032" i="1"/>
  <c r="C24032" i="1"/>
  <c r="A21916" i="1"/>
  <c r="B21916" i="1"/>
  <c r="C21916" i="1"/>
  <c r="A6612" i="1"/>
  <c r="B6612" i="1"/>
  <c r="C6612" i="1"/>
  <c r="A13758" i="1"/>
  <c r="B13758" i="1"/>
  <c r="C13758" i="1"/>
  <c r="A6256" i="1"/>
  <c r="B6256" i="1"/>
  <c r="C6256" i="1"/>
  <c r="A5209" i="1"/>
  <c r="B5209" i="1"/>
  <c r="C5209" i="1"/>
  <c r="A20183" i="1"/>
  <c r="B20183" i="1"/>
  <c r="C20183" i="1"/>
  <c r="A7087" i="1"/>
  <c r="B7087" i="1"/>
  <c r="C7087" i="1"/>
  <c r="A20618" i="1"/>
  <c r="B20618" i="1"/>
  <c r="C20618" i="1"/>
  <c r="A22806" i="1"/>
  <c r="B22806" i="1"/>
  <c r="C22806" i="1"/>
  <c r="A10494" i="1"/>
  <c r="B10494" i="1"/>
  <c r="C10494" i="1"/>
  <c r="A2080" i="1"/>
  <c r="B2080" i="1"/>
  <c r="C2080" i="1"/>
  <c r="A21903" i="1"/>
  <c r="B21903" i="1"/>
  <c r="C21903" i="1"/>
  <c r="A9466" i="1"/>
  <c r="B9466" i="1"/>
  <c r="C9466" i="1"/>
  <c r="A18410" i="1"/>
  <c r="B18410" i="1"/>
  <c r="C18410" i="1"/>
  <c r="A18409" i="1"/>
  <c r="B18409" i="1"/>
  <c r="C18409" i="1"/>
  <c r="A5498" i="1"/>
  <c r="B5498" i="1"/>
  <c r="C5498" i="1"/>
  <c r="A5499" i="1"/>
  <c r="B5499" i="1"/>
  <c r="C5499" i="1"/>
  <c r="A24236" i="1"/>
  <c r="B24236" i="1"/>
  <c r="C24236" i="1"/>
  <c r="A17520" i="1"/>
  <c r="B17520" i="1"/>
  <c r="C17520" i="1"/>
  <c r="A17521" i="1"/>
  <c r="B17521" i="1"/>
  <c r="C17521" i="1"/>
  <c r="A17508" i="1"/>
  <c r="B17508" i="1"/>
  <c r="C17508" i="1"/>
  <c r="A17511" i="1"/>
  <c r="B17511" i="1"/>
  <c r="C17511" i="1"/>
  <c r="A17512" i="1"/>
  <c r="B17512" i="1"/>
  <c r="C17512" i="1"/>
  <c r="A17509" i="1"/>
  <c r="B17509" i="1"/>
  <c r="C17509" i="1"/>
  <c r="A17510" i="1"/>
  <c r="B17510" i="1"/>
  <c r="C17510" i="1"/>
  <c r="A19689" i="1"/>
  <c r="B19689" i="1"/>
  <c r="C19689" i="1"/>
  <c r="A25449" i="1"/>
  <c r="B25449" i="1"/>
  <c r="C25449" i="1"/>
  <c r="A7016" i="1"/>
  <c r="B7016" i="1"/>
  <c r="C7016" i="1"/>
  <c r="A10628" i="1"/>
  <c r="B10628" i="1"/>
  <c r="C10628" i="1"/>
  <c r="A11885" i="1"/>
  <c r="B11885" i="1"/>
  <c r="C11885" i="1"/>
  <c r="A20536" i="1"/>
  <c r="B20536" i="1"/>
  <c r="C20536" i="1"/>
  <c r="A20518" i="1"/>
  <c r="B20518" i="1"/>
  <c r="C20518" i="1"/>
  <c r="A3614" i="1"/>
  <c r="B3614" i="1"/>
  <c r="C3614" i="1"/>
  <c r="A1507" i="1"/>
  <c r="B1507" i="1"/>
  <c r="C1507" i="1"/>
  <c r="A7534" i="1"/>
  <c r="B7534" i="1"/>
  <c r="C7534" i="1"/>
  <c r="A5818" i="1"/>
  <c r="B5818" i="1"/>
  <c r="C5818" i="1"/>
  <c r="A5816" i="1"/>
  <c r="B5816" i="1"/>
  <c r="C5816" i="1"/>
  <c r="A24077" i="1"/>
  <c r="B24077" i="1"/>
  <c r="C24077" i="1"/>
  <c r="A10270" i="1"/>
  <c r="B10270" i="1"/>
  <c r="C10270" i="1"/>
  <c r="A12723" i="1"/>
  <c r="B12723" i="1"/>
  <c r="C12723" i="1"/>
  <c r="A10268" i="1"/>
  <c r="B10268" i="1"/>
  <c r="C10268" i="1"/>
  <c r="A3610" i="1"/>
  <c r="B3610" i="1"/>
  <c r="C3610" i="1"/>
  <c r="A3657" i="1"/>
  <c r="B3657" i="1"/>
  <c r="C3657" i="1"/>
  <c r="A12287" i="1"/>
  <c r="B12287" i="1"/>
  <c r="C12287" i="1"/>
  <c r="A5188" i="1"/>
  <c r="B5188" i="1"/>
  <c r="C5188" i="1"/>
  <c r="A22498" i="1"/>
  <c r="B22498" i="1"/>
  <c r="C22498" i="1"/>
  <c r="A20616" i="1"/>
  <c r="B20616" i="1"/>
  <c r="C20616" i="1"/>
  <c r="A17312" i="1"/>
  <c r="B17312" i="1"/>
  <c r="C17312" i="1"/>
  <c r="A14528" i="1"/>
  <c r="B14528" i="1"/>
  <c r="C14528" i="1"/>
  <c r="A17478" i="1"/>
  <c r="B17478" i="1"/>
  <c r="C17478" i="1"/>
  <c r="A17477" i="1"/>
  <c r="B17477" i="1"/>
  <c r="C17477" i="1"/>
  <c r="A5178" i="1"/>
  <c r="B5178" i="1"/>
  <c r="C5178" i="1"/>
  <c r="A24084" i="1"/>
  <c r="B24084" i="1"/>
  <c r="C24084" i="1"/>
  <c r="A23932" i="1"/>
  <c r="B23932" i="1"/>
  <c r="C23932" i="1"/>
  <c r="A23929" i="1"/>
  <c r="B23929" i="1"/>
  <c r="C23929" i="1"/>
  <c r="A23873" i="1"/>
  <c r="B23873" i="1"/>
  <c r="C23873" i="1"/>
  <c r="A21978" i="1"/>
  <c r="B21978" i="1"/>
  <c r="C21978" i="1"/>
  <c r="A24725" i="1"/>
  <c r="B24725" i="1"/>
  <c r="C24725" i="1"/>
  <c r="A24729" i="1"/>
  <c r="B24729" i="1"/>
  <c r="C24729" i="1"/>
  <c r="A24727" i="1"/>
  <c r="B24727" i="1"/>
  <c r="C24727" i="1"/>
  <c r="A24752" i="1"/>
  <c r="B24752" i="1"/>
  <c r="C24752" i="1"/>
  <c r="A24741" i="1"/>
  <c r="B24741" i="1"/>
  <c r="C24741" i="1"/>
  <c r="A24746" i="1"/>
  <c r="B24746" i="1"/>
  <c r="C24746" i="1"/>
  <c r="A815" i="1"/>
  <c r="B815" i="1"/>
  <c r="C815" i="1"/>
  <c r="A797" i="1"/>
  <c r="B797" i="1"/>
  <c r="C797" i="1"/>
  <c r="A7900" i="1"/>
  <c r="B7900" i="1"/>
  <c r="C7900" i="1"/>
  <c r="A7902" i="1"/>
  <c r="B7902" i="1"/>
  <c r="C7902" i="1"/>
  <c r="A11784" i="1"/>
  <c r="B11784" i="1"/>
  <c r="C11784" i="1"/>
  <c r="A11783" i="1"/>
  <c r="B11783" i="1"/>
  <c r="C11783" i="1"/>
  <c r="A10146" i="1"/>
  <c r="C10146" i="1"/>
  <c r="A10144" i="1"/>
  <c r="C10144" i="1"/>
  <c r="A14821" i="1"/>
  <c r="B14821" i="1"/>
  <c r="C14821" i="1"/>
  <c r="A10679" i="1"/>
  <c r="B10679" i="1"/>
  <c r="C10679" i="1"/>
  <c r="A10670" i="1"/>
  <c r="B10670" i="1"/>
  <c r="C10670" i="1"/>
  <c r="A23902" i="1"/>
  <c r="B23902" i="1"/>
  <c r="C23902" i="1"/>
  <c r="A7077" i="1"/>
  <c r="B7077" i="1"/>
  <c r="C7077" i="1"/>
  <c r="A7031" i="1"/>
  <c r="B7031" i="1"/>
  <c r="C7031" i="1"/>
  <c r="A6381" i="1"/>
  <c r="B6381" i="1"/>
  <c r="C6381" i="1"/>
  <c r="A6380" i="1"/>
  <c r="B6380" i="1"/>
  <c r="C6380" i="1"/>
  <c r="A2626" i="1"/>
  <c r="B2626" i="1"/>
  <c r="C2626" i="1"/>
  <c r="A2627" i="1"/>
  <c r="B2627" i="1"/>
  <c r="C2627" i="1"/>
  <c r="A4077" i="1"/>
  <c r="B4077" i="1"/>
  <c r="C4077" i="1"/>
  <c r="A4076" i="1"/>
  <c r="B4076" i="1"/>
  <c r="C4076" i="1"/>
  <c r="A8015" i="1"/>
  <c r="B8015" i="1"/>
  <c r="C8015" i="1"/>
  <c r="A19875" i="1"/>
  <c r="B19875" i="1"/>
  <c r="C19875" i="1"/>
  <c r="A12370" i="1"/>
  <c r="B12370" i="1"/>
  <c r="C12370" i="1"/>
  <c r="A17976" i="1"/>
  <c r="B17976" i="1"/>
  <c r="C17976" i="1"/>
  <c r="A22220" i="1"/>
  <c r="B22220" i="1"/>
  <c r="C22220" i="1"/>
  <c r="A24653" i="1"/>
  <c r="B24653" i="1"/>
  <c r="C24653" i="1"/>
  <c r="A19878" i="1"/>
  <c r="B19878" i="1"/>
  <c r="C19878" i="1"/>
  <c r="A16910" i="1"/>
  <c r="B16910" i="1"/>
  <c r="C16910" i="1"/>
  <c r="A21375" i="1"/>
  <c r="B21375" i="1"/>
  <c r="C21375" i="1"/>
  <c r="A4780" i="1"/>
  <c r="B4780" i="1"/>
  <c r="C4780" i="1"/>
  <c r="A21374" i="1"/>
  <c r="B21374" i="1"/>
  <c r="C21374" i="1"/>
  <c r="A21381" i="1"/>
  <c r="B21381" i="1"/>
  <c r="C21381" i="1"/>
  <c r="A4775" i="1"/>
  <c r="B4775" i="1"/>
  <c r="C4775" i="1"/>
  <c r="A11558" i="1"/>
  <c r="B11558" i="1"/>
  <c r="C11558" i="1"/>
  <c r="A9589" i="1"/>
  <c r="B9589" i="1"/>
  <c r="C9589" i="1"/>
  <c r="A9583" i="1"/>
  <c r="B9583" i="1"/>
  <c r="C9583" i="1"/>
  <c r="A9645" i="1"/>
  <c r="B9645" i="1"/>
  <c r="C9645" i="1"/>
  <c r="A9620" i="1"/>
  <c r="B9620" i="1"/>
  <c r="C9620" i="1"/>
  <c r="A17253" i="1"/>
  <c r="B17253" i="1"/>
  <c r="C17253" i="1"/>
  <c r="A17318" i="1"/>
  <c r="B17318" i="1"/>
  <c r="C17318" i="1"/>
  <c r="A17317" i="1"/>
  <c r="B17317" i="1"/>
  <c r="C17317" i="1"/>
  <c r="A18208" i="1"/>
  <c r="B18208" i="1"/>
  <c r="C18208" i="1"/>
  <c r="A8899" i="1"/>
  <c r="B8899" i="1"/>
  <c r="C8899" i="1"/>
  <c r="A18809" i="1"/>
  <c r="B18809" i="1"/>
  <c r="C18809" i="1"/>
  <c r="A791" i="1"/>
  <c r="B791" i="1"/>
  <c r="C791" i="1"/>
  <c r="A793" i="1"/>
  <c r="B793" i="1"/>
  <c r="C793" i="1"/>
  <c r="A1085" i="1"/>
  <c r="C1085" i="1"/>
  <c r="A796" i="1"/>
  <c r="B796" i="1"/>
  <c r="C796" i="1"/>
  <c r="A851" i="1"/>
  <c r="C851" i="1"/>
  <c r="A24262" i="1"/>
  <c r="B24262" i="1"/>
  <c r="C24262" i="1"/>
  <c r="A17965" i="1"/>
  <c r="B17965" i="1"/>
  <c r="C17965" i="1"/>
  <c r="A23950" i="1"/>
  <c r="B23950" i="1"/>
  <c r="C23950" i="1"/>
  <c r="A20885" i="1"/>
  <c r="B20885" i="1"/>
  <c r="C20885" i="1"/>
  <c r="A18425" i="1"/>
  <c r="B18425" i="1"/>
  <c r="C18425" i="1"/>
  <c r="A23352" i="1"/>
  <c r="B23352" i="1"/>
  <c r="C23352" i="1"/>
  <c r="A25254" i="1"/>
  <c r="B25254" i="1"/>
  <c r="C25254" i="1"/>
  <c r="A21789" i="1"/>
  <c r="B21789" i="1"/>
  <c r="C21789" i="1"/>
  <c r="A19822" i="1"/>
  <c r="B19822" i="1"/>
  <c r="C19822" i="1"/>
  <c r="A14467" i="1"/>
  <c r="B14467" i="1"/>
  <c r="C14467" i="1"/>
  <c r="A25705" i="1"/>
  <c r="B25705" i="1"/>
  <c r="C25705" i="1"/>
  <c r="A22458" i="1"/>
  <c r="B22458" i="1"/>
  <c r="C22458" i="1"/>
  <c r="A18020" i="1"/>
  <c r="B18020" i="1"/>
  <c r="C18020" i="1"/>
  <c r="A21601" i="1"/>
  <c r="B21601" i="1"/>
  <c r="C21601" i="1"/>
  <c r="A21599" i="1"/>
  <c r="B21599" i="1"/>
  <c r="C21599" i="1"/>
  <c r="A24945" i="1"/>
  <c r="B24945" i="1"/>
  <c r="C24945" i="1"/>
  <c r="A22459" i="1"/>
  <c r="B22459" i="1"/>
  <c r="C22459" i="1"/>
  <c r="A25707" i="1"/>
  <c r="B25707" i="1"/>
  <c r="C25707" i="1"/>
  <c r="A16548" i="1"/>
  <c r="B16548" i="1"/>
  <c r="C16548" i="1"/>
  <c r="A21597" i="1"/>
  <c r="B21597" i="1"/>
  <c r="C21597" i="1"/>
  <c r="A3690" i="1"/>
  <c r="B3690" i="1"/>
  <c r="C3690" i="1"/>
  <c r="A14464" i="1"/>
  <c r="B14464" i="1"/>
  <c r="C14464" i="1"/>
  <c r="A1820" i="1"/>
  <c r="B1820" i="1"/>
  <c r="C1820" i="1"/>
  <c r="A12385" i="1"/>
  <c r="B12385" i="1"/>
  <c r="C12385" i="1"/>
  <c r="A22457" i="1"/>
  <c r="B22457" i="1"/>
  <c r="C22457" i="1"/>
  <c r="A12384" i="1"/>
  <c r="B12384" i="1"/>
  <c r="C12384" i="1"/>
  <c r="A16547" i="1"/>
  <c r="B16547" i="1"/>
  <c r="C16547" i="1"/>
  <c r="A823" i="1"/>
  <c r="B823" i="1"/>
  <c r="C823" i="1"/>
  <c r="A21596" i="1"/>
  <c r="B21596" i="1"/>
  <c r="C21596" i="1"/>
  <c r="A1819" i="1"/>
  <c r="B1819" i="1"/>
  <c r="C1819" i="1"/>
  <c r="A25706" i="1"/>
  <c r="B25706" i="1"/>
  <c r="C25706" i="1"/>
  <c r="A22460" i="1"/>
  <c r="B22460" i="1"/>
  <c r="C22460" i="1"/>
  <c r="A18021" i="1"/>
  <c r="B18021" i="1"/>
  <c r="C18021" i="1"/>
  <c r="A22264" i="1"/>
  <c r="B22264" i="1"/>
  <c r="C22264" i="1"/>
  <c r="A18019" i="1"/>
  <c r="B18019" i="1"/>
  <c r="C18019" i="1"/>
  <c r="A14468" i="1"/>
  <c r="B14468" i="1"/>
  <c r="C14468" i="1"/>
  <c r="A21598" i="1"/>
  <c r="B21598" i="1"/>
  <c r="C21598" i="1"/>
  <c r="A21600" i="1"/>
  <c r="B21600" i="1"/>
  <c r="C21600" i="1"/>
  <c r="A14466" i="1"/>
  <c r="B14466" i="1"/>
  <c r="C14466" i="1"/>
  <c r="A1818" i="1"/>
  <c r="B1818" i="1"/>
  <c r="C1818" i="1"/>
  <c r="A14465" i="1"/>
  <c r="B14465" i="1"/>
  <c r="C14465" i="1"/>
  <c r="A12296" i="1"/>
  <c r="B12296" i="1"/>
  <c r="C12296" i="1"/>
  <c r="A14469" i="1"/>
  <c r="B14469" i="1"/>
  <c r="C14469" i="1"/>
  <c r="A18240" i="1"/>
  <c r="B18240" i="1"/>
  <c r="C18240" i="1"/>
  <c r="A18241" i="1"/>
  <c r="B18241" i="1"/>
  <c r="C18241" i="1"/>
  <c r="A11993" i="1"/>
  <c r="B11993" i="1"/>
  <c r="C11993" i="1"/>
  <c r="A25457" i="1"/>
  <c r="B25457" i="1"/>
  <c r="C25457" i="1"/>
  <c r="A4459" i="1"/>
  <c r="B4459" i="1"/>
  <c r="C4459" i="1"/>
  <c r="A6588" i="1"/>
  <c r="B6588" i="1"/>
  <c r="C6588" i="1"/>
  <c r="A25211" i="1"/>
  <c r="B25211" i="1"/>
  <c r="C25211" i="1"/>
  <c r="A11427" i="1"/>
  <c r="B11427" i="1"/>
  <c r="C11427" i="1"/>
  <c r="A11423" i="1"/>
  <c r="B11423" i="1"/>
  <c r="C11423" i="1"/>
  <c r="A24964" i="1"/>
  <c r="C24964" i="1"/>
  <c r="A18703" i="1"/>
  <c r="B18703" i="1"/>
  <c r="C18703" i="1"/>
  <c r="A17139" i="1"/>
  <c r="B17139" i="1"/>
  <c r="C17139" i="1"/>
  <c r="A13861" i="1"/>
  <c r="B13861" i="1"/>
  <c r="C13861" i="1"/>
  <c r="A3878" i="1"/>
  <c r="B3878" i="1"/>
  <c r="C3878" i="1"/>
  <c r="A13802" i="1"/>
  <c r="B13802" i="1"/>
  <c r="C13802" i="1"/>
  <c r="A15834" i="1"/>
  <c r="B15834" i="1"/>
  <c r="C15834" i="1"/>
  <c r="A4188" i="1"/>
  <c r="B4188" i="1"/>
  <c r="C4188" i="1"/>
  <c r="A16506" i="1"/>
  <c r="B16506" i="1"/>
  <c r="C16506" i="1"/>
  <c r="A25321" i="1"/>
  <c r="B25321" i="1"/>
  <c r="C25321" i="1"/>
  <c r="A8133" i="1"/>
  <c r="B8133" i="1"/>
  <c r="C8133" i="1"/>
  <c r="A21966" i="1"/>
  <c r="B21966" i="1"/>
  <c r="C21966" i="1"/>
  <c r="A6104" i="1"/>
  <c r="B6104" i="1"/>
  <c r="C6104" i="1"/>
  <c r="A16409" i="1"/>
  <c r="B16409" i="1"/>
  <c r="C16409" i="1"/>
  <c r="A17449" i="1"/>
  <c r="B17449" i="1"/>
  <c r="C17449" i="1"/>
  <c r="A16185" i="1"/>
  <c r="B16185" i="1"/>
  <c r="C16185" i="1"/>
  <c r="A6649" i="1"/>
  <c r="B6649" i="1"/>
  <c r="C6649" i="1"/>
  <c r="A15595" i="1"/>
  <c r="B15595" i="1"/>
  <c r="C15595" i="1"/>
  <c r="A16808" i="1"/>
  <c r="B16808" i="1"/>
  <c r="C16808" i="1"/>
  <c r="A9020" i="1"/>
  <c r="B9020" i="1"/>
  <c r="C9020" i="1"/>
  <c r="A17366" i="1"/>
  <c r="B17366" i="1"/>
  <c r="C17366" i="1"/>
  <c r="A18635" i="1"/>
  <c r="B18635" i="1"/>
  <c r="C18635" i="1"/>
  <c r="A1487" i="1"/>
  <c r="B1487" i="1"/>
  <c r="C1487" i="1"/>
  <c r="A1595" i="1"/>
  <c r="B1595" i="1"/>
  <c r="C1595" i="1"/>
  <c r="A13195" i="1"/>
  <c r="B13195" i="1"/>
  <c r="C13195" i="1"/>
  <c r="A13198" i="1"/>
  <c r="B13198" i="1"/>
  <c r="C13198" i="1"/>
  <c r="A17368" i="1"/>
  <c r="B17368" i="1"/>
  <c r="C17368" i="1"/>
  <c r="A2034" i="1"/>
  <c r="B2034" i="1"/>
  <c r="C2034" i="1"/>
  <c r="A2059" i="1"/>
  <c r="B2059" i="1"/>
  <c r="C2059" i="1"/>
  <c r="A2052" i="1"/>
  <c r="B2052" i="1"/>
  <c r="C2052" i="1"/>
  <c r="A272" i="1"/>
  <c r="B272" i="1"/>
  <c r="C272" i="1"/>
  <c r="A1586" i="1"/>
  <c r="B1586" i="1"/>
  <c r="C1586" i="1"/>
  <c r="A17367" i="1"/>
  <c r="B17367" i="1"/>
  <c r="C17367" i="1"/>
  <c r="A1583" i="1"/>
  <c r="B1583" i="1"/>
  <c r="C1583" i="1"/>
  <c r="A23681" i="1"/>
  <c r="B23681" i="1"/>
  <c r="C23681" i="1"/>
  <c r="A23684" i="1"/>
  <c r="B23684" i="1"/>
  <c r="C23684" i="1"/>
  <c r="A23596" i="1"/>
  <c r="B23596" i="1"/>
  <c r="C23596" i="1"/>
  <c r="A4027" i="1"/>
  <c r="B4027" i="1"/>
  <c r="C4027" i="1"/>
  <c r="A4026" i="1"/>
  <c r="B4026" i="1"/>
  <c r="C4026" i="1"/>
  <c r="A4044" i="1"/>
  <c r="B4044" i="1"/>
  <c r="C4044" i="1"/>
  <c r="A4042" i="1"/>
  <c r="B4042" i="1"/>
  <c r="C4042" i="1"/>
  <c r="A4041" i="1"/>
  <c r="B4041" i="1"/>
  <c r="C4041" i="1"/>
  <c r="A4043" i="1"/>
  <c r="B4043" i="1"/>
  <c r="C4043" i="1"/>
  <c r="A10229" i="1"/>
  <c r="B10229" i="1"/>
  <c r="C10229" i="1"/>
  <c r="A25681" i="1"/>
  <c r="B25681" i="1"/>
  <c r="C25681" i="1"/>
  <c r="A710" i="1"/>
  <c r="B710" i="1"/>
  <c r="C710" i="1"/>
  <c r="A6218" i="1"/>
  <c r="B6218" i="1"/>
  <c r="C6218" i="1"/>
  <c r="A24231" i="1"/>
  <c r="B24231" i="1"/>
  <c r="C24231" i="1"/>
  <c r="A3984" i="1"/>
  <c r="B3984" i="1"/>
  <c r="C3984" i="1"/>
  <c r="A3987" i="1"/>
  <c r="B3987" i="1"/>
  <c r="C3987" i="1"/>
  <c r="A6214" i="1"/>
  <c r="B6214" i="1"/>
  <c r="C6214" i="1"/>
  <c r="A10301" i="1"/>
  <c r="B10301" i="1"/>
  <c r="C10301" i="1"/>
  <c r="A4019" i="1"/>
  <c r="B4019" i="1"/>
  <c r="C4019" i="1"/>
  <c r="A17255" i="1"/>
  <c r="B17255" i="1"/>
  <c r="C17255" i="1"/>
  <c r="A2050" i="1"/>
  <c r="B2050" i="1"/>
  <c r="C2050" i="1"/>
  <c r="A2032" i="1"/>
  <c r="B2032" i="1"/>
  <c r="C2032" i="1"/>
  <c r="A24281" i="1"/>
  <c r="B24281" i="1"/>
  <c r="C24281" i="1"/>
  <c r="A7762" i="1"/>
  <c r="B7762" i="1"/>
  <c r="C7762" i="1"/>
  <c r="A7584" i="1"/>
  <c r="B7584" i="1"/>
  <c r="C7584" i="1"/>
  <c r="A9116" i="1"/>
  <c r="B9116" i="1"/>
  <c r="C9116" i="1"/>
  <c r="A19936" i="1"/>
  <c r="B19936" i="1"/>
  <c r="C19936" i="1"/>
  <c r="A19838" i="1"/>
  <c r="B19838" i="1"/>
  <c r="C19838" i="1"/>
  <c r="A19839" i="1"/>
  <c r="B19839" i="1"/>
  <c r="C19839" i="1"/>
  <c r="A7560" i="1"/>
  <c r="B7560" i="1"/>
  <c r="C7560" i="1"/>
  <c r="A10931" i="1"/>
  <c r="B10931" i="1"/>
  <c r="C10931" i="1"/>
  <c r="A2227" i="1"/>
  <c r="B2227" i="1"/>
  <c r="C2227" i="1"/>
  <c r="A9115" i="1"/>
  <c r="B9115" i="1"/>
  <c r="C9115" i="1"/>
  <c r="A24283" i="1"/>
  <c r="B24283" i="1"/>
  <c r="C24283" i="1"/>
  <c r="A6572" i="1"/>
  <c r="B6572" i="1"/>
  <c r="C6572" i="1"/>
  <c r="A407" i="1"/>
  <c r="B407" i="1"/>
  <c r="C407" i="1"/>
  <c r="A23081" i="1"/>
  <c r="B23081" i="1"/>
  <c r="C23081" i="1"/>
  <c r="A3013" i="1"/>
  <c r="B3013" i="1"/>
  <c r="C3013" i="1"/>
  <c r="A5973" i="1"/>
  <c r="B5973" i="1"/>
  <c r="C5973" i="1"/>
  <c r="A18024" i="1"/>
  <c r="B18024" i="1"/>
  <c r="C18024" i="1"/>
  <c r="A14518" i="1"/>
  <c r="B14518" i="1"/>
  <c r="C14518" i="1"/>
  <c r="A9793" i="1"/>
  <c r="B9793" i="1"/>
  <c r="C9793" i="1"/>
  <c r="A8345" i="1"/>
  <c r="B8345" i="1"/>
  <c r="C8345" i="1"/>
  <c r="A23221" i="1"/>
  <c r="B23221" i="1"/>
  <c r="C23221" i="1"/>
  <c r="A22338" i="1"/>
  <c r="B22338" i="1"/>
  <c r="C22338" i="1"/>
  <c r="A3357" i="1"/>
  <c r="B3357" i="1"/>
  <c r="C3357" i="1"/>
  <c r="A20488" i="1"/>
  <c r="B20488" i="1"/>
  <c r="C20488" i="1"/>
  <c r="A18847" i="1"/>
  <c r="B18847" i="1"/>
  <c r="C18847" i="1"/>
  <c r="A16906" i="1"/>
  <c r="B16906" i="1"/>
  <c r="C16906" i="1"/>
  <c r="A17901" i="1"/>
  <c r="B17901" i="1"/>
  <c r="C17901" i="1"/>
  <c r="A7171" i="1"/>
  <c r="B7171" i="1"/>
  <c r="C7171" i="1"/>
  <c r="A7172" i="1"/>
  <c r="B7172" i="1"/>
  <c r="C7172" i="1"/>
  <c r="A7168" i="1"/>
  <c r="B7168" i="1"/>
  <c r="C7168" i="1"/>
  <c r="A21605" i="1"/>
  <c r="B21605" i="1"/>
  <c r="C21605" i="1"/>
  <c r="A9012" i="1"/>
  <c r="B9012" i="1"/>
  <c r="C9012" i="1"/>
  <c r="A17364" i="1"/>
  <c r="B17364" i="1"/>
  <c r="C17364" i="1"/>
  <c r="A1609" i="1"/>
  <c r="B1609" i="1"/>
  <c r="C1609" i="1"/>
  <c r="A1608" i="1"/>
  <c r="B1608" i="1"/>
  <c r="C1608" i="1"/>
  <c r="A1585" i="1"/>
  <c r="B1585" i="1"/>
  <c r="C1585" i="1"/>
  <c r="A17370" i="1"/>
  <c r="B17370" i="1"/>
  <c r="C17370" i="1"/>
  <c r="A1501" i="1"/>
  <c r="B1501" i="1"/>
  <c r="C1501" i="1"/>
  <c r="A1497" i="1"/>
  <c r="B1497" i="1"/>
  <c r="C1497" i="1"/>
  <c r="A3520" i="1"/>
  <c r="B3520" i="1"/>
  <c r="C3520" i="1"/>
  <c r="A3516" i="1"/>
  <c r="B3516" i="1"/>
  <c r="C3516" i="1"/>
  <c r="A9575" i="1"/>
  <c r="B9575" i="1"/>
  <c r="C9575" i="1"/>
  <c r="A18954" i="1"/>
  <c r="B18954" i="1"/>
  <c r="C18954" i="1"/>
  <c r="A9581" i="1"/>
  <c r="B9581" i="1"/>
  <c r="C9581" i="1"/>
  <c r="A9576" i="1"/>
  <c r="B9576" i="1"/>
  <c r="C9576" i="1"/>
  <c r="A9614" i="1"/>
  <c r="B9614" i="1"/>
  <c r="C9614" i="1"/>
  <c r="A9676" i="1"/>
  <c r="B9676" i="1"/>
  <c r="C9676" i="1"/>
  <c r="A9615" i="1"/>
  <c r="B9615" i="1"/>
  <c r="C9615" i="1"/>
  <c r="A17270" i="1"/>
  <c r="B17270" i="1"/>
  <c r="C17270" i="1"/>
  <c r="A3501" i="1"/>
  <c r="B3501" i="1"/>
  <c r="C3501" i="1"/>
  <c r="A9622" i="1"/>
  <c r="B9622" i="1"/>
  <c r="C9622" i="1"/>
  <c r="A9632" i="1"/>
  <c r="B9632" i="1"/>
  <c r="C9632" i="1"/>
  <c r="A9588" i="1"/>
  <c r="B9588" i="1"/>
  <c r="C9588" i="1"/>
  <c r="A9611" i="1"/>
  <c r="B9611" i="1"/>
  <c r="C9611" i="1"/>
  <c r="A9625" i="1"/>
  <c r="B9625" i="1"/>
  <c r="C9625" i="1"/>
  <c r="A9628" i="1"/>
  <c r="B9628" i="1"/>
  <c r="C9628" i="1"/>
  <c r="A9627" i="1"/>
  <c r="B9627" i="1"/>
  <c r="C9627" i="1"/>
  <c r="A9630" i="1"/>
  <c r="B9630" i="1"/>
  <c r="C9630" i="1"/>
  <c r="A9637" i="1"/>
  <c r="B9637" i="1"/>
  <c r="C9637" i="1"/>
  <c r="A9641" i="1"/>
  <c r="B9641" i="1"/>
  <c r="C9641" i="1"/>
  <c r="A9642" i="1"/>
  <c r="B9642" i="1"/>
  <c r="C9642" i="1"/>
  <c r="A9646" i="1"/>
  <c r="B9646" i="1"/>
  <c r="C9646" i="1"/>
  <c r="A19356" i="1"/>
  <c r="B19356" i="1"/>
  <c r="C19356" i="1"/>
  <c r="A14595" i="1"/>
  <c r="B14595" i="1"/>
  <c r="C14595" i="1"/>
  <c r="A14592" i="1"/>
  <c r="B14592" i="1"/>
  <c r="C14592" i="1"/>
  <c r="A14591" i="1"/>
  <c r="B14591" i="1"/>
  <c r="C14591" i="1"/>
  <c r="A14593" i="1"/>
  <c r="B14593" i="1"/>
  <c r="C14593" i="1"/>
  <c r="A14594" i="1"/>
  <c r="B14594" i="1"/>
  <c r="C14594" i="1"/>
  <c r="A7059" i="1"/>
  <c r="B7059" i="1"/>
  <c r="C7059" i="1"/>
  <c r="A7058" i="1"/>
  <c r="B7058" i="1"/>
  <c r="C7058" i="1"/>
  <c r="A7057" i="1"/>
  <c r="B7057" i="1"/>
  <c r="C7057" i="1"/>
  <c r="A9604" i="1"/>
  <c r="B9604" i="1"/>
  <c r="C9604" i="1"/>
  <c r="A9629" i="1"/>
  <c r="B9629" i="1"/>
  <c r="C9629" i="1"/>
  <c r="A1591" i="1"/>
  <c r="B1591" i="1"/>
  <c r="C1591" i="1"/>
  <c r="A11191" i="1"/>
  <c r="B11191" i="1"/>
  <c r="C11191" i="1"/>
  <c r="A11197" i="1"/>
  <c r="B11197" i="1"/>
  <c r="C11197" i="1"/>
  <c r="A15508" i="1"/>
  <c r="B15508" i="1"/>
  <c r="C15508" i="1"/>
  <c r="A15244" i="1"/>
  <c r="B15244" i="1"/>
  <c r="C15244" i="1"/>
  <c r="A17467" i="1"/>
  <c r="B17467" i="1"/>
  <c r="C17467" i="1"/>
  <c r="A17782" i="1"/>
  <c r="B17782" i="1"/>
  <c r="C17782" i="1"/>
  <c r="A12736" i="1"/>
  <c r="B12736" i="1"/>
  <c r="C12736" i="1"/>
  <c r="A15618" i="1"/>
  <c r="B15618" i="1"/>
  <c r="C15618" i="1"/>
  <c r="A12004" i="1"/>
  <c r="B12004" i="1"/>
  <c r="C12004" i="1"/>
  <c r="A12006" i="1"/>
  <c r="B12006" i="1"/>
  <c r="C12006" i="1"/>
  <c r="A22441" i="1"/>
  <c r="B22441" i="1"/>
  <c r="C22441" i="1"/>
  <c r="A7756" i="1"/>
  <c r="B7756" i="1"/>
  <c r="C7756" i="1"/>
  <c r="A12780" i="1"/>
  <c r="B12780" i="1"/>
  <c r="C12780" i="1"/>
  <c r="A19025" i="1"/>
  <c r="B19025" i="1"/>
  <c r="C19025" i="1"/>
  <c r="A6127" i="1"/>
  <c r="B6127" i="1"/>
  <c r="C6127" i="1"/>
  <c r="A4813" i="1"/>
  <c r="B4813" i="1"/>
  <c r="C4813" i="1"/>
  <c r="A14747" i="1"/>
  <c r="B14747" i="1"/>
  <c r="C14747" i="1"/>
  <c r="A14746" i="1"/>
  <c r="B14746" i="1"/>
  <c r="C14746" i="1"/>
  <c r="A23217" i="1"/>
  <c r="B23217" i="1"/>
  <c r="C23217" i="1"/>
  <c r="A21639" i="1"/>
  <c r="B21639" i="1"/>
  <c r="C21639" i="1"/>
  <c r="A14367" i="1"/>
  <c r="B14367" i="1"/>
  <c r="C14367" i="1"/>
  <c r="A370" i="1"/>
  <c r="B370" i="1"/>
  <c r="C370" i="1"/>
  <c r="A22167" i="1"/>
  <c r="B22167" i="1"/>
  <c r="C22167" i="1"/>
  <c r="A358" i="1"/>
  <c r="B358" i="1"/>
  <c r="C358" i="1"/>
  <c r="A8894" i="1"/>
  <c r="B8894" i="1"/>
  <c r="C8894" i="1"/>
  <c r="A24364" i="1"/>
  <c r="B24364" i="1"/>
  <c r="C24364" i="1"/>
  <c r="A14368" i="1"/>
  <c r="B14368" i="1"/>
  <c r="C14368" i="1"/>
  <c r="A11372" i="1"/>
  <c r="B11372" i="1"/>
  <c r="C11372" i="1"/>
  <c r="A24374" i="1"/>
  <c r="B24374" i="1"/>
  <c r="C24374" i="1"/>
  <c r="A5721" i="1"/>
  <c r="B5721" i="1"/>
  <c r="C5721" i="1"/>
  <c r="A13363" i="1"/>
  <c r="B13363" i="1"/>
  <c r="C13363" i="1"/>
  <c r="A24378" i="1"/>
  <c r="B24378" i="1"/>
  <c r="C24378" i="1"/>
  <c r="A19983" i="1"/>
  <c r="B19983" i="1"/>
  <c r="C19983" i="1"/>
  <c r="A14927" i="1"/>
  <c r="B14927" i="1"/>
  <c r="C14927" i="1"/>
  <c r="A521" i="1"/>
  <c r="B521" i="1"/>
  <c r="C521" i="1"/>
  <c r="A5968" i="1"/>
  <c r="B5968" i="1"/>
  <c r="C5968" i="1"/>
  <c r="A6873" i="1"/>
  <c r="B6873" i="1"/>
  <c r="C6873" i="1"/>
  <c r="A2224" i="1"/>
  <c r="B2224" i="1"/>
  <c r="C2224" i="1"/>
  <c r="A13362" i="1"/>
  <c r="B13362" i="1"/>
  <c r="C13362" i="1"/>
  <c r="A19982" i="1"/>
  <c r="B19982" i="1"/>
  <c r="C19982" i="1"/>
  <c r="A13238" i="1"/>
  <c r="B13238" i="1"/>
  <c r="C13238" i="1"/>
  <c r="A17578" i="1"/>
  <c r="B17578" i="1"/>
  <c r="C17578" i="1"/>
  <c r="A13823" i="1"/>
  <c r="B13823" i="1"/>
  <c r="C13823" i="1"/>
  <c r="A23885" i="1"/>
  <c r="B23885" i="1"/>
  <c r="C23885" i="1"/>
  <c r="A7746" i="1"/>
  <c r="B7746" i="1"/>
  <c r="C7746" i="1"/>
  <c r="A7287" i="1"/>
  <c r="B7287" i="1"/>
  <c r="C7287" i="1"/>
  <c r="A17624" i="1"/>
  <c r="B17624" i="1"/>
  <c r="C17624" i="1"/>
  <c r="A17481" i="1"/>
  <c r="B17481" i="1"/>
  <c r="C17481" i="1"/>
  <c r="A5867" i="1"/>
  <c r="B5867" i="1"/>
  <c r="C5867" i="1"/>
  <c r="A5866" i="1"/>
  <c r="B5866" i="1"/>
  <c r="C5866" i="1"/>
  <c r="A5865" i="1"/>
  <c r="B5865" i="1"/>
  <c r="C5865" i="1"/>
  <c r="A24078" i="1"/>
  <c r="B24078" i="1"/>
  <c r="C24078" i="1"/>
  <c r="A10081" i="1"/>
  <c r="B10081" i="1"/>
  <c r="C10081" i="1"/>
  <c r="A16505" i="1"/>
  <c r="B16505" i="1"/>
  <c r="C16505" i="1"/>
  <c r="A14949" i="1"/>
  <c r="B14949" i="1"/>
  <c r="C14949" i="1"/>
  <c r="A6335" i="1"/>
  <c r="B6335" i="1"/>
  <c r="C6335" i="1"/>
  <c r="A22906" i="1"/>
  <c r="B22906" i="1"/>
  <c r="C22906" i="1"/>
  <c r="A19592" i="1"/>
  <c r="B19592" i="1"/>
  <c r="C19592" i="1"/>
  <c r="A11806" i="1"/>
  <c r="B11806" i="1"/>
  <c r="C11806" i="1"/>
  <c r="A11809" i="1"/>
  <c r="B11809" i="1"/>
  <c r="C11809" i="1"/>
  <c r="A11805" i="1"/>
  <c r="B11805" i="1"/>
  <c r="C11805" i="1"/>
  <c r="A5262" i="1"/>
  <c r="B5262" i="1"/>
  <c r="C5262" i="1"/>
  <c r="A19672" i="1"/>
  <c r="B19672" i="1"/>
  <c r="C19672" i="1"/>
  <c r="A7250" i="1"/>
  <c r="B7250" i="1"/>
  <c r="C7250" i="1"/>
  <c r="A7166" i="1"/>
  <c r="B7166" i="1"/>
  <c r="C7166" i="1"/>
  <c r="A575" i="1"/>
  <c r="B575" i="1"/>
  <c r="C575" i="1"/>
  <c r="A350" i="1"/>
  <c r="B350" i="1"/>
  <c r="C350" i="1"/>
  <c r="A7336" i="1"/>
  <c r="B7336" i="1"/>
  <c r="C7336" i="1"/>
  <c r="A15144" i="1"/>
  <c r="B15144" i="1"/>
  <c r="C15144" i="1"/>
  <c r="A15146" i="1"/>
  <c r="B15146" i="1"/>
  <c r="C15146" i="1"/>
  <c r="A16828" i="1"/>
  <c r="B16828" i="1"/>
  <c r="C16828" i="1"/>
  <c r="A12634" i="1"/>
  <c r="B12634" i="1"/>
  <c r="C12634" i="1"/>
  <c r="A19177" i="1"/>
  <c r="B19177" i="1"/>
  <c r="C19177" i="1"/>
  <c r="A3163" i="1"/>
  <c r="B3163" i="1"/>
  <c r="C3163" i="1"/>
  <c r="A7062" i="1"/>
  <c r="B7062" i="1"/>
  <c r="C7062" i="1"/>
  <c r="A22887" i="1"/>
  <c r="B22887" i="1"/>
  <c r="C22887" i="1"/>
  <c r="A22889" i="1"/>
  <c r="B22889" i="1"/>
  <c r="C22889" i="1"/>
  <c r="A7085" i="1"/>
  <c r="B7085" i="1"/>
  <c r="C7085" i="1"/>
  <c r="A7191" i="1"/>
  <c r="B7191" i="1"/>
  <c r="C7191" i="1"/>
  <c r="A4867" i="1"/>
  <c r="B4867" i="1"/>
  <c r="C4867" i="1"/>
  <c r="A5565" i="1"/>
  <c r="B5565" i="1"/>
  <c r="C5565" i="1"/>
  <c r="A7476" i="1"/>
  <c r="B7476" i="1"/>
  <c r="C7476" i="1"/>
  <c r="A7475" i="1"/>
  <c r="B7475" i="1"/>
  <c r="C7475" i="1"/>
  <c r="A15816" i="1"/>
  <c r="B15816" i="1"/>
  <c r="C15816" i="1"/>
  <c r="A23149" i="1"/>
  <c r="B23149" i="1"/>
  <c r="C23149" i="1"/>
  <c r="A10074" i="1"/>
  <c r="B10074" i="1"/>
  <c r="C10074" i="1"/>
  <c r="A22333" i="1"/>
  <c r="B22333" i="1"/>
  <c r="C22333" i="1"/>
  <c r="A25724" i="1"/>
  <c r="B25724" i="1"/>
  <c r="C25724" i="1"/>
  <c r="A21068" i="1"/>
  <c r="C21068" i="1"/>
  <c r="A11405" i="1"/>
  <c r="B11405" i="1"/>
  <c r="C11405" i="1"/>
  <c r="A1761" i="1"/>
  <c r="B1761" i="1"/>
  <c r="C1761" i="1"/>
  <c r="A11925" i="1"/>
  <c r="B11925" i="1"/>
  <c r="C11925" i="1"/>
  <c r="A11926" i="1"/>
  <c r="B11926" i="1"/>
  <c r="C11926" i="1"/>
  <c r="A9363" i="1"/>
  <c r="B9363" i="1"/>
  <c r="C9363" i="1"/>
  <c r="A3992" i="1"/>
  <c r="B3992" i="1"/>
  <c r="C3992" i="1"/>
  <c r="A23685" i="1"/>
  <c r="B23685" i="1"/>
  <c r="C23685" i="1"/>
  <c r="A10051" i="1"/>
  <c r="B10051" i="1"/>
  <c r="C10051" i="1"/>
  <c r="A2539" i="1"/>
  <c r="B2539" i="1"/>
  <c r="C2539" i="1"/>
  <c r="A21419" i="1"/>
  <c r="B21419" i="1"/>
  <c r="C21419" i="1"/>
  <c r="A589" i="1"/>
  <c r="B589" i="1"/>
  <c r="C589" i="1"/>
  <c r="A20702" i="1"/>
  <c r="B20702" i="1"/>
  <c r="C20702" i="1"/>
  <c r="A20698" i="1"/>
  <c r="B20698" i="1"/>
  <c r="C20698" i="1"/>
  <c r="A17036" i="1"/>
  <c r="B17036" i="1"/>
  <c r="C17036" i="1"/>
  <c r="A6501" i="1"/>
  <c r="B6501" i="1"/>
  <c r="C6501" i="1"/>
  <c r="A10135" i="1"/>
  <c r="B10135" i="1"/>
  <c r="C10135" i="1"/>
  <c r="A7286" i="1"/>
  <c r="B7286" i="1"/>
  <c r="C7286" i="1"/>
  <c r="A13324" i="1"/>
  <c r="B13324" i="1"/>
  <c r="C13324" i="1"/>
  <c r="A25115" i="1"/>
  <c r="B25115" i="1"/>
  <c r="C25115" i="1"/>
  <c r="A3885" i="1"/>
  <c r="B3885" i="1"/>
  <c r="C3885" i="1"/>
  <c r="A19016" i="1"/>
  <c r="B19016" i="1"/>
  <c r="C19016" i="1"/>
  <c r="A17112" i="1"/>
  <c r="B17112" i="1"/>
  <c r="C17112" i="1"/>
  <c r="A5177" i="1"/>
  <c r="B5177" i="1"/>
  <c r="C5177" i="1"/>
  <c r="A6219" i="1"/>
  <c r="B6219" i="1"/>
  <c r="C6219" i="1"/>
  <c r="A6216" i="1"/>
  <c r="B6216" i="1"/>
  <c r="C6216" i="1"/>
  <c r="A23641" i="1"/>
  <c r="B23641" i="1"/>
  <c r="C23641" i="1"/>
  <c r="A23652" i="1"/>
  <c r="B23652" i="1"/>
  <c r="C23652" i="1"/>
  <c r="A23650" i="1"/>
  <c r="B23650" i="1"/>
  <c r="C23650" i="1"/>
  <c r="A23653" i="1"/>
  <c r="B23653" i="1"/>
  <c r="C23653" i="1"/>
  <c r="A18698" i="1"/>
  <c r="B18698" i="1"/>
  <c r="C18698" i="1"/>
  <c r="A18700" i="1"/>
  <c r="B18700" i="1"/>
  <c r="C18700" i="1"/>
  <c r="A13200" i="1"/>
  <c r="B13200" i="1"/>
  <c r="C13200" i="1"/>
  <c r="A23654" i="1"/>
  <c r="B23654" i="1"/>
  <c r="C23654" i="1"/>
  <c r="A24260" i="1"/>
  <c r="B24260" i="1"/>
  <c r="C24260" i="1"/>
  <c r="A23655" i="1"/>
  <c r="B23655" i="1"/>
  <c r="C23655" i="1"/>
  <c r="A16603" i="1"/>
  <c r="B16603" i="1"/>
  <c r="C16603" i="1"/>
  <c r="A13778" i="1"/>
  <c r="B13778" i="1"/>
  <c r="C13778" i="1"/>
  <c r="A8255" i="1"/>
  <c r="B8255" i="1"/>
  <c r="C8255" i="1"/>
  <c r="A23774" i="1"/>
  <c r="B23774" i="1"/>
  <c r="C23774" i="1"/>
  <c r="A8874" i="1"/>
  <c r="B8874" i="1"/>
  <c r="C8874" i="1"/>
  <c r="A13724" i="1"/>
  <c r="B13724" i="1"/>
  <c r="C13724" i="1"/>
  <c r="A13477" i="1"/>
  <c r="B13477" i="1"/>
  <c r="C13477" i="1"/>
  <c r="A5465" i="1"/>
  <c r="B5465" i="1"/>
  <c r="C5465" i="1"/>
  <c r="A5459" i="1"/>
  <c r="B5459" i="1"/>
  <c r="C5459" i="1"/>
  <c r="A5464" i="1"/>
  <c r="B5464" i="1"/>
  <c r="C5464" i="1"/>
  <c r="A25396" i="1"/>
  <c r="B25396" i="1"/>
  <c r="C25396" i="1"/>
  <c r="A5855" i="1"/>
  <c r="B5855" i="1"/>
  <c r="C5855" i="1"/>
  <c r="A2741" i="1"/>
  <c r="B2741" i="1"/>
  <c r="C2741" i="1"/>
  <c r="A14063" i="1"/>
  <c r="B14063" i="1"/>
  <c r="C14063" i="1"/>
  <c r="A20190" i="1"/>
  <c r="B20190" i="1"/>
  <c r="C20190" i="1"/>
  <c r="A19192" i="1"/>
  <c r="B19192" i="1"/>
  <c r="C19192" i="1"/>
  <c r="A19194" i="1"/>
  <c r="B19194" i="1"/>
  <c r="C19194" i="1"/>
  <c r="A21579" i="1"/>
  <c r="B21579" i="1"/>
  <c r="C21579" i="1"/>
  <c r="A19457" i="1"/>
  <c r="B19457" i="1"/>
  <c r="C19457" i="1"/>
  <c r="A6888" i="1"/>
  <c r="B6888" i="1"/>
  <c r="C6888" i="1"/>
  <c r="A17567" i="1"/>
  <c r="B17567" i="1"/>
  <c r="C17567" i="1"/>
  <c r="A17570" i="1"/>
  <c r="B17570" i="1"/>
  <c r="C17570" i="1"/>
  <c r="A7487" i="1"/>
  <c r="B7487" i="1"/>
  <c r="C7487" i="1"/>
  <c r="A9624" i="1"/>
  <c r="B9624" i="1"/>
  <c r="C9624" i="1"/>
  <c r="A5469" i="1"/>
  <c r="B5469" i="1"/>
  <c r="C5469" i="1"/>
  <c r="A5550" i="1"/>
  <c r="B5550" i="1"/>
  <c r="C5550" i="1"/>
  <c r="A23127" i="1"/>
  <c r="B23127" i="1"/>
  <c r="C23127" i="1"/>
  <c r="A12141" i="1"/>
  <c r="B12141" i="1"/>
  <c r="C12141" i="1"/>
  <c r="A14527" i="1"/>
  <c r="B14527" i="1"/>
  <c r="C14527" i="1"/>
  <c r="A21637" i="1"/>
  <c r="B21637" i="1"/>
  <c r="C21637" i="1"/>
  <c r="A25198" i="1"/>
  <c r="B25198" i="1"/>
  <c r="C25198" i="1"/>
  <c r="A15249" i="1"/>
  <c r="B15249" i="1"/>
  <c r="C15249" i="1"/>
  <c r="A16825" i="1"/>
  <c r="B16825" i="1"/>
  <c r="C16825" i="1"/>
  <c r="A829" i="1"/>
  <c r="B829" i="1"/>
  <c r="C829" i="1"/>
  <c r="A824" i="1"/>
  <c r="B824" i="1"/>
  <c r="C824" i="1"/>
  <c r="A8790" i="1"/>
  <c r="B8790" i="1"/>
  <c r="C8790" i="1"/>
  <c r="A10900" i="1"/>
  <c r="B10900" i="1"/>
  <c r="C10900" i="1"/>
  <c r="A11800" i="1"/>
  <c r="B11800" i="1"/>
  <c r="C11800" i="1"/>
  <c r="A12452" i="1"/>
  <c r="B12452" i="1"/>
  <c r="C12452" i="1"/>
  <c r="A25730" i="1"/>
  <c r="B25730" i="1"/>
  <c r="C25730" i="1"/>
  <c r="A12798" i="1"/>
  <c r="B12798" i="1"/>
  <c r="C12798" i="1"/>
  <c r="A22886" i="1"/>
  <c r="B22886" i="1"/>
  <c r="C22886" i="1"/>
  <c r="A3428" i="1"/>
  <c r="B3428" i="1"/>
  <c r="C3428" i="1"/>
  <c r="A3431" i="1"/>
  <c r="B3431" i="1"/>
  <c r="C3431" i="1"/>
  <c r="A3402" i="1"/>
  <c r="B3402" i="1"/>
  <c r="C3402" i="1"/>
  <c r="A13457" i="1"/>
  <c r="B13457" i="1"/>
  <c r="C13457" i="1"/>
  <c r="A13455" i="1"/>
  <c r="B13455" i="1"/>
  <c r="C13455" i="1"/>
  <c r="A13462" i="1"/>
  <c r="B13462" i="1"/>
  <c r="C13462" i="1"/>
  <c r="A13463" i="1"/>
  <c r="B13463" i="1"/>
  <c r="C13463" i="1"/>
  <c r="A13464" i="1"/>
  <c r="B13464" i="1"/>
  <c r="C13464" i="1"/>
  <c r="A13465" i="1"/>
  <c r="B13465" i="1"/>
  <c r="C13465" i="1"/>
  <c r="A13466" i="1"/>
  <c r="B13466" i="1"/>
  <c r="C13466" i="1"/>
  <c r="A13460" i="1"/>
  <c r="B13460" i="1"/>
  <c r="C13460" i="1"/>
  <c r="A13461" i="1"/>
  <c r="B13461" i="1"/>
  <c r="C13461" i="1"/>
  <c r="A8280" i="1"/>
  <c r="B8280" i="1"/>
  <c r="C8280" i="1"/>
  <c r="A8279" i="1"/>
  <c r="B8279" i="1"/>
  <c r="C8279" i="1"/>
  <c r="A13473" i="1"/>
  <c r="B13473" i="1"/>
  <c r="C13473" i="1"/>
  <c r="A13474" i="1"/>
  <c r="B13474" i="1"/>
  <c r="C13474" i="1"/>
  <c r="A13471" i="1"/>
  <c r="B13471" i="1"/>
  <c r="C13471" i="1"/>
  <c r="A13472" i="1"/>
  <c r="B13472" i="1"/>
  <c r="C13472" i="1"/>
  <c r="A13468" i="1"/>
  <c r="B13468" i="1"/>
  <c r="C13468" i="1"/>
  <c r="A13470" i="1"/>
  <c r="B13470" i="1"/>
  <c r="C13470" i="1"/>
  <c r="A13469" i="1"/>
  <c r="B13469" i="1"/>
  <c r="C13469" i="1"/>
  <c r="A13467" i="1"/>
  <c r="B13467" i="1"/>
  <c r="C13467" i="1"/>
  <c r="A17566" i="1"/>
  <c r="B17566" i="1"/>
  <c r="C17566" i="1"/>
  <c r="A1905" i="1"/>
  <c r="B1905" i="1"/>
  <c r="C1905" i="1"/>
  <c r="A16326" i="1"/>
  <c r="B16326" i="1"/>
  <c r="C16326" i="1"/>
  <c r="A4823" i="1"/>
  <c r="B4823" i="1"/>
  <c r="C4823" i="1"/>
  <c r="A6779" i="1"/>
  <c r="B6779" i="1"/>
  <c r="C6779" i="1"/>
  <c r="A11910" i="1"/>
  <c r="B11910" i="1"/>
  <c r="C11910" i="1"/>
  <c r="A6953" i="1"/>
  <c r="B6953" i="1"/>
  <c r="C6953" i="1"/>
  <c r="A22892" i="1"/>
  <c r="B22892" i="1"/>
  <c r="C22892" i="1"/>
  <c r="A23616" i="1"/>
  <c r="B23616" i="1"/>
  <c r="C23616" i="1"/>
  <c r="A23615" i="1"/>
  <c r="B23615" i="1"/>
  <c r="C23615" i="1"/>
  <c r="A22890" i="1"/>
  <c r="B22890" i="1"/>
  <c r="C22890" i="1"/>
  <c r="A16829" i="1"/>
  <c r="B16829" i="1"/>
  <c r="C16829" i="1"/>
  <c r="A19344" i="1"/>
  <c r="B19344" i="1"/>
  <c r="C19344" i="1"/>
  <c r="A23946" i="1"/>
  <c r="B23946" i="1"/>
  <c r="C23946" i="1"/>
  <c r="A23947" i="1"/>
  <c r="B23947" i="1"/>
  <c r="C23947" i="1"/>
  <c r="A21976" i="1"/>
  <c r="B21976" i="1"/>
  <c r="C21976" i="1"/>
  <c r="A14539" i="1"/>
  <c r="B14539" i="1"/>
  <c r="C14539" i="1"/>
  <c r="A6378" i="1"/>
  <c r="B6378" i="1"/>
  <c r="C6378" i="1"/>
  <c r="A6377" i="1"/>
  <c r="B6377" i="1"/>
  <c r="C6377" i="1"/>
  <c r="A6379" i="1"/>
  <c r="B6379" i="1"/>
  <c r="C6379" i="1"/>
  <c r="A23763" i="1"/>
  <c r="B23763" i="1"/>
  <c r="C23763" i="1"/>
  <c r="A7080" i="1"/>
  <c r="B7080" i="1"/>
  <c r="C7080" i="1"/>
  <c r="A12777" i="1"/>
  <c r="B12777" i="1"/>
  <c r="C12777" i="1"/>
  <c r="A5965" i="1"/>
  <c r="B5965" i="1"/>
  <c r="C5965" i="1"/>
  <c r="A20957" i="1"/>
  <c r="B20957" i="1"/>
  <c r="C20957" i="1"/>
  <c r="A15964" i="1"/>
  <c r="B15964" i="1"/>
  <c r="C15964" i="1"/>
  <c r="A2516" i="1"/>
  <c r="B2516" i="1"/>
  <c r="C2516" i="1"/>
  <c r="A9795" i="1"/>
  <c r="B9795" i="1"/>
  <c r="C9795" i="1"/>
  <c r="A22537" i="1"/>
  <c r="B22537" i="1"/>
  <c r="C22537" i="1"/>
  <c r="A21591" i="1"/>
  <c r="B21591" i="1"/>
  <c r="C21591" i="1"/>
  <c r="A15868" i="1"/>
  <c r="B15868" i="1"/>
  <c r="C15868" i="1"/>
  <c r="A21592" i="1"/>
  <c r="B21592" i="1"/>
  <c r="C21592" i="1"/>
  <c r="A13383" i="1"/>
  <c r="B13383" i="1"/>
  <c r="C13383" i="1"/>
  <c r="A19718" i="1"/>
  <c r="B19718" i="1"/>
  <c r="C19718" i="1"/>
  <c r="A24273" i="1"/>
  <c r="B24273" i="1"/>
  <c r="C24273" i="1"/>
  <c r="A16899" i="1"/>
  <c r="B16899" i="1"/>
  <c r="C16899" i="1"/>
  <c r="A17452" i="1"/>
  <c r="B17452" i="1"/>
  <c r="C17452" i="1"/>
  <c r="A18051" i="1"/>
  <c r="B18051" i="1"/>
  <c r="C18051" i="1"/>
  <c r="A17790" i="1"/>
  <c r="B17790" i="1"/>
  <c r="C17790" i="1"/>
  <c r="A20490" i="1"/>
  <c r="B20490" i="1"/>
  <c r="C20490" i="1"/>
  <c r="A9377" i="1"/>
  <c r="B9377" i="1"/>
  <c r="C9377" i="1"/>
  <c r="A3502" i="1"/>
  <c r="B3502" i="1"/>
  <c r="C3502" i="1"/>
  <c r="A3965" i="1"/>
  <c r="B3965" i="1"/>
  <c r="C3965" i="1"/>
  <c r="A3975" i="1"/>
  <c r="B3975" i="1"/>
  <c r="C3975" i="1"/>
  <c r="A13196" i="1"/>
  <c r="B13196" i="1"/>
  <c r="C13196" i="1"/>
  <c r="A13197" i="1"/>
  <c r="B13197" i="1"/>
  <c r="C13197" i="1"/>
  <c r="A1498" i="1"/>
  <c r="B1498" i="1"/>
  <c r="C1498" i="1"/>
  <c r="A7078" i="1"/>
  <c r="B7078" i="1"/>
  <c r="C7078" i="1"/>
  <c r="A17371" i="1"/>
  <c r="B17371" i="1"/>
  <c r="C17371" i="1"/>
  <c r="A17268" i="1"/>
  <c r="B17268" i="1"/>
  <c r="C17268" i="1"/>
  <c r="A356" i="1"/>
  <c r="B356" i="1"/>
  <c r="C356" i="1"/>
  <c r="A355" i="1"/>
  <c r="B355" i="1"/>
  <c r="C355" i="1"/>
  <c r="A6091" i="1"/>
  <c r="B6091" i="1"/>
  <c r="C6091" i="1"/>
  <c r="A13372" i="1"/>
  <c r="B13372" i="1"/>
  <c r="C13372" i="1"/>
  <c r="A22997" i="1"/>
  <c r="B22997" i="1"/>
  <c r="C22997" i="1"/>
  <c r="A2767" i="1"/>
  <c r="B2767" i="1"/>
  <c r="C2767" i="1"/>
  <c r="A24959" i="1"/>
  <c r="B24959" i="1"/>
  <c r="C24959" i="1"/>
  <c r="A13360" i="1"/>
  <c r="B13360" i="1"/>
  <c r="C13360" i="1"/>
  <c r="A22587" i="1"/>
  <c r="B22587" i="1"/>
  <c r="C22587" i="1"/>
  <c r="A10445" i="1"/>
  <c r="B10445" i="1"/>
  <c r="C10445" i="1"/>
  <c r="A4384" i="1"/>
  <c r="B4384" i="1"/>
  <c r="C4384" i="1"/>
  <c r="A22545" i="1"/>
  <c r="B22545" i="1"/>
  <c r="C22545" i="1"/>
  <c r="A9774" i="1"/>
  <c r="B9774" i="1"/>
  <c r="C9774" i="1"/>
  <c r="A6606" i="1"/>
  <c r="B6606" i="1"/>
  <c r="C6606" i="1"/>
  <c r="A22535" i="1"/>
  <c r="B22535" i="1"/>
  <c r="C22535" i="1"/>
  <c r="A16203" i="1"/>
  <c r="B16203" i="1"/>
  <c r="C16203" i="1"/>
  <c r="A22664" i="1"/>
  <c r="B22664" i="1"/>
  <c r="C22664" i="1"/>
  <c r="A22243" i="1"/>
  <c r="B22243" i="1"/>
  <c r="C22243" i="1"/>
  <c r="A9203" i="1"/>
  <c r="B9203" i="1"/>
  <c r="C9203" i="1"/>
  <c r="A9458" i="1"/>
  <c r="B9458" i="1"/>
  <c r="C9458" i="1"/>
  <c r="A23791" i="1"/>
  <c r="B23791" i="1"/>
  <c r="C23791" i="1"/>
  <c r="A22653" i="1"/>
  <c r="B22653" i="1"/>
  <c r="C22653" i="1"/>
  <c r="A22444" i="1"/>
  <c r="B22444" i="1"/>
  <c r="C22444" i="1"/>
  <c r="A22227" i="1"/>
  <c r="B22227" i="1"/>
  <c r="C22227" i="1"/>
  <c r="A11645" i="1"/>
  <c r="B11645" i="1"/>
  <c r="C11645" i="1"/>
  <c r="A5489" i="1"/>
  <c r="B5489" i="1"/>
  <c r="C5489" i="1"/>
  <c r="A5497" i="1"/>
  <c r="B5497" i="1"/>
  <c r="C5497" i="1"/>
  <c r="A19974" i="1"/>
  <c r="B19974" i="1"/>
  <c r="C19974" i="1"/>
  <c r="A18176" i="1"/>
  <c r="B18176" i="1"/>
  <c r="C18176" i="1"/>
  <c r="A18177" i="1"/>
  <c r="B18177" i="1"/>
  <c r="C18177" i="1"/>
  <c r="A14790" i="1"/>
  <c r="B14790" i="1"/>
  <c r="C14790" i="1"/>
  <c r="A868" i="1"/>
  <c r="C868" i="1"/>
  <c r="A828" i="1"/>
  <c r="B828" i="1"/>
  <c r="C828" i="1"/>
  <c r="A20123" i="1"/>
  <c r="B20123" i="1"/>
  <c r="C20123" i="1"/>
  <c r="A10191" i="1"/>
  <c r="B10191" i="1"/>
  <c r="C10191" i="1"/>
  <c r="A414" i="1"/>
  <c r="B414" i="1"/>
  <c r="C414" i="1"/>
  <c r="A14890" i="1"/>
  <c r="B14890" i="1"/>
  <c r="C14890" i="1"/>
  <c r="A12731" i="1"/>
  <c r="B12731" i="1"/>
  <c r="C12731" i="1"/>
  <c r="A21376" i="1"/>
  <c r="B21376" i="1"/>
  <c r="C21376" i="1"/>
  <c r="A21382" i="1"/>
  <c r="B21382" i="1"/>
  <c r="C21382" i="1"/>
  <c r="A21377" i="1"/>
  <c r="B21377" i="1"/>
  <c r="C21377" i="1"/>
  <c r="A21384" i="1"/>
  <c r="B21384" i="1"/>
  <c r="C21384" i="1"/>
  <c r="A21383" i="1"/>
  <c r="B21383" i="1"/>
  <c r="C21383" i="1"/>
  <c r="A2821" i="1"/>
  <c r="B2821" i="1"/>
  <c r="C2821" i="1"/>
  <c r="A1749" i="1"/>
  <c r="B1749" i="1"/>
  <c r="C1749" i="1"/>
  <c r="A1500" i="1"/>
  <c r="B1500" i="1"/>
  <c r="C1500" i="1"/>
  <c r="A23687" i="1"/>
  <c r="B23687" i="1"/>
  <c r="C23687" i="1"/>
  <c r="A23686" i="1"/>
  <c r="B23686" i="1"/>
  <c r="C23686" i="1"/>
  <c r="A23683" i="1"/>
  <c r="B23683" i="1"/>
  <c r="C23683" i="1"/>
  <c r="A19350" i="1"/>
  <c r="B19350" i="1"/>
  <c r="C19350" i="1"/>
  <c r="A11380" i="1"/>
  <c r="B11380" i="1"/>
  <c r="C11380" i="1"/>
  <c r="A19849" i="1"/>
  <c r="B19849" i="1"/>
  <c r="C19849" i="1"/>
  <c r="A19252" i="1"/>
  <c r="B19252" i="1"/>
  <c r="C19252" i="1"/>
  <c r="A6892" i="1"/>
  <c r="B6892" i="1"/>
  <c r="C6892" i="1"/>
  <c r="A21611" i="1"/>
  <c r="B21611" i="1"/>
  <c r="C21611" i="1"/>
  <c r="A1288" i="1"/>
  <c r="B1288" i="1"/>
  <c r="C1288" i="1"/>
  <c r="A1100" i="1"/>
  <c r="B1100" i="1"/>
  <c r="C1100" i="1"/>
  <c r="A16013" i="1"/>
  <c r="B16013" i="1"/>
  <c r="C16013" i="1"/>
  <c r="A2819" i="1"/>
  <c r="B2819" i="1"/>
  <c r="C2819" i="1"/>
  <c r="A516" i="1"/>
  <c r="B516" i="1"/>
  <c r="C516" i="1"/>
  <c r="A25468" i="1"/>
  <c r="B25468" i="1"/>
  <c r="C25468" i="1"/>
  <c r="A19087" i="1"/>
  <c r="B19087" i="1"/>
  <c r="C19087" i="1"/>
  <c r="A3176" i="1"/>
  <c r="B3176" i="1"/>
  <c r="C3176" i="1"/>
  <c r="A9506" i="1"/>
  <c r="B9506" i="1"/>
  <c r="C9506" i="1"/>
  <c r="A1465" i="1"/>
  <c r="B1465" i="1"/>
  <c r="C1465" i="1"/>
  <c r="A20552" i="1"/>
  <c r="B20552" i="1"/>
  <c r="C20552" i="1"/>
  <c r="A11590" i="1"/>
  <c r="B11590" i="1"/>
  <c r="C11590" i="1"/>
  <c r="A9434" i="1"/>
  <c r="B9434" i="1"/>
  <c r="C9434" i="1"/>
  <c r="A13421" i="1"/>
  <c r="B13421" i="1"/>
  <c r="C13421" i="1"/>
  <c r="A19011" i="1"/>
  <c r="B19011" i="1"/>
  <c r="C19011" i="1"/>
  <c r="A1670" i="1"/>
  <c r="B1670" i="1"/>
  <c r="C1670" i="1"/>
  <c r="A13403" i="1"/>
  <c r="B13403" i="1"/>
  <c r="C13403" i="1"/>
  <c r="A19488" i="1"/>
  <c r="B19488" i="1"/>
  <c r="C19488" i="1"/>
  <c r="A19888" i="1"/>
  <c r="B19888" i="1"/>
  <c r="C19888" i="1"/>
  <c r="A18037" i="1"/>
  <c r="B18037" i="1"/>
  <c r="C18037" i="1"/>
  <c r="A20620" i="1"/>
  <c r="B20620" i="1"/>
  <c r="C20620" i="1"/>
  <c r="A136" i="1"/>
  <c r="B136" i="1"/>
  <c r="C136" i="1"/>
  <c r="A135" i="1"/>
  <c r="B135" i="1"/>
  <c r="C135" i="1"/>
  <c r="A1997" i="1"/>
  <c r="B1997" i="1"/>
  <c r="C1997" i="1"/>
  <c r="A1996" i="1"/>
  <c r="B1996" i="1"/>
  <c r="C1996" i="1"/>
  <c r="A5275" i="1"/>
  <c r="B5275" i="1"/>
  <c r="C5275" i="1"/>
  <c r="A23226" i="1"/>
  <c r="B23226" i="1"/>
  <c r="C23226" i="1"/>
  <c r="A8340" i="1"/>
  <c r="B8340" i="1"/>
  <c r="C8340" i="1"/>
  <c r="A24453" i="1"/>
  <c r="B24453" i="1"/>
  <c r="C24453" i="1"/>
  <c r="A13548" i="1"/>
  <c r="B13548" i="1"/>
  <c r="C13548" i="1"/>
  <c r="A13551" i="1"/>
  <c r="B13551" i="1"/>
  <c r="C13551" i="1"/>
  <c r="A13549" i="1"/>
  <c r="B13549" i="1"/>
  <c r="C13549" i="1"/>
  <c r="A13595" i="1"/>
  <c r="B13595" i="1"/>
  <c r="C13595" i="1"/>
  <c r="A13550" i="1"/>
  <c r="B13550" i="1"/>
  <c r="C13550" i="1"/>
  <c r="A3801" i="1"/>
  <c r="B3801" i="1"/>
  <c r="C3801" i="1"/>
  <c r="A2063" i="1"/>
  <c r="B2063" i="1"/>
  <c r="C2063" i="1"/>
  <c r="A2062" i="1"/>
  <c r="B2062" i="1"/>
  <c r="C2062" i="1"/>
  <c r="A2071" i="1"/>
  <c r="B2071" i="1"/>
  <c r="C2071" i="1"/>
  <c r="A2066" i="1"/>
  <c r="B2066" i="1"/>
  <c r="C2066" i="1"/>
  <c r="A19460" i="1"/>
  <c r="B19460" i="1"/>
  <c r="C19460" i="1"/>
  <c r="A9371" i="1"/>
  <c r="B9371" i="1"/>
  <c r="C9371" i="1"/>
  <c r="A10400" i="1"/>
  <c r="B10400" i="1"/>
  <c r="C10400" i="1"/>
  <c r="A21737" i="1"/>
  <c r="B21737" i="1"/>
  <c r="C21737" i="1"/>
  <c r="A24102" i="1"/>
  <c r="B24102" i="1"/>
  <c r="C24102" i="1"/>
  <c r="A5456" i="1"/>
  <c r="B5456" i="1"/>
  <c r="C5456" i="1"/>
  <c r="A7364" i="1"/>
  <c r="B7364" i="1"/>
  <c r="C7364" i="1"/>
  <c r="A7363" i="1"/>
  <c r="B7363" i="1"/>
  <c r="C7363" i="1"/>
  <c r="A12757" i="1"/>
  <c r="B12757" i="1"/>
  <c r="C12757" i="1"/>
  <c r="A21036" i="1"/>
  <c r="B21036" i="1"/>
  <c r="C21036" i="1"/>
  <c r="A3916" i="1"/>
  <c r="B3916" i="1"/>
  <c r="C3916" i="1"/>
  <c r="A3917" i="1"/>
  <c r="B3917" i="1"/>
  <c r="C3917" i="1"/>
  <c r="A341" i="1"/>
  <c r="B341" i="1"/>
  <c r="C341" i="1"/>
  <c r="A21631" i="1"/>
  <c r="B21631" i="1"/>
  <c r="C21631" i="1"/>
  <c r="A24880" i="1"/>
  <c r="B24880" i="1"/>
  <c r="C24880" i="1"/>
  <c r="A20588" i="1"/>
  <c r="B20588" i="1"/>
  <c r="C20588" i="1"/>
  <c r="A1538" i="1"/>
  <c r="B1538" i="1"/>
  <c r="C1538" i="1"/>
  <c r="A20522" i="1"/>
  <c r="B20522" i="1"/>
  <c r="C20522" i="1"/>
  <c r="A14523" i="1"/>
  <c r="B14523" i="1"/>
  <c r="C14523" i="1"/>
  <c r="A12143" i="1"/>
  <c r="B12143" i="1"/>
  <c r="C12143" i="1"/>
  <c r="A3775" i="1"/>
  <c r="B3775" i="1"/>
  <c r="C3775" i="1"/>
  <c r="A11894" i="1"/>
  <c r="B11894" i="1"/>
  <c r="C11894" i="1"/>
  <c r="A6215" i="1"/>
  <c r="B6215" i="1"/>
  <c r="C6215" i="1"/>
  <c r="A24267" i="1"/>
  <c r="B24267" i="1"/>
  <c r="C24267" i="1"/>
  <c r="A17257" i="1"/>
  <c r="B17257" i="1"/>
  <c r="C17257" i="1"/>
  <c r="A4030" i="1"/>
  <c r="B4030" i="1"/>
  <c r="C4030" i="1"/>
  <c r="A17641" i="1"/>
  <c r="B17641" i="1"/>
  <c r="C17641" i="1"/>
  <c r="A13480" i="1"/>
  <c r="B13480" i="1"/>
  <c r="C13480" i="1"/>
  <c r="A23513" i="1"/>
  <c r="B23513" i="1"/>
  <c r="C23513" i="1"/>
  <c r="A3041" i="1"/>
  <c r="B3041" i="1"/>
  <c r="C3041" i="1"/>
  <c r="A4135" i="1"/>
  <c r="B4135" i="1"/>
  <c r="C4135" i="1"/>
  <c r="A3946" i="1"/>
  <c r="B3946" i="1"/>
  <c r="C3946" i="1"/>
  <c r="A3948" i="1"/>
  <c r="B3948" i="1"/>
  <c r="C3948" i="1"/>
  <c r="A3947" i="1"/>
  <c r="B3947" i="1"/>
  <c r="C3947" i="1"/>
  <c r="A24253" i="1"/>
  <c r="B24253" i="1"/>
  <c r="C24253" i="1"/>
  <c r="A12473" i="1"/>
  <c r="B12473" i="1"/>
  <c r="C12473" i="1"/>
  <c r="A15246" i="1"/>
  <c r="B15246" i="1"/>
  <c r="C15246" i="1"/>
  <c r="A3824" i="1"/>
  <c r="B3824" i="1"/>
  <c r="C3824" i="1"/>
  <c r="A7520" i="1"/>
  <c r="B7520" i="1"/>
  <c r="C7520" i="1"/>
  <c r="A1910" i="1"/>
  <c r="B1910" i="1"/>
  <c r="C1910" i="1"/>
  <c r="A6780" i="1"/>
  <c r="B6780" i="1"/>
  <c r="C6780" i="1"/>
  <c r="A22633" i="1"/>
  <c r="B22633" i="1"/>
  <c r="C22633" i="1"/>
  <c r="A22595" i="1"/>
  <c r="B22595" i="1"/>
  <c r="C22595" i="1"/>
  <c r="A25517" i="1"/>
  <c r="B25517" i="1"/>
  <c r="C25517" i="1"/>
  <c r="A22178" i="1"/>
  <c r="B22178" i="1"/>
  <c r="C22178" i="1"/>
  <c r="A12803" i="1"/>
  <c r="B12803" i="1"/>
  <c r="C12803" i="1"/>
  <c r="A13423" i="1"/>
  <c r="B13423" i="1"/>
  <c r="C13423" i="1"/>
  <c r="A17617" i="1"/>
  <c r="B17617" i="1"/>
  <c r="C17617" i="1"/>
  <c r="A18004" i="1"/>
  <c r="B18004" i="1"/>
  <c r="C18004" i="1"/>
  <c r="A4435" i="1"/>
  <c r="B4435" i="1"/>
  <c r="C4435" i="1"/>
  <c r="A6527" i="1"/>
  <c r="B6527" i="1"/>
  <c r="C6527" i="1"/>
  <c r="A248" i="1"/>
  <c r="B248" i="1"/>
  <c r="C248" i="1"/>
  <c r="A9779" i="1"/>
  <c r="B9779" i="1"/>
  <c r="C9779" i="1"/>
  <c r="A7925" i="1"/>
  <c r="B7925" i="1"/>
  <c r="C7925" i="1"/>
  <c r="A18682" i="1"/>
  <c r="B18682" i="1"/>
  <c r="C18682" i="1"/>
  <c r="A1044" i="1"/>
  <c r="B1044" i="1"/>
  <c r="C1044" i="1"/>
  <c r="A2878" i="1"/>
  <c r="B2878" i="1"/>
  <c r="C2878" i="1"/>
  <c r="A24597" i="1"/>
  <c r="B24597" i="1"/>
  <c r="C24597" i="1"/>
  <c r="A8321" i="1"/>
  <c r="B8321" i="1"/>
  <c r="C8321" i="1"/>
  <c r="A14403" i="1"/>
  <c r="B14403" i="1"/>
  <c r="C14403" i="1"/>
  <c r="A24773" i="1"/>
  <c r="B24773" i="1"/>
  <c r="C24773" i="1"/>
  <c r="A5379" i="1"/>
  <c r="B5379" i="1"/>
  <c r="C5379" i="1"/>
  <c r="A3577" i="1"/>
  <c r="B3577" i="1"/>
  <c r="C3577" i="1"/>
  <c r="A20287" i="1"/>
  <c r="B20287" i="1"/>
  <c r="C20287" i="1"/>
  <c r="A3945" i="1"/>
  <c r="B3945" i="1"/>
  <c r="C3945" i="1"/>
  <c r="A290" i="1"/>
  <c r="B290" i="1"/>
  <c r="C290" i="1"/>
  <c r="A10661" i="1"/>
  <c r="B10661" i="1"/>
  <c r="C10661" i="1"/>
  <c r="A12485" i="1"/>
  <c r="B12485" i="1"/>
  <c r="C12485" i="1"/>
  <c r="A6640" i="1"/>
  <c r="B6640" i="1"/>
  <c r="C6640" i="1"/>
  <c r="A2082" i="1"/>
  <c r="B2082" i="1"/>
  <c r="C2082" i="1"/>
  <c r="A10683" i="1"/>
  <c r="B10683" i="1"/>
  <c r="C10683" i="1"/>
  <c r="A19933" i="1"/>
  <c r="B19933" i="1"/>
  <c r="C19933" i="1"/>
  <c r="A16596" i="1"/>
  <c r="B16596" i="1"/>
  <c r="C16596" i="1"/>
  <c r="A10243" i="1"/>
  <c r="B10243" i="1"/>
  <c r="C10243" i="1"/>
  <c r="A13707" i="1"/>
  <c r="B13707" i="1"/>
  <c r="C13707" i="1"/>
  <c r="A13706" i="1"/>
  <c r="B13706" i="1"/>
  <c r="C13706" i="1"/>
  <c r="A880" i="1"/>
  <c r="C880" i="1"/>
  <c r="A5511" i="1"/>
  <c r="B5511" i="1"/>
  <c r="C5511" i="1"/>
  <c r="A5512" i="1"/>
  <c r="B5512" i="1"/>
  <c r="C5512" i="1"/>
  <c r="A24230" i="1"/>
  <c r="B24230" i="1"/>
  <c r="C24230" i="1"/>
  <c r="A7594" i="1"/>
  <c r="B7594" i="1"/>
  <c r="C7594" i="1"/>
  <c r="A12121" i="1"/>
  <c r="B12121" i="1"/>
  <c r="C12121" i="1"/>
  <c r="A21859" i="1"/>
  <c r="B21859" i="1"/>
  <c r="C21859" i="1"/>
  <c r="A15115" i="1"/>
  <c r="B15115" i="1"/>
  <c r="C15115" i="1"/>
  <c r="A14820" i="1"/>
  <c r="B14820" i="1"/>
  <c r="C14820" i="1"/>
  <c r="A2531" i="1"/>
  <c r="B2531" i="1"/>
  <c r="C2531" i="1"/>
  <c r="A19818" i="1"/>
  <c r="B19818" i="1"/>
  <c r="C19818" i="1"/>
  <c r="A25011" i="1"/>
  <c r="B25011" i="1"/>
  <c r="C25011" i="1"/>
  <c r="A19992" i="1"/>
  <c r="B19992" i="1"/>
  <c r="C19992" i="1"/>
  <c r="A8351" i="1"/>
  <c r="B8351" i="1"/>
  <c r="C8351" i="1"/>
  <c r="A8350" i="1"/>
  <c r="B8350" i="1"/>
  <c r="C8350" i="1"/>
  <c r="A8349" i="1"/>
  <c r="B8349" i="1"/>
  <c r="C8349" i="1"/>
  <c r="A8356" i="1"/>
  <c r="B8356" i="1"/>
  <c r="C8356" i="1"/>
  <c r="A18149" i="1"/>
  <c r="B18149" i="1"/>
  <c r="C18149" i="1"/>
  <c r="A5325" i="1"/>
  <c r="B5325" i="1"/>
  <c r="C5325" i="1"/>
  <c r="A17637" i="1"/>
  <c r="B17637" i="1"/>
  <c r="C17637" i="1"/>
  <c r="A18225" i="1"/>
  <c r="B18225" i="1"/>
  <c r="C18225" i="1"/>
  <c r="A8931" i="1"/>
  <c r="B8931" i="1"/>
  <c r="C8931" i="1"/>
  <c r="A2514" i="1"/>
  <c r="B2514" i="1"/>
  <c r="C2514" i="1"/>
  <c r="A2326" i="1"/>
  <c r="B2326" i="1"/>
  <c r="C2326" i="1"/>
  <c r="A2515" i="1"/>
  <c r="B2515" i="1"/>
  <c r="C2515" i="1"/>
  <c r="A11893" i="1"/>
  <c r="B11893" i="1"/>
  <c r="C11893" i="1"/>
  <c r="A3774" i="1"/>
  <c r="B3774" i="1"/>
  <c r="C3774" i="1"/>
  <c r="A768" i="1"/>
  <c r="B768" i="1"/>
  <c r="C768" i="1"/>
  <c r="A10054" i="1"/>
  <c r="B10054" i="1"/>
  <c r="C10054" i="1"/>
  <c r="A16836" i="1"/>
  <c r="B16836" i="1"/>
  <c r="C16836" i="1"/>
  <c r="A7096" i="1"/>
  <c r="B7096" i="1"/>
  <c r="C7096" i="1"/>
  <c r="A7073" i="1"/>
  <c r="B7073" i="1"/>
  <c r="C7073" i="1"/>
  <c r="A9582" i="1"/>
  <c r="B9582" i="1"/>
  <c r="C9582" i="1"/>
  <c r="A9601" i="1"/>
  <c r="B9601" i="1"/>
  <c r="C9601" i="1"/>
  <c r="A4035" i="1"/>
  <c r="B4035" i="1"/>
  <c r="C4035" i="1"/>
  <c r="A12722" i="1"/>
  <c r="B12722" i="1"/>
  <c r="C12722" i="1"/>
  <c r="A19352" i="1"/>
  <c r="B19352" i="1"/>
  <c r="C19352" i="1"/>
  <c r="A22934" i="1"/>
  <c r="B22934" i="1"/>
  <c r="C22934" i="1"/>
  <c r="A6075" i="1"/>
  <c r="B6075" i="1"/>
  <c r="C6075" i="1"/>
  <c r="A13371" i="1"/>
  <c r="B13371" i="1"/>
  <c r="C13371" i="1"/>
  <c r="A22996" i="1"/>
  <c r="B22996" i="1"/>
  <c r="C22996" i="1"/>
  <c r="A2744" i="1"/>
  <c r="B2744" i="1"/>
  <c r="C2744" i="1"/>
  <c r="A24961" i="1"/>
  <c r="B24961" i="1"/>
  <c r="C24961" i="1"/>
  <c r="A13361" i="1"/>
  <c r="B13361" i="1"/>
  <c r="C13361" i="1"/>
  <c r="A22588" i="1"/>
  <c r="B22588" i="1"/>
  <c r="C22588" i="1"/>
  <c r="A10444" i="1"/>
  <c r="B10444" i="1"/>
  <c r="C10444" i="1"/>
  <c r="A4383" i="1"/>
  <c r="B4383" i="1"/>
  <c r="C4383" i="1"/>
  <c r="A22546" i="1"/>
  <c r="B22546" i="1"/>
  <c r="C22546" i="1"/>
  <c r="A6600" i="1"/>
  <c r="B6600" i="1"/>
  <c r="C6600" i="1"/>
  <c r="A22517" i="1"/>
  <c r="B22517" i="1"/>
  <c r="C22517" i="1"/>
  <c r="A16201" i="1"/>
  <c r="B16201" i="1"/>
  <c r="C16201" i="1"/>
  <c r="A22665" i="1"/>
  <c r="B22665" i="1"/>
  <c r="C22665" i="1"/>
  <c r="A22244" i="1"/>
  <c r="B22244" i="1"/>
  <c r="C22244" i="1"/>
  <c r="A9197" i="1"/>
  <c r="B9197" i="1"/>
  <c r="C9197" i="1"/>
  <c r="A9460" i="1"/>
  <c r="B9460" i="1"/>
  <c r="C9460" i="1"/>
  <c r="A23786" i="1"/>
  <c r="B23786" i="1"/>
  <c r="C23786" i="1"/>
  <c r="A22652" i="1"/>
  <c r="B22652" i="1"/>
  <c r="C22652" i="1"/>
  <c r="A22424" i="1"/>
  <c r="B22424" i="1"/>
  <c r="C22424" i="1"/>
  <c r="A11745" i="1"/>
  <c r="B11745" i="1"/>
  <c r="C11745" i="1"/>
  <c r="A11741" i="1"/>
  <c r="B11741" i="1"/>
  <c r="C11741" i="1"/>
  <c r="A4018" i="1"/>
  <c r="B4018" i="1"/>
  <c r="C4018" i="1"/>
  <c r="A1926" i="1"/>
  <c r="B1926" i="1"/>
  <c r="C1926" i="1"/>
  <c r="A5309" i="1"/>
  <c r="B5309" i="1"/>
  <c r="C5309" i="1"/>
  <c r="A9008" i="1"/>
  <c r="B9008" i="1"/>
  <c r="C9008" i="1"/>
  <c r="A7413" i="1"/>
  <c r="B7413" i="1"/>
  <c r="C7413" i="1"/>
  <c r="A16670" i="1"/>
  <c r="B16670" i="1"/>
  <c r="C16670" i="1"/>
  <c r="A6924" i="1"/>
  <c r="B6924" i="1"/>
  <c r="C6924" i="1"/>
  <c r="A15461" i="1"/>
  <c r="B15461" i="1"/>
  <c r="C15461" i="1"/>
  <c r="A15460" i="1"/>
  <c r="B15460" i="1"/>
  <c r="C15460" i="1"/>
  <c r="A11916" i="1"/>
  <c r="B11916" i="1"/>
  <c r="C11916" i="1"/>
  <c r="A5633" i="1"/>
  <c r="B5633" i="1"/>
  <c r="C5633" i="1"/>
  <c r="A6521" i="1"/>
  <c r="B6521" i="1"/>
  <c r="C6521" i="1"/>
  <c r="A6535" i="1"/>
  <c r="B6535" i="1"/>
  <c r="C6535" i="1"/>
  <c r="A9586" i="1"/>
  <c r="B9586" i="1"/>
  <c r="C9586" i="1"/>
  <c r="A9598" i="1"/>
  <c r="B9598" i="1"/>
  <c r="C9598" i="1"/>
  <c r="A9594" i="1"/>
  <c r="B9594" i="1"/>
  <c r="C9594" i="1"/>
  <c r="A9605" i="1"/>
  <c r="B9605" i="1"/>
  <c r="C9605" i="1"/>
  <c r="A6592" i="1"/>
  <c r="B6592" i="1"/>
  <c r="C6592" i="1"/>
  <c r="A5557" i="1"/>
  <c r="B5557" i="1"/>
  <c r="C5557" i="1"/>
  <c r="A5561" i="1"/>
  <c r="B5561" i="1"/>
  <c r="C5561" i="1"/>
  <c r="A10164" i="1"/>
  <c r="B10164" i="1"/>
  <c r="C10164" i="1"/>
  <c r="A10161" i="1"/>
  <c r="B10161" i="1"/>
  <c r="C10161" i="1"/>
  <c r="A25562" i="1"/>
  <c r="B25562" i="1"/>
  <c r="C25562" i="1"/>
  <c r="A2517" i="1"/>
  <c r="B2517" i="1"/>
  <c r="C2517" i="1"/>
  <c r="A6513" i="1"/>
  <c r="B6513" i="1"/>
  <c r="C6513" i="1"/>
  <c r="A11428" i="1"/>
  <c r="B11428" i="1"/>
  <c r="C11428" i="1"/>
  <c r="A11418" i="1"/>
  <c r="B11418" i="1"/>
  <c r="C11418" i="1"/>
  <c r="A17169" i="1"/>
  <c r="B17169" i="1"/>
  <c r="C17169" i="1"/>
  <c r="A23506" i="1"/>
  <c r="B23506" i="1"/>
  <c r="C23506" i="1"/>
  <c r="A23378" i="1"/>
  <c r="B23378" i="1"/>
  <c r="C23378" i="1"/>
  <c r="A23475" i="1"/>
  <c r="B23475" i="1"/>
  <c r="C23475" i="1"/>
  <c r="A3810" i="1"/>
  <c r="B3810" i="1"/>
  <c r="C3810" i="1"/>
  <c r="A17004" i="1"/>
  <c r="B17004" i="1"/>
  <c r="C17004" i="1"/>
  <c r="A17005" i="1"/>
  <c r="B17005" i="1"/>
  <c r="C17005" i="1"/>
  <c r="A2544" i="1"/>
  <c r="B2544" i="1"/>
  <c r="C2544" i="1"/>
  <c r="A2545" i="1"/>
  <c r="B2545" i="1"/>
  <c r="C2545" i="1"/>
  <c r="A1675" i="1"/>
  <c r="B1675" i="1"/>
  <c r="C1675" i="1"/>
  <c r="A17453" i="1"/>
  <c r="B17453" i="1"/>
  <c r="C17453" i="1"/>
  <c r="A15604" i="1"/>
  <c r="B15604" i="1"/>
  <c r="C15604" i="1"/>
  <c r="A4265" i="1"/>
  <c r="B4265" i="1"/>
  <c r="C4265" i="1"/>
  <c r="A4266" i="1"/>
  <c r="B4266" i="1"/>
  <c r="C4266" i="1"/>
  <c r="A1396" i="1"/>
  <c r="B1396" i="1"/>
  <c r="C1396" i="1"/>
  <c r="A23361" i="1"/>
  <c r="B23361" i="1"/>
  <c r="C23361" i="1"/>
  <c r="A23364" i="1"/>
  <c r="B23364" i="1"/>
  <c r="C23364" i="1"/>
  <c r="A23359" i="1"/>
  <c r="B23359" i="1"/>
  <c r="C23359" i="1"/>
  <c r="A23401" i="1"/>
  <c r="B23401" i="1"/>
  <c r="C23401" i="1"/>
  <c r="A24285" i="1"/>
  <c r="B24285" i="1"/>
  <c r="C24285" i="1"/>
  <c r="A24286" i="1"/>
  <c r="B24286" i="1"/>
  <c r="C24286" i="1"/>
  <c r="A23402" i="1"/>
  <c r="B23402" i="1"/>
  <c r="C23402" i="1"/>
  <c r="A13607" i="1"/>
  <c r="B13607" i="1"/>
  <c r="C13607" i="1"/>
  <c r="A11438" i="1"/>
  <c r="B11438" i="1"/>
  <c r="C11438" i="1"/>
  <c r="A25372" i="1"/>
  <c r="B25372" i="1"/>
  <c r="C25372" i="1"/>
  <c r="A6529" i="1"/>
  <c r="B6529" i="1"/>
  <c r="C6529" i="1"/>
  <c r="A6564" i="1"/>
  <c r="B6564" i="1"/>
  <c r="C6564" i="1"/>
  <c r="A15074" i="1"/>
  <c r="B15074" i="1"/>
  <c r="C15074" i="1"/>
  <c r="A15073" i="1"/>
  <c r="B15073" i="1"/>
  <c r="C15073" i="1"/>
  <c r="A20000" i="1"/>
  <c r="B20000" i="1"/>
  <c r="C20000" i="1"/>
  <c r="A18426" i="1"/>
  <c r="B18426" i="1"/>
  <c r="C18426" i="1"/>
  <c r="A18146" i="1"/>
  <c r="B18146" i="1"/>
  <c r="C18146" i="1"/>
  <c r="A25653" i="1"/>
  <c r="B25653" i="1"/>
  <c r="C25653" i="1"/>
  <c r="A9084" i="1"/>
  <c r="B9084" i="1"/>
  <c r="C9084" i="1"/>
  <c r="A9055" i="1"/>
  <c r="B9055" i="1"/>
  <c r="C9055" i="1"/>
  <c r="A9058" i="1"/>
  <c r="B9058" i="1"/>
  <c r="C9058" i="1"/>
  <c r="A9057" i="1"/>
  <c r="B9057" i="1"/>
  <c r="C9057" i="1"/>
  <c r="A9047" i="1"/>
  <c r="B9047" i="1"/>
  <c r="C9047" i="1"/>
  <c r="A9048" i="1"/>
  <c r="B9048" i="1"/>
  <c r="C9048" i="1"/>
  <c r="A9070" i="1"/>
  <c r="B9070" i="1"/>
  <c r="C9070" i="1"/>
  <c r="A2652" i="1"/>
  <c r="B2652" i="1"/>
  <c r="C2652" i="1"/>
  <c r="A7612" i="1"/>
  <c r="B7612" i="1"/>
  <c r="C7612" i="1"/>
  <c r="A2635" i="1"/>
  <c r="B2635" i="1"/>
  <c r="C2635" i="1"/>
  <c r="A23505" i="1"/>
  <c r="B23505" i="1"/>
  <c r="C23505" i="1"/>
  <c r="A3161" i="1"/>
  <c r="B3161" i="1"/>
  <c r="C3161" i="1"/>
  <c r="A4118" i="1"/>
  <c r="B4118" i="1"/>
  <c r="C4118" i="1"/>
  <c r="A576" i="1"/>
  <c r="B576" i="1"/>
  <c r="C576" i="1"/>
  <c r="A23657" i="1"/>
  <c r="B23657" i="1"/>
  <c r="C23657" i="1"/>
  <c r="A23640" i="1"/>
  <c r="B23640" i="1"/>
  <c r="C23640" i="1"/>
  <c r="A20546" i="1"/>
  <c r="B20546" i="1"/>
  <c r="C20546" i="1"/>
  <c r="A20509" i="1"/>
  <c r="B20509" i="1"/>
  <c r="C20509" i="1"/>
  <c r="A23838" i="1"/>
  <c r="B23838" i="1"/>
  <c r="C23838" i="1"/>
  <c r="A25411" i="1"/>
  <c r="B25411" i="1"/>
  <c r="C25411" i="1"/>
  <c r="A19480" i="1"/>
  <c r="B19480" i="1"/>
  <c r="C19480" i="1"/>
  <c r="A256" i="1"/>
  <c r="B256" i="1"/>
  <c r="C256" i="1"/>
  <c r="A19108" i="1"/>
  <c r="B19108" i="1"/>
  <c r="C19108" i="1"/>
  <c r="A14396" i="1"/>
  <c r="B14396" i="1"/>
  <c r="C14396" i="1"/>
  <c r="A8837" i="1"/>
  <c r="B8837" i="1"/>
  <c r="C8837" i="1"/>
  <c r="A6767" i="1"/>
  <c r="B6767" i="1"/>
  <c r="C6767" i="1"/>
  <c r="A6771" i="1"/>
  <c r="B6771" i="1"/>
  <c r="C6771" i="1"/>
  <c r="A2567" i="1"/>
  <c r="B2567" i="1"/>
  <c r="C2567" i="1"/>
  <c r="A1536" i="1"/>
  <c r="B1536" i="1"/>
  <c r="C1536" i="1"/>
  <c r="A15636" i="1"/>
  <c r="B15636" i="1"/>
  <c r="C15636" i="1"/>
  <c r="A1468" i="1"/>
  <c r="B1468" i="1"/>
  <c r="C1468" i="1"/>
  <c r="A1469" i="1"/>
  <c r="B1469" i="1"/>
  <c r="C1469" i="1"/>
  <c r="A9059" i="1"/>
  <c r="B9059" i="1"/>
  <c r="C9059" i="1"/>
  <c r="A3990" i="1"/>
  <c r="B3990" i="1"/>
  <c r="C3990" i="1"/>
  <c r="A10727" i="1"/>
  <c r="B10727" i="1"/>
  <c r="C10727" i="1"/>
  <c r="A7673" i="1"/>
  <c r="B7673" i="1"/>
  <c r="C7673" i="1"/>
  <c r="A23327" i="1"/>
  <c r="B23327" i="1"/>
  <c r="C23327" i="1"/>
  <c r="A6751" i="1"/>
  <c r="B6751" i="1"/>
  <c r="C6751" i="1"/>
  <c r="A19836" i="1"/>
  <c r="B19836" i="1"/>
  <c r="C19836" i="1"/>
  <c r="A2547" i="1"/>
  <c r="B2547" i="1"/>
  <c r="C2547" i="1"/>
  <c r="A6522" i="1"/>
  <c r="B6522" i="1"/>
  <c r="C6522" i="1"/>
  <c r="A1427" i="1"/>
  <c r="B1427" i="1"/>
  <c r="C1427" i="1"/>
  <c r="A21484" i="1"/>
  <c r="B21484" i="1"/>
  <c r="C21484" i="1"/>
  <c r="A24521" i="1"/>
  <c r="B24521" i="1"/>
  <c r="C24521" i="1"/>
  <c r="A14868" i="1"/>
  <c r="B14868" i="1"/>
  <c r="C14868" i="1"/>
  <c r="A18679" i="1"/>
  <c r="B18679" i="1"/>
  <c r="C18679" i="1"/>
  <c r="A22963" i="1"/>
  <c r="B22963" i="1"/>
  <c r="C22963" i="1"/>
  <c r="A20352" i="1"/>
  <c r="B20352" i="1"/>
  <c r="C20352" i="1"/>
  <c r="A20830" i="1"/>
  <c r="B20830" i="1"/>
  <c r="C20830" i="1"/>
  <c r="A3459" i="1"/>
  <c r="B3459" i="1"/>
  <c r="C3459" i="1"/>
  <c r="A23126" i="1"/>
  <c r="B23126" i="1"/>
  <c r="C23126" i="1"/>
  <c r="A3018" i="1"/>
  <c r="B3018" i="1"/>
  <c r="C3018" i="1"/>
  <c r="A8516" i="1"/>
  <c r="B8516" i="1"/>
  <c r="C8516" i="1"/>
  <c r="A20617" i="1"/>
  <c r="B20617" i="1"/>
  <c r="C20617" i="1"/>
  <c r="A14533" i="1"/>
  <c r="B14533" i="1"/>
  <c r="C14533" i="1"/>
  <c r="A4897" i="1"/>
  <c r="B4897" i="1"/>
  <c r="C4897" i="1"/>
  <c r="A16806" i="1"/>
  <c r="B16806" i="1"/>
  <c r="C16806" i="1"/>
  <c r="A7522" i="1"/>
  <c r="B7522" i="1"/>
  <c r="C7522" i="1"/>
  <c r="A20554" i="1"/>
  <c r="B20554" i="1"/>
  <c r="C20554" i="1"/>
  <c r="A20535" i="1"/>
  <c r="B20535" i="1"/>
  <c r="C20535" i="1"/>
  <c r="A25153" i="1"/>
  <c r="B25153" i="1"/>
  <c r="C25153" i="1"/>
  <c r="A22232" i="1"/>
  <c r="B22232" i="1"/>
  <c r="C22232" i="1"/>
  <c r="A13872" i="1"/>
  <c r="B13872" i="1"/>
  <c r="C13872" i="1"/>
  <c r="A13870" i="1"/>
  <c r="B13870" i="1"/>
  <c r="C13870" i="1"/>
  <c r="A13871" i="1"/>
  <c r="B13871" i="1"/>
  <c r="C13871" i="1"/>
  <c r="A10703" i="1"/>
  <c r="B10703" i="1"/>
  <c r="C10703" i="1"/>
  <c r="A813" i="1"/>
  <c r="B813" i="1"/>
  <c r="C813" i="1"/>
  <c r="A19439" i="1"/>
  <c r="B19439" i="1"/>
  <c r="C19439" i="1"/>
  <c r="A10300" i="1"/>
  <c r="B10300" i="1"/>
  <c r="C10300" i="1"/>
  <c r="A6077" i="1"/>
  <c r="B6077" i="1"/>
  <c r="C6077" i="1"/>
  <c r="A6076" i="1"/>
  <c r="B6076" i="1"/>
  <c r="C6076" i="1"/>
  <c r="A16658" i="1"/>
  <c r="B16658" i="1"/>
  <c r="C16658" i="1"/>
  <c r="A817" i="1"/>
  <c r="B817" i="1"/>
  <c r="C817" i="1"/>
  <c r="A1158" i="1"/>
  <c r="B1158" i="1"/>
  <c r="C1158" i="1"/>
  <c r="A20905" i="1"/>
  <c r="B20905" i="1"/>
  <c r="C20905" i="1"/>
  <c r="A12693" i="1"/>
  <c r="B12693" i="1"/>
  <c r="C12693" i="1"/>
  <c r="A4096" i="1"/>
  <c r="B4096" i="1"/>
  <c r="C4096" i="1"/>
  <c r="A12482" i="1"/>
  <c r="B12482" i="1"/>
  <c r="C12482" i="1"/>
  <c r="A21901" i="1"/>
  <c r="B21901" i="1"/>
  <c r="C21901" i="1"/>
  <c r="A6589" i="1"/>
  <c r="B6589" i="1"/>
  <c r="C6589" i="1"/>
  <c r="A12332" i="1"/>
  <c r="B12332" i="1"/>
  <c r="C12332" i="1"/>
  <c r="A24878" i="1"/>
  <c r="B24878" i="1"/>
  <c r="C24878" i="1"/>
  <c r="A20070" i="1"/>
  <c r="B20070" i="1"/>
  <c r="C20070" i="1"/>
  <c r="A20910" i="1"/>
  <c r="B20910" i="1"/>
  <c r="C20910" i="1"/>
  <c r="A17925" i="1"/>
  <c r="B17925" i="1"/>
  <c r="C17925" i="1"/>
  <c r="A24569" i="1"/>
  <c r="B24569" i="1"/>
  <c r="C24569" i="1"/>
  <c r="A24565" i="1"/>
  <c r="B24565" i="1"/>
  <c r="C24565" i="1"/>
  <c r="A3363" i="1"/>
  <c r="B3363" i="1"/>
  <c r="C3363" i="1"/>
  <c r="A20323" i="1"/>
  <c r="B20323" i="1"/>
  <c r="C20323" i="1"/>
  <c r="A15140" i="1"/>
  <c r="B15140" i="1"/>
  <c r="C15140" i="1"/>
  <c r="A15141" i="1"/>
  <c r="B15141" i="1"/>
  <c r="C15141" i="1"/>
  <c r="A15603" i="1"/>
  <c r="B15603" i="1"/>
  <c r="C15603" i="1"/>
  <c r="A22861" i="1"/>
  <c r="B22861" i="1"/>
  <c r="C22861" i="1"/>
  <c r="A21098" i="1"/>
  <c r="B21098" i="1"/>
  <c r="C21098" i="1"/>
  <c r="A22234" i="1"/>
  <c r="B22234" i="1"/>
  <c r="C22234" i="1"/>
  <c r="A22235" i="1"/>
  <c r="B22235" i="1"/>
  <c r="C22235" i="1"/>
  <c r="A22236" i="1"/>
  <c r="B22236" i="1"/>
  <c r="C22236" i="1"/>
  <c r="A22237" i="1"/>
  <c r="B22237" i="1"/>
  <c r="C22237" i="1"/>
  <c r="A22238" i="1"/>
  <c r="B22238" i="1"/>
  <c r="C22238" i="1"/>
  <c r="A22239" i="1"/>
  <c r="B22239" i="1"/>
  <c r="C22239" i="1"/>
  <c r="A22240" i="1"/>
  <c r="B22240" i="1"/>
  <c r="C22240" i="1"/>
  <c r="A22241" i="1"/>
  <c r="B22241" i="1"/>
  <c r="C22241" i="1"/>
  <c r="A22242" i="1"/>
  <c r="B22242" i="1"/>
  <c r="C22242" i="1"/>
  <c r="A22233" i="1"/>
  <c r="B22233" i="1"/>
  <c r="C22233" i="1"/>
  <c r="A23341" i="1"/>
  <c r="B23341" i="1"/>
  <c r="C23341" i="1"/>
  <c r="A23516" i="1"/>
  <c r="B23516" i="1"/>
  <c r="C23516" i="1"/>
  <c r="A19832" i="1"/>
  <c r="B19832" i="1"/>
  <c r="C19832" i="1"/>
  <c r="A15863" i="1"/>
  <c r="B15863" i="1"/>
  <c r="C15863" i="1"/>
  <c r="A15862" i="1"/>
  <c r="B15862" i="1"/>
  <c r="C15862" i="1"/>
  <c r="A15864" i="1"/>
  <c r="B15864" i="1"/>
  <c r="C15864" i="1"/>
  <c r="A7928" i="1"/>
  <c r="B7928" i="1"/>
  <c r="C7928" i="1"/>
  <c r="A24915" i="1"/>
  <c r="B24915" i="1"/>
  <c r="C24915" i="1"/>
  <c r="A2333" i="1"/>
  <c r="B2333" i="1"/>
  <c r="C2333" i="1"/>
  <c r="A2334" i="1"/>
  <c r="B2334" i="1"/>
  <c r="C2334" i="1"/>
  <c r="A1344" i="1"/>
  <c r="B1344" i="1"/>
  <c r="C1344" i="1"/>
  <c r="A12797" i="1"/>
  <c r="B12797" i="1"/>
  <c r="C12797" i="1"/>
  <c r="A16483" i="1"/>
  <c r="B16483" i="1"/>
  <c r="C16483" i="1"/>
  <c r="A12828" i="1"/>
  <c r="B12828" i="1"/>
  <c r="C12828" i="1"/>
  <c r="A20181" i="1"/>
  <c r="B20181" i="1"/>
  <c r="C20181" i="1"/>
  <c r="A6919" i="1"/>
  <c r="B6919" i="1"/>
  <c r="C6919" i="1"/>
  <c r="A816" i="1"/>
  <c r="B816" i="1"/>
  <c r="C816" i="1"/>
  <c r="A819" i="1"/>
  <c r="B819" i="1"/>
  <c r="C819" i="1"/>
  <c r="A22831" i="1"/>
  <c r="B22831" i="1"/>
  <c r="C22831" i="1"/>
  <c r="A19234" i="1"/>
  <c r="B19234" i="1"/>
  <c r="C19234" i="1"/>
  <c r="A1080" i="1"/>
  <c r="B1080" i="1"/>
  <c r="C1080" i="1"/>
  <c r="A20556" i="1"/>
  <c r="B20556" i="1"/>
  <c r="C20556" i="1"/>
  <c r="A6536" i="1"/>
  <c r="B6536" i="1"/>
  <c r="C6536" i="1"/>
  <c r="A1903" i="1"/>
  <c r="B1903" i="1"/>
  <c r="C1903" i="1"/>
  <c r="A7741" i="1"/>
  <c r="B7741" i="1"/>
  <c r="C7741" i="1"/>
  <c r="A16308" i="1"/>
  <c r="B16308" i="1"/>
  <c r="C16308" i="1"/>
  <c r="A1136" i="1"/>
  <c r="B1136" i="1"/>
  <c r="C1136" i="1"/>
  <c r="A12328" i="1"/>
  <c r="B12328" i="1"/>
  <c r="C12328" i="1"/>
  <c r="A5962" i="1"/>
  <c r="B5962" i="1"/>
  <c r="C5962" i="1"/>
  <c r="A12575" i="1"/>
  <c r="B12575" i="1"/>
  <c r="C12575" i="1"/>
  <c r="A8275" i="1"/>
  <c r="B8275" i="1"/>
  <c r="C8275" i="1"/>
  <c r="A20357" i="1"/>
  <c r="B20357" i="1"/>
  <c r="C20357" i="1"/>
  <c r="A7074" i="1"/>
  <c r="B7074" i="1"/>
  <c r="C7074" i="1"/>
  <c r="A2648" i="1"/>
  <c r="B2648" i="1"/>
  <c r="C2648" i="1"/>
  <c r="A8991" i="1"/>
  <c r="B8991" i="1"/>
  <c r="C8991" i="1"/>
  <c r="A9541" i="1"/>
  <c r="B9541" i="1"/>
  <c r="C9541" i="1"/>
  <c r="A8145" i="1"/>
  <c r="B8145" i="1"/>
  <c r="C8145" i="1"/>
  <c r="A6541" i="1"/>
  <c r="B6541" i="1"/>
  <c r="C6541" i="1"/>
  <c r="A6532" i="1"/>
  <c r="B6532" i="1"/>
  <c r="C6532" i="1"/>
  <c r="A6540" i="1"/>
  <c r="B6540" i="1"/>
  <c r="C6540" i="1"/>
  <c r="A6511" i="1"/>
  <c r="B6511" i="1"/>
  <c r="C6511" i="1"/>
  <c r="A6533" i="1"/>
  <c r="B6533" i="1"/>
  <c r="C6533" i="1"/>
  <c r="A6543" i="1"/>
  <c r="B6543" i="1"/>
  <c r="C6543" i="1"/>
  <c r="A6512" i="1"/>
  <c r="B6512" i="1"/>
  <c r="C6512" i="1"/>
  <c r="A7081" i="1"/>
  <c r="B7081" i="1"/>
  <c r="C7081" i="1"/>
  <c r="A4148" i="1"/>
  <c r="B4148" i="1"/>
  <c r="C4148" i="1"/>
  <c r="A5476" i="1"/>
  <c r="B5476" i="1"/>
  <c r="C5476" i="1"/>
  <c r="A5478" i="1"/>
  <c r="B5478" i="1"/>
  <c r="C5478" i="1"/>
  <c r="A5477" i="1"/>
  <c r="B5477" i="1"/>
  <c r="C5477" i="1"/>
  <c r="A18800" i="1"/>
  <c r="B18800" i="1"/>
  <c r="C18800" i="1"/>
  <c r="A2274" i="1"/>
  <c r="B2274" i="1"/>
  <c r="C2274" i="1"/>
  <c r="A8964" i="1"/>
  <c r="B8964" i="1"/>
  <c r="C8964" i="1"/>
  <c r="A1641" i="1"/>
  <c r="B1641" i="1"/>
  <c r="C1641" i="1"/>
  <c r="A13451" i="1"/>
  <c r="B13451" i="1"/>
  <c r="C13451" i="1"/>
  <c r="A21679" i="1"/>
  <c r="B21679" i="1"/>
  <c r="C21679" i="1"/>
  <c r="A21680" i="1"/>
  <c r="B21680" i="1"/>
  <c r="C21680" i="1"/>
  <c r="A3102" i="1"/>
  <c r="B3102" i="1"/>
  <c r="C3102" i="1"/>
  <c r="A10315" i="1"/>
  <c r="B10315" i="1"/>
  <c r="C10315" i="1"/>
  <c r="A7753" i="1"/>
  <c r="B7753" i="1"/>
  <c r="C7753" i="1"/>
  <c r="A24179" i="1"/>
  <c r="B24179" i="1"/>
  <c r="C24179" i="1"/>
  <c r="A24180" i="1"/>
  <c r="B24180" i="1"/>
  <c r="C24180" i="1"/>
  <c r="A1685" i="1"/>
  <c r="B1685" i="1"/>
  <c r="C1685" i="1"/>
  <c r="A13806" i="1"/>
  <c r="B13806" i="1"/>
  <c r="C13806" i="1"/>
  <c r="A19957" i="1"/>
  <c r="B19957" i="1"/>
  <c r="C19957" i="1"/>
  <c r="A17030" i="1"/>
  <c r="B17030" i="1"/>
  <c r="C17030" i="1"/>
  <c r="A4108" i="1"/>
  <c r="B4108" i="1"/>
  <c r="C4108" i="1"/>
  <c r="A4140" i="1"/>
  <c r="B4140" i="1"/>
  <c r="C4140" i="1"/>
  <c r="A4109" i="1"/>
  <c r="B4109" i="1"/>
  <c r="C4109" i="1"/>
  <c r="A9071" i="1"/>
  <c r="B9071" i="1"/>
  <c r="C9071" i="1"/>
  <c r="A22300" i="1"/>
  <c r="B22300" i="1"/>
  <c r="C22300" i="1"/>
  <c r="A13602" i="1"/>
  <c r="B13602" i="1"/>
  <c r="C13602" i="1"/>
  <c r="A13601" i="1"/>
  <c r="B13601" i="1"/>
  <c r="C13601" i="1"/>
  <c r="A13594" i="1"/>
  <c r="B13594" i="1"/>
  <c r="C13594" i="1"/>
  <c r="A747" i="1"/>
  <c r="B747" i="1"/>
  <c r="C747" i="1"/>
  <c r="A24058" i="1"/>
  <c r="B24058" i="1"/>
  <c r="C24058" i="1"/>
  <c r="A6354" i="1"/>
  <c r="B6354" i="1"/>
  <c r="C6354" i="1"/>
  <c r="A22885" i="1"/>
  <c r="B22885" i="1"/>
  <c r="C22885" i="1"/>
  <c r="A7480" i="1"/>
  <c r="B7480" i="1"/>
  <c r="C7480" i="1"/>
  <c r="A14309" i="1"/>
  <c r="B14309" i="1"/>
  <c r="C14309" i="1"/>
  <c r="A16239" i="1"/>
  <c r="B16239" i="1"/>
  <c r="C16239" i="1"/>
  <c r="A16235" i="1"/>
  <c r="B16235" i="1"/>
  <c r="C16235" i="1"/>
  <c r="A19596" i="1"/>
  <c r="B19596" i="1"/>
  <c r="C19596" i="1"/>
  <c r="A7562" i="1"/>
  <c r="B7562" i="1"/>
  <c r="C7562" i="1"/>
  <c r="A24190" i="1"/>
  <c r="B24190" i="1"/>
  <c r="C24190" i="1"/>
  <c r="A19048" i="1"/>
  <c r="B19048" i="1"/>
  <c r="C19048" i="1"/>
  <c r="A18618" i="1"/>
  <c r="B18618" i="1"/>
  <c r="C18618" i="1"/>
  <c r="A3486" i="1"/>
  <c r="B3486" i="1"/>
  <c r="C3486" i="1"/>
  <c r="A16102" i="1"/>
  <c r="B16102" i="1"/>
  <c r="C16102" i="1"/>
  <c r="A13535" i="1"/>
  <c r="B13535" i="1"/>
  <c r="C13535" i="1"/>
  <c r="A13618" i="1"/>
  <c r="B13618" i="1"/>
  <c r="C13618" i="1"/>
  <c r="A13553" i="1"/>
  <c r="B13553" i="1"/>
  <c r="C13553" i="1"/>
  <c r="A13554" i="1"/>
  <c r="B13554" i="1"/>
  <c r="C13554" i="1"/>
  <c r="A4899" i="1"/>
  <c r="B4899" i="1"/>
  <c r="C4899" i="1"/>
  <c r="A716" i="1"/>
  <c r="B716" i="1"/>
  <c r="C716" i="1"/>
  <c r="A715" i="1"/>
  <c r="B715" i="1"/>
  <c r="C715" i="1"/>
  <c r="A9319" i="1"/>
  <c r="B9319" i="1"/>
  <c r="C9319" i="1"/>
  <c r="A15086" i="1"/>
  <c r="B15086" i="1"/>
  <c r="C15086" i="1"/>
  <c r="A22402" i="1"/>
  <c r="B22402" i="1"/>
  <c r="C22402" i="1"/>
  <c r="A8424" i="1"/>
  <c r="B8424" i="1"/>
  <c r="C8424" i="1"/>
  <c r="A12297" i="1"/>
  <c r="B12297" i="1"/>
  <c r="C12297" i="1"/>
  <c r="A24874" i="1"/>
  <c r="B24874" i="1"/>
  <c r="C24874" i="1"/>
  <c r="A21609" i="1"/>
  <c r="B21609" i="1"/>
  <c r="C21609" i="1"/>
  <c r="A23584" i="1"/>
  <c r="B23584" i="1"/>
  <c r="C23584" i="1"/>
  <c r="A23585" i="1"/>
  <c r="B23585" i="1"/>
  <c r="C23585" i="1"/>
  <c r="A23586" i="1"/>
  <c r="B23586" i="1"/>
  <c r="C23586" i="1"/>
  <c r="A23587" i="1"/>
  <c r="B23587" i="1"/>
  <c r="C23587" i="1"/>
  <c r="A7275" i="1"/>
  <c r="B7275" i="1"/>
  <c r="C7275" i="1"/>
  <c r="A6691" i="1"/>
  <c r="B6691" i="1"/>
  <c r="C6691" i="1"/>
  <c r="A6692" i="1"/>
  <c r="B6692" i="1"/>
  <c r="C6692" i="1"/>
  <c r="A6690" i="1"/>
  <c r="B6690" i="1"/>
  <c r="C6690" i="1"/>
  <c r="A260" i="1"/>
  <c r="B260" i="1"/>
  <c r="C260" i="1"/>
  <c r="A5405" i="1"/>
  <c r="B5405" i="1"/>
  <c r="C5405" i="1"/>
  <c r="A16485" i="1"/>
  <c r="B16485" i="1"/>
  <c r="C16485" i="1"/>
  <c r="A15352" i="1"/>
  <c r="B15352" i="1"/>
  <c r="C15352" i="1"/>
  <c r="A17895" i="1"/>
  <c r="B17895" i="1"/>
  <c r="C17895" i="1"/>
  <c r="A18408" i="1"/>
  <c r="B18408" i="1"/>
  <c r="C18408" i="1"/>
  <c r="A20368" i="1"/>
  <c r="B20368" i="1"/>
  <c r="C20368" i="1"/>
  <c r="A4137" i="1"/>
  <c r="B4137" i="1"/>
  <c r="C4137" i="1"/>
  <c r="A20930" i="1"/>
  <c r="B20930" i="1"/>
  <c r="C20930" i="1"/>
  <c r="A23795" i="1"/>
  <c r="B23795" i="1"/>
  <c r="C23795" i="1"/>
  <c r="A2776" i="1"/>
  <c r="B2776" i="1"/>
  <c r="C2776" i="1"/>
  <c r="A2773" i="1"/>
  <c r="B2773" i="1"/>
  <c r="C2773" i="1"/>
  <c r="A23796" i="1"/>
  <c r="B23796" i="1"/>
  <c r="C23796" i="1"/>
  <c r="A7747" i="1"/>
  <c r="B7747" i="1"/>
  <c r="C7747" i="1"/>
  <c r="A20298" i="1"/>
  <c r="B20298" i="1"/>
  <c r="C20298" i="1"/>
  <c r="A20297" i="1"/>
  <c r="B20297" i="1"/>
  <c r="C20297" i="1"/>
  <c r="A21825" i="1"/>
  <c r="B21825" i="1"/>
  <c r="C21825" i="1"/>
  <c r="A20864" i="1"/>
  <c r="B20864" i="1"/>
  <c r="C20864" i="1"/>
  <c r="A20863" i="1"/>
  <c r="B20863" i="1"/>
  <c r="C20863" i="1"/>
  <c r="A20866" i="1"/>
  <c r="B20866" i="1"/>
  <c r="C20866" i="1"/>
  <c r="A14307" i="1"/>
  <c r="B14307" i="1"/>
  <c r="C14307" i="1"/>
  <c r="A761" i="1"/>
  <c r="B761" i="1"/>
  <c r="C761" i="1"/>
  <c r="A16334" i="1"/>
  <c r="B16334" i="1"/>
  <c r="C16334" i="1"/>
  <c r="A20031" i="1"/>
  <c r="B20031" i="1"/>
  <c r="C20031" i="1"/>
  <c r="A23324" i="1"/>
  <c r="B23324" i="1"/>
  <c r="C23324" i="1"/>
  <c r="A19355" i="1"/>
  <c r="B19355" i="1"/>
  <c r="C19355" i="1"/>
  <c r="A16237" i="1"/>
  <c r="B16237" i="1"/>
  <c r="C16237" i="1"/>
  <c r="A5812" i="1"/>
  <c r="B5812" i="1"/>
  <c r="C5812" i="1"/>
  <c r="A20902" i="1"/>
  <c r="B20902" i="1"/>
  <c r="C20902" i="1"/>
  <c r="A11211" i="1"/>
  <c r="B11211" i="1"/>
  <c r="C11211" i="1"/>
  <c r="A19644" i="1"/>
  <c r="B19644" i="1"/>
  <c r="C19644" i="1"/>
  <c r="A20038" i="1"/>
  <c r="B20038" i="1"/>
  <c r="C20038" i="1"/>
  <c r="A10441" i="1"/>
  <c r="B10441" i="1"/>
  <c r="C10441" i="1"/>
  <c r="A9951" i="1"/>
  <c r="B9951" i="1"/>
  <c r="C9951" i="1"/>
  <c r="A5617" i="1"/>
  <c r="B5617" i="1"/>
  <c r="C5617" i="1"/>
  <c r="A17604" i="1"/>
  <c r="B17604" i="1"/>
  <c r="C17604" i="1"/>
  <c r="A17923" i="1"/>
  <c r="B17923" i="1"/>
  <c r="C17923" i="1"/>
  <c r="A22089" i="1"/>
  <c r="B22089" i="1"/>
  <c r="C22089" i="1"/>
  <c r="A19645" i="1"/>
  <c r="B19645" i="1"/>
  <c r="C19645" i="1"/>
  <c r="A12605" i="1"/>
  <c r="B12605" i="1"/>
  <c r="C12605" i="1"/>
  <c r="A3188" i="1"/>
  <c r="B3188" i="1"/>
  <c r="C3188" i="1"/>
  <c r="A7554" i="1"/>
  <c r="B7554" i="1"/>
  <c r="C7554" i="1"/>
  <c r="A11225" i="1"/>
  <c r="B11225" i="1"/>
  <c r="C11225" i="1"/>
  <c r="A11222" i="1"/>
  <c r="B11222" i="1"/>
  <c r="C11222" i="1"/>
  <c r="A11224" i="1"/>
  <c r="B11224" i="1"/>
  <c r="C11224" i="1"/>
  <c r="A11223" i="1"/>
  <c r="B11223" i="1"/>
  <c r="C11223" i="1"/>
  <c r="A16253" i="1"/>
  <c r="B16253" i="1"/>
  <c r="C16253" i="1"/>
  <c r="A9909" i="1"/>
  <c r="B9909" i="1"/>
  <c r="C9909" i="1"/>
  <c r="A9908" i="1"/>
  <c r="B9908" i="1"/>
  <c r="C9908" i="1"/>
  <c r="A9910" i="1"/>
  <c r="B9910" i="1"/>
  <c r="C9910" i="1"/>
  <c r="A9911" i="1"/>
  <c r="B9911" i="1"/>
  <c r="C9911" i="1"/>
  <c r="A9913" i="1"/>
  <c r="B9913" i="1"/>
  <c r="C9913" i="1"/>
  <c r="A9912" i="1"/>
  <c r="B9912" i="1"/>
  <c r="C9912" i="1"/>
  <c r="A8234" i="1"/>
  <c r="B8234" i="1"/>
  <c r="C8234" i="1"/>
  <c r="A11557" i="1"/>
  <c r="B11557" i="1"/>
  <c r="C11557" i="1"/>
  <c r="A16112" i="1"/>
  <c r="B16112" i="1"/>
  <c r="C16112" i="1"/>
  <c r="A22608" i="1"/>
  <c r="B22608" i="1"/>
  <c r="C22608" i="1"/>
  <c r="A20003" i="1"/>
  <c r="B20003" i="1"/>
  <c r="C20003" i="1"/>
  <c r="A17903" i="1"/>
  <c r="B17903" i="1"/>
  <c r="C17903" i="1"/>
  <c r="A3629" i="1"/>
  <c r="B3629" i="1"/>
  <c r="C3629" i="1"/>
  <c r="A17905" i="1"/>
  <c r="B17905" i="1"/>
  <c r="C17905" i="1"/>
  <c r="A3630" i="1"/>
  <c r="B3630" i="1"/>
  <c r="C3630" i="1"/>
  <c r="A3631" i="1"/>
  <c r="B3631" i="1"/>
  <c r="C3631" i="1"/>
  <c r="A953" i="1"/>
  <c r="B953" i="1"/>
  <c r="C953" i="1"/>
  <c r="A17911" i="1"/>
  <c r="B17911" i="1"/>
  <c r="C17911" i="1"/>
  <c r="A5755" i="1"/>
  <c r="B5755" i="1"/>
  <c r="C5755" i="1"/>
  <c r="A5756" i="1"/>
  <c r="B5756" i="1"/>
  <c r="C5756" i="1"/>
  <c r="A17904" i="1"/>
  <c r="B17904" i="1"/>
  <c r="C17904" i="1"/>
  <c r="A6518" i="1"/>
  <c r="B6518" i="1"/>
  <c r="C6518" i="1"/>
  <c r="A5562" i="1"/>
  <c r="B5562" i="1"/>
  <c r="C5562" i="1"/>
  <c r="A6516" i="1"/>
  <c r="B6516" i="1"/>
  <c r="C6516" i="1"/>
  <c r="A3506" i="1"/>
  <c r="B3506" i="1"/>
  <c r="C3506" i="1"/>
  <c r="A17075" i="1"/>
  <c r="B17075" i="1"/>
  <c r="C17075" i="1"/>
  <c r="A3507" i="1"/>
  <c r="B3507" i="1"/>
  <c r="C3507" i="1"/>
  <c r="A11924" i="1"/>
  <c r="B11924" i="1"/>
  <c r="C11924" i="1"/>
  <c r="A20666" i="1"/>
  <c r="B20666" i="1"/>
  <c r="C20666" i="1"/>
  <c r="A3509" i="1"/>
  <c r="B3509" i="1"/>
  <c r="C3509" i="1"/>
  <c r="A17788" i="1"/>
  <c r="B17788" i="1"/>
  <c r="C17788" i="1"/>
  <c r="A20665" i="1"/>
  <c r="B20665" i="1"/>
  <c r="C20665" i="1"/>
  <c r="A24332" i="1"/>
  <c r="B24332" i="1"/>
  <c r="C24332" i="1"/>
  <c r="A1092" i="1"/>
  <c r="B1092" i="1"/>
  <c r="C1092" i="1"/>
  <c r="A735" i="1"/>
  <c r="B735" i="1"/>
  <c r="C735" i="1"/>
  <c r="A15981" i="1"/>
  <c r="B15981" i="1"/>
  <c r="C15981" i="1"/>
  <c r="A24331" i="1"/>
  <c r="B24331" i="1"/>
  <c r="C24331" i="1"/>
  <c r="A24329" i="1"/>
  <c r="B24329" i="1"/>
  <c r="C24329" i="1"/>
  <c r="A24330" i="1"/>
  <c r="B24330" i="1"/>
  <c r="C24330" i="1"/>
  <c r="A12015" i="1"/>
  <c r="B12015" i="1"/>
  <c r="C12015" i="1"/>
  <c r="A12017" i="1"/>
  <c r="B12017" i="1"/>
  <c r="C12017" i="1"/>
  <c r="A12012" i="1"/>
  <c r="B12012" i="1"/>
  <c r="C12012" i="1"/>
  <c r="A9360" i="1"/>
  <c r="B9360" i="1"/>
  <c r="C9360" i="1"/>
  <c r="A17791" i="1"/>
  <c r="B17791" i="1"/>
  <c r="C17791" i="1"/>
  <c r="A3504" i="1"/>
  <c r="B3504" i="1"/>
  <c r="C3504" i="1"/>
  <c r="A12016" i="1"/>
  <c r="B12016" i="1"/>
  <c r="C12016" i="1"/>
  <c r="A24333" i="1"/>
  <c r="B24333" i="1"/>
  <c r="C24333" i="1"/>
  <c r="A734" i="1"/>
  <c r="B734" i="1"/>
  <c r="C734" i="1"/>
  <c r="A3503" i="1"/>
  <c r="B3503" i="1"/>
  <c r="C3503" i="1"/>
  <c r="A7256" i="1"/>
  <c r="B7256" i="1"/>
  <c r="C7256" i="1"/>
  <c r="A7255" i="1"/>
  <c r="B7255" i="1"/>
  <c r="C7255" i="1"/>
  <c r="A4034" i="1"/>
  <c r="B4034" i="1"/>
  <c r="C4034" i="1"/>
  <c r="A8395" i="1"/>
  <c r="B8395" i="1"/>
  <c r="C8395" i="1"/>
  <c r="A17986" i="1"/>
  <c r="B17986" i="1"/>
  <c r="C17986" i="1"/>
  <c r="A17985" i="1"/>
  <c r="B17985" i="1"/>
  <c r="C17985" i="1"/>
  <c r="A17987" i="1"/>
  <c r="B17987" i="1"/>
  <c r="C17987" i="1"/>
  <c r="A6037" i="1"/>
  <c r="B6037" i="1"/>
  <c r="C6037" i="1"/>
  <c r="A16016" i="1"/>
  <c r="B16016" i="1"/>
  <c r="C16016" i="1"/>
  <c r="A7930" i="1"/>
  <c r="B7930" i="1"/>
  <c r="C7930" i="1"/>
  <c r="A17354" i="1"/>
  <c r="B17354" i="1"/>
  <c r="C17354" i="1"/>
  <c r="A2951" i="1"/>
  <c r="B2951" i="1"/>
  <c r="C2951" i="1"/>
  <c r="A2946" i="1"/>
  <c r="B2946" i="1"/>
  <c r="C2946" i="1"/>
  <c r="A21983" i="1"/>
  <c r="B21983" i="1"/>
  <c r="C21983" i="1"/>
  <c r="A2061" i="1"/>
  <c r="B2061" i="1"/>
  <c r="C2061" i="1"/>
  <c r="A2070" i="1"/>
  <c r="B2070" i="1"/>
  <c r="C2070" i="1"/>
  <c r="A7229" i="1"/>
  <c r="B7229" i="1"/>
  <c r="C7229" i="1"/>
  <c r="A7224" i="1"/>
  <c r="B7224" i="1"/>
  <c r="C7224" i="1"/>
  <c r="A7225" i="1"/>
  <c r="B7225" i="1"/>
  <c r="C7225" i="1"/>
  <c r="A7227" i="1"/>
  <c r="B7227" i="1"/>
  <c r="C7227" i="1"/>
  <c r="A7228" i="1"/>
  <c r="B7228" i="1"/>
  <c r="C7228" i="1"/>
  <c r="A14151" i="1"/>
  <c r="B14151" i="1"/>
  <c r="C14151" i="1"/>
  <c r="A25185" i="1"/>
  <c r="B25185" i="1"/>
  <c r="C25185" i="1"/>
  <c r="A21357" i="1"/>
  <c r="B21357" i="1"/>
  <c r="C21357" i="1"/>
  <c r="A17579" i="1"/>
  <c r="B17579" i="1"/>
  <c r="C17579" i="1"/>
  <c r="A7265" i="1"/>
  <c r="B7265" i="1"/>
  <c r="C7265" i="1"/>
  <c r="A7263" i="1"/>
  <c r="B7263" i="1"/>
  <c r="C7263" i="1"/>
  <c r="A5543" i="1"/>
  <c r="B5543" i="1"/>
  <c r="C5543" i="1"/>
  <c r="A21811" i="1"/>
  <c r="B21811" i="1"/>
  <c r="C21811" i="1"/>
  <c r="A10276" i="1"/>
  <c r="B10276" i="1"/>
  <c r="C10276" i="1"/>
  <c r="A11832" i="1"/>
  <c r="B11832" i="1"/>
  <c r="C11832" i="1"/>
  <c r="A16798" i="1"/>
  <c r="B16798" i="1"/>
  <c r="C16798" i="1"/>
  <c r="A3830" i="1"/>
  <c r="B3830" i="1"/>
  <c r="C3830" i="1"/>
  <c r="A23023" i="1"/>
  <c r="B23023" i="1"/>
  <c r="C23023" i="1"/>
  <c r="A24700" i="1"/>
  <c r="B24700" i="1"/>
  <c r="C24700" i="1"/>
  <c r="A907" i="1"/>
  <c r="B907" i="1"/>
  <c r="C907" i="1"/>
  <c r="A10136" i="1"/>
  <c r="B10136" i="1"/>
  <c r="C10136" i="1"/>
  <c r="A915" i="1"/>
  <c r="B915" i="1"/>
  <c r="C915" i="1"/>
  <c r="A931" i="1"/>
  <c r="B931" i="1"/>
  <c r="C931" i="1"/>
  <c r="A952" i="1"/>
  <c r="B952" i="1"/>
  <c r="C952" i="1"/>
  <c r="A937" i="1"/>
  <c r="B937" i="1"/>
  <c r="C937" i="1"/>
  <c r="A19787" i="1"/>
  <c r="B19787" i="1"/>
  <c r="C19787" i="1"/>
  <c r="A14838" i="1"/>
  <c r="B14838" i="1"/>
  <c r="C14838" i="1"/>
  <c r="A14852" i="1"/>
  <c r="B14852" i="1"/>
  <c r="C14852" i="1"/>
  <c r="A14850" i="1"/>
  <c r="B14850" i="1"/>
  <c r="C14850" i="1"/>
  <c r="A14851" i="1"/>
  <c r="B14851" i="1"/>
  <c r="C14851" i="1"/>
  <c r="A14831" i="1"/>
  <c r="B14831" i="1"/>
  <c r="C14831" i="1"/>
  <c r="A14824" i="1"/>
  <c r="B14824" i="1"/>
  <c r="C14824" i="1"/>
  <c r="A3426" i="1"/>
  <c r="B3426" i="1"/>
  <c r="C3426" i="1"/>
  <c r="A11798" i="1"/>
  <c r="C11798" i="1"/>
  <c r="A9010" i="1"/>
  <c r="B9010" i="1"/>
  <c r="C9010" i="1"/>
  <c r="A5817" i="1"/>
  <c r="B5817" i="1"/>
  <c r="C5817" i="1"/>
  <c r="A20243" i="1"/>
  <c r="B20243" i="1"/>
  <c r="C20243" i="1"/>
  <c r="A9283" i="1"/>
  <c r="B9283" i="1"/>
  <c r="C9283" i="1"/>
  <c r="A12049" i="1"/>
  <c r="B12049" i="1"/>
  <c r="C12049" i="1"/>
  <c r="A18253" i="1"/>
  <c r="B18253" i="1"/>
  <c r="C18253" i="1"/>
  <c r="A18254" i="1"/>
  <c r="B18254" i="1"/>
  <c r="C18254" i="1"/>
  <c r="A12559" i="1"/>
  <c r="B12559" i="1"/>
  <c r="C12559" i="1"/>
  <c r="A16908" i="1"/>
  <c r="B16908" i="1"/>
  <c r="C16908" i="1"/>
  <c r="A4012" i="1"/>
  <c r="B4012" i="1"/>
  <c r="C4012" i="1"/>
  <c r="A17347" i="1"/>
  <c r="B17347" i="1"/>
  <c r="C17347" i="1"/>
  <c r="A17342" i="1"/>
  <c r="B17342" i="1"/>
  <c r="C17342" i="1"/>
  <c r="A17131" i="1"/>
  <c r="B17131" i="1"/>
  <c r="C17131" i="1"/>
  <c r="A17132" i="1"/>
  <c r="B17132" i="1"/>
  <c r="C17132" i="1"/>
  <c r="A17133" i="1"/>
  <c r="B17133" i="1"/>
  <c r="C17133" i="1"/>
  <c r="A1593" i="1"/>
  <c r="B1593" i="1"/>
  <c r="C1593" i="1"/>
  <c r="A17247" i="1"/>
  <c r="B17247" i="1"/>
  <c r="C17247" i="1"/>
  <c r="A20248" i="1"/>
  <c r="B20248" i="1"/>
  <c r="C20248" i="1"/>
  <c r="A17610" i="1"/>
  <c r="B17610" i="1"/>
  <c r="C17610" i="1"/>
  <c r="A15330" i="1"/>
  <c r="B15330" i="1"/>
  <c r="C15330" i="1"/>
  <c r="A20296" i="1"/>
  <c r="B20296" i="1"/>
  <c r="C20296" i="1"/>
  <c r="A20293" i="1"/>
  <c r="B20293" i="1"/>
  <c r="C20293" i="1"/>
  <c r="A20295" i="1"/>
  <c r="B20295" i="1"/>
  <c r="C20295" i="1"/>
  <c r="A20294" i="1"/>
  <c r="B20294" i="1"/>
  <c r="C20294" i="1"/>
  <c r="A9365" i="1"/>
  <c r="B9365" i="1"/>
  <c r="C9365" i="1"/>
  <c r="A9366" i="1"/>
  <c r="B9366" i="1"/>
  <c r="C9366" i="1"/>
  <c r="A9367" i="1"/>
  <c r="B9367" i="1"/>
  <c r="C9367" i="1"/>
  <c r="A9368" i="1"/>
  <c r="B9368" i="1"/>
  <c r="C9368" i="1"/>
  <c r="A9370" i="1"/>
  <c r="B9370" i="1"/>
  <c r="C9370" i="1"/>
  <c r="A21087" i="1"/>
  <c r="B21087" i="1"/>
  <c r="C21087" i="1"/>
  <c r="A21084" i="1"/>
  <c r="B21084" i="1"/>
  <c r="C21084" i="1"/>
  <c r="A21085" i="1"/>
  <c r="B21085" i="1"/>
  <c r="C21085" i="1"/>
  <c r="A17819" i="1"/>
  <c r="B17819" i="1"/>
  <c r="C17819" i="1"/>
  <c r="A17820" i="1"/>
  <c r="B17820" i="1"/>
  <c r="C17820" i="1"/>
  <c r="A17825" i="1"/>
  <c r="B17825" i="1"/>
  <c r="C17825" i="1"/>
  <c r="A10617" i="1"/>
  <c r="B10617" i="1"/>
  <c r="C10617" i="1"/>
  <c r="A18112" i="1"/>
  <c r="B18112" i="1"/>
  <c r="C18112" i="1"/>
  <c r="A4192" i="1"/>
  <c r="B4192" i="1"/>
  <c r="C4192" i="1"/>
  <c r="A6750" i="1"/>
  <c r="B6750" i="1"/>
  <c r="C6750" i="1"/>
  <c r="A16909" i="1"/>
  <c r="B16909" i="1"/>
  <c r="C16909" i="1"/>
  <c r="A6497" i="1"/>
  <c r="C6497" i="1"/>
  <c r="A7294" i="1"/>
  <c r="B7294" i="1"/>
  <c r="C7294" i="1"/>
  <c r="A4130" i="1"/>
  <c r="B4130" i="1"/>
  <c r="C4130" i="1"/>
  <c r="A24023" i="1"/>
  <c r="B24023" i="1"/>
  <c r="C24023" i="1"/>
  <c r="A22186" i="1"/>
  <c r="B22186" i="1"/>
  <c r="C22186" i="1"/>
  <c r="A9051" i="1"/>
  <c r="B9051" i="1"/>
  <c r="C9051" i="1"/>
  <c r="A7573" i="1"/>
  <c r="B7573" i="1"/>
  <c r="C7573" i="1"/>
  <c r="A17116" i="1"/>
  <c r="B17116" i="1"/>
  <c r="C17116" i="1"/>
  <c r="A17117" i="1"/>
  <c r="B17117" i="1"/>
  <c r="C17117" i="1"/>
  <c r="A17118" i="1"/>
  <c r="B17118" i="1"/>
  <c r="C17118" i="1"/>
  <c r="A17119" i="1"/>
  <c r="B17119" i="1"/>
  <c r="C17119" i="1"/>
  <c r="A11420" i="1"/>
  <c r="B11420" i="1"/>
  <c r="C11420" i="1"/>
  <c r="A11424" i="1"/>
  <c r="B11424" i="1"/>
  <c r="C11424" i="1"/>
  <c r="A7748" i="1"/>
  <c r="B7748" i="1"/>
  <c r="C7748" i="1"/>
  <c r="A16062" i="1"/>
  <c r="B16062" i="1"/>
  <c r="C16062" i="1"/>
  <c r="A10726" i="1"/>
  <c r="B10726" i="1"/>
  <c r="C10726" i="1"/>
  <c r="A21913" i="1"/>
  <c r="B21913" i="1"/>
  <c r="C21913" i="1"/>
  <c r="A340" i="1"/>
  <c r="B340" i="1"/>
  <c r="C340" i="1"/>
  <c r="A14670" i="1"/>
  <c r="B14670" i="1"/>
  <c r="C14670" i="1"/>
  <c r="A7043" i="1"/>
  <c r="B7043" i="1"/>
  <c r="C7043" i="1"/>
  <c r="A7047" i="1"/>
  <c r="B7047" i="1"/>
  <c r="C7047" i="1"/>
  <c r="A20328" i="1"/>
  <c r="B20328" i="1"/>
  <c r="C20328" i="1"/>
  <c r="A12018" i="1"/>
  <c r="B12018" i="1"/>
  <c r="C12018" i="1"/>
  <c r="A12019" i="1"/>
  <c r="B12019" i="1"/>
  <c r="C12019" i="1"/>
  <c r="A10141" i="1"/>
  <c r="B10141" i="1"/>
  <c r="C10141" i="1"/>
  <c r="A14107" i="1"/>
  <c r="B14107" i="1"/>
  <c r="C14107" i="1"/>
  <c r="A14108" i="1"/>
  <c r="B14108" i="1"/>
  <c r="C14108" i="1"/>
  <c r="A12501" i="1"/>
  <c r="B12501" i="1"/>
  <c r="C12501" i="1"/>
  <c r="A12500" i="1"/>
  <c r="B12500" i="1"/>
  <c r="C12500" i="1"/>
  <c r="A801" i="1"/>
  <c r="B801" i="1"/>
  <c r="C801" i="1"/>
  <c r="A792" i="1"/>
  <c r="B792" i="1"/>
  <c r="C792" i="1"/>
  <c r="A16274" i="1"/>
  <c r="B16274" i="1"/>
  <c r="C16274" i="1"/>
  <c r="A234" i="1"/>
  <c r="B234" i="1"/>
  <c r="C234" i="1"/>
  <c r="A16066" i="1"/>
  <c r="B16066" i="1"/>
  <c r="C16066" i="1"/>
  <c r="A16057" i="1"/>
  <c r="B16057" i="1"/>
  <c r="C16057" i="1"/>
  <c r="A16065" i="1"/>
  <c r="B16065" i="1"/>
  <c r="C16065" i="1"/>
  <c r="A10940" i="1"/>
  <c r="B10940" i="1"/>
  <c r="C10940" i="1"/>
  <c r="A21788" i="1"/>
  <c r="B21788" i="1"/>
  <c r="C21788" i="1"/>
  <c r="A18103" i="1"/>
  <c r="B18103" i="1"/>
  <c r="C18103" i="1"/>
  <c r="A14835" i="1"/>
  <c r="B14835" i="1"/>
  <c r="C14835" i="1"/>
  <c r="A14837" i="1"/>
  <c r="B14837" i="1"/>
  <c r="C14837" i="1"/>
  <c r="A16073" i="1"/>
  <c r="B16073" i="1"/>
  <c r="C16073" i="1"/>
  <c r="A1081" i="1"/>
  <c r="B1081" i="1"/>
  <c r="C1081" i="1"/>
  <c r="A10216" i="1"/>
  <c r="B10216" i="1"/>
  <c r="C10216" i="1"/>
  <c r="A2644" i="1"/>
  <c r="B2644" i="1"/>
  <c r="C2644" i="1"/>
  <c r="A22867" i="1"/>
  <c r="B22867" i="1"/>
  <c r="C22867" i="1"/>
  <c r="A22904" i="1"/>
  <c r="B22904" i="1"/>
  <c r="C22904" i="1"/>
  <c r="A22604" i="1"/>
  <c r="B22604" i="1"/>
  <c r="C22604" i="1"/>
  <c r="A17480" i="1"/>
  <c r="B17480" i="1"/>
  <c r="C17480" i="1"/>
  <c r="A8565" i="1"/>
  <c r="B8565" i="1"/>
  <c r="C8565" i="1"/>
  <c r="A4797" i="1"/>
  <c r="B4797" i="1"/>
  <c r="C4797" i="1"/>
  <c r="A5875" i="1"/>
  <c r="B5875" i="1"/>
  <c r="C5875" i="1"/>
  <c r="A14217" i="1"/>
  <c r="B14217" i="1"/>
  <c r="C14217" i="1"/>
  <c r="A9714" i="1"/>
  <c r="B9714" i="1"/>
  <c r="C9714" i="1"/>
  <c r="A9613" i="1"/>
  <c r="B9613" i="1"/>
  <c r="C9613" i="1"/>
  <c r="A9612" i="1"/>
  <c r="B9612" i="1"/>
  <c r="C9612" i="1"/>
  <c r="A15529" i="1"/>
  <c r="B15529" i="1"/>
  <c r="C15529" i="1"/>
  <c r="A18375" i="1"/>
  <c r="B18375" i="1"/>
  <c r="C18375" i="1"/>
  <c r="A708" i="1"/>
  <c r="B708" i="1"/>
  <c r="C708" i="1"/>
  <c r="A18402" i="1"/>
  <c r="B18402" i="1"/>
  <c r="C18402" i="1"/>
  <c r="A1629" i="1"/>
  <c r="B1629" i="1"/>
  <c r="C1629" i="1"/>
  <c r="A8172" i="1"/>
  <c r="B8172" i="1"/>
  <c r="C8172" i="1"/>
  <c r="A10468" i="1"/>
  <c r="B10468" i="1"/>
  <c r="C10468" i="1"/>
  <c r="A8232" i="1"/>
  <c r="B8232" i="1"/>
  <c r="C8232" i="1"/>
  <c r="A5619" i="1"/>
  <c r="B5619" i="1"/>
  <c r="C5619" i="1"/>
  <c r="A9952" i="1"/>
  <c r="B9952" i="1"/>
  <c r="C9952" i="1"/>
  <c r="A17607" i="1"/>
  <c r="B17607" i="1"/>
  <c r="C17607" i="1"/>
  <c r="A1839" i="1"/>
  <c r="B1839" i="1"/>
  <c r="C1839" i="1"/>
  <c r="A22715" i="1"/>
  <c r="B22715" i="1"/>
  <c r="C22715" i="1"/>
  <c r="A7808" i="1"/>
  <c r="B7808" i="1"/>
  <c r="C7808" i="1"/>
  <c r="A19520" i="1"/>
  <c r="B19520" i="1"/>
  <c r="C19520" i="1"/>
  <c r="A1284" i="1"/>
  <c r="B1284" i="1"/>
  <c r="C1284" i="1"/>
  <c r="A22720" i="1"/>
  <c r="B22720" i="1"/>
  <c r="C22720" i="1"/>
  <c r="A1320" i="1"/>
  <c r="B1320" i="1"/>
  <c r="C1320" i="1"/>
  <c r="A9968" i="1"/>
  <c r="B9968" i="1"/>
  <c r="C9968" i="1"/>
  <c r="A10437" i="1"/>
  <c r="B10437" i="1"/>
  <c r="C10437" i="1"/>
  <c r="A17606" i="1"/>
  <c r="B17606" i="1"/>
  <c r="C17606" i="1"/>
  <c r="A20106" i="1"/>
  <c r="B20106" i="1"/>
  <c r="C20106" i="1"/>
  <c r="A3358" i="1"/>
  <c r="B3358" i="1"/>
  <c r="C3358" i="1"/>
  <c r="A12289" i="1"/>
  <c r="C12289" i="1"/>
  <c r="A16184" i="1"/>
  <c r="B16184" i="1"/>
  <c r="C16184" i="1"/>
  <c r="A8367" i="1"/>
  <c r="B8367" i="1"/>
  <c r="C8367" i="1"/>
  <c r="A12187" i="1"/>
  <c r="B12187" i="1"/>
  <c r="C12187" i="1"/>
  <c r="A17647" i="1"/>
  <c r="B17647" i="1"/>
  <c r="C17647" i="1"/>
  <c r="A5294" i="1"/>
  <c r="B5294" i="1"/>
  <c r="C5294" i="1"/>
  <c r="A7115" i="1"/>
  <c r="B7115" i="1"/>
  <c r="C7115" i="1"/>
  <c r="A7114" i="1"/>
  <c r="B7114" i="1"/>
  <c r="C7114" i="1"/>
  <c r="A10697" i="1"/>
  <c r="B10697" i="1"/>
  <c r="C10697" i="1"/>
  <c r="A7669" i="1"/>
  <c r="B7669" i="1"/>
  <c r="C7669" i="1"/>
  <c r="A7668" i="1"/>
  <c r="B7668" i="1"/>
  <c r="C7668" i="1"/>
  <c r="A3398" i="1"/>
  <c r="B3398" i="1"/>
  <c r="C3398" i="1"/>
  <c r="A3420" i="1"/>
  <c r="B3420" i="1"/>
  <c r="C3420" i="1"/>
  <c r="A3432" i="1"/>
  <c r="B3432" i="1"/>
  <c r="C3432" i="1"/>
  <c r="A3405" i="1"/>
  <c r="B3405" i="1"/>
  <c r="C3405" i="1"/>
  <c r="A11404" i="1"/>
  <c r="B11404" i="1"/>
  <c r="C11404" i="1"/>
  <c r="A14744" i="1"/>
  <c r="B14744" i="1"/>
  <c r="C14744" i="1"/>
  <c r="A24844" i="1"/>
  <c r="B24844" i="1"/>
  <c r="C24844" i="1"/>
  <c r="A22973" i="1"/>
  <c r="B22973" i="1"/>
  <c r="C22973" i="1"/>
  <c r="A6638" i="1"/>
  <c r="B6638" i="1"/>
  <c r="C6638" i="1"/>
  <c r="A1391" i="1"/>
  <c r="B1391" i="1"/>
  <c r="C1391" i="1"/>
  <c r="A16796" i="1"/>
  <c r="B16796" i="1"/>
  <c r="C16796" i="1"/>
  <c r="A23499" i="1"/>
  <c r="B23499" i="1"/>
  <c r="C23499" i="1"/>
  <c r="A11443" i="1"/>
  <c r="B11443" i="1"/>
  <c r="C11443" i="1"/>
  <c r="A20377" i="1"/>
  <c r="B20377" i="1"/>
  <c r="C20377" i="1"/>
  <c r="A9609" i="1"/>
  <c r="B9609" i="1"/>
  <c r="C9609" i="1"/>
  <c r="A7362" i="1"/>
  <c r="B7362" i="1"/>
  <c r="C7362" i="1"/>
  <c r="A8266" i="1"/>
  <c r="B8266" i="1"/>
  <c r="C8266" i="1"/>
  <c r="A8267" i="1"/>
  <c r="B8267" i="1"/>
  <c r="C8267" i="1"/>
  <c r="A19022" i="1"/>
  <c r="B19022" i="1"/>
  <c r="C19022" i="1"/>
  <c r="A19024" i="1"/>
  <c r="B19024" i="1"/>
  <c r="C19024" i="1"/>
  <c r="A19038" i="1"/>
  <c r="B19038" i="1"/>
  <c r="C19038" i="1"/>
  <c r="A12270" i="1"/>
  <c r="B12270" i="1"/>
  <c r="C12270" i="1"/>
  <c r="A12274" i="1"/>
  <c r="B12274" i="1"/>
  <c r="C12274" i="1"/>
  <c r="A11359" i="1"/>
  <c r="B11359" i="1"/>
  <c r="C11359" i="1"/>
  <c r="A24975" i="1"/>
  <c r="B24975" i="1"/>
  <c r="C24975" i="1"/>
  <c r="A25336" i="1"/>
  <c r="B25336" i="1"/>
  <c r="C25336" i="1"/>
  <c r="A19467" i="1"/>
  <c r="B19467" i="1"/>
  <c r="C19467" i="1"/>
  <c r="A12745" i="1"/>
  <c r="B12745" i="1"/>
  <c r="C12745" i="1"/>
  <c r="A15829" i="1"/>
  <c r="B15829" i="1"/>
  <c r="C15829" i="1"/>
  <c r="A856" i="1"/>
  <c r="B856" i="1"/>
  <c r="C856" i="1"/>
  <c r="A840" i="1"/>
  <c r="B840" i="1"/>
  <c r="C840" i="1"/>
  <c r="A2237" i="1"/>
  <c r="B2237" i="1"/>
  <c r="C2237" i="1"/>
  <c r="A21858" i="1"/>
  <c r="B21858" i="1"/>
  <c r="C21858" i="1"/>
  <c r="A6428" i="1"/>
  <c r="B6428" i="1"/>
  <c r="C6428" i="1"/>
  <c r="A8593" i="1"/>
  <c r="B8593" i="1"/>
  <c r="C8593" i="1"/>
  <c r="A19770" i="1"/>
  <c r="B19770" i="1"/>
  <c r="C19770" i="1"/>
  <c r="A21627" i="1"/>
  <c r="B21627" i="1"/>
  <c r="C21627" i="1"/>
  <c r="A25296" i="1"/>
  <c r="B25296" i="1"/>
  <c r="C25296" i="1"/>
  <c r="A3543" i="1"/>
  <c r="B3543" i="1"/>
  <c r="C3543" i="1"/>
  <c r="A15358" i="1"/>
  <c r="B15358" i="1"/>
  <c r="C15358" i="1"/>
  <c r="A16469" i="1"/>
  <c r="B16469" i="1"/>
  <c r="C16469" i="1"/>
  <c r="A25599" i="1"/>
  <c r="B25599" i="1"/>
  <c r="C25599" i="1"/>
  <c r="A20802" i="1"/>
  <c r="B20802" i="1"/>
  <c r="C20802" i="1"/>
  <c r="A14921" i="1"/>
  <c r="B14921" i="1"/>
  <c r="C14921" i="1"/>
  <c r="A17517" i="1"/>
  <c r="B17517" i="1"/>
  <c r="C17517" i="1"/>
  <c r="A11622" i="1"/>
  <c r="B11622" i="1"/>
  <c r="C11622" i="1"/>
  <c r="A6782" i="1"/>
  <c r="B6782" i="1"/>
  <c r="C6782" i="1"/>
  <c r="A9875" i="1"/>
  <c r="B9875" i="1"/>
  <c r="C9875" i="1"/>
  <c r="A17399" i="1"/>
  <c r="B17399" i="1"/>
  <c r="C17399" i="1"/>
  <c r="A24805" i="1"/>
  <c r="B24805" i="1"/>
  <c r="C24805" i="1"/>
  <c r="A24800" i="1"/>
  <c r="B24800" i="1"/>
  <c r="C24800" i="1"/>
  <c r="A17320" i="1"/>
  <c r="B17320" i="1"/>
  <c r="C17320" i="1"/>
  <c r="A7303" i="1"/>
  <c r="B7303" i="1"/>
  <c r="C7303" i="1"/>
  <c r="A6878" i="1"/>
  <c r="B6878" i="1"/>
  <c r="C6878" i="1"/>
  <c r="A9053" i="1"/>
  <c r="B9053" i="1"/>
  <c r="C9053" i="1"/>
  <c r="A16834" i="1"/>
  <c r="B16834" i="1"/>
  <c r="C16834" i="1"/>
  <c r="A19331" i="1"/>
  <c r="B19331" i="1"/>
  <c r="C19331" i="1"/>
  <c r="A7291" i="1"/>
  <c r="B7291" i="1"/>
  <c r="C7291" i="1"/>
  <c r="A12809" i="1"/>
  <c r="B12809" i="1"/>
  <c r="C12809" i="1"/>
  <c r="A6920" i="1"/>
  <c r="B6920" i="1"/>
  <c r="C6920" i="1"/>
  <c r="A19883" i="1"/>
  <c r="B19883" i="1"/>
  <c r="C19883" i="1"/>
  <c r="A16202" i="1"/>
  <c r="B16202" i="1"/>
  <c r="C16202" i="1"/>
  <c r="A9441" i="1"/>
  <c r="B9441" i="1"/>
  <c r="C9441" i="1"/>
  <c r="A20803" i="1"/>
  <c r="B20803" i="1"/>
  <c r="C20803" i="1"/>
  <c r="A12286" i="1"/>
  <c r="B12286" i="1"/>
  <c r="C12286" i="1"/>
  <c r="A16218" i="1"/>
  <c r="B16218" i="1"/>
  <c r="C16218" i="1"/>
  <c r="A12606" i="1"/>
  <c r="B12606" i="1"/>
  <c r="C12606" i="1"/>
  <c r="A12271" i="1"/>
  <c r="B12271" i="1"/>
  <c r="C12271" i="1"/>
  <c r="A17184" i="1"/>
  <c r="B17184" i="1"/>
  <c r="C17184" i="1"/>
  <c r="A17183" i="1"/>
  <c r="B17183" i="1"/>
  <c r="C17183" i="1"/>
  <c r="A7052" i="1"/>
  <c r="B7052" i="1"/>
  <c r="C7052" i="1"/>
  <c r="A7045" i="1"/>
  <c r="B7045" i="1"/>
  <c r="C7045" i="1"/>
  <c r="A12503" i="1"/>
  <c r="B12503" i="1"/>
  <c r="C12503" i="1"/>
  <c r="A10251" i="1"/>
  <c r="B10251" i="1"/>
  <c r="C10251" i="1"/>
  <c r="A17436" i="1"/>
  <c r="B17436" i="1"/>
  <c r="C17436" i="1"/>
  <c r="A17437" i="1"/>
  <c r="B17437" i="1"/>
  <c r="C17437" i="1"/>
  <c r="A17434" i="1"/>
  <c r="B17434" i="1"/>
  <c r="C17434" i="1"/>
  <c r="A10302" i="1"/>
  <c r="B10302" i="1"/>
  <c r="C10302" i="1"/>
  <c r="A12048" i="1"/>
  <c r="B12048" i="1"/>
  <c r="C12048" i="1"/>
  <c r="A5541" i="1"/>
  <c r="B5541" i="1"/>
  <c r="C5541" i="1"/>
  <c r="A23682" i="1"/>
  <c r="B23682" i="1"/>
  <c r="C23682" i="1"/>
  <c r="A23026" i="1"/>
  <c r="B23026" i="1"/>
  <c r="C23026" i="1"/>
  <c r="A15318" i="1"/>
  <c r="B15318" i="1"/>
  <c r="C15318" i="1"/>
  <c r="A15301" i="1"/>
  <c r="B15301" i="1"/>
  <c r="C15301" i="1"/>
  <c r="A24480" i="1"/>
  <c r="B24480" i="1"/>
  <c r="C24480" i="1"/>
  <c r="A23945" i="1"/>
  <c r="B23945" i="1"/>
  <c r="C23945" i="1"/>
  <c r="A368" i="1"/>
  <c r="B368" i="1"/>
  <c r="C368" i="1"/>
  <c r="A15344" i="1"/>
  <c r="B15344" i="1"/>
  <c r="C15344" i="1"/>
  <c r="A17599" i="1"/>
  <c r="B17599" i="1"/>
  <c r="C17599" i="1"/>
  <c r="A22040" i="1"/>
  <c r="B22040" i="1"/>
  <c r="C22040" i="1"/>
  <c r="A21083" i="1"/>
  <c r="B21083" i="1"/>
  <c r="C21083" i="1"/>
  <c r="A4409" i="1"/>
  <c r="B4409" i="1"/>
  <c r="C4409" i="1"/>
  <c r="A18252" i="1"/>
  <c r="B18252" i="1"/>
  <c r="C18252" i="1"/>
  <c r="A1640" i="1"/>
  <c r="B1640" i="1"/>
  <c r="C1640" i="1"/>
  <c r="A14936" i="1"/>
  <c r="B14936" i="1"/>
  <c r="C14936" i="1"/>
  <c r="A9945" i="1"/>
  <c r="B9945" i="1"/>
  <c r="C9945" i="1"/>
  <c r="A9946" i="1"/>
  <c r="B9946" i="1"/>
  <c r="C9946" i="1"/>
  <c r="A3622" i="1"/>
  <c r="B3622" i="1"/>
  <c r="C3622" i="1"/>
  <c r="A3621" i="1"/>
  <c r="B3621" i="1"/>
  <c r="C3621" i="1"/>
  <c r="A9536" i="1"/>
  <c r="B9536" i="1"/>
  <c r="C9536" i="1"/>
  <c r="A13340" i="1"/>
  <c r="B13340" i="1"/>
  <c r="C13340" i="1"/>
  <c r="A18154" i="1"/>
  <c r="B18154" i="1"/>
  <c r="C18154" i="1"/>
  <c r="A24266" i="1"/>
  <c r="B24266" i="1"/>
  <c r="C24266" i="1"/>
  <c r="A15931" i="1"/>
  <c r="B15931" i="1"/>
  <c r="C15931" i="1"/>
  <c r="A12298" i="1"/>
  <c r="B12298" i="1"/>
  <c r="C12298" i="1"/>
  <c r="A4382" i="1"/>
  <c r="B4382" i="1"/>
  <c r="C4382" i="1"/>
  <c r="A9525" i="1"/>
  <c r="B9525" i="1"/>
  <c r="C9525" i="1"/>
  <c r="A6520" i="1"/>
  <c r="B6520" i="1"/>
  <c r="C6520" i="1"/>
  <c r="A12593" i="1"/>
  <c r="B12593" i="1"/>
  <c r="C12593" i="1"/>
  <c r="A7032" i="1"/>
  <c r="B7032" i="1"/>
  <c r="C7032" i="1"/>
  <c r="A11351" i="1"/>
  <c r="B11351" i="1"/>
  <c r="C11351" i="1"/>
  <c r="A232" i="1"/>
  <c r="B232" i="1"/>
  <c r="C232" i="1"/>
  <c r="A10660" i="1"/>
  <c r="B10660" i="1"/>
  <c r="C10660" i="1"/>
  <c r="A10927" i="1"/>
  <c r="B10927" i="1"/>
  <c r="C10927" i="1"/>
  <c r="A89" i="1"/>
  <c r="B89" i="1"/>
  <c r="C89" i="1"/>
  <c r="A9990" i="1"/>
  <c r="B9990" i="1"/>
  <c r="C9990" i="1"/>
  <c r="A4103" i="1"/>
  <c r="B4103" i="1"/>
  <c r="C4103" i="1"/>
  <c r="A16504" i="1"/>
  <c r="B16504" i="1"/>
  <c r="C16504" i="1"/>
  <c r="A19827" i="1"/>
  <c r="B19827" i="1"/>
  <c r="C19827" i="1"/>
  <c r="A15478" i="1"/>
  <c r="B15478" i="1"/>
  <c r="C15478" i="1"/>
  <c r="A15159" i="1"/>
  <c r="B15159" i="1"/>
  <c r="C15159" i="1"/>
  <c r="A47" i="1"/>
  <c r="B47" i="1"/>
  <c r="C47" i="1"/>
  <c r="A20628" i="1"/>
  <c r="B20628" i="1"/>
  <c r="C20628" i="1"/>
  <c r="A14508" i="1"/>
  <c r="B14508" i="1"/>
  <c r="C14508" i="1"/>
  <c r="A15245" i="1"/>
  <c r="B15245" i="1"/>
  <c r="C15245" i="1"/>
  <c r="A24154" i="1"/>
  <c r="B24154" i="1"/>
  <c r="C24154" i="1"/>
  <c r="A18198" i="1"/>
  <c r="B18198" i="1"/>
  <c r="C18198" i="1"/>
  <c r="A19879" i="1"/>
  <c r="B19879" i="1"/>
  <c r="C19879" i="1"/>
  <c r="A2228" i="1"/>
  <c r="B2228" i="1"/>
  <c r="C2228" i="1"/>
  <c r="A16853" i="1"/>
  <c r="B16853" i="1"/>
  <c r="C16853" i="1"/>
  <c r="A10195" i="1"/>
  <c r="B10195" i="1"/>
  <c r="C10195" i="1"/>
  <c r="A11178" i="1"/>
  <c r="B11178" i="1"/>
  <c r="C11178" i="1"/>
  <c r="A2125" i="1"/>
  <c r="B2125" i="1"/>
  <c r="C2125" i="1"/>
  <c r="A15373" i="1"/>
  <c r="B15373" i="1"/>
  <c r="C15373" i="1"/>
  <c r="A169" i="1"/>
  <c r="B169" i="1"/>
  <c r="C169" i="1"/>
  <c r="A170" i="1"/>
  <c r="B170" i="1"/>
  <c r="C170" i="1"/>
  <c r="A168" i="1"/>
  <c r="B168" i="1"/>
  <c r="C168" i="1"/>
  <c r="A22858" i="1"/>
  <c r="B22858" i="1"/>
  <c r="C22858" i="1"/>
  <c r="A9380" i="1"/>
  <c r="B9380" i="1"/>
  <c r="C9380" i="1"/>
  <c r="A1178" i="1"/>
  <c r="B1178" i="1"/>
  <c r="C1178" i="1"/>
  <c r="A3040" i="1"/>
  <c r="B3040" i="1"/>
  <c r="C3040" i="1"/>
  <c r="A15215" i="1"/>
  <c r="B15215" i="1"/>
  <c r="C15215" i="1"/>
  <c r="A2505" i="1"/>
  <c r="B2505" i="1"/>
  <c r="C2505" i="1"/>
  <c r="A21614" i="1"/>
  <c r="B21614" i="1"/>
  <c r="C21614" i="1"/>
  <c r="A25294" i="1"/>
  <c r="B25294" i="1"/>
  <c r="C25294" i="1"/>
  <c r="A16122" i="1"/>
  <c r="B16122" i="1"/>
  <c r="C16122" i="1"/>
  <c r="A11895" i="1"/>
  <c r="B11895" i="1"/>
  <c r="C11895" i="1"/>
  <c r="A12737" i="1"/>
  <c r="B12737" i="1"/>
  <c r="C12737" i="1"/>
  <c r="A6019" i="1"/>
  <c r="B6019" i="1"/>
  <c r="C6019" i="1"/>
  <c r="A3097" i="1"/>
  <c r="B3097" i="1"/>
  <c r="C3097" i="1"/>
  <c r="A12269" i="1"/>
  <c r="B12269" i="1"/>
  <c r="C12269" i="1"/>
  <c r="A17630" i="1"/>
  <c r="B17630" i="1"/>
  <c r="C17630" i="1"/>
  <c r="A21856" i="1"/>
  <c r="B21856" i="1"/>
  <c r="C21856" i="1"/>
  <c r="A22544" i="1"/>
  <c r="B22544" i="1"/>
  <c r="C22544" i="1"/>
  <c r="A2022" i="1"/>
  <c r="B2022" i="1"/>
  <c r="C2022" i="1"/>
  <c r="A18722" i="1"/>
  <c r="B18722" i="1"/>
  <c r="C18722" i="1"/>
  <c r="A18720" i="1"/>
  <c r="B18720" i="1"/>
  <c r="C18720" i="1"/>
  <c r="A24916" i="1"/>
  <c r="B24916" i="1"/>
  <c r="C24916" i="1"/>
  <c r="A24943" i="1"/>
  <c r="B24943" i="1"/>
  <c r="C24943" i="1"/>
  <c r="A13488" i="1"/>
  <c r="B13488" i="1"/>
  <c r="C13488" i="1"/>
  <c r="A13489" i="1"/>
  <c r="B13489" i="1"/>
  <c r="C13489" i="1"/>
  <c r="A15517" i="1"/>
  <c r="B15517" i="1"/>
  <c r="C15517" i="1"/>
  <c r="A15510" i="1"/>
  <c r="B15510" i="1"/>
  <c r="C15510" i="1"/>
  <c r="A15511" i="1"/>
  <c r="B15511" i="1"/>
  <c r="C15511" i="1"/>
  <c r="A15512" i="1"/>
  <c r="B15512" i="1"/>
  <c r="C15512" i="1"/>
  <c r="A15514" i="1"/>
  <c r="B15514" i="1"/>
  <c r="C15514" i="1"/>
  <c r="A15509" i="1"/>
  <c r="B15509" i="1"/>
  <c r="C15509" i="1"/>
  <c r="A15513" i="1"/>
  <c r="B15513" i="1"/>
  <c r="C15513" i="1"/>
  <c r="A24724" i="1"/>
  <c r="B24724" i="1"/>
  <c r="C24724" i="1"/>
  <c r="A10964" i="1"/>
  <c r="B10964" i="1"/>
  <c r="C10964" i="1"/>
  <c r="A16058" i="1"/>
  <c r="B16058" i="1"/>
  <c r="C16058" i="1"/>
  <c r="A20299" i="1"/>
  <c r="B20299" i="1"/>
  <c r="C20299" i="1"/>
  <c r="A6539" i="1"/>
  <c r="B6539" i="1"/>
  <c r="C6539" i="1"/>
  <c r="A6538" i="1"/>
  <c r="B6538" i="1"/>
  <c r="C6538" i="1"/>
  <c r="A6534" i="1"/>
  <c r="B6534" i="1"/>
  <c r="C6534" i="1"/>
  <c r="A15779" i="1"/>
  <c r="B15779" i="1"/>
  <c r="C15779" i="1"/>
  <c r="A21833" i="1"/>
  <c r="B21833" i="1"/>
  <c r="C21833" i="1"/>
  <c r="A20435" i="1"/>
  <c r="B20435" i="1"/>
  <c r="C20435" i="1"/>
  <c r="A14923" i="1"/>
  <c r="B14923" i="1"/>
  <c r="C14923" i="1"/>
  <c r="A23049" i="1"/>
  <c r="B23049" i="1"/>
  <c r="C23049" i="1"/>
  <c r="A12595" i="1"/>
  <c r="B12595" i="1"/>
  <c r="C12595" i="1"/>
  <c r="A1088" i="1"/>
  <c r="B1088" i="1"/>
  <c r="C1088" i="1"/>
  <c r="A1474" i="1"/>
  <c r="B1474" i="1"/>
  <c r="C1474" i="1"/>
  <c r="A987" i="1"/>
  <c r="B987" i="1"/>
  <c r="C987" i="1"/>
  <c r="A1089" i="1"/>
  <c r="B1089" i="1"/>
  <c r="C1089" i="1"/>
  <c r="A1475" i="1"/>
  <c r="B1475" i="1"/>
  <c r="C1475" i="1"/>
  <c r="A5332" i="1"/>
  <c r="B5332" i="1"/>
  <c r="C5332" i="1"/>
  <c r="A20833" i="1"/>
  <c r="B20833" i="1"/>
  <c r="C20833" i="1"/>
  <c r="A1984" i="1"/>
  <c r="B1984" i="1"/>
  <c r="C1984" i="1"/>
  <c r="A1906" i="1"/>
  <c r="B1906" i="1"/>
  <c r="C1906" i="1"/>
  <c r="A19323" i="1"/>
  <c r="B19323" i="1"/>
  <c r="C19323" i="1"/>
  <c r="A23227" i="1"/>
  <c r="B23227" i="1"/>
  <c r="C23227" i="1"/>
  <c r="A335" i="1"/>
  <c r="B335" i="1"/>
  <c r="C335" i="1"/>
  <c r="A337" i="1"/>
  <c r="B337" i="1"/>
  <c r="C337" i="1"/>
  <c r="A334" i="1"/>
  <c r="B334" i="1"/>
  <c r="C334" i="1"/>
  <c r="A331" i="1"/>
  <c r="B331" i="1"/>
  <c r="C331" i="1"/>
  <c r="A19639" i="1"/>
  <c r="B19639" i="1"/>
  <c r="C19639" i="1"/>
  <c r="A19640" i="1"/>
  <c r="B19640" i="1"/>
  <c r="C19640" i="1"/>
  <c r="A4740" i="1"/>
  <c r="B4740" i="1"/>
  <c r="C4740" i="1"/>
  <c r="A12454" i="1"/>
  <c r="B12454" i="1"/>
  <c r="C12454" i="1"/>
  <c r="A21500" i="1"/>
  <c r="B21500" i="1"/>
  <c r="C21500" i="1"/>
  <c r="A17634" i="1"/>
  <c r="B17634" i="1"/>
  <c r="C17634" i="1"/>
  <c r="A12282" i="1"/>
  <c r="B12282" i="1"/>
  <c r="C12282" i="1"/>
  <c r="A16427" i="1"/>
  <c r="B16427" i="1"/>
  <c r="C16427" i="1"/>
  <c r="A1867" i="1"/>
  <c r="B1867" i="1"/>
  <c r="C1867" i="1"/>
  <c r="A6056" i="1"/>
  <c r="B6056" i="1"/>
  <c r="C6056" i="1"/>
  <c r="A23424" i="1"/>
  <c r="B23424" i="1"/>
  <c r="C23424" i="1"/>
  <c r="A23426" i="1"/>
  <c r="B23426" i="1"/>
  <c r="C23426" i="1"/>
  <c r="A25443" i="1"/>
  <c r="B25443" i="1"/>
  <c r="C25443" i="1"/>
  <c r="A23463" i="1"/>
  <c r="B23463" i="1"/>
  <c r="C23463" i="1"/>
  <c r="A7138" i="1"/>
  <c r="B7138" i="1"/>
  <c r="C7138" i="1"/>
  <c r="A12544" i="1"/>
  <c r="B12544" i="1"/>
  <c r="C12544" i="1"/>
  <c r="A16085" i="1"/>
  <c r="B16085" i="1"/>
  <c r="C16085" i="1"/>
  <c r="A13614" i="1"/>
  <c r="B13614" i="1"/>
  <c r="C13614" i="1"/>
  <c r="A21621" i="1"/>
  <c r="B21621" i="1"/>
  <c r="C21621" i="1"/>
  <c r="A25193" i="1"/>
  <c r="B25193" i="1"/>
  <c r="C25193" i="1"/>
  <c r="A959" i="1"/>
  <c r="B959" i="1"/>
  <c r="C959" i="1"/>
  <c r="A4690" i="1"/>
  <c r="B4690" i="1"/>
  <c r="C4690" i="1"/>
  <c r="A740" i="1"/>
  <c r="B740" i="1"/>
  <c r="C740" i="1"/>
  <c r="A1103" i="1"/>
  <c r="B1103" i="1"/>
  <c r="C1103" i="1"/>
  <c r="A13617" i="1"/>
  <c r="B13617" i="1"/>
  <c r="C13617" i="1"/>
  <c r="A21624" i="1"/>
  <c r="B21624" i="1"/>
  <c r="C21624" i="1"/>
  <c r="A25247" i="1"/>
  <c r="B25247" i="1"/>
  <c r="C25247" i="1"/>
  <c r="A13544" i="1"/>
  <c r="B13544" i="1"/>
  <c r="C13544" i="1"/>
  <c r="A13545" i="1"/>
  <c r="B13545" i="1"/>
  <c r="C13545" i="1"/>
  <c r="A13623" i="1"/>
  <c r="B13623" i="1"/>
  <c r="C13623" i="1"/>
  <c r="A16118" i="1"/>
  <c r="B16118" i="1"/>
  <c r="C16118" i="1"/>
  <c r="A25295" i="1"/>
  <c r="B25295" i="1"/>
  <c r="C25295" i="1"/>
  <c r="A21626" i="1"/>
  <c r="B21626" i="1"/>
  <c r="C21626" i="1"/>
  <c r="A13546" i="1"/>
  <c r="B13546" i="1"/>
  <c r="C13546" i="1"/>
  <c r="A13558" i="1"/>
  <c r="B13558" i="1"/>
  <c r="C13558" i="1"/>
  <c r="A12052" i="1"/>
  <c r="B12052" i="1"/>
  <c r="C12052" i="1"/>
  <c r="A24199" i="1"/>
  <c r="B24199" i="1"/>
  <c r="C24199" i="1"/>
  <c r="A3423" i="1"/>
  <c r="B3423" i="1"/>
  <c r="C3423" i="1"/>
  <c r="A1386" i="1"/>
  <c r="B1386" i="1"/>
  <c r="C1386" i="1"/>
  <c r="A5458" i="1"/>
  <c r="B5458" i="1"/>
  <c r="C5458" i="1"/>
  <c r="A5457" i="1"/>
  <c r="B5457" i="1"/>
  <c r="C5457" i="1"/>
  <c r="A5466" i="1"/>
  <c r="B5466" i="1"/>
  <c r="C5466" i="1"/>
  <c r="A3377" i="1"/>
  <c r="B3377" i="1"/>
  <c r="C3377" i="1"/>
  <c r="A2294" i="1"/>
  <c r="B2294" i="1"/>
  <c r="C2294" i="1"/>
  <c r="A10948" i="1"/>
  <c r="B10948" i="1"/>
  <c r="C10948" i="1"/>
  <c r="A19421" i="1"/>
  <c r="B19421" i="1"/>
  <c r="C19421" i="1"/>
  <c r="A3490" i="1"/>
  <c r="B3490" i="1"/>
  <c r="C3490" i="1"/>
  <c r="A3372" i="1"/>
  <c r="B3372" i="1"/>
  <c r="C3372" i="1"/>
  <c r="A17836" i="1"/>
  <c r="B17836" i="1"/>
  <c r="C17836" i="1"/>
  <c r="A20727" i="1"/>
  <c r="B20727" i="1"/>
  <c r="C20727" i="1"/>
  <c r="A3029" i="1"/>
  <c r="B3029" i="1"/>
  <c r="C3029" i="1"/>
  <c r="A20415" i="1"/>
  <c r="B20415" i="1"/>
  <c r="C20415" i="1"/>
  <c r="A20437" i="1"/>
  <c r="B20437" i="1"/>
  <c r="C20437" i="1"/>
  <c r="A20770" i="1"/>
  <c r="B20770" i="1"/>
  <c r="C20770" i="1"/>
  <c r="A8397" i="1"/>
  <c r="B8397" i="1"/>
  <c r="C8397" i="1"/>
  <c r="A20850" i="1"/>
  <c r="B20850" i="1"/>
  <c r="C20850" i="1"/>
  <c r="A17839" i="1"/>
  <c r="B17839" i="1"/>
  <c r="C17839" i="1"/>
  <c r="A17835" i="1"/>
  <c r="B17835" i="1"/>
  <c r="C17835" i="1"/>
  <c r="A15600" i="1"/>
  <c r="B15600" i="1"/>
  <c r="C15600" i="1"/>
  <c r="A7798" i="1"/>
  <c r="B7798" i="1"/>
  <c r="C7798" i="1"/>
  <c r="A6823" i="1"/>
  <c r="B6823" i="1"/>
  <c r="C6823" i="1"/>
  <c r="A2871" i="1"/>
  <c r="B2871" i="1"/>
  <c r="C2871" i="1"/>
  <c r="A16242" i="1"/>
  <c r="B16242" i="1"/>
  <c r="C16242" i="1"/>
  <c r="A2494" i="1"/>
  <c r="B2494" i="1"/>
  <c r="C2494" i="1"/>
  <c r="A15393" i="1"/>
  <c r="B15393" i="1"/>
  <c r="C15393" i="1"/>
  <c r="A116" i="1"/>
  <c r="B116" i="1"/>
  <c r="C116" i="1"/>
  <c r="A18189" i="1"/>
  <c r="B18189" i="1"/>
  <c r="C18189" i="1"/>
  <c r="A19463" i="1"/>
  <c r="B19463" i="1"/>
  <c r="C19463" i="1"/>
  <c r="A24001" i="1"/>
  <c r="B24001" i="1"/>
  <c r="C24001" i="1"/>
  <c r="A24008" i="1"/>
  <c r="B24008" i="1"/>
  <c r="C24008" i="1"/>
  <c r="A9816" i="1"/>
  <c r="B9816" i="1"/>
  <c r="C9816" i="1"/>
  <c r="A9815" i="1"/>
  <c r="B9815" i="1"/>
  <c r="C9815" i="1"/>
  <c r="A17615" i="1"/>
  <c r="B17615" i="1"/>
  <c r="C17615" i="1"/>
  <c r="A20220" i="1"/>
  <c r="B20220" i="1"/>
  <c r="C20220" i="1"/>
  <c r="A19876" i="1"/>
  <c r="B19876" i="1"/>
  <c r="C19876" i="1"/>
  <c r="A12533" i="1"/>
  <c r="B12533" i="1"/>
  <c r="C12533" i="1"/>
  <c r="A6748" i="1"/>
  <c r="B6748" i="1"/>
  <c r="C6748" i="1"/>
  <c r="A15380" i="1"/>
  <c r="B15380" i="1"/>
  <c r="C15380" i="1"/>
  <c r="A21570" i="1"/>
  <c r="B21570" i="1"/>
  <c r="C21570" i="1"/>
  <c r="A15475" i="1"/>
  <c r="B15475" i="1"/>
  <c r="C15475" i="1"/>
  <c r="A18833" i="1"/>
  <c r="B18833" i="1"/>
  <c r="C18833" i="1"/>
  <c r="A4391" i="1"/>
  <c r="B4391" i="1"/>
  <c r="C4391" i="1"/>
  <c r="A10667" i="1"/>
  <c r="B10667" i="1"/>
  <c r="C10667" i="1"/>
  <c r="A18899" i="1"/>
  <c r="B18899" i="1"/>
  <c r="C18899" i="1"/>
  <c r="A3675" i="1"/>
  <c r="B3675" i="1"/>
  <c r="C3675" i="1"/>
  <c r="A6757" i="1"/>
  <c r="B6757" i="1"/>
  <c r="C6757" i="1"/>
  <c r="A11914" i="1"/>
  <c r="B11914" i="1"/>
  <c r="C11914" i="1"/>
  <c r="A10693" i="1"/>
  <c r="B10693" i="1"/>
  <c r="C10693" i="1"/>
  <c r="A4801" i="1"/>
  <c r="B4801" i="1"/>
  <c r="C4801" i="1"/>
  <c r="A10165" i="1"/>
  <c r="B10165" i="1"/>
  <c r="C10165" i="1"/>
  <c r="A18848" i="1"/>
  <c r="B18848" i="1"/>
  <c r="C18848" i="1"/>
  <c r="A13499" i="1"/>
  <c r="B13499" i="1"/>
  <c r="C13499" i="1"/>
  <c r="A16644" i="1"/>
  <c r="B16644" i="1"/>
  <c r="C16644" i="1"/>
  <c r="A1852" i="1"/>
  <c r="B1852" i="1"/>
  <c r="C1852" i="1"/>
  <c r="A7189" i="1"/>
  <c r="B7189" i="1"/>
  <c r="C7189" i="1"/>
  <c r="A10959" i="1"/>
  <c r="B10959" i="1"/>
  <c r="C10959" i="1"/>
  <c r="A2700" i="1"/>
  <c r="B2700" i="1"/>
  <c r="C2700" i="1"/>
  <c r="A20733" i="1"/>
  <c r="B20733" i="1"/>
  <c r="C20733" i="1"/>
  <c r="A802" i="1"/>
  <c r="B802" i="1"/>
  <c r="C802" i="1"/>
  <c r="A24711" i="1"/>
  <c r="B24711" i="1"/>
  <c r="C24711" i="1"/>
  <c r="A10418" i="1"/>
  <c r="B10418" i="1"/>
  <c r="C10418" i="1"/>
  <c r="A2374" i="1"/>
  <c r="B2374" i="1"/>
  <c r="C2374" i="1"/>
  <c r="A4000" i="1"/>
  <c r="B4000" i="1"/>
  <c r="C4000" i="1"/>
  <c r="A11819" i="1"/>
  <c r="B11819" i="1"/>
  <c r="C11819" i="1"/>
  <c r="A23944" i="1"/>
  <c r="B23944" i="1"/>
  <c r="C23944" i="1"/>
  <c r="A10208" i="1"/>
  <c r="B10208" i="1"/>
  <c r="C10208" i="1"/>
  <c r="A409" i="1"/>
  <c r="B409" i="1"/>
  <c r="C409" i="1"/>
  <c r="A11437" i="1"/>
  <c r="B11437" i="1"/>
  <c r="C11437" i="1"/>
  <c r="A3002" i="1"/>
  <c r="B3002" i="1"/>
  <c r="C3002" i="1"/>
  <c r="A9868" i="1"/>
  <c r="B9868" i="1"/>
  <c r="C9868" i="1"/>
  <c r="A1882" i="1"/>
  <c r="B1882" i="1"/>
  <c r="C1882" i="1"/>
  <c r="A22589" i="1"/>
  <c r="B22589" i="1"/>
  <c r="C22589" i="1"/>
  <c r="A5566" i="1"/>
  <c r="B5566" i="1"/>
  <c r="C5566" i="1"/>
  <c r="A24003" i="1"/>
  <c r="B24003" i="1"/>
  <c r="C24003" i="1"/>
  <c r="A20178" i="1"/>
  <c r="B20178" i="1"/>
  <c r="C20178" i="1"/>
  <c r="A994" i="1"/>
  <c r="B994" i="1"/>
  <c r="C994" i="1"/>
  <c r="A995" i="1"/>
  <c r="B995" i="1"/>
  <c r="C995" i="1"/>
  <c r="A996" i="1"/>
  <c r="B996" i="1"/>
  <c r="C996" i="1"/>
  <c r="A246" i="1"/>
  <c r="B246" i="1"/>
  <c r="C246" i="1"/>
  <c r="A16331" i="1"/>
  <c r="B16331" i="1"/>
  <c r="C16331" i="1"/>
  <c r="A538" i="1"/>
  <c r="B538" i="1"/>
  <c r="C538" i="1"/>
  <c r="A17631" i="1"/>
  <c r="B17631" i="1"/>
  <c r="C17631" i="1"/>
  <c r="A2970" i="1"/>
  <c r="B2970" i="1"/>
  <c r="C2970" i="1"/>
  <c r="A25366" i="1"/>
  <c r="B25366" i="1"/>
  <c r="C25366" i="1"/>
  <c r="A11486" i="1"/>
  <c r="B11486" i="1"/>
  <c r="C11486" i="1"/>
  <c r="A8403" i="1"/>
  <c r="B8403" i="1"/>
  <c r="C8403" i="1"/>
  <c r="A25655" i="1"/>
  <c r="B25655" i="1"/>
  <c r="C25655" i="1"/>
  <c r="A2990" i="1"/>
  <c r="B2990" i="1"/>
  <c r="C2990" i="1"/>
  <c r="A17077" i="1"/>
  <c r="B17077" i="1"/>
  <c r="C17077" i="1"/>
  <c r="A24813" i="1"/>
  <c r="B24813" i="1"/>
  <c r="C24813" i="1"/>
  <c r="A8344" i="1"/>
  <c r="B8344" i="1"/>
  <c r="C8344" i="1"/>
  <c r="A6285" i="1"/>
  <c r="B6285" i="1"/>
  <c r="C6285" i="1"/>
  <c r="A16823" i="1"/>
  <c r="B16823" i="1"/>
  <c r="C16823" i="1"/>
  <c r="A7254" i="1"/>
  <c r="B7254" i="1"/>
  <c r="C7254" i="1"/>
  <c r="A3213" i="1"/>
  <c r="B3213" i="1"/>
  <c r="C3213" i="1"/>
  <c r="A3214" i="1"/>
  <c r="B3214" i="1"/>
  <c r="C3214" i="1"/>
  <c r="A6230" i="1"/>
  <c r="B6230" i="1"/>
  <c r="C6230" i="1"/>
  <c r="A844" i="1"/>
  <c r="B844" i="1"/>
  <c r="C844" i="1"/>
  <c r="A846" i="1"/>
  <c r="B846" i="1"/>
  <c r="C846" i="1"/>
  <c r="A812" i="1"/>
  <c r="B812" i="1"/>
  <c r="C812" i="1"/>
  <c r="A825" i="1"/>
  <c r="B825" i="1"/>
  <c r="C825" i="1"/>
  <c r="A18756" i="1"/>
  <c r="B18756" i="1"/>
  <c r="C18756" i="1"/>
  <c r="A10638" i="1"/>
  <c r="C10638" i="1"/>
  <c r="A17725" i="1"/>
  <c r="B17725" i="1"/>
  <c r="C17725" i="1"/>
  <c r="A18762" i="1"/>
  <c r="B18762" i="1"/>
  <c r="C18762" i="1"/>
  <c r="A11643" i="1"/>
  <c r="B11643" i="1"/>
  <c r="C11643" i="1"/>
  <c r="A7258" i="1"/>
  <c r="B7258" i="1"/>
  <c r="C7258" i="1"/>
  <c r="A557" i="1"/>
  <c r="B557" i="1"/>
  <c r="C557" i="1"/>
  <c r="A11952" i="1"/>
  <c r="B11952" i="1"/>
  <c r="C11952" i="1"/>
  <c r="A25373" i="1"/>
  <c r="B25373" i="1"/>
  <c r="C25373" i="1"/>
  <c r="A20664" i="1"/>
  <c r="B20664" i="1"/>
  <c r="C20664" i="1"/>
  <c r="A19476" i="1"/>
  <c r="B19476" i="1"/>
  <c r="C19476" i="1"/>
  <c r="A21738" i="1"/>
  <c r="B21738" i="1"/>
  <c r="C21738" i="1"/>
  <c r="A6153" i="1"/>
  <c r="B6153" i="1"/>
  <c r="C6153" i="1"/>
  <c r="A6154" i="1"/>
  <c r="B6154" i="1"/>
  <c r="C6154" i="1"/>
  <c r="A1925" i="1"/>
  <c r="B1925" i="1"/>
  <c r="C1925" i="1"/>
  <c r="A1991" i="1"/>
  <c r="B1991" i="1"/>
  <c r="C1991" i="1"/>
  <c r="A15546" i="1"/>
  <c r="B15546" i="1"/>
  <c r="C15546" i="1"/>
  <c r="A18372" i="1"/>
  <c r="B18372" i="1"/>
  <c r="C18372" i="1"/>
  <c r="A23129" i="1"/>
  <c r="B23129" i="1"/>
  <c r="C23129" i="1"/>
  <c r="A1336" i="1"/>
  <c r="B1336" i="1"/>
  <c r="C1336" i="1"/>
  <c r="A839" i="1"/>
  <c r="B839" i="1"/>
  <c r="C839" i="1"/>
  <c r="A847" i="1"/>
  <c r="B847" i="1"/>
  <c r="C847" i="1"/>
  <c r="A21065" i="1"/>
  <c r="B21065" i="1"/>
  <c r="C21065" i="1"/>
  <c r="A18825" i="1"/>
  <c r="B18825" i="1"/>
  <c r="C18825" i="1"/>
  <c r="A415" i="1"/>
  <c r="B415" i="1"/>
  <c r="C415" i="1"/>
  <c r="A1400" i="1"/>
  <c r="B1400" i="1"/>
  <c r="C1400" i="1"/>
  <c r="A10382" i="1"/>
  <c r="B10382" i="1"/>
  <c r="C10382" i="1"/>
  <c r="A18793" i="1"/>
  <c r="B18793" i="1"/>
  <c r="C18793" i="1"/>
  <c r="A18795" i="1"/>
  <c r="B18795" i="1"/>
  <c r="C18795" i="1"/>
  <c r="A22523" i="1"/>
  <c r="B22523" i="1"/>
  <c r="C22523" i="1"/>
  <c r="A24144" i="1"/>
  <c r="B24144" i="1"/>
  <c r="C24144" i="1"/>
  <c r="A10248" i="1"/>
  <c r="B10248" i="1"/>
  <c r="C10248" i="1"/>
  <c r="A23342" i="1"/>
  <c r="B23342" i="1"/>
  <c r="C23342" i="1"/>
  <c r="A5711" i="1"/>
  <c r="B5711" i="1"/>
  <c r="C5711" i="1"/>
  <c r="A277" i="1"/>
  <c r="B277" i="1"/>
  <c r="C277" i="1"/>
  <c r="A16163" i="1"/>
  <c r="B16163" i="1"/>
  <c r="C16163" i="1"/>
  <c r="A16935" i="1"/>
  <c r="B16935" i="1"/>
  <c r="C16935" i="1"/>
  <c r="A5355" i="1"/>
  <c r="B5355" i="1"/>
  <c r="C5355" i="1"/>
  <c r="A16966" i="1"/>
  <c r="B16966" i="1"/>
  <c r="C16966" i="1"/>
  <c r="A6856" i="1"/>
  <c r="B6856" i="1"/>
  <c r="C6856" i="1"/>
  <c r="A10709" i="1"/>
  <c r="B10709" i="1"/>
  <c r="C10709" i="1"/>
  <c r="A8048" i="1"/>
  <c r="B8048" i="1"/>
  <c r="C8048" i="1"/>
  <c r="A23340" i="1"/>
  <c r="B23340" i="1"/>
  <c r="C23340" i="1"/>
  <c r="A20817" i="1"/>
  <c r="B20817" i="1"/>
  <c r="C20817" i="1"/>
  <c r="A20753" i="1"/>
  <c r="B20753" i="1"/>
  <c r="C20753" i="1"/>
  <c r="A5708" i="1"/>
  <c r="B5708" i="1"/>
  <c r="C5708" i="1"/>
  <c r="A17148" i="1"/>
  <c r="B17148" i="1"/>
  <c r="C17148" i="1"/>
  <c r="A16923" i="1"/>
  <c r="B16923" i="1"/>
  <c r="C16923" i="1"/>
  <c r="A13719" i="1"/>
  <c r="B13719" i="1"/>
  <c r="C13719" i="1"/>
  <c r="A10383" i="1"/>
  <c r="B10383" i="1"/>
  <c r="C10383" i="1"/>
  <c r="A3306" i="1"/>
  <c r="B3306" i="1"/>
  <c r="C3306" i="1"/>
  <c r="A3307" i="1"/>
  <c r="B3307" i="1"/>
  <c r="C3307" i="1"/>
  <c r="A3308" i="1"/>
  <c r="B3308" i="1"/>
  <c r="C3308" i="1"/>
  <c r="A3309" i="1"/>
  <c r="B3309" i="1"/>
  <c r="C3309" i="1"/>
  <c r="A3310" i="1"/>
  <c r="B3310" i="1"/>
  <c r="C3310" i="1"/>
  <c r="A23993" i="1"/>
  <c r="B23993" i="1"/>
  <c r="C23993" i="1"/>
  <c r="A5733" i="1"/>
  <c r="B5733" i="1"/>
  <c r="C5733" i="1"/>
  <c r="A8922" i="1"/>
  <c r="B8922" i="1"/>
  <c r="C8922" i="1"/>
  <c r="A19051" i="1"/>
  <c r="B19051" i="1"/>
  <c r="C19051" i="1"/>
  <c r="A5732" i="1"/>
  <c r="B5732" i="1"/>
  <c r="C5732" i="1"/>
  <c r="A12704" i="1"/>
  <c r="B12704" i="1"/>
  <c r="C12704" i="1"/>
  <c r="A8203" i="1"/>
  <c r="B8203" i="1"/>
  <c r="C8203" i="1"/>
  <c r="A23133" i="1"/>
  <c r="B23133" i="1"/>
  <c r="C23133" i="1"/>
  <c r="A2991" i="1"/>
  <c r="B2991" i="1"/>
  <c r="C2991" i="1"/>
  <c r="A13446" i="1"/>
  <c r="B13446" i="1"/>
  <c r="C13446" i="1"/>
  <c r="A9379" i="1"/>
  <c r="B9379" i="1"/>
  <c r="C9379" i="1"/>
  <c r="A2998" i="1"/>
  <c r="B2998" i="1"/>
  <c r="C2998" i="1"/>
  <c r="A14725" i="1"/>
  <c r="B14725" i="1"/>
  <c r="C14725" i="1"/>
  <c r="A21687" i="1"/>
  <c r="B21687" i="1"/>
  <c r="C21687" i="1"/>
  <c r="A156" i="1"/>
  <c r="B156" i="1"/>
  <c r="C156" i="1"/>
  <c r="A24831" i="1"/>
  <c r="B24831" i="1"/>
  <c r="C24831" i="1"/>
  <c r="A11480" i="1"/>
  <c r="B11480" i="1"/>
  <c r="C11480" i="1"/>
  <c r="A4263" i="1"/>
  <c r="B4263" i="1"/>
  <c r="C4263" i="1"/>
  <c r="A9266" i="1"/>
  <c r="B9266" i="1"/>
  <c r="C9266" i="1"/>
  <c r="A14671" i="1"/>
  <c r="B14671" i="1"/>
  <c r="C14671" i="1"/>
  <c r="A864" i="1"/>
  <c r="C864" i="1"/>
  <c r="A861" i="1"/>
  <c r="C861" i="1"/>
  <c r="A841" i="1"/>
  <c r="B841" i="1"/>
  <c r="C841" i="1"/>
  <c r="A805" i="1"/>
  <c r="B805" i="1"/>
  <c r="C805" i="1"/>
  <c r="A787" i="1"/>
  <c r="B787" i="1"/>
  <c r="C787" i="1"/>
  <c r="A800" i="1"/>
  <c r="B800" i="1"/>
  <c r="C800" i="1"/>
  <c r="A803" i="1"/>
  <c r="B803" i="1"/>
  <c r="C803" i="1"/>
  <c r="A7513" i="1"/>
  <c r="B7513" i="1"/>
  <c r="C7513" i="1"/>
  <c r="A14711" i="1"/>
  <c r="B14711" i="1"/>
  <c r="C14711" i="1"/>
  <c r="A19311" i="1"/>
  <c r="B19311" i="1"/>
  <c r="C19311" i="1"/>
  <c r="A6278" i="1"/>
  <c r="B6278" i="1"/>
  <c r="C6278" i="1"/>
  <c r="A10242" i="1"/>
  <c r="B10242" i="1"/>
  <c r="C10242" i="1"/>
  <c r="A8026" i="1"/>
  <c r="B8026" i="1"/>
  <c r="C8026" i="1"/>
  <c r="A23318" i="1"/>
  <c r="B23318" i="1"/>
  <c r="C23318" i="1"/>
  <c r="A4688" i="1"/>
  <c r="B4688" i="1"/>
  <c r="C4688" i="1"/>
  <c r="A18867" i="1"/>
  <c r="B18867" i="1"/>
  <c r="C18867" i="1"/>
  <c r="A1596" i="1"/>
  <c r="B1596" i="1"/>
  <c r="C1596" i="1"/>
  <c r="A1589" i="1"/>
  <c r="B1589" i="1"/>
  <c r="C1589" i="1"/>
  <c r="A17307" i="1"/>
  <c r="B17307" i="1"/>
  <c r="C17307" i="1"/>
  <c r="A8137" i="1"/>
  <c r="B8137" i="1"/>
  <c r="C8137" i="1"/>
  <c r="A1911" i="1"/>
  <c r="B1911" i="1"/>
  <c r="C1911" i="1"/>
  <c r="A3382" i="1"/>
  <c r="B3382" i="1"/>
  <c r="C3382" i="1"/>
  <c r="A12027" i="1"/>
  <c r="B12027" i="1"/>
  <c r="C12027" i="1"/>
  <c r="A15768" i="1"/>
  <c r="B15768" i="1"/>
  <c r="C15768" i="1"/>
  <c r="A15769" i="1"/>
  <c r="B15769" i="1"/>
  <c r="C15769" i="1"/>
  <c r="A22614" i="1"/>
  <c r="B22614" i="1"/>
  <c r="C22614" i="1"/>
  <c r="A9090" i="1"/>
  <c r="B9090" i="1"/>
  <c r="C9090" i="1"/>
  <c r="A2666" i="1"/>
  <c r="B2666" i="1"/>
  <c r="C2666" i="1"/>
  <c r="A23160" i="1"/>
  <c r="B23160" i="1"/>
  <c r="C23160" i="1"/>
  <c r="A14530" i="1"/>
  <c r="B14530" i="1"/>
  <c r="C14530" i="1"/>
  <c r="A10913" i="1"/>
  <c r="B10913" i="1"/>
  <c r="C10913" i="1"/>
  <c r="A5334" i="1"/>
  <c r="B5334" i="1"/>
  <c r="C5334" i="1"/>
  <c r="A20739" i="1"/>
  <c r="B20739" i="1"/>
  <c r="C20739" i="1"/>
  <c r="A20785" i="1"/>
  <c r="B20785" i="1"/>
  <c r="C20785" i="1"/>
  <c r="A1978" i="1"/>
  <c r="B1978" i="1"/>
  <c r="C1978" i="1"/>
  <c r="A19993" i="1"/>
  <c r="B19993" i="1"/>
  <c r="C19993" i="1"/>
  <c r="A24695" i="1"/>
  <c r="B24695" i="1"/>
  <c r="C24695" i="1"/>
  <c r="A5461" i="1"/>
  <c r="B5461" i="1"/>
  <c r="C5461" i="1"/>
  <c r="A18309" i="1"/>
  <c r="B18309" i="1"/>
  <c r="C18309" i="1"/>
  <c r="A24514" i="1"/>
  <c r="B24514" i="1"/>
  <c r="C24514" i="1"/>
  <c r="A15449" i="1"/>
  <c r="B15449" i="1"/>
  <c r="C15449" i="1"/>
  <c r="A20914" i="1"/>
  <c r="B20914" i="1"/>
  <c r="C20914" i="1"/>
  <c r="A12406" i="1"/>
  <c r="B12406" i="1"/>
  <c r="C12406" i="1"/>
  <c r="A12490" i="1"/>
  <c r="B12490" i="1"/>
  <c r="C12490" i="1"/>
  <c r="A993" i="1"/>
  <c r="B993" i="1"/>
  <c r="C993" i="1"/>
  <c r="A984" i="1"/>
  <c r="B984" i="1"/>
  <c r="C984" i="1"/>
  <c r="A15725" i="1"/>
  <c r="B15725" i="1"/>
  <c r="C15725" i="1"/>
  <c r="A2068" i="1"/>
  <c r="B2068" i="1"/>
  <c r="C2068" i="1"/>
  <c r="A23579" i="1"/>
  <c r="B23579" i="1"/>
  <c r="C23579" i="1"/>
  <c r="A23581" i="1"/>
  <c r="B23581" i="1"/>
  <c r="C23581" i="1"/>
  <c r="A23580" i="1"/>
  <c r="B23580" i="1"/>
  <c r="C23580" i="1"/>
  <c r="A9719" i="1"/>
  <c r="B9719" i="1"/>
  <c r="C9719" i="1"/>
  <c r="A9138" i="1"/>
  <c r="B9138" i="1"/>
  <c r="C9138" i="1"/>
  <c r="A9136" i="1"/>
  <c r="B9136" i="1"/>
  <c r="C9136" i="1"/>
  <c r="A9130" i="1"/>
  <c r="B9130" i="1"/>
  <c r="C9130" i="1"/>
  <c r="A1914" i="1"/>
  <c r="B1914" i="1"/>
  <c r="C1914" i="1"/>
  <c r="A6320" i="1"/>
  <c r="B6320" i="1"/>
  <c r="C6320" i="1"/>
  <c r="A21063" i="1"/>
  <c r="B21063" i="1"/>
  <c r="C21063" i="1"/>
  <c r="A19159" i="1"/>
  <c r="B19159" i="1"/>
  <c r="C19159" i="1"/>
  <c r="A23751" i="1"/>
  <c r="B23751" i="1"/>
  <c r="C23751" i="1"/>
  <c r="A19179" i="1"/>
  <c r="B19179" i="1"/>
  <c r="C19179" i="1"/>
  <c r="A19181" i="1"/>
  <c r="B19181" i="1"/>
  <c r="C19181" i="1"/>
  <c r="A5547" i="1"/>
  <c r="B5547" i="1"/>
  <c r="C5547" i="1"/>
  <c r="A17032" i="1"/>
  <c r="B17032" i="1"/>
  <c r="C17032" i="1"/>
  <c r="A6961" i="1"/>
  <c r="B6961" i="1"/>
  <c r="C6961" i="1"/>
  <c r="A5571" i="1"/>
  <c r="B5571" i="1"/>
  <c r="C5571" i="1"/>
  <c r="A14294" i="1"/>
  <c r="B14294" i="1"/>
  <c r="C14294" i="1"/>
  <c r="A8615" i="1"/>
  <c r="B8615" i="1"/>
  <c r="C8615" i="1"/>
  <c r="A8623" i="1"/>
  <c r="B8623" i="1"/>
  <c r="C8623" i="1"/>
  <c r="A8554" i="1"/>
  <c r="B8554" i="1"/>
  <c r="C8554" i="1"/>
  <c r="A9830" i="1"/>
  <c r="B9830" i="1"/>
  <c r="C9830" i="1"/>
  <c r="A3581" i="1"/>
  <c r="B3581" i="1"/>
  <c r="C3581" i="1"/>
  <c r="A8328" i="1"/>
  <c r="B8328" i="1"/>
  <c r="C8328" i="1"/>
  <c r="A13352" i="1"/>
  <c r="B13352" i="1"/>
  <c r="C13352" i="1"/>
  <c r="A19633" i="1"/>
  <c r="B19633" i="1"/>
  <c r="C19633" i="1"/>
  <c r="A13353" i="1"/>
  <c r="B13353" i="1"/>
  <c r="C13353" i="1"/>
  <c r="A11804" i="1"/>
  <c r="B11804" i="1"/>
  <c r="C11804" i="1"/>
  <c r="A25691" i="1"/>
  <c r="B25691" i="1"/>
  <c r="C25691" i="1"/>
  <c r="A15218" i="1"/>
  <c r="B15218" i="1"/>
  <c r="C15218" i="1"/>
  <c r="A15219" i="1"/>
  <c r="B15219" i="1"/>
  <c r="C15219" i="1"/>
  <c r="A23573" i="1"/>
  <c r="B23573" i="1"/>
  <c r="C23573" i="1"/>
  <c r="A23574" i="1"/>
  <c r="B23574" i="1"/>
  <c r="C23574" i="1"/>
  <c r="A24812" i="1"/>
  <c r="B24812" i="1"/>
  <c r="C24812" i="1"/>
  <c r="A1975" i="1"/>
  <c r="B1975" i="1"/>
  <c r="C1975" i="1"/>
  <c r="A6062" i="1"/>
  <c r="B6062" i="1"/>
  <c r="C6062" i="1"/>
  <c r="A16842" i="1"/>
  <c r="B16842" i="1"/>
  <c r="C16842" i="1"/>
  <c r="A16864" i="1"/>
  <c r="B16864" i="1"/>
  <c r="C16864" i="1"/>
  <c r="A20365" i="1"/>
  <c r="B20365" i="1"/>
  <c r="C20365" i="1"/>
  <c r="A1827" i="1"/>
  <c r="B1827" i="1"/>
  <c r="C1827" i="1"/>
  <c r="A10457" i="1"/>
  <c r="B10457" i="1"/>
  <c r="C10457" i="1"/>
  <c r="A13743" i="1"/>
  <c r="B13743" i="1"/>
  <c r="C13743" i="1"/>
  <c r="A22600" i="1"/>
  <c r="B22600" i="1"/>
  <c r="C22600" i="1"/>
  <c r="A22601" i="1"/>
  <c r="B22601" i="1"/>
  <c r="C22601" i="1"/>
  <c r="A3939" i="1"/>
  <c r="B3939" i="1"/>
  <c r="C3939" i="1"/>
  <c r="A3796" i="1"/>
  <c r="B3796" i="1"/>
  <c r="C3796" i="1"/>
  <c r="A15691" i="1"/>
  <c r="B15691" i="1"/>
  <c r="C15691" i="1"/>
  <c r="A20839" i="1"/>
  <c r="B20839" i="1"/>
  <c r="C20839" i="1"/>
  <c r="A20840" i="1"/>
  <c r="B20840" i="1"/>
  <c r="C20840" i="1"/>
  <c r="A21877" i="1"/>
  <c r="B21877" i="1"/>
  <c r="C21877" i="1"/>
  <c r="A21881" i="1"/>
  <c r="B21881" i="1"/>
  <c r="C21881" i="1"/>
  <c r="A4187" i="1"/>
  <c r="B4187" i="1"/>
  <c r="C4187" i="1"/>
  <c r="A11703" i="1"/>
  <c r="B11703" i="1"/>
  <c r="C11703" i="1"/>
  <c r="A9177" i="1"/>
  <c r="C9177" i="1"/>
  <c r="A8027" i="1"/>
  <c r="B8027" i="1"/>
  <c r="C8027" i="1"/>
  <c r="A17429" i="1"/>
  <c r="B17429" i="1"/>
  <c r="C17429" i="1"/>
  <c r="A16995" i="1"/>
  <c r="B16995" i="1"/>
  <c r="C16995" i="1"/>
  <c r="A408" i="1"/>
  <c r="B408" i="1"/>
  <c r="C408" i="1"/>
  <c r="A16293" i="1"/>
  <c r="B16293" i="1"/>
  <c r="C16293" i="1"/>
  <c r="A1293" i="1"/>
  <c r="B1293" i="1"/>
  <c r="C1293" i="1"/>
  <c r="A15694" i="1"/>
  <c r="B15694" i="1"/>
  <c r="C15694" i="1"/>
  <c r="A5963" i="1"/>
  <c r="B5963" i="1"/>
  <c r="C5963" i="1"/>
  <c r="A2883" i="1"/>
  <c r="B2883" i="1"/>
  <c r="C2883" i="1"/>
  <c r="A8278" i="1"/>
  <c r="B8278" i="1"/>
  <c r="C8278" i="1"/>
  <c r="A15686" i="1"/>
  <c r="B15686" i="1"/>
  <c r="C15686" i="1"/>
  <c r="A24553" i="1"/>
  <c r="B24553" i="1"/>
  <c r="C24553" i="1"/>
  <c r="A10627" i="1"/>
  <c r="B10627" i="1"/>
  <c r="C10627" i="1"/>
  <c r="A24722" i="1"/>
  <c r="B24722" i="1"/>
  <c r="C24722" i="1"/>
  <c r="A19343" i="1"/>
  <c r="B19343" i="1"/>
  <c r="C19343" i="1"/>
  <c r="A16601" i="1"/>
  <c r="B16601" i="1"/>
  <c r="C16601" i="1"/>
  <c r="A25278" i="1"/>
  <c r="B25278" i="1"/>
  <c r="C25278" i="1"/>
  <c r="A24622" i="1"/>
  <c r="B24622" i="1"/>
  <c r="C24622" i="1"/>
  <c r="A24623" i="1"/>
  <c r="B24623" i="1"/>
  <c r="C24623" i="1"/>
  <c r="A23043" i="1"/>
  <c r="B23043" i="1"/>
  <c r="C23043" i="1"/>
  <c r="A23385" i="1"/>
  <c r="B23385" i="1"/>
  <c r="C23385" i="1"/>
  <c r="A23389" i="1"/>
  <c r="B23389" i="1"/>
  <c r="C23389" i="1"/>
  <c r="A23750" i="1"/>
  <c r="B23750" i="1"/>
  <c r="C23750" i="1"/>
  <c r="A18551" i="1"/>
  <c r="B18551" i="1"/>
  <c r="C18551" i="1"/>
  <c r="A11507" i="1"/>
  <c r="B11507" i="1"/>
  <c r="C11507" i="1"/>
  <c r="A2892" i="1"/>
  <c r="B2892" i="1"/>
  <c r="C2892" i="1"/>
  <c r="A12160" i="1"/>
  <c r="B12160" i="1"/>
  <c r="C12160" i="1"/>
  <c r="A12162" i="1"/>
  <c r="B12162" i="1"/>
  <c r="C12162" i="1"/>
  <c r="A8460" i="1"/>
  <c r="B8460" i="1"/>
  <c r="C8460" i="1"/>
  <c r="A14587" i="1"/>
  <c r="B14587" i="1"/>
  <c r="C14587" i="1"/>
  <c r="A25103" i="1"/>
  <c r="B25103" i="1"/>
  <c r="C25103" i="1"/>
  <c r="A20967" i="1"/>
  <c r="B20967" i="1"/>
  <c r="C20967" i="1"/>
  <c r="A12715" i="1"/>
  <c r="B12715" i="1"/>
  <c r="C12715" i="1"/>
  <c r="A7922" i="1"/>
  <c r="B7922" i="1"/>
  <c r="C7922" i="1"/>
  <c r="A2238" i="1"/>
  <c r="B2238" i="1"/>
  <c r="C2238" i="1"/>
  <c r="A17278" i="1"/>
  <c r="B17278" i="1"/>
  <c r="C17278" i="1"/>
  <c r="A25114" i="1"/>
  <c r="B25114" i="1"/>
  <c r="C25114" i="1"/>
  <c r="A2779" i="1"/>
  <c r="B2779" i="1"/>
  <c r="C2779" i="1"/>
  <c r="A25113" i="1"/>
  <c r="B25113" i="1"/>
  <c r="C25113" i="1"/>
  <c r="A9644" i="1"/>
  <c r="B9644" i="1"/>
  <c r="C9644" i="1"/>
  <c r="A7071" i="1"/>
  <c r="B7071" i="1"/>
  <c r="C7071" i="1"/>
  <c r="A24747" i="1"/>
  <c r="B24747" i="1"/>
  <c r="C24747" i="1"/>
  <c r="A16529" i="1"/>
  <c r="B16529" i="1"/>
  <c r="C16529" i="1"/>
  <c r="A24319" i="1"/>
  <c r="B24319" i="1"/>
  <c r="C24319" i="1"/>
  <c r="A15234" i="1"/>
  <c r="B15234" i="1"/>
  <c r="C15234" i="1"/>
  <c r="A6907" i="1"/>
  <c r="B6907" i="1"/>
  <c r="C6907" i="1"/>
  <c r="A809" i="1"/>
  <c r="B809" i="1"/>
  <c r="C809" i="1"/>
  <c r="A855" i="1"/>
  <c r="C855" i="1"/>
  <c r="A1957" i="1"/>
  <c r="B1957" i="1"/>
  <c r="C1957" i="1"/>
  <c r="A14729" i="1"/>
  <c r="B14729" i="1"/>
  <c r="C14729" i="1"/>
  <c r="A12807" i="1"/>
  <c r="B12807" i="1"/>
  <c r="C12807" i="1"/>
  <c r="A7904" i="1"/>
  <c r="B7904" i="1"/>
  <c r="C7904" i="1"/>
  <c r="A19766" i="1"/>
  <c r="B19766" i="1"/>
  <c r="C19766" i="1"/>
  <c r="A723" i="1"/>
  <c r="B723" i="1"/>
  <c r="C723" i="1"/>
  <c r="A20173" i="1"/>
  <c r="B20173" i="1"/>
  <c r="C20173" i="1"/>
  <c r="A16418" i="1"/>
  <c r="B16418" i="1"/>
  <c r="C16418" i="1"/>
  <c r="A9336" i="1"/>
  <c r="B9336" i="1"/>
  <c r="C9336" i="1"/>
  <c r="A6663" i="1"/>
  <c r="B6663" i="1"/>
  <c r="C6663" i="1"/>
  <c r="A3091" i="1"/>
  <c r="B3091" i="1"/>
  <c r="C3091" i="1"/>
  <c r="A5856" i="1"/>
  <c r="B5856" i="1"/>
  <c r="C5856" i="1"/>
  <c r="A1358" i="1"/>
  <c r="B1358" i="1"/>
  <c r="C1358" i="1"/>
  <c r="A5857" i="1"/>
  <c r="B5857" i="1"/>
  <c r="C5857" i="1"/>
  <c r="A17971" i="1"/>
  <c r="B17971" i="1"/>
  <c r="C17971" i="1"/>
  <c r="A8033" i="1"/>
  <c r="B8033" i="1"/>
  <c r="C8033" i="1"/>
  <c r="A11768" i="1"/>
  <c r="B11768" i="1"/>
  <c r="C11768" i="1"/>
  <c r="A8945" i="1"/>
  <c r="B8945" i="1"/>
  <c r="C8945" i="1"/>
  <c r="A14322" i="1"/>
  <c r="B14322" i="1"/>
  <c r="C14322" i="1"/>
  <c r="A271" i="1"/>
  <c r="B271" i="1"/>
  <c r="C271" i="1"/>
  <c r="A22543" i="1"/>
  <c r="B22543" i="1"/>
  <c r="C22543" i="1"/>
  <c r="A3093" i="1"/>
  <c r="B3093" i="1"/>
  <c r="C3093" i="1"/>
  <c r="A22648" i="1"/>
  <c r="B22648" i="1"/>
  <c r="C22648" i="1"/>
  <c r="A24050" i="1"/>
  <c r="B24050" i="1"/>
  <c r="C24050" i="1"/>
  <c r="A1381" i="1"/>
  <c r="B1381" i="1"/>
  <c r="C1381" i="1"/>
  <c r="A205" i="1"/>
  <c r="B205" i="1"/>
  <c r="C205" i="1"/>
  <c r="A22713" i="1"/>
  <c r="B22713" i="1"/>
  <c r="C22713" i="1"/>
  <c r="A12441" i="1"/>
  <c r="B12441" i="1"/>
  <c r="C12441" i="1"/>
  <c r="A20366" i="1"/>
  <c r="B20366" i="1"/>
  <c r="C20366" i="1"/>
  <c r="A15456" i="1"/>
  <c r="B15456" i="1"/>
  <c r="C15456" i="1"/>
  <c r="A10379" i="1"/>
  <c r="B10379" i="1"/>
  <c r="C10379" i="1"/>
  <c r="A10380" i="1"/>
  <c r="B10380" i="1"/>
  <c r="C10380" i="1"/>
  <c r="A8434" i="1"/>
  <c r="B8434" i="1"/>
  <c r="C8434" i="1"/>
  <c r="A7009" i="1"/>
  <c r="B7009" i="1"/>
  <c r="C7009" i="1"/>
  <c r="A10623" i="1"/>
  <c r="B10623" i="1"/>
  <c r="C10623" i="1"/>
  <c r="A3627" i="1"/>
  <c r="B3627" i="1"/>
  <c r="C3627" i="1"/>
  <c r="A3628" i="1"/>
  <c r="B3628" i="1"/>
  <c r="C3628" i="1"/>
  <c r="A3569" i="1"/>
  <c r="C3569" i="1"/>
  <c r="A1286" i="1"/>
  <c r="B1286" i="1"/>
  <c r="C1286" i="1"/>
  <c r="A12553" i="1"/>
  <c r="B12553" i="1"/>
  <c r="C12553" i="1"/>
  <c r="A5707" i="1"/>
  <c r="B5707" i="1"/>
  <c r="C5707" i="1"/>
  <c r="A5836" i="1"/>
  <c r="B5836" i="1"/>
  <c r="C5836" i="1"/>
  <c r="A19572" i="1"/>
  <c r="B19572" i="1"/>
  <c r="C19572" i="1"/>
  <c r="A8252" i="1"/>
  <c r="B8252" i="1"/>
  <c r="C8252" i="1"/>
  <c r="A22769" i="1"/>
  <c r="B22769" i="1"/>
  <c r="C22769" i="1"/>
  <c r="A24872" i="1"/>
  <c r="B24872" i="1"/>
  <c r="C24872" i="1"/>
  <c r="A23754" i="1"/>
  <c r="B23754" i="1"/>
  <c r="C23754" i="1"/>
  <c r="A11632" i="1"/>
  <c r="B11632" i="1"/>
  <c r="C11632" i="1"/>
  <c r="A7499" i="1"/>
  <c r="B7499" i="1"/>
  <c r="C7499" i="1"/>
  <c r="A8023" i="1"/>
  <c r="C8023" i="1"/>
  <c r="A21030" i="1"/>
  <c r="B21030" i="1"/>
  <c r="C21030" i="1"/>
  <c r="A24314" i="1"/>
  <c r="B24314" i="1"/>
  <c r="C24314" i="1"/>
  <c r="A24311" i="1"/>
  <c r="B24311" i="1"/>
  <c r="C24311" i="1"/>
  <c r="A24312" i="1"/>
  <c r="B24312" i="1"/>
  <c r="C24312" i="1"/>
  <c r="A22047" i="1"/>
  <c r="B22047" i="1"/>
  <c r="C22047" i="1"/>
  <c r="A22048" i="1"/>
  <c r="B22048" i="1"/>
  <c r="C22048" i="1"/>
  <c r="A25634" i="1"/>
  <c r="B25634" i="1"/>
  <c r="C25634" i="1"/>
  <c r="A1803" i="1"/>
  <c r="B1803" i="1"/>
  <c r="C1803" i="1"/>
  <c r="A11896" i="1"/>
  <c r="B11896" i="1"/>
  <c r="C11896" i="1"/>
  <c r="A9257" i="1"/>
  <c r="B9257" i="1"/>
  <c r="C9257" i="1"/>
  <c r="A24310" i="1"/>
  <c r="B24310" i="1"/>
  <c r="C24310" i="1"/>
  <c r="A24313" i="1"/>
  <c r="B24313" i="1"/>
  <c r="C24313" i="1"/>
  <c r="A22032" i="1"/>
  <c r="B22032" i="1"/>
  <c r="C22032" i="1"/>
  <c r="A22073" i="1"/>
  <c r="B22073" i="1"/>
  <c r="C22073" i="1"/>
  <c r="A22052" i="1"/>
  <c r="B22052" i="1"/>
  <c r="C22052" i="1"/>
  <c r="A22071" i="1"/>
  <c r="B22071" i="1"/>
  <c r="C22071" i="1"/>
  <c r="A22060" i="1"/>
  <c r="B22060" i="1"/>
  <c r="C22060" i="1"/>
  <c r="A22059" i="1"/>
  <c r="B22059" i="1"/>
  <c r="C22059" i="1"/>
  <c r="A22074" i="1"/>
  <c r="B22074" i="1"/>
  <c r="C22074" i="1"/>
  <c r="A22076" i="1"/>
  <c r="B22076" i="1"/>
  <c r="C22076" i="1"/>
  <c r="A22080" i="1"/>
  <c r="B22080" i="1"/>
  <c r="C22080" i="1"/>
  <c r="A6479" i="1"/>
  <c r="B6479" i="1"/>
  <c r="C6479" i="1"/>
  <c r="A15758" i="1"/>
  <c r="B15758" i="1"/>
  <c r="C15758" i="1"/>
  <c r="A22469" i="1"/>
  <c r="B22469" i="1"/>
  <c r="C22469" i="1"/>
  <c r="A10498" i="1"/>
  <c r="B10498" i="1"/>
  <c r="C10498" i="1"/>
  <c r="A4411" i="1"/>
  <c r="B4411" i="1"/>
  <c r="C4411" i="1"/>
  <c r="A19135" i="1"/>
  <c r="B19135" i="1"/>
  <c r="C19135" i="1"/>
  <c r="A18828" i="1"/>
  <c r="B18828" i="1"/>
  <c r="C18828" i="1"/>
  <c r="A10738" i="1"/>
  <c r="B10738" i="1"/>
  <c r="C10738" i="1"/>
  <c r="A8831" i="1"/>
  <c r="B8831" i="1"/>
  <c r="C8831" i="1"/>
  <c r="A613" i="1"/>
  <c r="B613" i="1"/>
  <c r="C613" i="1"/>
  <c r="A11676" i="1"/>
  <c r="B11676" i="1"/>
  <c r="C11676" i="1"/>
  <c r="A23782" i="1"/>
  <c r="B23782" i="1"/>
  <c r="C23782" i="1"/>
  <c r="A2518" i="1"/>
  <c r="B2518" i="1"/>
  <c r="C2518" i="1"/>
  <c r="A2519" i="1"/>
  <c r="B2519" i="1"/>
  <c r="C2519" i="1"/>
  <c r="A2520" i="1"/>
  <c r="B2520" i="1"/>
  <c r="C2520" i="1"/>
  <c r="A2521" i="1"/>
  <c r="B2521" i="1"/>
  <c r="C2521" i="1"/>
  <c r="A19391" i="1"/>
  <c r="B19391" i="1"/>
  <c r="C19391" i="1"/>
  <c r="A17543" i="1"/>
  <c r="B17543" i="1"/>
  <c r="C17543" i="1"/>
  <c r="A16416" i="1"/>
  <c r="B16416" i="1"/>
  <c r="C16416" i="1"/>
  <c r="A23163" i="1"/>
  <c r="B23163" i="1"/>
  <c r="C23163" i="1"/>
  <c r="A19139" i="1"/>
  <c r="B19139" i="1"/>
  <c r="C19139" i="1"/>
  <c r="A23115" i="1"/>
  <c r="B23115" i="1"/>
  <c r="C23115" i="1"/>
  <c r="A11999" i="1"/>
  <c r="B11999" i="1"/>
  <c r="C11999" i="1"/>
  <c r="A1824" i="1"/>
  <c r="B1824" i="1"/>
  <c r="C1824" i="1"/>
  <c r="A2844" i="1"/>
  <c r="B2844" i="1"/>
  <c r="C2844" i="1"/>
  <c r="A13496" i="1"/>
  <c r="B13496" i="1"/>
  <c r="C13496" i="1"/>
  <c r="A23113" i="1"/>
  <c r="B23113" i="1"/>
  <c r="C23113" i="1"/>
  <c r="A23111" i="1"/>
  <c r="B23111" i="1"/>
  <c r="C23111" i="1"/>
  <c r="A4803" i="1"/>
  <c r="B4803" i="1"/>
  <c r="C4803" i="1"/>
  <c r="A17472" i="1"/>
  <c r="B17472" i="1"/>
  <c r="C17472" i="1"/>
  <c r="A12318" i="1"/>
  <c r="B12318" i="1"/>
  <c r="C12318" i="1"/>
  <c r="A22670" i="1"/>
  <c r="B22670" i="1"/>
  <c r="C22670" i="1"/>
  <c r="A20722" i="1"/>
  <c r="B20722" i="1"/>
  <c r="C20722" i="1"/>
  <c r="A23052" i="1"/>
  <c r="B23052" i="1"/>
  <c r="C23052" i="1"/>
  <c r="A20643" i="1"/>
  <c r="B20643" i="1"/>
  <c r="C20643" i="1"/>
  <c r="A14359" i="1"/>
  <c r="B14359" i="1"/>
  <c r="C14359" i="1"/>
  <c r="A14356" i="1"/>
  <c r="B14356" i="1"/>
  <c r="C14356" i="1"/>
  <c r="A22159" i="1"/>
  <c r="B22159" i="1"/>
  <c r="C22159" i="1"/>
  <c r="A11356" i="1"/>
  <c r="B11356" i="1"/>
  <c r="C11356" i="1"/>
  <c r="A4198" i="1"/>
  <c r="B4198" i="1"/>
  <c r="C4198" i="1"/>
  <c r="A14952" i="1"/>
  <c r="B14952" i="1"/>
  <c r="C14952" i="1"/>
  <c r="A11098" i="1"/>
  <c r="B11098" i="1"/>
  <c r="C11098" i="1"/>
  <c r="A24970" i="1"/>
  <c r="B24970" i="1"/>
  <c r="C24970" i="1"/>
  <c r="A24969" i="1"/>
  <c r="B24969" i="1"/>
  <c r="C24969" i="1"/>
  <c r="A24967" i="1"/>
  <c r="B24967" i="1"/>
  <c r="C24967" i="1"/>
  <c r="A24968" i="1"/>
  <c r="B24968" i="1"/>
  <c r="C24968" i="1"/>
  <c r="A16344" i="1"/>
  <c r="B16344" i="1"/>
  <c r="C16344" i="1"/>
  <c r="A21403" i="1"/>
  <c r="B21403" i="1"/>
  <c r="C21403" i="1"/>
  <c r="A12504" i="1"/>
  <c r="B12504" i="1"/>
  <c r="C12504" i="1"/>
  <c r="A24056" i="1"/>
  <c r="B24056" i="1"/>
  <c r="C24056" i="1"/>
  <c r="A7734" i="1"/>
  <c r="B7734" i="1"/>
  <c r="C7734" i="1"/>
  <c r="A5739" i="1"/>
  <c r="B5739" i="1"/>
  <c r="C5739" i="1"/>
  <c r="A5740" i="1"/>
  <c r="B5740" i="1"/>
  <c r="C5740" i="1"/>
  <c r="A20234" i="1"/>
  <c r="B20234" i="1"/>
  <c r="C20234" i="1"/>
  <c r="A24238" i="1"/>
  <c r="B24238" i="1"/>
  <c r="C24238" i="1"/>
  <c r="A9322" i="1"/>
  <c r="B9322" i="1"/>
  <c r="C9322" i="1"/>
  <c r="A24971" i="1"/>
  <c r="B24971" i="1"/>
  <c r="C24971" i="1"/>
  <c r="A25260" i="1"/>
  <c r="B25260" i="1"/>
  <c r="C25260" i="1"/>
  <c r="A25259" i="1"/>
  <c r="B25259" i="1"/>
  <c r="C25259" i="1"/>
  <c r="A24985" i="1"/>
  <c r="B24985" i="1"/>
  <c r="C24985" i="1"/>
  <c r="A15704" i="1"/>
  <c r="B15704" i="1"/>
  <c r="C15704" i="1"/>
  <c r="A25379" i="1"/>
  <c r="B25379" i="1"/>
  <c r="C25379" i="1"/>
  <c r="A7474" i="1"/>
  <c r="B7474" i="1"/>
  <c r="C7474" i="1"/>
  <c r="A24973" i="1"/>
  <c r="B24973" i="1"/>
  <c r="C24973" i="1"/>
  <c r="A11710" i="1"/>
  <c r="B11710" i="1"/>
  <c r="C11710" i="1"/>
  <c r="A11723" i="1"/>
  <c r="B11723" i="1"/>
  <c r="C11723" i="1"/>
  <c r="A17661" i="1"/>
  <c r="B17661" i="1"/>
  <c r="C17661" i="1"/>
  <c r="A16161" i="1"/>
  <c r="B16161" i="1"/>
  <c r="C16161" i="1"/>
  <c r="A13399" i="1"/>
  <c r="B13399" i="1"/>
  <c r="C13399" i="1"/>
  <c r="A15445" i="1"/>
  <c r="B15445" i="1"/>
  <c r="C15445" i="1"/>
  <c r="A6307" i="1"/>
  <c r="B6307" i="1"/>
  <c r="C6307" i="1"/>
  <c r="A17425" i="1"/>
  <c r="B17425" i="1"/>
  <c r="C17425" i="1"/>
  <c r="A24987" i="1"/>
  <c r="B24987" i="1"/>
  <c r="C24987" i="1"/>
  <c r="A25142" i="1"/>
  <c r="B25142" i="1"/>
  <c r="C25142" i="1"/>
  <c r="A22053" i="1"/>
  <c r="B22053" i="1"/>
  <c r="C22053" i="1"/>
  <c r="A25421" i="1"/>
  <c r="B25421" i="1"/>
  <c r="C25421" i="1"/>
  <c r="A17672" i="1"/>
  <c r="B17672" i="1"/>
  <c r="C17672" i="1"/>
  <c r="A15453" i="1"/>
  <c r="B15453" i="1"/>
  <c r="C15453" i="1"/>
  <c r="A15443" i="1"/>
  <c r="B15443" i="1"/>
  <c r="C15443" i="1"/>
  <c r="A13382" i="1"/>
  <c r="B13382" i="1"/>
  <c r="C13382" i="1"/>
  <c r="A24387" i="1"/>
  <c r="B24387" i="1"/>
  <c r="C24387" i="1"/>
  <c r="A4346" i="1"/>
  <c r="B4346" i="1"/>
  <c r="C4346" i="1"/>
  <c r="A13375" i="1"/>
  <c r="B13375" i="1"/>
  <c r="C13375" i="1"/>
  <c r="A4348" i="1"/>
  <c r="B4348" i="1"/>
  <c r="C4348" i="1"/>
  <c r="A6161" i="1"/>
  <c r="B6161" i="1"/>
  <c r="C6161" i="1"/>
  <c r="A13381" i="1"/>
  <c r="B13381" i="1"/>
  <c r="C13381" i="1"/>
  <c r="A6108" i="1"/>
  <c r="B6108" i="1"/>
  <c r="C6108" i="1"/>
  <c r="A3926" i="1"/>
  <c r="B3926" i="1"/>
  <c r="C3926" i="1"/>
  <c r="A19754" i="1"/>
  <c r="B19754" i="1"/>
  <c r="C19754" i="1"/>
  <c r="A19795" i="1"/>
  <c r="B19795" i="1"/>
  <c r="C19795" i="1"/>
  <c r="A24433" i="1"/>
  <c r="B24433" i="1"/>
  <c r="C24433" i="1"/>
  <c r="A25712" i="1"/>
  <c r="B25712" i="1"/>
  <c r="C25712" i="1"/>
  <c r="A24692" i="1"/>
  <c r="B24692" i="1"/>
  <c r="C24692" i="1"/>
  <c r="A17571" i="1"/>
  <c r="B17571" i="1"/>
  <c r="C17571" i="1"/>
  <c r="A6928" i="1"/>
  <c r="B6928" i="1"/>
  <c r="C6928" i="1"/>
  <c r="A5495" i="1"/>
  <c r="B5495" i="1"/>
  <c r="C5495" i="1"/>
  <c r="A19156" i="1"/>
  <c r="B19156" i="1"/>
  <c r="C19156" i="1"/>
  <c r="A10463" i="1"/>
  <c r="B10463" i="1"/>
  <c r="C10463" i="1"/>
  <c r="A16735" i="1"/>
  <c r="B16735" i="1"/>
  <c r="C16735" i="1"/>
  <c r="A25527" i="1"/>
  <c r="B25527" i="1"/>
  <c r="C25527" i="1"/>
  <c r="A23552" i="1"/>
  <c r="B23552" i="1"/>
  <c r="C23552" i="1"/>
  <c r="A2764" i="1"/>
  <c r="B2764" i="1"/>
  <c r="C2764" i="1"/>
  <c r="A19707" i="1"/>
  <c r="B19707" i="1"/>
  <c r="C19707" i="1"/>
  <c r="A15384" i="1"/>
  <c r="B15384" i="1"/>
  <c r="C15384" i="1"/>
  <c r="A20980" i="1"/>
  <c r="B20980" i="1"/>
  <c r="C20980" i="1"/>
  <c r="A18770" i="1"/>
  <c r="B18770" i="1"/>
  <c r="C18770" i="1"/>
  <c r="A20640" i="1"/>
  <c r="B20640" i="1"/>
  <c r="C20640" i="1"/>
  <c r="A5074" i="1"/>
  <c r="B5074" i="1"/>
  <c r="C5074" i="1"/>
  <c r="A9880" i="1"/>
  <c r="B9880" i="1"/>
  <c r="C9880" i="1"/>
  <c r="A23841" i="1"/>
  <c r="B23841" i="1"/>
  <c r="C23841" i="1"/>
  <c r="A10202" i="1"/>
  <c r="B10202" i="1"/>
  <c r="C10202" i="1"/>
  <c r="A10713" i="1"/>
  <c r="B10713" i="1"/>
  <c r="C10713" i="1"/>
  <c r="A10715" i="1"/>
  <c r="B10715" i="1"/>
  <c r="C10715" i="1"/>
  <c r="A10701" i="1"/>
  <c r="B10701" i="1"/>
  <c r="C10701" i="1"/>
  <c r="A10718" i="1"/>
  <c r="B10718" i="1"/>
  <c r="C10718" i="1"/>
  <c r="A10698" i="1"/>
  <c r="B10698" i="1"/>
  <c r="C10698" i="1"/>
  <c r="A6934" i="1"/>
  <c r="B6934" i="1"/>
  <c r="C6934" i="1"/>
  <c r="A20981" i="1"/>
  <c r="B20981" i="1"/>
  <c r="C20981" i="1"/>
  <c r="A7354" i="1"/>
  <c r="B7354" i="1"/>
  <c r="C7354" i="1"/>
  <c r="A15980" i="1"/>
  <c r="B15980" i="1"/>
  <c r="C15980" i="1"/>
  <c r="A15987" i="1"/>
  <c r="B15987" i="1"/>
  <c r="C15987" i="1"/>
  <c r="A9713" i="1"/>
  <c r="B9713" i="1"/>
  <c r="C9713" i="1"/>
  <c r="A16925" i="1"/>
  <c r="B16925" i="1"/>
  <c r="C16925" i="1"/>
  <c r="A413" i="1"/>
  <c r="B413" i="1"/>
  <c r="C413" i="1"/>
  <c r="A9505" i="1"/>
  <c r="B9505" i="1"/>
  <c r="C9505" i="1"/>
  <c r="A4679" i="1"/>
  <c r="B4679" i="1"/>
  <c r="C4679" i="1"/>
  <c r="A11495" i="1"/>
  <c r="B11495" i="1"/>
  <c r="C11495" i="1"/>
  <c r="A8400" i="1"/>
  <c r="B8400" i="1"/>
  <c r="C8400" i="1"/>
  <c r="A18684" i="1"/>
  <c r="B18684" i="1"/>
  <c r="C18684" i="1"/>
  <c r="A4281" i="1"/>
  <c r="B4281" i="1"/>
  <c r="C4281" i="1"/>
  <c r="A11702" i="1"/>
  <c r="B11702" i="1"/>
  <c r="C11702" i="1"/>
  <c r="A416" i="1"/>
  <c r="B416" i="1"/>
  <c r="C416" i="1"/>
  <c r="A25255" i="1"/>
  <c r="B25255" i="1"/>
  <c r="C25255" i="1"/>
  <c r="A17445" i="1"/>
  <c r="B17445" i="1"/>
  <c r="C17445" i="1"/>
  <c r="A19367" i="1"/>
  <c r="B19367" i="1"/>
  <c r="C19367" i="1"/>
  <c r="A25435" i="1"/>
  <c r="B25435" i="1"/>
  <c r="C25435" i="1"/>
  <c r="A22859" i="1"/>
  <c r="B22859" i="1"/>
  <c r="C22859" i="1"/>
  <c r="A22937" i="1"/>
  <c r="B22937" i="1"/>
  <c r="C22937" i="1"/>
  <c r="A22847" i="1"/>
  <c r="B22847" i="1"/>
  <c r="C22847" i="1"/>
  <c r="A5586" i="1"/>
  <c r="B5586" i="1"/>
  <c r="C5586" i="1"/>
  <c r="A1833" i="1"/>
  <c r="B1833" i="1"/>
  <c r="C1833" i="1"/>
  <c r="A15518" i="1"/>
  <c r="B15518" i="1"/>
  <c r="C15518" i="1"/>
  <c r="A22564" i="1"/>
  <c r="B22564" i="1"/>
  <c r="C22564" i="1"/>
  <c r="A22562" i="1"/>
  <c r="B22562" i="1"/>
  <c r="C22562" i="1"/>
  <c r="A22563" i="1"/>
  <c r="B22563" i="1"/>
  <c r="C22563" i="1"/>
  <c r="A17403" i="1"/>
  <c r="B17403" i="1"/>
  <c r="C17403" i="1"/>
  <c r="A16973" i="1"/>
  <c r="B16973" i="1"/>
  <c r="C16973" i="1"/>
  <c r="A18217" i="1"/>
  <c r="B18217" i="1"/>
  <c r="C18217" i="1"/>
  <c r="A7799" i="1"/>
  <c r="B7799" i="1"/>
  <c r="C7799" i="1"/>
  <c r="A1302" i="1"/>
  <c r="B1302" i="1"/>
  <c r="C1302" i="1"/>
  <c r="A8959" i="1"/>
  <c r="B8959" i="1"/>
  <c r="C8959" i="1"/>
  <c r="A8974" i="1"/>
  <c r="B8974" i="1"/>
  <c r="C8974" i="1"/>
  <c r="A19683" i="1"/>
  <c r="B19683" i="1"/>
  <c r="C19683" i="1"/>
  <c r="A12396" i="1"/>
  <c r="B12396" i="1"/>
  <c r="C12396" i="1"/>
  <c r="A1810" i="1"/>
  <c r="B1810" i="1"/>
  <c r="C1810" i="1"/>
  <c r="A7784" i="1"/>
  <c r="B7784" i="1"/>
  <c r="C7784" i="1"/>
  <c r="A410" i="1"/>
  <c r="B410" i="1"/>
  <c r="C410" i="1"/>
  <c r="A7498" i="1"/>
  <c r="B7498" i="1"/>
  <c r="C7498" i="1"/>
  <c r="A5944" i="1"/>
  <c r="B5944" i="1"/>
  <c r="C5944" i="1"/>
  <c r="A6636" i="1"/>
  <c r="B6636" i="1"/>
  <c r="C6636" i="1"/>
  <c r="A14127" i="1"/>
  <c r="B14127" i="1"/>
  <c r="C14127" i="1"/>
  <c r="A5425" i="1"/>
  <c r="B5425" i="1"/>
  <c r="C5425" i="1"/>
  <c r="A5426" i="1"/>
  <c r="B5426" i="1"/>
  <c r="C5426" i="1"/>
  <c r="A8544" i="1"/>
  <c r="B8544" i="1"/>
  <c r="C8544" i="1"/>
  <c r="A5269" i="1"/>
  <c r="B5269" i="1"/>
  <c r="C5269" i="1"/>
  <c r="A6913" i="1"/>
  <c r="B6913" i="1"/>
  <c r="C6913" i="1"/>
  <c r="A25649" i="1"/>
  <c r="B25649" i="1"/>
  <c r="C25649" i="1"/>
  <c r="A14655" i="1"/>
  <c r="B14655" i="1"/>
  <c r="C14655" i="1"/>
  <c r="A14659" i="1"/>
  <c r="B14659" i="1"/>
  <c r="C14659" i="1"/>
  <c r="A3840" i="1"/>
  <c r="B3840" i="1"/>
  <c r="C3840" i="1"/>
  <c r="A20949" i="1"/>
  <c r="B20949" i="1"/>
  <c r="C20949" i="1"/>
  <c r="A24177" i="1"/>
  <c r="B24177" i="1"/>
  <c r="C24177" i="1"/>
  <c r="A14679" i="1"/>
  <c r="B14679" i="1"/>
  <c r="C14679" i="1"/>
  <c r="A7110" i="1"/>
  <c r="B7110" i="1"/>
  <c r="C7110" i="1"/>
  <c r="A9825" i="1"/>
  <c r="B9825" i="1"/>
  <c r="C9825" i="1"/>
  <c r="A10311" i="1"/>
  <c r="B10311" i="1"/>
  <c r="C10311" i="1"/>
  <c r="A20638" i="1"/>
  <c r="B20638" i="1"/>
  <c r="C20638" i="1"/>
  <c r="A12232" i="1"/>
  <c r="B12232" i="1"/>
  <c r="C12232" i="1"/>
  <c r="A14037" i="1"/>
  <c r="B14037" i="1"/>
  <c r="C14037" i="1"/>
  <c r="A10587" i="1"/>
  <c r="B10587" i="1"/>
  <c r="C10587" i="1"/>
  <c r="A18971" i="1"/>
  <c r="B18971" i="1"/>
  <c r="C18971" i="1"/>
  <c r="A1464" i="1"/>
  <c r="B1464" i="1"/>
  <c r="C1464" i="1"/>
  <c r="A1433" i="1"/>
  <c r="B1433" i="1"/>
  <c r="C1433" i="1"/>
  <c r="A22719" i="1"/>
  <c r="B22719" i="1"/>
  <c r="C22719" i="1"/>
  <c r="A12680" i="1"/>
  <c r="B12680" i="1"/>
  <c r="C12680" i="1"/>
  <c r="A24892" i="1"/>
  <c r="B24892" i="1"/>
  <c r="C24892" i="1"/>
  <c r="A6591" i="1"/>
  <c r="B6591" i="1"/>
  <c r="C6591" i="1"/>
  <c r="A6571" i="1"/>
  <c r="B6571" i="1"/>
  <c r="C6571" i="1"/>
  <c r="A14036" i="1"/>
  <c r="B14036" i="1"/>
  <c r="C14036" i="1"/>
  <c r="A21975" i="1"/>
  <c r="B21975" i="1"/>
  <c r="C21975" i="1"/>
  <c r="A24664" i="1"/>
  <c r="B24664" i="1"/>
  <c r="C24664" i="1"/>
  <c r="A8597" i="1"/>
  <c r="B8597" i="1"/>
  <c r="C8597" i="1"/>
  <c r="A3416" i="1"/>
  <c r="B3416" i="1"/>
  <c r="C3416" i="1"/>
  <c r="A10579" i="1"/>
  <c r="B10579" i="1"/>
  <c r="C10579" i="1"/>
  <c r="A5336" i="1"/>
  <c r="B5336" i="1"/>
  <c r="C5336" i="1"/>
  <c r="A25263" i="1"/>
  <c r="B25263" i="1"/>
  <c r="C25263" i="1"/>
  <c r="A18332" i="1"/>
  <c r="B18332" i="1"/>
  <c r="C18332" i="1"/>
  <c r="A17447" i="1"/>
  <c r="B17447" i="1"/>
  <c r="C17447" i="1"/>
  <c r="A16345" i="1"/>
  <c r="B16345" i="1"/>
  <c r="C16345" i="1"/>
  <c r="A13357" i="1"/>
  <c r="B13357" i="1"/>
  <c r="C13357" i="1"/>
  <c r="A245" i="1"/>
  <c r="B245" i="1"/>
  <c r="C245" i="1"/>
  <c r="A13826" i="1"/>
  <c r="B13826" i="1"/>
  <c r="C13826" i="1"/>
  <c r="A6224" i="1"/>
  <c r="B6224" i="1"/>
  <c r="C6224" i="1"/>
  <c r="A6226" i="1"/>
  <c r="B6226" i="1"/>
  <c r="C6226" i="1"/>
  <c r="A6376" i="1"/>
  <c r="B6376" i="1"/>
  <c r="C6376" i="1"/>
  <c r="A18619" i="1"/>
  <c r="B18619" i="1"/>
  <c r="C18619" i="1"/>
  <c r="A18007" i="1"/>
  <c r="B18007" i="1"/>
  <c r="C18007" i="1"/>
  <c r="A8030" i="1"/>
  <c r="B8030" i="1"/>
  <c r="C8030" i="1"/>
  <c r="A13907" i="1"/>
  <c r="B13907" i="1"/>
  <c r="C13907" i="1"/>
  <c r="A24288" i="1"/>
  <c r="B24288" i="1"/>
  <c r="C24288" i="1"/>
  <c r="A17995" i="1"/>
  <c r="B17995" i="1"/>
  <c r="C17995" i="1"/>
  <c r="A15626" i="1"/>
  <c r="B15626" i="1"/>
  <c r="C15626" i="1"/>
  <c r="A11994" i="1"/>
  <c r="B11994" i="1"/>
  <c r="C11994" i="1"/>
  <c r="A9735" i="1"/>
  <c r="B9735" i="1"/>
  <c r="C9735" i="1"/>
  <c r="A15175" i="1"/>
  <c r="B15175" i="1"/>
  <c r="C15175" i="1"/>
  <c r="A9823" i="1"/>
  <c r="B9823" i="1"/>
  <c r="C9823" i="1"/>
  <c r="A19630" i="1"/>
  <c r="B19630" i="1"/>
  <c r="C19630" i="1"/>
  <c r="A83" i="1"/>
  <c r="B83" i="1"/>
  <c r="C83" i="1"/>
  <c r="A16147" i="1"/>
  <c r="B16147" i="1"/>
  <c r="C16147" i="1"/>
  <c r="A23624" i="1"/>
  <c r="B23624" i="1"/>
  <c r="C23624" i="1"/>
  <c r="A23669" i="1"/>
  <c r="B23669" i="1"/>
  <c r="C23669" i="1"/>
  <c r="A11139" i="1"/>
  <c r="B11139" i="1"/>
  <c r="C11139" i="1"/>
  <c r="A1812" i="1"/>
  <c r="B1812" i="1"/>
  <c r="C1812" i="1"/>
  <c r="A13555" i="1"/>
  <c r="B13555" i="1"/>
  <c r="C13555" i="1"/>
  <c r="A13619" i="1"/>
  <c r="B13619" i="1"/>
  <c r="C13619" i="1"/>
  <c r="A1048" i="1"/>
  <c r="B1048" i="1"/>
  <c r="C1048" i="1"/>
  <c r="A24579" i="1"/>
  <c r="B24579" i="1"/>
  <c r="C24579" i="1"/>
  <c r="A5389" i="1"/>
  <c r="B5389" i="1"/>
  <c r="C5389" i="1"/>
  <c r="A5615" i="1"/>
  <c r="B5615" i="1"/>
  <c r="C5615" i="1"/>
  <c r="A5234" i="1"/>
  <c r="B5234" i="1"/>
  <c r="C5234" i="1"/>
  <c r="A5201" i="1"/>
  <c r="B5201" i="1"/>
  <c r="C5201" i="1"/>
  <c r="A5199" i="1"/>
  <c r="B5199" i="1"/>
  <c r="C5199" i="1"/>
  <c r="A25262" i="1"/>
  <c r="B25262" i="1"/>
  <c r="C25262" i="1"/>
  <c r="A25261" i="1"/>
  <c r="B25261" i="1"/>
  <c r="C25261" i="1"/>
  <c r="A25264" i="1"/>
  <c r="B25264" i="1"/>
  <c r="C25264" i="1"/>
  <c r="A216" i="1"/>
  <c r="B216" i="1"/>
  <c r="C216" i="1"/>
  <c r="A2624" i="1"/>
  <c r="B2624" i="1"/>
  <c r="C2624" i="1"/>
  <c r="A5542" i="1"/>
  <c r="B5542" i="1"/>
  <c r="C5542" i="1"/>
  <c r="A19315" i="1"/>
  <c r="B19315" i="1"/>
  <c r="C19315" i="1"/>
  <c r="A23371" i="1"/>
  <c r="B23371" i="1"/>
  <c r="C23371" i="1"/>
  <c r="A8426" i="1"/>
  <c r="B8426" i="1"/>
  <c r="C8426" i="1"/>
  <c r="A17035" i="1"/>
  <c r="B17035" i="1"/>
  <c r="C17035" i="1"/>
  <c r="A1646" i="1"/>
  <c r="B1646" i="1"/>
  <c r="C1646" i="1"/>
  <c r="A12135" i="1"/>
  <c r="B12135" i="1"/>
  <c r="C12135" i="1"/>
  <c r="A12136" i="1"/>
  <c r="B12136" i="1"/>
  <c r="C12136" i="1"/>
  <c r="A1647" i="1"/>
  <c r="B1647" i="1"/>
  <c r="C1647" i="1"/>
  <c r="A5810" i="1"/>
  <c r="B5810" i="1"/>
  <c r="C5810" i="1"/>
  <c r="A21950" i="1"/>
  <c r="B21950" i="1"/>
  <c r="C21950" i="1"/>
  <c r="A15454" i="1"/>
  <c r="B15454" i="1"/>
  <c r="C15454" i="1"/>
  <c r="A15455" i="1"/>
  <c r="B15455" i="1"/>
  <c r="C15455" i="1"/>
  <c r="A21951" i="1"/>
  <c r="B21951" i="1"/>
  <c r="C21951" i="1"/>
  <c r="A7375" i="1"/>
  <c r="B7375" i="1"/>
  <c r="C7375" i="1"/>
  <c r="A14347" i="1"/>
  <c r="B14347" i="1"/>
  <c r="C14347" i="1"/>
  <c r="A3944" i="1"/>
  <c r="B3944" i="1"/>
  <c r="C3944" i="1"/>
  <c r="A3943" i="1"/>
  <c r="B3943" i="1"/>
  <c r="C3943" i="1"/>
  <c r="A24232" i="1"/>
  <c r="B24232" i="1"/>
  <c r="C24232" i="1"/>
  <c r="A6561" i="1"/>
  <c r="B6561" i="1"/>
  <c r="C6561" i="1"/>
  <c r="A11726" i="1"/>
  <c r="B11726" i="1"/>
  <c r="C11726" i="1"/>
  <c r="A17062" i="1"/>
  <c r="B17062" i="1"/>
  <c r="C17062" i="1"/>
  <c r="A24146" i="1"/>
  <c r="B24146" i="1"/>
  <c r="C24146" i="1"/>
  <c r="A24145" i="1"/>
  <c r="B24145" i="1"/>
  <c r="C24145" i="1"/>
  <c r="A5703" i="1"/>
  <c r="B5703" i="1"/>
  <c r="C5703" i="1"/>
  <c r="A22930" i="1"/>
  <c r="B22930" i="1"/>
  <c r="C22930" i="1"/>
  <c r="A17383" i="1"/>
  <c r="B17383" i="1"/>
  <c r="C17383" i="1"/>
  <c r="A17382" i="1"/>
  <c r="B17382" i="1"/>
  <c r="C17382" i="1"/>
  <c r="A6608" i="1"/>
  <c r="B6608" i="1"/>
  <c r="C6608" i="1"/>
  <c r="A10170" i="1"/>
  <c r="B10170" i="1"/>
  <c r="C10170" i="1"/>
  <c r="A17559" i="1"/>
  <c r="B17559" i="1"/>
  <c r="C17559" i="1"/>
  <c r="A8157" i="1"/>
  <c r="B8157" i="1"/>
  <c r="C8157" i="1"/>
  <c r="A23527" i="1"/>
  <c r="B23527" i="1"/>
  <c r="C23527" i="1"/>
  <c r="A673" i="1"/>
  <c r="B673" i="1"/>
  <c r="C673" i="1"/>
  <c r="A676" i="1"/>
  <c r="B676" i="1"/>
  <c r="C676" i="1"/>
  <c r="A675" i="1"/>
  <c r="B675" i="1"/>
  <c r="C675" i="1"/>
  <c r="A674" i="1"/>
  <c r="B674" i="1"/>
  <c r="C674" i="1"/>
  <c r="A4184" i="1"/>
  <c r="B4184" i="1"/>
  <c r="C4184" i="1"/>
  <c r="A8322" i="1"/>
  <c r="B8322" i="1"/>
  <c r="C8322" i="1"/>
  <c r="A23200" i="1"/>
  <c r="B23200" i="1"/>
  <c r="C23200" i="1"/>
  <c r="A14649" i="1"/>
  <c r="B14649" i="1"/>
  <c r="C14649" i="1"/>
  <c r="A25050" i="1"/>
  <c r="B25050" i="1"/>
  <c r="C25050" i="1"/>
  <c r="A19749" i="1"/>
  <c r="B19749" i="1"/>
  <c r="C19749" i="1"/>
  <c r="A24590" i="1"/>
  <c r="B24590" i="1"/>
  <c r="C24590" i="1"/>
  <c r="A24787" i="1"/>
  <c r="B24787" i="1"/>
  <c r="C24787" i="1"/>
  <c r="A14673" i="1"/>
  <c r="B14673" i="1"/>
  <c r="C14673" i="1"/>
  <c r="A24589" i="1"/>
  <c r="B24589" i="1"/>
  <c r="C24589" i="1"/>
  <c r="A25236" i="1"/>
  <c r="B25236" i="1"/>
  <c r="C25236" i="1"/>
  <c r="A14761" i="1"/>
  <c r="B14761" i="1"/>
  <c r="C14761" i="1"/>
  <c r="A24781" i="1"/>
  <c r="B24781" i="1"/>
  <c r="C24781" i="1"/>
  <c r="A14672" i="1"/>
  <c r="B14672" i="1"/>
  <c r="C14672" i="1"/>
  <c r="A23199" i="1"/>
  <c r="B23199" i="1"/>
  <c r="C23199" i="1"/>
  <c r="A19750" i="1"/>
  <c r="B19750" i="1"/>
  <c r="C19750" i="1"/>
  <c r="A2894" i="1"/>
  <c r="C2894" i="1"/>
  <c r="A11472" i="1"/>
  <c r="B11472" i="1"/>
  <c r="C11472" i="1"/>
  <c r="A8194" i="1"/>
  <c r="B8194" i="1"/>
  <c r="C8194" i="1"/>
  <c r="A5609" i="1"/>
  <c r="B5609" i="1"/>
  <c r="C5609" i="1"/>
  <c r="A4879" i="1"/>
  <c r="B4879" i="1"/>
  <c r="C4879" i="1"/>
  <c r="A5610" i="1"/>
  <c r="B5610" i="1"/>
  <c r="C5610" i="1"/>
  <c r="A13977" i="1"/>
  <c r="B13977" i="1"/>
  <c r="C13977" i="1"/>
  <c r="A2491" i="1"/>
  <c r="B2491" i="1"/>
  <c r="C2491" i="1"/>
  <c r="A19312" i="1"/>
  <c r="B19312" i="1"/>
  <c r="C19312" i="1"/>
  <c r="A22524" i="1"/>
  <c r="B22524" i="1"/>
  <c r="C22524" i="1"/>
  <c r="A13487" i="1"/>
  <c r="B13487" i="1"/>
  <c r="C13487" i="1"/>
  <c r="A21569" i="1"/>
  <c r="B21569" i="1"/>
  <c r="C21569" i="1"/>
  <c r="A24567" i="1"/>
  <c r="B24567" i="1"/>
  <c r="C24567" i="1"/>
  <c r="A3900" i="1"/>
  <c r="B3900" i="1"/>
  <c r="C3900" i="1"/>
  <c r="A8992" i="1"/>
  <c r="B8992" i="1"/>
  <c r="C8992" i="1"/>
  <c r="A3822" i="1"/>
  <c r="B3822" i="1"/>
  <c r="C3822" i="1"/>
  <c r="A9011" i="1"/>
  <c r="B9011" i="1"/>
  <c r="C9011" i="1"/>
  <c r="A15469" i="1"/>
  <c r="B15469" i="1"/>
  <c r="C15469" i="1"/>
  <c r="A6947" i="1"/>
  <c r="B6947" i="1"/>
  <c r="C6947" i="1"/>
  <c r="A3788" i="1"/>
  <c r="B3788" i="1"/>
  <c r="C3788" i="1"/>
  <c r="A10655" i="1"/>
  <c r="B10655" i="1"/>
  <c r="C10655" i="1"/>
  <c r="A10131" i="1"/>
  <c r="B10131" i="1"/>
  <c r="C10131" i="1"/>
  <c r="A12518" i="1"/>
  <c r="B12518" i="1"/>
  <c r="C12518" i="1"/>
  <c r="A1337" i="1"/>
  <c r="B1337" i="1"/>
  <c r="C1337" i="1"/>
  <c r="A16342" i="1"/>
  <c r="B16342" i="1"/>
  <c r="C16342" i="1"/>
  <c r="A2678" i="1"/>
  <c r="B2678" i="1"/>
  <c r="C2678" i="1"/>
  <c r="A14139" i="1"/>
  <c r="C14139" i="1"/>
  <c r="A24301" i="1"/>
  <c r="B24301" i="1"/>
  <c r="C24301" i="1"/>
  <c r="A14883" i="1"/>
  <c r="B14883" i="1"/>
  <c r="C14883" i="1"/>
  <c r="A7924" i="1"/>
  <c r="B7924" i="1"/>
  <c r="C7924" i="1"/>
  <c r="A345" i="1"/>
  <c r="B345" i="1"/>
  <c r="C345" i="1"/>
  <c r="A22952" i="1"/>
  <c r="B22952" i="1"/>
  <c r="C22952" i="1"/>
  <c r="A2872" i="1"/>
  <c r="B2872" i="1"/>
  <c r="C2872" i="1"/>
  <c r="A25323" i="1"/>
  <c r="B25323" i="1"/>
  <c r="C25323" i="1"/>
  <c r="A1981" i="1"/>
  <c r="B1981" i="1"/>
  <c r="C1981" i="1"/>
  <c r="A15722" i="1"/>
  <c r="B15722" i="1"/>
  <c r="C15722" i="1"/>
  <c r="A6100" i="1"/>
  <c r="B6100" i="1"/>
  <c r="C6100" i="1"/>
  <c r="A9243" i="1"/>
  <c r="B9243" i="1"/>
  <c r="C9243" i="1"/>
  <c r="A11336" i="1"/>
  <c r="B11336" i="1"/>
  <c r="C11336" i="1"/>
  <c r="A6144" i="1"/>
  <c r="B6144" i="1"/>
  <c r="C6144" i="1"/>
  <c r="A22179" i="1"/>
  <c r="B22179" i="1"/>
  <c r="C22179" i="1"/>
  <c r="A641" i="1"/>
  <c r="B641" i="1"/>
  <c r="C641" i="1"/>
  <c r="A19615" i="1"/>
  <c r="B19615" i="1"/>
  <c r="C19615" i="1"/>
  <c r="A320" i="1"/>
  <c r="B320" i="1"/>
  <c r="C320" i="1"/>
  <c r="A8206" i="1"/>
  <c r="B8206" i="1"/>
  <c r="C8206" i="1"/>
  <c r="A9804" i="1"/>
  <c r="B9804" i="1"/>
  <c r="C9804" i="1"/>
  <c r="A278" i="1"/>
  <c r="B278" i="1"/>
  <c r="C278" i="1"/>
  <c r="A351" i="1"/>
  <c r="B351" i="1"/>
  <c r="C351" i="1"/>
  <c r="A17026" i="1"/>
  <c r="B17026" i="1"/>
  <c r="C17026" i="1"/>
  <c r="A14408" i="1"/>
  <c r="B14408" i="1"/>
  <c r="C14408" i="1"/>
  <c r="A12725" i="1"/>
  <c r="B12725" i="1"/>
  <c r="C12725" i="1"/>
  <c r="A11373" i="1"/>
  <c r="B11373" i="1"/>
  <c r="C11373" i="1"/>
  <c r="A10466" i="1"/>
  <c r="B10466" i="1"/>
  <c r="C10466" i="1"/>
  <c r="A1966" i="1"/>
  <c r="B1966" i="1"/>
  <c r="C1966" i="1"/>
  <c r="A11761" i="1"/>
  <c r="B11761" i="1"/>
  <c r="C11761" i="1"/>
  <c r="A24458" i="1"/>
  <c r="B24458" i="1"/>
  <c r="C24458" i="1"/>
  <c r="A20644" i="1"/>
  <c r="B20644" i="1"/>
  <c r="C20644" i="1"/>
  <c r="A11985" i="1"/>
  <c r="B11985" i="1"/>
  <c r="C11985" i="1"/>
  <c r="A14172" i="1"/>
  <c r="B14172" i="1"/>
  <c r="C14172" i="1"/>
  <c r="A15871" i="1"/>
  <c r="B15871" i="1"/>
  <c r="C15871" i="1"/>
  <c r="A13409" i="1"/>
  <c r="B13409" i="1"/>
  <c r="C13409" i="1"/>
  <c r="A17746" i="1"/>
  <c r="B17746" i="1"/>
  <c r="C17746" i="1"/>
  <c r="A6016" i="1"/>
  <c r="B6016" i="1"/>
  <c r="C6016" i="1"/>
  <c r="A4964" i="1"/>
  <c r="B4964" i="1"/>
  <c r="C4964" i="1"/>
  <c r="A4961" i="1"/>
  <c r="B4961" i="1"/>
  <c r="C4961" i="1"/>
  <c r="A24709" i="1"/>
  <c r="B24709" i="1"/>
  <c r="C24709" i="1"/>
  <c r="A4802" i="1"/>
  <c r="B4802" i="1"/>
  <c r="C4802" i="1"/>
  <c r="A11912" i="1"/>
  <c r="B11912" i="1"/>
  <c r="C11912" i="1"/>
  <c r="A24380" i="1"/>
  <c r="B24380" i="1"/>
  <c r="C24380" i="1"/>
  <c r="A8392" i="1"/>
  <c r="B8392" i="1"/>
  <c r="C8392" i="1"/>
  <c r="A15761" i="1"/>
  <c r="B15761" i="1"/>
  <c r="C15761" i="1"/>
  <c r="A15759" i="1"/>
  <c r="B15759" i="1"/>
  <c r="C15759" i="1"/>
  <c r="A5835" i="1"/>
  <c r="B5835" i="1"/>
  <c r="C5835" i="1"/>
  <c r="A7587" i="1"/>
  <c r="B7587" i="1"/>
  <c r="C7587" i="1"/>
  <c r="A20158" i="1"/>
  <c r="B20158" i="1"/>
  <c r="C20158" i="1"/>
  <c r="A11371" i="1"/>
  <c r="B11371" i="1"/>
  <c r="C11371" i="1"/>
  <c r="A24365" i="1"/>
  <c r="B24365" i="1"/>
  <c r="C24365" i="1"/>
  <c r="A13320" i="1"/>
  <c r="B13320" i="1"/>
  <c r="C13320" i="1"/>
  <c r="A718" i="1"/>
  <c r="B718" i="1"/>
  <c r="C718" i="1"/>
  <c r="A23522" i="1"/>
  <c r="B23522" i="1"/>
  <c r="C23522" i="1"/>
  <c r="A22130" i="1"/>
  <c r="B22130" i="1"/>
  <c r="C22130" i="1"/>
  <c r="A2724" i="1"/>
  <c r="B2724" i="1"/>
  <c r="C2724" i="1"/>
  <c r="A7361" i="1"/>
  <c r="B7361" i="1"/>
  <c r="C7361" i="1"/>
  <c r="A8308" i="1"/>
  <c r="B8308" i="1"/>
  <c r="C8308" i="1"/>
  <c r="A9174" i="1"/>
  <c r="B9174" i="1"/>
  <c r="C9174" i="1"/>
  <c r="A24135" i="1"/>
  <c r="B24135" i="1"/>
  <c r="C24135" i="1"/>
  <c r="A24150" i="1"/>
  <c r="B24150" i="1"/>
  <c r="C24150" i="1"/>
  <c r="A11814" i="1"/>
  <c r="B11814" i="1"/>
  <c r="C11814" i="1"/>
  <c r="A24183" i="1"/>
  <c r="B24183" i="1"/>
  <c r="C24183" i="1"/>
  <c r="A13868" i="1"/>
  <c r="B13868" i="1"/>
  <c r="C13868" i="1"/>
  <c r="A9557" i="1"/>
  <c r="B9557" i="1"/>
  <c r="C9557" i="1"/>
  <c r="A15038" i="1"/>
  <c r="B15038" i="1"/>
  <c r="C15038" i="1"/>
  <c r="A13709" i="1"/>
  <c r="B13709" i="1"/>
  <c r="C13709" i="1"/>
  <c r="A13708" i="1"/>
  <c r="B13708" i="1"/>
  <c r="C13708" i="1"/>
  <c r="A18047" i="1"/>
  <c r="B18047" i="1"/>
  <c r="C18047" i="1"/>
  <c r="A16791" i="1"/>
  <c r="B16791" i="1"/>
  <c r="C16791" i="1"/>
  <c r="A18210" i="1"/>
  <c r="B18210" i="1"/>
  <c r="C18210" i="1"/>
  <c r="A18212" i="1"/>
  <c r="B18212" i="1"/>
  <c r="C18212" i="1"/>
  <c r="A18260" i="1"/>
  <c r="B18260" i="1"/>
  <c r="C18260" i="1"/>
  <c r="A18157" i="1"/>
  <c r="B18157" i="1"/>
  <c r="C18157" i="1"/>
  <c r="A23614" i="1"/>
  <c r="B23614" i="1"/>
  <c r="C23614" i="1"/>
  <c r="A15899" i="1"/>
  <c r="B15899" i="1"/>
  <c r="C15899" i="1"/>
  <c r="A2672" i="1"/>
  <c r="B2672" i="1"/>
  <c r="C2672" i="1"/>
  <c r="A17951" i="1"/>
  <c r="B17951" i="1"/>
  <c r="C17951" i="1"/>
  <c r="A10924" i="1"/>
  <c r="B10924" i="1"/>
  <c r="C10924" i="1"/>
  <c r="A13351" i="1"/>
  <c r="B13351" i="1"/>
  <c r="C13351" i="1"/>
  <c r="A15937" i="1"/>
  <c r="B15937" i="1"/>
  <c r="C15937" i="1"/>
  <c r="A2204" i="1"/>
  <c r="B2204" i="1"/>
  <c r="C2204" i="1"/>
  <c r="A17361" i="1"/>
  <c r="B17361" i="1"/>
  <c r="C17361" i="1"/>
  <c r="A16604" i="1"/>
  <c r="B16604" i="1"/>
  <c r="C16604" i="1"/>
  <c r="A16970" i="1"/>
  <c r="B16970" i="1"/>
  <c r="C16970" i="1"/>
  <c r="A23836" i="1"/>
  <c r="B23836" i="1"/>
  <c r="C23836" i="1"/>
  <c r="A13306" i="1"/>
  <c r="B13306" i="1"/>
  <c r="C13306" i="1"/>
  <c r="A24965" i="1"/>
  <c r="B24965" i="1"/>
  <c r="C24965" i="1"/>
  <c r="A8825" i="1"/>
  <c r="B8825" i="1"/>
  <c r="C8825" i="1"/>
  <c r="A11364" i="1"/>
  <c r="B11364" i="1"/>
  <c r="C11364" i="1"/>
  <c r="A6621" i="1"/>
  <c r="B6621" i="1"/>
  <c r="C6621" i="1"/>
  <c r="A22014" i="1"/>
  <c r="B22014" i="1"/>
  <c r="C22014" i="1"/>
  <c r="A22012" i="1"/>
  <c r="B22012" i="1"/>
  <c r="C22012" i="1"/>
  <c r="A6884" i="1"/>
  <c r="B6884" i="1"/>
  <c r="C6884" i="1"/>
  <c r="A11983" i="1"/>
  <c r="B11983" i="1"/>
  <c r="C11983" i="1"/>
  <c r="A14096" i="1"/>
  <c r="B14096" i="1"/>
  <c r="C14096" i="1"/>
  <c r="A14321" i="1"/>
  <c r="B14321" i="1"/>
  <c r="C14321" i="1"/>
  <c r="A18807" i="1"/>
  <c r="B18807" i="1"/>
  <c r="C18807" i="1"/>
  <c r="A19673" i="1"/>
  <c r="B19673" i="1"/>
  <c r="C19673" i="1"/>
  <c r="A17744" i="1"/>
  <c r="B17744" i="1"/>
  <c r="C17744" i="1"/>
  <c r="A17769" i="1"/>
  <c r="B17769" i="1"/>
  <c r="C17769" i="1"/>
  <c r="A14101" i="1"/>
  <c r="B14101" i="1"/>
  <c r="C14101" i="1"/>
  <c r="A24637" i="1"/>
  <c r="B24637" i="1"/>
  <c r="C24637" i="1"/>
  <c r="A24639" i="1"/>
  <c r="B24639" i="1"/>
  <c r="C24639" i="1"/>
  <c r="A5575" i="1"/>
  <c r="B5575" i="1"/>
  <c r="C5575" i="1"/>
  <c r="A5578" i="1"/>
  <c r="B5578" i="1"/>
  <c r="C5578" i="1"/>
  <c r="A23974" i="1"/>
  <c r="B23974" i="1"/>
  <c r="C23974" i="1"/>
  <c r="A16637" i="1"/>
  <c r="B16637" i="1"/>
  <c r="C16637" i="1"/>
  <c r="A19831" i="1"/>
  <c r="B19831" i="1"/>
  <c r="C19831" i="1"/>
  <c r="A9346" i="1"/>
  <c r="B9346" i="1"/>
  <c r="C9346" i="1"/>
  <c r="A5757" i="1"/>
  <c r="B5757" i="1"/>
  <c r="C5757" i="1"/>
  <c r="A3051" i="1"/>
  <c r="B3051" i="1"/>
  <c r="C3051" i="1"/>
  <c r="A12190" i="1"/>
  <c r="B12190" i="1"/>
  <c r="C12190" i="1"/>
  <c r="A9763" i="1"/>
  <c r="B9763" i="1"/>
  <c r="C9763" i="1"/>
  <c r="A14675" i="1"/>
  <c r="B14675" i="1"/>
  <c r="C14675" i="1"/>
  <c r="A18869" i="1"/>
  <c r="B18869" i="1"/>
  <c r="C18869" i="1"/>
  <c r="A8247" i="1"/>
  <c r="B8247" i="1"/>
  <c r="C8247" i="1"/>
  <c r="A9995" i="1"/>
  <c r="B9995" i="1"/>
  <c r="C9995" i="1"/>
  <c r="A9994" i="1"/>
  <c r="B9994" i="1"/>
  <c r="C9994" i="1"/>
  <c r="A17410" i="1"/>
  <c r="B17410" i="1"/>
  <c r="C17410" i="1"/>
  <c r="A21251" i="1"/>
  <c r="B21251" i="1"/>
  <c r="C21251" i="1"/>
  <c r="A21313" i="1"/>
  <c r="B21313" i="1"/>
  <c r="C21313" i="1"/>
  <c r="A10456" i="1"/>
  <c r="B10456" i="1"/>
  <c r="C10456" i="1"/>
  <c r="A10690" i="1"/>
  <c r="B10690" i="1"/>
  <c r="C10690" i="1"/>
  <c r="A2852" i="1"/>
  <c r="B2852" i="1"/>
  <c r="C2852" i="1"/>
  <c r="A15749" i="1"/>
  <c r="B15749" i="1"/>
  <c r="C15749" i="1"/>
  <c r="A23287" i="1"/>
  <c r="B23287" i="1"/>
  <c r="C23287" i="1"/>
  <c r="A23288" i="1"/>
  <c r="B23288" i="1"/>
  <c r="C23288" i="1"/>
  <c r="A43" i="1"/>
  <c r="B43" i="1"/>
  <c r="C43" i="1"/>
  <c r="A14189" i="1"/>
  <c r="B14189" i="1"/>
  <c r="C14189" i="1"/>
  <c r="A21263" i="1"/>
  <c r="B21263" i="1"/>
  <c r="C21263" i="1"/>
  <c r="A24112" i="1"/>
  <c r="B24112" i="1"/>
  <c r="C24112" i="1"/>
  <c r="A24140" i="1"/>
  <c r="B24140" i="1"/>
  <c r="C24140" i="1"/>
  <c r="A629" i="1"/>
  <c r="B629" i="1"/>
  <c r="C629" i="1"/>
  <c r="A5685" i="1"/>
  <c r="B5685" i="1"/>
  <c r="C5685" i="1"/>
  <c r="A5686" i="1"/>
  <c r="B5686" i="1"/>
  <c r="C5686" i="1"/>
  <c r="A11011" i="1"/>
  <c r="B11011" i="1"/>
  <c r="C11011" i="1"/>
  <c r="A25729" i="1"/>
  <c r="B25729" i="1"/>
  <c r="C25729" i="1"/>
  <c r="A7092" i="1"/>
  <c r="B7092" i="1"/>
  <c r="C7092" i="1"/>
  <c r="A15178" i="1"/>
  <c r="B15178" i="1"/>
  <c r="C15178" i="1"/>
  <c r="A14615" i="1"/>
  <c r="B14615" i="1"/>
  <c r="C14615" i="1"/>
  <c r="A1828" i="1"/>
  <c r="B1828" i="1"/>
  <c r="C1828" i="1"/>
  <c r="A7332" i="1"/>
  <c r="B7332" i="1"/>
  <c r="C7332" i="1"/>
  <c r="A12589" i="1"/>
  <c r="B12589" i="1"/>
  <c r="C12589" i="1"/>
  <c r="A4335" i="1"/>
  <c r="B4335" i="1"/>
  <c r="C4335" i="1"/>
  <c r="A1843" i="1"/>
  <c r="B1843" i="1"/>
  <c r="C1843" i="1"/>
  <c r="A7187" i="1"/>
  <c r="B7187" i="1"/>
  <c r="C7187" i="1"/>
  <c r="A7188" i="1"/>
  <c r="B7188" i="1"/>
  <c r="C7188" i="1"/>
  <c r="A10273" i="1"/>
  <c r="B10273" i="1"/>
  <c r="C10273" i="1"/>
  <c r="A10582" i="1"/>
  <c r="B10582" i="1"/>
  <c r="C10582" i="1"/>
  <c r="A10581" i="1"/>
  <c r="B10581" i="1"/>
  <c r="C10581" i="1"/>
  <c r="A12343" i="1"/>
  <c r="B12343" i="1"/>
  <c r="C12343" i="1"/>
  <c r="A13918" i="1"/>
  <c r="B13918" i="1"/>
  <c r="C13918" i="1"/>
  <c r="A13793" i="1"/>
  <c r="B13793" i="1"/>
  <c r="C13793" i="1"/>
  <c r="A15820" i="1"/>
  <c r="B15820" i="1"/>
  <c r="C15820" i="1"/>
  <c r="A16859" i="1"/>
  <c r="B16859" i="1"/>
  <c r="C16859" i="1"/>
  <c r="A23832" i="1"/>
  <c r="B23832" i="1"/>
  <c r="C23832" i="1"/>
  <c r="A14463" i="1"/>
  <c r="B14463" i="1"/>
  <c r="C14463" i="1"/>
  <c r="A21933" i="1"/>
  <c r="B21933" i="1"/>
  <c r="C21933" i="1"/>
  <c r="A16839" i="1"/>
  <c r="B16839" i="1"/>
  <c r="C16839" i="1"/>
  <c r="A865" i="1"/>
  <c r="B865" i="1"/>
  <c r="C865" i="1"/>
  <c r="A14500" i="1"/>
  <c r="B14500" i="1"/>
  <c r="C14500" i="1"/>
  <c r="A14230" i="1"/>
  <c r="B14230" i="1"/>
  <c r="C14230" i="1"/>
  <c r="A14506" i="1"/>
  <c r="B14506" i="1"/>
  <c r="C14506" i="1"/>
  <c r="A18642" i="1"/>
  <c r="B18642" i="1"/>
  <c r="C18642" i="1"/>
  <c r="A18751" i="1"/>
  <c r="B18751" i="1"/>
  <c r="C18751" i="1"/>
  <c r="A17100" i="1"/>
  <c r="B17100" i="1"/>
  <c r="C17100" i="1"/>
  <c r="A17101" i="1"/>
  <c r="B17101" i="1"/>
  <c r="C17101" i="1"/>
  <c r="A5481" i="1"/>
  <c r="B5481" i="1"/>
  <c r="C5481" i="1"/>
  <c r="A16288" i="1"/>
  <c r="B16288" i="1"/>
  <c r="C16288" i="1"/>
  <c r="A11125" i="1"/>
  <c r="B11125" i="1"/>
  <c r="C11125" i="1"/>
  <c r="A12115" i="1"/>
  <c r="B12115" i="1"/>
  <c r="C12115" i="1"/>
  <c r="A16591" i="1"/>
  <c r="B16591" i="1"/>
  <c r="C16591" i="1"/>
  <c r="A22017" i="1"/>
  <c r="B22017" i="1"/>
  <c r="C22017" i="1"/>
  <c r="A10357" i="1"/>
  <c r="B10357" i="1"/>
  <c r="C10357" i="1"/>
  <c r="A16541" i="1"/>
  <c r="B16541" i="1"/>
  <c r="C16541" i="1"/>
  <c r="A22142" i="1"/>
  <c r="B22142" i="1"/>
  <c r="C22142" i="1"/>
  <c r="A6427" i="1"/>
  <c r="B6427" i="1"/>
  <c r="C6427" i="1"/>
  <c r="A17397" i="1"/>
  <c r="B17397" i="1"/>
  <c r="C17397" i="1"/>
  <c r="A2550" i="1"/>
  <c r="B2550" i="1"/>
  <c r="C2550" i="1"/>
  <c r="A10886" i="1"/>
  <c r="B10886" i="1"/>
  <c r="C10886" i="1"/>
  <c r="A3243" i="1"/>
  <c r="B3243" i="1"/>
  <c r="C3243" i="1"/>
  <c r="A3253" i="1"/>
  <c r="B3253" i="1"/>
  <c r="C3253" i="1"/>
  <c r="A3297" i="1"/>
  <c r="B3297" i="1"/>
  <c r="C3297" i="1"/>
  <c r="A3293" i="1"/>
  <c r="B3293" i="1"/>
  <c r="C3293" i="1"/>
  <c r="A3294" i="1"/>
  <c r="B3294" i="1"/>
  <c r="C3294" i="1"/>
  <c r="A21554" i="1"/>
  <c r="B21554" i="1"/>
  <c r="C21554" i="1"/>
  <c r="A21555" i="1"/>
  <c r="B21555" i="1"/>
  <c r="C21555" i="1"/>
  <c r="A21557" i="1"/>
  <c r="B21557" i="1"/>
  <c r="C21557" i="1"/>
  <c r="A10877" i="1"/>
  <c r="B10877" i="1"/>
  <c r="C10877" i="1"/>
  <c r="A11082" i="1"/>
  <c r="B11082" i="1"/>
  <c r="C11082" i="1"/>
  <c r="A19708" i="1"/>
  <c r="B19708" i="1"/>
  <c r="C19708" i="1"/>
  <c r="A433" i="1"/>
  <c r="B433" i="1"/>
  <c r="C433" i="1"/>
  <c r="A4291" i="1"/>
  <c r="B4291" i="1"/>
  <c r="C4291" i="1"/>
  <c r="A22274" i="1"/>
  <c r="B22274" i="1"/>
  <c r="C22274" i="1"/>
  <c r="A25288" i="1"/>
  <c r="B25288" i="1"/>
  <c r="C25288" i="1"/>
  <c r="A10759" i="1"/>
  <c r="B10759" i="1"/>
  <c r="C10759" i="1"/>
  <c r="A348" i="1"/>
  <c r="B348" i="1"/>
  <c r="C348" i="1"/>
  <c r="A12432" i="1"/>
  <c r="B12432" i="1"/>
  <c r="C12432" i="1"/>
  <c r="A13437" i="1"/>
  <c r="B13437" i="1"/>
  <c r="C13437" i="1"/>
  <c r="A9169" i="1"/>
  <c r="B9169" i="1"/>
  <c r="C9169" i="1"/>
  <c r="A9185" i="1"/>
  <c r="B9185" i="1"/>
  <c r="C9185" i="1"/>
  <c r="A7749" i="1"/>
  <c r="B7749" i="1"/>
  <c r="C7749" i="1"/>
  <c r="A24840" i="1"/>
  <c r="B24840" i="1"/>
  <c r="C24840" i="1"/>
  <c r="A16931" i="1"/>
  <c r="B16931" i="1"/>
  <c r="C16931" i="1"/>
  <c r="A25242" i="1"/>
  <c r="B25242" i="1"/>
  <c r="C25242" i="1"/>
  <c r="A14090" i="1"/>
  <c r="B14090" i="1"/>
  <c r="C14090" i="1"/>
  <c r="A22404" i="1"/>
  <c r="B22404" i="1"/>
  <c r="C22404" i="1"/>
  <c r="A10584" i="1"/>
  <c r="B10584" i="1"/>
  <c r="C10584" i="1"/>
  <c r="A6728" i="1"/>
  <c r="B6728" i="1"/>
  <c r="C6728" i="1"/>
  <c r="A453" i="1"/>
  <c r="B453" i="1"/>
  <c r="C453" i="1"/>
  <c r="A412" i="1"/>
  <c r="B412" i="1"/>
  <c r="C412" i="1"/>
  <c r="A417" i="1"/>
  <c r="B417" i="1"/>
  <c r="C417" i="1"/>
  <c r="A9467" i="1"/>
  <c r="B9467" i="1"/>
  <c r="C9467" i="1"/>
  <c r="A7906" i="1"/>
  <c r="B7906" i="1"/>
  <c r="C7906" i="1"/>
  <c r="A204" i="1"/>
  <c r="B204" i="1"/>
  <c r="C204" i="1"/>
  <c r="A22349" i="1"/>
  <c r="B22349" i="1"/>
  <c r="C22349" i="1"/>
  <c r="A22709" i="1"/>
  <c r="B22709" i="1"/>
  <c r="C22709" i="1"/>
  <c r="A20968" i="1"/>
  <c r="B20968" i="1"/>
  <c r="C20968" i="1"/>
  <c r="A18125" i="1"/>
  <c r="B18125" i="1"/>
  <c r="C18125" i="1"/>
  <c r="A11725" i="1"/>
  <c r="B11725" i="1"/>
  <c r="C11725" i="1"/>
  <c r="A11724" i="1"/>
  <c r="B11724" i="1"/>
  <c r="C11724" i="1"/>
  <c r="A16181" i="1"/>
  <c r="B16181" i="1"/>
  <c r="C16181" i="1"/>
  <c r="A10740" i="1"/>
  <c r="B10740" i="1"/>
  <c r="C10740" i="1"/>
  <c r="A14582" i="1"/>
  <c r="B14582" i="1"/>
  <c r="C14582" i="1"/>
  <c r="A354" i="1"/>
  <c r="B354" i="1"/>
  <c r="C354" i="1"/>
  <c r="A20121" i="1"/>
  <c r="B20121" i="1"/>
  <c r="C20121" i="1"/>
  <c r="A12215" i="1"/>
  <c r="B12215" i="1"/>
  <c r="C12215" i="1"/>
  <c r="A8834" i="1"/>
  <c r="B8834" i="1"/>
  <c r="C8834" i="1"/>
  <c r="A5940" i="1"/>
  <c r="B5940" i="1"/>
  <c r="C5940" i="1"/>
  <c r="A15338" i="1"/>
  <c r="B15338" i="1"/>
  <c r="C15338" i="1"/>
  <c r="A21469" i="1"/>
  <c r="B21469" i="1"/>
  <c r="C21469" i="1"/>
  <c r="A17748" i="1"/>
  <c r="B17748" i="1"/>
  <c r="C17748" i="1"/>
  <c r="A14064" i="1"/>
  <c r="B14064" i="1"/>
  <c r="C14064" i="1"/>
  <c r="A16266" i="1"/>
  <c r="B16266" i="1"/>
  <c r="C16266" i="1"/>
  <c r="A20160" i="1"/>
  <c r="B20160" i="1"/>
  <c r="C20160" i="1"/>
  <c r="A15337" i="1"/>
  <c r="B15337" i="1"/>
  <c r="C15337" i="1"/>
  <c r="A19193" i="1"/>
  <c r="B19193" i="1"/>
  <c r="C19193" i="1"/>
  <c r="A19195" i="1"/>
  <c r="B19195" i="1"/>
  <c r="C19195" i="1"/>
  <c r="A25367" i="1"/>
  <c r="B25367" i="1"/>
  <c r="C25367" i="1"/>
  <c r="A5853" i="1"/>
  <c r="B5853" i="1"/>
  <c r="C5853" i="1"/>
  <c r="A17568" i="1"/>
  <c r="B17568" i="1"/>
  <c r="C17568" i="1"/>
  <c r="A17569" i="1"/>
  <c r="B17569" i="1"/>
  <c r="C17569" i="1"/>
  <c r="A12681" i="1"/>
  <c r="B12681" i="1"/>
  <c r="C12681" i="1"/>
  <c r="A25313" i="1"/>
  <c r="B25313" i="1"/>
  <c r="C25313" i="1"/>
  <c r="A22364" i="1"/>
  <c r="B22364" i="1"/>
  <c r="C22364" i="1"/>
  <c r="A21424" i="1"/>
  <c r="B21424" i="1"/>
  <c r="C21424" i="1"/>
  <c r="A23859" i="1"/>
  <c r="B23859" i="1"/>
  <c r="C23859" i="1"/>
  <c r="A16959" i="1"/>
  <c r="B16959" i="1"/>
  <c r="C16959" i="1"/>
  <c r="A392" i="1"/>
  <c r="B392" i="1"/>
  <c r="C392" i="1"/>
  <c r="A551" i="1"/>
  <c r="B551" i="1"/>
  <c r="C551" i="1"/>
  <c r="A10149" i="1"/>
  <c r="B10149" i="1"/>
  <c r="C10149" i="1"/>
  <c r="A4245" i="1"/>
  <c r="B4245" i="1"/>
  <c r="C4245" i="1"/>
  <c r="A22792" i="1"/>
  <c r="B22792" i="1"/>
  <c r="C22792" i="1"/>
  <c r="A18613" i="1"/>
  <c r="B18613" i="1"/>
  <c r="C18613" i="1"/>
  <c r="A15350" i="1"/>
  <c r="B15350" i="1"/>
  <c r="C15350" i="1"/>
  <c r="A24533" i="1"/>
  <c r="B24533" i="1"/>
  <c r="C24533" i="1"/>
  <c r="A24277" i="1"/>
  <c r="B24277" i="1"/>
  <c r="C24277" i="1"/>
  <c r="A5821" i="1"/>
  <c r="B5821" i="1"/>
  <c r="C5821" i="1"/>
  <c r="A12513" i="1"/>
  <c r="B12513" i="1"/>
  <c r="C12513" i="1"/>
  <c r="A11233" i="1"/>
  <c r="B11233" i="1"/>
  <c r="C11233" i="1"/>
  <c r="A23829" i="1"/>
  <c r="B23829" i="1"/>
  <c r="C23829" i="1"/>
  <c r="A12443" i="1"/>
  <c r="B12443" i="1"/>
  <c r="C12443" i="1"/>
  <c r="A5705" i="1"/>
  <c r="B5705" i="1"/>
  <c r="C5705" i="1"/>
  <c r="A16182" i="1"/>
  <c r="B16182" i="1"/>
  <c r="C16182" i="1"/>
  <c r="A11370" i="1"/>
  <c r="B11370" i="1"/>
  <c r="C11370" i="1"/>
  <c r="A17398" i="1"/>
  <c r="B17398" i="1"/>
  <c r="C17398" i="1"/>
  <c r="A899" i="1"/>
  <c r="B899" i="1"/>
  <c r="C899" i="1"/>
  <c r="A901" i="1"/>
  <c r="B901" i="1"/>
  <c r="C901" i="1"/>
  <c r="A903" i="1"/>
  <c r="B903" i="1"/>
  <c r="C903" i="1"/>
  <c r="A14128" i="1"/>
  <c r="B14128" i="1"/>
  <c r="C14128" i="1"/>
  <c r="A17236" i="1"/>
  <c r="B17236" i="1"/>
  <c r="C17236" i="1"/>
  <c r="A17345" i="1"/>
  <c r="B17345" i="1"/>
  <c r="C17345" i="1"/>
  <c r="A17337" i="1"/>
  <c r="B17337" i="1"/>
  <c r="C17337" i="1"/>
  <c r="A1649" i="1"/>
  <c r="B1649" i="1"/>
  <c r="C1649" i="1"/>
  <c r="A10247" i="1"/>
  <c r="B10247" i="1"/>
  <c r="C10247" i="1"/>
  <c r="A5727" i="1"/>
  <c r="B5727" i="1"/>
  <c r="C5727" i="1"/>
  <c r="A25760" i="1"/>
  <c r="B25760" i="1"/>
  <c r="C25760" i="1"/>
  <c r="A6783" i="1"/>
  <c r="B6783" i="1"/>
  <c r="C6783" i="1"/>
  <c r="A20489" i="1"/>
  <c r="B20489" i="1"/>
  <c r="C20489" i="1"/>
  <c r="A25463" i="1"/>
  <c r="B25463" i="1"/>
  <c r="C25463" i="1"/>
  <c r="A25462" i="1"/>
  <c r="B25462" i="1"/>
  <c r="C25462" i="1"/>
  <c r="A6850" i="1"/>
  <c r="B6850" i="1"/>
  <c r="C6850" i="1"/>
  <c r="A22718" i="1"/>
  <c r="B22718" i="1"/>
  <c r="C22718" i="1"/>
  <c r="A4060" i="1"/>
  <c r="B4060" i="1"/>
  <c r="C4060" i="1"/>
  <c r="A24320" i="1"/>
  <c r="B24320" i="1"/>
  <c r="C24320" i="1"/>
  <c r="A3924" i="1"/>
  <c r="B3924" i="1"/>
  <c r="C3924" i="1"/>
  <c r="A12478" i="1"/>
  <c r="B12478" i="1"/>
  <c r="C12478" i="1"/>
  <c r="A9114" i="1"/>
  <c r="B9114" i="1"/>
  <c r="C9114" i="1"/>
  <c r="A7218" i="1"/>
  <c r="B7218" i="1"/>
  <c r="C7218" i="1"/>
  <c r="A23618" i="1"/>
  <c r="B23618" i="1"/>
  <c r="C23618" i="1"/>
  <c r="A6508" i="1"/>
  <c r="B6508" i="1"/>
  <c r="C6508" i="1"/>
  <c r="A6724" i="1"/>
  <c r="B6724" i="1"/>
  <c r="C6724" i="1"/>
  <c r="A14521" i="1"/>
  <c r="B14521" i="1"/>
  <c r="C14521" i="1"/>
  <c r="A15225" i="1"/>
  <c r="B15225" i="1"/>
  <c r="C15225" i="1"/>
  <c r="A15041" i="1"/>
  <c r="B15041" i="1"/>
  <c r="C15041" i="1"/>
  <c r="A9861" i="1"/>
  <c r="B9861" i="1"/>
  <c r="C9861" i="1"/>
  <c r="A11648" i="1"/>
  <c r="B11648" i="1"/>
  <c r="C11648" i="1"/>
  <c r="A14195" i="1"/>
  <c r="B14195" i="1"/>
  <c r="C14195" i="1"/>
  <c r="A12558" i="1"/>
  <c r="B12558" i="1"/>
  <c r="C12558" i="1"/>
  <c r="A11772" i="1"/>
  <c r="B11772" i="1"/>
  <c r="C11772" i="1"/>
  <c r="A25713" i="1"/>
  <c r="B25713" i="1"/>
  <c r="C25713" i="1"/>
  <c r="A25714" i="1"/>
  <c r="B25714" i="1"/>
  <c r="C25714" i="1"/>
  <c r="A25633" i="1"/>
  <c r="B25633" i="1"/>
  <c r="C25633" i="1"/>
  <c r="A10323" i="1"/>
  <c r="B10323" i="1"/>
  <c r="C10323" i="1"/>
  <c r="A25632" i="1"/>
  <c r="B25632" i="1"/>
  <c r="C25632" i="1"/>
  <c r="A4292" i="1"/>
  <c r="B4292" i="1"/>
  <c r="C4292" i="1"/>
  <c r="A6808" i="1"/>
  <c r="B6808" i="1"/>
  <c r="C6808" i="1"/>
  <c r="A20728" i="1"/>
  <c r="B20728" i="1"/>
  <c r="C20728" i="1"/>
  <c r="A3925" i="1"/>
  <c r="B3925" i="1"/>
  <c r="C3925" i="1"/>
  <c r="A16866" i="1"/>
  <c r="B16866" i="1"/>
  <c r="C16866" i="1"/>
  <c r="A17470" i="1"/>
  <c r="B17470" i="1"/>
  <c r="C17470" i="1"/>
  <c r="A17014" i="1"/>
  <c r="B17014" i="1"/>
  <c r="C17014" i="1"/>
  <c r="A17015" i="1"/>
  <c r="B17015" i="1"/>
  <c r="C17015" i="1"/>
  <c r="A7140" i="1"/>
  <c r="B7140" i="1"/>
  <c r="C7140" i="1"/>
  <c r="A7158" i="1"/>
  <c r="B7158" i="1"/>
  <c r="C7158" i="1"/>
  <c r="A13737" i="1"/>
  <c r="B13737" i="1"/>
  <c r="C13737" i="1"/>
  <c r="A6667" i="1"/>
  <c r="B6667" i="1"/>
  <c r="C6667" i="1"/>
  <c r="A9874" i="1"/>
  <c r="B9874" i="1"/>
  <c r="C9874" i="1"/>
  <c r="A7967" i="1"/>
  <c r="B7967" i="1"/>
  <c r="C7967" i="1"/>
  <c r="A7968" i="1"/>
  <c r="B7968" i="1"/>
  <c r="C7968" i="1"/>
  <c r="A5775" i="1"/>
  <c r="B5775" i="1"/>
  <c r="C5775" i="1"/>
  <c r="A15371" i="1"/>
  <c r="B15371" i="1"/>
  <c r="C15371" i="1"/>
  <c r="A11823" i="1"/>
  <c r="B11823" i="1"/>
  <c r="C11823" i="1"/>
  <c r="A14110" i="1"/>
  <c r="B14110" i="1"/>
  <c r="C14110" i="1"/>
  <c r="A14109" i="1"/>
  <c r="B14109" i="1"/>
  <c r="C14109" i="1"/>
  <c r="A2281" i="1"/>
  <c r="B2281" i="1"/>
  <c r="C2281" i="1"/>
  <c r="A8802" i="1"/>
  <c r="B8802" i="1"/>
  <c r="C8802" i="1"/>
  <c r="A23605" i="1"/>
  <c r="B23605" i="1"/>
  <c r="C23605" i="1"/>
  <c r="A4814" i="1"/>
  <c r="B4814" i="1"/>
  <c r="C4814" i="1"/>
  <c r="A15753" i="1"/>
  <c r="B15753" i="1"/>
  <c r="C15753" i="1"/>
  <c r="A12489" i="1"/>
  <c r="B12489" i="1"/>
  <c r="C12489" i="1"/>
  <c r="A10606" i="1"/>
  <c r="B10606" i="1"/>
  <c r="C10606" i="1"/>
  <c r="A18823" i="1"/>
  <c r="B18823" i="1"/>
  <c r="C18823" i="1"/>
  <c r="A21182" i="1"/>
  <c r="B21182" i="1"/>
  <c r="C21182" i="1"/>
  <c r="A21183" i="1"/>
  <c r="B21183" i="1"/>
  <c r="C21183" i="1"/>
  <c r="A24152" i="1"/>
  <c r="B24152" i="1"/>
  <c r="C24152" i="1"/>
  <c r="A21485" i="1"/>
  <c r="B21485" i="1"/>
  <c r="C21485" i="1"/>
  <c r="A16488" i="1"/>
  <c r="B16488" i="1"/>
  <c r="C16488" i="1"/>
  <c r="A4956" i="1"/>
  <c r="B4956" i="1"/>
  <c r="C4956" i="1"/>
  <c r="A19078" i="1"/>
  <c r="B19078" i="1"/>
  <c r="C19078" i="1"/>
  <c r="A4817" i="1"/>
  <c r="B4817" i="1"/>
  <c r="C4817" i="1"/>
  <c r="A9900" i="1"/>
  <c r="B9900" i="1"/>
  <c r="C9900" i="1"/>
  <c r="A9895" i="1"/>
  <c r="B9895" i="1"/>
  <c r="C9895" i="1"/>
  <c r="A6648" i="1"/>
  <c r="B6648" i="1"/>
  <c r="C6648" i="1"/>
  <c r="A18081" i="1"/>
  <c r="B18081" i="1"/>
  <c r="C18081" i="1"/>
  <c r="A13963" i="1"/>
  <c r="B13963" i="1"/>
  <c r="C13963" i="1"/>
  <c r="A24075" i="1"/>
  <c r="B24075" i="1"/>
  <c r="C24075" i="1"/>
  <c r="A16895" i="1"/>
  <c r="B16895" i="1"/>
  <c r="C16895" i="1"/>
  <c r="A6804" i="1"/>
  <c r="B6804" i="1"/>
  <c r="C6804" i="1"/>
  <c r="A6832" i="1"/>
  <c r="B6832" i="1"/>
  <c r="C6832" i="1"/>
  <c r="A5113" i="1"/>
  <c r="B5113" i="1"/>
  <c r="C5113" i="1"/>
  <c r="A5111" i="1"/>
  <c r="B5111" i="1"/>
  <c r="C5111" i="1"/>
  <c r="A5112" i="1"/>
  <c r="B5112" i="1"/>
  <c r="C5112" i="1"/>
  <c r="A4472" i="1"/>
  <c r="B4472" i="1"/>
  <c r="C4472" i="1"/>
  <c r="A4470" i="1"/>
  <c r="B4470" i="1"/>
  <c r="C4470" i="1"/>
  <c r="A4471" i="1"/>
  <c r="B4471" i="1"/>
  <c r="C4471" i="1"/>
  <c r="A5558" i="1"/>
  <c r="B5558" i="1"/>
  <c r="C5558" i="1"/>
  <c r="A5559" i="1"/>
  <c r="B5559" i="1"/>
  <c r="C5559" i="1"/>
  <c r="A22009" i="1"/>
  <c r="B22009" i="1"/>
  <c r="C22009" i="1"/>
  <c r="A1777" i="1"/>
  <c r="B1777" i="1"/>
  <c r="C1777" i="1"/>
  <c r="A22011" i="1"/>
  <c r="B22011" i="1"/>
  <c r="C22011" i="1"/>
  <c r="A11265" i="1"/>
  <c r="B11265" i="1"/>
  <c r="C11265" i="1"/>
  <c r="A741" i="1"/>
  <c r="B741" i="1"/>
  <c r="C741" i="1"/>
  <c r="A16639" i="1"/>
  <c r="B16639" i="1"/>
  <c r="C16639" i="1"/>
  <c r="A8783" i="1"/>
  <c r="B8783" i="1"/>
  <c r="C8783" i="1"/>
  <c r="A7357" i="1"/>
  <c r="B7357" i="1"/>
  <c r="C7357" i="1"/>
  <c r="A5418" i="1"/>
  <c r="B5418" i="1"/>
  <c r="C5418" i="1"/>
  <c r="A9400" i="1"/>
  <c r="B9400" i="1"/>
  <c r="C9400" i="1"/>
  <c r="A6597" i="1"/>
  <c r="B6597" i="1"/>
  <c r="C6597" i="1"/>
  <c r="A15391" i="1"/>
  <c r="B15391" i="1"/>
  <c r="C15391" i="1"/>
  <c r="A8821" i="1"/>
  <c r="B8821" i="1"/>
  <c r="C8821" i="1"/>
  <c r="A23156" i="1"/>
  <c r="B23156" i="1"/>
  <c r="C23156" i="1"/>
  <c r="A16338" i="1"/>
  <c r="B16338" i="1"/>
  <c r="C16338" i="1"/>
  <c r="A24442" i="1"/>
  <c r="B24442" i="1"/>
  <c r="C24442" i="1"/>
  <c r="A23054" i="1"/>
  <c r="B23054" i="1"/>
  <c r="C23054" i="1"/>
  <c r="A23074" i="1"/>
  <c r="B23074" i="1"/>
  <c r="C23074" i="1"/>
  <c r="A23063" i="1"/>
  <c r="B23063" i="1"/>
  <c r="C23063" i="1"/>
  <c r="A23073" i="1"/>
  <c r="B23073" i="1"/>
  <c r="C23073" i="1"/>
  <c r="A23060" i="1"/>
  <c r="B23060" i="1"/>
  <c r="C23060" i="1"/>
  <c r="A23050" i="1"/>
  <c r="B23050" i="1"/>
  <c r="C23050" i="1"/>
  <c r="A23066" i="1"/>
  <c r="B23066" i="1"/>
  <c r="C23066" i="1"/>
  <c r="A23047" i="1"/>
  <c r="B23047" i="1"/>
  <c r="C23047" i="1"/>
  <c r="A23048" i="1"/>
  <c r="B23048" i="1"/>
  <c r="C23048" i="1"/>
  <c r="A23055" i="1"/>
  <c r="B23055" i="1"/>
  <c r="C23055" i="1"/>
  <c r="A23046" i="1"/>
  <c r="B23046" i="1"/>
  <c r="C23046" i="1"/>
  <c r="A23045" i="1"/>
  <c r="B23045" i="1"/>
  <c r="C23045" i="1"/>
  <c r="A23069" i="1"/>
  <c r="B23069" i="1"/>
  <c r="C23069" i="1"/>
  <c r="A23072" i="1"/>
  <c r="B23072" i="1"/>
  <c r="C23072" i="1"/>
  <c r="A23071" i="1"/>
  <c r="B23071" i="1"/>
  <c r="C23071" i="1"/>
  <c r="A23031" i="1"/>
  <c r="B23031" i="1"/>
  <c r="C23031" i="1"/>
  <c r="A23032" i="1"/>
  <c r="B23032" i="1"/>
  <c r="C23032" i="1"/>
  <c r="A23027" i="1"/>
  <c r="B23027" i="1"/>
  <c r="C23027" i="1"/>
  <c r="A23053" i="1"/>
  <c r="B23053" i="1"/>
  <c r="C23053" i="1"/>
  <c r="A23030" i="1"/>
  <c r="B23030" i="1"/>
  <c r="C23030" i="1"/>
  <c r="A5640" i="1"/>
  <c r="B5640" i="1"/>
  <c r="C5640" i="1"/>
  <c r="A23024" i="1"/>
  <c r="B23024" i="1"/>
  <c r="C23024" i="1"/>
  <c r="A19714" i="1"/>
  <c r="B19714" i="1"/>
  <c r="C19714" i="1"/>
  <c r="A22104" i="1"/>
  <c r="B22104" i="1"/>
  <c r="C22104" i="1"/>
  <c r="A5772" i="1"/>
  <c r="B5772" i="1"/>
  <c r="C5772" i="1"/>
  <c r="A16570" i="1"/>
  <c r="B16570" i="1"/>
  <c r="C16570" i="1"/>
  <c r="A24753" i="1"/>
  <c r="B24753" i="1"/>
  <c r="C24753" i="1"/>
  <c r="A14785" i="1"/>
  <c r="B14785" i="1"/>
  <c r="C14785" i="1"/>
  <c r="A21651" i="1"/>
  <c r="B21651" i="1"/>
  <c r="C21651" i="1"/>
  <c r="A24960" i="1"/>
  <c r="B24960" i="1"/>
  <c r="C24960" i="1"/>
  <c r="A13532" i="1"/>
  <c r="B13532" i="1"/>
  <c r="C13532" i="1"/>
  <c r="A732" i="1"/>
  <c r="B732" i="1"/>
  <c r="C732" i="1"/>
  <c r="A25052" i="1"/>
  <c r="B25052" i="1"/>
  <c r="C25052" i="1"/>
  <c r="A24756" i="1"/>
  <c r="B24756" i="1"/>
  <c r="C24756" i="1"/>
  <c r="A2906" i="1"/>
  <c r="B2906" i="1"/>
  <c r="C2906" i="1"/>
  <c r="A13458" i="1"/>
  <c r="B13458" i="1"/>
  <c r="C13458" i="1"/>
  <c r="A16590" i="1"/>
  <c r="B16590" i="1"/>
  <c r="C16590" i="1"/>
  <c r="A2912" i="1"/>
  <c r="B2912" i="1"/>
  <c r="C2912" i="1"/>
  <c r="A4613" i="1"/>
  <c r="B4613" i="1"/>
  <c r="C4613" i="1"/>
  <c r="A4608" i="1"/>
  <c r="B4608" i="1"/>
  <c r="C4608" i="1"/>
  <c r="A4609" i="1"/>
  <c r="B4609" i="1"/>
  <c r="C4609" i="1"/>
  <c r="A4607" i="1"/>
  <c r="B4607" i="1"/>
  <c r="C4607" i="1"/>
  <c r="A4610" i="1"/>
  <c r="B4610" i="1"/>
  <c r="C4610" i="1"/>
  <c r="A5048" i="1"/>
  <c r="B5048" i="1"/>
  <c r="C5048" i="1"/>
  <c r="A5049" i="1"/>
  <c r="B5049" i="1"/>
  <c r="C5049" i="1"/>
  <c r="A5058" i="1"/>
  <c r="B5058" i="1"/>
  <c r="C5058" i="1"/>
  <c r="A5059" i="1"/>
  <c r="B5059" i="1"/>
  <c r="C5059" i="1"/>
  <c r="A5057" i="1"/>
  <c r="B5057" i="1"/>
  <c r="C5057" i="1"/>
  <c r="A5060" i="1"/>
  <c r="B5060" i="1"/>
  <c r="C5060" i="1"/>
  <c r="A4623" i="1"/>
  <c r="B4623" i="1"/>
  <c r="C4623" i="1"/>
  <c r="A4624" i="1"/>
  <c r="B4624" i="1"/>
  <c r="C4624" i="1"/>
  <c r="A4604" i="1"/>
  <c r="B4604" i="1"/>
  <c r="C4604" i="1"/>
  <c r="A5043" i="1"/>
  <c r="B5043" i="1"/>
  <c r="C5043" i="1"/>
  <c r="A19197" i="1"/>
  <c r="B19197" i="1"/>
  <c r="C19197" i="1"/>
  <c r="A2822" i="1"/>
  <c r="B2822" i="1"/>
  <c r="C2822" i="1"/>
  <c r="A4614" i="1"/>
  <c r="B4614" i="1"/>
  <c r="C4614" i="1"/>
  <c r="A4615" i="1"/>
  <c r="B4615" i="1"/>
  <c r="C4615" i="1"/>
  <c r="A4612" i="1"/>
  <c r="B4612" i="1"/>
  <c r="C4612" i="1"/>
  <c r="A5050" i="1"/>
  <c r="B5050" i="1"/>
  <c r="C5050" i="1"/>
  <c r="A5047" i="1"/>
  <c r="B5047" i="1"/>
  <c r="C5047" i="1"/>
  <c r="A5055" i="1"/>
  <c r="B5055" i="1"/>
  <c r="C5055" i="1"/>
  <c r="A5054" i="1"/>
  <c r="B5054" i="1"/>
  <c r="C5054" i="1"/>
  <c r="A5053" i="1"/>
  <c r="B5053" i="1"/>
  <c r="C5053" i="1"/>
  <c r="A5052" i="1"/>
  <c r="B5052" i="1"/>
  <c r="C5052" i="1"/>
  <c r="A14522" i="1"/>
  <c r="B14522" i="1"/>
  <c r="C14522" i="1"/>
  <c r="A16565" i="1"/>
  <c r="B16565" i="1"/>
  <c r="C16565" i="1"/>
  <c r="A3541" i="1"/>
  <c r="B3541" i="1"/>
  <c r="C3541" i="1"/>
  <c r="A13771" i="1"/>
  <c r="B13771" i="1"/>
  <c r="C13771" i="1"/>
  <c r="A16166" i="1"/>
  <c r="B16166" i="1"/>
  <c r="C16166" i="1"/>
  <c r="A15523" i="1"/>
  <c r="B15523" i="1"/>
  <c r="C15523" i="1"/>
  <c r="A8354" i="1"/>
  <c r="B8354" i="1"/>
  <c r="C8354" i="1"/>
  <c r="A14520" i="1"/>
  <c r="B14520" i="1"/>
  <c r="C14520" i="1"/>
  <c r="A8039" i="1"/>
  <c r="B8039" i="1"/>
  <c r="C8039" i="1"/>
  <c r="A11138" i="1"/>
  <c r="B11138" i="1"/>
  <c r="C11138" i="1"/>
  <c r="A22798" i="1"/>
  <c r="B22798" i="1"/>
  <c r="C22798" i="1"/>
  <c r="A7097" i="1"/>
  <c r="B7097" i="1"/>
  <c r="C7097" i="1"/>
  <c r="A6457" i="1"/>
  <c r="B6457" i="1"/>
  <c r="C6457" i="1"/>
  <c r="A12698" i="1"/>
  <c r="B12698" i="1"/>
  <c r="C12698" i="1"/>
  <c r="A17048" i="1"/>
  <c r="B17048" i="1"/>
  <c r="C17048" i="1"/>
  <c r="A17374" i="1"/>
  <c r="B17374" i="1"/>
  <c r="C17374" i="1"/>
  <c r="A15572" i="1"/>
  <c r="B15572" i="1"/>
  <c r="C15572" i="1"/>
  <c r="A22098" i="1"/>
  <c r="B22098" i="1"/>
  <c r="C22098" i="1"/>
  <c r="A11619" i="1"/>
  <c r="B11619" i="1"/>
  <c r="C11619" i="1"/>
  <c r="A10282" i="1"/>
  <c r="B10282" i="1"/>
  <c r="C10282" i="1"/>
  <c r="A18827" i="1"/>
  <c r="B18827" i="1"/>
  <c r="C18827" i="1"/>
  <c r="A25662" i="1"/>
  <c r="B25662" i="1"/>
  <c r="C25662" i="1"/>
  <c r="A7021" i="1"/>
  <c r="B7021" i="1"/>
  <c r="C7021" i="1"/>
  <c r="A25693" i="1"/>
  <c r="B25693" i="1"/>
  <c r="C25693" i="1"/>
  <c r="A363" i="1"/>
  <c r="B363" i="1"/>
  <c r="C363" i="1"/>
  <c r="A25709" i="1"/>
  <c r="B25709" i="1"/>
  <c r="C25709" i="1"/>
  <c r="A8866" i="1"/>
  <c r="B8866" i="1"/>
  <c r="C8866" i="1"/>
  <c r="A8865" i="1"/>
  <c r="B8865" i="1"/>
  <c r="C8865" i="1"/>
  <c r="A8864" i="1"/>
  <c r="B8864" i="1"/>
  <c r="C8864" i="1"/>
  <c r="A6756" i="1"/>
  <c r="B6756" i="1"/>
  <c r="C6756" i="1"/>
  <c r="A1709" i="1"/>
  <c r="B1709" i="1"/>
  <c r="C1709" i="1"/>
  <c r="A19433" i="1"/>
  <c r="B19433" i="1"/>
  <c r="C19433" i="1"/>
  <c r="A19434" i="1"/>
  <c r="B19434" i="1"/>
  <c r="C19434" i="1"/>
  <c r="A7657" i="1"/>
  <c r="B7657" i="1"/>
  <c r="C7657" i="1"/>
  <c r="A3877" i="1"/>
  <c r="B3877" i="1"/>
  <c r="C3877" i="1"/>
  <c r="A9889" i="1"/>
  <c r="B9889" i="1"/>
  <c r="C9889" i="1"/>
  <c r="A11310" i="1"/>
  <c r="B11310" i="1"/>
  <c r="C11310" i="1"/>
  <c r="A5429" i="1"/>
  <c r="B5429" i="1"/>
  <c r="C5429" i="1"/>
  <c r="A25622" i="1"/>
  <c r="B25622" i="1"/>
  <c r="C25622" i="1"/>
  <c r="A5284" i="1"/>
  <c r="B5284" i="1"/>
  <c r="C5284" i="1"/>
  <c r="A25035" i="1"/>
  <c r="B25035" i="1"/>
  <c r="C25035" i="1"/>
  <c r="A16882" i="1"/>
  <c r="B16882" i="1"/>
  <c r="C16882" i="1"/>
  <c r="A1826" i="1"/>
  <c r="B1826" i="1"/>
  <c r="C1826" i="1"/>
  <c r="A1792" i="1"/>
  <c r="B1792" i="1"/>
  <c r="C1792" i="1"/>
  <c r="A15627" i="1"/>
  <c r="B15627" i="1"/>
  <c r="C15627" i="1"/>
  <c r="A16904" i="1"/>
  <c r="B16904" i="1"/>
  <c r="C16904" i="1"/>
  <c r="A6812" i="1"/>
  <c r="B6812" i="1"/>
  <c r="C6812" i="1"/>
  <c r="A5067" i="1"/>
  <c r="B5067" i="1"/>
  <c r="C5067" i="1"/>
  <c r="A22131" i="1"/>
  <c r="B22131" i="1"/>
  <c r="C22131" i="1"/>
  <c r="A15724" i="1"/>
  <c r="B15724" i="1"/>
  <c r="C15724" i="1"/>
  <c r="A14451" i="1"/>
  <c r="B14451" i="1"/>
  <c r="C14451" i="1"/>
  <c r="A9892" i="1"/>
  <c r="B9892" i="1"/>
  <c r="C9892" i="1"/>
  <c r="A22161" i="1"/>
  <c r="B22161" i="1"/>
  <c r="C22161" i="1"/>
  <c r="A1881" i="1"/>
  <c r="B1881" i="1"/>
  <c r="C1881" i="1"/>
  <c r="A14099" i="1"/>
  <c r="B14099" i="1"/>
  <c r="C14099" i="1"/>
  <c r="A1980" i="1"/>
  <c r="B1980" i="1"/>
  <c r="C1980" i="1"/>
  <c r="A14091" i="1"/>
  <c r="B14091" i="1"/>
  <c r="C14091" i="1"/>
  <c r="A11932" i="1"/>
  <c r="B11932" i="1"/>
  <c r="C11932" i="1"/>
  <c r="A6791" i="1"/>
  <c r="B6791" i="1"/>
  <c r="C6791" i="1"/>
  <c r="A20059" i="1"/>
  <c r="B20059" i="1"/>
  <c r="C20059" i="1"/>
  <c r="A8742" i="1"/>
  <c r="B8742" i="1"/>
  <c r="C8742" i="1"/>
  <c r="A11273" i="1"/>
  <c r="B11273" i="1"/>
  <c r="C11273" i="1"/>
  <c r="A16977" i="1"/>
  <c r="B16977" i="1"/>
  <c r="C16977" i="1"/>
  <c r="A14446" i="1"/>
  <c r="B14446" i="1"/>
  <c r="C14446" i="1"/>
  <c r="A16430" i="1"/>
  <c r="B16430" i="1"/>
  <c r="C16430" i="1"/>
  <c r="A8299" i="1"/>
  <c r="B8299" i="1"/>
  <c r="C8299" i="1"/>
  <c r="A22516" i="1"/>
  <c r="B22516" i="1"/>
  <c r="C22516" i="1"/>
  <c r="A24020" i="1"/>
  <c r="B24020" i="1"/>
  <c r="C24020" i="1"/>
  <c r="A21636" i="1"/>
  <c r="B21636" i="1"/>
  <c r="C21636" i="1"/>
  <c r="A1651" i="1"/>
  <c r="B1651" i="1"/>
  <c r="C1651" i="1"/>
  <c r="A7993" i="1"/>
  <c r="B7993" i="1"/>
  <c r="C7993" i="1"/>
  <c r="A24371" i="1"/>
  <c r="B24371" i="1"/>
  <c r="C24371" i="1"/>
  <c r="A6625" i="1"/>
  <c r="B6625" i="1"/>
  <c r="C6625" i="1"/>
  <c r="A4334" i="1"/>
  <c r="B4334" i="1"/>
  <c r="C4334" i="1"/>
  <c r="A11891" i="1"/>
  <c r="B11891" i="1"/>
  <c r="C11891" i="1"/>
  <c r="A6706" i="1"/>
  <c r="B6706" i="1"/>
  <c r="C6706" i="1"/>
  <c r="A23571" i="1"/>
  <c r="B23571" i="1"/>
  <c r="C23571" i="1"/>
  <c r="A25316" i="1"/>
  <c r="B25316" i="1"/>
  <c r="C25316" i="1"/>
  <c r="A24561" i="1"/>
  <c r="B24561" i="1"/>
  <c r="C24561" i="1"/>
  <c r="A8438" i="1"/>
  <c r="B8438" i="1"/>
  <c r="C8438" i="1"/>
  <c r="A11330" i="1"/>
  <c r="B11330" i="1"/>
  <c r="C11330" i="1"/>
  <c r="A11332" i="1"/>
  <c r="B11332" i="1"/>
  <c r="C11332" i="1"/>
  <c r="A11334" i="1"/>
  <c r="B11334" i="1"/>
  <c r="C11334" i="1"/>
  <c r="A11335" i="1"/>
  <c r="B11335" i="1"/>
  <c r="C11335" i="1"/>
  <c r="A11337" i="1"/>
  <c r="B11337" i="1"/>
  <c r="C11337" i="1"/>
  <c r="A14097" i="1"/>
  <c r="B14097" i="1"/>
  <c r="C14097" i="1"/>
  <c r="A23617" i="1"/>
  <c r="B23617" i="1"/>
  <c r="C23617" i="1"/>
  <c r="A23678" i="1"/>
  <c r="B23678" i="1"/>
  <c r="C23678" i="1"/>
  <c r="A11581" i="1"/>
  <c r="B11581" i="1"/>
  <c r="C11581" i="1"/>
  <c r="A13990" i="1"/>
  <c r="B13990" i="1"/>
  <c r="C13990" i="1"/>
  <c r="A18134" i="1"/>
  <c r="B18134" i="1"/>
  <c r="C18134" i="1"/>
  <c r="A22021" i="1"/>
  <c r="B22021" i="1"/>
  <c r="C22021" i="1"/>
  <c r="A5624" i="1"/>
  <c r="B5624" i="1"/>
  <c r="C5624" i="1"/>
  <c r="A6185" i="1"/>
  <c r="B6185" i="1"/>
  <c r="C6185" i="1"/>
  <c r="A23161" i="1"/>
  <c r="B23161" i="1"/>
  <c r="C23161" i="1"/>
  <c r="A18550" i="1"/>
  <c r="B18550" i="1"/>
  <c r="C18550" i="1"/>
  <c r="A5258" i="1"/>
  <c r="B5258" i="1"/>
  <c r="C5258" i="1"/>
  <c r="A13395" i="1"/>
  <c r="B13395" i="1"/>
  <c r="C13395" i="1"/>
  <c r="A6729" i="1"/>
  <c r="B6729" i="1"/>
  <c r="C6729" i="1"/>
  <c r="A17946" i="1"/>
  <c r="B17946" i="1"/>
  <c r="C17946" i="1"/>
  <c r="A17948" i="1"/>
  <c r="B17948" i="1"/>
  <c r="C17948" i="1"/>
  <c r="A17941" i="1"/>
  <c r="B17941" i="1"/>
  <c r="C17941" i="1"/>
  <c r="A17943" i="1"/>
  <c r="B17943" i="1"/>
  <c r="C17943" i="1"/>
  <c r="A17930" i="1"/>
  <c r="B17930" i="1"/>
  <c r="C17930" i="1"/>
  <c r="A17931" i="1"/>
  <c r="B17931" i="1"/>
  <c r="C17931" i="1"/>
  <c r="A17927" i="1"/>
  <c r="B17927" i="1"/>
  <c r="C17927" i="1"/>
  <c r="A17938" i="1"/>
  <c r="B17938" i="1"/>
  <c r="C17938" i="1"/>
  <c r="A17939" i="1"/>
  <c r="B17939" i="1"/>
  <c r="C17939" i="1"/>
  <c r="A3686" i="1"/>
  <c r="B3686" i="1"/>
  <c r="C3686" i="1"/>
  <c r="A22539" i="1"/>
  <c r="B22539" i="1"/>
  <c r="C22539" i="1"/>
  <c r="A2536" i="1"/>
  <c r="B2536" i="1"/>
  <c r="C2536" i="1"/>
  <c r="A2537" i="1"/>
  <c r="B2537" i="1"/>
  <c r="C2537" i="1"/>
  <c r="A22391" i="1"/>
  <c r="B22391" i="1"/>
  <c r="C22391" i="1"/>
  <c r="A22390" i="1"/>
  <c r="B22390" i="1"/>
  <c r="C22390" i="1"/>
  <c r="A17058" i="1"/>
  <c r="B17058" i="1"/>
  <c r="C17058" i="1"/>
  <c r="A3636" i="1"/>
  <c r="B3636" i="1"/>
  <c r="C3636" i="1"/>
  <c r="A24178" i="1"/>
  <c r="B24178" i="1"/>
  <c r="C24178" i="1"/>
  <c r="A13355" i="1"/>
  <c r="B13355" i="1"/>
  <c r="C13355" i="1"/>
  <c r="A9323" i="1"/>
  <c r="B9323" i="1"/>
  <c r="C9323" i="1"/>
  <c r="A23931" i="1"/>
  <c r="B23931" i="1"/>
  <c r="C23931" i="1"/>
  <c r="A20005" i="1"/>
  <c r="B20005" i="1"/>
  <c r="C20005" i="1"/>
  <c r="A2908" i="1"/>
  <c r="B2908" i="1"/>
  <c r="C2908" i="1"/>
  <c r="A2335" i="1"/>
  <c r="B2335" i="1"/>
  <c r="C2335" i="1"/>
  <c r="A4881" i="1"/>
  <c r="B4881" i="1"/>
  <c r="C4881" i="1"/>
  <c r="A16552" i="1"/>
  <c r="B16552" i="1"/>
  <c r="C16552" i="1"/>
  <c r="A23843" i="1"/>
  <c r="B23843" i="1"/>
  <c r="C23843" i="1"/>
  <c r="A17996" i="1"/>
  <c r="B17996" i="1"/>
  <c r="C17996" i="1"/>
  <c r="A1483" i="1"/>
  <c r="B1483" i="1"/>
  <c r="C1483" i="1"/>
  <c r="A17761" i="1"/>
  <c r="B17761" i="1"/>
  <c r="C17761" i="1"/>
  <c r="A19162" i="1"/>
  <c r="B19162" i="1"/>
  <c r="C19162" i="1"/>
  <c r="A5760" i="1"/>
  <c r="B5760" i="1"/>
  <c r="C5760" i="1"/>
  <c r="A17385" i="1"/>
  <c r="B17385" i="1"/>
  <c r="C17385" i="1"/>
  <c r="A7521" i="1"/>
  <c r="B7521" i="1"/>
  <c r="C7521" i="1"/>
  <c r="A14585" i="1"/>
  <c r="B14585" i="1"/>
  <c r="C14585" i="1"/>
  <c r="A3593" i="1"/>
  <c r="B3593" i="1"/>
  <c r="C3593" i="1"/>
  <c r="A24948" i="1"/>
  <c r="B24948" i="1"/>
  <c r="C24948" i="1"/>
  <c r="A6261" i="1"/>
  <c r="B6261" i="1"/>
  <c r="C6261" i="1"/>
  <c r="A19092" i="1"/>
  <c r="B19092" i="1"/>
  <c r="C19092" i="1"/>
  <c r="A16752" i="1"/>
  <c r="B16752" i="1"/>
  <c r="C16752" i="1"/>
  <c r="A3662" i="1"/>
  <c r="B3662" i="1"/>
  <c r="C3662" i="1"/>
  <c r="A2549" i="1"/>
  <c r="B2549" i="1"/>
  <c r="C2549" i="1"/>
  <c r="A3526" i="1"/>
  <c r="B3526" i="1"/>
  <c r="C3526" i="1"/>
  <c r="A8171" i="1"/>
  <c r="B8171" i="1"/>
  <c r="C8171" i="1"/>
  <c r="A8170" i="1"/>
  <c r="B8170" i="1"/>
  <c r="C8170" i="1"/>
  <c r="A8173" i="1"/>
  <c r="B8173" i="1"/>
  <c r="C8173" i="1"/>
  <c r="A22453" i="1"/>
  <c r="B22453" i="1"/>
  <c r="C22453" i="1"/>
  <c r="A16951" i="1"/>
  <c r="B16951" i="1"/>
  <c r="C16951" i="1"/>
  <c r="A8404" i="1"/>
  <c r="B8404" i="1"/>
  <c r="C8404" i="1"/>
  <c r="A15396" i="1"/>
  <c r="B15396" i="1"/>
  <c r="C15396" i="1"/>
  <c r="A5811" i="1"/>
  <c r="B5811" i="1"/>
  <c r="C5811" i="1"/>
  <c r="A5805" i="1"/>
  <c r="B5805" i="1"/>
  <c r="C5805" i="1"/>
  <c r="A12528" i="1"/>
  <c r="B12528" i="1"/>
  <c r="C12528" i="1"/>
  <c r="A24443" i="1"/>
  <c r="B24443" i="1"/>
  <c r="C24443" i="1"/>
  <c r="A11743" i="1"/>
  <c r="B11743" i="1"/>
  <c r="C11743" i="1"/>
  <c r="A6764" i="1"/>
  <c r="B6764" i="1"/>
  <c r="C6764" i="1"/>
  <c r="A21062" i="1"/>
  <c r="B21062" i="1"/>
  <c r="C21062" i="1"/>
  <c r="A10389" i="1"/>
  <c r="B10389" i="1"/>
  <c r="C10389" i="1"/>
  <c r="A12341" i="1"/>
  <c r="B12341" i="1"/>
  <c r="C12341" i="1"/>
  <c r="A9907" i="1"/>
  <c r="B9907" i="1"/>
  <c r="C9907" i="1"/>
  <c r="A7347" i="1"/>
  <c r="B7347" i="1"/>
  <c r="C7347" i="1"/>
  <c r="A12675" i="1"/>
  <c r="B12675" i="1"/>
  <c r="C12675" i="1"/>
  <c r="A5513" i="1"/>
  <c r="B5513" i="1"/>
  <c r="C5513" i="1"/>
  <c r="A19039" i="1"/>
  <c r="B19039" i="1"/>
  <c r="C19039" i="1"/>
  <c r="A9029" i="1"/>
  <c r="B9029" i="1"/>
  <c r="C9029" i="1"/>
  <c r="A14098" i="1"/>
  <c r="B14098" i="1"/>
  <c r="C14098" i="1"/>
  <c r="A18949" i="1"/>
  <c r="B18949" i="1"/>
  <c r="C18949" i="1"/>
  <c r="A4354" i="1"/>
  <c r="B4354" i="1"/>
  <c r="C4354" i="1"/>
  <c r="A4306" i="1"/>
  <c r="B4306" i="1"/>
  <c r="C4306" i="1"/>
  <c r="A465" i="1"/>
  <c r="B465" i="1"/>
  <c r="C465" i="1"/>
  <c r="A7790" i="1"/>
  <c r="B7790" i="1"/>
  <c r="C7790" i="1"/>
  <c r="A5803" i="1"/>
  <c r="B5803" i="1"/>
  <c r="C5803" i="1"/>
  <c r="A13993" i="1"/>
  <c r="B13993" i="1"/>
  <c r="C13993" i="1"/>
  <c r="A5859" i="1"/>
  <c r="B5859" i="1"/>
  <c r="C5859" i="1"/>
  <c r="A8873" i="1"/>
  <c r="B8873" i="1"/>
  <c r="C8873" i="1"/>
  <c r="A11168" i="1"/>
  <c r="B11168" i="1"/>
  <c r="C11168" i="1"/>
  <c r="A12142" i="1"/>
  <c r="B12142" i="1"/>
  <c r="C12142" i="1"/>
  <c r="A25311" i="1"/>
  <c r="B25311" i="1"/>
  <c r="C25311" i="1"/>
  <c r="A12502" i="1"/>
  <c r="B12502" i="1"/>
  <c r="C12502" i="1"/>
  <c r="A12499" i="1"/>
  <c r="B12499" i="1"/>
  <c r="C12499" i="1"/>
  <c r="A12508" i="1"/>
  <c r="B12508" i="1"/>
  <c r="C12508" i="1"/>
  <c r="A12505" i="1"/>
  <c r="B12505" i="1"/>
  <c r="C12505" i="1"/>
  <c r="A12507" i="1"/>
  <c r="B12507" i="1"/>
  <c r="C12507" i="1"/>
  <c r="A8872" i="1"/>
  <c r="B8872" i="1"/>
  <c r="C8872" i="1"/>
  <c r="A10805" i="1"/>
  <c r="B10805" i="1"/>
  <c r="C10805" i="1"/>
  <c r="A190" i="1"/>
  <c r="B190" i="1"/>
  <c r="C190" i="1"/>
  <c r="A12466" i="1"/>
  <c r="B12466" i="1"/>
  <c r="C12466" i="1"/>
  <c r="A25759" i="1"/>
  <c r="B25759" i="1"/>
  <c r="C25759" i="1"/>
  <c r="A11549" i="1"/>
  <c r="B11549" i="1"/>
  <c r="C11549" i="1"/>
  <c r="A19046" i="1"/>
  <c r="B19046" i="1"/>
  <c r="C19046" i="1"/>
  <c r="A13315" i="1"/>
  <c r="B13315" i="1"/>
  <c r="C13315" i="1"/>
  <c r="A13314" i="1"/>
  <c r="B13314" i="1"/>
  <c r="C13314" i="1"/>
  <c r="A11764" i="1"/>
  <c r="B11764" i="1"/>
  <c r="C11764" i="1"/>
  <c r="A13288" i="1"/>
  <c r="B13288" i="1"/>
  <c r="C13288" i="1"/>
  <c r="A13287" i="1"/>
  <c r="B13287" i="1"/>
  <c r="C13287" i="1"/>
  <c r="A12625" i="1"/>
  <c r="B12625" i="1"/>
  <c r="C12625" i="1"/>
  <c r="A12267" i="1"/>
  <c r="B12267" i="1"/>
  <c r="C12267" i="1"/>
  <c r="A22949" i="1"/>
  <c r="B22949" i="1"/>
  <c r="C22949" i="1"/>
  <c r="A23526" i="1"/>
  <c r="B23526" i="1"/>
  <c r="C23526" i="1"/>
  <c r="A17597" i="1"/>
  <c r="B17597" i="1"/>
  <c r="C17597" i="1"/>
  <c r="A24946" i="1"/>
  <c r="B24946" i="1"/>
  <c r="C24946" i="1"/>
  <c r="A19991" i="1"/>
  <c r="B19991" i="1"/>
  <c r="C19991" i="1"/>
  <c r="A17671" i="1"/>
  <c r="B17671" i="1"/>
  <c r="C17671" i="1"/>
  <c r="A5634" i="1"/>
  <c r="B5634" i="1"/>
  <c r="C5634" i="1"/>
  <c r="A12635" i="1"/>
  <c r="B12635" i="1"/>
  <c r="C12635" i="1"/>
  <c r="A20624" i="1"/>
  <c r="B20624" i="1"/>
  <c r="C20624" i="1"/>
  <c r="A849" i="1"/>
  <c r="B849" i="1"/>
  <c r="C849" i="1"/>
  <c r="A17653" i="1"/>
  <c r="B17653" i="1"/>
  <c r="C17653" i="1"/>
  <c r="A17684" i="1"/>
  <c r="B17684" i="1"/>
  <c r="C17684" i="1"/>
  <c r="A17681" i="1"/>
  <c r="B17681" i="1"/>
  <c r="C17681" i="1"/>
  <c r="A17678" i="1"/>
  <c r="B17678" i="1"/>
  <c r="C17678" i="1"/>
  <c r="A17686" i="1"/>
  <c r="B17686" i="1"/>
  <c r="C17686" i="1"/>
  <c r="A17691" i="1"/>
  <c r="B17691" i="1"/>
  <c r="C17691" i="1"/>
  <c r="A10461" i="1"/>
  <c r="B10461" i="1"/>
  <c r="C10461" i="1"/>
  <c r="A17766" i="1"/>
  <c r="B17766" i="1"/>
  <c r="C17766" i="1"/>
  <c r="A17682" i="1"/>
  <c r="B17682" i="1"/>
  <c r="C17682" i="1"/>
  <c r="A17689" i="1"/>
  <c r="B17689" i="1"/>
  <c r="C17689" i="1"/>
  <c r="A17693" i="1"/>
  <c r="B17693" i="1"/>
  <c r="C17693" i="1"/>
  <c r="A17679" i="1"/>
  <c r="B17679" i="1"/>
  <c r="C17679" i="1"/>
  <c r="A17687" i="1"/>
  <c r="B17687" i="1"/>
  <c r="C17687" i="1"/>
  <c r="A17692" i="1"/>
  <c r="B17692" i="1"/>
  <c r="C17692" i="1"/>
  <c r="A17677" i="1"/>
  <c r="B17677" i="1"/>
  <c r="C17677" i="1"/>
  <c r="A17685" i="1"/>
  <c r="B17685" i="1"/>
  <c r="C17685" i="1"/>
  <c r="A10460" i="1"/>
  <c r="B10460" i="1"/>
  <c r="C10460" i="1"/>
  <c r="A17016" i="1"/>
  <c r="B17016" i="1"/>
  <c r="C17016" i="1"/>
  <c r="A17690" i="1"/>
  <c r="B17690" i="1"/>
  <c r="C17690" i="1"/>
  <c r="A17683" i="1"/>
  <c r="B17683" i="1"/>
  <c r="C17683" i="1"/>
  <c r="A10462" i="1"/>
  <c r="B10462" i="1"/>
  <c r="C10462" i="1"/>
  <c r="A17694" i="1"/>
  <c r="B17694" i="1"/>
  <c r="C17694" i="1"/>
  <c r="A17680" i="1"/>
  <c r="B17680" i="1"/>
  <c r="C17680" i="1"/>
  <c r="A1301" i="1"/>
  <c r="B1301" i="1"/>
  <c r="C1301" i="1"/>
  <c r="A1300" i="1"/>
  <c r="B1300" i="1"/>
  <c r="C1300" i="1"/>
  <c r="A21588" i="1"/>
  <c r="B21588" i="1"/>
  <c r="C21588" i="1"/>
  <c r="A14380" i="1"/>
  <c r="B14380" i="1"/>
  <c r="C14380" i="1"/>
  <c r="A10728" i="1"/>
  <c r="B10728" i="1"/>
  <c r="C10728" i="1"/>
  <c r="A23099" i="1"/>
  <c r="B23099" i="1"/>
  <c r="C23099" i="1"/>
  <c r="A14505" i="1"/>
  <c r="B14505" i="1"/>
  <c r="C14505" i="1"/>
  <c r="A10211" i="1"/>
  <c r="B10211" i="1"/>
  <c r="C10211" i="1"/>
  <c r="A6620" i="1"/>
  <c r="B6620" i="1"/>
  <c r="C6620" i="1"/>
  <c r="A425" i="1"/>
  <c r="B425" i="1"/>
  <c r="C425" i="1"/>
  <c r="A11762" i="1"/>
  <c r="B11762" i="1"/>
  <c r="C11762" i="1"/>
  <c r="A25671" i="1"/>
  <c r="B25671" i="1"/>
  <c r="C25671" i="1"/>
  <c r="A4637" i="1"/>
  <c r="B4637" i="1"/>
  <c r="C4637" i="1"/>
  <c r="A4731" i="1"/>
  <c r="B4731" i="1"/>
  <c r="C4731" i="1"/>
  <c r="A14662" i="1"/>
  <c r="B14662" i="1"/>
  <c r="C14662" i="1"/>
  <c r="A6678" i="1"/>
  <c r="B6678" i="1"/>
  <c r="C6678" i="1"/>
  <c r="A18972" i="1"/>
  <c r="B18972" i="1"/>
  <c r="C18972" i="1"/>
  <c r="A18974" i="1"/>
  <c r="B18974" i="1"/>
  <c r="C18974" i="1"/>
  <c r="A18976" i="1"/>
  <c r="B18976" i="1"/>
  <c r="C18976" i="1"/>
  <c r="A18978" i="1"/>
  <c r="B18978" i="1"/>
  <c r="C18978" i="1"/>
  <c r="A18980" i="1"/>
  <c r="B18980" i="1"/>
  <c r="C18980" i="1"/>
  <c r="A18983" i="1"/>
  <c r="B18983" i="1"/>
  <c r="C18983" i="1"/>
  <c r="A22412" i="1"/>
  <c r="B22412" i="1"/>
  <c r="C22412" i="1"/>
  <c r="A12096" i="1"/>
  <c r="B12096" i="1"/>
  <c r="C12096" i="1"/>
  <c r="A12119" i="1"/>
  <c r="B12119" i="1"/>
  <c r="C12119" i="1"/>
  <c r="A12308" i="1"/>
  <c r="B12308" i="1"/>
  <c r="C12308" i="1"/>
  <c r="A667" i="1"/>
  <c r="B667" i="1"/>
  <c r="C667" i="1"/>
  <c r="A8634" i="1"/>
  <c r="B8634" i="1"/>
  <c r="C8634" i="1"/>
  <c r="A9233" i="1"/>
  <c r="B9233" i="1"/>
  <c r="C9233" i="1"/>
  <c r="A14032" i="1"/>
  <c r="B14032" i="1"/>
  <c r="C14032" i="1"/>
  <c r="A14034" i="1"/>
  <c r="B14034" i="1"/>
  <c r="C14034" i="1"/>
  <c r="A14038" i="1"/>
  <c r="B14038" i="1"/>
  <c r="C14038" i="1"/>
  <c r="A14042" i="1"/>
  <c r="B14042" i="1"/>
  <c r="C14042" i="1"/>
  <c r="A14044" i="1"/>
  <c r="B14044" i="1"/>
  <c r="C14044" i="1"/>
  <c r="A14046" i="1"/>
  <c r="B14046" i="1"/>
  <c r="C14046" i="1"/>
  <c r="A14048" i="1"/>
  <c r="B14048" i="1"/>
  <c r="C14048" i="1"/>
  <c r="A14052" i="1"/>
  <c r="B14052" i="1"/>
  <c r="C14052" i="1"/>
  <c r="A14056" i="1"/>
  <c r="B14056" i="1"/>
  <c r="C14056" i="1"/>
  <c r="A14058" i="1"/>
  <c r="B14058" i="1"/>
  <c r="C14058" i="1"/>
  <c r="A10585" i="1"/>
  <c r="B10585" i="1"/>
  <c r="C10585" i="1"/>
  <c r="A10588" i="1"/>
  <c r="B10588" i="1"/>
  <c r="C10588" i="1"/>
  <c r="A10590" i="1"/>
  <c r="B10590" i="1"/>
  <c r="C10590" i="1"/>
  <c r="A10592" i="1"/>
  <c r="B10592" i="1"/>
  <c r="C10592" i="1"/>
  <c r="A10594" i="1"/>
  <c r="B10594" i="1"/>
  <c r="C10594" i="1"/>
  <c r="A10596" i="1"/>
  <c r="B10596" i="1"/>
  <c r="C10596" i="1"/>
  <c r="A10834" i="1"/>
  <c r="B10834" i="1"/>
  <c r="C10834" i="1"/>
  <c r="A10844" i="1"/>
  <c r="B10844" i="1"/>
  <c r="C10844" i="1"/>
  <c r="A11341" i="1"/>
  <c r="B11341" i="1"/>
  <c r="C11341" i="1"/>
  <c r="A1434" i="1"/>
  <c r="B1434" i="1"/>
  <c r="C1434" i="1"/>
  <c r="A1436" i="1"/>
  <c r="B1436" i="1"/>
  <c r="C1436" i="1"/>
  <c r="A1438" i="1"/>
  <c r="B1438" i="1"/>
  <c r="C1438" i="1"/>
  <c r="A1440" i="1"/>
  <c r="B1440" i="1"/>
  <c r="C1440" i="1"/>
  <c r="A1442" i="1"/>
  <c r="B1442" i="1"/>
  <c r="C1442" i="1"/>
  <c r="A1444" i="1"/>
  <c r="B1444" i="1"/>
  <c r="C1444" i="1"/>
  <c r="A1446" i="1"/>
  <c r="B1446" i="1"/>
  <c r="C1446" i="1"/>
  <c r="A1448" i="1"/>
  <c r="B1448" i="1"/>
  <c r="C1448" i="1"/>
  <c r="A1450" i="1"/>
  <c r="B1450" i="1"/>
  <c r="C1450" i="1"/>
  <c r="A1452" i="1"/>
  <c r="B1452" i="1"/>
  <c r="C1452" i="1"/>
  <c r="A1454" i="1"/>
  <c r="B1454" i="1"/>
  <c r="C1454" i="1"/>
  <c r="A1456" i="1"/>
  <c r="B1456" i="1"/>
  <c r="C1456" i="1"/>
  <c r="A186" i="1"/>
  <c r="B186" i="1"/>
  <c r="C186" i="1"/>
  <c r="A8632" i="1"/>
  <c r="B8632" i="1"/>
  <c r="C8632" i="1"/>
  <c r="A9231" i="1"/>
  <c r="B9231" i="1"/>
  <c r="C9231" i="1"/>
  <c r="A11526" i="1"/>
  <c r="B11526" i="1"/>
  <c r="C11526" i="1"/>
  <c r="A17574" i="1"/>
  <c r="B17574" i="1"/>
  <c r="C17574" i="1"/>
  <c r="A14513" i="1"/>
  <c r="B14513" i="1"/>
  <c r="C14513" i="1"/>
  <c r="A24715" i="1"/>
  <c r="B24715" i="1"/>
  <c r="C24715" i="1"/>
  <c r="A2493" i="1"/>
  <c r="B2493" i="1"/>
  <c r="C2493" i="1"/>
  <c r="A19378" i="1"/>
  <c r="B19378" i="1"/>
  <c r="C19378" i="1"/>
  <c r="A3707" i="1"/>
  <c r="B3707" i="1"/>
  <c r="C3707" i="1"/>
  <c r="A15867" i="1"/>
  <c r="B15867" i="1"/>
  <c r="C15867" i="1"/>
  <c r="A5598" i="1"/>
  <c r="B5598" i="1"/>
  <c r="C5598" i="1"/>
  <c r="A11094" i="1"/>
  <c r="B11094" i="1"/>
  <c r="C11094" i="1"/>
  <c r="A5411" i="1"/>
  <c r="B5411" i="1"/>
  <c r="C5411" i="1"/>
  <c r="A6487" i="1"/>
  <c r="B6487" i="1"/>
  <c r="C6487" i="1"/>
  <c r="A22443" i="1"/>
  <c r="B22443" i="1"/>
  <c r="C22443" i="1"/>
  <c r="A18271" i="1"/>
  <c r="B18271" i="1"/>
  <c r="C18271" i="1"/>
  <c r="A13728" i="1"/>
  <c r="B13728" i="1"/>
  <c r="C13728" i="1"/>
  <c r="A4402" i="1"/>
  <c r="B4402" i="1"/>
  <c r="C4402" i="1"/>
  <c r="A1722" i="1"/>
  <c r="B1722" i="1"/>
  <c r="C1722" i="1"/>
  <c r="A9890" i="1"/>
  <c r="B9890" i="1"/>
  <c r="C9890" i="1"/>
  <c r="A153" i="1"/>
  <c r="B153" i="1"/>
  <c r="C153" i="1"/>
  <c r="A25535" i="1"/>
  <c r="B25535" i="1"/>
  <c r="C25535" i="1"/>
  <c r="A19398" i="1"/>
  <c r="B19398" i="1"/>
  <c r="C19398" i="1"/>
  <c r="A17459" i="1"/>
  <c r="B17459" i="1"/>
  <c r="C17459" i="1"/>
  <c r="A17645" i="1"/>
  <c r="B17645" i="1"/>
  <c r="C17645" i="1"/>
  <c r="A17608" i="1"/>
  <c r="B17608" i="1"/>
  <c r="C17608" i="1"/>
  <c r="A11756" i="1"/>
  <c r="B11756" i="1"/>
  <c r="C11756" i="1"/>
  <c r="A11611" i="1"/>
  <c r="B11611" i="1"/>
  <c r="C11611" i="1"/>
  <c r="A200" i="1"/>
  <c r="B200" i="1"/>
  <c r="C200" i="1"/>
  <c r="A1708" i="1"/>
  <c r="B1708" i="1"/>
  <c r="C1708" i="1"/>
  <c r="A9468" i="1"/>
  <c r="B9468" i="1"/>
  <c r="C9468" i="1"/>
  <c r="A9709" i="1"/>
  <c r="B9709" i="1"/>
  <c r="C9709" i="1"/>
  <c r="A10640" i="1"/>
  <c r="B10640" i="1"/>
  <c r="C10640" i="1"/>
  <c r="A16578" i="1"/>
  <c r="B16578" i="1"/>
  <c r="C16578" i="1"/>
  <c r="A12578" i="1"/>
  <c r="B12578" i="1"/>
  <c r="C12578" i="1"/>
  <c r="A5635" i="1"/>
  <c r="B5635" i="1"/>
  <c r="C5635" i="1"/>
  <c r="A12602" i="1"/>
  <c r="B12602" i="1"/>
  <c r="C12602" i="1"/>
  <c r="A14441" i="1"/>
  <c r="B14441" i="1"/>
  <c r="C14441" i="1"/>
  <c r="A16617" i="1"/>
  <c r="B16617" i="1"/>
  <c r="C16617" i="1"/>
  <c r="A6725" i="1"/>
  <c r="B6725" i="1"/>
  <c r="C6725" i="1"/>
  <c r="A5766" i="1"/>
  <c r="B5766" i="1"/>
  <c r="C5766" i="1"/>
  <c r="A16635" i="1"/>
  <c r="B16635" i="1"/>
  <c r="C16635" i="1"/>
  <c r="A11629" i="1"/>
  <c r="B11629" i="1"/>
  <c r="C11629" i="1"/>
  <c r="A4858" i="1"/>
  <c r="B4858" i="1"/>
  <c r="C4858" i="1"/>
  <c r="A15574" i="1"/>
  <c r="B15574" i="1"/>
  <c r="C15574" i="1"/>
  <c r="A17433" i="1"/>
  <c r="B17433" i="1"/>
  <c r="C17433" i="1"/>
  <c r="A5823" i="1"/>
  <c r="B5823" i="1"/>
  <c r="C5823" i="1"/>
  <c r="A14402" i="1"/>
  <c r="B14402" i="1"/>
  <c r="C14402" i="1"/>
  <c r="A9852" i="1"/>
  <c r="B9852" i="1"/>
  <c r="C9852" i="1"/>
  <c r="A5386" i="1"/>
  <c r="B5386" i="1"/>
  <c r="C5386" i="1"/>
  <c r="A23353" i="1"/>
  <c r="B23353" i="1"/>
  <c r="C23353" i="1"/>
  <c r="A10312" i="1"/>
  <c r="B10312" i="1"/>
  <c r="C10312" i="1"/>
  <c r="A10317" i="1"/>
  <c r="B10317" i="1"/>
  <c r="C10317" i="1"/>
  <c r="A14871" i="1"/>
  <c r="B14871" i="1"/>
  <c r="C14871" i="1"/>
  <c r="A14872" i="1"/>
  <c r="B14872" i="1"/>
  <c r="C14872" i="1"/>
  <c r="A2118" i="1"/>
  <c r="B2118" i="1"/>
  <c r="C2118" i="1"/>
  <c r="A20701" i="1"/>
  <c r="B20701" i="1"/>
  <c r="C20701" i="1"/>
  <c r="A23351" i="1"/>
  <c r="B23351" i="1"/>
  <c r="C23351" i="1"/>
  <c r="A17618" i="1"/>
  <c r="B17618" i="1"/>
  <c r="C17618" i="1"/>
  <c r="A15544" i="1"/>
  <c r="B15544" i="1"/>
  <c r="C15544" i="1"/>
  <c r="A6868" i="1"/>
  <c r="B6868" i="1"/>
  <c r="C6868" i="1"/>
  <c r="A3370" i="1"/>
  <c r="B3370" i="1"/>
  <c r="C3370" i="1"/>
  <c r="A3311" i="1"/>
  <c r="B3311" i="1"/>
  <c r="C3311" i="1"/>
  <c r="A3312" i="1"/>
  <c r="B3312" i="1"/>
  <c r="C3312" i="1"/>
  <c r="A14874" i="1"/>
  <c r="B14874" i="1"/>
  <c r="C14874" i="1"/>
  <c r="A18118" i="1"/>
  <c r="B18118" i="1"/>
  <c r="C18118" i="1"/>
  <c r="A21054" i="1"/>
  <c r="B21054" i="1"/>
  <c r="C21054" i="1"/>
  <c r="A23569" i="1"/>
  <c r="B23569" i="1"/>
  <c r="C23569" i="1"/>
  <c r="A1319" i="1"/>
  <c r="B1319" i="1"/>
  <c r="C1319" i="1"/>
  <c r="A15601" i="1"/>
  <c r="B15601" i="1"/>
  <c r="C15601" i="1"/>
  <c r="A167" i="1"/>
  <c r="B167" i="1"/>
  <c r="C167" i="1"/>
  <c r="A17505" i="1"/>
  <c r="B17505" i="1"/>
  <c r="C17505" i="1"/>
  <c r="A1395" i="1"/>
  <c r="B1395" i="1"/>
  <c r="C1395" i="1"/>
  <c r="A18896" i="1"/>
  <c r="B18896" i="1"/>
  <c r="C18896" i="1"/>
  <c r="A14804" i="1"/>
  <c r="B14804" i="1"/>
  <c r="C14804" i="1"/>
  <c r="A10957" i="1"/>
  <c r="B10957" i="1"/>
  <c r="C10957" i="1"/>
  <c r="A10958" i="1"/>
  <c r="B10958" i="1"/>
  <c r="C10958" i="1"/>
  <c r="A16979" i="1"/>
  <c r="B16979" i="1"/>
  <c r="C16979" i="1"/>
  <c r="A16976" i="1"/>
  <c r="B16976" i="1"/>
  <c r="C16976" i="1"/>
  <c r="A364" i="1"/>
  <c r="B364" i="1"/>
  <c r="C364" i="1"/>
  <c r="A13412" i="1"/>
  <c r="B13412" i="1"/>
  <c r="C13412" i="1"/>
  <c r="A12480" i="1"/>
  <c r="B12480" i="1"/>
  <c r="C12480" i="1"/>
  <c r="A5265" i="1"/>
  <c r="B5265" i="1"/>
  <c r="C5265" i="1"/>
  <c r="A23164" i="1"/>
  <c r="B23164" i="1"/>
  <c r="C23164" i="1"/>
  <c r="A13812" i="1"/>
  <c r="B13812" i="1"/>
  <c r="C13812" i="1"/>
  <c r="A7139" i="1"/>
  <c r="B7139" i="1"/>
  <c r="C7139" i="1"/>
  <c r="A3887" i="1"/>
  <c r="B3887" i="1"/>
  <c r="C3887" i="1"/>
  <c r="A6726" i="1"/>
  <c r="B6726" i="1"/>
  <c r="C6726" i="1"/>
  <c r="A21935" i="1"/>
  <c r="B21935" i="1"/>
  <c r="C21935" i="1"/>
  <c r="A7334" i="1"/>
  <c r="B7334" i="1"/>
  <c r="C7334" i="1"/>
  <c r="A9707" i="1"/>
  <c r="B9707" i="1"/>
  <c r="C9707" i="1"/>
  <c r="A17518" i="1"/>
  <c r="B17518" i="1"/>
  <c r="C17518" i="1"/>
  <c r="A23817" i="1"/>
  <c r="B23817" i="1"/>
  <c r="C23817" i="1"/>
  <c r="A8892" i="1"/>
  <c r="B8892" i="1"/>
  <c r="C8892" i="1"/>
  <c r="A8893" i="1"/>
  <c r="B8893" i="1"/>
  <c r="C8893" i="1"/>
  <c r="A19804" i="1"/>
  <c r="B19804" i="1"/>
  <c r="C19804" i="1"/>
  <c r="A6788" i="1"/>
  <c r="B6788" i="1"/>
  <c r="C6788" i="1"/>
  <c r="A17777" i="1"/>
  <c r="B17777" i="1"/>
  <c r="C17777" i="1"/>
  <c r="A15493" i="1"/>
  <c r="B15493" i="1"/>
  <c r="C15493" i="1"/>
  <c r="A18287" i="1"/>
  <c r="B18287" i="1"/>
  <c r="C18287" i="1"/>
  <c r="A4622" i="1"/>
  <c r="B4622" i="1"/>
  <c r="C4622" i="1"/>
  <c r="A4625" i="1"/>
  <c r="B4625" i="1"/>
  <c r="C4625" i="1"/>
  <c r="A5063" i="1"/>
  <c r="B5063" i="1"/>
  <c r="C5063" i="1"/>
  <c r="A5064" i="1"/>
  <c r="B5064" i="1"/>
  <c r="C5064" i="1"/>
  <c r="A5062" i="1"/>
  <c r="B5062" i="1"/>
  <c r="C5062" i="1"/>
  <c r="A5065" i="1"/>
  <c r="B5065" i="1"/>
  <c r="C5065" i="1"/>
  <c r="A8936" i="1"/>
  <c r="B8936" i="1"/>
  <c r="C8936" i="1"/>
  <c r="A24086" i="1"/>
  <c r="B24086" i="1"/>
  <c r="C24086" i="1"/>
  <c r="A12467" i="1"/>
  <c r="B12467" i="1"/>
  <c r="C12467" i="1"/>
  <c r="A7383" i="1"/>
  <c r="B7383" i="1"/>
  <c r="C7383" i="1"/>
  <c r="A5709" i="1"/>
  <c r="B5709" i="1"/>
  <c r="C5709" i="1"/>
  <c r="A19710" i="1"/>
  <c r="B19710" i="1"/>
  <c r="C19710" i="1"/>
  <c r="A12182" i="1"/>
  <c r="B12182" i="1"/>
  <c r="C12182" i="1"/>
  <c r="A19716" i="1"/>
  <c r="B19716" i="1"/>
  <c r="C19716" i="1"/>
  <c r="A24446" i="1"/>
  <c r="B24446" i="1"/>
  <c r="C24446" i="1"/>
  <c r="A17474" i="1"/>
  <c r="B17474" i="1"/>
  <c r="C17474" i="1"/>
  <c r="A2818" i="1"/>
  <c r="B2818" i="1"/>
  <c r="C2818" i="1"/>
  <c r="A7365" i="1"/>
  <c r="B7365" i="1"/>
  <c r="C7365" i="1"/>
  <c r="A5860" i="1"/>
  <c r="B5860" i="1"/>
  <c r="C5860" i="1"/>
  <c r="A17737" i="1"/>
  <c r="B17737" i="1"/>
  <c r="C17737" i="1"/>
  <c r="A22006" i="1"/>
  <c r="B22006" i="1"/>
  <c r="C22006" i="1"/>
  <c r="A4882" i="1"/>
  <c r="B4882" i="1"/>
  <c r="C4882" i="1"/>
  <c r="A7812" i="1"/>
  <c r="B7812" i="1"/>
  <c r="C7812" i="1"/>
  <c r="A17426" i="1"/>
  <c r="B17426" i="1"/>
  <c r="C17426" i="1"/>
  <c r="A11541" i="1"/>
  <c r="B11541" i="1"/>
  <c r="C11541" i="1"/>
  <c r="A8369" i="1"/>
  <c r="B8369" i="1"/>
  <c r="C8369" i="1"/>
  <c r="A9556" i="1"/>
  <c r="B9556" i="1"/>
  <c r="C9556" i="1"/>
  <c r="A5808" i="1"/>
  <c r="B5808" i="1"/>
  <c r="C5808" i="1"/>
  <c r="A15437" i="1"/>
  <c r="B15437" i="1"/>
  <c r="C15437" i="1"/>
  <c r="A22499" i="1"/>
  <c r="B22499" i="1"/>
  <c r="C22499" i="1"/>
  <c r="A22419" i="1"/>
  <c r="B22419" i="1"/>
  <c r="C22419" i="1"/>
  <c r="A458" i="1"/>
  <c r="B458" i="1"/>
  <c r="C458" i="1"/>
  <c r="A12393" i="1"/>
  <c r="B12393" i="1"/>
  <c r="C12393" i="1"/>
  <c r="A22400" i="1"/>
  <c r="B22400" i="1"/>
  <c r="C22400" i="1"/>
  <c r="A21059" i="1"/>
  <c r="B21059" i="1"/>
  <c r="C21059" i="1"/>
  <c r="A10103" i="1"/>
  <c r="B10103" i="1"/>
  <c r="C10103" i="1"/>
  <c r="A14945" i="1"/>
  <c r="B14945" i="1"/>
  <c r="C14945" i="1"/>
  <c r="A14406" i="1"/>
  <c r="B14406" i="1"/>
  <c r="C14406" i="1"/>
  <c r="A6902" i="1"/>
  <c r="B6902" i="1"/>
  <c r="C6902" i="1"/>
  <c r="A457" i="1"/>
  <c r="B457" i="1"/>
  <c r="C457" i="1"/>
  <c r="A646" i="1"/>
  <c r="B646" i="1"/>
  <c r="C646" i="1"/>
  <c r="A14584" i="1"/>
  <c r="B14584" i="1"/>
  <c r="C14584" i="1"/>
  <c r="A5400" i="1"/>
  <c r="B5400" i="1"/>
  <c r="C5400" i="1"/>
  <c r="A11531" i="1"/>
  <c r="B11531" i="1"/>
  <c r="C11531" i="1"/>
  <c r="A9469" i="1"/>
  <c r="B9469" i="1"/>
  <c r="C9469" i="1"/>
  <c r="A18920" i="1"/>
  <c r="B18920" i="1"/>
  <c r="C18920" i="1"/>
  <c r="A18919" i="1"/>
  <c r="B18919" i="1"/>
  <c r="C18919" i="1"/>
  <c r="A25380" i="1"/>
  <c r="B25380" i="1"/>
  <c r="C25380" i="1"/>
  <c r="A7159" i="1"/>
  <c r="B7159" i="1"/>
  <c r="C7159" i="1"/>
  <c r="A5434" i="1"/>
  <c r="B5434" i="1"/>
  <c r="C5434" i="1"/>
  <c r="A10227" i="1"/>
  <c r="B10227" i="1"/>
  <c r="C10227" i="1"/>
  <c r="A24318" i="1"/>
  <c r="B24318" i="1"/>
  <c r="C24318" i="1"/>
  <c r="A12146" i="1"/>
  <c r="B12146" i="1"/>
  <c r="C12146" i="1"/>
  <c r="A41" i="1"/>
  <c r="B41" i="1"/>
  <c r="C41" i="1"/>
  <c r="A22157" i="1"/>
  <c r="B22157" i="1"/>
  <c r="C22157" i="1"/>
  <c r="A11490" i="1"/>
  <c r="B11490" i="1"/>
  <c r="C11490" i="1"/>
  <c r="A19406" i="1"/>
  <c r="B19406" i="1"/>
  <c r="C19406" i="1"/>
  <c r="A10166" i="1"/>
  <c r="B10166" i="1"/>
  <c r="C10166" i="1"/>
  <c r="A7598" i="1"/>
  <c r="B7598" i="1"/>
  <c r="C7598" i="1"/>
  <c r="A17711" i="1"/>
  <c r="B17711" i="1"/>
  <c r="C17711" i="1"/>
  <c r="A5668" i="1"/>
  <c r="B5668" i="1"/>
  <c r="C5668" i="1"/>
  <c r="A22487" i="1"/>
  <c r="B22487" i="1"/>
  <c r="C22487" i="1"/>
  <c r="A22489" i="1"/>
  <c r="B22489" i="1"/>
  <c r="C22489" i="1"/>
  <c r="A10279" i="1"/>
  <c r="B10279" i="1"/>
  <c r="C10279" i="1"/>
  <c r="A25624" i="1"/>
  <c r="B25624" i="1"/>
  <c r="C25624" i="1"/>
  <c r="A11961" i="1"/>
  <c r="B11961" i="1"/>
  <c r="C11961" i="1"/>
  <c r="A15965" i="1"/>
  <c r="B15965" i="1"/>
  <c r="C15965" i="1"/>
  <c r="A12149" i="1"/>
  <c r="B12149" i="1"/>
  <c r="C12149" i="1"/>
  <c r="A17778" i="1"/>
  <c r="B17778" i="1"/>
  <c r="C17778" i="1"/>
  <c r="A8208" i="1"/>
  <c r="B8208" i="1"/>
  <c r="C8208" i="1"/>
  <c r="A24632" i="1"/>
  <c r="B24632" i="1"/>
  <c r="C24632" i="1"/>
  <c r="A12831" i="1"/>
  <c r="B12831" i="1"/>
  <c r="C12831" i="1"/>
  <c r="A19700" i="1"/>
  <c r="B19700" i="1"/>
  <c r="C19700" i="1"/>
  <c r="A13604" i="1"/>
  <c r="B13604" i="1"/>
  <c r="C13604" i="1"/>
  <c r="A23104" i="1"/>
  <c r="B23104" i="1"/>
  <c r="C23104" i="1"/>
  <c r="A10598" i="1"/>
  <c r="B10598" i="1"/>
  <c r="C10598" i="1"/>
  <c r="A4442" i="1"/>
  <c r="B4442" i="1"/>
  <c r="C4442" i="1"/>
  <c r="A20688" i="1"/>
  <c r="B20688" i="1"/>
  <c r="C20688" i="1"/>
  <c r="A15447" i="1"/>
  <c r="B15447" i="1"/>
  <c r="C15447" i="1"/>
  <c r="A25758" i="1"/>
  <c r="B25758" i="1"/>
  <c r="C25758" i="1"/>
  <c r="A24394" i="1"/>
  <c r="B24394" i="1"/>
  <c r="C24394" i="1"/>
  <c r="A1309" i="1"/>
  <c r="B1309" i="1"/>
  <c r="C1309" i="1"/>
  <c r="A10117" i="1"/>
  <c r="B10117" i="1"/>
  <c r="C10117" i="1"/>
  <c r="A12257" i="1"/>
  <c r="B12257" i="1"/>
  <c r="C12257" i="1"/>
  <c r="A13241" i="1"/>
  <c r="B13241" i="1"/>
  <c r="C13241" i="1"/>
  <c r="A22501" i="1"/>
  <c r="B22501" i="1"/>
  <c r="C22501" i="1"/>
  <c r="A11475" i="1"/>
  <c r="B11475" i="1"/>
  <c r="C11475" i="1"/>
  <c r="A8018" i="1"/>
  <c r="B8018" i="1"/>
  <c r="C8018" i="1"/>
  <c r="A22175" i="1"/>
  <c r="B22175" i="1"/>
  <c r="C22175" i="1"/>
  <c r="A15815" i="1"/>
  <c r="B15815" i="1"/>
  <c r="C15815" i="1"/>
  <c r="A12540" i="1"/>
  <c r="B12540" i="1"/>
  <c r="C12540" i="1"/>
  <c r="A4957" i="1"/>
  <c r="B4957" i="1"/>
  <c r="C4957" i="1"/>
  <c r="A4958" i="1"/>
  <c r="B4958" i="1"/>
  <c r="C4958" i="1"/>
  <c r="A4959" i="1"/>
  <c r="B4959" i="1"/>
  <c r="C4959" i="1"/>
  <c r="A4960" i="1"/>
  <c r="B4960" i="1"/>
  <c r="C4960" i="1"/>
  <c r="A4490" i="1"/>
  <c r="B4490" i="1"/>
  <c r="C4490" i="1"/>
  <c r="A4491" i="1"/>
  <c r="B4491" i="1"/>
  <c r="C4491" i="1"/>
  <c r="A4492" i="1"/>
  <c r="B4492" i="1"/>
  <c r="C4492" i="1"/>
  <c r="A4493" i="1"/>
  <c r="B4493" i="1"/>
  <c r="C4493" i="1"/>
  <c r="A4211" i="1"/>
  <c r="B4211" i="1"/>
  <c r="C4211" i="1"/>
  <c r="A21486" i="1"/>
  <c r="B21486" i="1"/>
  <c r="C21486" i="1"/>
  <c r="A6853" i="1"/>
  <c r="B6853" i="1"/>
  <c r="C6853" i="1"/>
  <c r="A24716" i="1"/>
  <c r="B24716" i="1"/>
  <c r="C24716" i="1"/>
  <c r="A1627" i="1"/>
  <c r="B1627" i="1"/>
  <c r="C1627" i="1"/>
  <c r="A21474" i="1"/>
  <c r="B21474" i="1"/>
  <c r="C21474" i="1"/>
  <c r="A16990" i="1"/>
  <c r="B16990" i="1"/>
  <c r="C16990" i="1"/>
  <c r="A4429" i="1"/>
  <c r="B4429" i="1"/>
  <c r="C4429" i="1"/>
  <c r="A23137" i="1"/>
  <c r="B23137" i="1"/>
  <c r="C23137" i="1"/>
  <c r="A18873" i="1"/>
  <c r="B18873" i="1"/>
  <c r="C18873" i="1"/>
  <c r="A22795" i="1"/>
  <c r="B22795" i="1"/>
  <c r="C22795" i="1"/>
  <c r="A18758" i="1"/>
  <c r="B18758" i="1"/>
  <c r="C18758" i="1"/>
  <c r="A279" i="1"/>
  <c r="B279" i="1"/>
  <c r="C279" i="1"/>
  <c r="A10799" i="1"/>
  <c r="B10799" i="1"/>
  <c r="C10799" i="1"/>
  <c r="A1466" i="1"/>
  <c r="B1466" i="1"/>
  <c r="C1466" i="1"/>
  <c r="A21496" i="1"/>
  <c r="B21496" i="1"/>
  <c r="C21496" i="1"/>
  <c r="A11766" i="1"/>
  <c r="B11766" i="1"/>
  <c r="C11766" i="1"/>
  <c r="A2254" i="1"/>
  <c r="B2254" i="1"/>
  <c r="C2254" i="1"/>
  <c r="A15436" i="1"/>
  <c r="B15436" i="1"/>
  <c r="C15436" i="1"/>
  <c r="A19366" i="1"/>
  <c r="B19366" i="1"/>
  <c r="C19366" i="1"/>
  <c r="A25701" i="1"/>
  <c r="B25701" i="1"/>
  <c r="C25701" i="1"/>
  <c r="A2577" i="1"/>
  <c r="B2577" i="1"/>
  <c r="C2577" i="1"/>
  <c r="A8759" i="1"/>
  <c r="B8759" i="1"/>
  <c r="C8759" i="1"/>
  <c r="A11522" i="1"/>
  <c r="B11522" i="1"/>
  <c r="C11522" i="1"/>
  <c r="A22209" i="1"/>
  <c r="B22209" i="1"/>
  <c r="C22209" i="1"/>
  <c r="A22207" i="1"/>
  <c r="B22207" i="1"/>
  <c r="C22207" i="1"/>
  <c r="A22208" i="1"/>
  <c r="B22208" i="1"/>
  <c r="C22208" i="1"/>
  <c r="A21031" i="1"/>
  <c r="B21031" i="1"/>
  <c r="C21031" i="1"/>
  <c r="A16879" i="1"/>
  <c r="B16879" i="1"/>
  <c r="C16879" i="1"/>
  <c r="A7451" i="1"/>
  <c r="B7451" i="1"/>
  <c r="C7451" i="1"/>
  <c r="A4303" i="1"/>
  <c r="B4303" i="1"/>
  <c r="C4303" i="1"/>
  <c r="A13891" i="1"/>
  <c r="B13891" i="1"/>
  <c r="C13891" i="1"/>
  <c r="A430" i="1"/>
  <c r="B430" i="1"/>
  <c r="C430" i="1"/>
  <c r="A6860" i="1"/>
  <c r="B6860" i="1"/>
  <c r="C6860" i="1"/>
  <c r="A18556" i="1"/>
  <c r="B18556" i="1"/>
  <c r="C18556" i="1"/>
  <c r="A19981" i="1"/>
  <c r="B19981" i="1"/>
  <c r="C19981" i="1"/>
  <c r="A6679" i="1"/>
  <c r="B6679" i="1"/>
  <c r="C6679" i="1"/>
  <c r="A4286" i="1"/>
  <c r="B4286" i="1"/>
  <c r="C4286" i="1"/>
  <c r="A420" i="1"/>
  <c r="B420" i="1"/>
  <c r="C420" i="1"/>
  <c r="A12262" i="1"/>
  <c r="B12262" i="1"/>
  <c r="C12262" i="1"/>
  <c r="A12261" i="1"/>
  <c r="B12261" i="1"/>
  <c r="C12261" i="1"/>
  <c r="A18274" i="1"/>
  <c r="B18274" i="1"/>
  <c r="C18274" i="1"/>
  <c r="A5240" i="1"/>
  <c r="B5240" i="1"/>
  <c r="C5240" i="1"/>
  <c r="A2854" i="1"/>
  <c r="B2854" i="1"/>
  <c r="C2854" i="1"/>
  <c r="A25414" i="1"/>
  <c r="B25414" i="1"/>
  <c r="C25414" i="1"/>
  <c r="A17455" i="1"/>
  <c r="B17455" i="1"/>
  <c r="C17455" i="1"/>
  <c r="A6723" i="1"/>
  <c r="B6723" i="1"/>
  <c r="C6723" i="1"/>
  <c r="A22573" i="1"/>
  <c r="B22573" i="1"/>
  <c r="C22573" i="1"/>
  <c r="A22574" i="1"/>
  <c r="B22574" i="1"/>
  <c r="C22574" i="1"/>
  <c r="A6474" i="1"/>
  <c r="B6474" i="1"/>
  <c r="C6474" i="1"/>
  <c r="A10599" i="1"/>
  <c r="B10599" i="1"/>
  <c r="C10599" i="1"/>
  <c r="A10615" i="1"/>
  <c r="B10615" i="1"/>
  <c r="C10615" i="1"/>
  <c r="A2826" i="1"/>
  <c r="B2826" i="1"/>
  <c r="C2826" i="1"/>
  <c r="A22352" i="1"/>
  <c r="B22352" i="1"/>
  <c r="C22352" i="1"/>
  <c r="A10947" i="1"/>
  <c r="B10947" i="1"/>
  <c r="C10947" i="1"/>
  <c r="A2507" i="1"/>
  <c r="B2507" i="1"/>
  <c r="C2507" i="1"/>
  <c r="A5765" i="1"/>
  <c r="B5765" i="1"/>
  <c r="C5765" i="1"/>
  <c r="A12522" i="1"/>
  <c r="B12522" i="1"/>
  <c r="C12522" i="1"/>
  <c r="A6834" i="1"/>
  <c r="B6834" i="1"/>
  <c r="C6834" i="1"/>
  <c r="A16244" i="1"/>
  <c r="B16244" i="1"/>
  <c r="C16244" i="1"/>
  <c r="A17964" i="1"/>
  <c r="B17964" i="1"/>
  <c r="C17964" i="1"/>
  <c r="A6800" i="1"/>
  <c r="B6800" i="1"/>
  <c r="C6800" i="1"/>
  <c r="A18261" i="1"/>
  <c r="B18261" i="1"/>
  <c r="C18261" i="1"/>
  <c r="A18211" i="1"/>
  <c r="B18211" i="1"/>
  <c r="C18211" i="1"/>
  <c r="A12694" i="1"/>
  <c r="B12694" i="1"/>
  <c r="C12694" i="1"/>
  <c r="A12692" i="1"/>
  <c r="B12692" i="1"/>
  <c r="C12692" i="1"/>
  <c r="A16792" i="1"/>
  <c r="B16792" i="1"/>
  <c r="C16792" i="1"/>
  <c r="A12397" i="1"/>
  <c r="B12397" i="1"/>
  <c r="C12397" i="1"/>
  <c r="A19357" i="1"/>
  <c r="B19357" i="1"/>
  <c r="C19357" i="1"/>
  <c r="A18858" i="1"/>
  <c r="B18858" i="1"/>
  <c r="C18858" i="1"/>
  <c r="A18182" i="1"/>
  <c r="B18182" i="1"/>
  <c r="C18182" i="1"/>
  <c r="A15866" i="1"/>
  <c r="B15866" i="1"/>
  <c r="C15866" i="1"/>
  <c r="A22612" i="1"/>
  <c r="B22612" i="1"/>
  <c r="C22612" i="1"/>
  <c r="A23698" i="1"/>
  <c r="B23698" i="1"/>
  <c r="C23698" i="1"/>
  <c r="A23702" i="1"/>
  <c r="B23702" i="1"/>
  <c r="C23702" i="1"/>
  <c r="A23701" i="1"/>
  <c r="B23701" i="1"/>
  <c r="C23701" i="1"/>
  <c r="A23704" i="1"/>
  <c r="B23704" i="1"/>
  <c r="C23704" i="1"/>
  <c r="A23697" i="1"/>
  <c r="B23697" i="1"/>
  <c r="C23697" i="1"/>
  <c r="A23703" i="1"/>
  <c r="B23703" i="1"/>
  <c r="C23703" i="1"/>
  <c r="A23705" i="1"/>
  <c r="B23705" i="1"/>
  <c r="C23705" i="1"/>
  <c r="A13673" i="1"/>
  <c r="B13673" i="1"/>
  <c r="C13673" i="1"/>
  <c r="A13672" i="1"/>
  <c r="B13672" i="1"/>
  <c r="C13672" i="1"/>
  <c r="A7119" i="1"/>
  <c r="B7119" i="1"/>
  <c r="C7119" i="1"/>
  <c r="A64" i="1"/>
  <c r="B64" i="1"/>
  <c r="C64" i="1"/>
  <c r="A19336" i="1"/>
  <c r="B19336" i="1"/>
  <c r="C19336" i="1"/>
  <c r="A19335" i="1"/>
  <c r="B19335" i="1"/>
  <c r="C19335" i="1"/>
  <c r="A13705" i="1"/>
  <c r="B13705" i="1"/>
  <c r="C13705" i="1"/>
  <c r="A13704" i="1"/>
  <c r="B13704" i="1"/>
  <c r="C13704" i="1"/>
  <c r="A15579" i="1"/>
  <c r="B15579" i="1"/>
  <c r="C15579" i="1"/>
  <c r="A16495" i="1"/>
  <c r="B16495" i="1"/>
  <c r="C16495" i="1"/>
  <c r="A20605" i="1"/>
  <c r="B20605" i="1"/>
  <c r="C20605" i="1"/>
  <c r="A7482" i="1"/>
  <c r="B7482" i="1"/>
  <c r="C7482" i="1"/>
  <c r="A1835" i="1"/>
  <c r="B1835" i="1"/>
  <c r="C1835" i="1"/>
  <c r="A15734" i="1"/>
  <c r="B15734" i="1"/>
  <c r="C15734" i="1"/>
  <c r="A5783" i="1"/>
  <c r="B5783" i="1"/>
  <c r="C5783" i="1"/>
  <c r="A12486" i="1"/>
  <c r="B12486" i="1"/>
  <c r="C12486" i="1"/>
  <c r="A16351" i="1"/>
  <c r="B16351" i="1"/>
  <c r="C16351" i="1"/>
  <c r="A16173" i="1"/>
  <c r="B16173" i="1"/>
  <c r="C16173" i="1"/>
  <c r="A21395" i="1"/>
  <c r="B21395" i="1"/>
  <c r="C21395" i="1"/>
  <c r="A8803" i="1"/>
  <c r="B8803" i="1"/>
  <c r="C8803" i="1"/>
  <c r="A6696" i="1"/>
  <c r="B6696" i="1"/>
  <c r="C6696" i="1"/>
  <c r="A10067" i="1"/>
  <c r="B10067" i="1"/>
  <c r="C10067" i="1"/>
  <c r="A23080" i="1"/>
  <c r="B23080" i="1"/>
  <c r="C23080" i="1"/>
  <c r="A1482" i="1"/>
  <c r="B1482" i="1"/>
  <c r="C1482" i="1"/>
  <c r="A2578" i="1"/>
  <c r="B2578" i="1"/>
  <c r="C2578" i="1"/>
  <c r="A10800" i="1"/>
  <c r="B10800" i="1"/>
  <c r="C10800" i="1"/>
  <c r="A10659" i="1"/>
  <c r="B10659" i="1"/>
  <c r="C10659" i="1"/>
  <c r="A11530" i="1"/>
  <c r="B11530" i="1"/>
  <c r="C11530" i="1"/>
  <c r="A25727" i="1"/>
  <c r="B25727" i="1"/>
  <c r="C25727" i="1"/>
  <c r="A9870" i="1"/>
  <c r="B9870" i="1"/>
  <c r="C9870" i="1"/>
  <c r="A16456" i="1"/>
  <c r="B16456" i="1"/>
  <c r="C16456" i="1"/>
  <c r="A19776" i="1"/>
  <c r="B19776" i="1"/>
  <c r="C19776" i="1"/>
  <c r="A24026" i="1"/>
  <c r="B24026" i="1"/>
  <c r="C24026" i="1"/>
  <c r="A19492" i="1"/>
  <c r="B19492" i="1"/>
  <c r="C19492" i="1"/>
  <c r="A18264" i="1"/>
  <c r="B18264" i="1"/>
  <c r="C18264" i="1"/>
  <c r="A16953" i="1"/>
  <c r="B16953" i="1"/>
  <c r="C16953" i="1"/>
  <c r="A12453" i="1"/>
  <c r="B12453" i="1"/>
  <c r="C12453" i="1"/>
  <c r="A7436" i="1"/>
  <c r="B7436" i="1"/>
  <c r="C7436" i="1"/>
  <c r="A19392" i="1"/>
  <c r="B19392" i="1"/>
  <c r="C19392" i="1"/>
  <c r="A25426" i="1"/>
  <c r="B25426" i="1"/>
  <c r="C25426" i="1"/>
  <c r="A2257" i="1"/>
  <c r="B2257" i="1"/>
  <c r="C2257" i="1"/>
  <c r="A10965" i="1"/>
  <c r="B10965" i="1"/>
  <c r="C10965" i="1"/>
  <c r="A4862" i="1"/>
  <c r="B4862" i="1"/>
  <c r="C4862" i="1"/>
  <c r="A4294" i="1"/>
  <c r="B4294" i="1"/>
  <c r="C4294" i="1"/>
  <c r="A2554" i="1"/>
  <c r="B2554" i="1"/>
  <c r="C2554" i="1"/>
  <c r="A13347" i="1"/>
  <c r="B13347" i="1"/>
  <c r="C13347" i="1"/>
  <c r="A14939" i="1"/>
  <c r="B14939" i="1"/>
  <c r="C14939" i="1"/>
  <c r="A24363" i="1"/>
  <c r="B24363" i="1"/>
  <c r="C24363" i="1"/>
  <c r="A21678" i="1"/>
  <c r="B21678" i="1"/>
  <c r="C21678" i="1"/>
  <c r="A25641" i="1"/>
  <c r="B25641" i="1"/>
  <c r="C25641" i="1"/>
  <c r="A24141" i="1"/>
  <c r="B24141" i="1"/>
  <c r="C24141" i="1"/>
  <c r="A23804" i="1"/>
  <c r="B23804" i="1"/>
  <c r="C23804" i="1"/>
  <c r="A459" i="1"/>
  <c r="B459" i="1"/>
  <c r="C459" i="1"/>
  <c r="A20633" i="1"/>
  <c r="B20633" i="1"/>
  <c r="C20633" i="1"/>
  <c r="A352" i="1"/>
  <c r="B352" i="1"/>
  <c r="C352" i="1"/>
  <c r="A2497" i="1"/>
  <c r="B2497" i="1"/>
  <c r="C2497" i="1"/>
  <c r="A11618" i="1"/>
  <c r="B11618" i="1"/>
  <c r="C11618" i="1"/>
  <c r="A6737" i="1"/>
  <c r="B6737" i="1"/>
  <c r="C6737" i="1"/>
  <c r="A24404" i="1"/>
  <c r="B24404" i="1"/>
  <c r="C24404" i="1"/>
  <c r="A12139" i="1"/>
  <c r="B12139" i="1"/>
  <c r="C12139" i="1"/>
  <c r="A24717" i="1"/>
  <c r="B24717" i="1"/>
  <c r="C24717" i="1"/>
  <c r="A17471" i="1"/>
  <c r="B17471" i="1"/>
  <c r="C17471" i="1"/>
  <c r="A16950" i="1"/>
  <c r="B16950" i="1"/>
  <c r="C16950" i="1"/>
  <c r="A1846" i="1"/>
  <c r="B1846" i="1"/>
  <c r="C1846" i="1"/>
  <c r="A6090" i="1"/>
  <c r="B6090" i="1"/>
  <c r="C6090" i="1"/>
  <c r="A16518" i="1"/>
  <c r="B16518" i="1"/>
  <c r="C16518" i="1"/>
  <c r="A15524" i="1"/>
  <c r="B15524" i="1"/>
  <c r="C15524" i="1"/>
  <c r="A15357" i="1"/>
  <c r="B15357" i="1"/>
  <c r="C15357" i="1"/>
  <c r="A10502" i="1"/>
  <c r="B10502" i="1"/>
  <c r="C10502" i="1"/>
  <c r="A6258" i="1"/>
  <c r="B6258" i="1"/>
  <c r="C6258" i="1"/>
  <c r="A695" i="1"/>
  <c r="B695" i="1"/>
  <c r="C695" i="1"/>
  <c r="A3442" i="1"/>
  <c r="B3442" i="1"/>
  <c r="C3442" i="1"/>
  <c r="A3443" i="1"/>
  <c r="B3443" i="1"/>
  <c r="C3443" i="1"/>
  <c r="A3448" i="1"/>
  <c r="B3448" i="1"/>
  <c r="C3448" i="1"/>
  <c r="A3441" i="1"/>
  <c r="B3441" i="1"/>
  <c r="C3441" i="1"/>
  <c r="A3440" i="1"/>
  <c r="B3440" i="1"/>
  <c r="C3440" i="1"/>
  <c r="A3450" i="1"/>
  <c r="B3450" i="1"/>
  <c r="C3450" i="1"/>
  <c r="A20752" i="1"/>
  <c r="B20752" i="1"/>
  <c r="C20752" i="1"/>
  <c r="A23315" i="1"/>
  <c r="B23315" i="1"/>
  <c r="C23315" i="1"/>
  <c r="A16220" i="1"/>
  <c r="B16220" i="1"/>
  <c r="C16220" i="1"/>
  <c r="A2723" i="1"/>
  <c r="B2723" i="1"/>
  <c r="C2723" i="1"/>
  <c r="A4654" i="1"/>
  <c r="B4654" i="1"/>
  <c r="C4654" i="1"/>
  <c r="A6467" i="1"/>
  <c r="B6467" i="1"/>
  <c r="C6467" i="1"/>
  <c r="A10746" i="1"/>
  <c r="B10746" i="1"/>
  <c r="C10746" i="1"/>
  <c r="A14881" i="1"/>
  <c r="B14881" i="1"/>
  <c r="C14881" i="1"/>
  <c r="A1734" i="1"/>
  <c r="B1734" i="1"/>
  <c r="C1734" i="1"/>
  <c r="A3414" i="1"/>
  <c r="B3414" i="1"/>
  <c r="C3414" i="1"/>
  <c r="A3422" i="1"/>
  <c r="B3422" i="1"/>
  <c r="C3422" i="1"/>
  <c r="A23399" i="1"/>
  <c r="B23399" i="1"/>
  <c r="C23399" i="1"/>
  <c r="A17734" i="1"/>
  <c r="B17734" i="1"/>
  <c r="C17734" i="1"/>
  <c r="A10743" i="1"/>
  <c r="B10743" i="1"/>
  <c r="C10743" i="1"/>
  <c r="A23497" i="1"/>
  <c r="B23497" i="1"/>
  <c r="C23497" i="1"/>
  <c r="A10801" i="1"/>
  <c r="B10801" i="1"/>
  <c r="C10801" i="1"/>
  <c r="A7983" i="1"/>
  <c r="B7983" i="1"/>
  <c r="C7983" i="1"/>
  <c r="A7530" i="1"/>
  <c r="B7530" i="1"/>
  <c r="C7530" i="1"/>
  <c r="A4407" i="1"/>
  <c r="B4407" i="1"/>
  <c r="C4407" i="1"/>
  <c r="A18060" i="1"/>
  <c r="B18060" i="1"/>
  <c r="C18060" i="1"/>
  <c r="A22326" i="1"/>
  <c r="B22326" i="1"/>
  <c r="C22326" i="1"/>
  <c r="A12227" i="1"/>
  <c r="B12227" i="1"/>
  <c r="C12227" i="1"/>
  <c r="A12238" i="1"/>
  <c r="B12238" i="1"/>
  <c r="C12238" i="1"/>
  <c r="A23700" i="1"/>
  <c r="B23700" i="1"/>
  <c r="C23700" i="1"/>
  <c r="A19088" i="1"/>
  <c r="B19088" i="1"/>
  <c r="C19088" i="1"/>
  <c r="A14537" i="1"/>
  <c r="B14537" i="1"/>
  <c r="C14537" i="1"/>
  <c r="A22442" i="1"/>
  <c r="B22442" i="1"/>
  <c r="C22442" i="1"/>
  <c r="A14100" i="1"/>
  <c r="B14100" i="1"/>
  <c r="C14100" i="1"/>
  <c r="A15176" i="1"/>
  <c r="B15176" i="1"/>
  <c r="C15176" i="1"/>
  <c r="A15173" i="1"/>
  <c r="B15173" i="1"/>
  <c r="C15173" i="1"/>
  <c r="A21585" i="1"/>
  <c r="B21585" i="1"/>
  <c r="C21585" i="1"/>
  <c r="A21385" i="1"/>
  <c r="B21385" i="1"/>
  <c r="C21385" i="1"/>
  <c r="A17724" i="1"/>
  <c r="B17724" i="1"/>
  <c r="C17724" i="1"/>
  <c r="A547" i="1"/>
  <c r="B547" i="1"/>
  <c r="C547" i="1"/>
  <c r="A21354" i="1"/>
  <c r="B21354" i="1"/>
  <c r="C21354" i="1"/>
  <c r="A9888" i="1"/>
  <c r="B9888" i="1"/>
  <c r="C9888" i="1"/>
  <c r="A22925" i="1"/>
  <c r="B22925" i="1"/>
  <c r="C22925" i="1"/>
  <c r="A14378" i="1"/>
  <c r="B14378" i="1"/>
  <c r="C14378" i="1"/>
  <c r="A8958" i="1"/>
  <c r="B8958" i="1"/>
  <c r="C8958" i="1"/>
  <c r="A11214" i="1"/>
  <c r="B11214" i="1"/>
  <c r="C11214" i="1"/>
  <c r="A6778" i="1"/>
  <c r="B6778" i="1"/>
  <c r="C6778" i="1"/>
  <c r="A1317" i="1"/>
  <c r="B1317" i="1"/>
  <c r="C1317" i="1"/>
  <c r="A12511" i="1"/>
  <c r="B12511" i="1"/>
  <c r="C12511" i="1"/>
  <c r="A12497" i="1"/>
  <c r="B12497" i="1"/>
  <c r="C12497" i="1"/>
  <c r="A21589" i="1"/>
  <c r="B21589" i="1"/>
  <c r="C21589" i="1"/>
  <c r="A22855" i="1"/>
  <c r="B22855" i="1"/>
  <c r="C22855" i="1"/>
  <c r="A7454" i="1"/>
  <c r="B7454" i="1"/>
  <c r="C7454" i="1"/>
  <c r="A13671" i="1"/>
  <c r="B13671" i="1"/>
  <c r="C13671" i="1"/>
  <c r="A9333" i="1"/>
  <c r="B9333" i="1"/>
  <c r="C9333" i="1"/>
  <c r="A6052" i="1"/>
  <c r="B6052" i="1"/>
  <c r="C6052" i="1"/>
  <c r="A6053" i="1"/>
  <c r="B6053" i="1"/>
  <c r="C6053" i="1"/>
  <c r="A2762" i="1"/>
  <c r="B2762" i="1"/>
  <c r="C2762" i="1"/>
  <c r="A7246" i="1"/>
  <c r="B7246" i="1"/>
  <c r="C7246" i="1"/>
  <c r="A7245" i="1"/>
  <c r="B7245" i="1"/>
  <c r="C7245" i="1"/>
  <c r="A9492" i="1"/>
  <c r="B9492" i="1"/>
  <c r="C9492" i="1"/>
  <c r="A13760" i="1"/>
  <c r="B13760" i="1"/>
  <c r="C13760" i="1"/>
  <c r="A8178" i="1"/>
  <c r="B8178" i="1"/>
  <c r="C8178" i="1"/>
  <c r="A10603" i="1"/>
  <c r="B10603" i="1"/>
  <c r="C10603" i="1"/>
  <c r="A10604" i="1"/>
  <c r="B10604" i="1"/>
  <c r="C10604" i="1"/>
  <c r="A4344" i="1"/>
  <c r="B4344" i="1"/>
  <c r="C4344" i="1"/>
  <c r="A7197" i="1"/>
  <c r="B7197" i="1"/>
  <c r="C7197" i="1"/>
  <c r="A19891" i="1"/>
  <c r="B19891" i="1"/>
  <c r="C19891" i="1"/>
  <c r="A16171" i="1"/>
  <c r="B16171" i="1"/>
  <c r="C16171" i="1"/>
  <c r="A16172" i="1"/>
  <c r="B16172" i="1"/>
  <c r="C16172" i="1"/>
  <c r="A12601" i="1"/>
  <c r="B12601" i="1"/>
  <c r="C12601" i="1"/>
  <c r="A12576" i="1"/>
  <c r="B12576" i="1"/>
  <c r="C12576" i="1"/>
  <c r="A16790" i="1"/>
  <c r="B16790" i="1"/>
  <c r="C16790" i="1"/>
  <c r="A6980" i="1"/>
  <c r="B6980" i="1"/>
  <c r="C6980" i="1"/>
  <c r="A6978" i="1"/>
  <c r="B6978" i="1"/>
  <c r="C6978" i="1"/>
  <c r="A16516" i="1"/>
  <c r="B16516" i="1"/>
  <c r="C16516" i="1"/>
  <c r="A16189" i="1"/>
  <c r="B16189" i="1"/>
  <c r="C16189" i="1"/>
  <c r="A1310" i="1"/>
  <c r="B1310" i="1"/>
  <c r="C1310" i="1"/>
  <c r="A5694" i="1"/>
  <c r="B5694" i="1"/>
  <c r="C5694" i="1"/>
  <c r="A17747" i="1"/>
  <c r="B17747" i="1"/>
  <c r="C17747" i="1"/>
  <c r="A13959" i="1"/>
  <c r="B13959" i="1"/>
  <c r="C13959" i="1"/>
  <c r="A11792" i="1"/>
  <c r="B11792" i="1"/>
  <c r="C11792" i="1"/>
  <c r="A14861" i="1"/>
  <c r="B14861" i="1"/>
  <c r="C14861" i="1"/>
  <c r="A16206" i="1"/>
  <c r="B16206" i="1"/>
  <c r="C16206" i="1"/>
  <c r="A4397" i="1"/>
  <c r="B4397" i="1"/>
  <c r="C4397" i="1"/>
  <c r="A11982" i="1"/>
  <c r="B11982" i="1"/>
  <c r="C11982" i="1"/>
  <c r="A17982" i="1"/>
  <c r="B17982" i="1"/>
  <c r="C17982" i="1"/>
  <c r="A14647" i="1"/>
  <c r="B14647" i="1"/>
  <c r="C14647" i="1"/>
  <c r="A22325" i="1"/>
  <c r="B22325" i="1"/>
  <c r="C22325" i="1"/>
  <c r="A22158" i="1"/>
  <c r="B22158" i="1"/>
  <c r="C22158" i="1"/>
  <c r="A16492" i="1"/>
  <c r="B16492" i="1"/>
  <c r="C16492" i="1"/>
  <c r="A8390" i="1"/>
  <c r="B8390" i="1"/>
  <c r="C8390" i="1"/>
  <c r="A10091" i="1"/>
  <c r="B10091" i="1"/>
  <c r="C10091" i="1"/>
  <c r="A10092" i="1"/>
  <c r="B10092" i="1"/>
  <c r="C10092" i="1"/>
  <c r="A3781" i="1"/>
  <c r="B3781" i="1"/>
  <c r="C3781" i="1"/>
  <c r="A3780" i="1"/>
  <c r="B3780" i="1"/>
  <c r="C3780" i="1"/>
  <c r="A22187" i="1"/>
  <c r="B22187" i="1"/>
  <c r="C22187" i="1"/>
  <c r="A609" i="1"/>
  <c r="B609" i="1"/>
  <c r="C609" i="1"/>
  <c r="A19897" i="1"/>
  <c r="B19897" i="1"/>
  <c r="C19897" i="1"/>
  <c r="A19889" i="1"/>
  <c r="B19889" i="1"/>
  <c r="C19889" i="1"/>
  <c r="A16519" i="1"/>
  <c r="B16519" i="1"/>
  <c r="C16519" i="1"/>
  <c r="A15837" i="1"/>
  <c r="B15837" i="1"/>
  <c r="C15837" i="1"/>
  <c r="A2801" i="1"/>
  <c r="B2801" i="1"/>
  <c r="C2801" i="1"/>
  <c r="A16903" i="1"/>
  <c r="B16903" i="1"/>
  <c r="C16903" i="1"/>
  <c r="A25056" i="1"/>
  <c r="B25056" i="1"/>
  <c r="C25056" i="1"/>
  <c r="A1346" i="1"/>
  <c r="B1346" i="1"/>
  <c r="C1346" i="1"/>
  <c r="A15125" i="1"/>
  <c r="B15125" i="1"/>
  <c r="C15125" i="1"/>
  <c r="A9314" i="1"/>
  <c r="B9314" i="1"/>
  <c r="C9314" i="1"/>
  <c r="A16263" i="1"/>
  <c r="C16263" i="1"/>
  <c r="A24275" i="1"/>
  <c r="B24275" i="1"/>
  <c r="C24275" i="1"/>
  <c r="A23887" i="1"/>
  <c r="B23887" i="1"/>
  <c r="C23887" i="1"/>
  <c r="A25060" i="1"/>
  <c r="B25060" i="1"/>
  <c r="C25060" i="1"/>
  <c r="A9843" i="1"/>
  <c r="B9843" i="1"/>
  <c r="C9843" i="1"/>
  <c r="A5797" i="1"/>
  <c r="B5797" i="1"/>
  <c r="C5797" i="1"/>
  <c r="A24057" i="1"/>
  <c r="B24057" i="1"/>
  <c r="C24057" i="1"/>
  <c r="A18382" i="1"/>
  <c r="B18382" i="1"/>
  <c r="C18382" i="1"/>
  <c r="A4677" i="1"/>
  <c r="B4677" i="1"/>
  <c r="C4677" i="1"/>
  <c r="A4342" i="1"/>
  <c r="B4342" i="1"/>
  <c r="C4342" i="1"/>
  <c r="A19001" i="1"/>
  <c r="B19001" i="1"/>
  <c r="C19001" i="1"/>
  <c r="A18996" i="1"/>
  <c r="B18996" i="1"/>
  <c r="C18996" i="1"/>
  <c r="A24196" i="1"/>
  <c r="B24196" i="1"/>
  <c r="C24196" i="1"/>
  <c r="A15389" i="1"/>
  <c r="B15389" i="1"/>
  <c r="C15389" i="1"/>
  <c r="A4473" i="1"/>
  <c r="B4473" i="1"/>
  <c r="C4473" i="1"/>
  <c r="A5115" i="1"/>
  <c r="B5115" i="1"/>
  <c r="C5115" i="1"/>
  <c r="A5114" i="1"/>
  <c r="B5114" i="1"/>
  <c r="C5114" i="1"/>
  <c r="A6383" i="1"/>
  <c r="B6383" i="1"/>
  <c r="C6383" i="1"/>
  <c r="A19432" i="1"/>
  <c r="B19432" i="1"/>
  <c r="C19432" i="1"/>
  <c r="A11769" i="1"/>
  <c r="B11769" i="1"/>
  <c r="C11769" i="1"/>
  <c r="A14536" i="1"/>
  <c r="B14536" i="1"/>
  <c r="C14536" i="1"/>
  <c r="A7010" i="1"/>
  <c r="B7010" i="1"/>
  <c r="C7010" i="1"/>
  <c r="A10624" i="1"/>
  <c r="B10624" i="1"/>
  <c r="C10624" i="1"/>
  <c r="A709" i="1"/>
  <c r="B709" i="1"/>
  <c r="C709" i="1"/>
  <c r="A2043" i="1"/>
  <c r="B2043" i="1"/>
  <c r="C2043" i="1"/>
  <c r="A21397" i="1"/>
  <c r="B21397" i="1"/>
  <c r="C21397" i="1"/>
  <c r="A21586" i="1"/>
  <c r="B21586" i="1"/>
  <c r="C21586" i="1"/>
  <c r="A24043" i="1"/>
  <c r="B24043" i="1"/>
  <c r="C24043" i="1"/>
  <c r="A5761" i="1"/>
  <c r="B5761" i="1"/>
  <c r="C5761" i="1"/>
  <c r="A5840" i="1"/>
  <c r="B5840" i="1"/>
  <c r="C5840" i="1"/>
  <c r="A17754" i="1"/>
  <c r="B17754" i="1"/>
  <c r="C17754" i="1"/>
  <c r="A20174" i="1"/>
  <c r="B20174" i="1"/>
  <c r="C20174" i="1"/>
  <c r="A5337" i="1"/>
  <c r="B5337" i="1"/>
  <c r="C5337" i="1"/>
  <c r="A14007" i="1"/>
  <c r="B14007" i="1"/>
  <c r="C14007" i="1"/>
  <c r="A8347" i="1"/>
  <c r="B8347" i="1"/>
  <c r="C8347" i="1"/>
  <c r="A1724" i="1"/>
  <c r="B1724" i="1"/>
  <c r="C1724" i="1"/>
  <c r="A14375" i="1"/>
  <c r="B14375" i="1"/>
  <c r="C14375" i="1"/>
  <c r="A14376" i="1"/>
  <c r="B14376" i="1"/>
  <c r="C14376" i="1"/>
  <c r="A24703" i="1"/>
  <c r="B24703" i="1"/>
  <c r="C24703" i="1"/>
  <c r="A8281" i="1"/>
  <c r="B8281" i="1"/>
  <c r="C8281" i="1"/>
  <c r="A14911" i="1"/>
  <c r="B14911" i="1"/>
  <c r="C14911" i="1"/>
  <c r="A5706" i="1"/>
  <c r="B5706" i="1"/>
  <c r="C5706" i="1"/>
  <c r="A25623" i="1"/>
  <c r="B25623" i="1"/>
  <c r="C25623" i="1"/>
  <c r="A21572" i="1"/>
  <c r="B21572" i="1"/>
  <c r="C21572" i="1"/>
  <c r="A25083" i="1"/>
  <c r="B25083" i="1"/>
  <c r="C25083" i="1"/>
  <c r="A9493" i="1"/>
  <c r="B9493" i="1"/>
  <c r="C9493" i="1"/>
  <c r="A19233" i="1"/>
  <c r="B19233" i="1"/>
  <c r="C19233" i="1"/>
  <c r="A9404" i="1"/>
  <c r="B9404" i="1"/>
  <c r="C9404" i="1"/>
  <c r="A607" i="1"/>
  <c r="B607" i="1"/>
  <c r="C607" i="1"/>
  <c r="A14215" i="1"/>
  <c r="B14215" i="1"/>
  <c r="C14215" i="1"/>
  <c r="A11465" i="1"/>
  <c r="B11465" i="1"/>
  <c r="C11465" i="1"/>
  <c r="A21506" i="1"/>
  <c r="B21506" i="1"/>
  <c r="C21506" i="1"/>
  <c r="A21368" i="1"/>
  <c r="B21368" i="1"/>
  <c r="C21368" i="1"/>
  <c r="A6453" i="1"/>
  <c r="B6453" i="1"/>
  <c r="C6453" i="1"/>
  <c r="A5800" i="1"/>
  <c r="B5800" i="1"/>
  <c r="C5800" i="1"/>
  <c r="A24910" i="1"/>
  <c r="B24910" i="1"/>
  <c r="C24910" i="1"/>
  <c r="A14541" i="1"/>
  <c r="B14541" i="1"/>
  <c r="C14541" i="1"/>
  <c r="A6641" i="1"/>
  <c r="B6641" i="1"/>
  <c r="C6641" i="1"/>
  <c r="A23852" i="1"/>
  <c r="B23852" i="1"/>
  <c r="C23852" i="1"/>
  <c r="A16327" i="1"/>
  <c r="B16327" i="1"/>
  <c r="C16327" i="1"/>
  <c r="A3094" i="1"/>
  <c r="B3094" i="1"/>
  <c r="C3094" i="1"/>
  <c r="A3063" i="1"/>
  <c r="B3063" i="1"/>
  <c r="C3063" i="1"/>
  <c r="A15235" i="1"/>
  <c r="B15235" i="1"/>
  <c r="C15235" i="1"/>
  <c r="A15858" i="1"/>
  <c r="B15858" i="1"/>
  <c r="C15858" i="1"/>
  <c r="A23150" i="1"/>
  <c r="B23150" i="1"/>
  <c r="C23150" i="1"/>
  <c r="A6451" i="1"/>
  <c r="B6451" i="1"/>
  <c r="C6451" i="1"/>
  <c r="A22804" i="1"/>
  <c r="B22804" i="1"/>
  <c r="C22804" i="1"/>
  <c r="A18105" i="1"/>
  <c r="B18105" i="1"/>
  <c r="C18105" i="1"/>
  <c r="A19361" i="1"/>
  <c r="B19361" i="1"/>
  <c r="C19361" i="1"/>
  <c r="A21406" i="1"/>
  <c r="B21406" i="1"/>
  <c r="C21406" i="1"/>
  <c r="A15567" i="1"/>
  <c r="B15567" i="1"/>
  <c r="C15567" i="1"/>
  <c r="A5652" i="1"/>
  <c r="B5652" i="1"/>
  <c r="C5652" i="1"/>
  <c r="A8817" i="1"/>
  <c r="B8817" i="1"/>
  <c r="C8817" i="1"/>
  <c r="A4734" i="1"/>
  <c r="B4734" i="1"/>
  <c r="C4734" i="1"/>
  <c r="A18593" i="1"/>
  <c r="B18593" i="1"/>
  <c r="C18593" i="1"/>
  <c r="A25163" i="1"/>
  <c r="B25163" i="1"/>
  <c r="C25163" i="1"/>
  <c r="A565" i="1"/>
  <c r="B565" i="1"/>
  <c r="C565" i="1"/>
  <c r="A1702" i="1"/>
  <c r="B1702" i="1"/>
  <c r="C1702" i="1"/>
  <c r="A10744" i="1"/>
  <c r="B10744" i="1"/>
  <c r="C10744" i="1"/>
  <c r="A19362" i="1"/>
  <c r="B19362" i="1"/>
  <c r="C19362" i="1"/>
  <c r="A25627" i="1"/>
  <c r="B25627" i="1"/>
  <c r="C25627" i="1"/>
  <c r="A25628" i="1"/>
  <c r="B25628" i="1"/>
  <c r="C25628" i="1"/>
  <c r="A15304" i="1"/>
  <c r="B15304" i="1"/>
  <c r="C15304" i="1"/>
  <c r="A3014" i="1"/>
  <c r="B3014" i="1"/>
  <c r="C3014" i="1"/>
  <c r="A1318" i="1"/>
  <c r="B1318" i="1"/>
  <c r="C1318" i="1"/>
  <c r="A13961" i="1"/>
  <c r="B13961" i="1"/>
  <c r="C13961" i="1"/>
  <c r="A12438" i="1"/>
  <c r="B12438" i="1"/>
  <c r="C12438" i="1"/>
  <c r="A22465" i="1"/>
  <c r="B22465" i="1"/>
  <c r="C22465" i="1"/>
  <c r="A24419" i="1"/>
  <c r="B24419" i="1"/>
  <c r="C24419" i="1"/>
  <c r="A24420" i="1"/>
  <c r="B24420" i="1"/>
  <c r="C24420" i="1"/>
  <c r="A16395" i="1"/>
  <c r="B16395" i="1"/>
  <c r="C16395" i="1"/>
  <c r="A13982" i="1"/>
  <c r="B13982" i="1"/>
  <c r="C13982" i="1"/>
  <c r="A23834" i="1"/>
  <c r="B23834" i="1"/>
  <c r="C23834" i="1"/>
  <c r="A23835" i="1"/>
  <c r="B23835" i="1"/>
  <c r="C23835" i="1"/>
  <c r="A11636" i="1"/>
  <c r="B11636" i="1"/>
  <c r="C11636" i="1"/>
  <c r="A13969" i="1"/>
  <c r="B13969" i="1"/>
  <c r="C13969" i="1"/>
  <c r="A13276" i="1"/>
  <c r="B13276" i="1"/>
  <c r="C13276" i="1"/>
  <c r="A13278" i="1"/>
  <c r="B13278" i="1"/>
  <c r="C13278" i="1"/>
  <c r="A13277" i="1"/>
  <c r="B13277" i="1"/>
  <c r="C13277" i="1"/>
  <c r="A13275" i="1"/>
  <c r="B13275" i="1"/>
  <c r="C13275" i="1"/>
  <c r="A13272" i="1"/>
  <c r="B13272" i="1"/>
  <c r="C13272" i="1"/>
  <c r="A13274" i="1"/>
  <c r="B13274" i="1"/>
  <c r="C13274" i="1"/>
  <c r="A13273" i="1"/>
  <c r="B13273" i="1"/>
  <c r="C13273" i="1"/>
  <c r="A13271" i="1"/>
  <c r="B13271" i="1"/>
  <c r="C13271" i="1"/>
  <c r="A13280" i="1"/>
  <c r="B13280" i="1"/>
  <c r="C13280" i="1"/>
  <c r="A13282" i="1"/>
  <c r="B13282" i="1"/>
  <c r="C13282" i="1"/>
  <c r="A13281" i="1"/>
  <c r="B13281" i="1"/>
  <c r="C13281" i="1"/>
  <c r="A13279" i="1"/>
  <c r="B13279" i="1"/>
  <c r="C13279" i="1"/>
  <c r="A25315" i="1"/>
  <c r="B25315" i="1"/>
  <c r="C25315" i="1"/>
  <c r="A18394" i="1"/>
  <c r="B18394" i="1"/>
  <c r="C18394" i="1"/>
  <c r="A22476" i="1"/>
  <c r="B22476" i="1"/>
  <c r="C22476" i="1"/>
  <c r="A18123" i="1"/>
  <c r="B18123" i="1"/>
  <c r="C18123" i="1"/>
  <c r="A13807" i="1"/>
  <c r="B13807" i="1"/>
  <c r="C13807" i="1"/>
  <c r="A209" i="1"/>
  <c r="B209" i="1"/>
  <c r="C209" i="1"/>
  <c r="A8814" i="1"/>
  <c r="B8814" i="1"/>
  <c r="C8814" i="1"/>
  <c r="A8816" i="1"/>
  <c r="B8816" i="1"/>
  <c r="C8816" i="1"/>
  <c r="A17729" i="1"/>
  <c r="B17729" i="1"/>
  <c r="C17729" i="1"/>
  <c r="A14004" i="1"/>
  <c r="B14004" i="1"/>
  <c r="C14004" i="1"/>
  <c r="A4469" i="1"/>
  <c r="B4469" i="1"/>
  <c r="C4469" i="1"/>
  <c r="A285" i="1"/>
  <c r="B285" i="1"/>
  <c r="C285" i="1"/>
  <c r="A10332" i="1"/>
  <c r="B10332" i="1"/>
  <c r="C10332" i="1"/>
  <c r="A11034" i="1"/>
  <c r="B11034" i="1"/>
  <c r="C11034" i="1"/>
  <c r="A11736" i="1"/>
  <c r="B11736" i="1"/>
  <c r="C11736" i="1"/>
  <c r="A7773" i="1"/>
  <c r="B7773" i="1"/>
  <c r="C7773" i="1"/>
  <c r="A24125" i="1"/>
  <c r="B24125" i="1"/>
  <c r="C24125" i="1"/>
  <c r="A24109" i="1"/>
  <c r="B24109" i="1"/>
  <c r="C24109" i="1"/>
  <c r="A9797" i="1"/>
  <c r="B9797" i="1"/>
  <c r="C9797" i="1"/>
  <c r="A13244" i="1"/>
  <c r="B13244" i="1"/>
  <c r="C13244" i="1"/>
  <c r="A13245" i="1"/>
  <c r="B13245" i="1"/>
  <c r="C13245" i="1"/>
  <c r="A7933" i="1"/>
  <c r="B7933" i="1"/>
  <c r="C7933" i="1"/>
  <c r="A22508" i="1"/>
  <c r="B22508" i="1"/>
  <c r="C22508" i="1"/>
  <c r="A2508" i="1"/>
  <c r="B2508" i="1"/>
  <c r="C2508" i="1"/>
  <c r="A17047" i="1"/>
  <c r="B17047" i="1"/>
  <c r="C17047" i="1"/>
  <c r="A14221" i="1"/>
  <c r="B14221" i="1"/>
  <c r="C14221" i="1"/>
  <c r="A2579" i="1"/>
  <c r="B2579" i="1"/>
  <c r="C2579" i="1"/>
  <c r="A13479" i="1"/>
  <c r="B13479" i="1"/>
  <c r="C13479" i="1"/>
  <c r="A14519" i="1"/>
  <c r="B14519" i="1"/>
  <c r="C14519" i="1"/>
  <c r="A10448" i="1"/>
  <c r="B10448" i="1"/>
  <c r="C10448" i="1"/>
  <c r="A24042" i="1"/>
  <c r="B24042" i="1"/>
  <c r="C24042" i="1"/>
  <c r="A12603" i="1"/>
  <c r="B12603" i="1"/>
  <c r="C12603" i="1"/>
  <c r="A13989" i="1"/>
  <c r="B13989" i="1"/>
  <c r="C13989" i="1"/>
  <c r="A22072" i="1"/>
  <c r="B22072" i="1"/>
  <c r="C22072" i="1"/>
  <c r="A1817" i="1"/>
  <c r="B1817" i="1"/>
  <c r="C1817" i="1"/>
  <c r="A3092" i="1"/>
  <c r="B3092" i="1"/>
  <c r="C3092" i="1"/>
  <c r="A4350" i="1"/>
  <c r="B4350" i="1"/>
  <c r="C4350" i="1"/>
  <c r="A11907" i="1"/>
  <c r="B11907" i="1"/>
  <c r="C11907" i="1"/>
  <c r="A24326" i="1"/>
  <c r="B24326" i="1"/>
  <c r="C24326" i="1"/>
  <c r="A1296" i="1"/>
  <c r="B1296" i="1"/>
  <c r="C1296" i="1"/>
  <c r="A515" i="1"/>
  <c r="B515" i="1"/>
  <c r="C515" i="1"/>
  <c r="A9358" i="1"/>
  <c r="B9358" i="1"/>
  <c r="C9358" i="1"/>
  <c r="A10916" i="1"/>
  <c r="B10916" i="1"/>
  <c r="C10916" i="1"/>
  <c r="A22320" i="1"/>
  <c r="B22320" i="1"/>
  <c r="C22320" i="1"/>
  <c r="A177" i="1"/>
  <c r="B177" i="1"/>
  <c r="C177" i="1"/>
  <c r="A178" i="1"/>
  <c r="B178" i="1"/>
  <c r="C178" i="1"/>
  <c r="A16421" i="1"/>
  <c r="B16421" i="1"/>
  <c r="C16421" i="1"/>
  <c r="A16165" i="1"/>
  <c r="B16165" i="1"/>
  <c r="C16165" i="1"/>
  <c r="A19199" i="1"/>
  <c r="B19199" i="1"/>
  <c r="C19199" i="1"/>
  <c r="A13243" i="1"/>
  <c r="B13243" i="1"/>
  <c r="C13243" i="1"/>
  <c r="A22503" i="1"/>
  <c r="B22503" i="1"/>
  <c r="C22503" i="1"/>
  <c r="A24212" i="1"/>
  <c r="B24212" i="1"/>
  <c r="C24212" i="1"/>
  <c r="A8346" i="1"/>
  <c r="B8346" i="1"/>
  <c r="C8346" i="1"/>
  <c r="A3678" i="1"/>
  <c r="B3678" i="1"/>
  <c r="C3678" i="1"/>
  <c r="A18891" i="1"/>
  <c r="B18891" i="1"/>
  <c r="C18891" i="1"/>
  <c r="A2528" i="1"/>
  <c r="B2528" i="1"/>
  <c r="C2528" i="1"/>
  <c r="A19779" i="1"/>
  <c r="B19779" i="1"/>
  <c r="C19779" i="1"/>
  <c r="A411" i="1"/>
  <c r="B411" i="1"/>
  <c r="C411" i="1"/>
  <c r="A9194" i="1"/>
  <c r="B9194" i="1"/>
  <c r="C9194" i="1"/>
  <c r="A9302" i="1"/>
  <c r="B9302" i="1"/>
  <c r="C9302" i="1"/>
  <c r="A9195" i="1"/>
  <c r="B9195" i="1"/>
  <c r="C9195" i="1"/>
  <c r="A12259" i="1"/>
  <c r="B12259" i="1"/>
  <c r="C12259" i="1"/>
  <c r="A704" i="1"/>
  <c r="B704" i="1"/>
  <c r="C704" i="1"/>
  <c r="A23138" i="1"/>
  <c r="B23138" i="1"/>
  <c r="C23138" i="1"/>
  <c r="A23140" i="1"/>
  <c r="B23140" i="1"/>
  <c r="C23140" i="1"/>
  <c r="A23139" i="1"/>
  <c r="B23139" i="1"/>
  <c r="C23139" i="1"/>
  <c r="A8876" i="1"/>
  <c r="B8876" i="1"/>
  <c r="C8876" i="1"/>
  <c r="A1270" i="1"/>
  <c r="B1270" i="1"/>
  <c r="C1270" i="1"/>
  <c r="A10804" i="1"/>
  <c r="B10804" i="1"/>
  <c r="C10804" i="1"/>
  <c r="A10378" i="1"/>
  <c r="B10378" i="1"/>
  <c r="C10378" i="1"/>
  <c r="A4234" i="1"/>
  <c r="B4234" i="1"/>
  <c r="C4234" i="1"/>
  <c r="A13841" i="1"/>
  <c r="B13841" i="1"/>
  <c r="C13841" i="1"/>
  <c r="A9352" i="1"/>
  <c r="B9352" i="1"/>
  <c r="C9352" i="1"/>
  <c r="A1855" i="1"/>
  <c r="B1855" i="1"/>
  <c r="C1855" i="1"/>
  <c r="A14812" i="1"/>
  <c r="B14812" i="1"/>
  <c r="C14812" i="1"/>
  <c r="A23975" i="1"/>
  <c r="B23975" i="1"/>
  <c r="C23975" i="1"/>
  <c r="A16374" i="1"/>
  <c r="B16374" i="1"/>
  <c r="C16374" i="1"/>
  <c r="A23914" i="1"/>
  <c r="B23914" i="1"/>
  <c r="C23914" i="1"/>
  <c r="A24013" i="1"/>
  <c r="B24013" i="1"/>
  <c r="C24013" i="1"/>
  <c r="A23915" i="1"/>
  <c r="B23915" i="1"/>
  <c r="C23915" i="1"/>
  <c r="A23913" i="1"/>
  <c r="B23913" i="1"/>
  <c r="C23913" i="1"/>
  <c r="A10688" i="1"/>
  <c r="B10688" i="1"/>
  <c r="C10688" i="1"/>
  <c r="A22479" i="1"/>
  <c r="B22479" i="1"/>
  <c r="C22479" i="1"/>
  <c r="A12588" i="1"/>
  <c r="B12588" i="1"/>
  <c r="C12588" i="1"/>
  <c r="A25537" i="1"/>
  <c r="B25537" i="1"/>
  <c r="C25537" i="1"/>
  <c r="A20639" i="1"/>
  <c r="B20639" i="1"/>
  <c r="C20639" i="1"/>
  <c r="A8423" i="1"/>
  <c r="B8423" i="1"/>
  <c r="C8423" i="1"/>
  <c r="A19656" i="1"/>
  <c r="B19656" i="1"/>
  <c r="C19656" i="1"/>
  <c r="A11460" i="1"/>
  <c r="B11460" i="1"/>
  <c r="C11460" i="1"/>
  <c r="A13775" i="1"/>
  <c r="B13775" i="1"/>
  <c r="C13775" i="1"/>
  <c r="A25625" i="1"/>
  <c r="B25625" i="1"/>
  <c r="C25625" i="1"/>
  <c r="A5421" i="1"/>
  <c r="B5421" i="1"/>
  <c r="C5421" i="1"/>
  <c r="A7378" i="1"/>
  <c r="B7378" i="1"/>
  <c r="C7378" i="1"/>
  <c r="A12179" i="1"/>
  <c r="B12179" i="1"/>
  <c r="C12179" i="1"/>
  <c r="A2862" i="1"/>
  <c r="B2862" i="1"/>
  <c r="C2862" i="1"/>
  <c r="A5401" i="1"/>
  <c r="B5401" i="1"/>
  <c r="C5401" i="1"/>
  <c r="A10928" i="1"/>
  <c r="B10928" i="1"/>
  <c r="C10928" i="1"/>
  <c r="A10929" i="1"/>
  <c r="B10929" i="1"/>
  <c r="C10929" i="1"/>
  <c r="A5402" i="1"/>
  <c r="B5402" i="1"/>
  <c r="C5402" i="1"/>
  <c r="A6" i="1"/>
  <c r="B6" i="1"/>
  <c r="C6" i="1"/>
  <c r="A6233" i="1"/>
  <c r="B6233" i="1"/>
  <c r="C6233" i="1"/>
  <c r="A6241" i="1"/>
  <c r="B6241" i="1"/>
  <c r="C6241" i="1"/>
  <c r="A6234" i="1"/>
  <c r="B6234" i="1"/>
  <c r="C6234" i="1"/>
  <c r="A626" i="1"/>
  <c r="B626" i="1"/>
  <c r="C626" i="1"/>
  <c r="A2576" i="1"/>
  <c r="B2576" i="1"/>
  <c r="C2576" i="1"/>
  <c r="A6863" i="1"/>
  <c r="B6863" i="1"/>
  <c r="C6863" i="1"/>
  <c r="A6862" i="1"/>
  <c r="B6862" i="1"/>
  <c r="C6862" i="1"/>
  <c r="A9693" i="1"/>
  <c r="B9693" i="1"/>
  <c r="C9693" i="1"/>
  <c r="A5427" i="1"/>
  <c r="B5427" i="1"/>
  <c r="C5427" i="1"/>
  <c r="A19322" i="1"/>
  <c r="B19322" i="1"/>
  <c r="C19322" i="1"/>
  <c r="A19047" i="1"/>
  <c r="B19047" i="1"/>
  <c r="C19047" i="1"/>
  <c r="A1329" i="1"/>
  <c r="B1329" i="1"/>
  <c r="C1329" i="1"/>
  <c r="A19318" i="1"/>
  <c r="B19318" i="1"/>
  <c r="C19318" i="1"/>
  <c r="A1473" i="1"/>
  <c r="B1473" i="1"/>
  <c r="C1473" i="1"/>
  <c r="A22258" i="1"/>
  <c r="B22258" i="1"/>
  <c r="C22258" i="1"/>
  <c r="A13349" i="1"/>
  <c r="B13349" i="1"/>
  <c r="C13349" i="1"/>
  <c r="A22470" i="1"/>
  <c r="B22470" i="1"/>
  <c r="C22470" i="1"/>
  <c r="A5441" i="1"/>
  <c r="B5441" i="1"/>
  <c r="C5441" i="1"/>
  <c r="A8283" i="1"/>
  <c r="B8283" i="1"/>
  <c r="C8283" i="1"/>
  <c r="A1322" i="1"/>
  <c r="B1322" i="1"/>
  <c r="C1322" i="1"/>
  <c r="A11073" i="1"/>
  <c r="B11073" i="1"/>
  <c r="C11073" i="1"/>
  <c r="A11074" i="1"/>
  <c r="B11074" i="1"/>
  <c r="C11074" i="1"/>
  <c r="A12637" i="1"/>
  <c r="B12637" i="1"/>
  <c r="C12637" i="1"/>
  <c r="A8251" i="1"/>
  <c r="B8251" i="1"/>
  <c r="C8251" i="1"/>
  <c r="A11763" i="1"/>
  <c r="B11763" i="1"/>
  <c r="C11763" i="1"/>
  <c r="A25333" i="1"/>
  <c r="B25333" i="1"/>
  <c r="C25333" i="1"/>
  <c r="A11072" i="1"/>
  <c r="B11072" i="1"/>
  <c r="C11072" i="1"/>
  <c r="A1305" i="1"/>
  <c r="B1305" i="1"/>
  <c r="C1305" i="1"/>
  <c r="A11070" i="1"/>
  <c r="B11070" i="1"/>
  <c r="C11070" i="1"/>
  <c r="A11957" i="1"/>
  <c r="B11957" i="1"/>
  <c r="C11957" i="1"/>
  <c r="A12425" i="1"/>
  <c r="B12425" i="1"/>
  <c r="C12425" i="1"/>
  <c r="A2561" i="1"/>
  <c r="B2561" i="1"/>
  <c r="C2561" i="1"/>
  <c r="A25644" i="1"/>
  <c r="B25644" i="1"/>
  <c r="C25644" i="1"/>
  <c r="A3615" i="1"/>
  <c r="B3615" i="1"/>
  <c r="C3615" i="1"/>
  <c r="A8933" i="1"/>
  <c r="B8933" i="1"/>
  <c r="C8933" i="1"/>
  <c r="A2930" i="1"/>
  <c r="B2930" i="1"/>
  <c r="C2930" i="1"/>
  <c r="A7502" i="1"/>
  <c r="B7502" i="1"/>
  <c r="C7502" i="1"/>
  <c r="A8787" i="1"/>
  <c r="B8787" i="1"/>
  <c r="C8787" i="1"/>
  <c r="A213" i="1"/>
  <c r="B213" i="1"/>
  <c r="C213" i="1"/>
  <c r="A15365" i="1"/>
  <c r="B15365" i="1"/>
  <c r="C15365" i="1"/>
  <c r="A17529" i="1"/>
  <c r="B17529" i="1"/>
  <c r="C17529" i="1"/>
  <c r="A1877" i="1"/>
  <c r="B1877" i="1"/>
  <c r="C1877" i="1"/>
  <c r="A10412" i="1"/>
  <c r="B10412" i="1"/>
  <c r="C10412" i="1"/>
  <c r="A22779" i="1"/>
  <c r="B22779" i="1"/>
  <c r="C22779" i="1"/>
  <c r="A23853" i="1"/>
  <c r="B23853" i="1"/>
  <c r="C23853" i="1"/>
  <c r="A13011" i="1"/>
  <c r="B13011" i="1"/>
  <c r="C13011" i="1"/>
  <c r="A4737" i="1"/>
  <c r="B4737" i="1"/>
  <c r="C4737" i="1"/>
  <c r="A2533" i="1"/>
  <c r="B2533" i="1"/>
  <c r="C2533" i="1"/>
  <c r="A529" i="1"/>
  <c r="B529" i="1"/>
  <c r="C529" i="1"/>
  <c r="A4739" i="1"/>
  <c r="B4739" i="1"/>
  <c r="C4739" i="1"/>
  <c r="A4733" i="1"/>
  <c r="B4733" i="1"/>
  <c r="C4733" i="1"/>
  <c r="A525" i="1"/>
  <c r="B525" i="1"/>
  <c r="C525" i="1"/>
  <c r="A8995" i="1"/>
  <c r="B8995" i="1"/>
  <c r="C8995" i="1"/>
  <c r="A11771" i="1"/>
  <c r="B11771" i="1"/>
  <c r="C11771" i="1"/>
  <c r="A22836" i="1"/>
  <c r="B22836" i="1"/>
  <c r="C22836" i="1"/>
  <c r="A24444" i="1"/>
  <c r="B24444" i="1"/>
  <c r="C24444" i="1"/>
  <c r="A24445" i="1"/>
  <c r="B24445" i="1"/>
  <c r="C24445" i="1"/>
  <c r="A17527" i="1"/>
  <c r="B17527" i="1"/>
  <c r="C17527" i="1"/>
  <c r="A6997" i="1"/>
  <c r="B6997" i="1"/>
  <c r="C6997" i="1"/>
  <c r="A1880" i="1"/>
  <c r="B1880" i="1"/>
  <c r="C1880" i="1"/>
  <c r="A19417" i="1"/>
  <c r="B19417" i="1"/>
  <c r="C19417" i="1"/>
  <c r="A10093" i="1"/>
  <c r="B10093" i="1"/>
  <c r="C10093" i="1"/>
  <c r="A7777" i="1"/>
  <c r="B7777" i="1"/>
  <c r="C7777" i="1"/>
  <c r="A428" i="1"/>
  <c r="B428" i="1"/>
  <c r="C428" i="1"/>
  <c r="A18560" i="1"/>
  <c r="B18560" i="1"/>
  <c r="C18560" i="1"/>
  <c r="A10207" i="1"/>
  <c r="B10207" i="1"/>
  <c r="C10207" i="1"/>
  <c r="A22247" i="1"/>
  <c r="B22247" i="1"/>
  <c r="C22247" i="1"/>
  <c r="A2024" i="1"/>
  <c r="B2024" i="1"/>
  <c r="C2024" i="1"/>
  <c r="A16398" i="1"/>
  <c r="B16398" i="1"/>
  <c r="C16398" i="1"/>
  <c r="A21516" i="1"/>
  <c r="B21516" i="1"/>
  <c r="C21516" i="1"/>
  <c r="A22335" i="1"/>
  <c r="B22335" i="1"/>
  <c r="C22335" i="1"/>
  <c r="A12194" i="1"/>
  <c r="B12194" i="1"/>
  <c r="C12194" i="1"/>
  <c r="A12206" i="1"/>
  <c r="B12206" i="1"/>
  <c r="C12206" i="1"/>
  <c r="A12193" i="1"/>
  <c r="B12193" i="1"/>
  <c r="C12193" i="1"/>
  <c r="A11071" i="1"/>
  <c r="B11071" i="1"/>
  <c r="C11071" i="1"/>
  <c r="A10281" i="1"/>
  <c r="B10281" i="1"/>
  <c r="C10281" i="1"/>
  <c r="A25408" i="1"/>
  <c r="B25408" i="1"/>
  <c r="C25408" i="1"/>
  <c r="A24846" i="1"/>
  <c r="B24846" i="1"/>
  <c r="C24846" i="1"/>
  <c r="A25418" i="1"/>
  <c r="B25418" i="1"/>
  <c r="C25418" i="1"/>
  <c r="A12151" i="1"/>
  <c r="B12151" i="1"/>
  <c r="C12151" i="1"/>
  <c r="A2805" i="1"/>
  <c r="B2805" i="1"/>
  <c r="C2805" i="1"/>
  <c r="A16265" i="1"/>
  <c r="B16265" i="1"/>
  <c r="C16265" i="1"/>
  <c r="A2512" i="1"/>
  <c r="B2512" i="1"/>
  <c r="C2512" i="1"/>
  <c r="A1390" i="1"/>
  <c r="B1390" i="1"/>
  <c r="C1390" i="1"/>
  <c r="A24018" i="1"/>
  <c r="B24018" i="1"/>
  <c r="C24018" i="1"/>
  <c r="A6731" i="1"/>
  <c r="B6731" i="1"/>
  <c r="C6731" i="1"/>
  <c r="A6732" i="1"/>
  <c r="B6732" i="1"/>
  <c r="C6732" i="1"/>
  <c r="A2492" i="1"/>
  <c r="B2492" i="1"/>
  <c r="C2492" i="1"/>
  <c r="A16419" i="1"/>
  <c r="B16419" i="1"/>
  <c r="C16419" i="1"/>
  <c r="A1387" i="1"/>
  <c r="B1387" i="1"/>
  <c r="C1387" i="1"/>
  <c r="A16530" i="1"/>
  <c r="B16530" i="1"/>
  <c r="C16530" i="1"/>
  <c r="A16378" i="1"/>
  <c r="B16378" i="1"/>
  <c r="C16378" i="1"/>
  <c r="A680" i="1"/>
  <c r="B680" i="1"/>
  <c r="C680" i="1"/>
  <c r="A23998" i="1"/>
  <c r="B23998" i="1"/>
  <c r="C23998" i="1"/>
  <c r="A558" i="1"/>
  <c r="B558" i="1"/>
  <c r="C558" i="1"/>
  <c r="A22008" i="1"/>
  <c r="B22008" i="1"/>
  <c r="C22008" i="1"/>
  <c r="A18379" i="1"/>
  <c r="B18379" i="1"/>
  <c r="C18379" i="1"/>
  <c r="A25318" i="1"/>
  <c r="B25318" i="1"/>
  <c r="C25318" i="1"/>
  <c r="A8786" i="1"/>
  <c r="B8786" i="1"/>
  <c r="C8786" i="1"/>
  <c r="A10130" i="1"/>
  <c r="B10130" i="1"/>
  <c r="C10130" i="1"/>
  <c r="A4526" i="1"/>
  <c r="B4526" i="1"/>
  <c r="C4526" i="1"/>
  <c r="A4525" i="1"/>
  <c r="B4525" i="1"/>
  <c r="C4525" i="1"/>
  <c r="A4524" i="1"/>
  <c r="B4524" i="1"/>
  <c r="C4524" i="1"/>
  <c r="A4523" i="1"/>
  <c r="B4523" i="1"/>
  <c r="C4523" i="1"/>
  <c r="A5006" i="1"/>
  <c r="B5006" i="1"/>
  <c r="C5006" i="1"/>
  <c r="A5005" i="1"/>
  <c r="B5005" i="1"/>
  <c r="C5005" i="1"/>
  <c r="A5004" i="1"/>
  <c r="B5004" i="1"/>
  <c r="C5004" i="1"/>
  <c r="A5003" i="1"/>
  <c r="B5003" i="1"/>
  <c r="C5003" i="1"/>
  <c r="A13250" i="1"/>
  <c r="B13250" i="1"/>
  <c r="C13250" i="1"/>
  <c r="A13249" i="1"/>
  <c r="B13249" i="1"/>
  <c r="C13249" i="1"/>
  <c r="A13248" i="1"/>
  <c r="B13248" i="1"/>
  <c r="C13248" i="1"/>
  <c r="A13247" i="1"/>
  <c r="B13247" i="1"/>
  <c r="C13247" i="1"/>
  <c r="A13811" i="1"/>
  <c r="B13811" i="1"/>
  <c r="C13811" i="1"/>
  <c r="A5741" i="1"/>
  <c r="B5741" i="1"/>
  <c r="C5741" i="1"/>
  <c r="A19430" i="1"/>
  <c r="B19430" i="1"/>
  <c r="C19430" i="1"/>
  <c r="A2588" i="1"/>
  <c r="B2588" i="1"/>
  <c r="C2588" i="1"/>
  <c r="A12161" i="1"/>
  <c r="B12161" i="1"/>
  <c r="C12161" i="1"/>
  <c r="A16742" i="1"/>
  <c r="B16742" i="1"/>
  <c r="C16742" i="1"/>
  <c r="A24119" i="1"/>
  <c r="B24119" i="1"/>
  <c r="C24119" i="1"/>
  <c r="A24120" i="1"/>
  <c r="B24120" i="1"/>
  <c r="C24120" i="1"/>
  <c r="A17967" i="1"/>
  <c r="B17967" i="1"/>
  <c r="C17967" i="1"/>
  <c r="A15036" i="1"/>
  <c r="B15036" i="1"/>
  <c r="C15036" i="1"/>
  <c r="A23146" i="1"/>
  <c r="B23146" i="1"/>
  <c r="C23146" i="1"/>
  <c r="A23956" i="1"/>
  <c r="B23956" i="1"/>
  <c r="C23956" i="1"/>
  <c r="A13283" i="1"/>
  <c r="B13283" i="1"/>
  <c r="C13283" i="1"/>
  <c r="A22992" i="1"/>
  <c r="B22992" i="1"/>
  <c r="C22992" i="1"/>
  <c r="A22993" i="1"/>
  <c r="B22993" i="1"/>
  <c r="C22993" i="1"/>
  <c r="A9347" i="1"/>
  <c r="B9347" i="1"/>
  <c r="C9347" i="1"/>
  <c r="A9343" i="1"/>
  <c r="B9343" i="1"/>
  <c r="C9343" i="1"/>
  <c r="A9179" i="1"/>
  <c r="B9179" i="1"/>
  <c r="C9179" i="1"/>
  <c r="A4289" i="1"/>
  <c r="B4289" i="1"/>
  <c r="C4289" i="1"/>
  <c r="A4438" i="1"/>
  <c r="B4438" i="1"/>
  <c r="C4438" i="1"/>
  <c r="A11383" i="1"/>
  <c r="B11383" i="1"/>
  <c r="C11383" i="1"/>
  <c r="A11518" i="1"/>
  <c r="B11518" i="1"/>
  <c r="C11518" i="1"/>
  <c r="A16399" i="1"/>
  <c r="B16399" i="1"/>
  <c r="C16399" i="1"/>
  <c r="A22722" i="1"/>
  <c r="B22722" i="1"/>
  <c r="C22722" i="1"/>
  <c r="A25757" i="1"/>
  <c r="B25757" i="1"/>
  <c r="C25757" i="1"/>
  <c r="A18022" i="1"/>
  <c r="B18022" i="1"/>
  <c r="C18022" i="1"/>
  <c r="A18023" i="1"/>
  <c r="B18023" i="1"/>
  <c r="C18023" i="1"/>
  <c r="A24856" i="1"/>
  <c r="B24856" i="1"/>
  <c r="C24856" i="1"/>
  <c r="A25280" i="1"/>
  <c r="B25280" i="1"/>
  <c r="C25280" i="1"/>
  <c r="A16744" i="1"/>
  <c r="B16744" i="1"/>
  <c r="C16744" i="1"/>
  <c r="A14793" i="1"/>
  <c r="B14793" i="1"/>
  <c r="C14793" i="1"/>
  <c r="A4272" i="1"/>
  <c r="B4272" i="1"/>
  <c r="C4272" i="1"/>
  <c r="A1481" i="1"/>
  <c r="B1481" i="1"/>
  <c r="C1481" i="1"/>
  <c r="A16580" i="1"/>
  <c r="B16580" i="1"/>
  <c r="C16580" i="1"/>
  <c r="A18986" i="1"/>
  <c r="B18986" i="1"/>
  <c r="C18986" i="1"/>
  <c r="A1703" i="1"/>
  <c r="B1703" i="1"/>
  <c r="C1703" i="1"/>
  <c r="A10963" i="1"/>
  <c r="B10963" i="1"/>
  <c r="C10963" i="1"/>
  <c r="A11546" i="1"/>
  <c r="B11546" i="1"/>
  <c r="C11546" i="1"/>
  <c r="A25420" i="1"/>
  <c r="B25420" i="1"/>
  <c r="C25420" i="1"/>
  <c r="A10458" i="1"/>
  <c r="B10458" i="1"/>
  <c r="C10458" i="1"/>
  <c r="A7538" i="1"/>
  <c r="B7538" i="1"/>
  <c r="C7538" i="1"/>
  <c r="A5073" i="1"/>
  <c r="B5073" i="1"/>
  <c r="C5073" i="1"/>
  <c r="A5072" i="1"/>
  <c r="B5072" i="1"/>
  <c r="C5072" i="1"/>
  <c r="A5070" i="1"/>
  <c r="B5070" i="1"/>
  <c r="C5070" i="1"/>
  <c r="A5071" i="1"/>
  <c r="B5071" i="1"/>
  <c r="C5071" i="1"/>
  <c r="A5069" i="1"/>
  <c r="B5069" i="1"/>
  <c r="C5069" i="1"/>
  <c r="A20636" i="1"/>
  <c r="B20636" i="1"/>
  <c r="C20636" i="1"/>
  <c r="A16420" i="1"/>
  <c r="B16420" i="1"/>
  <c r="C16420" i="1"/>
  <c r="A25749" i="1"/>
  <c r="B25749" i="1"/>
  <c r="C25749" i="1"/>
  <c r="A21501" i="1"/>
  <c r="B21501" i="1"/>
  <c r="C21501" i="1"/>
  <c r="A15582" i="1"/>
  <c r="B15582" i="1"/>
  <c r="C15582" i="1"/>
  <c r="A16965" i="1"/>
  <c r="B16965" i="1"/>
  <c r="C16965" i="1"/>
  <c r="A1948" i="1"/>
  <c r="B1948" i="1"/>
  <c r="C1948" i="1"/>
  <c r="A25678" i="1"/>
  <c r="B25678" i="1"/>
  <c r="C25678" i="1"/>
  <c r="A25415" i="1"/>
  <c r="B25415" i="1"/>
  <c r="C25415" i="1"/>
  <c r="A16199" i="1"/>
  <c r="B16199" i="1"/>
  <c r="C16199" i="1"/>
  <c r="A37" i="1"/>
  <c r="B37" i="1"/>
  <c r="C37" i="1"/>
  <c r="A13958" i="1"/>
  <c r="B13958" i="1"/>
  <c r="C13958" i="1"/>
  <c r="A16793" i="1"/>
  <c r="B16793" i="1"/>
  <c r="C16793" i="1"/>
  <c r="A25551" i="1"/>
  <c r="B25551" i="1"/>
  <c r="C25551" i="1"/>
  <c r="A24353" i="1"/>
  <c r="B24353" i="1"/>
  <c r="C24353" i="1"/>
  <c r="A514" i="1"/>
  <c r="B514" i="1"/>
  <c r="C514" i="1"/>
  <c r="A5759" i="1"/>
  <c r="B5759" i="1"/>
  <c r="C5759" i="1"/>
  <c r="A625" i="1"/>
  <c r="B625" i="1"/>
  <c r="C625" i="1"/>
  <c r="A18310" i="1"/>
  <c r="B18310" i="1"/>
  <c r="C18310" i="1"/>
  <c r="A16159" i="1"/>
  <c r="B16159" i="1"/>
  <c r="C16159" i="1"/>
  <c r="A20194" i="1"/>
  <c r="B20194" i="1"/>
  <c r="C20194" i="1"/>
  <c r="A11519" i="1"/>
  <c r="B11519" i="1"/>
  <c r="C11519" i="1"/>
  <c r="A4455" i="1"/>
  <c r="B4455" i="1"/>
  <c r="C4455" i="1"/>
  <c r="A15856" i="1"/>
  <c r="B15856" i="1"/>
  <c r="C15856" i="1"/>
  <c r="A19987" i="1"/>
  <c r="B19987" i="1"/>
  <c r="C19987" i="1"/>
  <c r="A9752" i="1"/>
  <c r="C9752" i="1"/>
  <c r="A9756" i="1"/>
  <c r="C9756" i="1"/>
  <c r="A9754" i="1"/>
  <c r="C9754" i="1"/>
  <c r="A9753" i="1"/>
  <c r="C9753" i="1"/>
  <c r="A9757" i="1"/>
  <c r="C9757" i="1"/>
  <c r="A9755" i="1"/>
  <c r="C9755" i="1"/>
  <c r="A9751" i="1"/>
  <c r="B9751" i="1"/>
  <c r="C9751" i="1"/>
  <c r="A9863" i="1"/>
  <c r="C9863" i="1"/>
  <c r="A9866" i="1"/>
  <c r="C9866" i="1"/>
  <c r="A9865" i="1"/>
  <c r="C9865" i="1"/>
  <c r="A9864" i="1"/>
  <c r="C9864" i="1"/>
  <c r="A9862" i="1"/>
  <c r="B9862" i="1"/>
  <c r="C9862" i="1"/>
  <c r="A9989" i="1"/>
  <c r="C9989" i="1"/>
  <c r="A9986" i="1"/>
  <c r="C9986" i="1"/>
  <c r="A9988" i="1"/>
  <c r="C9988" i="1"/>
  <c r="A9987" i="1"/>
  <c r="C9987" i="1"/>
  <c r="A9982" i="1"/>
  <c r="B9982" i="1"/>
  <c r="C9982" i="1"/>
  <c r="A9983" i="1"/>
  <c r="C9983" i="1"/>
  <c r="A9985" i="1"/>
  <c r="C9985" i="1"/>
  <c r="A10037" i="1"/>
  <c r="B10037" i="1"/>
  <c r="C10037" i="1"/>
  <c r="A12584" i="1"/>
  <c r="C12584" i="1"/>
  <c r="A12580" i="1"/>
  <c r="C12580" i="1"/>
  <c r="A12581" i="1"/>
  <c r="C12581" i="1"/>
  <c r="A12579" i="1"/>
  <c r="C12579" i="1"/>
  <c r="A12585" i="1"/>
  <c r="C12585" i="1"/>
  <c r="A12582" i="1"/>
  <c r="C12582" i="1"/>
  <c r="A12583" i="1"/>
  <c r="C12583" i="1"/>
  <c r="A12586" i="1"/>
  <c r="C12586" i="1"/>
  <c r="A5820" i="1"/>
  <c r="B5820" i="1"/>
  <c r="C5820" i="1"/>
  <c r="A15637" i="1"/>
  <c r="B15637" i="1"/>
  <c r="C15637" i="1"/>
  <c r="A15622" i="1"/>
  <c r="B15622" i="1"/>
  <c r="C15622" i="1"/>
  <c r="A15625" i="1"/>
  <c r="B15625" i="1"/>
  <c r="C15625" i="1"/>
  <c r="A15610" i="1"/>
  <c r="B15610" i="1"/>
  <c r="C15610" i="1"/>
  <c r="A15624" i="1"/>
  <c r="B15624" i="1"/>
  <c r="C15624" i="1"/>
  <c r="A3003" i="1"/>
  <c r="B3003" i="1"/>
  <c r="C3003" i="1"/>
  <c r="A3004" i="1"/>
  <c r="B3004" i="1"/>
  <c r="C3004" i="1"/>
  <c r="A3005" i="1"/>
  <c r="B3005" i="1"/>
  <c r="C3005" i="1"/>
  <c r="A2905" i="1"/>
  <c r="B2905" i="1"/>
  <c r="C2905" i="1"/>
  <c r="A3000" i="1"/>
  <c r="B3000" i="1"/>
  <c r="C3000" i="1"/>
  <c r="A2893" i="1"/>
  <c r="B2893" i="1"/>
  <c r="C2893" i="1"/>
  <c r="A23039" i="1"/>
  <c r="B23039" i="1"/>
  <c r="C23039" i="1"/>
  <c r="A23013" i="1"/>
  <c r="B23013" i="1"/>
  <c r="C23013" i="1"/>
  <c r="A23011" i="1"/>
  <c r="B23011" i="1"/>
  <c r="C23011" i="1"/>
  <c r="A23012" i="1"/>
  <c r="B23012" i="1"/>
  <c r="C23012" i="1"/>
  <c r="A22983" i="1"/>
  <c r="B22983" i="1"/>
  <c r="C22983" i="1"/>
  <c r="A23040" i="1"/>
  <c r="B23040" i="1"/>
  <c r="C23040" i="1"/>
  <c r="A23038" i="1"/>
  <c r="B23038" i="1"/>
  <c r="C23038" i="1"/>
  <c r="A23037" i="1"/>
  <c r="B23037" i="1"/>
  <c r="C23037" i="1"/>
  <c r="A15366" i="1"/>
  <c r="B15366" i="1"/>
  <c r="C15366" i="1"/>
  <c r="A16217" i="1"/>
  <c r="B16217" i="1"/>
  <c r="C16217" i="1"/>
  <c r="A16858" i="1"/>
  <c r="B16858" i="1"/>
  <c r="C16858" i="1"/>
  <c r="A8386" i="1"/>
  <c r="B8386" i="1"/>
  <c r="C8386" i="1"/>
  <c r="A18052" i="1"/>
  <c r="B18052" i="1"/>
  <c r="C18052" i="1"/>
  <c r="A5806" i="1"/>
  <c r="B5806" i="1"/>
  <c r="C5806" i="1"/>
  <c r="A10757" i="1"/>
  <c r="B10757" i="1"/>
  <c r="C10757" i="1"/>
  <c r="A15870" i="1"/>
  <c r="B15870" i="1"/>
  <c r="C15870" i="1"/>
  <c r="A23860" i="1"/>
  <c r="B23860" i="1"/>
  <c r="C23860" i="1"/>
  <c r="A8835" i="1"/>
  <c r="B8835" i="1"/>
  <c r="C8835" i="1"/>
  <c r="A16874" i="1"/>
  <c r="B16874" i="1"/>
  <c r="C16874" i="1"/>
  <c r="A17427" i="1"/>
  <c r="B17427" i="1"/>
  <c r="C17427" i="1"/>
  <c r="A5753" i="1"/>
  <c r="B5753" i="1"/>
  <c r="C5753" i="1"/>
  <c r="A16871" i="1"/>
  <c r="B16871" i="1"/>
  <c r="C16871" i="1"/>
  <c r="A15375" i="1"/>
  <c r="B15375" i="1"/>
  <c r="C15375" i="1"/>
  <c r="A1758" i="1"/>
  <c r="B1758" i="1"/>
  <c r="C1758" i="1"/>
  <c r="A1748" i="1"/>
  <c r="B1748" i="1"/>
  <c r="C1748" i="1"/>
  <c r="A2375" i="1"/>
  <c r="B2375" i="1"/>
  <c r="C2375" i="1"/>
  <c r="A15394" i="1"/>
  <c r="B15394" i="1"/>
  <c r="C15394" i="1"/>
  <c r="A16872" i="1"/>
  <c r="B16872" i="1"/>
  <c r="C16872" i="1"/>
  <c r="A23001" i="1"/>
  <c r="B23001" i="1"/>
  <c r="C23001" i="1"/>
  <c r="A23000" i="1"/>
  <c r="B23000" i="1"/>
  <c r="C23000" i="1"/>
  <c r="A6927" i="1"/>
  <c r="B6927" i="1"/>
  <c r="C6927" i="1"/>
  <c r="A7462" i="1"/>
  <c r="B7462" i="1"/>
  <c r="C7462" i="1"/>
  <c r="A7398" i="1"/>
  <c r="B7398" i="1"/>
  <c r="C7398" i="1"/>
  <c r="A4310" i="1"/>
  <c r="B4310" i="1"/>
  <c r="C4310" i="1"/>
  <c r="A4309" i="1"/>
  <c r="B4309" i="1"/>
  <c r="C4309" i="1"/>
  <c r="A7391" i="1"/>
  <c r="B7391" i="1"/>
  <c r="C7391" i="1"/>
  <c r="A4729" i="1"/>
  <c r="B4729" i="1"/>
  <c r="C4729" i="1"/>
  <c r="A16876" i="1"/>
  <c r="B16876" i="1"/>
  <c r="C16876" i="1"/>
  <c r="A2888" i="1"/>
  <c r="B2888" i="1"/>
  <c r="C2888" i="1"/>
  <c r="A2887" i="1"/>
  <c r="B2887" i="1"/>
  <c r="C2887" i="1"/>
  <c r="A16873" i="1"/>
  <c r="B16873" i="1"/>
  <c r="C16873" i="1"/>
  <c r="A21943" i="1"/>
  <c r="B21943" i="1"/>
  <c r="C21943" i="1"/>
  <c r="A4274" i="1"/>
  <c r="B4274" i="1"/>
  <c r="C4274" i="1"/>
  <c r="A15630" i="1"/>
  <c r="B15630" i="1"/>
  <c r="C15630" i="1"/>
  <c r="A15631" i="1"/>
  <c r="B15631" i="1"/>
  <c r="C15631" i="1"/>
  <c r="A15629" i="1"/>
  <c r="B15629" i="1"/>
  <c r="C15629" i="1"/>
  <c r="A1428" i="1"/>
  <c r="B1428" i="1"/>
  <c r="C1428" i="1"/>
  <c r="A4262" i="1"/>
  <c r="B4262" i="1"/>
  <c r="C4262" i="1"/>
  <c r="A4271" i="1"/>
  <c r="B4271" i="1"/>
  <c r="C4271" i="1"/>
  <c r="A11538" i="1"/>
  <c r="B11538" i="1"/>
  <c r="C11538" i="1"/>
  <c r="A12086" i="1"/>
  <c r="B12086" i="1"/>
  <c r="C12086" i="1"/>
  <c r="A17732" i="1"/>
  <c r="B17732" i="1"/>
  <c r="C17732" i="1"/>
  <c r="A11760" i="1"/>
  <c r="B11760" i="1"/>
  <c r="C11760" i="1"/>
  <c r="A1853" i="1"/>
  <c r="B1853" i="1"/>
  <c r="C1853" i="1"/>
  <c r="A10493" i="1"/>
  <c r="B10493" i="1"/>
  <c r="C10493" i="1"/>
  <c r="A10492" i="1"/>
  <c r="B10492" i="1"/>
  <c r="C10492" i="1"/>
  <c r="A1676" i="1"/>
  <c r="B1676" i="1"/>
  <c r="C1676" i="1"/>
  <c r="A1314" i="1"/>
  <c r="B1314" i="1"/>
  <c r="C1314" i="1"/>
  <c r="A16215" i="1"/>
  <c r="B16215" i="1"/>
  <c r="C16215" i="1"/>
  <c r="A4427" i="1"/>
  <c r="B4427" i="1"/>
  <c r="C4427" i="1"/>
  <c r="A4425" i="1"/>
  <c r="B4425" i="1"/>
  <c r="C4425" i="1"/>
  <c r="A22800" i="1"/>
  <c r="B22800" i="1"/>
  <c r="C22800" i="1"/>
  <c r="A4419" i="1"/>
  <c r="B4419" i="1"/>
  <c r="C4419" i="1"/>
  <c r="A3062" i="1"/>
  <c r="B3062" i="1"/>
  <c r="C3062" i="1"/>
  <c r="A9766" i="1"/>
  <c r="B9766" i="1"/>
  <c r="C9766" i="1"/>
  <c r="A3485" i="1"/>
  <c r="B3485" i="1"/>
  <c r="C3485" i="1"/>
  <c r="A9885" i="1"/>
  <c r="B9885" i="1"/>
  <c r="C9885" i="1"/>
  <c r="A11988" i="1"/>
  <c r="B11988" i="1"/>
  <c r="C11988" i="1"/>
  <c r="A2249" i="1"/>
  <c r="B2249" i="1"/>
  <c r="C2249" i="1"/>
  <c r="A18015" i="1"/>
  <c r="C18015" i="1"/>
  <c r="A3082" i="1"/>
  <c r="B3082" i="1"/>
  <c r="C3082" i="1"/>
  <c r="A8284" i="1"/>
  <c r="B8284" i="1"/>
  <c r="C8284" i="1"/>
  <c r="A19649" i="1"/>
  <c r="B19649" i="1"/>
  <c r="C19649" i="1"/>
  <c r="A19431" i="1"/>
  <c r="B19431" i="1"/>
  <c r="C19431" i="1"/>
  <c r="A15533" i="1"/>
  <c r="B15533" i="1"/>
  <c r="C15533" i="1"/>
  <c r="A562" i="1"/>
  <c r="B562" i="1"/>
  <c r="C562" i="1"/>
  <c r="A12434" i="1"/>
  <c r="B12434" i="1"/>
  <c r="C12434" i="1"/>
  <c r="A11455" i="1"/>
  <c r="B11455" i="1"/>
  <c r="C11455" i="1"/>
  <c r="A20726" i="1"/>
  <c r="B20726" i="1"/>
  <c r="C20726" i="1"/>
  <c r="A9240" i="1"/>
  <c r="B9240" i="1"/>
  <c r="C9240" i="1"/>
  <c r="A14509" i="1"/>
  <c r="B14509" i="1"/>
  <c r="C14509" i="1"/>
  <c r="A14503" i="1"/>
  <c r="B14503" i="1"/>
  <c r="C14503" i="1"/>
  <c r="A19232" i="1"/>
  <c r="B19232" i="1"/>
  <c r="C19232" i="1"/>
  <c r="A19089" i="1"/>
  <c r="B19089" i="1"/>
  <c r="C19089" i="1"/>
  <c r="A23316" i="1"/>
  <c r="B23316" i="1"/>
  <c r="C23316" i="1"/>
  <c r="A18604" i="1"/>
  <c r="B18604" i="1"/>
  <c r="C18604" i="1"/>
  <c r="A18583" i="1"/>
  <c r="B18583" i="1"/>
  <c r="C18583" i="1"/>
  <c r="A13903" i="1"/>
  <c r="B13903" i="1"/>
  <c r="C13903" i="1"/>
  <c r="A6338" i="1"/>
  <c r="B6338" i="1"/>
  <c r="C6338" i="1"/>
  <c r="A5041" i="1"/>
  <c r="B5041" i="1"/>
  <c r="C5041" i="1"/>
  <c r="A4602" i="1"/>
  <c r="B4602" i="1"/>
  <c r="C4602" i="1"/>
  <c r="A20159" i="1"/>
  <c r="B20159" i="1"/>
  <c r="C20159" i="1"/>
  <c r="A3351" i="1"/>
  <c r="B3351" i="1"/>
  <c r="C3351" i="1"/>
  <c r="A13904" i="1"/>
  <c r="B13904" i="1"/>
  <c r="C13904" i="1"/>
  <c r="A16645" i="1"/>
  <c r="B16645" i="1"/>
  <c r="C16645" i="1"/>
  <c r="A15521" i="1"/>
  <c r="B15521" i="1"/>
  <c r="C15521" i="1"/>
  <c r="A13810" i="1"/>
  <c r="B13810" i="1"/>
  <c r="C13810" i="1"/>
  <c r="A13341" i="1"/>
  <c r="B13341" i="1"/>
  <c r="C13341" i="1"/>
  <c r="A2264" i="1"/>
  <c r="B2264" i="1"/>
  <c r="C2264" i="1"/>
  <c r="A17928" i="1"/>
  <c r="B17928" i="1"/>
  <c r="C17928" i="1"/>
  <c r="A19163" i="1"/>
  <c r="B19163" i="1"/>
  <c r="C19163" i="1"/>
  <c r="A19160" i="1"/>
  <c r="B19160" i="1"/>
  <c r="C19160" i="1"/>
  <c r="A3683" i="1"/>
  <c r="B3683" i="1"/>
  <c r="C3683" i="1"/>
  <c r="A3680" i="1"/>
  <c r="B3680" i="1"/>
  <c r="C3680" i="1"/>
  <c r="A552" i="1"/>
  <c r="C552" i="1"/>
  <c r="A14005" i="1"/>
  <c r="B14005" i="1"/>
  <c r="C14005" i="1"/>
  <c r="A23764" i="1"/>
  <c r="B23764" i="1"/>
  <c r="C23764" i="1"/>
  <c r="A23772" i="1"/>
  <c r="B23772" i="1"/>
  <c r="C23772" i="1"/>
  <c r="A2490" i="1"/>
  <c r="B2490" i="1"/>
  <c r="C2490" i="1"/>
  <c r="A16985" i="1"/>
  <c r="B16985" i="1"/>
  <c r="C16985" i="1"/>
  <c r="A4321" i="1"/>
  <c r="B4321" i="1"/>
  <c r="C4321" i="1"/>
  <c r="A4324" i="1"/>
  <c r="B4324" i="1"/>
  <c r="C4324" i="1"/>
  <c r="A4322" i="1"/>
  <c r="B4322" i="1"/>
  <c r="C4322" i="1"/>
  <c r="A4323" i="1"/>
  <c r="B4323" i="1"/>
  <c r="C4323" i="1"/>
  <c r="A4325" i="1"/>
  <c r="B4325" i="1"/>
  <c r="C4325" i="1"/>
  <c r="A6096" i="1"/>
  <c r="B6096" i="1"/>
  <c r="C6096" i="1"/>
  <c r="A6699" i="1"/>
  <c r="B6699" i="1"/>
  <c r="C6699" i="1"/>
  <c r="A8780" i="1"/>
  <c r="B8780" i="1"/>
  <c r="C8780" i="1"/>
  <c r="A8776" i="1"/>
  <c r="B8776" i="1"/>
  <c r="C8776" i="1"/>
  <c r="A10094" i="1"/>
  <c r="B10094" i="1"/>
  <c r="C10094" i="1"/>
  <c r="A10447" i="1"/>
  <c r="B10447" i="1"/>
  <c r="C10447" i="1"/>
  <c r="A10630" i="1"/>
  <c r="B10630" i="1"/>
  <c r="C10630" i="1"/>
  <c r="A11996" i="1"/>
  <c r="B11996" i="1"/>
  <c r="C11996" i="1"/>
  <c r="A18136" i="1"/>
  <c r="B18136" i="1"/>
  <c r="C18136" i="1"/>
  <c r="A19045" i="1"/>
  <c r="B19045" i="1"/>
  <c r="C19045" i="1"/>
  <c r="A18898" i="1"/>
  <c r="B18898" i="1"/>
  <c r="C18898" i="1"/>
  <c r="A19369" i="1"/>
  <c r="B19369" i="1"/>
  <c r="C19369" i="1"/>
  <c r="A22770" i="1"/>
  <c r="B22770" i="1"/>
  <c r="C22770" i="1"/>
  <c r="A22771" i="1"/>
  <c r="B22771" i="1"/>
  <c r="C22771" i="1"/>
  <c r="A22998" i="1"/>
  <c r="B22998" i="1"/>
  <c r="C22998" i="1"/>
  <c r="A23002" i="1"/>
  <c r="B23002" i="1"/>
  <c r="C23002" i="1"/>
  <c r="A23003" i="1"/>
  <c r="B23003" i="1"/>
  <c r="C23003" i="1"/>
  <c r="A22999" i="1"/>
  <c r="B22999" i="1"/>
  <c r="C22999" i="1"/>
  <c r="A23006" i="1"/>
  <c r="B23006" i="1"/>
  <c r="C23006" i="1"/>
  <c r="A23005" i="1"/>
  <c r="B23005" i="1"/>
  <c r="C23005" i="1"/>
  <c r="A23004" i="1"/>
  <c r="B23004" i="1"/>
  <c r="C23004" i="1"/>
  <c r="A23014" i="1"/>
  <c r="B23014" i="1"/>
  <c r="C23014" i="1"/>
  <c r="A23015" i="1"/>
  <c r="B23015" i="1"/>
  <c r="C23015" i="1"/>
  <c r="A23041" i="1"/>
  <c r="B23041" i="1"/>
  <c r="C23041" i="1"/>
  <c r="A23042" i="1"/>
  <c r="B23042" i="1"/>
  <c r="C23042" i="1"/>
  <c r="A20219" i="1"/>
  <c r="B20219" i="1"/>
  <c r="C20219" i="1"/>
  <c r="A12598" i="1"/>
  <c r="B12598" i="1"/>
  <c r="C12598" i="1"/>
  <c r="A12596" i="1"/>
  <c r="B12596" i="1"/>
  <c r="C12596" i="1"/>
  <c r="A22135" i="1"/>
  <c r="B22135" i="1"/>
  <c r="C22135" i="1"/>
  <c r="A22139" i="1"/>
  <c r="B22139" i="1"/>
  <c r="C22139" i="1"/>
  <c r="A22137" i="1"/>
  <c r="B22137" i="1"/>
  <c r="C22137" i="1"/>
  <c r="A22136" i="1"/>
  <c r="B22136" i="1"/>
  <c r="C22136" i="1"/>
  <c r="A22133" i="1"/>
  <c r="B22133" i="1"/>
  <c r="C22133" i="1"/>
  <c r="A22138" i="1"/>
  <c r="B22138" i="1"/>
  <c r="C22138" i="1"/>
  <c r="A19081" i="1"/>
  <c r="B19081" i="1"/>
  <c r="C19081" i="1"/>
  <c r="A652" i="1"/>
  <c r="B652" i="1"/>
  <c r="C652" i="1"/>
  <c r="A21509" i="1"/>
  <c r="B21509" i="1"/>
  <c r="C21509" i="1"/>
  <c r="A19044" i="1"/>
  <c r="B19044" i="1"/>
  <c r="C19044" i="1"/>
  <c r="A16397" i="1"/>
  <c r="B16397" i="1"/>
  <c r="C16397" i="1"/>
  <c r="A21017" i="1"/>
  <c r="B21017" i="1"/>
  <c r="C21017" i="1"/>
  <c r="A14910" i="1"/>
  <c r="B14910" i="1"/>
  <c r="C14910" i="1"/>
  <c r="A14196" i="1"/>
  <c r="B14196" i="1"/>
  <c r="C14196" i="1"/>
  <c r="A15583" i="1"/>
  <c r="B15583" i="1"/>
  <c r="C15583" i="1"/>
  <c r="A21507" i="1"/>
  <c r="B21507" i="1"/>
  <c r="C21507" i="1"/>
  <c r="A2851" i="1"/>
  <c r="B2851" i="1"/>
  <c r="C2851" i="1"/>
  <c r="A6265" i="1"/>
  <c r="B6265" i="1"/>
  <c r="C6265" i="1"/>
  <c r="A16431" i="1"/>
  <c r="B16431" i="1"/>
  <c r="C16431" i="1"/>
  <c r="A12180" i="1"/>
  <c r="B12180" i="1"/>
  <c r="C12180" i="1"/>
  <c r="A11652" i="1"/>
  <c r="B11652" i="1"/>
  <c r="C11652" i="1"/>
  <c r="A19082" i="1"/>
  <c r="B19082" i="1"/>
  <c r="C19082" i="1"/>
  <c r="A25687" i="1"/>
  <c r="B25687" i="1"/>
  <c r="C25687" i="1"/>
  <c r="A2332" i="1"/>
  <c r="B2332" i="1"/>
  <c r="C2332" i="1"/>
  <c r="A9749" i="1"/>
  <c r="B9749" i="1"/>
  <c r="C9749" i="1"/>
  <c r="A19396" i="1"/>
  <c r="B19396" i="1"/>
  <c r="C19396" i="1"/>
  <c r="A16291" i="1"/>
  <c r="B16291" i="1"/>
  <c r="C16291" i="1"/>
  <c r="A16294" i="1"/>
  <c r="B16294" i="1"/>
  <c r="C16294" i="1"/>
  <c r="A13674" i="1"/>
  <c r="B13674" i="1"/>
  <c r="C13674" i="1"/>
  <c r="A19709" i="1"/>
  <c r="B19709" i="1"/>
  <c r="C19709" i="1"/>
  <c r="A11941" i="1"/>
  <c r="B11941" i="1"/>
  <c r="C11941" i="1"/>
  <c r="A22783" i="1"/>
  <c r="B22783" i="1"/>
  <c r="C22783" i="1"/>
  <c r="A22784" i="1"/>
  <c r="B22784" i="1"/>
  <c r="C22784" i="1"/>
  <c r="A22785" i="1"/>
  <c r="B22785" i="1"/>
  <c r="C22785" i="1"/>
  <c r="A2687" i="1"/>
  <c r="B2687" i="1"/>
  <c r="C2687" i="1"/>
  <c r="A14167" i="1"/>
  <c r="B14167" i="1"/>
  <c r="C14167" i="1"/>
  <c r="A5701" i="1"/>
  <c r="B5701" i="1"/>
  <c r="C5701" i="1"/>
  <c r="A11602" i="1"/>
  <c r="B11602" i="1"/>
  <c r="C11602" i="1"/>
  <c r="A17555" i="1"/>
  <c r="B17555" i="1"/>
  <c r="C17555" i="1"/>
  <c r="A15535" i="1"/>
  <c r="B15535" i="1"/>
  <c r="C15535" i="1"/>
  <c r="A8875" i="1"/>
  <c r="B8875" i="1"/>
  <c r="C8875" i="1"/>
  <c r="A10024" i="1"/>
  <c r="B10024" i="1"/>
  <c r="C10024" i="1"/>
  <c r="A1674" i="1"/>
  <c r="B1674" i="1"/>
  <c r="C1674" i="1"/>
  <c r="A22662" i="1"/>
  <c r="B22662" i="1"/>
  <c r="C22662" i="1"/>
  <c r="A9173" i="1"/>
  <c r="B9173" i="1"/>
  <c r="C9173" i="1"/>
  <c r="A20974" i="1"/>
  <c r="B20974" i="1"/>
  <c r="C20974" i="1"/>
  <c r="A22143" i="1"/>
  <c r="B22143" i="1"/>
  <c r="C22143" i="1"/>
  <c r="A23108" i="1"/>
  <c r="B23108" i="1"/>
  <c r="C23108" i="1"/>
  <c r="A6583" i="1"/>
  <c r="B6583" i="1"/>
  <c r="C6583" i="1"/>
  <c r="A19821" i="1"/>
  <c r="B19821" i="1"/>
  <c r="C19821" i="1"/>
  <c r="A25666" i="1"/>
  <c r="B25666" i="1"/>
  <c r="C25666" i="1"/>
  <c r="A10206" i="1"/>
  <c r="B10206" i="1"/>
  <c r="C10206" i="1"/>
  <c r="A11785" i="1"/>
  <c r="B11785" i="1"/>
  <c r="C11785" i="1"/>
  <c r="A6480" i="1"/>
  <c r="B6480" i="1"/>
  <c r="C6480" i="1"/>
  <c r="A9354" i="1"/>
  <c r="B9354" i="1"/>
  <c r="C9354" i="1"/>
  <c r="A16641" i="1"/>
  <c r="B16641" i="1"/>
  <c r="C16641" i="1"/>
  <c r="A17525" i="1"/>
  <c r="B17525" i="1"/>
  <c r="C17525" i="1"/>
  <c r="A23033" i="1"/>
  <c r="B23033" i="1"/>
  <c r="C23033" i="1"/>
  <c r="A13820" i="1"/>
  <c r="B13820" i="1"/>
  <c r="C13820" i="1"/>
  <c r="A16646" i="1"/>
  <c r="B16646" i="1"/>
  <c r="C16646" i="1"/>
  <c r="A25549" i="1"/>
  <c r="B25549" i="1"/>
  <c r="C25549" i="1"/>
  <c r="A13680" i="1"/>
  <c r="B13680" i="1"/>
  <c r="C13680" i="1"/>
  <c r="A10866" i="1"/>
  <c r="B10866" i="1"/>
  <c r="C10866" i="1"/>
  <c r="A10816" i="1"/>
  <c r="B10816" i="1"/>
  <c r="C10816" i="1"/>
  <c r="A16926" i="1"/>
  <c r="B16926" i="1"/>
  <c r="C16926" i="1"/>
  <c r="A6941" i="1"/>
  <c r="B6941" i="1"/>
  <c r="C6941" i="1"/>
  <c r="A6652" i="1"/>
  <c r="B6652" i="1"/>
  <c r="C6652" i="1"/>
  <c r="A5549" i="1"/>
  <c r="B5549" i="1"/>
  <c r="C5549" i="1"/>
  <c r="A24046" i="1"/>
  <c r="B24046" i="1"/>
  <c r="C24046" i="1"/>
  <c r="A12133" i="1"/>
  <c r="B12133" i="1"/>
  <c r="C12133" i="1"/>
  <c r="A658" i="1"/>
  <c r="B658" i="1"/>
  <c r="C658" i="1"/>
  <c r="A5745" i="1"/>
  <c r="B5745" i="1"/>
  <c r="C5745" i="1"/>
  <c r="A402" i="1"/>
  <c r="B402" i="1"/>
  <c r="C402" i="1"/>
  <c r="A19377" i="1"/>
  <c r="B19377" i="1"/>
  <c r="C19377" i="1"/>
  <c r="A6810" i="1"/>
  <c r="B6810" i="1"/>
  <c r="C6810" i="1"/>
  <c r="A16208" i="1"/>
  <c r="B16208" i="1"/>
  <c r="C16208" i="1"/>
  <c r="A11411" i="1"/>
  <c r="B11411" i="1"/>
  <c r="C11411" i="1"/>
  <c r="A11954" i="1"/>
  <c r="B11954" i="1"/>
  <c r="C11954" i="1"/>
  <c r="A15865" i="1"/>
  <c r="B15865" i="1"/>
  <c r="C15865" i="1"/>
  <c r="A2693" i="1"/>
  <c r="B2693" i="1"/>
  <c r="C2693" i="1"/>
  <c r="A15900" i="1"/>
  <c r="B15900" i="1"/>
  <c r="C15900" i="1"/>
  <c r="A11087" i="1"/>
  <c r="B11087" i="1"/>
  <c r="C11087" i="1"/>
  <c r="A7485" i="1"/>
  <c r="B7485" i="1"/>
  <c r="C7485" i="1"/>
  <c r="A8363" i="1"/>
  <c r="B8363" i="1"/>
  <c r="C8363" i="1"/>
  <c r="A15719" i="1"/>
  <c r="B15719" i="1"/>
  <c r="C15719" i="1"/>
  <c r="A15919" i="1"/>
  <c r="B15919" i="1"/>
  <c r="C15919" i="1"/>
  <c r="A15921" i="1"/>
  <c r="B15921" i="1"/>
  <c r="C15921" i="1"/>
  <c r="A23622" i="1"/>
  <c r="B23622" i="1"/>
  <c r="C23622" i="1"/>
  <c r="A15917" i="1"/>
  <c r="B15917" i="1"/>
  <c r="C15917" i="1"/>
  <c r="A15923" i="1"/>
  <c r="B15923" i="1"/>
  <c r="C15923" i="1"/>
  <c r="A15916" i="1"/>
  <c r="B15916" i="1"/>
  <c r="C15916" i="1"/>
  <c r="A15922" i="1"/>
  <c r="B15922" i="1"/>
  <c r="C15922" i="1"/>
  <c r="A14384" i="1"/>
  <c r="B14384" i="1"/>
  <c r="C14384" i="1"/>
  <c r="A4067" i="1"/>
  <c r="B4067" i="1"/>
  <c r="C4067" i="1"/>
  <c r="A15787" i="1"/>
  <c r="B15787" i="1"/>
  <c r="C15787" i="1"/>
  <c r="A15423" i="1"/>
  <c r="B15423" i="1"/>
  <c r="C15423" i="1"/>
  <c r="A15424" i="1"/>
  <c r="B15424" i="1"/>
  <c r="C15424" i="1"/>
  <c r="A7247" i="1"/>
  <c r="B7247" i="1"/>
  <c r="C7247" i="1"/>
  <c r="A22675" i="1"/>
  <c r="B22675" i="1"/>
  <c r="C22675" i="1"/>
  <c r="A12245" i="1"/>
  <c r="B12245" i="1"/>
  <c r="C12245" i="1"/>
  <c r="A15419" i="1"/>
  <c r="B15419" i="1"/>
  <c r="C15419" i="1"/>
  <c r="A18864" i="1"/>
  <c r="B18864" i="1"/>
  <c r="C18864" i="1"/>
  <c r="A24406" i="1"/>
  <c r="B24406" i="1"/>
  <c r="C24406" i="1"/>
  <c r="A23627" i="1"/>
  <c r="B23627" i="1"/>
  <c r="C23627" i="1"/>
  <c r="A5216" i="1"/>
  <c r="B5216" i="1"/>
  <c r="C5216" i="1"/>
  <c r="A24276" i="1"/>
  <c r="C24276" i="1"/>
  <c r="A11559" i="1"/>
  <c r="B11559" i="1"/>
  <c r="C11559" i="1"/>
  <c r="A3196" i="1"/>
  <c r="B3196" i="1"/>
  <c r="C3196" i="1"/>
  <c r="A10583" i="1"/>
  <c r="B10583" i="1"/>
  <c r="C10583" i="1"/>
  <c r="A6984" i="1"/>
  <c r="B6984" i="1"/>
  <c r="C6984" i="1"/>
  <c r="A9502" i="1"/>
  <c r="B9502" i="1"/>
  <c r="C9502" i="1"/>
  <c r="A17561" i="1"/>
  <c r="B17561" i="1"/>
  <c r="C17561" i="1"/>
  <c r="A9040" i="1"/>
  <c r="B9040" i="1"/>
  <c r="C9040" i="1"/>
  <c r="A2215" i="1"/>
  <c r="B2215" i="1"/>
  <c r="C2215" i="1"/>
  <c r="A11801" i="1"/>
  <c r="B11801" i="1"/>
  <c r="C11801" i="1"/>
  <c r="A6276" i="1"/>
  <c r="B6276" i="1"/>
  <c r="C6276" i="1"/>
  <c r="A9168" i="1"/>
  <c r="B9168" i="1"/>
  <c r="C9168" i="1"/>
  <c r="A266" i="1"/>
  <c r="B266" i="1"/>
  <c r="C266" i="1"/>
  <c r="A15322" i="1"/>
  <c r="B15322" i="1"/>
  <c r="C15322" i="1"/>
  <c r="A223" i="1"/>
  <c r="B223" i="1"/>
  <c r="C223" i="1"/>
  <c r="A9445" i="1"/>
  <c r="B9445" i="1"/>
  <c r="C9445" i="1"/>
  <c r="A9190" i="1"/>
  <c r="B9190" i="1"/>
  <c r="C9190" i="1"/>
  <c r="A1970" i="1"/>
  <c r="B1970" i="1"/>
  <c r="C1970" i="1"/>
  <c r="A19877" i="1"/>
  <c r="B19877" i="1"/>
  <c r="C19877" i="1"/>
  <c r="A4290" i="1"/>
  <c r="B4290" i="1"/>
  <c r="C4290" i="1"/>
  <c r="A24564" i="1"/>
  <c r="B24564" i="1"/>
  <c r="C24564" i="1"/>
  <c r="A14267" i="1"/>
  <c r="B14267" i="1"/>
  <c r="C14267" i="1"/>
  <c r="A14255" i="1"/>
  <c r="B14255" i="1"/>
  <c r="C14255" i="1"/>
  <c r="A21514" i="1"/>
  <c r="B21514" i="1"/>
  <c r="C21514" i="1"/>
  <c r="A16513" i="1"/>
  <c r="B16513" i="1"/>
  <c r="C16513" i="1"/>
  <c r="A12554" i="1"/>
  <c r="B12554" i="1"/>
  <c r="C12554" i="1"/>
  <c r="A22331" i="1"/>
  <c r="B22331" i="1"/>
  <c r="C22331" i="1"/>
  <c r="A22365" i="1"/>
  <c r="B22365" i="1"/>
  <c r="C22365" i="1"/>
  <c r="A8431" i="1"/>
  <c r="B8431" i="1"/>
  <c r="C8431" i="1"/>
  <c r="A556" i="1"/>
  <c r="B556" i="1"/>
  <c r="C556" i="1"/>
  <c r="A11352" i="1"/>
  <c r="B11352" i="1"/>
  <c r="C11352" i="1"/>
  <c r="A20161" i="1"/>
  <c r="B20161" i="1"/>
  <c r="C20161" i="1"/>
  <c r="A1276" i="1"/>
  <c r="B1276" i="1"/>
  <c r="C1276" i="1"/>
  <c r="A1778" i="1"/>
  <c r="B1778" i="1"/>
  <c r="C1778" i="1"/>
  <c r="A6609" i="1"/>
  <c r="B6609" i="1"/>
  <c r="C6609" i="1"/>
  <c r="A1844" i="1"/>
  <c r="B1844" i="1"/>
  <c r="C1844" i="1"/>
  <c r="A16968" i="1"/>
  <c r="B16968" i="1"/>
  <c r="C16968" i="1"/>
  <c r="A22132" i="1"/>
  <c r="B22132" i="1"/>
  <c r="C22132" i="1"/>
  <c r="A468" i="1"/>
  <c r="B468" i="1"/>
  <c r="C468" i="1"/>
  <c r="A14407" i="1"/>
  <c r="B14407" i="1"/>
  <c r="C14407" i="1"/>
  <c r="A22134" i="1"/>
  <c r="B22134" i="1"/>
  <c r="C22134" i="1"/>
  <c r="A16921" i="1"/>
  <c r="B16921" i="1"/>
  <c r="C16921" i="1"/>
  <c r="A25567" i="1"/>
  <c r="B25567" i="1"/>
  <c r="C25567" i="1"/>
  <c r="A10497" i="1"/>
  <c r="B10497" i="1"/>
  <c r="C10497" i="1"/>
  <c r="A9849" i="1"/>
  <c r="B9849" i="1"/>
  <c r="C9849" i="1"/>
  <c r="A18286" i="1"/>
  <c r="B18286" i="1"/>
  <c r="C18286" i="1"/>
  <c r="A20635" i="1"/>
  <c r="B20635" i="1"/>
  <c r="C20635" i="1"/>
  <c r="A12140" i="1"/>
  <c r="B12140" i="1"/>
  <c r="C12140" i="1"/>
  <c r="A15486" i="1"/>
  <c r="B15486" i="1"/>
  <c r="C15486" i="1"/>
  <c r="A286" i="1"/>
  <c r="B286" i="1"/>
  <c r="C286" i="1"/>
  <c r="A10962" i="1"/>
  <c r="B10962" i="1"/>
  <c r="C10962" i="1"/>
  <c r="A5230" i="1"/>
  <c r="B5230" i="1"/>
  <c r="C5230" i="1"/>
  <c r="A6777" i="1"/>
  <c r="B6777" i="1"/>
  <c r="C6777" i="1"/>
  <c r="A15766" i="1"/>
  <c r="B15766" i="1"/>
  <c r="C15766" i="1"/>
  <c r="A9555" i="1"/>
  <c r="B9555" i="1"/>
  <c r="C9555" i="1"/>
  <c r="A1847" i="1"/>
  <c r="B1847" i="1"/>
  <c r="C1847" i="1"/>
  <c r="A19374" i="1"/>
  <c r="B19374" i="1"/>
  <c r="C19374" i="1"/>
  <c r="A2525" i="1"/>
  <c r="B2525" i="1"/>
  <c r="C2525" i="1"/>
  <c r="A18564" i="1"/>
  <c r="B18564" i="1"/>
  <c r="C18564" i="1"/>
  <c r="A5645" i="1"/>
  <c r="B5645" i="1"/>
  <c r="C5645" i="1"/>
  <c r="A21465" i="1"/>
  <c r="B21465" i="1"/>
  <c r="C21465" i="1"/>
  <c r="A17669" i="1"/>
  <c r="B17669" i="1"/>
  <c r="C17669" i="1"/>
  <c r="A23103" i="1"/>
  <c r="B23103" i="1"/>
  <c r="C23103" i="1"/>
  <c r="A9239" i="1"/>
  <c r="B9239" i="1"/>
  <c r="C9239" i="1"/>
  <c r="A17629" i="1"/>
  <c r="B17629" i="1"/>
  <c r="C17629" i="1"/>
  <c r="A15703" i="1"/>
  <c r="B15703" i="1"/>
  <c r="C15703" i="1"/>
  <c r="A16865" i="1"/>
  <c r="B16865" i="1"/>
  <c r="C16865" i="1"/>
  <c r="A13491" i="1"/>
  <c r="B13491" i="1"/>
  <c r="C13491" i="1"/>
  <c r="A9242" i="1"/>
  <c r="B9242" i="1"/>
  <c r="C9242" i="1"/>
  <c r="A18790" i="1"/>
  <c r="B18790" i="1"/>
  <c r="C18790" i="1"/>
  <c r="A9241" i="1"/>
  <c r="B9241" i="1"/>
  <c r="C9241" i="1"/>
  <c r="A12321" i="1"/>
  <c r="B12321" i="1"/>
  <c r="C12321" i="1"/>
  <c r="A5643" i="1"/>
  <c r="B5643" i="1"/>
  <c r="C5643" i="1"/>
  <c r="A25719" i="1"/>
  <c r="B25719" i="1"/>
  <c r="C25719" i="1"/>
  <c r="A8747" i="1"/>
  <c r="B8747" i="1"/>
  <c r="C8747" i="1"/>
  <c r="A22901" i="1"/>
  <c r="B22901" i="1"/>
  <c r="C22901" i="1"/>
  <c r="A24881" i="1"/>
  <c r="B24881" i="1"/>
  <c r="C24881" i="1"/>
  <c r="A22659" i="1"/>
  <c r="B22659" i="1"/>
  <c r="C22659" i="1"/>
  <c r="A18897" i="1"/>
  <c r="B18897" i="1"/>
  <c r="C18897" i="1"/>
  <c r="A2750" i="1"/>
  <c r="B2750" i="1"/>
  <c r="C2750" i="1"/>
  <c r="A5966" i="1"/>
  <c r="B5966" i="1"/>
  <c r="C5966" i="1"/>
  <c r="A5970" i="1"/>
  <c r="B5970" i="1"/>
  <c r="C5970" i="1"/>
  <c r="A5978" i="1"/>
  <c r="B5978" i="1"/>
  <c r="C5978" i="1"/>
  <c r="A6904" i="1"/>
  <c r="B6904" i="1"/>
  <c r="C6904" i="1"/>
  <c r="A14086" i="1"/>
  <c r="B14086" i="1"/>
  <c r="C14086" i="1"/>
  <c r="A19149" i="1"/>
  <c r="B19149" i="1"/>
  <c r="C19149" i="1"/>
  <c r="A10724" i="1"/>
  <c r="B10724" i="1"/>
  <c r="C10724" i="1"/>
  <c r="A4810" i="1"/>
  <c r="B4810" i="1"/>
  <c r="C4810" i="1"/>
  <c r="A5611" i="1"/>
  <c r="B5611" i="1"/>
  <c r="C5611" i="1"/>
  <c r="A6618" i="1"/>
  <c r="B6618" i="1"/>
  <c r="C6618" i="1"/>
  <c r="A23008" i="1"/>
  <c r="B23008" i="1"/>
  <c r="C23008" i="1"/>
  <c r="A23079" i="1"/>
  <c r="B23079" i="1"/>
  <c r="C23079" i="1"/>
  <c r="A22396" i="1"/>
  <c r="B22396" i="1"/>
  <c r="C22396" i="1"/>
  <c r="A14788" i="1"/>
  <c r="B14788" i="1"/>
  <c r="C14788" i="1"/>
  <c r="A1308" i="1"/>
  <c r="B1308" i="1"/>
  <c r="C1308" i="1"/>
  <c r="A18901" i="1"/>
  <c r="B18901" i="1"/>
  <c r="C18901" i="1"/>
  <c r="A2348" i="1"/>
  <c r="B2348" i="1"/>
  <c r="C2348" i="1"/>
  <c r="A14278" i="1"/>
  <c r="B14278" i="1"/>
  <c r="C14278" i="1"/>
  <c r="A19371" i="1"/>
  <c r="B19371" i="1"/>
  <c r="C19371" i="1"/>
  <c r="A11655" i="1"/>
  <c r="B11655" i="1"/>
  <c r="C11655" i="1"/>
  <c r="A16743" i="1"/>
  <c r="B16743" i="1"/>
  <c r="C16743" i="1"/>
  <c r="A6456" i="1"/>
  <c r="B6456" i="1"/>
  <c r="C6456" i="1"/>
  <c r="A8836" i="1"/>
  <c r="B8836" i="1"/>
  <c r="C8836" i="1"/>
  <c r="A17955" i="1"/>
  <c r="B17955" i="1"/>
  <c r="C17955" i="1"/>
  <c r="A6462" i="1"/>
  <c r="B6462" i="1"/>
  <c r="C6462" i="1"/>
  <c r="A13184" i="1"/>
  <c r="B13184" i="1"/>
  <c r="C13184" i="1"/>
  <c r="A6466" i="1"/>
  <c r="B6466" i="1"/>
  <c r="C6466" i="1"/>
  <c r="A11248" i="1"/>
  <c r="B11248" i="1"/>
  <c r="C11248" i="1"/>
  <c r="A10745" i="1"/>
  <c r="B10745" i="1"/>
  <c r="C10745" i="1"/>
  <c r="A11313" i="1"/>
  <c r="B11313" i="1"/>
  <c r="C11313" i="1"/>
  <c r="A12138" i="1"/>
  <c r="B12138" i="1"/>
  <c r="C12138" i="1"/>
  <c r="A15347" i="1"/>
  <c r="B15347" i="1"/>
  <c r="C15347" i="1"/>
  <c r="A16583" i="1"/>
  <c r="B16583" i="1"/>
  <c r="C16583" i="1"/>
  <c r="A1637" i="1"/>
  <c r="B1637" i="1"/>
  <c r="C1637" i="1"/>
  <c r="A17029" i="1"/>
  <c r="B17029" i="1"/>
  <c r="C17029" i="1"/>
  <c r="A15386" i="1"/>
  <c r="B15386" i="1"/>
  <c r="C15386" i="1"/>
  <c r="A10167" i="1"/>
  <c r="B10167" i="1"/>
  <c r="C10167" i="1"/>
  <c r="A22313" i="1"/>
  <c r="B22313" i="1"/>
  <c r="C22313" i="1"/>
  <c r="A19848" i="1"/>
  <c r="B19848" i="1"/>
  <c r="C19848" i="1"/>
  <c r="A4093" i="1"/>
  <c r="B4093" i="1"/>
  <c r="C4093" i="1"/>
  <c r="A2766" i="1"/>
  <c r="B2766" i="1"/>
  <c r="C2766" i="1"/>
  <c r="A15786" i="1"/>
  <c r="B15786" i="1"/>
  <c r="C15786" i="1"/>
  <c r="A12239" i="1"/>
  <c r="B12239" i="1"/>
  <c r="C12239" i="1"/>
  <c r="A15934" i="1"/>
  <c r="B15934" i="1"/>
  <c r="C15934" i="1"/>
  <c r="A8253" i="1"/>
  <c r="B8253" i="1"/>
  <c r="C8253" i="1"/>
  <c r="A5539" i="1"/>
  <c r="B5539" i="1"/>
  <c r="C5539" i="1"/>
  <c r="A15643" i="1"/>
  <c r="B15643" i="1"/>
  <c r="C15643" i="1"/>
  <c r="A1730" i="1"/>
  <c r="B1730" i="1"/>
  <c r="C1730" i="1"/>
  <c r="A7524" i="1"/>
  <c r="B7524" i="1"/>
  <c r="C7524" i="1"/>
  <c r="A2250" i="1"/>
  <c r="B2250" i="1"/>
  <c r="C2250" i="1"/>
  <c r="A18769" i="1"/>
  <c r="B18769" i="1"/>
  <c r="C18769" i="1"/>
  <c r="A9349" i="1"/>
  <c r="B9349" i="1"/>
  <c r="C9349" i="1"/>
  <c r="A1325" i="1"/>
  <c r="B1325" i="1"/>
  <c r="C1325" i="1"/>
  <c r="A7710" i="1"/>
  <c r="B7710" i="1"/>
  <c r="C7710" i="1"/>
  <c r="A14342" i="1"/>
  <c r="B14342" i="1"/>
  <c r="C14342" i="1"/>
  <c r="A2253" i="1"/>
  <c r="B2253" i="1"/>
  <c r="C2253" i="1"/>
  <c r="A7015" i="1"/>
  <c r="B7015" i="1"/>
  <c r="C7015" i="1"/>
  <c r="A7013" i="1"/>
  <c r="B7013" i="1"/>
  <c r="C7013" i="1"/>
  <c r="A7014" i="1"/>
  <c r="B7014" i="1"/>
  <c r="C7014" i="1"/>
  <c r="A7012" i="1"/>
  <c r="B7012" i="1"/>
  <c r="C7012" i="1"/>
  <c r="A12081" i="1"/>
  <c r="B12081" i="1"/>
  <c r="C12081" i="1"/>
  <c r="A12083" i="1"/>
  <c r="B12083" i="1"/>
  <c r="C12083" i="1"/>
  <c r="A12082" i="1"/>
  <c r="B12082" i="1"/>
  <c r="C12082" i="1"/>
  <c r="A23025" i="1"/>
  <c r="B23025" i="1"/>
  <c r="C23025" i="1"/>
  <c r="A22478" i="1"/>
  <c r="B22478" i="1"/>
  <c r="C22478" i="1"/>
  <c r="A6492" i="1"/>
  <c r="B6492" i="1"/>
  <c r="C6492" i="1"/>
  <c r="A17522" i="1"/>
  <c r="B17522" i="1"/>
  <c r="C17522" i="1"/>
  <c r="A17699" i="1"/>
  <c r="B17699" i="1"/>
  <c r="C17699" i="1"/>
  <c r="A19489" i="1"/>
  <c r="B19489" i="1"/>
  <c r="C19489" i="1"/>
  <c r="A15833" i="1"/>
  <c r="B15833" i="1"/>
  <c r="C15833" i="1"/>
  <c r="A23075" i="1"/>
  <c r="B23075" i="1"/>
  <c r="C23075" i="1"/>
  <c r="A24201" i="1"/>
  <c r="B24201" i="1"/>
  <c r="C24201" i="1"/>
  <c r="A1745" i="1"/>
  <c r="B1745" i="1"/>
  <c r="C1745" i="1"/>
  <c r="A15784" i="1"/>
  <c r="B15784" i="1"/>
  <c r="C15784" i="1"/>
  <c r="A11431" i="1"/>
  <c r="B11431" i="1"/>
  <c r="C11431" i="1"/>
  <c r="A25058" i="1"/>
  <c r="B25058" i="1"/>
  <c r="C25058" i="1"/>
  <c r="A24159" i="1"/>
  <c r="B24159" i="1"/>
  <c r="C24159" i="1"/>
  <c r="A6803" i="1"/>
  <c r="B6803" i="1"/>
  <c r="C6803" i="1"/>
  <c r="A22645" i="1"/>
  <c r="B22645" i="1"/>
  <c r="C22645" i="1"/>
  <c r="A12560" i="1"/>
  <c r="B12560" i="1"/>
  <c r="C12560" i="1"/>
  <c r="A6776" i="1"/>
  <c r="B6776" i="1"/>
  <c r="C6776" i="1"/>
  <c r="A15402" i="1"/>
  <c r="B15402" i="1"/>
  <c r="C15402" i="1"/>
  <c r="A1823" i="1"/>
  <c r="B1823" i="1"/>
  <c r="C1823" i="1"/>
  <c r="A14794" i="1"/>
  <c r="B14794" i="1"/>
  <c r="C14794" i="1"/>
  <c r="A17695" i="1"/>
  <c r="B17695" i="1"/>
  <c r="C17695" i="1"/>
  <c r="A2256" i="1"/>
  <c r="B2256" i="1"/>
  <c r="C2256" i="1"/>
  <c r="A16538" i="1"/>
  <c r="B16538" i="1"/>
  <c r="C16538" i="1"/>
  <c r="A2842" i="1"/>
  <c r="B2842" i="1"/>
  <c r="C2842" i="1"/>
  <c r="A398" i="1"/>
  <c r="B398" i="1"/>
  <c r="C398" i="1"/>
  <c r="A15706" i="1"/>
  <c r="B15706" i="1"/>
  <c r="C15706" i="1"/>
  <c r="A7815" i="1"/>
  <c r="B7815" i="1"/>
  <c r="C7815" i="1"/>
  <c r="A24193" i="1"/>
  <c r="B24193" i="1"/>
  <c r="C24193" i="1"/>
  <c r="A12104" i="1"/>
  <c r="B12104" i="1"/>
  <c r="C12104" i="1"/>
  <c r="A16964" i="1"/>
  <c r="B16964" i="1"/>
  <c r="C16964" i="1"/>
  <c r="A16200" i="1"/>
  <c r="B16200" i="1"/>
  <c r="C16200" i="1"/>
  <c r="A6469" i="1"/>
  <c r="B6469" i="1"/>
  <c r="C6469" i="1"/>
  <c r="A687" i="1"/>
  <c r="B687" i="1"/>
  <c r="C687" i="1"/>
  <c r="A5830" i="1"/>
  <c r="B5830" i="1"/>
  <c r="C5830" i="1"/>
  <c r="A11898" i="1"/>
  <c r="B11898" i="1"/>
  <c r="C11898" i="1"/>
  <c r="A11165" i="1"/>
  <c r="B11165" i="1"/>
  <c r="C11165" i="1"/>
  <c r="A5764" i="1"/>
  <c r="B5764" i="1"/>
  <c r="C5764" i="1"/>
  <c r="A20150" i="1"/>
  <c r="B20150" i="1"/>
  <c r="C20150" i="1"/>
  <c r="A10949" i="1"/>
  <c r="B10949" i="1"/>
  <c r="C10949" i="1"/>
  <c r="A2287" i="1"/>
  <c r="B2287" i="1"/>
  <c r="C2287" i="1"/>
  <c r="A18602" i="1"/>
  <c r="B18602" i="1"/>
  <c r="C18602" i="1"/>
  <c r="A7368" i="1"/>
  <c r="B7368" i="1"/>
  <c r="C7368" i="1"/>
  <c r="A12317" i="1"/>
  <c r="B12317" i="1"/>
  <c r="C12317" i="1"/>
  <c r="A9238" i="1"/>
  <c r="B9238" i="1"/>
  <c r="C9238" i="1"/>
  <c r="A9237" i="1"/>
  <c r="B9237" i="1"/>
  <c r="C9237" i="1"/>
  <c r="A9991" i="1"/>
  <c r="B9991" i="1"/>
  <c r="C9991" i="1"/>
  <c r="A19660" i="1"/>
  <c r="C19660" i="1"/>
  <c r="A16636" i="1"/>
  <c r="B16636" i="1"/>
  <c r="C16636" i="1"/>
  <c r="A18391" i="1"/>
  <c r="B18391" i="1"/>
  <c r="C18391" i="1"/>
  <c r="A1430" i="1"/>
  <c r="B1430" i="1"/>
  <c r="C1430" i="1"/>
  <c r="A4815" i="1"/>
  <c r="B4815" i="1"/>
  <c r="C4815" i="1"/>
  <c r="A16179" i="1"/>
  <c r="B16179" i="1"/>
  <c r="C16179" i="1"/>
  <c r="A22318" i="1"/>
  <c r="B22318" i="1"/>
  <c r="C22318" i="1"/>
  <c r="A14200" i="1"/>
  <c r="B14200" i="1"/>
  <c r="C14200" i="1"/>
  <c r="A18311" i="1"/>
  <c r="B18311" i="1"/>
  <c r="C18311" i="1"/>
  <c r="A5231" i="1"/>
  <c r="B5231" i="1"/>
  <c r="C5231" i="1"/>
  <c r="A14884" i="1"/>
  <c r="B14884" i="1"/>
  <c r="C14884" i="1"/>
  <c r="A24105" i="1"/>
  <c r="B24105" i="1"/>
  <c r="C24105" i="1"/>
  <c r="A2850" i="1"/>
  <c r="B2850" i="1"/>
  <c r="C2850" i="1"/>
  <c r="A12436" i="1"/>
  <c r="B12436" i="1"/>
  <c r="C12436" i="1"/>
  <c r="A3375" i="1"/>
  <c r="B3375" i="1"/>
  <c r="C3375" i="1"/>
  <c r="A3667" i="1"/>
  <c r="B3667" i="1"/>
  <c r="C3667" i="1"/>
  <c r="A9351" i="1"/>
  <c r="B9351" i="1"/>
  <c r="C9351" i="1"/>
  <c r="A18306" i="1"/>
  <c r="B18306" i="1"/>
  <c r="C18306" i="1"/>
  <c r="A9307" i="1"/>
  <c r="B9307" i="1"/>
  <c r="C9307" i="1"/>
  <c r="A24321" i="1"/>
  <c r="B24321" i="1"/>
  <c r="C24321" i="1"/>
  <c r="A16989" i="1"/>
  <c r="B16989" i="1"/>
  <c r="C16989" i="1"/>
  <c r="A19385" i="1"/>
  <c r="B19385" i="1"/>
  <c r="C19385" i="1"/>
  <c r="A12758" i="1"/>
  <c r="B12758" i="1"/>
  <c r="C12758" i="1"/>
  <c r="A19147" i="1"/>
  <c r="B19147" i="1"/>
  <c r="C19147" i="1"/>
  <c r="A5585" i="1"/>
  <c r="B5585" i="1"/>
  <c r="C5585" i="1"/>
  <c r="A5183" i="1"/>
  <c r="B5183" i="1"/>
  <c r="C5183" i="1"/>
  <c r="A8774" i="1"/>
  <c r="B8774" i="1"/>
  <c r="C8774" i="1"/>
  <c r="A8771" i="1"/>
  <c r="B8771" i="1"/>
  <c r="C8771" i="1"/>
  <c r="A8769" i="1"/>
  <c r="B8769" i="1"/>
  <c r="C8769" i="1"/>
  <c r="A22168" i="1"/>
  <c r="B22168" i="1"/>
  <c r="C22168" i="1"/>
  <c r="A13957" i="1"/>
  <c r="B13957" i="1"/>
  <c r="C13957" i="1"/>
  <c r="A8818" i="1"/>
  <c r="B8818" i="1"/>
  <c r="C8818" i="1"/>
  <c r="A23155" i="1"/>
  <c r="B23155" i="1"/>
  <c r="C23155" i="1"/>
  <c r="A16337" i="1"/>
  <c r="B16337" i="1"/>
  <c r="C16337" i="1"/>
  <c r="A22020" i="1"/>
  <c r="B22020" i="1"/>
  <c r="C22020" i="1"/>
  <c r="A14094" i="1"/>
  <c r="B14094" i="1"/>
  <c r="C14094" i="1"/>
  <c r="A13478" i="1"/>
  <c r="B13478" i="1"/>
  <c r="C13478" i="1"/>
  <c r="A24123" i="1"/>
  <c r="B24123" i="1"/>
  <c r="C24123" i="1"/>
  <c r="A10808" i="1"/>
  <c r="B10808" i="1"/>
  <c r="C10808" i="1"/>
  <c r="A6160" i="1"/>
  <c r="B6160" i="1"/>
  <c r="C6160" i="1"/>
  <c r="A6167" i="1"/>
  <c r="B6167" i="1"/>
  <c r="C6167" i="1"/>
  <c r="A6169" i="1"/>
  <c r="B6169" i="1"/>
  <c r="C6169" i="1"/>
  <c r="A6170" i="1"/>
  <c r="B6170" i="1"/>
  <c r="C6170" i="1"/>
  <c r="A6172" i="1"/>
  <c r="B6172" i="1"/>
  <c r="C6172" i="1"/>
  <c r="A6173" i="1"/>
  <c r="B6173" i="1"/>
  <c r="C6173" i="1"/>
  <c r="A6174" i="1"/>
  <c r="B6174" i="1"/>
  <c r="C6174" i="1"/>
  <c r="A6176" i="1"/>
  <c r="B6176" i="1"/>
  <c r="C6176" i="1"/>
  <c r="A6178" i="1"/>
  <c r="B6178" i="1"/>
  <c r="C6178" i="1"/>
  <c r="A17109" i="1"/>
  <c r="B17109" i="1"/>
  <c r="C17109" i="1"/>
  <c r="A17108" i="1"/>
  <c r="B17108" i="1"/>
  <c r="C17108" i="1"/>
  <c r="A4345" i="1"/>
  <c r="B4345" i="1"/>
  <c r="C4345" i="1"/>
  <c r="A237" i="1"/>
  <c r="B237" i="1"/>
  <c r="C237" i="1"/>
  <c r="A14543" i="1"/>
  <c r="B14543" i="1"/>
  <c r="C14543" i="1"/>
  <c r="A19438" i="1"/>
  <c r="B19438" i="1"/>
  <c r="C19438" i="1"/>
  <c r="A18829" i="1"/>
  <c r="B18829" i="1"/>
  <c r="C18829" i="1"/>
  <c r="A18830" i="1"/>
  <c r="B18830" i="1"/>
  <c r="C18830" i="1"/>
  <c r="A18831" i="1"/>
  <c r="B18831" i="1"/>
  <c r="C18831" i="1"/>
  <c r="A1184" i="1"/>
  <c r="B1184" i="1"/>
  <c r="C1184" i="1"/>
  <c r="A12241" i="1"/>
  <c r="B12241" i="1"/>
  <c r="C12241" i="1"/>
  <c r="A1780" i="1"/>
  <c r="B1780" i="1"/>
  <c r="C1780" i="1"/>
  <c r="A12226" i="1"/>
  <c r="B12226" i="1"/>
  <c r="C12226" i="1"/>
  <c r="A6166" i="1"/>
  <c r="B6166" i="1"/>
  <c r="C6166" i="1"/>
  <c r="A6159" i="1"/>
  <c r="B6159" i="1"/>
  <c r="C6159" i="1"/>
  <c r="A6193" i="1"/>
  <c r="B6193" i="1"/>
  <c r="C6193" i="1"/>
  <c r="A6165" i="1"/>
  <c r="B6165" i="1"/>
  <c r="C6165" i="1"/>
  <c r="A6196" i="1"/>
  <c r="B6196" i="1"/>
  <c r="C6196" i="1"/>
  <c r="A6175" i="1"/>
  <c r="B6175" i="1"/>
  <c r="C6175" i="1"/>
  <c r="A6168" i="1"/>
  <c r="B6168" i="1"/>
  <c r="C6168" i="1"/>
  <c r="A6171" i="1"/>
  <c r="B6171" i="1"/>
  <c r="C6171" i="1"/>
  <c r="A6181" i="1"/>
  <c r="B6181" i="1"/>
  <c r="C6181" i="1"/>
  <c r="A6162" i="1"/>
  <c r="B6162" i="1"/>
  <c r="C6162" i="1"/>
  <c r="A6183" i="1"/>
  <c r="B6183" i="1"/>
  <c r="C6183" i="1"/>
  <c r="A586" i="1"/>
  <c r="B586" i="1"/>
  <c r="C586" i="1"/>
  <c r="A602" i="1"/>
  <c r="B602" i="1"/>
  <c r="C602" i="1"/>
  <c r="A585" i="1"/>
  <c r="B585" i="1"/>
  <c r="C585" i="1"/>
  <c r="A601" i="1"/>
  <c r="B601" i="1"/>
  <c r="C601" i="1"/>
  <c r="A600" i="1"/>
  <c r="B600" i="1"/>
  <c r="C600" i="1"/>
  <c r="A593" i="1"/>
  <c r="B593" i="1"/>
  <c r="C593" i="1"/>
  <c r="A4349" i="1"/>
  <c r="B4349" i="1"/>
  <c r="C4349" i="1"/>
  <c r="A6249" i="1"/>
  <c r="B6249" i="1"/>
  <c r="C6249" i="1"/>
  <c r="A6239" i="1"/>
  <c r="B6239" i="1"/>
  <c r="C6239" i="1"/>
  <c r="A6358" i="1"/>
  <c r="B6358" i="1"/>
  <c r="C6358" i="1"/>
  <c r="A6356" i="1"/>
  <c r="B6356" i="1"/>
  <c r="C6356" i="1"/>
  <c r="A6368" i="1"/>
  <c r="B6368" i="1"/>
  <c r="C6368" i="1"/>
  <c r="A6362" i="1"/>
  <c r="B6362" i="1"/>
  <c r="C6362" i="1"/>
  <c r="A6246" i="1"/>
  <c r="B6246" i="1"/>
  <c r="C6246" i="1"/>
  <c r="A6363" i="1"/>
  <c r="B6363" i="1"/>
  <c r="C6363" i="1"/>
  <c r="A13492" i="1"/>
  <c r="B13492" i="1"/>
  <c r="C13492" i="1"/>
  <c r="A10324" i="1"/>
  <c r="B10324" i="1"/>
  <c r="C10324" i="1"/>
  <c r="A15904" i="1"/>
  <c r="B15904" i="1"/>
  <c r="C15904" i="1"/>
  <c r="A9004" i="1"/>
  <c r="B9004" i="1"/>
  <c r="C9004" i="1"/>
  <c r="A18701" i="1"/>
  <c r="B18701" i="1"/>
  <c r="C18701" i="1"/>
  <c r="A21173" i="1"/>
  <c r="B21173" i="1"/>
  <c r="C21173" i="1"/>
  <c r="A21174" i="1"/>
  <c r="B21174" i="1"/>
  <c r="C21174" i="1"/>
  <c r="A21172" i="1"/>
  <c r="B21172" i="1"/>
  <c r="C21172" i="1"/>
  <c r="A21171" i="1"/>
  <c r="B21171" i="1"/>
  <c r="C21171" i="1"/>
  <c r="A21178" i="1"/>
  <c r="B21178" i="1"/>
  <c r="C21178" i="1"/>
  <c r="A21180" i="1"/>
  <c r="B21180" i="1"/>
  <c r="C21180" i="1"/>
  <c r="A21177" i="1"/>
  <c r="B21177" i="1"/>
  <c r="C21177" i="1"/>
  <c r="A21176" i="1"/>
  <c r="B21176" i="1"/>
  <c r="C21176" i="1"/>
  <c r="A8648" i="1"/>
  <c r="B8648" i="1"/>
  <c r="C8648" i="1"/>
  <c r="A8718" i="1"/>
  <c r="B8718" i="1"/>
  <c r="C8718" i="1"/>
  <c r="A21857" i="1"/>
  <c r="B21857" i="1"/>
  <c r="C21857" i="1"/>
  <c r="A21974" i="1"/>
  <c r="B21974" i="1"/>
  <c r="C21974" i="1"/>
  <c r="A7230" i="1"/>
  <c r="B7230" i="1"/>
  <c r="C7230" i="1"/>
  <c r="A21187" i="1"/>
  <c r="B21187" i="1"/>
  <c r="C21187" i="1"/>
  <c r="A21188" i="1"/>
  <c r="B21188" i="1"/>
  <c r="C21188" i="1"/>
  <c r="A21185" i="1"/>
  <c r="B21185" i="1"/>
  <c r="C21185" i="1"/>
  <c r="A21184" i="1"/>
  <c r="B21184" i="1"/>
  <c r="C21184" i="1"/>
  <c r="A21192" i="1"/>
  <c r="B21192" i="1"/>
  <c r="C21192" i="1"/>
  <c r="A21193" i="1"/>
  <c r="B21193" i="1"/>
  <c r="C21193" i="1"/>
  <c r="A21190" i="1"/>
  <c r="B21190" i="1"/>
  <c r="C21190" i="1"/>
  <c r="A21189" i="1"/>
  <c r="B21189" i="1"/>
  <c r="C21189" i="1"/>
  <c r="A3369" i="1"/>
  <c r="B3369" i="1"/>
  <c r="C3369" i="1"/>
  <c r="A18492" i="1"/>
  <c r="B18492" i="1"/>
  <c r="C18492" i="1"/>
  <c r="A18527" i="1"/>
  <c r="B18527" i="1"/>
  <c r="C18527" i="1"/>
  <c r="A9603" i="1"/>
  <c r="B9603" i="1"/>
  <c r="C9603" i="1"/>
  <c r="A5289" i="1"/>
  <c r="B5289" i="1"/>
  <c r="C5289" i="1"/>
  <c r="A3216" i="1"/>
  <c r="B3216" i="1"/>
  <c r="C3216" i="1"/>
  <c r="A9494" i="1"/>
  <c r="B9494" i="1"/>
  <c r="C9494" i="1"/>
  <c r="A9496" i="1"/>
  <c r="B9496" i="1"/>
  <c r="C9496" i="1"/>
  <c r="A4451" i="1"/>
  <c r="B4451" i="1"/>
  <c r="C4451" i="1"/>
  <c r="A4450" i="1"/>
  <c r="B4450" i="1"/>
  <c r="C4450" i="1"/>
  <c r="A14632" i="1"/>
  <c r="B14632" i="1"/>
  <c r="C14632" i="1"/>
  <c r="A9355" i="1"/>
  <c r="B9355" i="1"/>
  <c r="C9355" i="1"/>
  <c r="A9602" i="1"/>
  <c r="B9602" i="1"/>
  <c r="C9602" i="1"/>
  <c r="A11484" i="1"/>
  <c r="B11484" i="1"/>
  <c r="C11484" i="1"/>
  <c r="A9600" i="1"/>
  <c r="B9600" i="1"/>
  <c r="C9600" i="1"/>
  <c r="A23343" i="1"/>
  <c r="B23343" i="1"/>
  <c r="C23343" i="1"/>
  <c r="A8240" i="1"/>
  <c r="B8240" i="1"/>
  <c r="C8240" i="1"/>
  <c r="A2980" i="1"/>
  <c r="B2980" i="1"/>
  <c r="C2980" i="1"/>
  <c r="A8343" i="1"/>
  <c r="B8343" i="1"/>
  <c r="C8343" i="1"/>
  <c r="A610" i="1"/>
  <c r="B610" i="1"/>
  <c r="C610" i="1"/>
  <c r="A7456" i="1"/>
  <c r="B7456" i="1"/>
  <c r="C7456" i="1"/>
  <c r="A22292" i="1"/>
  <c r="B22292" i="1"/>
  <c r="C22292" i="1"/>
  <c r="A19862" i="1"/>
  <c r="B19862" i="1"/>
  <c r="C19862" i="1"/>
  <c r="A15606" i="1"/>
  <c r="B15606" i="1"/>
  <c r="C15606" i="1"/>
  <c r="A14438" i="1"/>
  <c r="B14438" i="1"/>
  <c r="C14438" i="1"/>
  <c r="A25541" i="1"/>
  <c r="B25541" i="1"/>
  <c r="C25541" i="1"/>
  <c r="A25539" i="1"/>
  <c r="B25539" i="1"/>
  <c r="C25539" i="1"/>
  <c r="A22005" i="1"/>
  <c r="B22005" i="1"/>
  <c r="C22005" i="1"/>
  <c r="A25370" i="1"/>
  <c r="B25370" i="1"/>
  <c r="C25370" i="1"/>
  <c r="A4164" i="1"/>
  <c r="B4164" i="1"/>
  <c r="C4164" i="1"/>
  <c r="A22002" i="1"/>
  <c r="B22002" i="1"/>
  <c r="C22002" i="1"/>
  <c r="A2542" i="1"/>
  <c r="B2542" i="1"/>
  <c r="C2542" i="1"/>
  <c r="A2882" i="1"/>
  <c r="B2882" i="1"/>
  <c r="C2882" i="1"/>
  <c r="A3668" i="1"/>
  <c r="B3668" i="1"/>
  <c r="C3668" i="1"/>
  <c r="A5422" i="1"/>
  <c r="B5422" i="1"/>
  <c r="C5422" i="1"/>
  <c r="A13476" i="1"/>
  <c r="B13476" i="1"/>
  <c r="C13476" i="1"/>
  <c r="A13483" i="1"/>
  <c r="B13483" i="1"/>
  <c r="C13483" i="1"/>
  <c r="A2560" i="1"/>
  <c r="B2560" i="1"/>
  <c r="C2560" i="1"/>
  <c r="A2992" i="1"/>
  <c r="B2992" i="1"/>
  <c r="C2992" i="1"/>
  <c r="A3539" i="1"/>
  <c r="B3539" i="1"/>
  <c r="C3539" i="1"/>
  <c r="A4886" i="1"/>
  <c r="B4886" i="1"/>
  <c r="C4886" i="1"/>
  <c r="A4887" i="1"/>
  <c r="B4887" i="1"/>
  <c r="C4887" i="1"/>
  <c r="A4885" i="1"/>
  <c r="B4885" i="1"/>
  <c r="C4885" i="1"/>
  <c r="A13622" i="1"/>
  <c r="B13622" i="1"/>
  <c r="C13622" i="1"/>
  <c r="A15539" i="1"/>
  <c r="B15539" i="1"/>
  <c r="C15539" i="1"/>
  <c r="A18003" i="1"/>
  <c r="B18003" i="1"/>
  <c r="C18003" i="1"/>
  <c r="A15438" i="1"/>
  <c r="B15438" i="1"/>
  <c r="C15438" i="1"/>
  <c r="A6245" i="1"/>
  <c r="B6245" i="1"/>
  <c r="C6245" i="1"/>
  <c r="A214" i="1"/>
  <c r="B214" i="1"/>
  <c r="C214" i="1"/>
  <c r="A10545" i="1"/>
  <c r="B10545" i="1"/>
  <c r="C10545" i="1"/>
  <c r="A22212" i="1"/>
  <c r="B22212" i="1"/>
  <c r="C22212" i="1"/>
  <c r="A4086" i="1"/>
  <c r="B4086" i="1"/>
  <c r="C4086" i="1"/>
  <c r="A10664" i="1"/>
  <c r="B10664" i="1"/>
  <c r="C10664" i="1"/>
  <c r="A22513" i="1"/>
  <c r="B22513" i="1"/>
  <c r="C22513" i="1"/>
  <c r="A19121" i="1"/>
  <c r="B19121" i="1"/>
  <c r="C19121" i="1"/>
  <c r="A1383" i="1"/>
  <c r="B1383" i="1"/>
  <c r="C1383" i="1"/>
  <c r="A18080" i="1"/>
  <c r="B18080" i="1"/>
  <c r="C18080" i="1"/>
  <c r="A5573" i="1"/>
  <c r="B5573" i="1"/>
  <c r="C5573" i="1"/>
  <c r="A20192" i="1"/>
  <c r="B20192" i="1"/>
  <c r="C20192" i="1"/>
  <c r="A9075" i="1"/>
  <c r="B9075" i="1"/>
  <c r="C9075" i="1"/>
  <c r="A7631" i="1"/>
  <c r="B7631" i="1"/>
  <c r="C7631" i="1"/>
  <c r="A240" i="1"/>
  <c r="B240" i="1"/>
  <c r="C240" i="1"/>
  <c r="A12726" i="1"/>
  <c r="B12726" i="1"/>
  <c r="C12726" i="1"/>
  <c r="A4141" i="1"/>
  <c r="B4141" i="1"/>
  <c r="C4141" i="1"/>
  <c r="A4105" i="1"/>
  <c r="B4105" i="1"/>
  <c r="C4105" i="1"/>
  <c r="A22394" i="1"/>
  <c r="B22394" i="1"/>
  <c r="C22394" i="1"/>
  <c r="A22395" i="1"/>
  <c r="B22395" i="1"/>
  <c r="C22395" i="1"/>
  <c r="A13945" i="1"/>
  <c r="B13945" i="1"/>
  <c r="C13945" i="1"/>
  <c r="A9281" i="1"/>
  <c r="B9281" i="1"/>
  <c r="C9281" i="1"/>
  <c r="A3978" i="1"/>
  <c r="B3978" i="1"/>
  <c r="C3978" i="1"/>
  <c r="A9606" i="1"/>
  <c r="B9606" i="1"/>
  <c r="C9606" i="1"/>
  <c r="A10333" i="1"/>
  <c r="B10333" i="1"/>
  <c r="C10333" i="1"/>
  <c r="A18220" i="1"/>
  <c r="B18220" i="1"/>
  <c r="C18220" i="1"/>
  <c r="A22355" i="1"/>
  <c r="B22355" i="1"/>
  <c r="C22355" i="1"/>
  <c r="A16319" i="1"/>
  <c r="B16319" i="1"/>
  <c r="C16319" i="1"/>
  <c r="A7068" i="1"/>
  <c r="B7068" i="1"/>
  <c r="C7068" i="1"/>
  <c r="A25324" i="1"/>
  <c r="B25324" i="1"/>
  <c r="C25324" i="1"/>
  <c r="A21731" i="1"/>
  <c r="B21731" i="1"/>
  <c r="C21731" i="1"/>
  <c r="A23925" i="1"/>
  <c r="B23925" i="1"/>
  <c r="C23925" i="1"/>
  <c r="A18226" i="1"/>
  <c r="B18226" i="1"/>
  <c r="C18226" i="1"/>
  <c r="A18143" i="1"/>
  <c r="B18143" i="1"/>
  <c r="C18143" i="1"/>
  <c r="A8402" i="1"/>
  <c r="B8402" i="1"/>
  <c r="C8402" i="1"/>
  <c r="A20347" i="1"/>
  <c r="B20347" i="1"/>
  <c r="C20347" i="1"/>
  <c r="A20397" i="1"/>
  <c r="B20397" i="1"/>
  <c r="C20397" i="1"/>
  <c r="A8778" i="1"/>
  <c r="B8778" i="1"/>
  <c r="C8778" i="1"/>
  <c r="A6865" i="1"/>
  <c r="B6865" i="1"/>
  <c r="C6865" i="1"/>
  <c r="A11992" i="1"/>
  <c r="B11992" i="1"/>
  <c r="C11992" i="1"/>
  <c r="A23692" i="1"/>
  <c r="B23692" i="1"/>
  <c r="C23692" i="1"/>
  <c r="A8731" i="1"/>
  <c r="B8731" i="1"/>
  <c r="C8731" i="1"/>
  <c r="A7463" i="1"/>
  <c r="B7463" i="1"/>
  <c r="C7463" i="1"/>
  <c r="A11774" i="1"/>
  <c r="B11774" i="1"/>
  <c r="C11774" i="1"/>
  <c r="A22184" i="1"/>
  <c r="B22184" i="1"/>
  <c r="C22184" i="1"/>
  <c r="A12275" i="1"/>
  <c r="B12275" i="1"/>
  <c r="C12275" i="1"/>
  <c r="A6786" i="1"/>
  <c r="C6786" i="1"/>
  <c r="A13832" i="1"/>
  <c r="B13832" i="1"/>
  <c r="C13832" i="1"/>
  <c r="A16815" i="1"/>
  <c r="B16815" i="1"/>
  <c r="C16815" i="1"/>
  <c r="A9549" i="1"/>
  <c r="B9549" i="1"/>
  <c r="C9549" i="1"/>
  <c r="A9553" i="1"/>
  <c r="B9553" i="1"/>
  <c r="C9553" i="1"/>
  <c r="A9050" i="1"/>
  <c r="B9050" i="1"/>
  <c r="C9050" i="1"/>
  <c r="A22303" i="1"/>
  <c r="B22303" i="1"/>
  <c r="C22303" i="1"/>
  <c r="A9041" i="1"/>
  <c r="B9041" i="1"/>
  <c r="C9041" i="1"/>
  <c r="A9042" i="1"/>
  <c r="B9042" i="1"/>
  <c r="C9042" i="1"/>
  <c r="A9113" i="1"/>
  <c r="B9113" i="1"/>
  <c r="C9113" i="1"/>
  <c r="A3461" i="1"/>
  <c r="B3461" i="1"/>
  <c r="C3461" i="1"/>
  <c r="A3463" i="1"/>
  <c r="B3463" i="1"/>
  <c r="C3463" i="1"/>
  <c r="A9317" i="1"/>
  <c r="B9317" i="1"/>
  <c r="C9317" i="1"/>
  <c r="A17430" i="1"/>
  <c r="B17430" i="1"/>
  <c r="C17430" i="1"/>
  <c r="A25162" i="1"/>
  <c r="B25162" i="1"/>
  <c r="C25162" i="1"/>
  <c r="A18393" i="1"/>
  <c r="B18393" i="1"/>
  <c r="C18393" i="1"/>
  <c r="A23007" i="1"/>
  <c r="B23007" i="1"/>
  <c r="C23007" i="1"/>
  <c r="A18370" i="1"/>
  <c r="B18370" i="1"/>
  <c r="C18370" i="1"/>
  <c r="A9054" i="1"/>
  <c r="B9054" i="1"/>
  <c r="C9054" i="1"/>
  <c r="A16542" i="1"/>
  <c r="B16542" i="1"/>
  <c r="C16542" i="1"/>
  <c r="A2057" i="1"/>
  <c r="B2057" i="1"/>
  <c r="C2057" i="1"/>
  <c r="A2312" i="1"/>
  <c r="B2312" i="1"/>
  <c r="C2312" i="1"/>
  <c r="A6900" i="1"/>
  <c r="B6900" i="1"/>
  <c r="C6900" i="1"/>
  <c r="A18855" i="1"/>
  <c r="B18855" i="1"/>
  <c r="C18855" i="1"/>
  <c r="A15378" i="1"/>
  <c r="B15378" i="1"/>
  <c r="C15378" i="1"/>
  <c r="A10777" i="1"/>
  <c r="B10777" i="1"/>
  <c r="C10777" i="1"/>
  <c r="A10478" i="1"/>
  <c r="B10478" i="1"/>
  <c r="C10478" i="1"/>
  <c r="A9172" i="1"/>
  <c r="B9172" i="1"/>
  <c r="C9172" i="1"/>
  <c r="A1393" i="1"/>
  <c r="B1393" i="1"/>
  <c r="C1393" i="1"/>
  <c r="A10573" i="1"/>
  <c r="B10573" i="1"/>
  <c r="C10573" i="1"/>
  <c r="A10609" i="1"/>
  <c r="B10609" i="1"/>
  <c r="C10609" i="1"/>
  <c r="A19674" i="1"/>
  <c r="B19674" i="1"/>
  <c r="C19674" i="1"/>
  <c r="A238" i="1"/>
  <c r="B238" i="1"/>
  <c r="C238" i="1"/>
  <c r="A3632" i="1"/>
  <c r="B3632" i="1"/>
  <c r="C3632" i="1"/>
  <c r="A4432" i="1"/>
  <c r="B4432" i="1"/>
  <c r="C4432" i="1"/>
  <c r="A22966" i="1"/>
  <c r="B22966" i="1"/>
  <c r="C22966" i="1"/>
  <c r="A17484" i="1"/>
  <c r="B17484" i="1"/>
  <c r="C17484" i="1"/>
  <c r="A15489" i="1"/>
  <c r="B15489" i="1"/>
  <c r="C15489" i="1"/>
  <c r="A3492" i="1"/>
  <c r="B3492" i="1"/>
  <c r="C3492" i="1"/>
  <c r="A560" i="1"/>
  <c r="B560" i="1"/>
  <c r="C560" i="1"/>
  <c r="A21089" i="1"/>
  <c r="B21089" i="1"/>
  <c r="C21089" i="1"/>
  <c r="A24488" i="1"/>
  <c r="B24488" i="1"/>
  <c r="C24488" i="1"/>
  <c r="A23171" i="1"/>
  <c r="B23171" i="1"/>
  <c r="C23171" i="1"/>
  <c r="A8513" i="1"/>
  <c r="B8513" i="1"/>
  <c r="C8513" i="1"/>
  <c r="A19534" i="1"/>
  <c r="B19534" i="1"/>
  <c r="C19534" i="1"/>
  <c r="A12762" i="1"/>
  <c r="B12762" i="1"/>
  <c r="C12762" i="1"/>
  <c r="A5322" i="1"/>
  <c r="B5322" i="1"/>
  <c r="C5322" i="1"/>
  <c r="A5320" i="1"/>
  <c r="B5320" i="1"/>
  <c r="C5320" i="1"/>
  <c r="A5976" i="1"/>
  <c r="C5976" i="1"/>
  <c r="A5385" i="1"/>
  <c r="B5385" i="1"/>
  <c r="C5385" i="1"/>
  <c r="A24843" i="1"/>
  <c r="B24843" i="1"/>
  <c r="C24843" i="1"/>
  <c r="A21891" i="1"/>
  <c r="B21891" i="1"/>
  <c r="C21891" i="1"/>
  <c r="A22263" i="1"/>
  <c r="B22263" i="1"/>
  <c r="C22263" i="1"/>
  <c r="A9883" i="1"/>
  <c r="B9883" i="1"/>
  <c r="C9883" i="1"/>
  <c r="A1898" i="1"/>
  <c r="B1898" i="1"/>
  <c r="C1898" i="1"/>
  <c r="A23594" i="1"/>
  <c r="B23594" i="1"/>
  <c r="C23594" i="1"/>
  <c r="A25389" i="1"/>
  <c r="B25389" i="1"/>
  <c r="C25389" i="1"/>
  <c r="A25388" i="1"/>
  <c r="B25388" i="1"/>
  <c r="C25388" i="1"/>
  <c r="A13814" i="1"/>
  <c r="B13814" i="1"/>
  <c r="C13814" i="1"/>
  <c r="A10305" i="1"/>
  <c r="B10305" i="1"/>
  <c r="C10305" i="1"/>
  <c r="A5953" i="1"/>
  <c r="B5953" i="1"/>
  <c r="C5953" i="1"/>
  <c r="A20218" i="1"/>
  <c r="B20218" i="1"/>
  <c r="C20218" i="1"/>
  <c r="A17840" i="1"/>
  <c r="B17840" i="1"/>
  <c r="C17840" i="1"/>
  <c r="A799" i="1"/>
  <c r="B799" i="1"/>
  <c r="C799" i="1"/>
  <c r="A21944" i="1"/>
  <c r="B21944" i="1"/>
  <c r="C21944" i="1"/>
  <c r="A20719" i="1"/>
  <c r="B20719" i="1"/>
  <c r="C20719" i="1"/>
  <c r="A22602" i="1"/>
  <c r="B22602" i="1"/>
  <c r="C22602" i="1"/>
  <c r="A1806" i="1"/>
  <c r="B1806" i="1"/>
  <c r="C1806" i="1"/>
  <c r="A18202" i="1"/>
  <c r="B18202" i="1"/>
  <c r="C18202" i="1"/>
  <c r="A18059" i="1"/>
  <c r="B18059" i="1"/>
  <c r="C18059" i="1"/>
  <c r="A10039" i="1"/>
  <c r="B10039" i="1"/>
  <c r="C10039" i="1"/>
  <c r="A6916" i="1"/>
  <c r="B6916" i="1"/>
  <c r="C6916" i="1"/>
  <c r="A16599" i="1"/>
  <c r="B16599" i="1"/>
  <c r="C16599" i="1"/>
  <c r="A2923" i="1"/>
  <c r="B2923" i="1"/>
  <c r="C2923" i="1"/>
  <c r="A14455" i="1"/>
  <c r="B14455" i="1"/>
  <c r="C14455" i="1"/>
  <c r="A5317" i="1"/>
  <c r="B5317" i="1"/>
  <c r="C5317" i="1"/>
  <c r="A23816" i="1"/>
  <c r="B23816" i="1"/>
  <c r="C23816" i="1"/>
  <c r="A1324" i="1"/>
  <c r="B1324" i="1"/>
  <c r="C1324" i="1"/>
  <c r="A519" i="1"/>
  <c r="B519" i="1"/>
  <c r="C519" i="1"/>
  <c r="A5870" i="1"/>
  <c r="B5870" i="1"/>
  <c r="C5870" i="1"/>
  <c r="A5869" i="1"/>
  <c r="B5869" i="1"/>
  <c r="C5869" i="1"/>
  <c r="A5868" i="1"/>
  <c r="B5868" i="1"/>
  <c r="C5868" i="1"/>
  <c r="A879" i="1"/>
  <c r="B879" i="1"/>
  <c r="C879" i="1"/>
  <c r="A806" i="1"/>
  <c r="B806" i="1"/>
  <c r="C806" i="1"/>
  <c r="A23077" i="1"/>
  <c r="B23077" i="1"/>
  <c r="C23077" i="1"/>
  <c r="A6939" i="1"/>
  <c r="B6939" i="1"/>
  <c r="C6939" i="1"/>
  <c r="A10769" i="1"/>
  <c r="B10769" i="1"/>
  <c r="C10769" i="1"/>
  <c r="A15745" i="1"/>
  <c r="B15745" i="1"/>
  <c r="C15745" i="1"/>
  <c r="A16175" i="1"/>
  <c r="B16175" i="1"/>
  <c r="C16175" i="1"/>
  <c r="A4884" i="1"/>
  <c r="B4884" i="1"/>
  <c r="C4884" i="1"/>
  <c r="A23112" i="1"/>
  <c r="B23112" i="1"/>
  <c r="C23112" i="1"/>
  <c r="A21855" i="1"/>
  <c r="B21855" i="1"/>
  <c r="C21855" i="1"/>
  <c r="A16787" i="1"/>
  <c r="B16787" i="1"/>
  <c r="C16787" i="1"/>
  <c r="A8795" i="1"/>
  <c r="B8795" i="1"/>
  <c r="C8795" i="1"/>
  <c r="A18171" i="1"/>
  <c r="B18171" i="1"/>
  <c r="C18171" i="1"/>
  <c r="A18173" i="1"/>
  <c r="B18173" i="1"/>
  <c r="C18173" i="1"/>
  <c r="A13631" i="1"/>
  <c r="B13631" i="1"/>
  <c r="C13631" i="1"/>
  <c r="A2017" i="1"/>
  <c r="B2017" i="1"/>
  <c r="C2017" i="1"/>
  <c r="A18662" i="1"/>
  <c r="B18662" i="1"/>
  <c r="C18662" i="1"/>
  <c r="A4031" i="1"/>
  <c r="B4031" i="1"/>
  <c r="C4031" i="1"/>
  <c r="A4024" i="1"/>
  <c r="B4024" i="1"/>
  <c r="C4024" i="1"/>
  <c r="A11858" i="1"/>
  <c r="B11858" i="1"/>
  <c r="C11858" i="1"/>
  <c r="A7302" i="1"/>
  <c r="B7302" i="1"/>
  <c r="C7302" i="1"/>
  <c r="A2565" i="1"/>
  <c r="B2565" i="1"/>
  <c r="C2565" i="1"/>
  <c r="A17084" i="1"/>
  <c r="B17084" i="1"/>
  <c r="C17084" i="1"/>
  <c r="A1549" i="1"/>
  <c r="B1549" i="1"/>
  <c r="C1549" i="1"/>
  <c r="A24495" i="1"/>
  <c r="B24495" i="1"/>
  <c r="C24495" i="1"/>
  <c r="A8982" i="1"/>
  <c r="B8982" i="1"/>
  <c r="C8982" i="1"/>
  <c r="A24508" i="1"/>
  <c r="B24508" i="1"/>
  <c r="C24508" i="1"/>
  <c r="A19887" i="1"/>
  <c r="B19887" i="1"/>
  <c r="C19887" i="1"/>
  <c r="A8523" i="1"/>
  <c r="B8523" i="1"/>
  <c r="C8523" i="1"/>
  <c r="A19240" i="1"/>
  <c r="B19240" i="1"/>
  <c r="C19240" i="1"/>
  <c r="A5955" i="1"/>
  <c r="B5955" i="1"/>
  <c r="C5955" i="1"/>
  <c r="A15341" i="1"/>
  <c r="B15341" i="1"/>
  <c r="C15341" i="1"/>
  <c r="A11471" i="1"/>
  <c r="B11471" i="1"/>
  <c r="C11471" i="1"/>
  <c r="A3624" i="1"/>
  <c r="B3624" i="1"/>
  <c r="C3624" i="1"/>
  <c r="A3813" i="1"/>
  <c r="B3813" i="1"/>
  <c r="C3813" i="1"/>
  <c r="A10196" i="1"/>
  <c r="B10196" i="1"/>
  <c r="C10196" i="1"/>
  <c r="A522" i="1"/>
  <c r="B522" i="1"/>
  <c r="C522" i="1"/>
  <c r="A7407" i="1"/>
  <c r="B7407" i="1"/>
  <c r="C7407" i="1"/>
  <c r="A15479" i="1"/>
  <c r="B15479" i="1"/>
  <c r="C15479" i="1"/>
  <c r="A550" i="1"/>
  <c r="B550" i="1"/>
  <c r="C550" i="1"/>
  <c r="A5929" i="1"/>
  <c r="B5929" i="1"/>
  <c r="C5929" i="1"/>
  <c r="A5928" i="1"/>
  <c r="B5928" i="1"/>
  <c r="C5928" i="1"/>
  <c r="A13978" i="1"/>
  <c r="B13978" i="1"/>
  <c r="C13978" i="1"/>
  <c r="A8934" i="1"/>
  <c r="B8934" i="1"/>
  <c r="C8934" i="1"/>
  <c r="A6094" i="1"/>
  <c r="B6094" i="1"/>
  <c r="C6094" i="1"/>
  <c r="A6590" i="1"/>
  <c r="B6590" i="1"/>
  <c r="C6590" i="1"/>
  <c r="A16299" i="1"/>
  <c r="B16299" i="1"/>
  <c r="C16299" i="1"/>
  <c r="A19655" i="1"/>
  <c r="C19655" i="1"/>
  <c r="A11463" i="1"/>
  <c r="B11463" i="1"/>
  <c r="C11463" i="1"/>
  <c r="A13774" i="1"/>
  <c r="B13774" i="1"/>
  <c r="C13774" i="1"/>
  <c r="A2213" i="1"/>
  <c r="B2213" i="1"/>
  <c r="C2213" i="1"/>
  <c r="A7504" i="1"/>
  <c r="B7504" i="1"/>
  <c r="C7504" i="1"/>
  <c r="A7465" i="1"/>
  <c r="B7465" i="1"/>
  <c r="C7465" i="1"/>
  <c r="A7466" i="1"/>
  <c r="B7466" i="1"/>
  <c r="C7466" i="1"/>
  <c r="A17576" i="1"/>
  <c r="B17576" i="1"/>
  <c r="C17576" i="1"/>
  <c r="A21713" i="1"/>
  <c r="B21713" i="1"/>
  <c r="C21713" i="1"/>
  <c r="A19886" i="1"/>
  <c r="B19886" i="1"/>
  <c r="C19886" i="1"/>
  <c r="A19895" i="1"/>
  <c r="B19895" i="1"/>
  <c r="C19895" i="1"/>
  <c r="A12782" i="1"/>
  <c r="B12782" i="1"/>
  <c r="C12782" i="1"/>
  <c r="A12781" i="1"/>
  <c r="B12781" i="1"/>
  <c r="C12781" i="1"/>
  <c r="A22787" i="1"/>
  <c r="B22787" i="1"/>
  <c r="C22787" i="1"/>
  <c r="A13485" i="1"/>
  <c r="B13485" i="1"/>
  <c r="C13485" i="1"/>
  <c r="A23921" i="1"/>
  <c r="B23921" i="1"/>
  <c r="C23921" i="1"/>
  <c r="A9364" i="1"/>
  <c r="B9364" i="1"/>
  <c r="C9364" i="1"/>
  <c r="A3656" i="1"/>
  <c r="B3656" i="1"/>
  <c r="C3656" i="1"/>
  <c r="A3609" i="1"/>
  <c r="B3609" i="1"/>
  <c r="C3609" i="1"/>
  <c r="A3658" i="1"/>
  <c r="B3658" i="1"/>
  <c r="C3658" i="1"/>
  <c r="A3608" i="1"/>
  <c r="B3608" i="1"/>
  <c r="C3608" i="1"/>
  <c r="A17841" i="1"/>
  <c r="B17841" i="1"/>
  <c r="C17841" i="1"/>
  <c r="A17843" i="1"/>
  <c r="B17843" i="1"/>
  <c r="C17843" i="1"/>
  <c r="A13411" i="1"/>
  <c r="B13411" i="1"/>
  <c r="C13411" i="1"/>
  <c r="A7770" i="1"/>
  <c r="B7770" i="1"/>
  <c r="C7770" i="1"/>
  <c r="A13916" i="1"/>
  <c r="B13916" i="1"/>
  <c r="C13916" i="1"/>
  <c r="A5889" i="1"/>
  <c r="B5889" i="1"/>
  <c r="C5889" i="1"/>
  <c r="A463" i="1"/>
  <c r="B463" i="1"/>
  <c r="C463" i="1"/>
  <c r="A5409" i="1"/>
  <c r="B5409" i="1"/>
  <c r="C5409" i="1"/>
  <c r="A24055" i="1"/>
  <c r="B24055" i="1"/>
  <c r="C24055" i="1"/>
  <c r="A25559" i="1"/>
  <c r="B25559" i="1"/>
  <c r="C25559" i="1"/>
  <c r="A21641" i="1"/>
  <c r="B21641" i="1"/>
  <c r="C21641" i="1"/>
  <c r="A923" i="1"/>
  <c r="B923" i="1"/>
  <c r="C923" i="1"/>
  <c r="A25728" i="1"/>
  <c r="B25728" i="1"/>
  <c r="C25728" i="1"/>
  <c r="A14834" i="1"/>
  <c r="B14834" i="1"/>
  <c r="C14834" i="1"/>
  <c r="A24603" i="1"/>
  <c r="B24603" i="1"/>
  <c r="C24603" i="1"/>
  <c r="A8564" i="1"/>
  <c r="B8564" i="1"/>
  <c r="C8564" i="1"/>
  <c r="A24612" i="1"/>
  <c r="B24612" i="1"/>
  <c r="C24612" i="1"/>
  <c r="A8566" i="1"/>
  <c r="B8566" i="1"/>
  <c r="C8566" i="1"/>
  <c r="A8524" i="1"/>
  <c r="B8524" i="1"/>
  <c r="C8524" i="1"/>
  <c r="A24966" i="1"/>
  <c r="B24966" i="1"/>
  <c r="C24966" i="1"/>
  <c r="A5913" i="1"/>
  <c r="B5913" i="1"/>
  <c r="C5913" i="1"/>
  <c r="A5912" i="1"/>
  <c r="B5912" i="1"/>
  <c r="C5912" i="1"/>
  <c r="A5326" i="1"/>
  <c r="B5326" i="1"/>
  <c r="C5326" i="1"/>
  <c r="A15650" i="1"/>
  <c r="B15650" i="1"/>
  <c r="C15650" i="1"/>
  <c r="A15655" i="1"/>
  <c r="B15655" i="1"/>
  <c r="C15655" i="1"/>
  <c r="A15647" i="1"/>
  <c r="B15647" i="1"/>
  <c r="C15647" i="1"/>
  <c r="A18389" i="1"/>
  <c r="B18389" i="1"/>
  <c r="C18389" i="1"/>
  <c r="A99" i="1"/>
  <c r="B99" i="1"/>
  <c r="C99" i="1"/>
  <c r="A15661" i="1"/>
  <c r="B15661" i="1"/>
  <c r="C15661" i="1"/>
  <c r="A5951" i="1"/>
  <c r="B5951" i="1"/>
  <c r="C5951" i="1"/>
  <c r="A18132" i="1"/>
  <c r="B18132" i="1"/>
  <c r="C18132" i="1"/>
  <c r="A20436" i="1"/>
  <c r="B20436" i="1"/>
  <c r="C20436" i="1"/>
  <c r="A2231" i="1"/>
  <c r="B2231" i="1"/>
  <c r="C2231" i="1"/>
  <c r="A14065" i="1"/>
  <c r="B14065" i="1"/>
  <c r="C14065" i="1"/>
  <c r="A3103" i="1"/>
  <c r="B3103" i="1"/>
  <c r="C3103" i="1"/>
  <c r="A24127" i="1"/>
  <c r="B24127" i="1"/>
  <c r="C24127" i="1"/>
  <c r="A16576" i="1"/>
  <c r="B16576" i="1"/>
  <c r="C16576" i="1"/>
  <c r="A24487" i="1"/>
  <c r="B24487" i="1"/>
  <c r="C24487" i="1"/>
  <c r="A5359" i="1"/>
  <c r="B5359" i="1"/>
  <c r="C5359" i="1"/>
  <c r="A15098" i="1"/>
  <c r="B15098" i="1"/>
  <c r="C15098" i="1"/>
  <c r="A862" i="1"/>
  <c r="C862" i="1"/>
  <c r="A837" i="1"/>
  <c r="B837" i="1"/>
  <c r="C837" i="1"/>
  <c r="A1719" i="1"/>
  <c r="B1719" i="1"/>
  <c r="C1719" i="1"/>
  <c r="A20720" i="1"/>
  <c r="B20720" i="1"/>
  <c r="C20720" i="1"/>
  <c r="A274" i="1"/>
  <c r="B274" i="1"/>
  <c r="C274" i="1"/>
  <c r="A7328" i="1"/>
  <c r="B7328" i="1"/>
  <c r="C7328" i="1"/>
  <c r="A9607" i="1"/>
  <c r="B9607" i="1"/>
  <c r="C9607" i="1"/>
  <c r="A9635" i="1"/>
  <c r="B9635" i="1"/>
  <c r="C9635" i="1"/>
  <c r="A4059" i="1"/>
  <c r="B4059" i="1"/>
  <c r="C4059" i="1"/>
  <c r="A10055" i="1"/>
  <c r="B10055" i="1"/>
  <c r="C10055" i="1"/>
  <c r="A10056" i="1"/>
  <c r="B10056" i="1"/>
  <c r="C10056" i="1"/>
  <c r="A11778" i="1"/>
  <c r="B11778" i="1"/>
  <c r="C11778" i="1"/>
  <c r="A23939" i="1"/>
  <c r="B23939" i="1"/>
  <c r="C23939" i="1"/>
  <c r="A25136" i="1"/>
  <c r="B25136" i="1"/>
  <c r="C25136" i="1"/>
  <c r="A20732" i="1"/>
  <c r="B20732" i="1"/>
  <c r="C20732" i="1"/>
  <c r="A13611" i="1"/>
  <c r="B13611" i="1"/>
  <c r="C13611" i="1"/>
  <c r="A25547" i="1"/>
  <c r="B25547" i="1"/>
  <c r="C25547" i="1"/>
  <c r="A25546" i="1"/>
  <c r="B25546" i="1"/>
  <c r="C25546" i="1"/>
  <c r="A6807" i="1"/>
  <c r="B6807" i="1"/>
  <c r="C6807" i="1"/>
  <c r="A17025" i="1"/>
  <c r="B17025" i="1"/>
  <c r="C17025" i="1"/>
  <c r="A7758" i="1"/>
  <c r="B7758" i="1"/>
  <c r="C7758" i="1"/>
  <c r="A5580" i="1"/>
  <c r="B5580" i="1"/>
  <c r="C5580" i="1"/>
  <c r="A9857" i="1"/>
  <c r="B9857" i="1"/>
  <c r="C9857" i="1"/>
  <c r="A19035" i="1"/>
  <c r="B19035" i="1"/>
  <c r="C19035" i="1"/>
  <c r="A10059" i="1"/>
  <c r="B10059" i="1"/>
  <c r="C10059" i="1"/>
  <c r="A10058" i="1"/>
  <c r="B10058" i="1"/>
  <c r="C10058" i="1"/>
  <c r="A10060" i="1"/>
  <c r="B10060" i="1"/>
  <c r="C10060" i="1"/>
  <c r="A2941" i="1"/>
  <c r="B2941" i="1"/>
  <c r="C2941" i="1"/>
  <c r="A18859" i="1"/>
  <c r="B18859" i="1"/>
  <c r="C18859" i="1"/>
  <c r="A2045" i="1"/>
  <c r="B2045" i="1"/>
  <c r="C2045" i="1"/>
  <c r="A23736" i="1"/>
  <c r="B23736" i="1"/>
  <c r="C23736" i="1"/>
  <c r="A23735" i="1"/>
  <c r="B23735" i="1"/>
  <c r="C23735" i="1"/>
  <c r="A15999" i="1"/>
  <c r="B15999" i="1"/>
  <c r="C15999" i="1"/>
  <c r="A23131" i="1"/>
  <c r="B23131" i="1"/>
  <c r="C23131" i="1"/>
  <c r="A23132" i="1"/>
  <c r="B23132" i="1"/>
  <c r="C23132" i="1"/>
  <c r="A23797" i="1"/>
  <c r="B23797" i="1"/>
  <c r="C23797" i="1"/>
  <c r="A15926" i="1"/>
  <c r="B15926" i="1"/>
  <c r="C15926" i="1"/>
  <c r="A11592" i="1"/>
  <c r="B11592" i="1"/>
  <c r="C11592" i="1"/>
  <c r="A5638" i="1"/>
  <c r="B5638" i="1"/>
  <c r="C5638" i="1"/>
  <c r="A16746" i="1"/>
  <c r="B16746" i="1"/>
  <c r="C16746" i="1"/>
  <c r="A3968" i="1"/>
  <c r="B3968" i="1"/>
  <c r="C3968" i="1"/>
  <c r="A11263" i="1"/>
  <c r="B11263" i="1"/>
  <c r="C11263" i="1"/>
  <c r="A11124" i="1"/>
  <c r="B11124" i="1"/>
  <c r="C11124" i="1"/>
  <c r="A11112" i="1"/>
  <c r="B11112" i="1"/>
  <c r="C11112" i="1"/>
  <c r="A19802" i="1"/>
  <c r="B19802" i="1"/>
  <c r="C19802" i="1"/>
  <c r="A11433" i="1"/>
  <c r="B11433" i="1"/>
  <c r="C11433" i="1"/>
  <c r="A11416" i="1"/>
  <c r="B11416" i="1"/>
  <c r="C11416" i="1"/>
  <c r="A12597" i="1"/>
  <c r="B12597" i="1"/>
  <c r="C12597" i="1"/>
  <c r="A12610" i="1"/>
  <c r="B12610" i="1"/>
  <c r="C12610" i="1"/>
  <c r="A7707" i="1"/>
  <c r="B7707" i="1"/>
  <c r="C7707" i="1"/>
  <c r="A7706" i="1"/>
  <c r="B7706" i="1"/>
  <c r="C7706" i="1"/>
  <c r="A23854" i="1"/>
  <c r="B23854" i="1"/>
  <c r="C23854" i="1"/>
  <c r="A7739" i="1"/>
  <c r="B7739" i="1"/>
  <c r="C7739" i="1"/>
  <c r="A9060" i="1"/>
  <c r="B9060" i="1"/>
  <c r="C9060" i="1"/>
  <c r="A7325" i="1"/>
  <c r="B7325" i="1"/>
  <c r="C7325" i="1"/>
  <c r="A24807" i="1"/>
  <c r="B24807" i="1"/>
  <c r="C24807" i="1"/>
  <c r="A7324" i="1"/>
  <c r="B7324" i="1"/>
  <c r="C7324" i="1"/>
  <c r="A7323" i="1"/>
  <c r="B7323" i="1"/>
  <c r="C7323" i="1"/>
  <c r="A11344" i="1"/>
  <c r="B11344" i="1"/>
  <c r="C11344" i="1"/>
  <c r="A22225" i="1"/>
  <c r="B22225" i="1"/>
  <c r="C22225" i="1"/>
  <c r="A22226" i="1"/>
  <c r="B22226" i="1"/>
  <c r="C22226" i="1"/>
  <c r="A16817" i="1"/>
  <c r="B16817" i="1"/>
  <c r="C16817" i="1"/>
  <c r="A6106" i="1"/>
  <c r="B6106" i="1"/>
  <c r="C6106" i="1"/>
  <c r="A21787" i="1"/>
  <c r="B21787" i="1"/>
  <c r="C21787" i="1"/>
  <c r="A2875" i="1"/>
  <c r="B2875" i="1"/>
  <c r="C2875" i="1"/>
  <c r="A20931" i="1"/>
  <c r="B20931" i="1"/>
  <c r="C20931" i="1"/>
  <c r="A15248" i="1"/>
  <c r="B15248" i="1"/>
  <c r="C15248" i="1"/>
  <c r="A2566" i="1"/>
  <c r="B2566" i="1"/>
  <c r="C2566" i="1"/>
  <c r="A15251" i="1"/>
  <c r="B15251" i="1"/>
  <c r="C15251" i="1"/>
  <c r="A2876" i="1"/>
  <c r="B2876" i="1"/>
  <c r="C2876" i="1"/>
  <c r="A2873" i="1"/>
  <c r="B2873" i="1"/>
  <c r="C2873" i="1"/>
  <c r="A2870" i="1"/>
  <c r="B2870" i="1"/>
  <c r="C2870" i="1"/>
  <c r="A2869" i="1"/>
  <c r="B2869" i="1"/>
  <c r="C2869" i="1"/>
  <c r="A2814" i="1"/>
  <c r="B2814" i="1"/>
  <c r="C2814" i="1"/>
  <c r="A15105" i="1"/>
  <c r="B15105" i="1"/>
  <c r="C15105" i="1"/>
  <c r="A15106" i="1"/>
  <c r="B15106" i="1"/>
  <c r="C15106" i="1"/>
  <c r="A6573" i="1"/>
  <c r="B6573" i="1"/>
  <c r="C6573" i="1"/>
  <c r="A25584" i="1"/>
  <c r="B25584" i="1"/>
  <c r="C25584" i="1"/>
  <c r="A10641" i="1"/>
  <c r="B10641" i="1"/>
  <c r="C10641" i="1"/>
  <c r="A19030" i="1"/>
  <c r="B19030" i="1"/>
  <c r="C19030" i="1"/>
  <c r="A18584" i="1"/>
  <c r="B18584" i="1"/>
  <c r="C18584" i="1"/>
  <c r="A5807" i="1"/>
  <c r="B5807" i="1"/>
  <c r="C5807" i="1"/>
  <c r="A5960" i="1"/>
  <c r="B5960" i="1"/>
  <c r="C5960" i="1"/>
  <c r="A11184" i="1"/>
  <c r="B11184" i="1"/>
  <c r="C11184" i="1"/>
  <c r="A13376" i="1"/>
  <c r="B13376" i="1"/>
  <c r="C13376" i="1"/>
  <c r="A15450" i="1"/>
  <c r="B15450" i="1"/>
  <c r="C15450" i="1"/>
  <c r="A2949" i="1"/>
  <c r="B2949" i="1"/>
  <c r="C2949" i="1"/>
  <c r="A19719" i="1"/>
  <c r="B19719" i="1"/>
  <c r="C19719" i="1"/>
  <c r="A25180" i="1"/>
  <c r="B25180" i="1"/>
  <c r="C25180" i="1"/>
  <c r="A25197" i="1"/>
  <c r="B25197" i="1"/>
  <c r="C25197" i="1"/>
  <c r="A9079" i="1"/>
  <c r="B9079" i="1"/>
  <c r="C9079" i="1"/>
  <c r="A9552" i="1"/>
  <c r="B9552" i="1"/>
  <c r="C9552" i="1"/>
  <c r="A15308" i="1"/>
  <c r="B15308" i="1"/>
  <c r="C15308" i="1"/>
  <c r="A23785" i="1"/>
  <c r="B23785" i="1"/>
  <c r="C23785" i="1"/>
  <c r="A18179" i="1"/>
  <c r="B18179" i="1"/>
  <c r="C18179" i="1"/>
  <c r="A18178" i="1"/>
  <c r="B18178" i="1"/>
  <c r="C18178" i="1"/>
  <c r="A18180" i="1"/>
  <c r="B18180" i="1"/>
  <c r="C18180" i="1"/>
  <c r="A18843" i="1"/>
  <c r="B18843" i="1"/>
  <c r="C18843" i="1"/>
  <c r="A2020" i="1"/>
  <c r="B2020" i="1"/>
  <c r="C2020" i="1"/>
  <c r="A16816" i="1"/>
  <c r="B16816" i="1"/>
  <c r="C16816" i="1"/>
  <c r="A23734" i="1"/>
  <c r="B23734" i="1"/>
  <c r="C23734" i="1"/>
  <c r="A24655" i="1"/>
  <c r="B24655" i="1"/>
  <c r="C24655" i="1"/>
  <c r="A24510" i="1"/>
  <c r="B24510" i="1"/>
  <c r="C24510" i="1"/>
  <c r="A12728" i="1"/>
  <c r="B12728" i="1"/>
  <c r="C12728" i="1"/>
  <c r="A12824" i="1"/>
  <c r="B12824" i="1"/>
  <c r="C12824" i="1"/>
  <c r="A23907" i="1"/>
  <c r="B23907" i="1"/>
  <c r="C23907" i="1"/>
  <c r="A25726" i="1"/>
  <c r="B25726" i="1"/>
  <c r="C25726" i="1"/>
  <c r="A1775" i="1"/>
  <c r="B1775" i="1"/>
  <c r="C1775" i="1"/>
  <c r="A24539" i="1"/>
  <c r="B24539" i="1"/>
  <c r="C24539" i="1"/>
  <c r="A22262" i="1"/>
  <c r="B22262" i="1"/>
  <c r="C22262" i="1"/>
  <c r="A15658" i="1"/>
  <c r="B15658" i="1"/>
  <c r="C15658" i="1"/>
  <c r="A5892" i="1"/>
  <c r="B5892" i="1"/>
  <c r="C5892" i="1"/>
  <c r="A5879" i="1"/>
  <c r="B5879" i="1"/>
  <c r="C5879" i="1"/>
  <c r="A5907" i="1"/>
  <c r="B5907" i="1"/>
  <c r="C5907" i="1"/>
  <c r="A18454" i="1"/>
  <c r="B18454" i="1"/>
  <c r="C18454" i="1"/>
  <c r="A18456" i="1"/>
  <c r="B18456" i="1"/>
  <c r="C18456" i="1"/>
  <c r="A7297" i="1"/>
  <c r="B7297" i="1"/>
  <c r="C7297" i="1"/>
  <c r="A7298" i="1"/>
  <c r="B7298" i="1"/>
  <c r="C7298" i="1"/>
  <c r="A24803" i="1"/>
  <c r="B24803" i="1"/>
  <c r="C24803" i="1"/>
  <c r="A24804" i="1"/>
  <c r="B24804" i="1"/>
  <c r="C24804" i="1"/>
  <c r="A1183" i="1"/>
  <c r="B1183" i="1"/>
  <c r="C1183" i="1"/>
  <c r="A4789" i="1"/>
  <c r="B4789" i="1"/>
  <c r="C4789" i="1"/>
  <c r="A16240" i="1"/>
  <c r="B16240" i="1"/>
  <c r="C16240" i="1"/>
  <c r="A18079" i="1"/>
  <c r="B18079" i="1"/>
  <c r="C18079" i="1"/>
  <c r="A6093" i="1"/>
  <c r="B6093" i="1"/>
  <c r="C6093" i="1"/>
  <c r="A15108" i="1"/>
  <c r="B15108" i="1"/>
  <c r="C15108" i="1"/>
  <c r="A15107" i="1"/>
  <c r="B15107" i="1"/>
  <c r="C15107" i="1"/>
  <c r="A23396" i="1"/>
  <c r="B23396" i="1"/>
  <c r="C23396" i="1"/>
  <c r="A23395" i="1"/>
  <c r="B23395" i="1"/>
  <c r="C23395" i="1"/>
  <c r="A23397" i="1"/>
  <c r="B23397" i="1"/>
  <c r="C23397" i="1"/>
  <c r="A23398" i="1"/>
  <c r="B23398" i="1"/>
  <c r="C23398" i="1"/>
  <c r="A23419" i="1"/>
  <c r="B23419" i="1"/>
  <c r="C23419" i="1"/>
  <c r="A23412" i="1"/>
  <c r="B23412" i="1"/>
  <c r="C23412" i="1"/>
  <c r="A23408" i="1"/>
  <c r="B23408" i="1"/>
  <c r="C23408" i="1"/>
  <c r="A23449" i="1"/>
  <c r="B23449" i="1"/>
  <c r="C23449" i="1"/>
  <c r="A23451" i="1"/>
  <c r="B23451" i="1"/>
  <c r="C23451" i="1"/>
  <c r="A23450" i="1"/>
  <c r="B23450" i="1"/>
  <c r="C23450" i="1"/>
  <c r="A23448" i="1"/>
  <c r="B23448" i="1"/>
  <c r="C23448" i="1"/>
  <c r="A23420" i="1"/>
  <c r="B23420" i="1"/>
  <c r="C23420" i="1"/>
  <c r="A6397" i="1"/>
  <c r="B6397" i="1"/>
  <c r="C6397" i="1"/>
  <c r="A2033" i="1"/>
  <c r="B2033" i="1"/>
  <c r="C2033" i="1"/>
  <c r="A9096" i="1"/>
  <c r="B9096" i="1"/>
  <c r="C9096" i="1"/>
  <c r="A9097" i="1"/>
  <c r="B9097" i="1"/>
  <c r="C9097" i="1"/>
  <c r="A2042" i="1"/>
  <c r="B2042" i="1"/>
  <c r="C2042" i="1"/>
  <c r="A24606" i="1"/>
  <c r="B24606" i="1"/>
  <c r="C24606" i="1"/>
  <c r="A23208" i="1"/>
  <c r="B23208" i="1"/>
  <c r="C23208" i="1"/>
  <c r="A2044" i="1"/>
  <c r="B2044" i="1"/>
  <c r="C2044" i="1"/>
  <c r="A10230" i="1"/>
  <c r="B10230" i="1"/>
  <c r="C10230" i="1"/>
  <c r="A5730" i="1"/>
  <c r="B5730" i="1"/>
  <c r="C5730" i="1"/>
  <c r="A2036" i="1"/>
  <c r="B2036" i="1"/>
  <c r="C2036" i="1"/>
  <c r="A10299" i="1"/>
  <c r="B10299" i="1"/>
  <c r="C10299" i="1"/>
  <c r="A591" i="1"/>
  <c r="B591" i="1"/>
  <c r="C591" i="1"/>
  <c r="A5204" i="1"/>
  <c r="B5204" i="1"/>
  <c r="C5204" i="1"/>
  <c r="A24982" i="1"/>
  <c r="B24982" i="1"/>
  <c r="C24982" i="1"/>
  <c r="A11487" i="1"/>
  <c r="B11487" i="1"/>
  <c r="C11487" i="1"/>
  <c r="A25119" i="1"/>
  <c r="B25119" i="1"/>
  <c r="C25119" i="1"/>
  <c r="A24879" i="1"/>
  <c r="B24879" i="1"/>
  <c r="C24879" i="1"/>
  <c r="A15273" i="1"/>
  <c r="B15273" i="1"/>
  <c r="C15273" i="1"/>
  <c r="A19814" i="1"/>
  <c r="B19814" i="1"/>
  <c r="C19814" i="1"/>
  <c r="A25116" i="1"/>
  <c r="B25116" i="1"/>
  <c r="C25116" i="1"/>
  <c r="A15260" i="1"/>
  <c r="B15260" i="1"/>
  <c r="C15260" i="1"/>
  <c r="A15261" i="1"/>
  <c r="B15261" i="1"/>
  <c r="C15261" i="1"/>
  <c r="A24906" i="1"/>
  <c r="B24906" i="1"/>
  <c r="C24906" i="1"/>
  <c r="A25393" i="1"/>
  <c r="B25393" i="1"/>
  <c r="C25393" i="1"/>
  <c r="A20172" i="1"/>
  <c r="B20172" i="1"/>
  <c r="C20172" i="1"/>
  <c r="A20171" i="1"/>
  <c r="B20171" i="1"/>
  <c r="C20171" i="1"/>
  <c r="A19236" i="1"/>
  <c r="B19236" i="1"/>
  <c r="C19236" i="1"/>
  <c r="A9141" i="1"/>
  <c r="B9141" i="1"/>
  <c r="C9141" i="1"/>
  <c r="A3957" i="1"/>
  <c r="B3957" i="1"/>
  <c r="C3957" i="1"/>
  <c r="A23861" i="1"/>
  <c r="B23861" i="1"/>
  <c r="C23861" i="1"/>
  <c r="A821" i="1"/>
  <c r="B821" i="1"/>
  <c r="C821" i="1"/>
  <c r="A872" i="1"/>
  <c r="B872" i="1"/>
  <c r="C872" i="1"/>
  <c r="A19785" i="1"/>
  <c r="B19785" i="1"/>
  <c r="C19785" i="1"/>
  <c r="A25016" i="1"/>
  <c r="B25016" i="1"/>
  <c r="C25016" i="1"/>
  <c r="A18219" i="1"/>
  <c r="B18219" i="1"/>
  <c r="C18219" i="1"/>
  <c r="A748" i="1"/>
  <c r="B748" i="1"/>
  <c r="C748" i="1"/>
  <c r="A16252" i="1"/>
  <c r="B16252" i="1"/>
  <c r="C16252" i="1"/>
  <c r="A13980" i="1"/>
  <c r="B13980" i="1"/>
  <c r="C13980" i="1"/>
  <c r="A5995" i="1"/>
  <c r="B5995" i="1"/>
  <c r="C5995" i="1"/>
  <c r="A6282" i="1"/>
  <c r="B6282" i="1"/>
  <c r="C6282" i="1"/>
  <c r="A14636" i="1"/>
  <c r="B14636" i="1"/>
  <c r="C14636" i="1"/>
  <c r="A215" i="1"/>
  <c r="B215" i="1"/>
  <c r="C215" i="1"/>
  <c r="A16490" i="1"/>
  <c r="B16490" i="1"/>
  <c r="C16490" i="1"/>
  <c r="A22940" i="1"/>
  <c r="B22940" i="1"/>
  <c r="C22940" i="1"/>
  <c r="A18270" i="1"/>
  <c r="B18270" i="1"/>
  <c r="C18270" i="1"/>
  <c r="A24081" i="1"/>
  <c r="B24081" i="1"/>
  <c r="C24081" i="1"/>
  <c r="A12542" i="1"/>
  <c r="B12542" i="1"/>
  <c r="C12542" i="1"/>
  <c r="A2056" i="1"/>
  <c r="B2056" i="1"/>
  <c r="C2056" i="1"/>
  <c r="A20271" i="1"/>
  <c r="B20271" i="1"/>
  <c r="C20271" i="1"/>
  <c r="A23417" i="1"/>
  <c r="B23417" i="1"/>
  <c r="C23417" i="1"/>
  <c r="A23410" i="1"/>
  <c r="B23410" i="1"/>
  <c r="C23410" i="1"/>
  <c r="A23411" i="1"/>
  <c r="B23411" i="1"/>
  <c r="C23411" i="1"/>
  <c r="A23416" i="1"/>
  <c r="B23416" i="1"/>
  <c r="C23416" i="1"/>
  <c r="A19654" i="1"/>
  <c r="C19654" i="1"/>
  <c r="A13773" i="1"/>
  <c r="B13773" i="1"/>
  <c r="C13773" i="1"/>
  <c r="A23409" i="1"/>
  <c r="B23409" i="1"/>
  <c r="C23409" i="1"/>
  <c r="A1458" i="1"/>
  <c r="B1458" i="1"/>
  <c r="C1458" i="1"/>
  <c r="A18984" i="1"/>
  <c r="B18984" i="1"/>
  <c r="C18984" i="1"/>
  <c r="A3198" i="1"/>
  <c r="B3198" i="1"/>
  <c r="C3198" i="1"/>
  <c r="A2634" i="1"/>
  <c r="B2634" i="1"/>
  <c r="C2634" i="1"/>
  <c r="A5641" i="1"/>
  <c r="B5641" i="1"/>
  <c r="C5641" i="1"/>
  <c r="A4870" i="1"/>
  <c r="B4870" i="1"/>
  <c r="C4870" i="1"/>
  <c r="A13605" i="1"/>
  <c r="B13605" i="1"/>
  <c r="C13605" i="1"/>
  <c r="A22165" i="1"/>
  <c r="B22165" i="1"/>
  <c r="C22165" i="1"/>
  <c r="A6024" i="1"/>
  <c r="B6024" i="1"/>
  <c r="C6024" i="1"/>
  <c r="A5997" i="1"/>
  <c r="B5997" i="1"/>
  <c r="C5997" i="1"/>
  <c r="A12611" i="1"/>
  <c r="B12611" i="1"/>
  <c r="C12611" i="1"/>
  <c r="A9162" i="1"/>
  <c r="B9162" i="1"/>
  <c r="C9162" i="1"/>
  <c r="A9161" i="1"/>
  <c r="B9161" i="1"/>
  <c r="C9161" i="1"/>
  <c r="A4036" i="1"/>
  <c r="B4036" i="1"/>
  <c r="C4036" i="1"/>
  <c r="A7623" i="1"/>
  <c r="B7623" i="1"/>
  <c r="C7623" i="1"/>
  <c r="A23781" i="1"/>
  <c r="B23781" i="1"/>
  <c r="C23781" i="1"/>
  <c r="A25270" i="1"/>
  <c r="B25270" i="1"/>
  <c r="C25270" i="1"/>
  <c r="A23058" i="1"/>
  <c r="B23058" i="1"/>
  <c r="C23058" i="1"/>
  <c r="A15303" i="1"/>
  <c r="B15303" i="1"/>
  <c r="C15303" i="1"/>
  <c r="A15309" i="1"/>
  <c r="B15309" i="1"/>
  <c r="C15309" i="1"/>
  <c r="A19713" i="1"/>
  <c r="B19713" i="1"/>
  <c r="C19713" i="1"/>
  <c r="A8483" i="1"/>
  <c r="B8483" i="1"/>
  <c r="C8483" i="1"/>
  <c r="A17598" i="1"/>
  <c r="B17598" i="1"/>
  <c r="C17598" i="1"/>
  <c r="A17611" i="1"/>
  <c r="B17611" i="1"/>
  <c r="C17611" i="1"/>
  <c r="A5958" i="1"/>
  <c r="B5958" i="1"/>
  <c r="C5958" i="1"/>
  <c r="A8630" i="1"/>
  <c r="B8630" i="1"/>
  <c r="C8630" i="1"/>
  <c r="A9230" i="1"/>
  <c r="B9230" i="1"/>
  <c r="C9230" i="1"/>
  <c r="A23406" i="1"/>
  <c r="B23406" i="1"/>
  <c r="C23406" i="1"/>
  <c r="A14431" i="1"/>
  <c r="B14431" i="1"/>
  <c r="C14431" i="1"/>
  <c r="A14432" i="1"/>
  <c r="B14432" i="1"/>
  <c r="C14432" i="1"/>
  <c r="A15488" i="1"/>
  <c r="B15488" i="1"/>
  <c r="C15488" i="1"/>
  <c r="A23756" i="1"/>
  <c r="B23756" i="1"/>
  <c r="C23756" i="1"/>
  <c r="A23757" i="1"/>
  <c r="B23757" i="1"/>
  <c r="C23757" i="1"/>
  <c r="A15351" i="1"/>
  <c r="B15351" i="1"/>
  <c r="C15351" i="1"/>
  <c r="A15565" i="1"/>
  <c r="B15565" i="1"/>
  <c r="C15565" i="1"/>
  <c r="A21077" i="1"/>
  <c r="B21077" i="1"/>
  <c r="C21077" i="1"/>
  <c r="A6954" i="1"/>
  <c r="B6954" i="1"/>
  <c r="C6954" i="1"/>
  <c r="A18224" i="1"/>
  <c r="B18224" i="1"/>
  <c r="C18224" i="1"/>
  <c r="A18222" i="1"/>
  <c r="B18222" i="1"/>
  <c r="C18222" i="1"/>
  <c r="A18221" i="1"/>
  <c r="B18221" i="1"/>
  <c r="C18221" i="1"/>
  <c r="A18223" i="1"/>
  <c r="B18223" i="1"/>
  <c r="C18223" i="1"/>
  <c r="A11343" i="1"/>
  <c r="B11343" i="1"/>
  <c r="C11343" i="1"/>
  <c r="A2770" i="1"/>
  <c r="B2770" i="1"/>
  <c r="C2770" i="1"/>
  <c r="A11520" i="1"/>
  <c r="B11520" i="1"/>
  <c r="C11520" i="1"/>
  <c r="A8760" i="1"/>
  <c r="B8760" i="1"/>
  <c r="C8760" i="1"/>
  <c r="A24538" i="1"/>
  <c r="B24538" i="1"/>
  <c r="C24538" i="1"/>
  <c r="A24015" i="1"/>
  <c r="B24015" i="1"/>
  <c r="C24015" i="1"/>
  <c r="A1104" i="1"/>
  <c r="B1104" i="1"/>
  <c r="C1104" i="1"/>
  <c r="A23924" i="1"/>
  <c r="B23924" i="1"/>
  <c r="C23924" i="1"/>
  <c r="A8046" i="1"/>
  <c r="B8046" i="1"/>
  <c r="C8046" i="1"/>
  <c r="A10758" i="1"/>
  <c r="B10758" i="1"/>
  <c r="C10758" i="1"/>
  <c r="A20023" i="1"/>
  <c r="B20023" i="1"/>
  <c r="C20023" i="1"/>
  <c r="A2812" i="1"/>
  <c r="B2812" i="1"/>
  <c r="C2812" i="1"/>
  <c r="A10102" i="1"/>
  <c r="B10102" i="1"/>
  <c r="C10102" i="1"/>
  <c r="A14054" i="1"/>
  <c r="B14054" i="1"/>
  <c r="C14054" i="1"/>
  <c r="A14040" i="1"/>
  <c r="B14040" i="1"/>
  <c r="C14040" i="1"/>
  <c r="A14050" i="1"/>
  <c r="B14050" i="1"/>
  <c r="C14050" i="1"/>
  <c r="A14051" i="1"/>
  <c r="B14051" i="1"/>
  <c r="C14051" i="1"/>
  <c r="A14055" i="1"/>
  <c r="B14055" i="1"/>
  <c r="C14055" i="1"/>
  <c r="A16236" i="1"/>
  <c r="B16236" i="1"/>
  <c r="C16236" i="1"/>
  <c r="A900" i="1"/>
  <c r="B900" i="1"/>
  <c r="C900" i="1"/>
  <c r="A902" i="1"/>
  <c r="B902" i="1"/>
  <c r="C902" i="1"/>
  <c r="A912" i="1"/>
  <c r="B912" i="1"/>
  <c r="C912" i="1"/>
  <c r="A924" i="1"/>
  <c r="B924" i="1"/>
  <c r="C924" i="1"/>
  <c r="A925" i="1"/>
  <c r="B925" i="1"/>
  <c r="C925" i="1"/>
  <c r="A927" i="1"/>
  <c r="B927" i="1"/>
  <c r="C927" i="1"/>
  <c r="A938" i="1"/>
  <c r="B938" i="1"/>
  <c r="C938" i="1"/>
  <c r="A941" i="1"/>
  <c r="B941" i="1"/>
  <c r="C941" i="1"/>
  <c r="A23444" i="1"/>
  <c r="B23444" i="1"/>
  <c r="C23444" i="1"/>
  <c r="A23442" i="1"/>
  <c r="B23442" i="1"/>
  <c r="C23442" i="1"/>
  <c r="A23441" i="1"/>
  <c r="B23441" i="1"/>
  <c r="C23441" i="1"/>
  <c r="A23443" i="1"/>
  <c r="B23443" i="1"/>
  <c r="C23443" i="1"/>
  <c r="A23445" i="1"/>
  <c r="B23445" i="1"/>
  <c r="C23445" i="1"/>
  <c r="A8430" i="1"/>
  <c r="B8430" i="1"/>
  <c r="C8430" i="1"/>
  <c r="A13234" i="1"/>
  <c r="B13234" i="1"/>
  <c r="C13234" i="1"/>
  <c r="A17755" i="1"/>
  <c r="B17755" i="1"/>
  <c r="C17755" i="1"/>
  <c r="A10919" i="1"/>
  <c r="B10919" i="1"/>
  <c r="C10919" i="1"/>
  <c r="A6921" i="1"/>
  <c r="B6921" i="1"/>
  <c r="C6921" i="1"/>
  <c r="A22846" i="1"/>
  <c r="B22846" i="1"/>
  <c r="C22846" i="1"/>
  <c r="A22935" i="1"/>
  <c r="B22935" i="1"/>
  <c r="C22935" i="1"/>
  <c r="A6922" i="1"/>
  <c r="B6922" i="1"/>
  <c r="C6922" i="1"/>
  <c r="A6933" i="1"/>
  <c r="B6933" i="1"/>
  <c r="C6933" i="1"/>
  <c r="A5554" i="1"/>
  <c r="B5554" i="1"/>
  <c r="C5554" i="1"/>
  <c r="A5560" i="1"/>
  <c r="B5560" i="1"/>
  <c r="C5560" i="1"/>
  <c r="A14166" i="1"/>
  <c r="B14166" i="1"/>
  <c r="C14166" i="1"/>
  <c r="A8990" i="1"/>
  <c r="B8990" i="1"/>
  <c r="C8990" i="1"/>
  <c r="A1198" i="1"/>
  <c r="B1198" i="1"/>
  <c r="C1198" i="1"/>
  <c r="A1201" i="1"/>
  <c r="B1201" i="1"/>
  <c r="C1201" i="1"/>
  <c r="A1204" i="1"/>
  <c r="B1204" i="1"/>
  <c r="C1204" i="1"/>
  <c r="A1197" i="1"/>
  <c r="B1197" i="1"/>
  <c r="C1197" i="1"/>
  <c r="A1200" i="1"/>
  <c r="B1200" i="1"/>
  <c r="C1200" i="1"/>
  <c r="A1203" i="1"/>
  <c r="B1203" i="1"/>
  <c r="C1203" i="1"/>
  <c r="A1206" i="1"/>
  <c r="B1206" i="1"/>
  <c r="C1206" i="1"/>
  <c r="A1209" i="1"/>
  <c r="B1209" i="1"/>
  <c r="C1209" i="1"/>
  <c r="A1212" i="1"/>
  <c r="B1212" i="1"/>
  <c r="C1212" i="1"/>
  <c r="A1214" i="1"/>
  <c r="B1214" i="1"/>
  <c r="C1214" i="1"/>
  <c r="A1216" i="1"/>
  <c r="B1216" i="1"/>
  <c r="C1216" i="1"/>
  <c r="A1219" i="1"/>
  <c r="B1219" i="1"/>
  <c r="C1219" i="1"/>
  <c r="A1220" i="1"/>
  <c r="B1220" i="1"/>
  <c r="C1220" i="1"/>
  <c r="A1223" i="1"/>
  <c r="B1223" i="1"/>
  <c r="C1223" i="1"/>
  <c r="A1226" i="1"/>
  <c r="B1226" i="1"/>
  <c r="C1226" i="1"/>
  <c r="A1246" i="1"/>
  <c r="B1246" i="1"/>
  <c r="C1246" i="1"/>
  <c r="A2048" i="1"/>
  <c r="B2048" i="1"/>
  <c r="C2048" i="1"/>
  <c r="A16330" i="1"/>
  <c r="C16330" i="1"/>
  <c r="A22299" i="1"/>
  <c r="B22299" i="1"/>
  <c r="C22299" i="1"/>
  <c r="A14041" i="1"/>
  <c r="B14041" i="1"/>
  <c r="C14041" i="1"/>
  <c r="A9077" i="1"/>
  <c r="B9077" i="1"/>
  <c r="C9077" i="1"/>
  <c r="A12805" i="1"/>
  <c r="B12805" i="1"/>
  <c r="C12805" i="1"/>
  <c r="A16832" i="1"/>
  <c r="B16832" i="1"/>
  <c r="C16832" i="1"/>
  <c r="A16835" i="1"/>
  <c r="B16835" i="1"/>
  <c r="C16835" i="1"/>
  <c r="A9591" i="1"/>
  <c r="B9591" i="1"/>
  <c r="C9591" i="1"/>
  <c r="A9610" i="1"/>
  <c r="B9610" i="1"/>
  <c r="C9610" i="1"/>
  <c r="A5211" i="1"/>
  <c r="B5211" i="1"/>
  <c r="C5211" i="1"/>
  <c r="A6143" i="1"/>
  <c r="B6143" i="1"/>
  <c r="C6143" i="1"/>
  <c r="A19075" i="1"/>
  <c r="B19075" i="1"/>
  <c r="C19075" i="1"/>
  <c r="A19456" i="1"/>
  <c r="B19456" i="1"/>
  <c r="C19456" i="1"/>
  <c r="A14160" i="1"/>
  <c r="B14160" i="1"/>
  <c r="C14160" i="1"/>
  <c r="A20289" i="1"/>
  <c r="B20289" i="1"/>
  <c r="C20289" i="1"/>
  <c r="A16167" i="1"/>
  <c r="B16167" i="1"/>
  <c r="C16167" i="1"/>
  <c r="A15738" i="1"/>
  <c r="B15738" i="1"/>
  <c r="C15738" i="1"/>
  <c r="A15739" i="1"/>
  <c r="B15739" i="1"/>
  <c r="C15739" i="1"/>
  <c r="A16174" i="1"/>
  <c r="B16174" i="1"/>
  <c r="C16174" i="1"/>
  <c r="A2942" i="1"/>
  <c r="B2942" i="1"/>
  <c r="C2942" i="1"/>
  <c r="A2944" i="1"/>
  <c r="B2944" i="1"/>
  <c r="C2944" i="1"/>
  <c r="A11537" i="1"/>
  <c r="B11537" i="1"/>
  <c r="C11537" i="1"/>
  <c r="A10922" i="1"/>
  <c r="B10922" i="1"/>
  <c r="C10922" i="1"/>
  <c r="A21519" i="1"/>
  <c r="B21519" i="1"/>
  <c r="C21519" i="1"/>
  <c r="A15817" i="1"/>
  <c r="B15817" i="1"/>
  <c r="C15817" i="1"/>
  <c r="A4295" i="1"/>
  <c r="B4295" i="1"/>
  <c r="C4295" i="1"/>
  <c r="A10310" i="1"/>
  <c r="B10310" i="1"/>
  <c r="C10310" i="1"/>
  <c r="A5881" i="1"/>
  <c r="B5881" i="1"/>
  <c r="C5881" i="1"/>
  <c r="A25378" i="1"/>
  <c r="B25378" i="1"/>
  <c r="C25378" i="1"/>
  <c r="A1059" i="1"/>
  <c r="B1059" i="1"/>
  <c r="C1059" i="1"/>
  <c r="A10274" i="1"/>
  <c r="B10274" i="1"/>
  <c r="C10274" i="1"/>
  <c r="A23271" i="1"/>
  <c r="B23271" i="1"/>
  <c r="C23271" i="1"/>
  <c r="A7481" i="1"/>
  <c r="B7481" i="1"/>
  <c r="C7481" i="1"/>
  <c r="A8227" i="1"/>
  <c r="B8227" i="1"/>
  <c r="C8227" i="1"/>
  <c r="A8631" i="1"/>
  <c r="B8631" i="1"/>
  <c r="C8631" i="1"/>
  <c r="A21892" i="1"/>
  <c r="B21892" i="1"/>
  <c r="C21892" i="1"/>
  <c r="A21776" i="1"/>
  <c r="B21776" i="1"/>
  <c r="C21776" i="1"/>
  <c r="A15147" i="1"/>
  <c r="B15147" i="1"/>
  <c r="C15147" i="1"/>
  <c r="A265" i="1"/>
  <c r="B265" i="1"/>
  <c r="C265" i="1"/>
  <c r="A19894" i="1"/>
  <c r="B19894" i="1"/>
  <c r="C19894" i="1"/>
  <c r="A14332" i="1"/>
  <c r="B14332" i="1"/>
  <c r="C14332" i="1"/>
  <c r="A14220" i="1"/>
  <c r="B14220" i="1"/>
  <c r="C14220" i="1"/>
  <c r="A9078" i="1"/>
  <c r="B9078" i="1"/>
  <c r="C9078" i="1"/>
  <c r="A9081" i="1"/>
  <c r="B9081" i="1"/>
  <c r="C9081" i="1"/>
  <c r="A10696" i="1"/>
  <c r="B10696" i="1"/>
  <c r="C10696" i="1"/>
  <c r="A10695" i="1"/>
  <c r="B10695" i="1"/>
  <c r="C10695" i="1"/>
  <c r="A10140" i="1"/>
  <c r="B10140" i="1"/>
  <c r="C10140" i="1"/>
  <c r="A9519" i="1"/>
  <c r="B9519" i="1"/>
  <c r="C9519" i="1"/>
  <c r="A20060" i="1"/>
  <c r="B20060" i="1"/>
  <c r="C20060" i="1"/>
  <c r="A19715" i="1"/>
  <c r="B19715" i="1"/>
  <c r="C19715" i="1"/>
  <c r="A15104" i="1"/>
  <c r="B15104" i="1"/>
  <c r="C15104" i="1"/>
  <c r="A4013" i="1"/>
  <c r="B4013" i="1"/>
  <c r="C4013" i="1"/>
  <c r="A4014" i="1"/>
  <c r="B4014" i="1"/>
  <c r="C4014" i="1"/>
  <c r="A15121" i="1"/>
  <c r="B15121" i="1"/>
  <c r="C15121" i="1"/>
  <c r="A15122" i="1"/>
  <c r="B15122" i="1"/>
  <c r="C15122" i="1"/>
  <c r="A15123" i="1"/>
  <c r="B15123" i="1"/>
  <c r="C15123" i="1"/>
  <c r="A15124" i="1"/>
  <c r="B15124" i="1"/>
  <c r="C15124" i="1"/>
  <c r="A24428" i="1"/>
  <c r="B24428" i="1"/>
  <c r="C24428" i="1"/>
  <c r="A20304" i="1"/>
  <c r="B20304" i="1"/>
  <c r="C20304" i="1"/>
  <c r="A1499" i="1"/>
  <c r="B1499" i="1"/>
  <c r="C1499" i="1"/>
  <c r="A3518" i="1"/>
  <c r="B3518" i="1"/>
  <c r="C3518" i="1"/>
  <c r="A3519" i="1"/>
  <c r="B3519" i="1"/>
  <c r="C3519" i="1"/>
  <c r="A4238" i="1"/>
  <c r="B4238" i="1"/>
  <c r="C4238" i="1"/>
  <c r="A4320" i="1"/>
  <c r="B4320" i="1"/>
  <c r="C4320" i="1"/>
  <c r="A6394" i="1"/>
  <c r="B6394" i="1"/>
  <c r="C6394" i="1"/>
  <c r="A14590" i="1"/>
  <c r="B14590" i="1"/>
  <c r="C14590" i="1"/>
  <c r="A7118" i="1"/>
  <c r="B7118" i="1"/>
  <c r="C7118" i="1"/>
  <c r="A7515" i="1"/>
  <c r="B7515" i="1"/>
  <c r="C7515" i="1"/>
  <c r="A16467" i="1"/>
  <c r="B16467" i="1"/>
  <c r="C16467" i="1"/>
  <c r="A18175" i="1"/>
  <c r="B18175" i="1"/>
  <c r="C18175" i="1"/>
  <c r="A22556" i="1"/>
  <c r="B22556" i="1"/>
  <c r="C22556" i="1"/>
  <c r="A22555" i="1"/>
  <c r="B22555" i="1"/>
  <c r="C22555" i="1"/>
  <c r="A9069" i="1"/>
  <c r="B9069" i="1"/>
  <c r="C9069" i="1"/>
  <c r="A9052" i="1"/>
  <c r="B9052" i="1"/>
  <c r="C9052" i="1"/>
  <c r="A22298" i="1"/>
  <c r="B22298" i="1"/>
  <c r="C22298" i="1"/>
  <c r="A7616" i="1"/>
  <c r="B7616" i="1"/>
  <c r="C7616" i="1"/>
  <c r="A7630" i="1"/>
  <c r="B7630" i="1"/>
  <c r="C7630" i="1"/>
  <c r="A7604" i="1"/>
  <c r="B7604" i="1"/>
  <c r="C7604" i="1"/>
  <c r="A2636" i="1"/>
  <c r="B2636" i="1"/>
  <c r="C2636" i="1"/>
  <c r="A235" i="1"/>
  <c r="B235" i="1"/>
  <c r="C235" i="1"/>
  <c r="A236" i="1"/>
  <c r="B236" i="1"/>
  <c r="C236" i="1"/>
  <c r="A11186" i="1"/>
  <c r="B11186" i="1"/>
  <c r="C11186" i="1"/>
  <c r="A14901" i="1"/>
  <c r="B14901" i="1"/>
  <c r="C14901" i="1"/>
  <c r="A24259" i="1"/>
  <c r="B24259" i="1"/>
  <c r="C24259" i="1"/>
  <c r="A6944" i="1"/>
  <c r="B6944" i="1"/>
  <c r="C6944" i="1"/>
  <c r="A789" i="1"/>
  <c r="B789" i="1"/>
  <c r="C789" i="1"/>
  <c r="A878" i="1"/>
  <c r="C878" i="1"/>
  <c r="A5904" i="1"/>
  <c r="B5904" i="1"/>
  <c r="C5904" i="1"/>
  <c r="A5905" i="1"/>
  <c r="B5905" i="1"/>
  <c r="C5905" i="1"/>
  <c r="A18826" i="1"/>
  <c r="B18826" i="1"/>
  <c r="C18826" i="1"/>
  <c r="A2952" i="1"/>
  <c r="B2952" i="1"/>
  <c r="C2952" i="1"/>
  <c r="A3037" i="1"/>
  <c r="B3037" i="1"/>
  <c r="C3037" i="1"/>
  <c r="A8885" i="1"/>
  <c r="B8885" i="1"/>
  <c r="C8885" i="1"/>
  <c r="A2072" i="1"/>
  <c r="B2072" i="1"/>
  <c r="C2072" i="1"/>
  <c r="A13589" i="1"/>
  <c r="B13589" i="1"/>
  <c r="C13589" i="1"/>
  <c r="A21681" i="1"/>
  <c r="B21681" i="1"/>
  <c r="C21681" i="1"/>
  <c r="A16809" i="1"/>
  <c r="B16809" i="1"/>
  <c r="C16809" i="1"/>
  <c r="A21962" i="1"/>
  <c r="B21962" i="1"/>
  <c r="C21962" i="1"/>
  <c r="A25286" i="1"/>
  <c r="B25286" i="1"/>
  <c r="C25286" i="1"/>
  <c r="A24858" i="1"/>
  <c r="B24858" i="1"/>
  <c r="C24858" i="1"/>
  <c r="A15274" i="1"/>
  <c r="B15274" i="1"/>
  <c r="C15274" i="1"/>
  <c r="A15275" i="1"/>
  <c r="B15275" i="1"/>
  <c r="C15275" i="1"/>
  <c r="A2938" i="1"/>
  <c r="B2938" i="1"/>
  <c r="C2938" i="1"/>
  <c r="A13911" i="1"/>
  <c r="B13911" i="1"/>
  <c r="C13911" i="1"/>
  <c r="A16278" i="1"/>
  <c r="B16278" i="1"/>
  <c r="C16278" i="1"/>
  <c r="A877" i="1"/>
  <c r="C877" i="1"/>
  <c r="A23897" i="1"/>
  <c r="B23897" i="1"/>
  <c r="C23897" i="1"/>
  <c r="A22309" i="1"/>
  <c r="B22309" i="1"/>
  <c r="C22309" i="1"/>
  <c r="A19900" i="1"/>
  <c r="B19900" i="1"/>
  <c r="C19900" i="1"/>
  <c r="A19901" i="1"/>
  <c r="B19901" i="1"/>
  <c r="C19901" i="1"/>
  <c r="A19807" i="1"/>
  <c r="B19807" i="1"/>
  <c r="C19807" i="1"/>
  <c r="A9031" i="1"/>
  <c r="B9031" i="1"/>
  <c r="C9031" i="1"/>
  <c r="A9032" i="1"/>
  <c r="B9032" i="1"/>
  <c r="C9032" i="1"/>
  <c r="A8168" i="1"/>
  <c r="B8168" i="1"/>
  <c r="C8168" i="1"/>
  <c r="A3637" i="1"/>
  <c r="B3637" i="1"/>
  <c r="C3637" i="1"/>
  <c r="A12639" i="1"/>
  <c r="B12639" i="1"/>
  <c r="C12639" i="1"/>
  <c r="A18605" i="1"/>
  <c r="B18605" i="1"/>
  <c r="C18605" i="1"/>
  <c r="A15071" i="1"/>
  <c r="B15071" i="1"/>
  <c r="C15071" i="1"/>
  <c r="A15076" i="1"/>
  <c r="B15076" i="1"/>
  <c r="C15076" i="1"/>
  <c r="A5873" i="1"/>
  <c r="B5873" i="1"/>
  <c r="C5873" i="1"/>
  <c r="A16064" i="1"/>
  <c r="B16064" i="1"/>
  <c r="C16064" i="1"/>
  <c r="A6546" i="1"/>
  <c r="B6546" i="1"/>
  <c r="C6546" i="1"/>
  <c r="A9064" i="1"/>
  <c r="B9064" i="1"/>
  <c r="C9064" i="1"/>
  <c r="A9056" i="1"/>
  <c r="B9056" i="1"/>
  <c r="C9056" i="1"/>
  <c r="A7553" i="1"/>
  <c r="B7553" i="1"/>
  <c r="C7553" i="1"/>
  <c r="A7629" i="1"/>
  <c r="B7629" i="1"/>
  <c r="C7629" i="1"/>
  <c r="A7624" i="1"/>
  <c r="B7624" i="1"/>
  <c r="C7624" i="1"/>
  <c r="A22957" i="1"/>
  <c r="B22957" i="1"/>
  <c r="C22957" i="1"/>
  <c r="A14476" i="1"/>
  <c r="B14476" i="1"/>
  <c r="C14476" i="1"/>
  <c r="A17239" i="1"/>
  <c r="B17239" i="1"/>
  <c r="C17239" i="1"/>
  <c r="A24242" i="1"/>
  <c r="B24242" i="1"/>
  <c r="C24242" i="1"/>
  <c r="A7615" i="1"/>
  <c r="B7615" i="1"/>
  <c r="C7615" i="1"/>
  <c r="A16812" i="1"/>
  <c r="B16812" i="1"/>
  <c r="C16812" i="1"/>
  <c r="A16063" i="1"/>
  <c r="B16063" i="1"/>
  <c r="C16063" i="1"/>
  <c r="A21090" i="1"/>
  <c r="B21090" i="1"/>
  <c r="C21090" i="1"/>
  <c r="A22308" i="1"/>
  <c r="B22308" i="1"/>
  <c r="C22308" i="1"/>
  <c r="A1770" i="1"/>
  <c r="B1770" i="1"/>
  <c r="C1770" i="1"/>
  <c r="A1769" i="1"/>
  <c r="B1769" i="1"/>
  <c r="C1769" i="1"/>
  <c r="A10277" i="1"/>
  <c r="B10277" i="1"/>
  <c r="C10277" i="1"/>
  <c r="A21094" i="1"/>
  <c r="B21094" i="1"/>
  <c r="C21094" i="1"/>
  <c r="A15361" i="1"/>
  <c r="B15361" i="1"/>
  <c r="C15361" i="1"/>
  <c r="A23980" i="1"/>
  <c r="B23980" i="1"/>
  <c r="C23980" i="1"/>
  <c r="A23979" i="1"/>
  <c r="B23979" i="1"/>
  <c r="C23979" i="1"/>
  <c r="A23978" i="1"/>
  <c r="B23978" i="1"/>
  <c r="C23978" i="1"/>
  <c r="A23837" i="1"/>
  <c r="B23837" i="1"/>
  <c r="C23837" i="1"/>
  <c r="A6960" i="1"/>
  <c r="B6960" i="1"/>
  <c r="C6960" i="1"/>
  <c r="A15127" i="1"/>
  <c r="B15127" i="1"/>
  <c r="C15127" i="1"/>
  <c r="A12491" i="1"/>
  <c r="B12491" i="1"/>
  <c r="C12491" i="1"/>
  <c r="A1636" i="1"/>
  <c r="B1636" i="1"/>
  <c r="C1636" i="1"/>
  <c r="A1635" i="1"/>
  <c r="B1635" i="1"/>
  <c r="C1635" i="1"/>
  <c r="A1631" i="1"/>
  <c r="B1631" i="1"/>
  <c r="C1631" i="1"/>
  <c r="A962" i="1"/>
  <c r="B962" i="1"/>
  <c r="C962" i="1"/>
  <c r="A961" i="1"/>
  <c r="B961" i="1"/>
  <c r="C961" i="1"/>
  <c r="A999" i="1"/>
  <c r="B999" i="1"/>
  <c r="C999" i="1"/>
  <c r="A1126" i="1"/>
  <c r="B1126" i="1"/>
  <c r="C1126" i="1"/>
  <c r="A7269" i="1"/>
  <c r="B7269" i="1"/>
  <c r="C7269" i="1"/>
  <c r="A2824" i="1"/>
  <c r="B2824" i="1"/>
  <c r="C2824" i="1"/>
  <c r="A7270" i="1"/>
  <c r="B7270" i="1"/>
  <c r="C7270" i="1"/>
  <c r="A17609" i="1"/>
  <c r="B17609" i="1"/>
  <c r="C17609" i="1"/>
  <c r="A24976" i="1"/>
  <c r="B24976" i="1"/>
  <c r="C24976" i="1"/>
  <c r="A24977" i="1"/>
  <c r="B24977" i="1"/>
  <c r="C24977" i="1"/>
  <c r="A1908" i="1"/>
  <c r="B1908" i="1"/>
  <c r="C1908" i="1"/>
  <c r="A23783" i="1"/>
  <c r="B23783" i="1"/>
  <c r="C23783" i="1"/>
  <c r="A23784" i="1"/>
  <c r="B23784" i="1"/>
  <c r="C23784" i="1"/>
  <c r="A19041" i="1"/>
  <c r="B19041" i="1"/>
  <c r="C19041" i="1"/>
  <c r="A24578" i="1"/>
  <c r="B24578" i="1"/>
  <c r="C24578" i="1"/>
  <c r="A8292" i="1"/>
  <c r="B8292" i="1"/>
  <c r="C8292" i="1"/>
  <c r="A7397" i="1"/>
  <c r="B7397" i="1"/>
  <c r="C7397" i="1"/>
  <c r="A8842" i="1"/>
  <c r="B8842" i="1"/>
  <c r="C8842" i="1"/>
  <c r="A19651" i="1"/>
  <c r="C19651" i="1"/>
  <c r="A21106" i="1"/>
  <c r="B21106" i="1"/>
  <c r="C21106" i="1"/>
  <c r="A666" i="1"/>
  <c r="B666" i="1"/>
  <c r="C666" i="1"/>
  <c r="A16517" i="1"/>
  <c r="B16517" i="1"/>
  <c r="C16517" i="1"/>
  <c r="A1671" i="1"/>
  <c r="B1671" i="1"/>
  <c r="C1671" i="1"/>
  <c r="A12739" i="1"/>
  <c r="B12739" i="1"/>
  <c r="C12739" i="1"/>
  <c r="A1793" i="1"/>
  <c r="B1793" i="1"/>
  <c r="C1793" i="1"/>
  <c r="A2865" i="1"/>
  <c r="C2865" i="1"/>
  <c r="A2863" i="1"/>
  <c r="C2863" i="1"/>
  <c r="A13981" i="1"/>
  <c r="B13981" i="1"/>
  <c r="C13981" i="1"/>
  <c r="A23275" i="1"/>
  <c r="B23275" i="1"/>
  <c r="C23275" i="1"/>
  <c r="A11515" i="1"/>
  <c r="B11515" i="1"/>
  <c r="C11515" i="1"/>
  <c r="A5754" i="1"/>
  <c r="B5754" i="1"/>
  <c r="C5754" i="1"/>
  <c r="A25630" i="1"/>
  <c r="B25630" i="1"/>
  <c r="C25630" i="1"/>
  <c r="A25631" i="1"/>
  <c r="B25631" i="1"/>
  <c r="C25631" i="1"/>
  <c r="A634" i="1"/>
  <c r="B634" i="1"/>
  <c r="C634" i="1"/>
  <c r="A12646" i="1"/>
  <c r="B12646" i="1"/>
  <c r="C12646" i="1"/>
  <c r="A12645" i="1"/>
  <c r="B12645" i="1"/>
  <c r="C12645" i="1"/>
  <c r="A21477" i="1"/>
  <c r="B21477" i="1"/>
  <c r="C21477" i="1"/>
  <c r="A12647" i="1"/>
  <c r="B12647" i="1"/>
  <c r="C12647" i="1"/>
  <c r="A21478" i="1"/>
  <c r="B21478" i="1"/>
  <c r="C21478" i="1"/>
  <c r="A21479" i="1"/>
  <c r="B21479" i="1"/>
  <c r="C21479" i="1"/>
  <c r="A20191" i="1"/>
  <c r="B20191" i="1"/>
  <c r="C20191" i="1"/>
  <c r="A4458" i="1"/>
  <c r="B4458" i="1"/>
  <c r="C4458" i="1"/>
  <c r="A11739" i="1"/>
  <c r="B11739" i="1"/>
  <c r="C11739" i="1"/>
  <c r="A4811" i="1"/>
  <c r="B4811" i="1"/>
  <c r="C4811" i="1"/>
  <c r="A11089" i="1"/>
  <c r="B11089" i="1"/>
  <c r="C11089" i="1"/>
  <c r="A11748" i="1"/>
  <c r="B11748" i="1"/>
  <c r="C11748" i="1"/>
  <c r="A15744" i="1"/>
  <c r="B15744" i="1"/>
  <c r="C15744" i="1"/>
  <c r="A23154" i="1"/>
  <c r="B23154" i="1"/>
  <c r="C23154" i="1"/>
  <c r="A22315" i="1"/>
  <c r="B22315" i="1"/>
  <c r="C22315" i="1"/>
  <c r="A1673" i="1"/>
  <c r="B1673" i="1"/>
  <c r="C1673" i="1"/>
  <c r="A22248" i="1"/>
  <c r="B22248" i="1"/>
  <c r="C22248" i="1"/>
  <c r="A23056" i="1"/>
  <c r="B23056" i="1"/>
  <c r="C23056" i="1"/>
  <c r="A16799" i="1"/>
  <c r="B16799" i="1"/>
  <c r="C16799" i="1"/>
  <c r="A16800" i="1"/>
  <c r="B16800" i="1"/>
  <c r="C16800" i="1"/>
  <c r="A16537" i="1"/>
  <c r="B16537" i="1"/>
  <c r="C16537" i="1"/>
  <c r="A24396" i="1"/>
  <c r="B24396" i="1"/>
  <c r="C24396" i="1"/>
  <c r="A16406" i="1"/>
  <c r="B16406" i="1"/>
  <c r="C16406" i="1"/>
  <c r="A4401" i="1"/>
  <c r="B4401" i="1"/>
  <c r="C4401" i="1"/>
  <c r="A16550" i="1"/>
  <c r="B16550" i="1"/>
  <c r="C16550" i="1"/>
  <c r="A12371" i="1"/>
  <c r="B12371" i="1"/>
  <c r="C12371" i="1"/>
  <c r="A21630" i="1"/>
  <c r="B21630" i="1"/>
  <c r="C21630" i="1"/>
  <c r="A25099" i="1"/>
  <c r="B25099" i="1"/>
  <c r="C25099" i="1"/>
  <c r="A16549" i="1"/>
  <c r="B16549" i="1"/>
  <c r="C16549" i="1"/>
  <c r="A16092" i="1"/>
  <c r="B16092" i="1"/>
  <c r="C16092" i="1"/>
  <c r="A12429" i="1"/>
  <c r="B12429" i="1"/>
  <c r="C12429" i="1"/>
  <c r="A25297" i="1"/>
  <c r="B25297" i="1"/>
  <c r="C25297" i="1"/>
  <c r="A21628" i="1"/>
  <c r="B21628" i="1"/>
  <c r="C21628" i="1"/>
  <c r="A16000" i="1"/>
  <c r="B16000" i="1"/>
  <c r="C16000" i="1"/>
  <c r="A744" i="1"/>
  <c r="B744" i="1"/>
  <c r="C744" i="1"/>
  <c r="A25194" i="1"/>
  <c r="B25194" i="1"/>
  <c r="C25194" i="1"/>
  <c r="A21625" i="1"/>
  <c r="B21625" i="1"/>
  <c r="C21625" i="1"/>
  <c r="A13542" i="1"/>
  <c r="B13542" i="1"/>
  <c r="C13542" i="1"/>
  <c r="A743" i="1"/>
  <c r="B743" i="1"/>
  <c r="C743" i="1"/>
  <c r="A13543" i="1"/>
  <c r="B13543" i="1"/>
  <c r="C13543" i="1"/>
  <c r="A13537" i="1"/>
  <c r="B13537" i="1"/>
  <c r="C13537" i="1"/>
  <c r="A960" i="1"/>
  <c r="B960" i="1"/>
  <c r="C960" i="1"/>
  <c r="A742" i="1"/>
  <c r="B742" i="1"/>
  <c r="C742" i="1"/>
  <c r="A12028" i="1"/>
  <c r="B12028" i="1"/>
  <c r="C12028" i="1"/>
  <c r="A24198" i="1"/>
  <c r="B24198" i="1"/>
  <c r="C24198" i="1"/>
  <c r="A5799" i="1"/>
  <c r="B5799" i="1"/>
  <c r="C5799" i="1"/>
  <c r="A15078" i="1"/>
  <c r="B15078" i="1"/>
  <c r="C15078" i="1"/>
  <c r="A15077" i="1"/>
  <c r="B15077" i="1"/>
  <c r="C15077" i="1"/>
  <c r="A24832" i="1"/>
  <c r="B24832" i="1"/>
  <c r="C24832" i="1"/>
  <c r="A24834" i="1"/>
  <c r="B24834" i="1"/>
  <c r="C24834" i="1"/>
  <c r="A18985" i="1"/>
  <c r="B18985" i="1"/>
  <c r="C18985" i="1"/>
  <c r="A21774" i="1"/>
  <c r="B21774" i="1"/>
  <c r="C21774" i="1"/>
  <c r="A21853" i="1"/>
  <c r="B21853" i="1"/>
  <c r="C21853" i="1"/>
  <c r="A20208" i="1"/>
  <c r="B20208" i="1"/>
  <c r="C20208" i="1"/>
  <c r="A23740" i="1"/>
  <c r="B23740" i="1"/>
  <c r="C23740" i="1"/>
  <c r="A9872" i="1"/>
  <c r="B9872" i="1"/>
  <c r="C9872" i="1"/>
  <c r="A23745" i="1"/>
  <c r="B23745" i="1"/>
  <c r="C23745" i="1"/>
  <c r="A20213" i="1"/>
  <c r="B20213" i="1"/>
  <c r="C20213" i="1"/>
  <c r="A18089" i="1"/>
  <c r="B18089" i="1"/>
  <c r="C18089" i="1"/>
  <c r="A18090" i="1"/>
  <c r="B18090" i="1"/>
  <c r="C18090" i="1"/>
  <c r="A20209" i="1"/>
  <c r="B20209" i="1"/>
  <c r="C20209" i="1"/>
  <c r="A23744" i="1"/>
  <c r="B23744" i="1"/>
  <c r="C23744" i="1"/>
  <c r="A19217" i="1"/>
  <c r="B19217" i="1"/>
  <c r="C19217" i="1"/>
  <c r="A12658" i="1"/>
  <c r="B12658" i="1"/>
  <c r="C12658" i="1"/>
  <c r="A21898" i="1"/>
  <c r="B21898" i="1"/>
  <c r="C21898" i="1"/>
  <c r="A21842" i="1"/>
  <c r="B21842" i="1"/>
  <c r="C21842" i="1"/>
  <c r="A25064" i="1"/>
  <c r="B25064" i="1"/>
  <c r="C25064" i="1"/>
  <c r="A25068" i="1"/>
  <c r="B25068" i="1"/>
  <c r="C25068" i="1"/>
  <c r="A25069" i="1"/>
  <c r="B25069" i="1"/>
  <c r="C25069" i="1"/>
  <c r="A21815" i="1"/>
  <c r="B21815" i="1"/>
  <c r="C21815" i="1"/>
  <c r="A12087" i="1"/>
  <c r="B12087" i="1"/>
  <c r="C12087" i="1"/>
  <c r="A12088" i="1"/>
  <c r="B12088" i="1"/>
  <c r="C12088" i="1"/>
  <c r="A13808" i="1"/>
  <c r="B13808" i="1"/>
  <c r="C13808" i="1"/>
  <c r="A21876" i="1"/>
  <c r="B21876" i="1"/>
  <c r="C21876" i="1"/>
  <c r="A12323" i="1"/>
  <c r="B12323" i="1"/>
  <c r="C12323" i="1"/>
  <c r="A23100" i="1"/>
  <c r="B23100" i="1"/>
  <c r="C23100" i="1"/>
  <c r="A19699" i="1"/>
  <c r="B19699" i="1"/>
  <c r="C19699" i="1"/>
  <c r="A19904" i="1"/>
  <c r="B19904" i="1"/>
  <c r="C19904" i="1"/>
  <c r="A19906" i="1"/>
  <c r="B19906" i="1"/>
  <c r="C19906" i="1"/>
  <c r="A19907" i="1"/>
  <c r="B19907" i="1"/>
  <c r="C19907" i="1"/>
  <c r="A15944" i="1"/>
  <c r="B15944" i="1"/>
  <c r="C15944" i="1"/>
  <c r="A24211" i="1"/>
  <c r="B24211" i="1"/>
  <c r="C24211" i="1"/>
  <c r="A8405" i="1"/>
  <c r="B8405" i="1"/>
  <c r="C8405" i="1"/>
  <c r="A18852" i="1"/>
  <c r="B18852" i="1"/>
  <c r="C18852" i="1"/>
  <c r="A4840" i="1"/>
  <c r="B4840" i="1"/>
  <c r="C4840" i="1"/>
  <c r="A4861" i="1"/>
  <c r="B4861" i="1"/>
  <c r="C4861" i="1"/>
  <c r="A4855" i="1"/>
  <c r="B4855" i="1"/>
  <c r="C4855" i="1"/>
  <c r="A16830" i="1"/>
  <c r="B16830" i="1"/>
  <c r="C16830" i="1"/>
  <c r="A19893" i="1"/>
  <c r="B19893" i="1"/>
  <c r="C19893" i="1"/>
  <c r="A19890" i="1"/>
  <c r="B19890" i="1"/>
  <c r="C19890" i="1"/>
  <c r="A4087" i="1"/>
  <c r="B4087" i="1"/>
  <c r="C4087" i="1"/>
  <c r="A6495" i="1"/>
  <c r="B6495" i="1"/>
  <c r="C6495" i="1"/>
  <c r="A6267" i="1"/>
  <c r="B6267" i="1"/>
  <c r="C6267" i="1"/>
  <c r="A7730" i="1"/>
  <c r="B7730" i="1"/>
  <c r="C7730" i="1"/>
  <c r="A23768" i="1"/>
  <c r="B23768" i="1"/>
  <c r="C23768" i="1"/>
  <c r="A19454" i="1"/>
  <c r="B19454" i="1"/>
  <c r="C19454" i="1"/>
  <c r="A14162" i="1"/>
  <c r="B14162" i="1"/>
  <c r="C14162" i="1"/>
  <c r="A6958" i="1"/>
  <c r="B6958" i="1"/>
  <c r="C6958" i="1"/>
  <c r="A8291" i="1"/>
  <c r="B8291" i="1"/>
  <c r="C8291" i="1"/>
  <c r="A24577" i="1"/>
  <c r="B24577" i="1"/>
  <c r="C24577" i="1"/>
  <c r="A18333" i="1"/>
  <c r="B18333" i="1"/>
  <c r="C18333" i="1"/>
  <c r="A6333" i="1"/>
  <c r="B6333" i="1"/>
  <c r="C6333" i="1"/>
  <c r="A6263" i="1"/>
  <c r="B6263" i="1"/>
  <c r="C6263" i="1"/>
  <c r="A2830" i="1"/>
  <c r="B2830" i="1"/>
  <c r="C2830" i="1"/>
  <c r="A6976" i="1"/>
  <c r="B6976" i="1"/>
  <c r="C6976" i="1"/>
  <c r="A15128" i="1"/>
  <c r="B15128" i="1"/>
  <c r="C15128" i="1"/>
  <c r="A21008" i="1"/>
  <c r="B21008" i="1"/>
  <c r="C21008" i="1"/>
  <c r="A17540" i="1"/>
  <c r="B17540" i="1"/>
  <c r="C17540" i="1"/>
  <c r="A21765" i="1"/>
  <c r="B21765" i="1"/>
  <c r="C21765" i="1"/>
  <c r="A1394" i="1"/>
  <c r="B1394" i="1"/>
  <c r="C1394" i="1"/>
  <c r="A8961" i="1"/>
  <c r="B8961" i="1"/>
  <c r="C8961" i="1"/>
  <c r="A13713" i="1"/>
  <c r="B13713" i="1"/>
  <c r="C13713" i="1"/>
  <c r="A18587" i="1"/>
  <c r="B18587" i="1"/>
  <c r="C18587" i="1"/>
  <c r="A7766" i="1"/>
  <c r="B7766" i="1"/>
  <c r="C7766" i="1"/>
  <c r="A1312" i="1"/>
  <c r="B1312" i="1"/>
  <c r="C1312" i="1"/>
  <c r="A1311" i="1"/>
  <c r="B1311" i="1"/>
  <c r="C1311" i="1"/>
  <c r="A1737" i="1"/>
  <c r="B1737" i="1"/>
  <c r="C1737" i="1"/>
  <c r="A23769" i="1"/>
  <c r="B23769" i="1"/>
  <c r="C23769" i="1"/>
  <c r="A16737" i="1"/>
  <c r="B16737" i="1"/>
  <c r="C16737" i="1"/>
  <c r="A10449" i="1"/>
  <c r="B10449" i="1"/>
  <c r="C10449" i="1"/>
  <c r="A12174" i="1"/>
  <c r="B12174" i="1"/>
  <c r="C12174" i="1"/>
  <c r="A6279" i="1"/>
  <c r="B6279" i="1"/>
  <c r="C6279" i="1"/>
  <c r="A8229" i="1"/>
  <c r="B8229" i="1"/>
  <c r="C8229" i="1"/>
  <c r="A12421" i="1"/>
  <c r="B12421" i="1"/>
  <c r="C12421" i="1"/>
  <c r="A24418" i="1"/>
  <c r="B24418" i="1"/>
  <c r="C24418" i="1"/>
  <c r="A17462" i="1"/>
  <c r="B17462" i="1"/>
  <c r="C17462" i="1"/>
  <c r="A3767" i="1"/>
  <c r="B3767" i="1"/>
  <c r="C3767" i="1"/>
  <c r="A9950" i="1"/>
  <c r="B9950" i="1"/>
  <c r="C9950" i="1"/>
  <c r="A17473" i="1"/>
  <c r="B17473" i="1"/>
  <c r="C17473" i="1"/>
  <c r="A12594" i="1"/>
  <c r="B12594" i="1"/>
  <c r="C12594" i="1"/>
  <c r="A8198" i="1"/>
  <c r="B8198" i="1"/>
  <c r="C8198" i="1"/>
  <c r="A8199" i="1"/>
  <c r="B8199" i="1"/>
  <c r="C8199" i="1"/>
  <c r="A8200" i="1"/>
  <c r="B8200" i="1"/>
  <c r="C8200" i="1"/>
  <c r="A6323" i="1"/>
  <c r="B6323" i="1"/>
  <c r="C6323" i="1"/>
  <c r="A997" i="1"/>
  <c r="B997" i="1"/>
  <c r="C997" i="1"/>
  <c r="A998" i="1"/>
  <c r="B998" i="1"/>
  <c r="C998" i="1"/>
  <c r="A20476" i="1"/>
  <c r="B20476" i="1"/>
  <c r="C20476" i="1"/>
  <c r="A3493" i="1"/>
  <c r="B3493" i="1"/>
  <c r="C3493" i="1"/>
  <c r="A25390" i="1"/>
  <c r="B25390" i="1"/>
  <c r="C25390" i="1"/>
  <c r="A21402" i="1"/>
  <c r="B21402" i="1"/>
  <c r="C21402" i="1"/>
  <c r="A12785" i="1"/>
  <c r="B12785" i="1"/>
  <c r="C12785" i="1"/>
  <c r="A21837" i="1"/>
  <c r="B21837" i="1"/>
  <c r="C21837" i="1"/>
  <c r="A25538" i="1"/>
  <c r="B25538" i="1"/>
  <c r="C25538" i="1"/>
  <c r="A8890" i="1"/>
  <c r="B8890" i="1"/>
  <c r="C8890" i="1"/>
  <c r="A25129" i="1"/>
  <c r="B25129" i="1"/>
  <c r="C25129" i="1"/>
  <c r="A25131" i="1"/>
  <c r="B25131" i="1"/>
  <c r="C25131" i="1"/>
  <c r="A17564" i="1"/>
  <c r="B17564" i="1"/>
  <c r="C17564" i="1"/>
  <c r="A16018" i="1"/>
  <c r="B16018" i="1"/>
  <c r="C16018" i="1"/>
  <c r="A19912" i="1"/>
  <c r="B19912" i="1"/>
  <c r="C19912" i="1"/>
  <c r="A1224" i="1"/>
  <c r="B1224" i="1"/>
  <c r="C1224" i="1"/>
  <c r="A1227" i="1"/>
  <c r="B1227" i="1"/>
  <c r="C1227" i="1"/>
  <c r="A1243" i="1"/>
  <c r="B1243" i="1"/>
  <c r="C1243" i="1"/>
  <c r="A1233" i="1"/>
  <c r="B1233" i="1"/>
  <c r="C1233" i="1"/>
  <c r="A1256" i="1"/>
  <c r="B1256" i="1"/>
  <c r="C1256" i="1"/>
  <c r="A1207" i="1"/>
  <c r="B1207" i="1"/>
  <c r="C1207" i="1"/>
  <c r="A1210" i="1"/>
  <c r="B1210" i="1"/>
  <c r="C1210" i="1"/>
  <c r="A9856" i="1"/>
  <c r="B9856" i="1"/>
  <c r="C9856" i="1"/>
  <c r="A1772" i="1"/>
  <c r="B1772" i="1"/>
  <c r="C1772" i="1"/>
  <c r="A6930" i="1"/>
  <c r="B6930" i="1"/>
  <c r="C6930" i="1"/>
  <c r="A18812" i="1"/>
  <c r="B18812" i="1"/>
  <c r="C18812" i="1"/>
  <c r="A18813" i="1"/>
  <c r="B18813" i="1"/>
  <c r="C18813" i="1"/>
  <c r="A1259" i="1"/>
  <c r="B1259" i="1"/>
  <c r="C1259" i="1"/>
  <c r="A1257" i="1"/>
  <c r="B1257" i="1"/>
  <c r="C1257" i="1"/>
  <c r="A1228" i="1"/>
  <c r="B1228" i="1"/>
  <c r="C1228" i="1"/>
  <c r="A1225" i="1"/>
  <c r="B1225" i="1"/>
  <c r="C1225" i="1"/>
  <c r="A1234" i="1"/>
  <c r="B1234" i="1"/>
  <c r="C1234" i="1"/>
  <c r="A1244" i="1"/>
  <c r="B1244" i="1"/>
  <c r="C1244" i="1"/>
  <c r="A1229" i="1"/>
  <c r="B1229" i="1"/>
  <c r="C1229" i="1"/>
  <c r="A15272" i="1"/>
  <c r="B15272" i="1"/>
  <c r="C15272" i="1"/>
  <c r="A16643" i="1"/>
  <c r="B16643" i="1"/>
  <c r="C16643" i="1"/>
  <c r="A22788" i="1"/>
  <c r="B22788" i="1"/>
  <c r="C22788" i="1"/>
  <c r="A22786" i="1"/>
  <c r="B22786" i="1"/>
  <c r="C22786" i="1"/>
  <c r="A24432" i="1"/>
  <c r="B24432" i="1"/>
  <c r="C24432" i="1"/>
  <c r="A2079" i="1"/>
  <c r="B2079" i="1"/>
  <c r="C2079" i="1"/>
  <c r="A2984" i="1"/>
  <c r="B2984" i="1"/>
  <c r="C2984" i="1"/>
  <c r="A2986" i="1"/>
  <c r="B2986" i="1"/>
  <c r="C2986" i="1"/>
  <c r="A2985" i="1"/>
  <c r="B2985" i="1"/>
  <c r="C2985" i="1"/>
  <c r="A2983" i="1"/>
  <c r="B2983" i="1"/>
  <c r="C2983" i="1"/>
  <c r="A2987" i="1"/>
  <c r="B2987" i="1"/>
  <c r="C2987" i="1"/>
  <c r="A2989" i="1"/>
  <c r="B2989" i="1"/>
  <c r="C2989" i="1"/>
  <c r="A2988" i="1"/>
  <c r="B2988" i="1"/>
  <c r="C2988" i="1"/>
  <c r="A15547" i="1"/>
  <c r="B15547" i="1"/>
  <c r="C15547" i="1"/>
  <c r="A12614" i="1"/>
  <c r="B12614" i="1"/>
  <c r="C12614" i="1"/>
  <c r="A13856" i="1"/>
  <c r="B13856" i="1"/>
  <c r="C13856" i="1"/>
  <c r="A13819" i="1"/>
  <c r="B13819" i="1"/>
  <c r="C13819" i="1"/>
  <c r="A10647" i="1"/>
  <c r="B10647" i="1"/>
  <c r="C10647" i="1"/>
  <c r="A15370" i="1"/>
  <c r="B15370" i="1"/>
  <c r="C15370" i="1"/>
  <c r="A4017" i="1"/>
  <c r="B4017" i="1"/>
  <c r="C4017" i="1"/>
  <c r="A14081" i="1"/>
  <c r="B14081" i="1"/>
  <c r="C14081" i="1"/>
  <c r="A14083" i="1"/>
  <c r="B14083" i="1"/>
  <c r="C14083" i="1"/>
  <c r="A14075" i="1"/>
  <c r="B14075" i="1"/>
  <c r="C14075" i="1"/>
  <c r="A14082" i="1"/>
  <c r="B14082" i="1"/>
  <c r="C14082" i="1"/>
  <c r="A14076" i="1"/>
  <c r="B14076" i="1"/>
  <c r="C14076" i="1"/>
  <c r="A14084" i="1"/>
  <c r="B14084" i="1"/>
  <c r="C14084" i="1"/>
  <c r="A14078" i="1"/>
  <c r="B14078" i="1"/>
  <c r="C14078" i="1"/>
  <c r="A14080" i="1"/>
  <c r="B14080" i="1"/>
  <c r="C14080" i="1"/>
  <c r="A14079" i="1"/>
  <c r="B14079" i="1"/>
  <c r="C14079" i="1"/>
  <c r="A14077" i="1"/>
  <c r="B14077" i="1"/>
  <c r="C14077" i="1"/>
  <c r="A14085" i="1"/>
  <c r="B14085" i="1"/>
  <c r="C14085" i="1"/>
  <c r="A2686" i="1"/>
  <c r="B2686" i="1"/>
  <c r="C2686" i="1"/>
  <c r="A19493" i="1"/>
  <c r="B19493" i="1"/>
  <c r="C19493" i="1"/>
  <c r="A21926" i="1"/>
  <c r="B21926" i="1"/>
  <c r="C21926" i="1"/>
  <c r="A24426" i="1"/>
  <c r="B24426" i="1"/>
  <c r="C24426" i="1"/>
  <c r="A12806" i="1"/>
  <c r="B12806" i="1"/>
  <c r="C12806" i="1"/>
  <c r="A16936" i="1"/>
  <c r="B16936" i="1"/>
  <c r="C16936" i="1"/>
  <c r="A24473" i="1"/>
  <c r="B24473" i="1"/>
  <c r="C24473" i="1"/>
  <c r="A19340" i="1"/>
  <c r="B19340" i="1"/>
  <c r="C19340" i="1"/>
  <c r="A6142" i="1"/>
  <c r="B6142" i="1"/>
  <c r="C6142" i="1"/>
  <c r="A10467" i="1"/>
  <c r="B10467" i="1"/>
  <c r="C10467" i="1"/>
  <c r="A23122" i="1"/>
  <c r="B23122" i="1"/>
  <c r="C23122" i="1"/>
  <c r="A20797" i="1"/>
  <c r="B20797" i="1"/>
  <c r="C20797" i="1"/>
  <c r="A18396" i="1"/>
  <c r="B18396" i="1"/>
  <c r="C18396" i="1"/>
  <c r="A10402" i="1"/>
  <c r="B10402" i="1"/>
  <c r="C10402" i="1"/>
  <c r="A19928" i="1"/>
  <c r="B19928" i="1"/>
  <c r="C19928" i="1"/>
  <c r="A745" i="1"/>
  <c r="B745" i="1"/>
  <c r="C745" i="1"/>
  <c r="A3511" i="1"/>
  <c r="B3511" i="1"/>
  <c r="C3511" i="1"/>
  <c r="A19678" i="1"/>
  <c r="B19678" i="1"/>
  <c r="C19678" i="1"/>
  <c r="A17800" i="1"/>
  <c r="B17800" i="1"/>
  <c r="C17800" i="1"/>
  <c r="A7592" i="1"/>
  <c r="B7592" i="1"/>
  <c r="C7592" i="1"/>
  <c r="A7595" i="1"/>
  <c r="B7595" i="1"/>
  <c r="C7595" i="1"/>
  <c r="A5508" i="1"/>
  <c r="B5508" i="1"/>
  <c r="C5508" i="1"/>
  <c r="A19036" i="1"/>
  <c r="B19036" i="1"/>
  <c r="C19036" i="1"/>
  <c r="A5356" i="1"/>
  <c r="B5356" i="1"/>
  <c r="C5356" i="1"/>
  <c r="A5882" i="1"/>
  <c r="B5882" i="1"/>
  <c r="C5882" i="1"/>
  <c r="A12572" i="1"/>
  <c r="B12572" i="1"/>
  <c r="C12572" i="1"/>
  <c r="A4116" i="1"/>
  <c r="B4116" i="1"/>
  <c r="C4116" i="1"/>
  <c r="A13681" i="1"/>
  <c r="B13681" i="1"/>
  <c r="C13681" i="1"/>
  <c r="A11647" i="1"/>
  <c r="B11647" i="1"/>
  <c r="C11647" i="1"/>
  <c r="A1784" i="1"/>
  <c r="B1784" i="1"/>
  <c r="C1784" i="1"/>
  <c r="A25451" i="1"/>
  <c r="B25451" i="1"/>
  <c r="C25451" i="1"/>
  <c r="A12299" i="1"/>
  <c r="B12299" i="1"/>
  <c r="C12299" i="1"/>
  <c r="A21102" i="1"/>
  <c r="B21102" i="1"/>
  <c r="C21102" i="1"/>
  <c r="A9184" i="1"/>
  <c r="B9184" i="1"/>
  <c r="C9184" i="1"/>
  <c r="A17454" i="1"/>
  <c r="B17454" i="1"/>
  <c r="C17454" i="1"/>
  <c r="A4088" i="1"/>
  <c r="B4088" i="1"/>
  <c r="C4088" i="1"/>
  <c r="A5190" i="1"/>
  <c r="B5190" i="1"/>
  <c r="C5190" i="1"/>
  <c r="A15343" i="1"/>
  <c r="B15343" i="1"/>
  <c r="C15343" i="1"/>
  <c r="A6274" i="1"/>
  <c r="B6274" i="1"/>
  <c r="C6274" i="1"/>
  <c r="A3886" i="1"/>
  <c r="B3886" i="1"/>
  <c r="C3886" i="1"/>
  <c r="A18390" i="1"/>
  <c r="B18390" i="1"/>
  <c r="C18390" i="1"/>
  <c r="A6858" i="1"/>
  <c r="B6858" i="1"/>
  <c r="C6858" i="1"/>
  <c r="A10244" i="1"/>
  <c r="B10244" i="1"/>
  <c r="C10244" i="1"/>
  <c r="A22842" i="1"/>
  <c r="B22842" i="1"/>
  <c r="C22842" i="1"/>
  <c r="A22819" i="1"/>
  <c r="B22819" i="1"/>
  <c r="C22819" i="1"/>
  <c r="A24699" i="1"/>
  <c r="B24699" i="1"/>
  <c r="C24699" i="1"/>
  <c r="A1470" i="1"/>
  <c r="B1470" i="1"/>
  <c r="C1470" i="1"/>
  <c r="A10386" i="1"/>
  <c r="B10386" i="1"/>
  <c r="C10386" i="1"/>
  <c r="A10419" i="1"/>
  <c r="B10419" i="1"/>
  <c r="C10419" i="1"/>
  <c r="A6135" i="1"/>
  <c r="B6135" i="1"/>
  <c r="C6135" i="1"/>
  <c r="A6136" i="1"/>
  <c r="B6136" i="1"/>
  <c r="C6136" i="1"/>
  <c r="A6140" i="1"/>
  <c r="B6140" i="1"/>
  <c r="C6140" i="1"/>
  <c r="A13493" i="1"/>
  <c r="B13493" i="1"/>
  <c r="C13493" i="1"/>
  <c r="A3036" i="1"/>
  <c r="B3036" i="1"/>
  <c r="C3036" i="1"/>
  <c r="A25392" i="1"/>
  <c r="B25392" i="1"/>
  <c r="C25392" i="1"/>
  <c r="A21472" i="1"/>
  <c r="B21472" i="1"/>
  <c r="C21472" i="1"/>
  <c r="A5136" i="1"/>
  <c r="B5136" i="1"/>
  <c r="C5136" i="1"/>
  <c r="A17006" i="1"/>
  <c r="B17006" i="1"/>
  <c r="C17006" i="1"/>
  <c r="A16814" i="1"/>
  <c r="B16814" i="1"/>
  <c r="C16814" i="1"/>
  <c r="A21434" i="1"/>
  <c r="B21434" i="1"/>
  <c r="C21434" i="1"/>
  <c r="A21435" i="1"/>
  <c r="B21435" i="1"/>
  <c r="C21435" i="1"/>
  <c r="A21880" i="1"/>
  <c r="B21880" i="1"/>
  <c r="C21880" i="1"/>
  <c r="A21878" i="1"/>
  <c r="B21878" i="1"/>
  <c r="C21878" i="1"/>
  <c r="A23328" i="1"/>
  <c r="B23328" i="1"/>
  <c r="C23328" i="1"/>
  <c r="A18600" i="1"/>
  <c r="B18600" i="1"/>
  <c r="C18600" i="1"/>
  <c r="A17057" i="1"/>
  <c r="B17057" i="1"/>
  <c r="C17057" i="1"/>
  <c r="A8254" i="1"/>
  <c r="B8254" i="1"/>
  <c r="C8254" i="1"/>
  <c r="A24382" i="1"/>
  <c r="B24382" i="1"/>
  <c r="C24382" i="1"/>
  <c r="A833" i="1"/>
  <c r="B833" i="1"/>
  <c r="C833" i="1"/>
  <c r="A810" i="1"/>
  <c r="B810" i="1"/>
  <c r="C810" i="1"/>
  <c r="A794" i="1"/>
  <c r="B794" i="1"/>
  <c r="C794" i="1"/>
  <c r="A17603" i="1"/>
  <c r="B17603" i="1"/>
  <c r="C17603" i="1"/>
  <c r="A2205" i="1"/>
  <c r="B2205" i="1"/>
  <c r="C2205" i="1"/>
  <c r="A17850" i="1"/>
  <c r="B17850" i="1"/>
  <c r="C17850" i="1"/>
  <c r="A4730" i="1"/>
  <c r="B4730" i="1"/>
  <c r="C4730" i="1"/>
  <c r="A4728" i="1"/>
  <c r="B4728" i="1"/>
  <c r="C4728" i="1"/>
  <c r="A14525" i="1"/>
  <c r="B14525" i="1"/>
  <c r="C14525" i="1"/>
  <c r="A5346" i="1"/>
  <c r="B5346" i="1"/>
  <c r="C5346" i="1"/>
  <c r="A18725" i="1"/>
  <c r="B18725" i="1"/>
  <c r="C18725" i="1"/>
  <c r="A15962" i="1"/>
  <c r="B15962" i="1"/>
  <c r="C15962" i="1"/>
  <c r="A38" i="1"/>
  <c r="B38" i="1"/>
  <c r="C38" i="1"/>
  <c r="A8154" i="1"/>
  <c r="B8154" i="1"/>
  <c r="C8154" i="1"/>
  <c r="A10204" i="1"/>
  <c r="B10204" i="1"/>
  <c r="C10204" i="1"/>
  <c r="A14878" i="1"/>
  <c r="B14878" i="1"/>
  <c r="C14878" i="1"/>
  <c r="A4023" i="1"/>
  <c r="B4023" i="1"/>
  <c r="C4023" i="1"/>
  <c r="A3970" i="1"/>
  <c r="B3970" i="1"/>
  <c r="C3970" i="1"/>
  <c r="A24265" i="1"/>
  <c r="B24265" i="1"/>
  <c r="C24265" i="1"/>
  <c r="A4197" i="1"/>
  <c r="B4197" i="1"/>
  <c r="C4197" i="1"/>
  <c r="A10945" i="1"/>
  <c r="B10945" i="1"/>
  <c r="C10945" i="1"/>
  <c r="A10708" i="1"/>
  <c r="B10708" i="1"/>
  <c r="C10708" i="1"/>
  <c r="A13768" i="1"/>
  <c r="B13768" i="1"/>
  <c r="C13768" i="1"/>
  <c r="A8359" i="1"/>
  <c r="B8359" i="1"/>
  <c r="C8359" i="1"/>
  <c r="A19910" i="1"/>
  <c r="B19910" i="1"/>
  <c r="C19910" i="1"/>
  <c r="A20301" i="1"/>
  <c r="B20301" i="1"/>
  <c r="C20301" i="1"/>
  <c r="A19218" i="1"/>
  <c r="B19218" i="1"/>
  <c r="C19218" i="1"/>
  <c r="A19219" i="1"/>
  <c r="B19219" i="1"/>
  <c r="C19219" i="1"/>
  <c r="A19220" i="1"/>
  <c r="B19220" i="1"/>
  <c r="C19220" i="1"/>
  <c r="A19222" i="1"/>
  <c r="B19222" i="1"/>
  <c r="C19222" i="1"/>
  <c r="A19223" i="1"/>
  <c r="B19223" i="1"/>
  <c r="C19223" i="1"/>
  <c r="A19224" i="1"/>
  <c r="B19224" i="1"/>
  <c r="C19224" i="1"/>
  <c r="A19225" i="1"/>
  <c r="B19225" i="1"/>
  <c r="C19225" i="1"/>
  <c r="A19221" i="1"/>
  <c r="B19221" i="1"/>
  <c r="C19221" i="1"/>
  <c r="A12656" i="1"/>
  <c r="B12656" i="1"/>
  <c r="C12656" i="1"/>
  <c r="A19226" i="1"/>
  <c r="B19226" i="1"/>
  <c r="C19226" i="1"/>
  <c r="A10694" i="1"/>
  <c r="B10694" i="1"/>
  <c r="C10694" i="1"/>
  <c r="A10705" i="1"/>
  <c r="B10705" i="1"/>
  <c r="C10705" i="1"/>
  <c r="A19227" i="1"/>
  <c r="B19227" i="1"/>
  <c r="C19227" i="1"/>
  <c r="A19228" i="1"/>
  <c r="B19228" i="1"/>
  <c r="C19228" i="1"/>
  <c r="A19229" i="1"/>
  <c r="B19229" i="1"/>
  <c r="C19229" i="1"/>
  <c r="A19230" i="1"/>
  <c r="B19230" i="1"/>
  <c r="C19230" i="1"/>
  <c r="A10700" i="1"/>
  <c r="B10700" i="1"/>
  <c r="C10700" i="1"/>
  <c r="A10706" i="1"/>
  <c r="B10706" i="1"/>
  <c r="C10706" i="1"/>
  <c r="A10717" i="1"/>
  <c r="B10717" i="1"/>
  <c r="C10717" i="1"/>
  <c r="A10699" i="1"/>
  <c r="B10699" i="1"/>
  <c r="C10699" i="1"/>
  <c r="A12657" i="1"/>
  <c r="B12657" i="1"/>
  <c r="C12657" i="1"/>
  <c r="A12659" i="1"/>
  <c r="B12659" i="1"/>
  <c r="C12659" i="1"/>
  <c r="A19916" i="1"/>
  <c r="B19916" i="1"/>
  <c r="C19916" i="1"/>
  <c r="A15948" i="1"/>
  <c r="B15948" i="1"/>
  <c r="C15948" i="1"/>
  <c r="A9170" i="1"/>
  <c r="B9170" i="1"/>
  <c r="C9170" i="1"/>
  <c r="A29" i="1"/>
  <c r="B29" i="1"/>
  <c r="C29" i="1"/>
  <c r="A24" i="1"/>
  <c r="B24" i="1"/>
  <c r="C24" i="1"/>
  <c r="A16" i="1"/>
  <c r="B16" i="1"/>
  <c r="C16" i="1"/>
  <c r="A630" i="1"/>
  <c r="B630" i="1"/>
  <c r="C630" i="1"/>
  <c r="A23" i="1"/>
  <c r="B23" i="1"/>
  <c r="C23" i="1"/>
  <c r="A21" i="1"/>
  <c r="B21" i="1"/>
  <c r="C21" i="1"/>
  <c r="A19" i="1"/>
  <c r="B19" i="1"/>
  <c r="C19" i="1"/>
  <c r="A28" i="1"/>
  <c r="B28" i="1"/>
  <c r="C28" i="1"/>
  <c r="A25676" i="1"/>
  <c r="B25676" i="1"/>
  <c r="C25676" i="1"/>
  <c r="A12392" i="1"/>
  <c r="B12392" i="1"/>
  <c r="C12392" i="1"/>
  <c r="A17" i="1"/>
  <c r="B17" i="1"/>
  <c r="C17" i="1"/>
  <c r="A631" i="1"/>
  <c r="B631" i="1"/>
  <c r="C631" i="1"/>
  <c r="A18" i="1"/>
  <c r="B18" i="1"/>
  <c r="C18" i="1"/>
  <c r="A7593" i="1"/>
  <c r="B7593" i="1"/>
  <c r="C7593" i="1"/>
  <c r="A17263" i="1"/>
  <c r="B17263" i="1"/>
  <c r="C17263" i="1"/>
  <c r="A9030" i="1"/>
  <c r="B9030" i="1"/>
  <c r="C9030" i="1"/>
  <c r="A24280" i="1"/>
  <c r="B24280" i="1"/>
  <c r="C24280" i="1"/>
  <c r="A19333" i="1"/>
  <c r="B19333" i="1"/>
  <c r="C19333" i="1"/>
  <c r="A9021" i="1"/>
  <c r="B9021" i="1"/>
  <c r="C9021" i="1"/>
  <c r="A9301" i="1"/>
  <c r="B9301" i="1"/>
  <c r="C9301" i="1"/>
  <c r="A2203" i="1"/>
  <c r="B2203" i="1"/>
  <c r="C2203" i="1"/>
  <c r="A13716" i="1"/>
  <c r="B13716" i="1"/>
  <c r="C13716" i="1"/>
  <c r="A13859" i="1"/>
  <c r="B13859" i="1"/>
  <c r="C13859" i="1"/>
  <c r="A13858" i="1"/>
  <c r="B13858" i="1"/>
  <c r="C13858" i="1"/>
  <c r="A24393" i="1"/>
  <c r="B24393" i="1"/>
  <c r="C24393" i="1"/>
  <c r="A24389" i="1"/>
  <c r="B24389" i="1"/>
  <c r="C24389" i="1"/>
  <c r="A25309" i="1"/>
  <c r="B25309" i="1"/>
  <c r="C25309" i="1"/>
  <c r="A24302" i="1"/>
  <c r="B24302" i="1"/>
  <c r="C24302" i="1"/>
  <c r="A24299" i="1"/>
  <c r="B24299" i="1"/>
  <c r="C24299" i="1"/>
  <c r="A7518" i="1"/>
  <c r="B7518" i="1"/>
  <c r="C7518" i="1"/>
  <c r="A25753" i="1"/>
  <c r="B25753" i="1"/>
  <c r="C25753" i="1"/>
  <c r="A19913" i="1"/>
  <c r="B19913" i="1"/>
  <c r="C19913" i="1"/>
  <c r="A3812" i="1"/>
  <c r="B3812" i="1"/>
  <c r="C3812" i="1"/>
  <c r="A12265" i="1"/>
  <c r="B12265" i="1"/>
  <c r="C12265" i="1"/>
  <c r="A4203" i="1"/>
  <c r="B4203" i="1"/>
  <c r="C4203" i="1"/>
  <c r="A10358" i="1"/>
  <c r="B10358" i="1"/>
  <c r="C10358" i="1"/>
  <c r="A16508" i="1"/>
  <c r="B16508" i="1"/>
  <c r="C16508" i="1"/>
  <c r="A172" i="1"/>
  <c r="B172" i="1"/>
  <c r="C172" i="1"/>
  <c r="A6910" i="1"/>
  <c r="B6910" i="1"/>
  <c r="C6910" i="1"/>
  <c r="A23847" i="1"/>
  <c r="B23847" i="1"/>
  <c r="C23847" i="1"/>
  <c r="A14226" i="1"/>
  <c r="B14226" i="1"/>
  <c r="C14226" i="1"/>
  <c r="A5314" i="1"/>
  <c r="B5314" i="1"/>
  <c r="C5314" i="1"/>
  <c r="A8231" i="1"/>
  <c r="B8231" i="1"/>
  <c r="C8231" i="1"/>
  <c r="A3215" i="1"/>
  <c r="B3215" i="1"/>
  <c r="C3215" i="1"/>
  <c r="A2653" i="1"/>
  <c r="B2653" i="1"/>
  <c r="C2653" i="1"/>
  <c r="A2654" i="1"/>
  <c r="B2654" i="1"/>
  <c r="C2654" i="1"/>
  <c r="A14320" i="1"/>
  <c r="B14320" i="1"/>
  <c r="C14320" i="1"/>
  <c r="A9214" i="1"/>
  <c r="B9214" i="1"/>
  <c r="C9214" i="1"/>
  <c r="A4863" i="1"/>
  <c r="B4863" i="1"/>
  <c r="C4863" i="1"/>
  <c r="A4856" i="1"/>
  <c r="B4856" i="1"/>
  <c r="C4856" i="1"/>
  <c r="A22463" i="1"/>
  <c r="B22463" i="1"/>
  <c r="C22463" i="1"/>
  <c r="A16509" i="1"/>
  <c r="B16509" i="1"/>
  <c r="C16509" i="1"/>
  <c r="A10377" i="1"/>
  <c r="B10377" i="1"/>
  <c r="C10377" i="1"/>
  <c r="A11552" i="1"/>
  <c r="B11552" i="1"/>
  <c r="C11552" i="1"/>
  <c r="A568" i="1"/>
  <c r="B568" i="1"/>
  <c r="C568" i="1"/>
  <c r="A22773" i="1"/>
  <c r="B22773" i="1"/>
  <c r="C22773" i="1"/>
  <c r="A25291" i="1"/>
  <c r="B25291" i="1"/>
  <c r="C25291" i="1"/>
  <c r="A25292" i="1"/>
  <c r="B25292" i="1"/>
  <c r="C25292" i="1"/>
  <c r="A22" i="1"/>
  <c r="B22" i="1"/>
  <c r="C22" i="1"/>
  <c r="A26" i="1"/>
  <c r="B26" i="1"/>
  <c r="C26" i="1"/>
  <c r="A632" i="1"/>
  <c r="B632" i="1"/>
  <c r="C632" i="1"/>
  <c r="A20" i="1"/>
  <c r="B20" i="1"/>
  <c r="C20" i="1"/>
  <c r="A25" i="1"/>
  <c r="B25" i="1"/>
  <c r="C25" i="1"/>
  <c r="A25677" i="1"/>
  <c r="B25677" i="1"/>
  <c r="C25677" i="1"/>
  <c r="A27" i="1"/>
  <c r="B27" i="1"/>
  <c r="C27" i="1"/>
  <c r="A5222" i="1"/>
  <c r="B5222" i="1"/>
  <c r="C5222" i="1"/>
  <c r="A5223" i="1"/>
  <c r="B5223" i="1"/>
  <c r="C5223" i="1"/>
  <c r="A9334" i="1"/>
  <c r="B9334" i="1"/>
  <c r="C9334" i="1"/>
  <c r="A9335" i="1"/>
  <c r="B9335" i="1"/>
  <c r="C9335" i="1"/>
  <c r="A3981" i="1"/>
  <c r="B3981" i="1"/>
  <c r="C3981" i="1"/>
  <c r="A24536" i="1"/>
  <c r="B24536" i="1"/>
  <c r="C24536" i="1"/>
  <c r="A24535" i="1"/>
  <c r="B24535" i="1"/>
  <c r="C24535" i="1"/>
  <c r="A10786" i="1"/>
  <c r="B10786" i="1"/>
  <c r="C10786" i="1"/>
  <c r="A18611" i="1"/>
  <c r="B18611" i="1"/>
  <c r="C18611" i="1"/>
  <c r="A19032" i="1"/>
  <c r="B19032" i="1"/>
  <c r="C19032" i="1"/>
  <c r="A5333" i="1"/>
  <c r="B5333" i="1"/>
  <c r="C5333" i="1"/>
  <c r="A2701" i="1"/>
  <c r="B2701" i="1"/>
  <c r="C2701" i="1"/>
  <c r="A7609" i="1"/>
  <c r="B7609" i="1"/>
  <c r="C7609" i="1"/>
  <c r="A7620" i="1"/>
  <c r="B7620" i="1"/>
  <c r="C7620" i="1"/>
  <c r="A7585" i="1"/>
  <c r="B7585" i="1"/>
  <c r="C7585" i="1"/>
  <c r="A16061" i="1"/>
  <c r="B16061" i="1"/>
  <c r="C16061" i="1"/>
  <c r="A25708" i="1"/>
  <c r="B25708" i="1"/>
  <c r="C25708" i="1"/>
  <c r="A5862" i="1"/>
  <c r="B5862" i="1"/>
  <c r="C5862" i="1"/>
  <c r="A19034" i="1"/>
  <c r="B19034" i="1"/>
  <c r="C19034" i="1"/>
  <c r="A5507" i="1"/>
  <c r="B5507" i="1"/>
  <c r="C5507" i="1"/>
  <c r="A15109" i="1"/>
  <c r="B15109" i="1"/>
  <c r="C15109" i="1"/>
  <c r="A22375" i="1"/>
  <c r="B22375" i="1"/>
  <c r="C22375" i="1"/>
  <c r="A13201" i="1"/>
  <c r="B13201" i="1"/>
  <c r="C13201" i="1"/>
  <c r="A9094" i="1"/>
  <c r="B9094" i="1"/>
  <c r="C9094" i="1"/>
  <c r="A20754" i="1"/>
  <c r="B20754" i="1"/>
  <c r="C20754" i="1"/>
  <c r="A8840" i="1"/>
  <c r="B8840" i="1"/>
  <c r="C8840" i="1"/>
  <c r="A12534" i="1"/>
  <c r="B12534" i="1"/>
  <c r="C12534" i="1"/>
  <c r="A20871" i="1"/>
  <c r="B20871" i="1"/>
  <c r="C20871" i="1"/>
  <c r="A12608" i="1"/>
  <c r="B12608" i="1"/>
  <c r="C12608" i="1"/>
  <c r="A15388" i="1"/>
  <c r="B15388" i="1"/>
  <c r="C15388" i="1"/>
  <c r="A6386" i="1"/>
  <c r="B6386" i="1"/>
  <c r="C6386" i="1"/>
  <c r="A11268" i="1"/>
  <c r="B11268" i="1"/>
  <c r="C11268" i="1"/>
  <c r="A1752" i="1"/>
  <c r="B1752" i="1"/>
  <c r="C1752" i="1"/>
  <c r="A22245" i="1"/>
  <c r="B22245" i="1"/>
  <c r="C22245" i="1"/>
  <c r="A17978" i="1"/>
  <c r="B17978" i="1"/>
  <c r="C17978" i="1"/>
  <c r="A17979" i="1"/>
  <c r="B17979" i="1"/>
  <c r="C17979" i="1"/>
  <c r="A21076" i="1"/>
  <c r="B21076" i="1"/>
  <c r="C21076" i="1"/>
  <c r="A16930" i="1"/>
  <c r="B16930" i="1"/>
  <c r="C16930" i="1"/>
  <c r="A12568" i="1"/>
  <c r="B12568" i="1"/>
  <c r="C12568" i="1"/>
  <c r="A12567" i="1"/>
  <c r="B12567" i="1"/>
  <c r="C12567" i="1"/>
  <c r="A10047" i="1"/>
  <c r="B10047" i="1"/>
  <c r="C10047" i="1"/>
  <c r="A10046" i="1"/>
  <c r="B10046" i="1"/>
  <c r="C10046" i="1"/>
  <c r="A10048" i="1"/>
  <c r="B10048" i="1"/>
  <c r="C10048" i="1"/>
  <c r="A18295" i="1"/>
  <c r="B18295" i="1"/>
  <c r="C18295" i="1"/>
  <c r="A18296" i="1"/>
  <c r="B18296" i="1"/>
  <c r="C18296" i="1"/>
  <c r="A18297" i="1"/>
  <c r="B18297" i="1"/>
  <c r="C18297" i="1"/>
  <c r="A15399" i="1"/>
  <c r="B15399" i="1"/>
  <c r="C15399" i="1"/>
  <c r="A9267" i="1"/>
  <c r="B9267" i="1"/>
  <c r="C9267" i="1"/>
  <c r="A9268" i="1"/>
  <c r="B9268" i="1"/>
  <c r="C9268" i="1"/>
  <c r="A9269" i="1"/>
  <c r="B9269" i="1"/>
  <c r="C9269" i="1"/>
  <c r="A2971" i="1"/>
  <c r="C2971" i="1"/>
  <c r="A2972" i="1"/>
  <c r="C2972" i="1"/>
  <c r="A11791" i="1"/>
  <c r="B11791" i="1"/>
  <c r="C11791" i="1"/>
  <c r="A12566" i="1"/>
  <c r="B12566" i="1"/>
  <c r="C12566" i="1"/>
  <c r="A9981" i="1"/>
  <c r="B9981" i="1"/>
  <c r="C9981" i="1"/>
  <c r="A9328" i="1"/>
  <c r="B9328" i="1"/>
  <c r="C9328" i="1"/>
  <c r="A10427" i="1"/>
  <c r="B10427" i="1"/>
  <c r="C10427" i="1"/>
  <c r="A9840" i="1"/>
  <c r="B9840" i="1"/>
  <c r="C9840" i="1"/>
  <c r="A10425" i="1"/>
  <c r="B10425" i="1"/>
  <c r="C10425" i="1"/>
  <c r="A21363" i="1"/>
  <c r="B21363" i="1"/>
  <c r="C21363" i="1"/>
  <c r="A4258" i="1"/>
  <c r="B4258" i="1"/>
  <c r="C4258" i="1"/>
  <c r="A4261" i="1"/>
  <c r="B4261" i="1"/>
  <c r="C4261" i="1"/>
  <c r="A15615" i="1"/>
  <c r="B15615" i="1"/>
  <c r="C15615" i="1"/>
  <c r="A12003" i="1"/>
  <c r="B12003" i="1"/>
  <c r="C12003" i="1"/>
  <c r="A15605" i="1"/>
  <c r="B15605" i="1"/>
  <c r="C15605" i="1"/>
  <c r="A1403" i="1"/>
  <c r="B1403" i="1"/>
  <c r="C1403" i="1"/>
  <c r="A11789" i="1"/>
  <c r="B11789" i="1"/>
  <c r="C11789" i="1"/>
  <c r="A10205" i="1"/>
  <c r="B10205" i="1"/>
  <c r="C10205" i="1"/>
  <c r="A21945" i="1"/>
  <c r="B21945" i="1"/>
  <c r="C21945" i="1"/>
  <c r="A24191" i="1"/>
  <c r="B24191" i="1"/>
  <c r="C24191" i="1"/>
  <c r="A9980" i="1"/>
  <c r="B9980" i="1"/>
  <c r="C9980" i="1"/>
  <c r="A9329" i="1"/>
  <c r="B9329" i="1"/>
  <c r="C9329" i="1"/>
  <c r="A10417" i="1"/>
  <c r="B10417" i="1"/>
  <c r="C10417" i="1"/>
  <c r="A9838" i="1"/>
  <c r="B9838" i="1"/>
  <c r="C9838" i="1"/>
  <c r="A10413" i="1"/>
  <c r="B10413" i="1"/>
  <c r="C10413" i="1"/>
  <c r="A12565" i="1"/>
  <c r="B12565" i="1"/>
  <c r="C12565" i="1"/>
  <c r="A9979" i="1"/>
  <c r="B9979" i="1"/>
  <c r="C9979" i="1"/>
  <c r="A9326" i="1"/>
  <c r="B9326" i="1"/>
  <c r="C9326" i="1"/>
  <c r="A10414" i="1"/>
  <c r="B10414" i="1"/>
  <c r="C10414" i="1"/>
  <c r="A9748" i="1"/>
  <c r="B9748" i="1"/>
  <c r="C9748" i="1"/>
  <c r="A10421" i="1"/>
  <c r="B10421" i="1"/>
  <c r="C10421" i="1"/>
  <c r="A12563" i="1"/>
  <c r="B12563" i="1"/>
  <c r="C12563" i="1"/>
  <c r="A9978" i="1"/>
  <c r="B9978" i="1"/>
  <c r="C9978" i="1"/>
  <c r="A9330" i="1"/>
  <c r="B9330" i="1"/>
  <c r="C9330" i="1"/>
  <c r="A10426" i="1"/>
  <c r="B10426" i="1"/>
  <c r="C10426" i="1"/>
  <c r="A9839" i="1"/>
  <c r="B9839" i="1"/>
  <c r="C9839" i="1"/>
  <c r="A10422" i="1"/>
  <c r="B10422" i="1"/>
  <c r="C10422" i="1"/>
  <c r="A10049" i="1"/>
  <c r="B10049" i="1"/>
  <c r="C10049" i="1"/>
  <c r="A18292" i="1"/>
  <c r="B18292" i="1"/>
  <c r="C18292" i="1"/>
  <c r="A9270" i="1"/>
  <c r="B9270" i="1"/>
  <c r="C9270" i="1"/>
  <c r="A12564" i="1"/>
  <c r="B12564" i="1"/>
  <c r="C12564" i="1"/>
  <c r="A9976" i="1"/>
  <c r="B9976" i="1"/>
  <c r="C9976" i="1"/>
  <c r="A9325" i="1"/>
  <c r="B9325" i="1"/>
  <c r="C9325" i="1"/>
  <c r="A10415" i="1"/>
  <c r="B10415" i="1"/>
  <c r="C10415" i="1"/>
  <c r="A9836" i="1"/>
  <c r="B9836" i="1"/>
  <c r="C9836" i="1"/>
  <c r="A10423" i="1"/>
  <c r="B10423" i="1"/>
  <c r="C10423" i="1"/>
  <c r="A10045" i="1"/>
  <c r="B10045" i="1"/>
  <c r="C10045" i="1"/>
  <c r="A18293" i="1"/>
  <c r="B18293" i="1"/>
  <c r="C18293" i="1"/>
  <c r="A9271" i="1"/>
  <c r="B9271" i="1"/>
  <c r="C9271" i="1"/>
  <c r="A3019" i="1"/>
  <c r="B3019" i="1"/>
  <c r="C3019" i="1"/>
  <c r="A12571" i="1"/>
  <c r="B12571" i="1"/>
  <c r="C12571" i="1"/>
  <c r="A9977" i="1"/>
  <c r="B9977" i="1"/>
  <c r="C9977" i="1"/>
  <c r="A9327" i="1"/>
  <c r="B9327" i="1"/>
  <c r="C9327" i="1"/>
  <c r="A10416" i="1"/>
  <c r="B10416" i="1"/>
  <c r="C10416" i="1"/>
  <c r="A9837" i="1"/>
  <c r="B9837" i="1"/>
  <c r="C9837" i="1"/>
  <c r="A10424" i="1"/>
  <c r="B10424" i="1"/>
  <c r="C10424" i="1"/>
  <c r="A10050" i="1"/>
  <c r="B10050" i="1"/>
  <c r="C10050" i="1"/>
  <c r="A18294" i="1"/>
  <c r="B18294" i="1"/>
  <c r="C18294" i="1"/>
  <c r="A9272" i="1"/>
  <c r="B9272" i="1"/>
  <c r="C9272" i="1"/>
  <c r="A16234" i="1"/>
  <c r="B16234" i="1"/>
  <c r="C16234" i="1"/>
  <c r="A10307" i="1"/>
  <c r="B10307" i="1"/>
  <c r="C10307" i="1"/>
  <c r="A7124" i="1"/>
  <c r="B7124" i="1"/>
  <c r="C7124" i="1"/>
  <c r="A7724" i="1"/>
  <c r="B7724" i="1"/>
  <c r="C7724" i="1"/>
  <c r="A2328" i="1"/>
  <c r="B2328" i="1"/>
  <c r="C2328" i="1"/>
  <c r="A20746" i="1"/>
  <c r="B20746" i="1"/>
  <c r="C20746" i="1"/>
  <c r="A20763" i="1"/>
  <c r="B20763" i="1"/>
  <c r="C20763" i="1"/>
  <c r="A20978" i="1"/>
  <c r="B20978" i="1"/>
  <c r="C20978" i="1"/>
  <c r="A20747" i="1"/>
  <c r="B20747" i="1"/>
  <c r="C20747" i="1"/>
  <c r="A10890" i="1"/>
  <c r="B10890" i="1"/>
  <c r="C10890" i="1"/>
  <c r="A10893" i="1"/>
  <c r="B10893" i="1"/>
  <c r="C10893" i="1"/>
  <c r="A22605" i="1"/>
  <c r="B22605" i="1"/>
  <c r="C22605" i="1"/>
  <c r="A2784" i="1"/>
  <c r="B2784" i="1"/>
  <c r="C2784" i="1"/>
  <c r="A23377" i="1"/>
  <c r="B23377" i="1"/>
  <c r="C23377" i="1"/>
  <c r="A23355" i="1"/>
  <c r="B23355" i="1"/>
  <c r="C23355" i="1"/>
  <c r="A4738" i="1"/>
  <c r="B4738" i="1"/>
  <c r="C4738" i="1"/>
  <c r="A6138" i="1"/>
  <c r="B6138" i="1"/>
  <c r="C6138" i="1"/>
  <c r="A6134" i="1"/>
  <c r="B6134" i="1"/>
  <c r="C6134" i="1"/>
  <c r="A6139" i="1"/>
  <c r="B6139" i="1"/>
  <c r="C6139" i="1"/>
  <c r="A6131" i="1"/>
  <c r="B6131" i="1"/>
  <c r="C6131" i="1"/>
  <c r="A6141" i="1"/>
  <c r="B6141" i="1"/>
  <c r="C6141" i="1"/>
  <c r="A5777" i="1"/>
  <c r="B5777" i="1"/>
  <c r="C5777" i="1"/>
  <c r="A8822" i="1"/>
  <c r="B8822" i="1"/>
  <c r="C8822" i="1"/>
  <c r="A12150" i="1"/>
  <c r="B12150" i="1"/>
  <c r="C12150" i="1"/>
  <c r="A1718" i="1"/>
  <c r="B1718" i="1"/>
  <c r="C1718" i="1"/>
  <c r="A16438" i="1"/>
  <c r="B16438" i="1"/>
  <c r="C16438" i="1"/>
  <c r="A8314" i="1"/>
  <c r="B8314" i="1"/>
  <c r="C8314" i="1"/>
  <c r="A5381" i="1"/>
  <c r="B5381" i="1"/>
  <c r="C5381" i="1"/>
  <c r="A22462" i="1"/>
  <c r="B22462" i="1"/>
  <c r="C22462" i="1"/>
  <c r="A14331" i="1"/>
  <c r="B14331" i="1"/>
  <c r="C14331" i="1"/>
  <c r="A16501" i="1"/>
  <c r="B16501" i="1"/>
  <c r="C16501" i="1"/>
  <c r="A555" i="1"/>
  <c r="B555" i="1"/>
  <c r="C555" i="1"/>
  <c r="A553" i="1"/>
  <c r="B553" i="1"/>
  <c r="C553" i="1"/>
  <c r="A554" i="1"/>
  <c r="B554" i="1"/>
  <c r="C554" i="1"/>
  <c r="A7511" i="1"/>
  <c r="B7511" i="1"/>
  <c r="C7511" i="1"/>
  <c r="A827" i="1"/>
  <c r="B827" i="1"/>
  <c r="C827" i="1"/>
  <c r="A822" i="1"/>
  <c r="B822" i="1"/>
  <c r="C822" i="1"/>
  <c r="A834" i="1"/>
  <c r="B834" i="1"/>
  <c r="C834" i="1"/>
  <c r="A9315" i="1"/>
  <c r="B9315" i="1"/>
  <c r="C9315" i="1"/>
  <c r="A7760" i="1"/>
  <c r="B7760" i="1"/>
  <c r="C7760" i="1"/>
  <c r="A20238" i="1"/>
  <c r="B20238" i="1"/>
  <c r="C20238" i="1"/>
  <c r="A20216" i="1"/>
  <c r="B20216" i="1"/>
  <c r="C20216" i="1"/>
  <c r="A3417" i="1"/>
  <c r="B3417" i="1"/>
  <c r="C3417" i="1"/>
  <c r="A5395" i="1"/>
  <c r="B5395" i="1"/>
  <c r="C5395" i="1"/>
  <c r="A22895" i="1"/>
  <c r="B22895" i="1"/>
  <c r="C22895" i="1"/>
  <c r="A22896" i="1"/>
  <c r="B22896" i="1"/>
  <c r="C22896" i="1"/>
  <c r="A16417" i="1"/>
  <c r="B16417" i="1"/>
  <c r="C16417" i="1"/>
  <c r="A22882" i="1"/>
  <c r="B22882" i="1"/>
  <c r="C22882" i="1"/>
  <c r="A22883" i="1"/>
  <c r="B22883" i="1"/>
  <c r="C22883" i="1"/>
  <c r="A7170" i="1"/>
  <c r="B7170" i="1"/>
  <c r="C7170" i="1"/>
  <c r="A22807" i="1"/>
  <c r="B22807" i="1"/>
  <c r="C22807" i="1"/>
  <c r="A19077" i="1"/>
  <c r="B19077" i="1"/>
  <c r="C19077" i="1"/>
  <c r="A4440" i="1"/>
  <c r="B4440" i="1"/>
  <c r="C4440" i="1"/>
  <c r="A1766" i="1"/>
  <c r="B1766" i="1"/>
  <c r="C1766" i="1"/>
  <c r="A4186" i="1"/>
  <c r="B4186" i="1"/>
  <c r="C4186" i="1"/>
  <c r="A22780" i="1"/>
  <c r="B22780" i="1"/>
  <c r="C22780" i="1"/>
  <c r="A1808" i="1"/>
  <c r="B1808" i="1"/>
  <c r="C1808" i="1"/>
  <c r="A2858" i="1"/>
  <c r="B2858" i="1"/>
  <c r="C2858" i="1"/>
  <c r="A5574" i="1"/>
  <c r="B5574" i="1"/>
  <c r="C5574" i="1"/>
  <c r="A22381" i="1"/>
  <c r="B22381" i="1"/>
  <c r="C22381" i="1"/>
  <c r="A22830" i="1"/>
  <c r="B22830" i="1"/>
  <c r="C22830" i="1"/>
  <c r="A284" i="1"/>
  <c r="B284" i="1"/>
  <c r="C284" i="1"/>
  <c r="A18821" i="1"/>
  <c r="B18821" i="1"/>
  <c r="C18821" i="1"/>
  <c r="A860" i="1"/>
  <c r="C860" i="1"/>
  <c r="A863" i="1"/>
  <c r="C863" i="1"/>
  <c r="A16820" i="1"/>
  <c r="B16820" i="1"/>
  <c r="C16820" i="1"/>
  <c r="A4313" i="1"/>
  <c r="B4313" i="1"/>
  <c r="C4313" i="1"/>
  <c r="A134" i="1"/>
  <c r="B134" i="1"/>
  <c r="C134" i="1"/>
  <c r="A22448" i="1"/>
  <c r="B22448" i="1"/>
  <c r="C22448" i="1"/>
  <c r="A24706" i="1"/>
  <c r="B24706" i="1"/>
  <c r="C24706" i="1"/>
  <c r="A8179" i="1"/>
  <c r="B8179" i="1"/>
  <c r="C8179" i="1"/>
  <c r="A18163" i="1"/>
  <c r="B18163" i="1"/>
  <c r="C18163" i="1"/>
  <c r="A8021" i="1"/>
  <c r="B8021" i="1"/>
  <c r="C8021" i="1"/>
  <c r="A20951" i="1"/>
  <c r="B20951" i="1"/>
  <c r="C20951" i="1"/>
  <c r="A1130" i="1"/>
  <c r="B1130" i="1"/>
  <c r="C1130" i="1"/>
  <c r="A7401" i="1"/>
  <c r="B7401" i="1"/>
  <c r="C7401" i="1"/>
  <c r="A25640" i="1"/>
  <c r="B25640" i="1"/>
  <c r="C25640" i="1"/>
  <c r="A7403" i="1"/>
  <c r="B7403" i="1"/>
  <c r="C7403" i="1"/>
  <c r="A9538" i="1"/>
  <c r="B9538" i="1"/>
  <c r="C9538" i="1"/>
  <c r="A17990" i="1"/>
  <c r="B17990" i="1"/>
  <c r="C17990" i="1"/>
  <c r="A4891" i="1"/>
  <c r="B4891" i="1"/>
  <c r="C4891" i="1"/>
  <c r="A4177" i="1"/>
  <c r="B4177" i="1"/>
  <c r="C4177" i="1"/>
  <c r="A15363" i="1"/>
  <c r="B15363" i="1"/>
  <c r="C15363" i="1"/>
  <c r="A5450" i="1"/>
  <c r="B5450" i="1"/>
  <c r="C5450" i="1"/>
  <c r="A13190" i="1"/>
  <c r="B13190" i="1"/>
  <c r="C13190" i="1"/>
  <c r="A25062" i="1"/>
  <c r="B25062" i="1"/>
  <c r="C25062" i="1"/>
  <c r="A9105" i="1"/>
  <c r="B9105" i="1"/>
  <c r="C9105" i="1"/>
  <c r="A9106" i="1"/>
  <c r="B9106" i="1"/>
  <c r="C9106" i="1"/>
  <c r="A9103" i="1"/>
  <c r="B9103" i="1"/>
  <c r="C9103" i="1"/>
  <c r="A9102" i="1"/>
  <c r="B9102" i="1"/>
  <c r="C9102" i="1"/>
  <c r="A9101" i="1"/>
  <c r="B9101" i="1"/>
  <c r="C9101" i="1"/>
  <c r="A9100" i="1"/>
  <c r="B9100" i="1"/>
  <c r="C9100" i="1"/>
  <c r="A9099" i="1"/>
  <c r="B9099" i="1"/>
  <c r="C9099" i="1"/>
  <c r="A15798" i="1"/>
  <c r="B15798" i="1"/>
  <c r="C15798" i="1"/>
  <c r="A9110" i="1"/>
  <c r="B9110" i="1"/>
  <c r="C9110" i="1"/>
  <c r="A9111" i="1"/>
  <c r="B9111" i="1"/>
  <c r="C9111" i="1"/>
  <c r="A9112" i="1"/>
  <c r="B9112" i="1"/>
  <c r="C9112" i="1"/>
  <c r="A9098" i="1"/>
  <c r="B9098" i="1"/>
  <c r="C9098" i="1"/>
  <c r="A9107" i="1"/>
  <c r="B9107" i="1"/>
  <c r="C9107" i="1"/>
  <c r="A16819" i="1"/>
  <c r="B16819" i="1"/>
  <c r="C16819" i="1"/>
  <c r="A1756" i="1"/>
  <c r="B1756" i="1"/>
  <c r="C1756" i="1"/>
  <c r="A4185" i="1"/>
  <c r="B4185" i="1"/>
  <c r="C4185" i="1"/>
  <c r="A23297" i="1"/>
  <c r="B23297" i="1"/>
  <c r="C23297" i="1"/>
  <c r="A22407" i="1"/>
  <c r="B22407" i="1"/>
  <c r="C22407" i="1"/>
  <c r="A22180" i="1"/>
  <c r="B22180" i="1"/>
  <c r="C22180" i="1"/>
  <c r="A2064" i="1"/>
  <c r="B2064" i="1"/>
  <c r="C2064" i="1"/>
  <c r="A2065" i="1"/>
  <c r="B2065" i="1"/>
  <c r="C2065" i="1"/>
  <c r="A19986" i="1"/>
  <c r="B19986" i="1"/>
  <c r="C19986" i="1"/>
  <c r="A20272" i="1"/>
  <c r="B20272" i="1"/>
  <c r="C20272" i="1"/>
  <c r="A14895" i="1"/>
  <c r="B14895" i="1"/>
  <c r="C14895" i="1"/>
  <c r="A12279" i="1"/>
  <c r="C12279" i="1"/>
  <c r="A19909" i="1"/>
  <c r="B19909" i="1"/>
  <c r="C19909" i="1"/>
  <c r="A23302" i="1"/>
  <c r="B23302" i="1"/>
  <c r="C23302" i="1"/>
  <c r="A21497" i="1"/>
  <c r="B21497" i="1"/>
  <c r="C21497" i="1"/>
  <c r="A1753" i="1"/>
  <c r="B1753" i="1"/>
  <c r="C1753" i="1"/>
  <c r="A22246" i="1"/>
  <c r="B22246" i="1"/>
  <c r="C22246" i="1"/>
  <c r="A24503" i="1"/>
  <c r="B24503" i="1"/>
  <c r="C24503" i="1"/>
  <c r="A6283" i="1"/>
  <c r="B6283" i="1"/>
  <c r="C6283" i="1"/>
  <c r="A14934" i="1"/>
  <c r="B14934" i="1"/>
  <c r="C14934" i="1"/>
  <c r="A22845" i="1"/>
  <c r="B22845" i="1"/>
  <c r="C22845" i="1"/>
  <c r="A2511" i="1"/>
  <c r="B2511" i="1"/>
  <c r="C2511" i="1"/>
  <c r="A25534" i="1"/>
  <c r="B25534" i="1"/>
  <c r="C25534" i="1"/>
  <c r="A4149" i="1"/>
  <c r="B4149" i="1"/>
  <c r="C4149" i="1"/>
  <c r="A16414" i="1"/>
  <c r="B16414" i="1"/>
  <c r="C16414" i="1"/>
  <c r="A14924" i="1"/>
  <c r="B14924" i="1"/>
  <c r="C14924" i="1"/>
  <c r="A6057" i="1"/>
  <c r="B6057" i="1"/>
  <c r="C6057" i="1"/>
  <c r="A3413" i="1"/>
  <c r="B3413" i="1"/>
  <c r="C3413" i="1"/>
  <c r="A3421" i="1"/>
  <c r="B3421" i="1"/>
  <c r="C3421" i="1"/>
  <c r="A3419" i="1"/>
  <c r="B3419" i="1"/>
  <c r="C3419" i="1"/>
  <c r="A3425" i="1"/>
  <c r="B3425" i="1"/>
  <c r="C3425" i="1"/>
  <c r="A3430" i="1"/>
  <c r="B3430" i="1"/>
  <c r="C3430" i="1"/>
  <c r="A3435" i="1"/>
  <c r="B3435" i="1"/>
  <c r="C3435" i="1"/>
  <c r="A14827" i="1"/>
  <c r="B14827" i="1"/>
  <c r="C14827" i="1"/>
  <c r="A25635" i="1"/>
  <c r="B25635" i="1"/>
  <c r="C25635" i="1"/>
  <c r="A848" i="1"/>
  <c r="B848" i="1"/>
  <c r="C848" i="1"/>
  <c r="A21828" i="1"/>
  <c r="B21828" i="1"/>
  <c r="C21828" i="1"/>
  <c r="A5564" i="1"/>
  <c r="B5564" i="1"/>
  <c r="C5564" i="1"/>
  <c r="A22124" i="1"/>
  <c r="B22124" i="1"/>
  <c r="C22124" i="1"/>
  <c r="A22682" i="1"/>
  <c r="B22682" i="1"/>
  <c r="C22682" i="1"/>
  <c r="A15126" i="1"/>
  <c r="B15126" i="1"/>
  <c r="C15126" i="1"/>
  <c r="A10128" i="1"/>
  <c r="B10128" i="1"/>
  <c r="C10128" i="1"/>
  <c r="A12609" i="1"/>
  <c r="B12609" i="1"/>
  <c r="C12609" i="1"/>
  <c r="A15239" i="1"/>
  <c r="B15239" i="1"/>
  <c r="C15239" i="1"/>
  <c r="A11415" i="1"/>
  <c r="B11415" i="1"/>
  <c r="C11415" i="1"/>
  <c r="A11426" i="1"/>
  <c r="B11426" i="1"/>
  <c r="C11426" i="1"/>
  <c r="A11425" i="1"/>
  <c r="B11425" i="1"/>
  <c r="C11425" i="1"/>
  <c r="A11414" i="1"/>
  <c r="B11414" i="1"/>
  <c r="C11414" i="1"/>
  <c r="A11422" i="1"/>
  <c r="B11422" i="1"/>
  <c r="C11422" i="1"/>
  <c r="A11421" i="1"/>
  <c r="B11421" i="1"/>
  <c r="C11421" i="1"/>
  <c r="A11429" i="1"/>
  <c r="B11429" i="1"/>
  <c r="C11429" i="1"/>
  <c r="A11430" i="1"/>
  <c r="B11430" i="1"/>
  <c r="C11430" i="1"/>
  <c r="A24963" i="1"/>
  <c r="B24963" i="1"/>
  <c r="C24963" i="1"/>
  <c r="A10720" i="1"/>
  <c r="B10720" i="1"/>
  <c r="C10720" i="1"/>
  <c r="A19419" i="1"/>
  <c r="B19419" i="1"/>
  <c r="C19419" i="1"/>
  <c r="A23999" i="1"/>
  <c r="B23999" i="1"/>
  <c r="C23999" i="1"/>
  <c r="A16290" i="1"/>
  <c r="B16290" i="1"/>
  <c r="C16290" i="1"/>
  <c r="A898" i="1"/>
  <c r="B898" i="1"/>
  <c r="C898" i="1"/>
  <c r="A904" i="1"/>
  <c r="B904" i="1"/>
  <c r="C904" i="1"/>
  <c r="A910" i="1"/>
  <c r="B910" i="1"/>
  <c r="C910" i="1"/>
  <c r="A914" i="1"/>
  <c r="B914" i="1"/>
  <c r="C914" i="1"/>
  <c r="A916" i="1"/>
  <c r="B916" i="1"/>
  <c r="C916" i="1"/>
  <c r="A919" i="1"/>
  <c r="B919" i="1"/>
  <c r="C919" i="1"/>
  <c r="A928" i="1"/>
  <c r="B928" i="1"/>
  <c r="C928" i="1"/>
  <c r="A5826" i="1"/>
  <c r="B5826" i="1"/>
  <c r="C5826" i="1"/>
  <c r="A21355" i="1"/>
  <c r="B21355" i="1"/>
  <c r="C21355" i="1"/>
  <c r="A6496" i="1"/>
  <c r="C6496" i="1"/>
  <c r="A17889" i="1"/>
  <c r="B17889" i="1"/>
  <c r="C17889" i="1"/>
  <c r="A24074" i="1"/>
  <c r="B24074" i="1"/>
  <c r="C24074" i="1"/>
  <c r="A23405" i="1"/>
  <c r="B23405" i="1"/>
  <c r="C23405" i="1"/>
  <c r="A23437" i="1"/>
  <c r="B23437" i="1"/>
  <c r="C23437" i="1"/>
  <c r="A24723" i="1"/>
  <c r="B24723" i="1"/>
  <c r="C24723" i="1"/>
  <c r="A25658" i="1"/>
  <c r="B25658" i="1"/>
  <c r="C25658" i="1"/>
  <c r="A8036" i="1"/>
  <c r="B8036" i="1"/>
  <c r="C8036" i="1"/>
  <c r="A16649" i="1"/>
  <c r="B16649" i="1"/>
  <c r="C16649" i="1"/>
  <c r="A10622" i="1"/>
  <c r="B10622" i="1"/>
  <c r="C10622" i="1"/>
  <c r="A22141" i="1"/>
  <c r="B22141" i="1"/>
  <c r="C22141" i="1"/>
  <c r="A21914" i="1"/>
  <c r="B21914" i="1"/>
  <c r="C21914" i="1"/>
  <c r="A21912" i="1"/>
  <c r="B21912" i="1"/>
  <c r="C21912" i="1"/>
  <c r="A5266" i="1"/>
  <c r="B5266" i="1"/>
  <c r="C5266" i="1"/>
  <c r="A5267" i="1"/>
  <c r="B5267" i="1"/>
  <c r="C5267" i="1"/>
  <c r="A19342" i="1"/>
  <c r="B19342" i="1"/>
  <c r="C19342" i="1"/>
  <c r="A22676" i="1"/>
  <c r="B22676" i="1"/>
  <c r="C22676" i="1"/>
  <c r="A24619" i="1"/>
  <c r="B24619" i="1"/>
  <c r="C24619" i="1"/>
  <c r="A24621" i="1"/>
  <c r="B24621" i="1"/>
  <c r="C24621" i="1"/>
  <c r="A6738" i="1"/>
  <c r="B6738" i="1"/>
  <c r="C6738" i="1"/>
  <c r="A11399" i="1"/>
  <c r="B11399" i="1"/>
  <c r="C11399" i="1"/>
  <c r="A11354" i="1"/>
  <c r="B11354" i="1"/>
  <c r="C11354" i="1"/>
  <c r="A11391" i="1"/>
  <c r="B11391" i="1"/>
  <c r="C11391" i="1"/>
  <c r="A8464" i="1"/>
  <c r="B8464" i="1"/>
  <c r="C8464" i="1"/>
  <c r="A8463" i="1"/>
  <c r="B8463" i="1"/>
  <c r="C8463" i="1"/>
  <c r="A18632" i="1"/>
  <c r="B18632" i="1"/>
  <c r="C18632" i="1"/>
  <c r="A18643" i="1"/>
  <c r="B18643" i="1"/>
  <c r="C18643" i="1"/>
  <c r="A18630" i="1"/>
  <c r="B18630" i="1"/>
  <c r="C18630" i="1"/>
  <c r="A22324" i="1"/>
  <c r="B22324" i="1"/>
  <c r="C22324" i="1"/>
  <c r="A25277" i="1"/>
  <c r="B25277" i="1"/>
  <c r="C25277" i="1"/>
  <c r="A2811" i="1"/>
  <c r="B2811" i="1"/>
  <c r="C2811" i="1"/>
  <c r="A16579" i="1"/>
  <c r="B16579" i="1"/>
  <c r="C16579" i="1"/>
  <c r="A17377" i="1"/>
  <c r="B17377" i="1"/>
  <c r="C17377" i="1"/>
  <c r="A5349" i="1"/>
  <c r="B5349" i="1"/>
  <c r="C5349" i="1"/>
  <c r="A17648" i="1"/>
  <c r="B17648" i="1"/>
  <c r="C17648" i="1"/>
  <c r="A25400" i="1"/>
  <c r="B25400" i="1"/>
  <c r="C25400" i="1"/>
  <c r="A23824" i="1"/>
  <c r="B23824" i="1"/>
  <c r="C23824" i="1"/>
  <c r="A23825" i="1"/>
  <c r="B23825" i="1"/>
  <c r="C23825" i="1"/>
  <c r="A19478" i="1"/>
  <c r="B19478" i="1"/>
  <c r="C19478" i="1"/>
  <c r="A9638" i="1"/>
  <c r="B9638" i="1"/>
  <c r="C9638" i="1"/>
  <c r="A14471" i="1"/>
  <c r="B14471" i="1"/>
  <c r="C14471" i="1"/>
  <c r="A11587" i="1"/>
  <c r="B11587" i="1"/>
  <c r="C11587" i="1"/>
  <c r="A14472" i="1"/>
  <c r="B14472" i="1"/>
  <c r="C14472" i="1"/>
  <c r="A14470" i="1"/>
  <c r="B14470" i="1"/>
  <c r="C14470" i="1"/>
  <c r="A11598" i="1"/>
  <c r="B11598" i="1"/>
  <c r="C11598" i="1"/>
  <c r="A3038" i="1"/>
  <c r="B3038" i="1"/>
  <c r="C3038" i="1"/>
  <c r="A3039" i="1"/>
  <c r="B3039" i="1"/>
  <c r="C3039" i="1"/>
  <c r="A18346" i="1"/>
  <c r="B18346" i="1"/>
  <c r="C18346" i="1"/>
  <c r="A16322" i="1"/>
  <c r="C16322" i="1"/>
  <c r="A16778" i="1"/>
  <c r="B16778" i="1"/>
  <c r="C16778" i="1"/>
  <c r="A24435" i="1"/>
  <c r="B24435" i="1"/>
  <c r="C24435" i="1"/>
  <c r="A19169" i="1"/>
  <c r="B19169" i="1"/>
  <c r="C19169" i="1"/>
  <c r="A19168" i="1"/>
  <c r="B19168" i="1"/>
  <c r="C19168" i="1"/>
  <c r="A19775" i="1"/>
  <c r="B19775" i="1"/>
  <c r="C19775" i="1"/>
  <c r="A3670" i="1"/>
  <c r="B3670" i="1"/>
  <c r="C3670" i="1"/>
  <c r="A11251" i="1"/>
  <c r="B11251" i="1"/>
  <c r="C11251" i="1"/>
  <c r="A15679" i="1"/>
  <c r="B15679" i="1"/>
  <c r="C15679" i="1"/>
  <c r="A15656" i="1"/>
  <c r="B15656" i="1"/>
  <c r="C15656" i="1"/>
  <c r="A6351" i="1"/>
  <c r="B6351" i="1"/>
  <c r="C6351" i="1"/>
  <c r="A517" i="1"/>
  <c r="B517" i="1"/>
  <c r="C517" i="1"/>
  <c r="A12424" i="1"/>
  <c r="B12424" i="1"/>
  <c r="C12424" i="1"/>
  <c r="A5774" i="1"/>
  <c r="B5774" i="1"/>
  <c r="C5774" i="1"/>
  <c r="A20207" i="1"/>
  <c r="B20207" i="1"/>
  <c r="C20207" i="1"/>
  <c r="A24052" i="1"/>
  <c r="B24052" i="1"/>
  <c r="C24052" i="1"/>
  <c r="A16572" i="1"/>
  <c r="B16572" i="1"/>
  <c r="C16572" i="1"/>
  <c r="A18072" i="1"/>
  <c r="B18072" i="1"/>
  <c r="C18072" i="1"/>
  <c r="A22105" i="1"/>
  <c r="B22105" i="1"/>
  <c r="C22105" i="1"/>
  <c r="A4172" i="1"/>
  <c r="B4172" i="1"/>
  <c r="C4172" i="1"/>
  <c r="A9703" i="1"/>
  <c r="B9703" i="1"/>
  <c r="C9703" i="1"/>
  <c r="A7667" i="1"/>
  <c r="B7667" i="1"/>
  <c r="C7667" i="1"/>
  <c r="A4830" i="1"/>
  <c r="B4830" i="1"/>
  <c r="C4830" i="1"/>
  <c r="A4826" i="1"/>
  <c r="B4826" i="1"/>
  <c r="C4826" i="1"/>
  <c r="A4832" i="1"/>
  <c r="B4832" i="1"/>
  <c r="C4832" i="1"/>
  <c r="A4828" i="1"/>
  <c r="B4828" i="1"/>
  <c r="C4828" i="1"/>
  <c r="A16107" i="1"/>
  <c r="B16107" i="1"/>
  <c r="C16107" i="1"/>
  <c r="A5242" i="1"/>
  <c r="B5242" i="1"/>
  <c r="C5242" i="1"/>
  <c r="A15369" i="1"/>
  <c r="B15369" i="1"/>
  <c r="C15369" i="1"/>
  <c r="A14295" i="1"/>
  <c r="B14295" i="1"/>
  <c r="C14295" i="1"/>
  <c r="A23272" i="1"/>
  <c r="B23272" i="1"/>
  <c r="C23272" i="1"/>
  <c r="A8562" i="1"/>
  <c r="B8562" i="1"/>
  <c r="C8562" i="1"/>
  <c r="A23286" i="1"/>
  <c r="B23286" i="1"/>
  <c r="C23286" i="1"/>
  <c r="A8611" i="1"/>
  <c r="B8611" i="1"/>
  <c r="C8611" i="1"/>
  <c r="A8539" i="1"/>
  <c r="B8539" i="1"/>
  <c r="C8539" i="1"/>
  <c r="A18338" i="1"/>
  <c r="B18338" i="1"/>
  <c r="C18338" i="1"/>
  <c r="A18340" i="1"/>
  <c r="B18340" i="1"/>
  <c r="C18340" i="1"/>
  <c r="A18341" i="1"/>
  <c r="B18341" i="1"/>
  <c r="C18341" i="1"/>
  <c r="A18339" i="1"/>
  <c r="B18339" i="1"/>
  <c r="C18339" i="1"/>
  <c r="A23748" i="1"/>
  <c r="B23748" i="1"/>
  <c r="C23748" i="1"/>
  <c r="A23749" i="1"/>
  <c r="B23749" i="1"/>
  <c r="C23749" i="1"/>
  <c r="A217" i="1"/>
  <c r="B217" i="1"/>
  <c r="C217" i="1"/>
  <c r="A2327" i="1"/>
  <c r="B2327" i="1"/>
  <c r="C2327" i="1"/>
  <c r="A24854" i="1"/>
  <c r="B24854" i="1"/>
  <c r="C24854" i="1"/>
  <c r="A18392" i="1"/>
  <c r="B18392" i="1"/>
  <c r="C18392" i="1"/>
  <c r="A5290" i="1"/>
  <c r="B5290" i="1"/>
  <c r="C5290" i="1"/>
  <c r="A22452" i="1"/>
  <c r="B22452" i="1"/>
  <c r="C22452" i="1"/>
  <c r="A10388" i="1"/>
  <c r="B10388" i="1"/>
  <c r="C10388" i="1"/>
  <c r="A19388" i="1"/>
  <c r="B19388" i="1"/>
  <c r="C19388" i="1"/>
  <c r="A23134" i="1"/>
  <c r="B23134" i="1"/>
  <c r="C23134" i="1"/>
  <c r="A13625" i="1"/>
  <c r="B13625" i="1"/>
  <c r="C13625" i="1"/>
  <c r="A6026" i="1"/>
  <c r="B6026" i="1"/>
  <c r="C6026" i="1"/>
  <c r="A6011" i="1"/>
  <c r="B6011" i="1"/>
  <c r="C6011" i="1"/>
  <c r="A7759" i="1"/>
  <c r="B7759" i="1"/>
  <c r="C7759" i="1"/>
  <c r="A25066" i="1"/>
  <c r="B25066" i="1"/>
  <c r="C25066" i="1"/>
  <c r="A16225" i="1"/>
  <c r="B16225" i="1"/>
  <c r="C16225" i="1"/>
  <c r="A19353" i="1"/>
  <c r="B19353" i="1"/>
  <c r="C19353" i="1"/>
  <c r="A23778" i="1"/>
  <c r="B23778" i="1"/>
  <c r="C23778" i="1"/>
  <c r="A22126" i="1"/>
  <c r="B22126" i="1"/>
  <c r="C22126" i="1"/>
  <c r="A7720" i="1"/>
  <c r="B7720" i="1"/>
  <c r="C7720" i="1"/>
  <c r="A19157" i="1"/>
  <c r="B19157" i="1"/>
  <c r="C19157" i="1"/>
  <c r="A1755" i="1"/>
  <c r="B1755" i="1"/>
  <c r="C1755" i="1"/>
  <c r="A20233" i="1"/>
  <c r="B20233" i="1"/>
  <c r="C20233" i="1"/>
  <c r="A19170" i="1"/>
  <c r="B19170" i="1"/>
  <c r="C19170" i="1"/>
  <c r="A19176" i="1"/>
  <c r="B19176" i="1"/>
  <c r="C19176" i="1"/>
  <c r="A15702" i="1"/>
  <c r="B15702" i="1"/>
  <c r="C15702" i="1"/>
  <c r="A22637" i="1"/>
  <c r="B22637" i="1"/>
  <c r="C22637" i="1"/>
  <c r="A211" i="1"/>
  <c r="B211" i="1"/>
  <c r="C211" i="1"/>
  <c r="A7719" i="1"/>
  <c r="B7719" i="1"/>
  <c r="C7719" i="1"/>
  <c r="A2795" i="1"/>
  <c r="B2795" i="1"/>
  <c r="C2795" i="1"/>
  <c r="A15664" i="1"/>
  <c r="B15664" i="1"/>
  <c r="C15664" i="1"/>
  <c r="A2309" i="1"/>
  <c r="B2309" i="1"/>
  <c r="C2309" i="1"/>
  <c r="A6547" i="1"/>
  <c r="B6547" i="1"/>
  <c r="C6547" i="1"/>
  <c r="A11922" i="1"/>
  <c r="B11922" i="1"/>
  <c r="C11922" i="1"/>
  <c r="A5590" i="1"/>
  <c r="B5590" i="1"/>
  <c r="C5590" i="1"/>
  <c r="A5625" i="1"/>
  <c r="B5625" i="1"/>
  <c r="C5625" i="1"/>
  <c r="A152" i="1"/>
  <c r="B152" i="1"/>
  <c r="C152" i="1"/>
  <c r="A7735" i="1"/>
  <c r="B7735" i="1"/>
  <c r="C7735" i="1"/>
  <c r="A14214" i="1"/>
  <c r="B14214" i="1"/>
  <c r="C14214" i="1"/>
  <c r="A25151" i="1"/>
  <c r="B25151" i="1"/>
  <c r="C25151" i="1"/>
  <c r="A6545" i="1"/>
  <c r="B6545" i="1"/>
  <c r="C6545" i="1"/>
  <c r="A6950" i="1"/>
  <c r="B6950" i="1"/>
  <c r="C6950" i="1"/>
  <c r="A3491" i="1"/>
  <c r="B3491" i="1"/>
  <c r="C3491" i="1"/>
  <c r="A6784" i="1"/>
  <c r="B6784" i="1"/>
  <c r="C6784" i="1"/>
  <c r="A7376" i="1"/>
  <c r="B7376" i="1"/>
  <c r="C7376" i="1"/>
  <c r="A25505" i="1"/>
  <c r="B25505" i="1"/>
  <c r="C25505" i="1"/>
  <c r="A25506" i="1"/>
  <c r="B25506" i="1"/>
  <c r="C25506" i="1"/>
  <c r="A25502" i="1"/>
  <c r="B25502" i="1"/>
  <c r="C25502" i="1"/>
  <c r="A25503" i="1"/>
  <c r="B25503" i="1"/>
  <c r="C25503" i="1"/>
  <c r="A25504" i="1"/>
  <c r="B25504" i="1"/>
  <c r="C25504" i="1"/>
  <c r="A21784" i="1"/>
  <c r="B21784" i="1"/>
  <c r="C21784" i="1"/>
  <c r="A6498" i="1"/>
  <c r="C6498" i="1"/>
  <c r="A5993" i="1"/>
  <c r="B5993" i="1"/>
  <c r="C5993" i="1"/>
  <c r="A5998" i="1"/>
  <c r="B5998" i="1"/>
  <c r="C5998" i="1"/>
  <c r="A24519" i="1"/>
  <c r="B24519" i="1"/>
  <c r="C24519" i="1"/>
  <c r="A8453" i="1"/>
  <c r="B8453" i="1"/>
  <c r="C8453" i="1"/>
  <c r="A7674" i="1"/>
  <c r="B7674" i="1"/>
  <c r="C7674" i="1"/>
  <c r="A14836" i="1"/>
  <c r="B14836" i="1"/>
  <c r="C14836" i="1"/>
  <c r="A309" i="1"/>
  <c r="B309" i="1"/>
  <c r="C309" i="1"/>
  <c r="A2934" i="1"/>
  <c r="B2934" i="1"/>
  <c r="C2934" i="1"/>
  <c r="A7752" i="1"/>
  <c r="B7752" i="1"/>
  <c r="C7752" i="1"/>
  <c r="A21864" i="1"/>
  <c r="B21864" i="1"/>
  <c r="C21864" i="1"/>
  <c r="A852" i="1"/>
  <c r="C852" i="1"/>
  <c r="A845" i="1"/>
  <c r="B845" i="1"/>
  <c r="C845" i="1"/>
  <c r="A24871" i="1"/>
  <c r="B24871" i="1"/>
  <c r="C24871" i="1"/>
  <c r="A25161" i="1"/>
  <c r="B25161" i="1"/>
  <c r="C25161" i="1"/>
  <c r="A16574" i="1"/>
  <c r="B16574" i="1"/>
  <c r="C16574" i="1"/>
  <c r="A16598" i="1"/>
  <c r="B16598" i="1"/>
  <c r="C16598" i="1"/>
  <c r="A25148" i="1"/>
  <c r="B25148" i="1"/>
  <c r="C25148" i="1"/>
  <c r="A4079" i="1"/>
  <c r="B4079" i="1"/>
  <c r="C4079" i="1"/>
  <c r="A11419" i="1"/>
  <c r="B11419" i="1"/>
  <c r="C11419" i="1"/>
  <c r="A15674" i="1"/>
  <c r="B15674" i="1"/>
  <c r="C15674" i="1"/>
  <c r="A8265" i="1"/>
  <c r="C8265" i="1"/>
  <c r="A8268" i="1"/>
  <c r="B8268" i="1"/>
  <c r="C8268" i="1"/>
  <c r="A8269" i="1"/>
  <c r="B8269" i="1"/>
  <c r="C8269" i="1"/>
  <c r="A8225" i="1"/>
  <c r="B8225" i="1"/>
  <c r="C8225" i="1"/>
  <c r="A24979" i="1"/>
  <c r="B24979" i="1"/>
  <c r="C24979" i="1"/>
  <c r="A25014" i="1"/>
  <c r="B25014" i="1"/>
  <c r="C25014" i="1"/>
  <c r="A4260" i="1"/>
  <c r="B4260" i="1"/>
  <c r="C4260" i="1"/>
  <c r="A15620" i="1"/>
  <c r="B15620" i="1"/>
  <c r="C15620" i="1"/>
  <c r="A4461" i="1"/>
  <c r="B4461" i="1"/>
  <c r="C4461" i="1"/>
  <c r="A14349" i="1"/>
  <c r="B14349" i="1"/>
  <c r="C14349" i="1"/>
  <c r="A14350" i="1"/>
  <c r="B14350" i="1"/>
  <c r="C14350" i="1"/>
  <c r="A14348" i="1"/>
  <c r="B14348" i="1"/>
  <c r="C14348" i="1"/>
  <c r="A25397" i="1"/>
  <c r="B25397" i="1"/>
  <c r="C25397" i="1"/>
  <c r="A23184" i="1"/>
  <c r="B23184" i="1"/>
  <c r="C23184" i="1"/>
  <c r="A7543" i="1"/>
  <c r="B7543" i="1"/>
  <c r="C7543" i="1"/>
  <c r="A254" i="1"/>
  <c r="B254" i="1"/>
  <c r="C254" i="1"/>
  <c r="A12792" i="1"/>
  <c r="B12792" i="1"/>
  <c r="C12792" i="1"/>
  <c r="A11267" i="1"/>
  <c r="B11267" i="1"/>
  <c r="C11267" i="1"/>
  <c r="A11266" i="1"/>
  <c r="B11266" i="1"/>
  <c r="C11266" i="1"/>
  <c r="A19935" i="1"/>
  <c r="B19935" i="1"/>
  <c r="C19935" i="1"/>
  <c r="A16927" i="1"/>
  <c r="B16927" i="1"/>
  <c r="C16927" i="1"/>
  <c r="A1275" i="1"/>
  <c r="B1275" i="1"/>
  <c r="C1275" i="1"/>
  <c r="A8117" i="1"/>
  <c r="B8117" i="1"/>
  <c r="C8117" i="1"/>
  <c r="A8104" i="1"/>
  <c r="B8104" i="1"/>
  <c r="C8104" i="1"/>
  <c r="A11971" i="1"/>
  <c r="B11971" i="1"/>
  <c r="C11971" i="1"/>
  <c r="A23719" i="1"/>
  <c r="B23719" i="1"/>
  <c r="C23719" i="1"/>
  <c r="A19803" i="1"/>
  <c r="B19803" i="1"/>
  <c r="C19803" i="1"/>
  <c r="A25233" i="1"/>
  <c r="B25233" i="1"/>
  <c r="C25233" i="1"/>
  <c r="A17625" i="1"/>
  <c r="B17625" i="1"/>
  <c r="C17625" i="1"/>
  <c r="A20816" i="1"/>
  <c r="B20816" i="1"/>
  <c r="C20816" i="1"/>
  <c r="A20762" i="1"/>
  <c r="B20762" i="1"/>
  <c r="C20762" i="1"/>
  <c r="A23349" i="1"/>
  <c r="B23349" i="1"/>
  <c r="C23349" i="1"/>
  <c r="A2223" i="1"/>
  <c r="B2223" i="1"/>
  <c r="C2223" i="1"/>
  <c r="A14892" i="1"/>
  <c r="B14892" i="1"/>
  <c r="C14892" i="1"/>
  <c r="A19522" i="1"/>
  <c r="B19522" i="1"/>
  <c r="C19522" i="1"/>
  <c r="A18371" i="1"/>
  <c r="B18371" i="1"/>
  <c r="C18371" i="1"/>
  <c r="A2843" i="1"/>
  <c r="B2843" i="1"/>
  <c r="C2843" i="1"/>
  <c r="A6813" i="1"/>
  <c r="B6813" i="1"/>
  <c r="C6813" i="1"/>
  <c r="A8391" i="1"/>
  <c r="B8391" i="1"/>
  <c r="C8391" i="1"/>
  <c r="A25536" i="1"/>
  <c r="B25536" i="1"/>
  <c r="C25536" i="1"/>
  <c r="A7989" i="1"/>
  <c r="B7989" i="1"/>
  <c r="C7989" i="1"/>
  <c r="A6655" i="1"/>
  <c r="B6655" i="1"/>
  <c r="C6655" i="1"/>
  <c r="A14169" i="1"/>
  <c r="B14169" i="1"/>
  <c r="C14169" i="1"/>
  <c r="A16350" i="1"/>
  <c r="B16350" i="1"/>
  <c r="C16350" i="1"/>
  <c r="A14362" i="1"/>
  <c r="B14362" i="1"/>
  <c r="C14362" i="1"/>
  <c r="A11304" i="1"/>
  <c r="B11304" i="1"/>
  <c r="C11304" i="1"/>
  <c r="A19865" i="1"/>
  <c r="B19865" i="1"/>
  <c r="C19865" i="1"/>
  <c r="A5600" i="1"/>
  <c r="B5600" i="1"/>
  <c r="C5600" i="1"/>
  <c r="A6015" i="1"/>
  <c r="B6015" i="1"/>
  <c r="C6015" i="1"/>
  <c r="A6008" i="1"/>
  <c r="B6008" i="1"/>
  <c r="C6008" i="1"/>
  <c r="A12764" i="1"/>
  <c r="B12764" i="1"/>
  <c r="C12764" i="1"/>
  <c r="A11794" i="1"/>
  <c r="B11794" i="1"/>
  <c r="C11794" i="1"/>
  <c r="A11795" i="1"/>
  <c r="B11795" i="1"/>
  <c r="C11795" i="1"/>
  <c r="A25403" i="1"/>
  <c r="B25403" i="1"/>
  <c r="C25403" i="1"/>
  <c r="A21581" i="1"/>
  <c r="B21581" i="1"/>
  <c r="C21581" i="1"/>
  <c r="A25433" i="1"/>
  <c r="B25433" i="1"/>
  <c r="C25433" i="1"/>
  <c r="A3165" i="1"/>
  <c r="B3165" i="1"/>
  <c r="C3165" i="1"/>
  <c r="A3164" i="1"/>
  <c r="B3164" i="1"/>
  <c r="C3164" i="1"/>
  <c r="A13226" i="1"/>
  <c r="B13226" i="1"/>
  <c r="C13226" i="1"/>
  <c r="A13227" i="1"/>
  <c r="B13227" i="1"/>
  <c r="C13227" i="1"/>
  <c r="A13231" i="1"/>
  <c r="B13231" i="1"/>
  <c r="C13231" i="1"/>
  <c r="A13229" i="1"/>
  <c r="B13229" i="1"/>
  <c r="C13229" i="1"/>
  <c r="A13223" i="1"/>
  <c r="B13223" i="1"/>
  <c r="C13223" i="1"/>
  <c r="A13225" i="1"/>
  <c r="B13225" i="1"/>
  <c r="C13225" i="1"/>
  <c r="A13224" i="1"/>
  <c r="B13224" i="1"/>
  <c r="C13224" i="1"/>
  <c r="A13222" i="1"/>
  <c r="B13222" i="1"/>
  <c r="C13222" i="1"/>
  <c r="A13230" i="1"/>
  <c r="B13230" i="1"/>
  <c r="C13230" i="1"/>
  <c r="A13232" i="1"/>
  <c r="B13232" i="1"/>
  <c r="C13232" i="1"/>
  <c r="A23178" i="1"/>
  <c r="B23178" i="1"/>
  <c r="C23178" i="1"/>
  <c r="A6005" i="1"/>
  <c r="B6005" i="1"/>
  <c r="C6005" i="1"/>
  <c r="A6044" i="1"/>
  <c r="B6044" i="1"/>
  <c r="C6044" i="1"/>
  <c r="A24498" i="1"/>
  <c r="B24498" i="1"/>
  <c r="C24498" i="1"/>
  <c r="A1240" i="1"/>
  <c r="B1240" i="1"/>
  <c r="C1240" i="1"/>
  <c r="A1241" i="1"/>
  <c r="B1241" i="1"/>
  <c r="C1241" i="1"/>
  <c r="A1258" i="1"/>
  <c r="B1258" i="1"/>
  <c r="C1258" i="1"/>
  <c r="A1230" i="1"/>
  <c r="B1230" i="1"/>
  <c r="C1230" i="1"/>
  <c r="A1242" i="1"/>
  <c r="B1242" i="1"/>
  <c r="C1242" i="1"/>
  <c r="A11793" i="1"/>
  <c r="B11793" i="1"/>
  <c r="C11793" i="1"/>
  <c r="A12515" i="1"/>
  <c r="B12515" i="1"/>
  <c r="C12515" i="1"/>
  <c r="A19892" i="1"/>
  <c r="B19892" i="1"/>
  <c r="C19892" i="1"/>
  <c r="A11790" i="1"/>
  <c r="B11790" i="1"/>
  <c r="C11790" i="1"/>
  <c r="A20334" i="1"/>
  <c r="B20334" i="1"/>
  <c r="C20334" i="1"/>
  <c r="A19255" i="1"/>
  <c r="B19255" i="1"/>
  <c r="C19255" i="1"/>
  <c r="A19254" i="1"/>
  <c r="B19254" i="1"/>
  <c r="C19254" i="1"/>
  <c r="A19256" i="1"/>
  <c r="B19256" i="1"/>
  <c r="C19256" i="1"/>
  <c r="A19257" i="1"/>
  <c r="B19257" i="1"/>
  <c r="C19257" i="1"/>
  <c r="A3787" i="1"/>
  <c r="B3787" i="1"/>
  <c r="C3787" i="1"/>
  <c r="A7561" i="1"/>
  <c r="B7561" i="1"/>
  <c r="C7561" i="1"/>
  <c r="A19882" i="1"/>
  <c r="B19882" i="1"/>
  <c r="C19882" i="1"/>
  <c r="A23418" i="1"/>
  <c r="B23418" i="1"/>
  <c r="C23418" i="1"/>
  <c r="A23415" i="1"/>
  <c r="B23415" i="1"/>
  <c r="C23415" i="1"/>
  <c r="A23407" i="1"/>
  <c r="B23407" i="1"/>
  <c r="C23407" i="1"/>
  <c r="A15676" i="1"/>
  <c r="B15676" i="1"/>
  <c r="C15676" i="1"/>
  <c r="A14457" i="1"/>
  <c r="B14457" i="1"/>
  <c r="C14457" i="1"/>
  <c r="A15599" i="1"/>
  <c r="B15599" i="1"/>
  <c r="C15599" i="1"/>
  <c r="A10086" i="1"/>
  <c r="B10086" i="1"/>
  <c r="C10086" i="1"/>
  <c r="A22466" i="1"/>
  <c r="B22466" i="1"/>
  <c r="C22466" i="1"/>
  <c r="A7460" i="1"/>
  <c r="B7460" i="1"/>
  <c r="C7460" i="1"/>
  <c r="A9399" i="1"/>
  <c r="B9399" i="1"/>
  <c r="C9399" i="1"/>
  <c r="A2220" i="1"/>
  <c r="B2220" i="1"/>
  <c r="C2220" i="1"/>
  <c r="A22678" i="1"/>
  <c r="B22678" i="1"/>
  <c r="C22678" i="1"/>
  <c r="A109" i="1"/>
  <c r="B109" i="1"/>
  <c r="C109" i="1"/>
  <c r="A6623" i="1"/>
  <c r="B6623" i="1"/>
  <c r="C6623" i="1"/>
  <c r="A1006" i="1"/>
  <c r="B1006" i="1"/>
  <c r="C1006" i="1"/>
  <c r="A17831" i="1"/>
  <c r="B17831" i="1"/>
  <c r="C17831" i="1"/>
  <c r="A5886" i="1"/>
  <c r="B5886" i="1"/>
  <c r="C5886" i="1"/>
  <c r="A5884" i="1"/>
  <c r="B5884" i="1"/>
  <c r="C5884" i="1"/>
  <c r="A5338" i="1"/>
  <c r="B5338" i="1"/>
  <c r="C5338" i="1"/>
  <c r="A6280" i="1"/>
  <c r="B6280" i="1"/>
  <c r="C6280" i="1"/>
  <c r="A3920" i="1"/>
  <c r="B3920" i="1"/>
  <c r="C3920" i="1"/>
  <c r="A3825" i="1"/>
  <c r="B3825" i="1"/>
  <c r="C3825" i="1"/>
  <c r="A532" i="1"/>
  <c r="B532" i="1"/>
  <c r="C532" i="1"/>
  <c r="A7512" i="1"/>
  <c r="B7512" i="1"/>
  <c r="C7512" i="1"/>
  <c r="A5814" i="1"/>
  <c r="B5814" i="1"/>
  <c r="C5814" i="1"/>
  <c r="A5815" i="1"/>
  <c r="B5815" i="1"/>
  <c r="C5815" i="1"/>
  <c r="A11601" i="1"/>
  <c r="B11601" i="1"/>
  <c r="C11601" i="1"/>
  <c r="A858" i="1"/>
  <c r="C858" i="1"/>
  <c r="A3875" i="1"/>
  <c r="B3875" i="1"/>
  <c r="C3875" i="1"/>
  <c r="A4171" i="1"/>
  <c r="B4171" i="1"/>
  <c r="C4171" i="1"/>
  <c r="A4046" i="1"/>
  <c r="B4046" i="1"/>
  <c r="C4046" i="1"/>
  <c r="A6747" i="1"/>
  <c r="B6747" i="1"/>
  <c r="C6747" i="1"/>
  <c r="A12545" i="1"/>
  <c r="B12545" i="1"/>
  <c r="C12545" i="1"/>
  <c r="A12684" i="1"/>
  <c r="B12684" i="1"/>
  <c r="C12684" i="1"/>
  <c r="A1264" i="1"/>
  <c r="B1264" i="1"/>
  <c r="C1264" i="1"/>
  <c r="A1265" i="1"/>
  <c r="B1265" i="1"/>
  <c r="C1265" i="1"/>
  <c r="A1268" i="1"/>
  <c r="B1268" i="1"/>
  <c r="C1268" i="1"/>
  <c r="A24005" i="1"/>
  <c r="B24005" i="1"/>
  <c r="C24005" i="1"/>
  <c r="A12760" i="1"/>
  <c r="B12760" i="1"/>
  <c r="C12760" i="1"/>
  <c r="A8151" i="1"/>
  <c r="B8151" i="1"/>
  <c r="C8151" i="1"/>
  <c r="A13442" i="1"/>
  <c r="B13442" i="1"/>
  <c r="C13442" i="1"/>
  <c r="A14440" i="1"/>
  <c r="B14440" i="1"/>
  <c r="C14440" i="1"/>
  <c r="A12311" i="1"/>
  <c r="B12311" i="1"/>
  <c r="C12311" i="1"/>
  <c r="A12310" i="1"/>
  <c r="B12310" i="1"/>
  <c r="C12310" i="1"/>
  <c r="A23498" i="1"/>
  <c r="B23498" i="1"/>
  <c r="C23498" i="1"/>
  <c r="A16889" i="1"/>
  <c r="B16889" i="1"/>
  <c r="C16889" i="1"/>
  <c r="A16587" i="1"/>
  <c r="B16587" i="1"/>
  <c r="C16587" i="1"/>
  <c r="A10645" i="1"/>
  <c r="B10645" i="1"/>
  <c r="C10645" i="1"/>
  <c r="A21909" i="1"/>
  <c r="B21909" i="1"/>
  <c r="C21909" i="1"/>
  <c r="A22228" i="1"/>
  <c r="B22228" i="1"/>
  <c r="C22228" i="1"/>
  <c r="A4145" i="1"/>
  <c r="B4145" i="1"/>
  <c r="C4145" i="1"/>
  <c r="A8819" i="1"/>
  <c r="B8819" i="1"/>
  <c r="C8819" i="1"/>
  <c r="A7729" i="1"/>
  <c r="B7729" i="1"/>
  <c r="C7729" i="1"/>
  <c r="A25287" i="1"/>
  <c r="B25287" i="1"/>
  <c r="C25287" i="1"/>
  <c r="A3837" i="1"/>
  <c r="B3837" i="1"/>
  <c r="C3837" i="1"/>
  <c r="A2206" i="1"/>
  <c r="B2206" i="1"/>
  <c r="C2206" i="1"/>
  <c r="A7134" i="1"/>
  <c r="B7134" i="1"/>
  <c r="C7134" i="1"/>
  <c r="A4047" i="1"/>
  <c r="B4047" i="1"/>
  <c r="C4047" i="1"/>
  <c r="A12685" i="1"/>
  <c r="B12685" i="1"/>
  <c r="C12685" i="1"/>
  <c r="A4193" i="1"/>
  <c r="B4193" i="1"/>
  <c r="C4193" i="1"/>
  <c r="A6646" i="1"/>
  <c r="B6646" i="1"/>
  <c r="C6646" i="1"/>
  <c r="A9009" i="1"/>
  <c r="B9009" i="1"/>
  <c r="C9009" i="1"/>
  <c r="A4408" i="1"/>
  <c r="B4408" i="1"/>
  <c r="C4408" i="1"/>
  <c r="A4191" i="1"/>
  <c r="B4191" i="1"/>
  <c r="C4191" i="1"/>
  <c r="A22481" i="1"/>
  <c r="B22481" i="1"/>
  <c r="C22481" i="1"/>
  <c r="A2879" i="1"/>
  <c r="B2879" i="1"/>
  <c r="C2879" i="1"/>
  <c r="A9018" i="1"/>
  <c r="B9018" i="1"/>
  <c r="C9018" i="1"/>
  <c r="A9017" i="1"/>
  <c r="B9017" i="1"/>
  <c r="C9017" i="1"/>
  <c r="A7536" i="1"/>
  <c r="B7536" i="1"/>
  <c r="C7536" i="1"/>
  <c r="A21981" i="1"/>
  <c r="B21981" i="1"/>
  <c r="C21981" i="1"/>
  <c r="A21985" i="1"/>
  <c r="B21985" i="1"/>
  <c r="C21985" i="1"/>
  <c r="A6009" i="1"/>
  <c r="B6009" i="1"/>
  <c r="C6009" i="1"/>
  <c r="A16295" i="1"/>
  <c r="B16295" i="1"/>
  <c r="C16295" i="1"/>
  <c r="A21064" i="1"/>
  <c r="B21064" i="1"/>
  <c r="C21064" i="1"/>
  <c r="A9887" i="1"/>
  <c r="B9887" i="1"/>
  <c r="C9887" i="1"/>
  <c r="A6519" i="1"/>
  <c r="B6519" i="1"/>
  <c r="C6519" i="1"/>
  <c r="A6515" i="1"/>
  <c r="B6515" i="1"/>
  <c r="C6515" i="1"/>
  <c r="A15699" i="1"/>
  <c r="B15699" i="1"/>
  <c r="C15699" i="1"/>
  <c r="A7133" i="1"/>
  <c r="B7133" i="1"/>
  <c r="C7133" i="1"/>
  <c r="A22813" i="1"/>
  <c r="B22813" i="1"/>
  <c r="C22813" i="1"/>
  <c r="A22814" i="1"/>
  <c r="B22814" i="1"/>
  <c r="C22814" i="1"/>
  <c r="A22816" i="1"/>
  <c r="B22816" i="1"/>
  <c r="C22816" i="1"/>
  <c r="A15425" i="1"/>
  <c r="B15425" i="1"/>
  <c r="C15425" i="1"/>
  <c r="A23688" i="1"/>
  <c r="B23688" i="1"/>
  <c r="C23688" i="1"/>
  <c r="A7132" i="1"/>
  <c r="B7132" i="1"/>
  <c r="C7132" i="1"/>
  <c r="A19033" i="1"/>
  <c r="B19033" i="1"/>
  <c r="C19033" i="1"/>
  <c r="A21900" i="1"/>
  <c r="B21900" i="1"/>
  <c r="C21900" i="1"/>
  <c r="A11584" i="1"/>
  <c r="B11584" i="1"/>
  <c r="C11584" i="1"/>
  <c r="A25013" i="1"/>
  <c r="B25013" i="1"/>
  <c r="C25013" i="1"/>
  <c r="A11300" i="1"/>
  <c r="B11300" i="1"/>
  <c r="C11300" i="1"/>
  <c r="A24984" i="1"/>
  <c r="B24984" i="1"/>
  <c r="C24984" i="1"/>
  <c r="A24983" i="1"/>
  <c r="B24983" i="1"/>
  <c r="C24983" i="1"/>
  <c r="A1389" i="1"/>
  <c r="B1389" i="1"/>
  <c r="C1389" i="1"/>
  <c r="A15387" i="1"/>
  <c r="B15387" i="1"/>
  <c r="C15387" i="1"/>
  <c r="A10168" i="1"/>
  <c r="B10168" i="1"/>
  <c r="C10168" i="1"/>
  <c r="A3016" i="1"/>
  <c r="B3016" i="1"/>
  <c r="C3016" i="1"/>
  <c r="A8233" i="1"/>
  <c r="B8233" i="1"/>
  <c r="C8233" i="1"/>
  <c r="A20958" i="1"/>
  <c r="B20958" i="1"/>
  <c r="C20958" i="1"/>
  <c r="A12234" i="1"/>
  <c r="B12234" i="1"/>
  <c r="C12234" i="1"/>
  <c r="A12213" i="1"/>
  <c r="B12213" i="1"/>
  <c r="C12213" i="1"/>
  <c r="A25182" i="1"/>
  <c r="B25182" i="1"/>
  <c r="C25182" i="1"/>
  <c r="A11561" i="1"/>
  <c r="B11561" i="1"/>
  <c r="C11561" i="1"/>
  <c r="A4788" i="1"/>
  <c r="B4788" i="1"/>
  <c r="C4788" i="1"/>
  <c r="A2586" i="1"/>
  <c r="B2586" i="1"/>
  <c r="C2586" i="1"/>
  <c r="A19247" i="1"/>
  <c r="B19247" i="1"/>
  <c r="C19247" i="1"/>
  <c r="A12626" i="1"/>
  <c r="B12626" i="1"/>
  <c r="C12626" i="1"/>
  <c r="A14404" i="1"/>
  <c r="B14404" i="1"/>
  <c r="C14404" i="1"/>
  <c r="A13897" i="1"/>
  <c r="B13897" i="1"/>
  <c r="C13897" i="1"/>
  <c r="A13715" i="1"/>
  <c r="B13715" i="1"/>
  <c r="C13715" i="1"/>
  <c r="A11187" i="1"/>
  <c r="B11187" i="1"/>
  <c r="C11187" i="1"/>
  <c r="A18268" i="1"/>
  <c r="B18268" i="1"/>
  <c r="C18268" i="1"/>
  <c r="A18269" i="1"/>
  <c r="B18269" i="1"/>
  <c r="C18269" i="1"/>
  <c r="A16300" i="1"/>
  <c r="B16300" i="1"/>
  <c r="C16300" i="1"/>
  <c r="A19657" i="1"/>
  <c r="C19657" i="1"/>
  <c r="A13776" i="1"/>
  <c r="B13776" i="1"/>
  <c r="C13776" i="1"/>
  <c r="A6931" i="1"/>
  <c r="B6931" i="1"/>
  <c r="C6931" i="1"/>
  <c r="A23807" i="1"/>
  <c r="B23807" i="1"/>
  <c r="C23807" i="1"/>
  <c r="A16325" i="1"/>
  <c r="B16325" i="1"/>
  <c r="C16325" i="1"/>
  <c r="A23180" i="1"/>
  <c r="B23180" i="1"/>
  <c r="C23180" i="1"/>
  <c r="A8304" i="1"/>
  <c r="B8304" i="1"/>
  <c r="C8304" i="1"/>
  <c r="A25135" i="1"/>
  <c r="B25135" i="1"/>
  <c r="C25135" i="1"/>
  <c r="A2495" i="1"/>
  <c r="B2495" i="1"/>
  <c r="C2495" i="1"/>
  <c r="A19755" i="1"/>
  <c r="B19755" i="1"/>
  <c r="C19755" i="1"/>
  <c r="A23185" i="1"/>
  <c r="B23185" i="1"/>
  <c r="C23185" i="1"/>
  <c r="A19621" i="1"/>
  <c r="B19621" i="1"/>
  <c r="C19621" i="1"/>
  <c r="A17605" i="1"/>
  <c r="B17605" i="1"/>
  <c r="C17605" i="1"/>
  <c r="A7814" i="1"/>
  <c r="B7814" i="1"/>
  <c r="C7814" i="1"/>
  <c r="A12761" i="1"/>
  <c r="B12761" i="1"/>
  <c r="C12761" i="1"/>
  <c r="A7769" i="1"/>
  <c r="B7769" i="1"/>
  <c r="C7769" i="1"/>
  <c r="A12488" i="1"/>
  <c r="B12488" i="1"/>
  <c r="C12488" i="1"/>
  <c r="A11506" i="1"/>
  <c r="B11506" i="1"/>
  <c r="C11506" i="1"/>
  <c r="A16672" i="1"/>
  <c r="B16672" i="1"/>
  <c r="C16672" i="1"/>
  <c r="A19786" i="1"/>
  <c r="B19786" i="1"/>
  <c r="C19786" i="1"/>
  <c r="A2285" i="1"/>
  <c r="B2285" i="1"/>
  <c r="C2285" i="1"/>
  <c r="A19581" i="1"/>
  <c r="B19581" i="1"/>
  <c r="C19581" i="1"/>
  <c r="A19586" i="1"/>
  <c r="B19586" i="1"/>
  <c r="C19586" i="1"/>
  <c r="A19589" i="1"/>
  <c r="B19589" i="1"/>
  <c r="C19589" i="1"/>
  <c r="A645" i="1"/>
  <c r="B645" i="1"/>
  <c r="C645" i="1"/>
  <c r="A24471" i="1"/>
  <c r="B24471" i="1"/>
  <c r="C24471" i="1"/>
  <c r="A24468" i="1"/>
  <c r="B24468" i="1"/>
  <c r="C24468" i="1"/>
  <c r="A14306" i="1"/>
  <c r="B14306" i="1"/>
  <c r="C14306" i="1"/>
  <c r="A15223" i="1"/>
  <c r="B15223" i="1"/>
  <c r="C15223" i="1"/>
  <c r="A10793" i="1"/>
  <c r="B10793" i="1"/>
  <c r="C10793" i="1"/>
  <c r="A8361" i="1"/>
  <c r="B8361" i="1"/>
  <c r="C8361" i="1"/>
  <c r="A12537" i="1"/>
  <c r="B12537" i="1"/>
  <c r="C12537" i="1"/>
  <c r="A23747" i="1"/>
  <c r="B23747" i="1"/>
  <c r="C23747" i="1"/>
  <c r="A9014" i="1"/>
  <c r="B9014" i="1"/>
  <c r="C9014" i="1"/>
  <c r="A7637" i="1"/>
  <c r="B7637" i="1"/>
  <c r="C7637" i="1"/>
  <c r="A19455" i="1"/>
  <c r="B19455" i="1"/>
  <c r="C19455" i="1"/>
  <c r="A14154" i="1"/>
  <c r="B14154" i="1"/>
  <c r="C14154" i="1"/>
  <c r="A24303" i="1"/>
  <c r="B24303" i="1"/>
  <c r="C24303" i="1"/>
  <c r="A14333" i="1"/>
  <c r="B14333" i="1"/>
  <c r="C14333" i="1"/>
  <c r="A14334" i="1"/>
  <c r="B14334" i="1"/>
  <c r="C14334" i="1"/>
  <c r="A11595" i="1"/>
  <c r="B11595" i="1"/>
  <c r="C11595" i="1"/>
  <c r="A15654" i="1"/>
  <c r="B15654" i="1"/>
  <c r="C15654" i="1"/>
  <c r="A23723" i="1"/>
  <c r="B23723" i="1"/>
  <c r="C23723" i="1"/>
  <c r="A23725" i="1"/>
  <c r="B23725" i="1"/>
  <c r="C23725" i="1"/>
  <c r="A23720" i="1"/>
  <c r="B23720" i="1"/>
  <c r="C23720" i="1"/>
  <c r="A23722" i="1"/>
  <c r="B23722" i="1"/>
  <c r="C23722" i="1"/>
  <c r="A23727" i="1"/>
  <c r="B23727" i="1"/>
  <c r="C23727" i="1"/>
  <c r="A8202" i="1"/>
  <c r="B8202" i="1"/>
  <c r="C8202" i="1"/>
  <c r="A23432" i="1"/>
  <c r="B23432" i="1"/>
  <c r="C23432" i="1"/>
  <c r="A23381" i="1"/>
  <c r="B23381" i="1"/>
  <c r="C23381" i="1"/>
  <c r="A23387" i="1"/>
  <c r="B23387" i="1"/>
  <c r="C23387" i="1"/>
  <c r="A23430" i="1"/>
  <c r="B23430" i="1"/>
  <c r="C23430" i="1"/>
  <c r="A23427" i="1"/>
  <c r="B23427" i="1"/>
  <c r="C23427" i="1"/>
  <c r="A17362" i="1"/>
  <c r="B17362" i="1"/>
  <c r="C17362" i="1"/>
  <c r="A24306" i="1"/>
  <c r="B24306" i="1"/>
  <c r="C24306" i="1"/>
  <c r="A24307" i="1"/>
  <c r="B24307" i="1"/>
  <c r="C24307" i="1"/>
  <c r="A14614" i="1"/>
  <c r="B14614" i="1"/>
  <c r="C14614" i="1"/>
  <c r="A15665" i="1"/>
  <c r="B15665" i="1"/>
  <c r="C15665" i="1"/>
  <c r="A5193" i="1"/>
  <c r="B5193" i="1"/>
  <c r="C5193" i="1"/>
  <c r="A14234" i="1"/>
  <c r="B14234" i="1"/>
  <c r="C14234" i="1"/>
  <c r="A25673" i="1"/>
  <c r="B25673" i="1"/>
  <c r="C25673" i="1"/>
  <c r="A25672" i="1"/>
  <c r="B25672" i="1"/>
  <c r="C25672" i="1"/>
  <c r="A22893" i="1"/>
  <c r="B22893" i="1"/>
  <c r="C22893" i="1"/>
  <c r="A16155" i="1"/>
  <c r="B16155" i="1"/>
  <c r="C16155" i="1"/>
  <c r="A16739" i="1"/>
  <c r="B16739" i="1"/>
  <c r="C16739" i="1"/>
  <c r="A17168" i="1"/>
  <c r="B17168" i="1"/>
  <c r="C17168" i="1"/>
  <c r="A6526" i="1"/>
  <c r="B6526" i="1"/>
  <c r="C6526" i="1"/>
  <c r="A6064" i="1"/>
  <c r="B6064" i="1"/>
  <c r="C6064" i="1"/>
  <c r="A8793" i="1"/>
  <c r="B8793" i="1"/>
  <c r="C8793" i="1"/>
  <c r="A8388" i="1"/>
  <c r="B8388" i="1"/>
  <c r="C8388" i="1"/>
  <c r="A13626" i="1"/>
  <c r="B13626" i="1"/>
  <c r="C13626" i="1"/>
  <c r="A20994" i="1"/>
  <c r="B20994" i="1"/>
  <c r="C20994" i="1"/>
  <c r="A23358" i="1"/>
  <c r="B23358" i="1"/>
  <c r="C23358" i="1"/>
  <c r="A23631" i="1"/>
  <c r="B23631" i="1"/>
  <c r="C23631" i="1"/>
  <c r="A23634" i="1"/>
  <c r="B23634" i="1"/>
  <c r="C23634" i="1"/>
  <c r="A23636" i="1"/>
  <c r="B23636" i="1"/>
  <c r="C23636" i="1"/>
  <c r="A23637" i="1"/>
  <c r="B23637" i="1"/>
  <c r="C23637" i="1"/>
  <c r="A25431" i="1"/>
  <c r="B25431" i="1"/>
  <c r="C25431" i="1"/>
  <c r="A25430" i="1"/>
  <c r="B25430" i="1"/>
  <c r="C25430" i="1"/>
  <c r="A12301" i="1"/>
  <c r="B12301" i="1"/>
  <c r="C12301" i="1"/>
  <c r="A12300" i="1"/>
  <c r="B12300" i="1"/>
  <c r="C12300" i="1"/>
  <c r="A9944" i="1"/>
  <c r="B9944" i="1"/>
  <c r="C9944" i="1"/>
  <c r="A1860" i="1"/>
  <c r="B1860" i="1"/>
  <c r="C1860" i="1"/>
  <c r="A19905" i="1"/>
  <c r="B19905" i="1"/>
  <c r="C19905" i="1"/>
  <c r="A21779" i="1"/>
  <c r="B21779" i="1"/>
  <c r="C21779" i="1"/>
  <c r="A19903" i="1"/>
  <c r="B19903" i="1"/>
  <c r="C19903" i="1"/>
  <c r="A15909" i="1"/>
  <c r="B15909" i="1"/>
  <c r="C15909" i="1"/>
  <c r="A23728" i="1"/>
  <c r="B23728" i="1"/>
  <c r="C23728" i="1"/>
  <c r="A14886" i="1"/>
  <c r="B14886" i="1"/>
  <c r="C14886" i="1"/>
  <c r="A19148" i="1"/>
  <c r="B19148" i="1"/>
  <c r="C19148" i="1"/>
  <c r="A9388" i="1"/>
  <c r="B9388" i="1"/>
  <c r="C9388" i="1"/>
  <c r="A19823" i="1"/>
  <c r="B19823" i="1"/>
  <c r="C19823" i="1"/>
  <c r="A523" i="1"/>
  <c r="B523" i="1"/>
  <c r="C523" i="1"/>
  <c r="A25317" i="1"/>
  <c r="B25317" i="1"/>
  <c r="C25317" i="1"/>
  <c r="A6324" i="1"/>
  <c r="B6324" i="1"/>
  <c r="C6324" i="1"/>
  <c r="A20681" i="1"/>
  <c r="B20681" i="1"/>
  <c r="C20681" i="1"/>
  <c r="A6164" i="1"/>
  <c r="B6164" i="1"/>
  <c r="C6164" i="1"/>
  <c r="A15483" i="1"/>
  <c r="B15483" i="1"/>
  <c r="C15483" i="1"/>
  <c r="A5492" i="1"/>
  <c r="B5492" i="1"/>
  <c r="C5492" i="1"/>
  <c r="A5494" i="1"/>
  <c r="B5494" i="1"/>
  <c r="C5494" i="1"/>
  <c r="A5491" i="1"/>
  <c r="B5491" i="1"/>
  <c r="C5491" i="1"/>
  <c r="A5506" i="1"/>
  <c r="B5506" i="1"/>
  <c r="C5506" i="1"/>
  <c r="A5493" i="1"/>
  <c r="B5493" i="1"/>
  <c r="C5493" i="1"/>
  <c r="A5505" i="1"/>
  <c r="B5505" i="1"/>
  <c r="C5505" i="1"/>
  <c r="A11841" i="1"/>
  <c r="B11841" i="1"/>
  <c r="C11841" i="1"/>
  <c r="A5488" i="1"/>
  <c r="B5488" i="1"/>
  <c r="C5488" i="1"/>
  <c r="A5504" i="1"/>
  <c r="B5504" i="1"/>
  <c r="C5504" i="1"/>
  <c r="A5503" i="1"/>
  <c r="B5503" i="1"/>
  <c r="C5503" i="1"/>
  <c r="A5502" i="1"/>
  <c r="B5502" i="1"/>
  <c r="C5502" i="1"/>
  <c r="A25157" i="1"/>
  <c r="B25157" i="1"/>
  <c r="C25157" i="1"/>
  <c r="A46" i="1"/>
  <c r="B46" i="1"/>
  <c r="C46" i="1"/>
  <c r="A48" i="1"/>
  <c r="B48" i="1"/>
  <c r="C48" i="1"/>
  <c r="A6403" i="1"/>
  <c r="B6403" i="1"/>
  <c r="C6403" i="1"/>
  <c r="A9814" i="1"/>
  <c r="B9814" i="1"/>
  <c r="C9814" i="1"/>
  <c r="A10784" i="1"/>
  <c r="B10784" i="1"/>
  <c r="C10784" i="1"/>
  <c r="A8228" i="1"/>
  <c r="B8228" i="1"/>
  <c r="C8228" i="1"/>
  <c r="A16052" i="1"/>
  <c r="B16052" i="1"/>
  <c r="C16052" i="1"/>
  <c r="A16051" i="1"/>
  <c r="B16051" i="1"/>
  <c r="C16051" i="1"/>
  <c r="A15993" i="1"/>
  <c r="B15993" i="1"/>
  <c r="C15993" i="1"/>
  <c r="A18850" i="1"/>
  <c r="B18850" i="1"/>
  <c r="C18850" i="1"/>
  <c r="A1907" i="1"/>
  <c r="B1907" i="1"/>
  <c r="C1907" i="1"/>
  <c r="A7580" i="1"/>
  <c r="B7580" i="1"/>
  <c r="C7580" i="1"/>
  <c r="A7526" i="1"/>
  <c r="B7526" i="1"/>
  <c r="C7526" i="1"/>
  <c r="A22310" i="1"/>
  <c r="B22310" i="1"/>
  <c r="C22310" i="1"/>
  <c r="A6043" i="1"/>
  <c r="B6043" i="1"/>
  <c r="C6043" i="1"/>
  <c r="A7535" i="1"/>
  <c r="B7535" i="1"/>
  <c r="C7535" i="1"/>
  <c r="A6584" i="1"/>
  <c r="B6584" i="1"/>
  <c r="C6584" i="1"/>
  <c r="A23190" i="1"/>
  <c r="B23190" i="1"/>
  <c r="C23190" i="1"/>
  <c r="A24571" i="1"/>
  <c r="B24571" i="1"/>
  <c r="C24571" i="1"/>
  <c r="A2623" i="1"/>
  <c r="B2623" i="1"/>
  <c r="C2623" i="1"/>
  <c r="A7761" i="1"/>
  <c r="B7761" i="1"/>
  <c r="C7761" i="1"/>
  <c r="A19926" i="1"/>
  <c r="B19926" i="1"/>
  <c r="C19926" i="1"/>
  <c r="A22307" i="1"/>
  <c r="B22307" i="1"/>
  <c r="C22307" i="1"/>
  <c r="A6740" i="1"/>
  <c r="B6740" i="1"/>
  <c r="C6740" i="1"/>
  <c r="A19934" i="1"/>
  <c r="B19934" i="1"/>
  <c r="C19934" i="1"/>
  <c r="A9253" i="1"/>
  <c r="B9253" i="1"/>
  <c r="C9253" i="1"/>
  <c r="A25487" i="1"/>
  <c r="B25487" i="1"/>
  <c r="C25487" i="1"/>
  <c r="A22297" i="1"/>
  <c r="B22297" i="1"/>
  <c r="C22297" i="1"/>
  <c r="A3935" i="1"/>
  <c r="B3935" i="1"/>
  <c r="C3935" i="1"/>
  <c r="A3932" i="1"/>
  <c r="B3932" i="1"/>
  <c r="C3932" i="1"/>
  <c r="A3991" i="1"/>
  <c r="B3991" i="1"/>
  <c r="C3991" i="1"/>
  <c r="A3162" i="1"/>
  <c r="B3162" i="1"/>
  <c r="C3162" i="1"/>
  <c r="A5887" i="1"/>
  <c r="B5887" i="1"/>
  <c r="C5887" i="1"/>
  <c r="A5961" i="1"/>
  <c r="B5961" i="1"/>
  <c r="C5961" i="1"/>
  <c r="A6150" i="1"/>
  <c r="B6150" i="1"/>
  <c r="C6150" i="1"/>
  <c r="A25290" i="1"/>
  <c r="B25290" i="1"/>
  <c r="C25290" i="1"/>
  <c r="A24465" i="1"/>
  <c r="B24465" i="1"/>
  <c r="C24465" i="1"/>
  <c r="A24461" i="1"/>
  <c r="B24461" i="1"/>
  <c r="C24461" i="1"/>
  <c r="A18184" i="1"/>
  <c r="B18184" i="1"/>
  <c r="C18184" i="1"/>
  <c r="A18185" i="1"/>
  <c r="B18185" i="1"/>
  <c r="C18185" i="1"/>
  <c r="A12050" i="1"/>
  <c r="B12050" i="1"/>
  <c r="C12050" i="1"/>
  <c r="A6357" i="1"/>
  <c r="B6357" i="1"/>
  <c r="C6357" i="1"/>
  <c r="A2781" i="1"/>
  <c r="B2781" i="1"/>
  <c r="C2781" i="1"/>
  <c r="A3336" i="1"/>
  <c r="B3336" i="1"/>
  <c r="C3336" i="1"/>
  <c r="A7639" i="1"/>
  <c r="B7639" i="1"/>
  <c r="C7639" i="1"/>
  <c r="A2645" i="1"/>
  <c r="B2645" i="1"/>
  <c r="C2645" i="1"/>
  <c r="A1990" i="1"/>
  <c r="B1990" i="1"/>
  <c r="C1990" i="1"/>
  <c r="A21917" i="1"/>
  <c r="B21917" i="1"/>
  <c r="C21917" i="1"/>
  <c r="A12622" i="1"/>
  <c r="B12622" i="1"/>
  <c r="C12622" i="1"/>
  <c r="A15716" i="1"/>
  <c r="B15716" i="1"/>
  <c r="C15716" i="1"/>
  <c r="A11410" i="1"/>
  <c r="B11410" i="1"/>
  <c r="C11410" i="1"/>
  <c r="A11409" i="1"/>
  <c r="B11409" i="1"/>
  <c r="C11409" i="1"/>
  <c r="A2638" i="1"/>
  <c r="B2638" i="1"/>
  <c r="C2638" i="1"/>
  <c r="A24002" i="1"/>
  <c r="B24002" i="1"/>
  <c r="C24002" i="1"/>
  <c r="A1672" i="1"/>
  <c r="B1672" i="1"/>
  <c r="C1672" i="1"/>
  <c r="A14557" i="1"/>
  <c r="B14557" i="1"/>
  <c r="C14557" i="1"/>
  <c r="A10275" i="1"/>
  <c r="B10275" i="1"/>
  <c r="C10275" i="1"/>
  <c r="A20199" i="1"/>
  <c r="B20199" i="1"/>
  <c r="C20199" i="1"/>
  <c r="A6935" i="1"/>
  <c r="B6935" i="1"/>
  <c r="C6935" i="1"/>
  <c r="A23457" i="1"/>
  <c r="B23457" i="1"/>
  <c r="C23457" i="1"/>
  <c r="A23460" i="1"/>
  <c r="B23460" i="1"/>
  <c r="C23460" i="1"/>
  <c r="A23461" i="1"/>
  <c r="B23461" i="1"/>
  <c r="C23461" i="1"/>
  <c r="A23459" i="1"/>
  <c r="B23459" i="1"/>
  <c r="C23459" i="1"/>
  <c r="A23458" i="1"/>
  <c r="B23458" i="1"/>
  <c r="C23458" i="1"/>
  <c r="A17432" i="1"/>
  <c r="B17432" i="1"/>
  <c r="C17432" i="1"/>
  <c r="A1221" i="1"/>
  <c r="B1221" i="1"/>
  <c r="C1221" i="1"/>
  <c r="A635" i="1"/>
  <c r="B635" i="1"/>
  <c r="C635" i="1"/>
  <c r="A12648" i="1"/>
  <c r="B12648" i="1"/>
  <c r="C12648" i="1"/>
  <c r="A12649" i="1"/>
  <c r="B12649" i="1"/>
  <c r="C12649" i="1"/>
  <c r="A21480" i="1"/>
  <c r="B21480" i="1"/>
  <c r="C21480" i="1"/>
  <c r="A12650" i="1"/>
  <c r="B12650" i="1"/>
  <c r="C12650" i="1"/>
  <c r="A21481" i="1"/>
  <c r="B21481" i="1"/>
  <c r="C21481" i="1"/>
  <c r="A12644" i="1"/>
  <c r="B12644" i="1"/>
  <c r="C12644" i="1"/>
  <c r="A8302" i="1"/>
  <c r="B8302" i="1"/>
  <c r="C8302" i="1"/>
  <c r="A719" i="1"/>
  <c r="B719" i="1"/>
  <c r="C719" i="1"/>
  <c r="A14225" i="1"/>
  <c r="B14225" i="1"/>
  <c r="C14225" i="1"/>
  <c r="A10163" i="1"/>
  <c r="B10163" i="1"/>
  <c r="C10163" i="1"/>
  <c r="A5298" i="1"/>
  <c r="B5298" i="1"/>
  <c r="C5298" i="1"/>
  <c r="A12487" i="1"/>
  <c r="B12487" i="1"/>
  <c r="C12487" i="1"/>
  <c r="A21082" i="1"/>
  <c r="B21082" i="1"/>
  <c r="C21082" i="1"/>
  <c r="A9432" i="1"/>
  <c r="B9432" i="1"/>
  <c r="C9432" i="1"/>
  <c r="A22879" i="1"/>
  <c r="B22879" i="1"/>
  <c r="C22879" i="1"/>
  <c r="A883" i="1"/>
  <c r="B883" i="1"/>
  <c r="C883" i="1"/>
  <c r="A882" i="1"/>
  <c r="B882" i="1"/>
  <c r="C882" i="1"/>
  <c r="A21718" i="1"/>
  <c r="B21718" i="1"/>
  <c r="C21718" i="1"/>
  <c r="A426" i="1"/>
  <c r="B426" i="1"/>
  <c r="C426" i="1"/>
  <c r="A12620" i="1"/>
  <c r="B12620" i="1"/>
  <c r="C12620" i="1"/>
  <c r="A1995" i="1"/>
  <c r="B1995" i="1"/>
  <c r="C1995" i="1"/>
  <c r="A4829" i="1"/>
  <c r="B4829" i="1"/>
  <c r="C4829" i="1"/>
  <c r="A4827" i="1"/>
  <c r="B4827" i="1"/>
  <c r="C4827" i="1"/>
  <c r="A4831" i="1"/>
  <c r="B4831" i="1"/>
  <c r="C4831" i="1"/>
  <c r="A4825" i="1"/>
  <c r="B4825" i="1"/>
  <c r="C4825" i="1"/>
  <c r="A6494" i="1"/>
  <c r="B6494" i="1"/>
  <c r="C6494" i="1"/>
  <c r="A19216" i="1"/>
  <c r="B19216" i="1"/>
  <c r="C19216" i="1"/>
  <c r="A24686" i="1"/>
  <c r="B24686" i="1"/>
  <c r="C24686" i="1"/>
  <c r="A16011" i="1"/>
  <c r="B16011" i="1"/>
  <c r="C16011" i="1"/>
  <c r="A16060" i="1"/>
  <c r="B16060" i="1"/>
  <c r="C16060" i="1"/>
  <c r="A16059" i="1"/>
  <c r="B16059" i="1"/>
  <c r="C16059" i="1"/>
  <c r="A6650" i="1"/>
  <c r="B6650" i="1"/>
  <c r="C6650" i="1"/>
  <c r="A6948" i="1"/>
  <c r="B6948" i="1"/>
  <c r="C6948" i="1"/>
  <c r="A11269" i="1"/>
  <c r="B11269" i="1"/>
  <c r="C11269" i="1"/>
  <c r="A6651" i="1"/>
  <c r="B6651" i="1"/>
  <c r="C6651" i="1"/>
  <c r="A12043" i="1"/>
  <c r="B12043" i="1"/>
  <c r="C12043" i="1"/>
  <c r="A6905" i="1"/>
  <c r="B6905" i="1"/>
  <c r="C6905" i="1"/>
  <c r="A18786" i="1"/>
  <c r="B18786" i="1"/>
  <c r="C18786" i="1"/>
  <c r="A1893" i="1"/>
  <c r="B1893" i="1"/>
  <c r="C1893" i="1"/>
  <c r="A692" i="1"/>
  <c r="B692" i="1"/>
  <c r="C692" i="1"/>
  <c r="A4799" i="1"/>
  <c r="B4799" i="1"/>
  <c r="C4799" i="1"/>
  <c r="A8552" i="1"/>
  <c r="B8552" i="1"/>
  <c r="C8552" i="1"/>
  <c r="A8610" i="1"/>
  <c r="B8610" i="1"/>
  <c r="C8610" i="1"/>
  <c r="A8620" i="1"/>
  <c r="B8620" i="1"/>
  <c r="C8620" i="1"/>
  <c r="A23204" i="1"/>
  <c r="B23204" i="1"/>
  <c r="C23204" i="1"/>
  <c r="A23285" i="1"/>
  <c r="B23285" i="1"/>
  <c r="C23285" i="1"/>
  <c r="A9829" i="1"/>
  <c r="B9829" i="1"/>
  <c r="C9829" i="1"/>
  <c r="A9801" i="1"/>
  <c r="B9801" i="1"/>
  <c r="C9801" i="1"/>
  <c r="A3876" i="1"/>
  <c r="B3876" i="1"/>
  <c r="C3876" i="1"/>
  <c r="A7142" i="1"/>
  <c r="B7142" i="1"/>
  <c r="C7142" i="1"/>
  <c r="A10782" i="1"/>
  <c r="B10782" i="1"/>
  <c r="C10782" i="1"/>
  <c r="A7141" i="1"/>
  <c r="B7141" i="1"/>
  <c r="C7141" i="1"/>
  <c r="A13482" i="1"/>
  <c r="B13482" i="1"/>
  <c r="C13482" i="1"/>
  <c r="A23724" i="1"/>
  <c r="B23724" i="1"/>
  <c r="C23724" i="1"/>
  <c r="A23721" i="1"/>
  <c r="B23721" i="1"/>
  <c r="C23721" i="1"/>
  <c r="A19578" i="1"/>
  <c r="B19578" i="1"/>
  <c r="C19578" i="1"/>
  <c r="A6387" i="1"/>
  <c r="B6387" i="1"/>
  <c r="C6387" i="1"/>
  <c r="A2299" i="1"/>
  <c r="B2299" i="1"/>
  <c r="C2299" i="1"/>
  <c r="A19201" i="1"/>
  <c r="B19201" i="1"/>
  <c r="C19201" i="1"/>
  <c r="A14546" i="1"/>
  <c r="B14546" i="1"/>
  <c r="C14546" i="1"/>
  <c r="A5339" i="1"/>
  <c r="B5339" i="1"/>
  <c r="C5339" i="1"/>
  <c r="A19978" i="1"/>
  <c r="B19978" i="1"/>
  <c r="C19978" i="1"/>
  <c r="A9419" i="1"/>
  <c r="B9419" i="1"/>
  <c r="C9419" i="1"/>
  <c r="A9418" i="1"/>
  <c r="B9418" i="1"/>
  <c r="C9418" i="1"/>
  <c r="A9925" i="1"/>
  <c r="B9925" i="1"/>
  <c r="C9925" i="1"/>
  <c r="A9963" i="1"/>
  <c r="B9963" i="1"/>
  <c r="C9963" i="1"/>
  <c r="A16008" i="1"/>
  <c r="B16008" i="1"/>
  <c r="C16008" i="1"/>
  <c r="A16006" i="1"/>
  <c r="B16006" i="1"/>
  <c r="C16006" i="1"/>
  <c r="A16007" i="1"/>
  <c r="B16007" i="1"/>
  <c r="C16007" i="1"/>
  <c r="A9942" i="1"/>
  <c r="B9942" i="1"/>
  <c r="C9942" i="1"/>
  <c r="A20977" i="1"/>
  <c r="B20977" i="1"/>
  <c r="C20977" i="1"/>
  <c r="A10405" i="1"/>
  <c r="B10405" i="1"/>
  <c r="C10405" i="1"/>
  <c r="A2755" i="1"/>
  <c r="B2755" i="1"/>
  <c r="C2755" i="1"/>
  <c r="A14419" i="1"/>
  <c r="B14419" i="1"/>
  <c r="C14419" i="1"/>
  <c r="A5490" i="1"/>
  <c r="B5490" i="1"/>
  <c r="C5490" i="1"/>
  <c r="A7755" i="1"/>
  <c r="B7755" i="1"/>
  <c r="C7755" i="1"/>
  <c r="A6194" i="1"/>
  <c r="B6194" i="1"/>
  <c r="C6194" i="1"/>
  <c r="A6189" i="1"/>
  <c r="B6189" i="1"/>
  <c r="C6189" i="1"/>
  <c r="A6252" i="1"/>
  <c r="B6252" i="1"/>
  <c r="C6252" i="1"/>
  <c r="A6366" i="1"/>
  <c r="B6366" i="1"/>
  <c r="C6366" i="1"/>
  <c r="A6361" i="1"/>
  <c r="B6361" i="1"/>
  <c r="C6361" i="1"/>
  <c r="A6254" i="1"/>
  <c r="B6254" i="1"/>
  <c r="C6254" i="1"/>
  <c r="A6251" i="1"/>
  <c r="B6251" i="1"/>
  <c r="C6251" i="1"/>
  <c r="A21417" i="1"/>
  <c r="B21417" i="1"/>
  <c r="C21417" i="1"/>
  <c r="A21415" i="1"/>
  <c r="B21415" i="1"/>
  <c r="C21415" i="1"/>
  <c r="A21416" i="1"/>
  <c r="B21416" i="1"/>
  <c r="C21416" i="1"/>
  <c r="A25591" i="1"/>
  <c r="B25591" i="1"/>
  <c r="C25591" i="1"/>
  <c r="A227" i="1"/>
  <c r="B227" i="1"/>
  <c r="C227" i="1"/>
  <c r="A6741" i="1"/>
  <c r="B6741" i="1"/>
  <c r="C6741" i="1"/>
  <c r="A10209" i="1"/>
  <c r="B10209" i="1"/>
  <c r="C10209" i="1"/>
  <c r="A9332" i="1"/>
  <c r="B9332" i="1"/>
  <c r="C9332" i="1"/>
  <c r="A9998" i="1"/>
  <c r="B9998" i="1"/>
  <c r="C9998" i="1"/>
  <c r="A16178" i="1"/>
  <c r="B16178" i="1"/>
  <c r="C16178" i="1"/>
  <c r="A16520" i="1"/>
  <c r="B16520" i="1"/>
  <c r="C16520" i="1"/>
  <c r="A2996" i="1"/>
  <c r="B2996" i="1"/>
  <c r="C2996" i="1"/>
  <c r="A2015" i="1"/>
  <c r="B2015" i="1"/>
  <c r="C2015" i="1"/>
  <c r="A21367" i="1"/>
  <c r="B21367" i="1"/>
  <c r="C21367" i="1"/>
  <c r="A7349" i="1"/>
  <c r="B7349" i="1"/>
  <c r="C7349" i="1"/>
  <c r="A1677" i="1"/>
  <c r="B1677" i="1"/>
  <c r="C1677" i="1"/>
  <c r="A9451" i="1"/>
  <c r="B9451" i="1"/>
  <c r="C9451" i="1"/>
  <c r="A22334" i="1"/>
  <c r="B22334" i="1"/>
  <c r="C22334" i="1"/>
  <c r="A23867" i="1"/>
  <c r="B23867" i="1"/>
  <c r="C23867" i="1"/>
  <c r="A7288" i="1"/>
  <c r="B7288" i="1"/>
  <c r="C7288" i="1"/>
  <c r="A20414" i="1"/>
  <c r="B20414" i="1"/>
  <c r="C20414" i="1"/>
  <c r="A20452" i="1"/>
  <c r="B20452" i="1"/>
  <c r="C20452" i="1"/>
  <c r="A23517" i="1"/>
  <c r="B23517" i="1"/>
  <c r="C23517" i="1"/>
  <c r="A5515" i="1"/>
  <c r="B5515" i="1"/>
  <c r="C5515" i="1"/>
  <c r="A14786" i="1"/>
  <c r="B14786" i="1"/>
  <c r="C14786" i="1"/>
  <c r="A16946" i="1"/>
  <c r="B16946" i="1"/>
  <c r="C16946" i="1"/>
  <c r="A15581" i="1"/>
  <c r="B15581" i="1"/>
  <c r="C15581" i="1"/>
  <c r="A21957" i="1"/>
  <c r="B21957" i="1"/>
  <c r="C21957" i="1"/>
  <c r="A21982" i="1"/>
  <c r="B21982" i="1"/>
  <c r="C21982" i="1"/>
  <c r="A21946" i="1"/>
  <c r="B21946" i="1"/>
  <c r="C21946" i="1"/>
  <c r="A21948" i="1"/>
  <c r="B21948" i="1"/>
  <c r="C21948" i="1"/>
  <c r="A21956" i="1"/>
  <c r="B21956" i="1"/>
  <c r="C21956" i="1"/>
  <c r="A21959" i="1"/>
  <c r="B21959" i="1"/>
  <c r="C21959" i="1"/>
  <c r="A21980" i="1"/>
  <c r="B21980" i="1"/>
  <c r="C21980" i="1"/>
  <c r="A2304" i="1"/>
  <c r="B2304" i="1"/>
  <c r="C2304" i="1"/>
  <c r="A19896" i="1"/>
  <c r="B19896" i="1"/>
  <c r="C19896" i="1"/>
  <c r="A9086" i="1"/>
  <c r="B9086" i="1"/>
  <c r="C9086" i="1"/>
  <c r="A7574" i="1"/>
  <c r="B7574" i="1"/>
  <c r="C7574" i="1"/>
  <c r="A3203" i="1"/>
  <c r="B3203" i="1"/>
  <c r="C3203" i="1"/>
  <c r="A3205" i="1"/>
  <c r="B3205" i="1"/>
  <c r="C3205" i="1"/>
  <c r="A3207" i="1"/>
  <c r="B3207" i="1"/>
  <c r="C3207" i="1"/>
  <c r="A24048" i="1"/>
  <c r="B24048" i="1"/>
  <c r="C24048" i="1"/>
  <c r="A8870" i="1"/>
  <c r="B8870" i="1"/>
  <c r="C8870" i="1"/>
  <c r="A21405" i="1"/>
  <c r="B21405" i="1"/>
  <c r="C21405" i="1"/>
  <c r="A8241" i="1"/>
  <c r="B8241" i="1"/>
  <c r="C8241" i="1"/>
  <c r="A2222" i="1"/>
  <c r="B2222" i="1"/>
  <c r="C2222" i="1"/>
  <c r="A19703" i="1"/>
  <c r="B19703" i="1"/>
  <c r="C19703" i="1"/>
  <c r="A16160" i="1"/>
  <c r="B16160" i="1"/>
  <c r="C16160" i="1"/>
  <c r="A23926" i="1"/>
  <c r="B23926" i="1"/>
  <c r="C23926" i="1"/>
  <c r="A6749" i="1"/>
  <c r="B6749" i="1"/>
  <c r="C6749" i="1"/>
  <c r="A22449" i="1"/>
  <c r="B22449" i="1"/>
  <c r="C22449" i="1"/>
  <c r="A7909" i="1"/>
  <c r="B7909" i="1"/>
  <c r="C7909" i="1"/>
  <c r="A17973" i="1"/>
  <c r="B17973" i="1"/>
  <c r="C17973" i="1"/>
  <c r="A19165" i="1"/>
  <c r="B19165" i="1"/>
  <c r="C19165" i="1"/>
  <c r="A2788" i="1"/>
  <c r="B2788" i="1"/>
  <c r="C2788" i="1"/>
  <c r="A7692" i="1"/>
  <c r="B7692" i="1"/>
  <c r="C7692" i="1"/>
  <c r="A7693" i="1"/>
  <c r="B7693" i="1"/>
  <c r="C7693" i="1"/>
  <c r="A7694" i="1"/>
  <c r="B7694" i="1"/>
  <c r="C7694" i="1"/>
  <c r="A7695" i="1"/>
  <c r="B7695" i="1"/>
  <c r="C7695" i="1"/>
  <c r="A7696" i="1"/>
  <c r="B7696" i="1"/>
  <c r="C7696" i="1"/>
  <c r="A7697" i="1"/>
  <c r="B7697" i="1"/>
  <c r="C7697" i="1"/>
  <c r="A7687" i="1"/>
  <c r="B7687" i="1"/>
  <c r="C7687" i="1"/>
  <c r="A7688" i="1"/>
  <c r="B7688" i="1"/>
  <c r="C7688" i="1"/>
  <c r="A7689" i="1"/>
  <c r="B7689" i="1"/>
  <c r="C7689" i="1"/>
  <c r="A7690" i="1"/>
  <c r="B7690" i="1"/>
  <c r="C7690" i="1"/>
  <c r="A7691" i="1"/>
  <c r="B7691" i="1"/>
  <c r="C7691" i="1"/>
  <c r="A7686" i="1"/>
  <c r="B7686" i="1"/>
  <c r="C7686" i="1"/>
  <c r="A18570" i="1"/>
  <c r="B18570" i="1"/>
  <c r="C18570" i="1"/>
  <c r="A18568" i="1"/>
  <c r="B18568" i="1"/>
  <c r="C18568" i="1"/>
  <c r="A18571" i="1"/>
  <c r="B18571" i="1"/>
  <c r="C18571" i="1"/>
  <c r="A24392" i="1"/>
  <c r="B24392" i="1"/>
  <c r="C24392" i="1"/>
  <c r="A6431" i="1"/>
  <c r="B6431" i="1"/>
  <c r="C6431" i="1"/>
  <c r="A6432" i="1"/>
  <c r="B6432" i="1"/>
  <c r="C6432" i="1"/>
  <c r="A6433" i="1"/>
  <c r="B6433" i="1"/>
  <c r="C6433" i="1"/>
  <c r="A6429" i="1"/>
  <c r="B6429" i="1"/>
  <c r="C6429" i="1"/>
  <c r="A6430" i="1"/>
  <c r="B6430" i="1"/>
  <c r="C6430" i="1"/>
  <c r="A541" i="1"/>
  <c r="B541" i="1"/>
  <c r="C541" i="1"/>
  <c r="A17380" i="1"/>
  <c r="B17380" i="1"/>
  <c r="C17380" i="1"/>
  <c r="A11448" i="1"/>
  <c r="B11448" i="1"/>
  <c r="C11448" i="1"/>
  <c r="A20149" i="1"/>
  <c r="B20149" i="1"/>
  <c r="C20149" i="1"/>
  <c r="A12165" i="1"/>
  <c r="B12165" i="1"/>
  <c r="C12165" i="1"/>
  <c r="A5829" i="1"/>
  <c r="B5829" i="1"/>
  <c r="C5829" i="1"/>
  <c r="A141" i="1"/>
  <c r="B141" i="1"/>
  <c r="C141" i="1"/>
  <c r="A19083" i="1"/>
  <c r="B19083" i="1"/>
  <c r="C19083" i="1"/>
  <c r="A10078" i="1"/>
  <c r="B10078" i="1"/>
  <c r="C10078" i="1"/>
  <c r="A10077" i="1"/>
  <c r="B10077" i="1"/>
  <c r="C10077" i="1"/>
  <c r="A25059" i="1"/>
  <c r="B25059" i="1"/>
  <c r="C25059" i="1"/>
  <c r="A25140" i="1"/>
  <c r="B25140" i="1"/>
  <c r="C25140" i="1"/>
  <c r="A16928" i="1"/>
  <c r="B16928" i="1"/>
  <c r="C16928" i="1"/>
  <c r="A11244" i="1"/>
  <c r="B11244" i="1"/>
  <c r="C11244" i="1"/>
  <c r="A11264" i="1"/>
  <c r="B11264" i="1"/>
  <c r="C11264" i="1"/>
  <c r="A25450" i="1"/>
  <c r="B25450" i="1"/>
  <c r="C25450" i="1"/>
  <c r="A25432" i="1"/>
  <c r="B25432" i="1"/>
  <c r="C25432" i="1"/>
  <c r="A11987" i="1"/>
  <c r="B11987" i="1"/>
  <c r="C11987" i="1"/>
  <c r="A3651" i="1"/>
  <c r="B3651" i="1"/>
  <c r="C3651" i="1"/>
  <c r="A3650" i="1"/>
  <c r="B3650" i="1"/>
  <c r="C3650" i="1"/>
  <c r="A3649" i="1"/>
  <c r="B3649" i="1"/>
  <c r="C3649" i="1"/>
  <c r="A13769" i="1"/>
  <c r="B13769" i="1"/>
  <c r="C13769" i="1"/>
  <c r="A3940" i="1"/>
  <c r="B3940" i="1"/>
  <c r="C3940" i="1"/>
  <c r="A14444" i="1"/>
  <c r="B14444" i="1"/>
  <c r="C14444" i="1"/>
  <c r="A7257" i="1"/>
  <c r="B7257" i="1"/>
  <c r="C7257" i="1"/>
  <c r="A163" i="1"/>
  <c r="B163" i="1"/>
  <c r="C163" i="1"/>
  <c r="A6010" i="1"/>
  <c r="B6010" i="1"/>
  <c r="C6010" i="1"/>
  <c r="A6038" i="1"/>
  <c r="B6038" i="1"/>
  <c r="C6038" i="1"/>
  <c r="A4285" i="1"/>
  <c r="B4285" i="1"/>
  <c r="C4285" i="1"/>
  <c r="A15" i="1"/>
  <c r="B15" i="1"/>
  <c r="C15" i="1"/>
  <c r="A2860" i="1"/>
  <c r="B2860" i="1"/>
  <c r="C2860" i="1"/>
  <c r="A8129" i="1"/>
  <c r="B8129" i="1"/>
  <c r="C8129" i="1"/>
  <c r="A8099" i="1"/>
  <c r="B8099" i="1"/>
  <c r="C8099" i="1"/>
  <c r="A17922" i="1"/>
  <c r="B17922" i="1"/>
  <c r="C17922" i="1"/>
  <c r="A8749" i="1"/>
  <c r="B8749" i="1"/>
  <c r="C8749" i="1"/>
  <c r="A12065" i="1"/>
  <c r="B12065" i="1"/>
  <c r="C12065" i="1"/>
  <c r="A12038" i="1"/>
  <c r="B12038" i="1"/>
  <c r="C12038" i="1"/>
  <c r="A18259" i="1"/>
  <c r="B18259" i="1"/>
  <c r="C18259" i="1"/>
  <c r="A5260" i="1"/>
  <c r="B5260" i="1"/>
  <c r="C5260" i="1"/>
  <c r="A21020" i="1"/>
  <c r="B21020" i="1"/>
  <c r="C21020" i="1"/>
  <c r="A12524" i="1"/>
  <c r="B12524" i="1"/>
  <c r="C12524" i="1"/>
  <c r="A6151" i="1"/>
  <c r="B6151" i="1"/>
  <c r="C6151" i="1"/>
  <c r="A9258" i="1"/>
  <c r="B9258" i="1"/>
  <c r="C9258" i="1"/>
  <c r="A8063" i="1"/>
  <c r="B8063" i="1"/>
  <c r="C8063" i="1"/>
  <c r="A13228" i="1"/>
  <c r="B13228" i="1"/>
  <c r="C13228" i="1"/>
  <c r="A13233" i="1"/>
  <c r="B13233" i="1"/>
  <c r="C13233" i="1"/>
  <c r="A25459" i="1"/>
  <c r="B25459" i="1"/>
  <c r="C25459" i="1"/>
  <c r="A24707" i="1"/>
  <c r="B24707" i="1"/>
  <c r="C24707" i="1"/>
  <c r="A20915" i="1"/>
  <c r="B20915" i="1"/>
  <c r="C20915" i="1"/>
  <c r="A8051" i="1"/>
  <c r="B8051" i="1"/>
  <c r="C8051" i="1"/>
  <c r="A21475" i="1"/>
  <c r="B21475" i="1"/>
  <c r="C21475" i="1"/>
  <c r="A6918" i="1"/>
  <c r="B6918" i="1"/>
  <c r="C6918" i="1"/>
  <c r="A6857" i="1"/>
  <c r="B6857" i="1"/>
  <c r="C6857" i="1"/>
  <c r="A7935" i="1"/>
  <c r="B7935" i="1"/>
  <c r="C7935" i="1"/>
  <c r="A3349" i="1"/>
  <c r="B3349" i="1"/>
  <c r="C3349" i="1"/>
  <c r="A8977" i="1"/>
  <c r="B8977" i="1"/>
  <c r="C8977" i="1"/>
  <c r="A8978" i="1"/>
  <c r="B8978" i="1"/>
  <c r="C8978" i="1"/>
  <c r="A8979" i="1"/>
  <c r="B8979" i="1"/>
  <c r="C8979" i="1"/>
  <c r="A16795" i="1"/>
  <c r="B16795" i="1"/>
  <c r="C16795" i="1"/>
  <c r="A5980" i="1"/>
  <c r="B5980" i="1"/>
  <c r="C5980" i="1"/>
  <c r="A6007" i="1"/>
  <c r="B6007" i="1"/>
  <c r="C6007" i="1"/>
  <c r="A25340" i="1"/>
  <c r="B25340" i="1"/>
  <c r="C25340" i="1"/>
  <c r="A16734" i="1"/>
  <c r="B16734" i="1"/>
  <c r="C16734" i="1"/>
  <c r="A23295" i="1"/>
  <c r="B23295" i="1"/>
  <c r="C23295" i="1"/>
  <c r="A3211" i="1"/>
  <c r="B3211" i="1"/>
  <c r="C3211" i="1"/>
  <c r="A3210" i="1"/>
  <c r="B3210" i="1"/>
  <c r="C3210" i="1"/>
  <c r="A3209" i="1"/>
  <c r="B3209" i="1"/>
  <c r="C3209" i="1"/>
  <c r="A20745" i="1"/>
  <c r="B20745" i="1"/>
  <c r="C20745" i="1"/>
  <c r="A20926" i="1"/>
  <c r="B20926" i="1"/>
  <c r="C20926" i="1"/>
  <c r="A1869" i="1"/>
  <c r="B1869" i="1"/>
  <c r="C1869" i="1"/>
  <c r="A1872" i="1"/>
  <c r="B1872" i="1"/>
  <c r="C1872" i="1"/>
  <c r="A11734" i="1"/>
  <c r="B11734" i="1"/>
  <c r="C11734" i="1"/>
  <c r="A16647" i="1"/>
  <c r="B16647" i="1"/>
  <c r="C16647" i="1"/>
  <c r="A162" i="1"/>
  <c r="B162" i="1"/>
  <c r="C162" i="1"/>
  <c r="A161" i="1"/>
  <c r="B161" i="1"/>
  <c r="C161" i="1"/>
  <c r="A1316" i="1"/>
  <c r="B1316" i="1"/>
  <c r="C1316" i="1"/>
  <c r="A5896" i="1"/>
  <c r="B5896" i="1"/>
  <c r="C5896" i="1"/>
  <c r="A2790" i="1"/>
  <c r="B2790" i="1"/>
  <c r="C2790" i="1"/>
  <c r="A3015" i="1"/>
  <c r="B3015" i="1"/>
  <c r="C3015" i="1"/>
  <c r="A1411" i="1"/>
  <c r="B1411" i="1"/>
  <c r="C1411" i="1"/>
  <c r="A1410" i="1"/>
  <c r="B1410" i="1"/>
  <c r="C1410" i="1"/>
  <c r="A1405" i="1"/>
  <c r="B1405" i="1"/>
  <c r="C1405" i="1"/>
  <c r="A1401" i="1"/>
  <c r="B1401" i="1"/>
  <c r="C1401" i="1"/>
  <c r="A1404" i="1"/>
  <c r="B1404" i="1"/>
  <c r="C1404" i="1"/>
  <c r="A1413" i="1"/>
  <c r="B1413" i="1"/>
  <c r="C1413" i="1"/>
  <c r="A12005" i="1"/>
  <c r="B12005" i="1"/>
  <c r="C12005" i="1"/>
  <c r="A1402" i="1"/>
  <c r="B1402" i="1"/>
  <c r="C1402" i="1"/>
  <c r="A1412" i="1"/>
  <c r="B1412" i="1"/>
  <c r="C1412" i="1"/>
  <c r="A22974" i="1"/>
  <c r="B22974" i="1"/>
  <c r="C22974" i="1"/>
  <c r="A18068" i="1"/>
  <c r="B18068" i="1"/>
  <c r="C18068" i="1"/>
  <c r="A25187" i="1"/>
  <c r="B25187" i="1"/>
  <c r="C25187" i="1"/>
  <c r="A11229" i="1"/>
  <c r="B11229" i="1"/>
  <c r="C11229" i="1"/>
  <c r="A11183" i="1"/>
  <c r="B11183" i="1"/>
  <c r="C11183" i="1"/>
  <c r="A16932" i="1"/>
  <c r="B16932" i="1"/>
  <c r="C16932" i="1"/>
  <c r="A25461" i="1"/>
  <c r="B25461" i="1"/>
  <c r="C25461" i="1"/>
  <c r="A25465" i="1"/>
  <c r="B25465" i="1"/>
  <c r="C25465" i="1"/>
  <c r="A24958" i="1"/>
  <c r="B24958" i="1"/>
  <c r="C24958" i="1"/>
  <c r="A10739" i="1"/>
  <c r="B10739" i="1"/>
  <c r="C10739" i="1"/>
  <c r="A24755" i="1"/>
  <c r="B24755" i="1"/>
  <c r="C24755" i="1"/>
  <c r="A5758" i="1"/>
  <c r="B5758" i="1"/>
  <c r="C5758" i="1"/>
  <c r="A11750" i="1"/>
  <c r="B11750" i="1"/>
  <c r="C11750" i="1"/>
  <c r="A9792" i="1"/>
  <c r="B9792" i="1"/>
  <c r="C9792" i="1"/>
  <c r="A6321" i="1"/>
  <c r="B6321" i="1"/>
  <c r="C6321" i="1"/>
  <c r="A10080" i="1"/>
  <c r="B10080" i="1"/>
  <c r="C10080" i="1"/>
  <c r="A4347" i="1"/>
  <c r="B4347" i="1"/>
  <c r="C4347" i="1"/>
  <c r="A14443" i="1"/>
  <c r="B14443" i="1"/>
  <c r="C14443" i="1"/>
  <c r="A19395" i="1"/>
  <c r="B19395" i="1"/>
  <c r="C19395" i="1"/>
  <c r="A2329" i="1"/>
  <c r="B2329" i="1"/>
  <c r="C2329" i="1"/>
  <c r="A21072" i="1"/>
  <c r="B21072" i="1"/>
  <c r="C21072" i="1"/>
  <c r="A16279" i="1"/>
  <c r="B16279" i="1"/>
  <c r="C16279" i="1"/>
  <c r="A3001" i="1"/>
  <c r="B3001" i="1"/>
  <c r="C3001" i="1"/>
  <c r="A11972" i="1"/>
  <c r="B11972" i="1"/>
  <c r="C11972" i="1"/>
  <c r="A3481" i="1"/>
  <c r="B3481" i="1"/>
  <c r="C3481" i="1"/>
  <c r="A225" i="1"/>
  <c r="B225" i="1"/>
  <c r="C225" i="1"/>
  <c r="A226" i="1"/>
  <c r="B226" i="1"/>
  <c r="C226" i="1"/>
  <c r="A10946" i="1"/>
  <c r="B10946" i="1"/>
  <c r="C10946" i="1"/>
  <c r="A15668" i="1"/>
  <c r="B15668" i="1"/>
  <c r="C15668" i="1"/>
  <c r="A12331" i="1"/>
  <c r="B12331" i="1"/>
  <c r="C12331" i="1"/>
  <c r="A18373" i="1"/>
  <c r="B18373" i="1"/>
  <c r="C18373" i="1"/>
  <c r="A4365" i="1"/>
  <c r="B4365" i="1"/>
  <c r="C4365" i="1"/>
  <c r="A6743" i="1"/>
  <c r="B6743" i="1"/>
  <c r="C6743" i="1"/>
  <c r="A6014" i="1"/>
  <c r="B6014" i="1"/>
  <c r="C6014" i="1"/>
  <c r="A12773" i="1"/>
  <c r="B12773" i="1"/>
  <c r="C12773" i="1"/>
  <c r="A13845" i="1"/>
  <c r="B13845" i="1"/>
  <c r="C13845" i="1"/>
  <c r="A15247" i="1"/>
  <c r="B15247" i="1"/>
  <c r="C15247" i="1"/>
  <c r="A15542" i="1"/>
  <c r="B15542" i="1"/>
  <c r="C15542" i="1"/>
  <c r="A16536" i="1"/>
  <c r="B16536" i="1"/>
  <c r="C16536" i="1"/>
  <c r="A1845" i="1"/>
  <c r="B1845" i="1"/>
  <c r="C1845" i="1"/>
  <c r="A24248" i="1"/>
  <c r="B24248" i="1"/>
  <c r="C24248" i="1"/>
  <c r="A16228" i="1"/>
  <c r="B16228" i="1"/>
  <c r="C16228" i="1"/>
  <c r="A2747" i="1"/>
  <c r="B2747" i="1"/>
  <c r="C2747" i="1"/>
  <c r="A9183" i="1"/>
  <c r="B9183" i="1"/>
  <c r="C9183" i="1"/>
  <c r="A16432" i="1"/>
  <c r="B16432" i="1"/>
  <c r="C16432" i="1"/>
  <c r="A24051" i="1"/>
  <c r="B24051" i="1"/>
  <c r="C24051" i="1"/>
  <c r="A21925" i="1"/>
  <c r="B21925" i="1"/>
  <c r="C21925" i="1"/>
  <c r="A1620" i="1"/>
  <c r="B1620" i="1"/>
  <c r="C1620" i="1"/>
  <c r="A9426" i="1"/>
  <c r="B9426" i="1"/>
  <c r="C9426" i="1"/>
  <c r="A24247" i="1"/>
  <c r="B24247" i="1"/>
  <c r="C24247" i="1"/>
  <c r="A22030" i="1"/>
  <c r="B22030" i="1"/>
  <c r="C22030" i="1"/>
  <c r="A2685" i="1"/>
  <c r="B2685" i="1"/>
  <c r="C2685" i="1"/>
  <c r="A439" i="1"/>
  <c r="B439" i="1"/>
  <c r="C439" i="1"/>
  <c r="A7523" i="1"/>
  <c r="B7523" i="1"/>
  <c r="C7523" i="1"/>
  <c r="A16379" i="1"/>
  <c r="B16379" i="1"/>
  <c r="C16379" i="1"/>
  <c r="A9235" i="1"/>
  <c r="B9235" i="1"/>
  <c r="C9235" i="1"/>
  <c r="A23844" i="1"/>
  <c r="B23844" i="1"/>
  <c r="C23844" i="1"/>
  <c r="A9310" i="1"/>
  <c r="B9310" i="1"/>
  <c r="C9310" i="1"/>
  <c r="A11607" i="1"/>
  <c r="B11607" i="1"/>
  <c r="C11607" i="1"/>
  <c r="A12264" i="1"/>
  <c r="B12264" i="1"/>
  <c r="C12264" i="1"/>
  <c r="A1471" i="1"/>
  <c r="B1471" i="1"/>
  <c r="C1471" i="1"/>
  <c r="A6752" i="1"/>
  <c r="B6752" i="1"/>
  <c r="C6752" i="1"/>
  <c r="A23940" i="1"/>
  <c r="B23940" i="1"/>
  <c r="C23940" i="1"/>
  <c r="A6642" i="1"/>
  <c r="B6642" i="1"/>
  <c r="C6642" i="1"/>
  <c r="A12124" i="1"/>
  <c r="B12124" i="1"/>
  <c r="C12124" i="1"/>
  <c r="A12123" i="1"/>
  <c r="B12123" i="1"/>
  <c r="C12123" i="1"/>
  <c r="A1335" i="1"/>
  <c r="B1335" i="1"/>
  <c r="C1335" i="1"/>
  <c r="A9244" i="1"/>
  <c r="B9244" i="1"/>
  <c r="C9244" i="1"/>
  <c r="A4075" i="1"/>
  <c r="B4075" i="1"/>
  <c r="C4075" i="1"/>
  <c r="A1392" i="1"/>
  <c r="B1392" i="1"/>
  <c r="C1392" i="1"/>
  <c r="A5185" i="1"/>
  <c r="B5185" i="1"/>
  <c r="C5185" i="1"/>
  <c r="A21634" i="1"/>
  <c r="B21634" i="1"/>
  <c r="C21634" i="1"/>
  <c r="A628" i="1"/>
  <c r="B628" i="1"/>
  <c r="C628" i="1"/>
  <c r="A12158" i="1"/>
  <c r="B12158" i="1"/>
  <c r="C12158" i="1"/>
  <c r="A7801" i="1"/>
  <c r="B7801" i="1"/>
  <c r="C7801" i="1"/>
  <c r="A12523" i="1"/>
  <c r="B12523" i="1"/>
  <c r="C12523" i="1"/>
  <c r="A15651" i="1"/>
  <c r="B15651" i="1"/>
  <c r="C15651" i="1"/>
  <c r="A22083" i="1"/>
  <c r="B22083" i="1"/>
  <c r="C22083" i="1"/>
  <c r="A14542" i="1"/>
  <c r="B14542" i="1"/>
  <c r="C14542" i="1"/>
  <c r="A9636" i="1"/>
  <c r="B9636" i="1"/>
  <c r="C9636" i="1"/>
  <c r="A9608" i="1"/>
  <c r="B9608" i="1"/>
  <c r="C9608" i="1"/>
  <c r="A3961" i="1"/>
  <c r="B3961" i="1"/>
  <c r="C3961" i="1"/>
  <c r="A16563" i="1"/>
  <c r="B16563" i="1"/>
  <c r="C16563" i="1"/>
  <c r="A18384" i="1"/>
  <c r="B18384" i="1"/>
  <c r="C18384" i="1"/>
  <c r="A22042" i="1"/>
  <c r="B22042" i="1"/>
  <c r="C22042" i="1"/>
  <c r="A14405" i="1"/>
  <c r="B14405" i="1"/>
  <c r="C14405" i="1"/>
  <c r="A6103" i="1"/>
  <c r="B6103" i="1"/>
  <c r="C6103" i="1"/>
  <c r="A16412" i="1"/>
  <c r="B16412" i="1"/>
  <c r="C16412" i="1"/>
  <c r="A6471" i="1"/>
  <c r="B6471" i="1"/>
  <c r="C6471" i="1"/>
  <c r="A20767" i="1"/>
  <c r="B20767" i="1"/>
  <c r="C20767" i="1"/>
  <c r="A20766" i="1"/>
  <c r="B20766" i="1"/>
  <c r="C20766" i="1"/>
  <c r="A20768" i="1"/>
  <c r="B20768" i="1"/>
  <c r="C20768" i="1"/>
  <c r="A15742" i="1"/>
  <c r="B15742" i="1"/>
  <c r="C15742" i="1"/>
  <c r="A17673" i="1"/>
  <c r="B17673" i="1"/>
  <c r="C17673" i="1"/>
  <c r="A7212" i="1"/>
  <c r="B7212" i="1"/>
  <c r="C7212" i="1"/>
  <c r="A7226" i="1"/>
  <c r="B7226" i="1"/>
  <c r="C7226" i="1"/>
  <c r="A9250" i="1"/>
  <c r="B9250" i="1"/>
  <c r="C9250" i="1"/>
  <c r="A24665" i="1"/>
  <c r="B24665" i="1"/>
  <c r="C24665" i="1"/>
  <c r="A23212" i="1"/>
  <c r="B23212" i="1"/>
  <c r="C23212" i="1"/>
  <c r="A14727" i="1"/>
  <c r="B14727" i="1"/>
  <c r="C14727" i="1"/>
  <c r="A8334" i="1"/>
  <c r="B8334" i="1"/>
  <c r="C8334" i="1"/>
  <c r="A9599" i="1"/>
  <c r="B9599" i="1"/>
  <c r="C9599" i="1"/>
  <c r="A9595" i="1"/>
  <c r="B9595" i="1"/>
  <c r="C9595" i="1"/>
  <c r="A9587" i="1"/>
  <c r="B9587" i="1"/>
  <c r="C9587" i="1"/>
  <c r="A5734" i="1"/>
  <c r="B5734" i="1"/>
  <c r="C5734" i="1"/>
  <c r="A14882" i="1"/>
  <c r="B14882" i="1"/>
  <c r="C14882" i="1"/>
  <c r="A25704" i="1"/>
  <c r="B25704" i="1"/>
  <c r="C25704" i="1"/>
  <c r="A2311" i="1"/>
  <c r="B2311" i="1"/>
  <c r="C2311" i="1"/>
  <c r="A15788" i="1"/>
  <c r="B15788" i="1"/>
  <c r="C15788" i="1"/>
  <c r="A14235" i="1"/>
  <c r="B14235" i="1"/>
  <c r="C14235" i="1"/>
  <c r="A11306" i="1"/>
  <c r="B11306" i="1"/>
  <c r="C11306" i="1"/>
  <c r="A5809" i="1"/>
  <c r="B5809" i="1"/>
  <c r="C5809" i="1"/>
  <c r="A1359" i="1"/>
  <c r="B1359" i="1"/>
  <c r="C1359" i="1"/>
  <c r="A16372" i="1"/>
  <c r="B16372" i="1"/>
  <c r="C16372" i="1"/>
  <c r="A1681" i="1"/>
  <c r="B1681" i="1"/>
  <c r="C1681" i="1"/>
  <c r="A1680" i="1"/>
  <c r="B1680" i="1"/>
  <c r="C1680" i="1"/>
  <c r="A17959" i="1"/>
  <c r="B17959" i="1"/>
  <c r="C17959" i="1"/>
  <c r="A12667" i="1"/>
  <c r="B12667" i="1"/>
  <c r="C12667" i="1"/>
  <c r="A8412" i="1"/>
  <c r="B8412" i="1"/>
  <c r="C8412" i="1"/>
  <c r="A24505" i="1"/>
  <c r="B24505" i="1"/>
  <c r="C24505" i="1"/>
  <c r="A24497" i="1"/>
  <c r="B24497" i="1"/>
  <c r="C24497" i="1"/>
  <c r="A22694" i="1"/>
  <c r="B22694" i="1"/>
  <c r="C22694" i="1"/>
  <c r="A25439" i="1"/>
  <c r="B25439" i="1"/>
  <c r="C25439" i="1"/>
  <c r="A1897" i="1"/>
  <c r="B1897" i="1"/>
  <c r="C1897" i="1"/>
  <c r="A24511" i="1"/>
  <c r="B24511" i="1"/>
  <c r="C24511" i="1"/>
  <c r="A8754" i="1"/>
  <c r="B8754" i="1"/>
  <c r="C8754" i="1"/>
  <c r="A287" i="1"/>
  <c r="B287" i="1"/>
  <c r="C287" i="1"/>
  <c r="A2323" i="1"/>
  <c r="B2323" i="1"/>
  <c r="C2323" i="1"/>
  <c r="A4404" i="1"/>
  <c r="B4404" i="1"/>
  <c r="C4404" i="1"/>
  <c r="A5471" i="1"/>
  <c r="B5471" i="1"/>
  <c r="C5471" i="1"/>
  <c r="A14414" i="1"/>
  <c r="B14414" i="1"/>
  <c r="C14414" i="1"/>
  <c r="A14413" i="1"/>
  <c r="B14413" i="1"/>
  <c r="C14413" i="1"/>
  <c r="A8984" i="1"/>
  <c r="B8984" i="1"/>
  <c r="C8984" i="1"/>
  <c r="A8985" i="1"/>
  <c r="B8985" i="1"/>
  <c r="C8985" i="1"/>
  <c r="A25592" i="1"/>
  <c r="B25592" i="1"/>
  <c r="C25592" i="1"/>
  <c r="A2310" i="1"/>
  <c r="B2310" i="1"/>
  <c r="C2310" i="1"/>
  <c r="A2122" i="1"/>
  <c r="B2122" i="1"/>
  <c r="C2122" i="1"/>
  <c r="A16498" i="1"/>
  <c r="B16498" i="1"/>
  <c r="C16498" i="1"/>
  <c r="A6528" i="1"/>
  <c r="B6528" i="1"/>
  <c r="C6528" i="1"/>
  <c r="A2506" i="1"/>
  <c r="B2506" i="1"/>
  <c r="C2506" i="1"/>
  <c r="A4883" i="1"/>
  <c r="B4883" i="1"/>
  <c r="C4883" i="1"/>
  <c r="A592" i="1"/>
  <c r="B592" i="1"/>
  <c r="C592" i="1"/>
  <c r="A9579" i="1"/>
  <c r="B9579" i="1"/>
  <c r="C9579" i="1"/>
  <c r="A230" i="1"/>
  <c r="B230" i="1"/>
  <c r="C230" i="1"/>
  <c r="A643" i="1"/>
  <c r="B643" i="1"/>
  <c r="C643" i="1"/>
  <c r="A12763" i="1"/>
  <c r="B12763" i="1"/>
  <c r="C12763" i="1"/>
  <c r="A14660" i="1"/>
  <c r="B14660" i="1"/>
  <c r="C14660" i="1"/>
  <c r="A23187" i="1"/>
  <c r="B23187" i="1"/>
  <c r="C23187" i="1"/>
  <c r="A2303" i="1"/>
  <c r="B2303" i="1"/>
  <c r="C2303" i="1"/>
  <c r="A23759" i="1"/>
  <c r="B23759" i="1"/>
  <c r="C23759" i="1"/>
  <c r="A22314" i="1"/>
  <c r="B22314" i="1"/>
  <c r="C22314" i="1"/>
  <c r="A16177" i="1"/>
  <c r="B16177" i="1"/>
  <c r="C16177" i="1"/>
  <c r="A16335" i="1"/>
  <c r="B16335" i="1"/>
  <c r="C16335" i="1"/>
  <c r="A23152" i="1"/>
  <c r="B23152" i="1"/>
  <c r="C23152" i="1"/>
  <c r="A9345" i="1"/>
  <c r="B9345" i="1"/>
  <c r="C9345" i="1"/>
  <c r="A436" i="1"/>
  <c r="B436" i="1"/>
  <c r="C436" i="1"/>
  <c r="A14241" i="1"/>
  <c r="B14241" i="1"/>
  <c r="C14241" i="1"/>
  <c r="A21517" i="1"/>
  <c r="B21517" i="1"/>
  <c r="C21517" i="1"/>
  <c r="A24200" i="1"/>
  <c r="B24200" i="1"/>
  <c r="C24200" i="1"/>
  <c r="A391" i="1"/>
  <c r="B391" i="1"/>
  <c r="C391" i="1"/>
  <c r="A17560" i="1"/>
  <c r="B17560" i="1"/>
  <c r="C17560" i="1"/>
  <c r="A17720" i="1"/>
  <c r="B17720" i="1"/>
  <c r="C17720" i="1"/>
  <c r="A1639" i="1"/>
  <c r="B1639" i="1"/>
  <c r="C1639" i="1"/>
  <c r="A2913" i="1"/>
  <c r="B2913" i="1"/>
  <c r="C2913" i="1"/>
  <c r="A4900" i="1"/>
  <c r="B4900" i="1"/>
  <c r="C4900" i="1"/>
  <c r="A13338" i="1"/>
  <c r="B13338" i="1"/>
  <c r="C13338" i="1"/>
  <c r="A25639" i="1"/>
  <c r="B25639" i="1"/>
  <c r="C25639" i="1"/>
  <c r="A23562" i="1"/>
  <c r="B23562" i="1"/>
  <c r="C23562" i="1"/>
  <c r="A765" i="1"/>
  <c r="B765" i="1"/>
  <c r="C765" i="1"/>
  <c r="A24865" i="1"/>
  <c r="B24865" i="1"/>
  <c r="C24865" i="1"/>
  <c r="A10210" i="1"/>
  <c r="B10210" i="1"/>
  <c r="C10210" i="1"/>
  <c r="A10212" i="1"/>
  <c r="B10212" i="1"/>
  <c r="C10212" i="1"/>
  <c r="A1904" i="1"/>
  <c r="B1904" i="1"/>
  <c r="C1904" i="1"/>
  <c r="A13612" i="1"/>
  <c r="B13612" i="1"/>
  <c r="C13612" i="1"/>
  <c r="A19677" i="1"/>
  <c r="B19677" i="1"/>
  <c r="C19677" i="1"/>
  <c r="A20169" i="1"/>
  <c r="B20169" i="1"/>
  <c r="C20169" i="1"/>
  <c r="A7137" i="1"/>
  <c r="B7137" i="1"/>
  <c r="C7137" i="1"/>
  <c r="A1278" i="1"/>
  <c r="B1278" i="1"/>
  <c r="C1278" i="1"/>
  <c r="A14462" i="1"/>
  <c r="B14462" i="1"/>
  <c r="C14462" i="1"/>
  <c r="A3839" i="1"/>
  <c r="B3839" i="1"/>
  <c r="C3839" i="1"/>
  <c r="A6359" i="1"/>
  <c r="B6359" i="1"/>
  <c r="C6359" i="1"/>
  <c r="A6364" i="1"/>
  <c r="B6364" i="1"/>
  <c r="C6364" i="1"/>
  <c r="A24661" i="1"/>
  <c r="B24661" i="1"/>
  <c r="C24661" i="1"/>
  <c r="A8594" i="1"/>
  <c r="B8594" i="1"/>
  <c r="C8594" i="1"/>
  <c r="A6730" i="1"/>
  <c r="B6730" i="1"/>
  <c r="C6730" i="1"/>
  <c r="A25404" i="1"/>
  <c r="B25404" i="1"/>
  <c r="C25404" i="1"/>
  <c r="A25542" i="1"/>
  <c r="B25542" i="1"/>
  <c r="C25542" i="1"/>
  <c r="A17172" i="1"/>
  <c r="B17172" i="1"/>
  <c r="C17172" i="1"/>
  <c r="A9236" i="1"/>
  <c r="B9236" i="1"/>
  <c r="C9236" i="1"/>
  <c r="A20976" i="1"/>
  <c r="B20976" i="1"/>
  <c r="C20976" i="1"/>
  <c r="A4423" i="1"/>
  <c r="B4423" i="1"/>
  <c r="C4423" i="1"/>
  <c r="A4422" i="1"/>
  <c r="B4422" i="1"/>
  <c r="C4422" i="1"/>
  <c r="A10385" i="1"/>
  <c r="B10385" i="1"/>
  <c r="C10385" i="1"/>
  <c r="A21952" i="1"/>
  <c r="B21952" i="1"/>
  <c r="C21952" i="1"/>
  <c r="A21969" i="1"/>
  <c r="B21969" i="1"/>
  <c r="C21969" i="1"/>
  <c r="A9252" i="1"/>
  <c r="B9252" i="1"/>
  <c r="C9252" i="1"/>
  <c r="A6367" i="1"/>
  <c r="B6367" i="1"/>
  <c r="C6367" i="1"/>
  <c r="A6118" i="1"/>
  <c r="B6118" i="1"/>
  <c r="C6118" i="1"/>
  <c r="A19685" i="1"/>
  <c r="B19685" i="1"/>
  <c r="C19685" i="1"/>
  <c r="A12577" i="1"/>
  <c r="B12577" i="1"/>
  <c r="C12577" i="1"/>
  <c r="A6465" i="1"/>
  <c r="B6465" i="1"/>
  <c r="C6465" i="1"/>
  <c r="A19341" i="1"/>
  <c r="B19341" i="1"/>
  <c r="C19341" i="1"/>
  <c r="A15751" i="1"/>
  <c r="B15751" i="1"/>
  <c r="C15751" i="1"/>
  <c r="A19706" i="1"/>
  <c r="B19706" i="1"/>
  <c r="C19706" i="1"/>
  <c r="A11742" i="1"/>
  <c r="B11742" i="1"/>
  <c r="C11742" i="1"/>
  <c r="A1871" i="1"/>
  <c r="B1871" i="1"/>
  <c r="C1871" i="1"/>
  <c r="A10737" i="1"/>
  <c r="B10737" i="1"/>
  <c r="C10737" i="1"/>
  <c r="A12570" i="1"/>
  <c r="B12570" i="1"/>
  <c r="C12570" i="1"/>
  <c r="A10736" i="1"/>
  <c r="B10736" i="1"/>
  <c r="C10736" i="1"/>
  <c r="A10732" i="1"/>
  <c r="B10732" i="1"/>
  <c r="C10732" i="1"/>
  <c r="A23298" i="1"/>
  <c r="B23298" i="1"/>
  <c r="C23298" i="1"/>
  <c r="A569" i="1"/>
  <c r="B569" i="1"/>
  <c r="C569" i="1"/>
  <c r="A22698" i="1"/>
  <c r="B22698" i="1"/>
  <c r="C22698" i="1"/>
  <c r="A1292" i="1"/>
  <c r="B1292" i="1"/>
  <c r="C1292" i="1"/>
  <c r="A11536" i="1"/>
  <c r="B11536" i="1"/>
  <c r="C11536" i="1"/>
  <c r="A25699" i="1"/>
  <c r="B25699" i="1"/>
  <c r="C25699" i="1"/>
  <c r="A10073" i="1"/>
  <c r="B10073" i="1"/>
  <c r="C10073" i="1"/>
  <c r="A25698" i="1"/>
  <c r="B25698" i="1"/>
  <c r="C25698" i="1"/>
  <c r="A12632" i="1"/>
  <c r="B12632" i="1"/>
  <c r="C12632" i="1"/>
  <c r="A20609" i="1"/>
  <c r="B20609" i="1"/>
  <c r="C20609" i="1"/>
  <c r="A19379" i="1"/>
  <c r="B19379" i="1"/>
  <c r="C19379" i="1"/>
  <c r="A18380" i="1"/>
  <c r="B18380" i="1"/>
  <c r="C18380" i="1"/>
  <c r="A6962" i="1"/>
  <c r="B6962" i="1"/>
  <c r="C6962" i="1"/>
  <c r="A25695" i="1"/>
  <c r="B25695" i="1"/>
  <c r="C25695" i="1"/>
  <c r="A14619" i="1"/>
  <c r="B14619" i="1"/>
  <c r="C14619" i="1"/>
  <c r="A14618" i="1"/>
  <c r="B14618" i="1"/>
  <c r="C14618" i="1"/>
  <c r="A14616" i="1"/>
  <c r="B14616" i="1"/>
  <c r="C14616" i="1"/>
  <c r="A10070" i="1"/>
  <c r="B10070" i="1"/>
  <c r="C10070" i="1"/>
  <c r="A10079" i="1"/>
  <c r="B10079" i="1"/>
  <c r="C10079" i="1"/>
  <c r="A10071" i="1"/>
  <c r="B10071" i="1"/>
  <c r="C10071" i="1"/>
  <c r="A8413" i="1"/>
  <c r="B8413" i="1"/>
  <c r="C8413" i="1"/>
  <c r="A1340" i="1"/>
  <c r="B1340" i="1"/>
  <c r="C1340" i="1"/>
  <c r="A20911" i="1"/>
  <c r="B20911" i="1"/>
  <c r="C20911" i="1"/>
  <c r="A12599" i="1"/>
  <c r="B12599" i="1"/>
  <c r="C12599" i="1"/>
  <c r="A6242" i="1"/>
  <c r="B6242" i="1"/>
  <c r="C6242" i="1"/>
  <c r="A6232" i="1"/>
  <c r="B6232" i="1"/>
  <c r="C6232" i="1"/>
  <c r="A12619" i="1"/>
  <c r="B12619" i="1"/>
  <c r="C12619" i="1"/>
  <c r="A22878" i="1"/>
  <c r="B22878" i="1"/>
  <c r="C22878" i="1"/>
  <c r="A11599" i="1"/>
  <c r="B11599" i="1"/>
  <c r="C11599" i="1"/>
  <c r="A1940" i="1"/>
  <c r="B1940" i="1"/>
  <c r="C1940" i="1"/>
  <c r="A20176" i="1"/>
  <c r="B20176" i="1"/>
  <c r="C20176" i="1"/>
  <c r="A11767" i="1"/>
  <c r="B11767" i="1"/>
  <c r="C11767" i="1"/>
  <c r="A17593" i="1"/>
  <c r="B17593" i="1"/>
  <c r="C17593" i="1"/>
  <c r="A16502" i="1"/>
  <c r="B16502" i="1"/>
  <c r="C16502" i="1"/>
  <c r="A15728" i="1"/>
  <c r="B15728" i="1"/>
  <c r="C15728" i="1"/>
  <c r="A16188" i="1"/>
  <c r="B16188" i="1"/>
  <c r="C16188" i="1"/>
  <c r="A23965" i="1"/>
  <c r="B23965" i="1"/>
  <c r="C23965" i="1"/>
  <c r="A20631" i="1"/>
  <c r="B20631" i="1"/>
  <c r="C20631" i="1"/>
  <c r="A20197" i="1"/>
  <c r="B20197" i="1"/>
  <c r="C20197" i="1"/>
  <c r="A16100" i="1"/>
  <c r="B16100" i="1"/>
  <c r="C16100" i="1"/>
  <c r="A24760" i="1"/>
  <c r="B24760" i="1"/>
  <c r="C24760" i="1"/>
  <c r="A24584" i="1"/>
  <c r="B24584" i="1"/>
  <c r="C24584" i="1"/>
  <c r="A1729" i="1"/>
  <c r="B1729" i="1"/>
  <c r="C1729" i="1"/>
  <c r="A25128" i="1"/>
  <c r="B25128" i="1"/>
  <c r="C25128" i="1"/>
  <c r="A24697" i="1"/>
  <c r="B24697" i="1"/>
  <c r="C24697" i="1"/>
  <c r="A12278" i="1"/>
  <c r="B12278" i="1"/>
  <c r="C12278" i="1"/>
  <c r="A11727" i="1"/>
  <c r="B11727" i="1"/>
  <c r="C11727" i="1"/>
  <c r="A9529" i="1"/>
  <c r="B9529" i="1"/>
  <c r="C9529" i="1"/>
  <c r="A20920" i="1"/>
  <c r="B20920" i="1"/>
  <c r="C20920" i="1"/>
  <c r="A17636" i="1"/>
  <c r="B17636" i="1"/>
  <c r="C17636" i="1"/>
  <c r="A14371" i="1"/>
  <c r="B14371" i="1"/>
  <c r="C14371" i="1"/>
  <c r="A15645" i="1"/>
  <c r="B15645" i="1"/>
  <c r="C15645" i="1"/>
  <c r="A17402" i="1"/>
  <c r="B17402" i="1"/>
  <c r="C17402" i="1"/>
  <c r="A3889" i="1"/>
  <c r="B3889" i="1"/>
  <c r="C3889" i="1"/>
  <c r="A16577" i="1"/>
  <c r="B16577" i="1"/>
  <c r="C16577" i="1"/>
  <c r="A15785" i="1"/>
  <c r="B15785" i="1"/>
  <c r="C15785" i="1"/>
  <c r="A25160" i="1"/>
  <c r="B25160" i="1"/>
  <c r="C25160" i="1"/>
  <c r="A1018" i="1"/>
  <c r="B1018" i="1"/>
  <c r="C1018" i="1"/>
  <c r="A1013" i="1"/>
  <c r="B1013" i="1"/>
  <c r="C1013" i="1"/>
  <c r="A1027" i="1"/>
  <c r="B1027" i="1"/>
  <c r="C1027" i="1"/>
  <c r="A1024" i="1"/>
  <c r="B1024" i="1"/>
  <c r="C1024" i="1"/>
  <c r="A1010" i="1"/>
  <c r="B1010" i="1"/>
  <c r="C1010" i="1"/>
  <c r="A1057" i="1"/>
  <c r="C1057" i="1"/>
  <c r="A1008" i="1"/>
  <c r="B1008" i="1"/>
  <c r="C1008" i="1"/>
  <c r="A1009" i="1"/>
  <c r="B1009" i="1"/>
  <c r="C1009" i="1"/>
  <c r="A1056" i="1"/>
  <c r="C1056" i="1"/>
  <c r="A1021" i="1"/>
  <c r="B1021" i="1"/>
  <c r="C1021" i="1"/>
  <c r="A18098" i="1"/>
  <c r="B18098" i="1"/>
  <c r="C18098" i="1"/>
  <c r="A1917" i="1"/>
  <c r="B1917" i="1"/>
  <c r="C1917" i="1"/>
  <c r="A15342" i="1"/>
  <c r="B15342" i="1"/>
  <c r="C15342" i="1"/>
  <c r="A12172" i="1"/>
  <c r="B12172" i="1"/>
  <c r="C12172" i="1"/>
  <c r="A6248" i="1"/>
  <c r="B6248" i="1"/>
  <c r="C6248" i="1"/>
  <c r="A6243" i="1"/>
  <c r="B6243" i="1"/>
  <c r="C6243" i="1"/>
  <c r="A6365" i="1"/>
  <c r="B6365" i="1"/>
  <c r="C6365" i="1"/>
  <c r="A25555" i="1"/>
  <c r="B25555" i="1"/>
  <c r="C25555" i="1"/>
  <c r="A25554" i="1"/>
  <c r="B25554" i="1"/>
  <c r="C25554" i="1"/>
  <c r="A6184" i="1"/>
  <c r="B6184" i="1"/>
  <c r="C6184" i="1"/>
  <c r="A2314" i="1"/>
  <c r="B2314" i="1"/>
  <c r="C2314" i="1"/>
  <c r="A25540" i="1"/>
  <c r="B25540" i="1"/>
  <c r="C25540" i="1"/>
  <c r="A5572" i="1"/>
  <c r="B5572" i="1"/>
  <c r="C5572" i="1"/>
  <c r="A11398" i="1"/>
  <c r="B11398" i="1"/>
  <c r="C11398" i="1"/>
  <c r="A7353" i="1"/>
  <c r="B7353" i="1"/>
  <c r="C7353" i="1"/>
  <c r="A8107" i="1"/>
  <c r="B8107" i="1"/>
  <c r="C8107" i="1"/>
  <c r="A8106" i="1"/>
  <c r="B8106" i="1"/>
  <c r="C8106" i="1"/>
  <c r="A19866" i="1"/>
  <c r="B19866" i="1"/>
  <c r="C19866" i="1"/>
  <c r="A19306" i="1"/>
  <c r="B19306" i="1"/>
  <c r="C19306" i="1"/>
  <c r="A25697" i="1"/>
  <c r="B25697" i="1"/>
  <c r="C25697" i="1"/>
  <c r="A21604" i="1"/>
  <c r="B21604" i="1"/>
  <c r="C21604" i="1"/>
  <c r="A14003" i="1"/>
  <c r="B14003" i="1"/>
  <c r="C14003" i="1"/>
  <c r="A155" i="1"/>
  <c r="B155" i="1"/>
  <c r="C155" i="1"/>
  <c r="A154" i="1"/>
  <c r="B154" i="1"/>
  <c r="C154" i="1"/>
  <c r="A17771" i="1"/>
  <c r="B17771" i="1"/>
  <c r="C17771" i="1"/>
  <c r="A11775" i="1"/>
  <c r="B11775" i="1"/>
  <c r="C11775" i="1"/>
  <c r="A4375" i="1"/>
  <c r="B4375" i="1"/>
  <c r="C4375" i="1"/>
  <c r="A12302" i="1"/>
  <c r="B12302" i="1"/>
  <c r="C12302" i="1"/>
  <c r="A17972" i="1"/>
  <c r="B17972" i="1"/>
  <c r="C17972" i="1"/>
  <c r="A3972" i="1"/>
  <c r="B3972" i="1"/>
  <c r="C3972" i="1"/>
  <c r="A19345" i="1"/>
  <c r="B19345" i="1"/>
  <c r="C19345" i="1"/>
  <c r="A22164" i="1"/>
  <c r="B22164" i="1"/>
  <c r="C22164" i="1"/>
  <c r="A7679" i="1"/>
  <c r="B7679" i="1"/>
  <c r="C7679" i="1"/>
  <c r="A4796" i="1"/>
  <c r="B4796" i="1"/>
  <c r="C4796" i="1"/>
  <c r="A9803" i="1"/>
  <c r="B9803" i="1"/>
  <c r="C9803" i="1"/>
  <c r="A3768" i="1"/>
  <c r="B3768" i="1"/>
  <c r="C3768" i="1"/>
  <c r="A2927" i="1"/>
  <c r="B2927" i="1"/>
  <c r="C2927" i="1"/>
  <c r="A24021" i="1"/>
  <c r="B24021" i="1"/>
  <c r="C24021" i="1"/>
  <c r="A24022" i="1"/>
  <c r="B24022" i="1"/>
  <c r="C24022" i="1"/>
  <c r="A16332" i="1"/>
  <c r="B16332" i="1"/>
  <c r="C16332" i="1"/>
  <c r="A25690" i="1"/>
  <c r="B25690" i="1"/>
  <c r="C25690" i="1"/>
  <c r="A18871" i="1"/>
  <c r="B18871" i="1"/>
  <c r="C18871" i="1"/>
  <c r="A2053" i="1"/>
  <c r="B2053" i="1"/>
  <c r="C2053" i="1"/>
  <c r="A22884" i="1"/>
  <c r="B22884" i="1"/>
  <c r="C22884" i="1"/>
  <c r="A19420" i="1"/>
  <c r="B19420" i="1"/>
  <c r="C19420" i="1"/>
  <c r="A25456" i="1"/>
  <c r="B25456" i="1"/>
  <c r="C25456" i="1"/>
  <c r="A1022" i="1"/>
  <c r="B1022" i="1"/>
  <c r="C1022" i="1"/>
  <c r="A1023" i="1"/>
  <c r="B1023" i="1"/>
  <c r="C1023" i="1"/>
  <c r="A12001" i="1"/>
  <c r="B12001" i="1"/>
  <c r="C12001" i="1"/>
  <c r="A5747" i="1"/>
  <c r="B5747" i="1"/>
  <c r="C5747" i="1"/>
  <c r="A15675" i="1"/>
  <c r="B15675" i="1"/>
  <c r="C15675" i="1"/>
  <c r="A23429" i="1"/>
  <c r="B23429" i="1"/>
  <c r="C23429" i="1"/>
  <c r="A23452" i="1"/>
  <c r="B23452" i="1"/>
  <c r="C23452" i="1"/>
  <c r="A23454" i="1"/>
  <c r="B23454" i="1"/>
  <c r="C23454" i="1"/>
  <c r="A23455" i="1"/>
  <c r="B23455" i="1"/>
  <c r="C23455" i="1"/>
  <c r="A23453" i="1"/>
  <c r="B23453" i="1"/>
  <c r="C23453" i="1"/>
  <c r="A23369" i="1"/>
  <c r="B23369" i="1"/>
  <c r="C23369" i="1"/>
  <c r="A17441" i="1"/>
  <c r="B17441" i="1"/>
  <c r="C17441" i="1"/>
  <c r="A15379" i="1"/>
  <c r="B15379" i="1"/>
  <c r="C15379" i="1"/>
  <c r="A1936" i="1"/>
  <c r="B1936" i="1"/>
  <c r="C1936" i="1"/>
  <c r="A25553" i="1"/>
  <c r="B25553" i="1"/>
  <c r="C25553" i="1"/>
  <c r="A25552" i="1"/>
  <c r="B25552" i="1"/>
  <c r="C25552" i="1"/>
  <c r="A9444" i="1"/>
  <c r="C9444" i="1"/>
  <c r="A3057" i="1"/>
  <c r="B3057" i="1"/>
  <c r="C3057" i="1"/>
  <c r="A17805" i="1"/>
  <c r="B17805" i="1"/>
  <c r="C17805" i="1"/>
  <c r="A7050" i="1"/>
  <c r="B7050" i="1"/>
  <c r="C7050" i="1"/>
  <c r="A22894" i="1"/>
  <c r="B22894" i="1"/>
  <c r="C22894" i="1"/>
  <c r="A15902" i="1"/>
  <c r="B15902" i="1"/>
  <c r="C15902" i="1"/>
  <c r="A22634" i="1"/>
  <c r="B22634" i="1"/>
  <c r="C22634" i="1"/>
  <c r="A7450" i="1"/>
  <c r="B7450" i="1"/>
  <c r="C7450" i="1"/>
  <c r="A18036" i="1"/>
  <c r="B18036" i="1"/>
  <c r="C18036" i="1"/>
  <c r="A3206" i="1"/>
  <c r="B3206" i="1"/>
  <c r="C3206" i="1"/>
  <c r="A10785" i="1"/>
  <c r="B10785" i="1"/>
  <c r="C10785" i="1"/>
  <c r="A17658" i="1"/>
  <c r="B17658" i="1"/>
  <c r="C17658" i="1"/>
  <c r="A14656" i="1"/>
  <c r="B14656" i="1"/>
  <c r="C14656" i="1"/>
  <c r="A14661" i="1"/>
  <c r="B14661" i="1"/>
  <c r="C14661" i="1"/>
  <c r="A957" i="1"/>
  <c r="B957" i="1"/>
  <c r="C957" i="1"/>
  <c r="A955" i="1"/>
  <c r="B955" i="1"/>
  <c r="C955" i="1"/>
  <c r="A10219" i="1"/>
  <c r="B10219" i="1"/>
  <c r="C10219" i="1"/>
  <c r="A10653" i="1"/>
  <c r="B10653" i="1"/>
  <c r="C10653" i="1"/>
  <c r="A23029" i="1"/>
  <c r="B23029" i="1"/>
  <c r="C23029" i="1"/>
  <c r="A7800" i="1"/>
  <c r="B7800" i="1"/>
  <c r="C7800" i="1"/>
  <c r="A5771" i="1"/>
  <c r="B5771" i="1"/>
  <c r="C5771" i="1"/>
  <c r="A25130" i="1"/>
  <c r="B25130" i="1"/>
  <c r="C25130" i="1"/>
  <c r="A15602" i="1"/>
  <c r="B15602" i="1"/>
  <c r="C15602" i="1"/>
  <c r="A24862" i="1"/>
  <c r="B24862" i="1"/>
  <c r="C24862" i="1"/>
  <c r="A1899" i="1"/>
  <c r="B1899" i="1"/>
  <c r="C1899" i="1"/>
  <c r="A13840" i="1"/>
  <c r="B13840" i="1"/>
  <c r="C13840" i="1"/>
  <c r="A3025" i="1"/>
  <c r="B3025" i="1"/>
  <c r="C3025" i="1"/>
  <c r="A395" i="1"/>
  <c r="B395" i="1"/>
  <c r="C395" i="1"/>
  <c r="A7903" i="1"/>
  <c r="B7903" i="1"/>
  <c r="C7903" i="1"/>
  <c r="A10365" i="1"/>
  <c r="B10365" i="1"/>
  <c r="C10365" i="1"/>
  <c r="A2877" i="1"/>
  <c r="B2877" i="1"/>
  <c r="C2877" i="1"/>
  <c r="A1875" i="1"/>
  <c r="B1875" i="1"/>
  <c r="C1875" i="1"/>
  <c r="A1874" i="1"/>
  <c r="B1874" i="1"/>
  <c r="C1874" i="1"/>
  <c r="A8847" i="1"/>
  <c r="B8847" i="1"/>
  <c r="C8847" i="1"/>
  <c r="A9245" i="1"/>
  <c r="B9245" i="1"/>
  <c r="C9245" i="1"/>
  <c r="A12173" i="1"/>
  <c r="B12173" i="1"/>
  <c r="C12173" i="1"/>
  <c r="A10903" i="1"/>
  <c r="B10903" i="1"/>
  <c r="C10903" i="1"/>
  <c r="A13816" i="1"/>
  <c r="B13816" i="1"/>
  <c r="C13816" i="1"/>
  <c r="A23818" i="1"/>
  <c r="B23818" i="1"/>
  <c r="C23818" i="1"/>
  <c r="A8988" i="1"/>
  <c r="B8988" i="1"/>
  <c r="C8988" i="1"/>
  <c r="A20679" i="1"/>
  <c r="B20679" i="1"/>
  <c r="C20679" i="1"/>
  <c r="A17723" i="1"/>
  <c r="B17723" i="1"/>
  <c r="C17723" i="1"/>
  <c r="A18573" i="1"/>
  <c r="B18573" i="1"/>
  <c r="C18573" i="1"/>
  <c r="A21632" i="1"/>
  <c r="B21632" i="1"/>
  <c r="C21632" i="1"/>
  <c r="A2679" i="1"/>
  <c r="B2679" i="1"/>
  <c r="C2679" i="1"/>
  <c r="A19668" i="1"/>
  <c r="B19668" i="1"/>
  <c r="C19668" i="1"/>
  <c r="A19670" i="1"/>
  <c r="B19670" i="1"/>
  <c r="C19670" i="1"/>
  <c r="A13565" i="1"/>
  <c r="B13565" i="1"/>
  <c r="C13565" i="1"/>
  <c r="A18383" i="1"/>
  <c r="B18383" i="1"/>
  <c r="C18383" i="1"/>
  <c r="A23303" i="1"/>
  <c r="B23303" i="1"/>
  <c r="C23303" i="1"/>
  <c r="A23159" i="1"/>
  <c r="B23159" i="1"/>
  <c r="C23159" i="1"/>
  <c r="A16339" i="1"/>
  <c r="B16339" i="1"/>
  <c r="C16339" i="1"/>
  <c r="A16190" i="1"/>
  <c r="B16190" i="1"/>
  <c r="C16190" i="1"/>
  <c r="A15726" i="1"/>
  <c r="B15726" i="1"/>
  <c r="C15726" i="1"/>
  <c r="A23363" i="1"/>
  <c r="B23363" i="1"/>
  <c r="C23363" i="1"/>
  <c r="A2316" i="1"/>
  <c r="B2316" i="1"/>
  <c r="C2316" i="1"/>
  <c r="A23938" i="1"/>
  <c r="B23938" i="1"/>
  <c r="C23938" i="1"/>
  <c r="A6926" i="1"/>
  <c r="B6926" i="1"/>
  <c r="C6926" i="1"/>
  <c r="A20683" i="1"/>
  <c r="B20683" i="1"/>
  <c r="C20683" i="1"/>
  <c r="A3701" i="1"/>
  <c r="B3701" i="1"/>
  <c r="C3701" i="1"/>
  <c r="A20637" i="1"/>
  <c r="B20637" i="1"/>
  <c r="C20637" i="1"/>
  <c r="A450" i="1"/>
  <c r="B450" i="1"/>
  <c r="C450" i="1"/>
  <c r="A9592" i="1"/>
  <c r="B9592" i="1"/>
  <c r="C9592" i="1"/>
  <c r="A9022" i="1"/>
  <c r="B9022" i="1"/>
  <c r="C9022" i="1"/>
  <c r="A9299" i="1"/>
  <c r="B9299" i="1"/>
  <c r="C9299" i="1"/>
  <c r="A9300" i="1"/>
  <c r="B9300" i="1"/>
  <c r="C9300" i="1"/>
  <c r="A5207" i="1"/>
  <c r="B5207" i="1"/>
  <c r="C5207" i="1"/>
  <c r="A9066" i="1"/>
  <c r="B9066" i="1"/>
  <c r="C9066" i="1"/>
  <c r="A9068" i="1"/>
  <c r="B9068" i="1"/>
  <c r="C9068" i="1"/>
  <c r="A10430" i="1"/>
  <c r="B10430" i="1"/>
  <c r="C10430" i="1"/>
  <c r="A11564" i="1"/>
  <c r="B11564" i="1"/>
  <c r="C11564" i="1"/>
  <c r="A11572" i="1"/>
  <c r="B11572" i="1"/>
  <c r="C11572" i="1"/>
  <c r="A11563" i="1"/>
  <c r="B11563" i="1"/>
  <c r="C11563" i="1"/>
  <c r="A2825" i="1"/>
  <c r="B2825" i="1"/>
  <c r="C2825" i="1"/>
  <c r="A18757" i="1"/>
  <c r="B18757" i="1"/>
  <c r="C18757" i="1"/>
  <c r="A6937" i="1"/>
  <c r="B6937" i="1"/>
  <c r="C6937" i="1"/>
  <c r="A6295" i="1"/>
  <c r="B6295" i="1"/>
  <c r="C6295" i="1"/>
  <c r="A7754" i="1"/>
  <c r="B7754" i="1"/>
  <c r="C7754" i="1"/>
  <c r="A19096" i="1"/>
  <c r="B19096" i="1"/>
  <c r="C19096" i="1"/>
  <c r="A7811" i="1"/>
  <c r="B7811" i="1"/>
  <c r="C7811" i="1"/>
  <c r="A13675" i="1"/>
  <c r="B13675" i="1"/>
  <c r="C13675" i="1"/>
  <c r="A23823" i="1"/>
  <c r="B23823" i="1"/>
  <c r="C23823" i="1"/>
  <c r="A11770" i="1"/>
  <c r="B11770" i="1"/>
  <c r="C11770" i="1"/>
  <c r="A1732" i="1"/>
  <c r="B1732" i="1"/>
  <c r="C1732" i="1"/>
  <c r="A13790" i="1"/>
  <c r="B13790" i="1"/>
  <c r="C13790" i="1"/>
  <c r="A6227" i="1"/>
  <c r="B6227" i="1"/>
  <c r="C6227" i="1"/>
  <c r="A12002" i="1"/>
  <c r="B12002" i="1"/>
  <c r="C12002" i="1"/>
  <c r="A12170" i="1"/>
  <c r="B12170" i="1"/>
  <c r="C12170" i="1"/>
  <c r="A21967" i="1"/>
  <c r="B21967" i="1"/>
  <c r="C21967" i="1"/>
  <c r="A4392" i="1"/>
  <c r="B4392" i="1"/>
  <c r="C4392" i="1"/>
  <c r="A5220" i="1"/>
  <c r="B5220" i="1"/>
  <c r="C5220" i="1"/>
  <c r="A24049" i="1"/>
  <c r="B24049" i="1"/>
  <c r="C24049" i="1"/>
  <c r="A8810" i="1"/>
  <c r="B8810" i="1"/>
  <c r="C8810" i="1"/>
  <c r="A8809" i="1"/>
  <c r="B8809" i="1"/>
  <c r="C8809" i="1"/>
  <c r="A8808" i="1"/>
  <c r="B8808" i="1"/>
  <c r="C8808" i="1"/>
  <c r="A24047" i="1"/>
  <c r="B24047" i="1"/>
  <c r="C24047" i="1"/>
  <c r="A25548" i="1"/>
  <c r="B25548" i="1"/>
  <c r="C25548" i="1"/>
  <c r="A1989" i="1"/>
  <c r="B1989" i="1"/>
  <c r="C1989" i="1"/>
  <c r="A5419" i="1"/>
  <c r="B5419" i="1"/>
  <c r="C5419" i="1"/>
  <c r="A25221" i="1"/>
  <c r="B25221" i="1"/>
  <c r="C25221" i="1"/>
  <c r="A6852" i="1"/>
  <c r="B6852" i="1"/>
  <c r="C6852" i="1"/>
  <c r="A3022" i="1"/>
  <c r="B3022" i="1"/>
  <c r="C3022" i="1"/>
  <c r="A1045" i="1"/>
  <c r="B1045" i="1"/>
  <c r="C1045" i="1"/>
  <c r="A1042" i="1"/>
  <c r="B1042" i="1"/>
  <c r="C1042" i="1"/>
  <c r="A19422" i="1"/>
  <c r="B19422" i="1"/>
  <c r="C19422" i="1"/>
  <c r="A1763" i="1"/>
  <c r="B1763" i="1"/>
  <c r="C1763" i="1"/>
  <c r="A21902" i="1"/>
  <c r="B21902" i="1"/>
  <c r="C21902" i="1"/>
  <c r="A8352" i="1"/>
  <c r="B8352" i="1"/>
  <c r="C8352" i="1"/>
  <c r="A25267" i="1"/>
  <c r="B25267" i="1"/>
  <c r="C25267" i="1"/>
  <c r="A15158" i="1"/>
  <c r="B15158" i="1"/>
  <c r="C15158" i="1"/>
  <c r="A15177" i="1"/>
  <c r="B15177" i="1"/>
  <c r="C15177" i="1"/>
  <c r="A21908" i="1"/>
  <c r="B21908" i="1"/>
  <c r="C21908" i="1"/>
  <c r="A23209" i="1"/>
  <c r="B23209" i="1"/>
  <c r="C23209" i="1"/>
  <c r="A24816" i="1"/>
  <c r="B24816" i="1"/>
  <c r="C24816" i="1"/>
  <c r="A18633" i="1"/>
  <c r="B18633" i="1"/>
  <c r="C18633" i="1"/>
  <c r="A15356" i="1"/>
  <c r="B15356" i="1"/>
  <c r="C15356" i="1"/>
  <c r="A18631" i="1"/>
  <c r="B18631" i="1"/>
  <c r="C18631" i="1"/>
  <c r="A15155" i="1"/>
  <c r="B15155" i="1"/>
  <c r="C15155" i="1"/>
  <c r="A15156" i="1"/>
  <c r="B15156" i="1"/>
  <c r="C15156" i="1"/>
  <c r="A5674" i="1"/>
  <c r="B5674" i="1"/>
  <c r="C5674" i="1"/>
  <c r="A13857" i="1"/>
  <c r="B13857" i="1"/>
  <c r="C13857" i="1"/>
  <c r="A13809" i="1"/>
  <c r="B13809" i="1"/>
  <c r="C13809" i="1"/>
  <c r="A18552" i="1"/>
  <c r="B18552" i="1"/>
  <c r="C18552" i="1"/>
  <c r="A15673" i="1"/>
  <c r="B15673" i="1"/>
  <c r="C15673" i="1"/>
  <c r="A17912" i="1"/>
  <c r="B17912" i="1"/>
  <c r="C17912" i="1"/>
  <c r="A9074" i="1"/>
  <c r="B9074" i="1"/>
  <c r="C9074" i="1"/>
  <c r="A6129" i="1"/>
  <c r="B6129" i="1"/>
  <c r="C6129" i="1"/>
  <c r="A23941" i="1"/>
  <c r="B23941" i="1"/>
  <c r="C23941" i="1"/>
  <c r="A12819" i="1"/>
  <c r="B12819" i="1"/>
  <c r="C12819" i="1"/>
  <c r="A12820" i="1"/>
  <c r="B12820" i="1"/>
  <c r="C12820" i="1"/>
  <c r="A11567" i="1"/>
  <c r="B11567" i="1"/>
  <c r="C11567" i="1"/>
  <c r="A24053" i="1"/>
  <c r="B24053" i="1"/>
  <c r="C24053" i="1"/>
  <c r="A8755" i="1"/>
  <c r="B8755" i="1"/>
  <c r="C8755" i="1"/>
  <c r="A6422" i="1"/>
  <c r="B6422" i="1"/>
  <c r="C6422" i="1"/>
  <c r="A23413" i="1"/>
  <c r="B23413" i="1"/>
  <c r="C23413" i="1"/>
  <c r="A23414" i="1"/>
  <c r="B23414" i="1"/>
  <c r="C23414" i="1"/>
  <c r="A9321" i="1"/>
  <c r="B9321" i="1"/>
  <c r="C9321" i="1"/>
  <c r="A16408" i="1"/>
  <c r="B16408" i="1"/>
  <c r="C16408" i="1"/>
  <c r="A17721" i="1"/>
  <c r="B17721" i="1"/>
  <c r="C17721" i="1"/>
  <c r="A612" i="1"/>
  <c r="B612" i="1"/>
  <c r="C612" i="1"/>
  <c r="A5848" i="1"/>
  <c r="B5848" i="1"/>
  <c r="C5848" i="1"/>
  <c r="A3023" i="1"/>
  <c r="B3023" i="1"/>
  <c r="C3023" i="1"/>
  <c r="A9196" i="1"/>
  <c r="B9196" i="1"/>
  <c r="C9196" i="1"/>
  <c r="A6855" i="1"/>
  <c r="B6855" i="1"/>
  <c r="C6855" i="1"/>
  <c r="A6964" i="1"/>
  <c r="B6964" i="1"/>
  <c r="C6964" i="1"/>
  <c r="A8983" i="1"/>
  <c r="B8983" i="1"/>
  <c r="C8983" i="1"/>
  <c r="A1998" i="1"/>
  <c r="B1998" i="1"/>
  <c r="C1998" i="1"/>
  <c r="A11946" i="1"/>
  <c r="B11946" i="1"/>
  <c r="C11946" i="1"/>
  <c r="A22380" i="1"/>
  <c r="B22380" i="1"/>
  <c r="C22380" i="1"/>
  <c r="A6883" i="1"/>
  <c r="B6883" i="1"/>
  <c r="C6883" i="1"/>
  <c r="A4011" i="1"/>
  <c r="B4011" i="1"/>
  <c r="C4011" i="1"/>
  <c r="A3964" i="1"/>
  <c r="B3964" i="1"/>
  <c r="C3964" i="1"/>
  <c r="A17140" i="1"/>
  <c r="B17140" i="1"/>
  <c r="C17140" i="1"/>
  <c r="A18704" i="1"/>
  <c r="B18704" i="1"/>
  <c r="C18704" i="1"/>
  <c r="A2380" i="1"/>
  <c r="B2380" i="1"/>
  <c r="C2380" i="1"/>
  <c r="A6124" i="1"/>
  <c r="B6124" i="1"/>
  <c r="C6124" i="1"/>
  <c r="A24322" i="1"/>
  <c r="B24322" i="1"/>
  <c r="C24322" i="1"/>
  <c r="A9626" i="1"/>
  <c r="B9626" i="1"/>
  <c r="C9626" i="1"/>
  <c r="A9631" i="1"/>
  <c r="B9631" i="1"/>
  <c r="C9631" i="1"/>
  <c r="A7048" i="1"/>
  <c r="B7048" i="1"/>
  <c r="C7048" i="1"/>
  <c r="A3339" i="1"/>
  <c r="B3339" i="1"/>
  <c r="C3339" i="1"/>
  <c r="A18281" i="1"/>
  <c r="B18281" i="1"/>
  <c r="C18281" i="1"/>
  <c r="A18283" i="1"/>
  <c r="B18283" i="1"/>
  <c r="C18283" i="1"/>
  <c r="A18282" i="1"/>
  <c r="B18282" i="1"/>
  <c r="C18282" i="1"/>
  <c r="A23668" i="1"/>
  <c r="B23668" i="1"/>
  <c r="C23668" i="1"/>
  <c r="A23645" i="1"/>
  <c r="B23645" i="1"/>
  <c r="C23645" i="1"/>
  <c r="A8838" i="1"/>
  <c r="B8838" i="1"/>
  <c r="C8838" i="1"/>
  <c r="A5591" i="1"/>
  <c r="B5591" i="1"/>
  <c r="C5591" i="1"/>
  <c r="A10112" i="1"/>
  <c r="B10112" i="1"/>
  <c r="C10112" i="1"/>
  <c r="A18861" i="1"/>
  <c r="B18861" i="1"/>
  <c r="C18861" i="1"/>
  <c r="A22472" i="1"/>
  <c r="B22472" i="1"/>
  <c r="C22472" i="1"/>
  <c r="A21028" i="1"/>
  <c r="B21028" i="1"/>
  <c r="C21028" i="1"/>
  <c r="A12380" i="1"/>
  <c r="B12380" i="1"/>
  <c r="C12380" i="1"/>
  <c r="A10471" i="1"/>
  <c r="B10471" i="1"/>
  <c r="C10471" i="1"/>
  <c r="A12356" i="1"/>
  <c r="B12356" i="1"/>
  <c r="C12356" i="1"/>
  <c r="A10477" i="1"/>
  <c r="B10477" i="1"/>
  <c r="C10477" i="1"/>
  <c r="A10473" i="1"/>
  <c r="B10473" i="1"/>
  <c r="C10473" i="1"/>
  <c r="A12358" i="1"/>
  <c r="B12358" i="1"/>
  <c r="C12358" i="1"/>
  <c r="A12361" i="1"/>
  <c r="B12361" i="1"/>
  <c r="C12361" i="1"/>
  <c r="A21924" i="1"/>
  <c r="B21924" i="1"/>
  <c r="C21924" i="1"/>
  <c r="A10475" i="1"/>
  <c r="B10475" i="1"/>
  <c r="C10475" i="1"/>
  <c r="A5802" i="1"/>
  <c r="B5802" i="1"/>
  <c r="C5802" i="1"/>
  <c r="A7514" i="1"/>
  <c r="B7514" i="1"/>
  <c r="C7514" i="1"/>
  <c r="A22471" i="1"/>
  <c r="B22471" i="1"/>
  <c r="C22471" i="1"/>
  <c r="A21027" i="1"/>
  <c r="B21027" i="1"/>
  <c r="C21027" i="1"/>
  <c r="A12379" i="1"/>
  <c r="B12379" i="1"/>
  <c r="C12379" i="1"/>
  <c r="A10470" i="1"/>
  <c r="B10470" i="1"/>
  <c r="C10470" i="1"/>
  <c r="A12355" i="1"/>
  <c r="B12355" i="1"/>
  <c r="C12355" i="1"/>
  <c r="A10476" i="1"/>
  <c r="B10476" i="1"/>
  <c r="C10476" i="1"/>
  <c r="A10472" i="1"/>
  <c r="B10472" i="1"/>
  <c r="C10472" i="1"/>
  <c r="A12357" i="1"/>
  <c r="B12357" i="1"/>
  <c r="C12357" i="1"/>
  <c r="A12360" i="1"/>
  <c r="B12360" i="1"/>
  <c r="C12360" i="1"/>
  <c r="A21923" i="1"/>
  <c r="B21923" i="1"/>
  <c r="C21923" i="1"/>
  <c r="A10474" i="1"/>
  <c r="B10474" i="1"/>
  <c r="C10474" i="1"/>
  <c r="A5801" i="1"/>
  <c r="B5801" i="1"/>
  <c r="C5801" i="1"/>
  <c r="A6554" i="1"/>
  <c r="B6554" i="1"/>
  <c r="C6554" i="1"/>
  <c r="A14149" i="1"/>
  <c r="B14149" i="1"/>
  <c r="C14149" i="1"/>
  <c r="A23446" i="1"/>
  <c r="B23446" i="1"/>
  <c r="C23446" i="1"/>
  <c r="A12122" i="1"/>
  <c r="B12122" i="1"/>
  <c r="C12122" i="1"/>
  <c r="A23466" i="1"/>
  <c r="B23466" i="1"/>
  <c r="C23466" i="1"/>
  <c r="A16280" i="1"/>
  <c r="B16280" i="1"/>
  <c r="C16280" i="1"/>
  <c r="A1982" i="1"/>
  <c r="B1982" i="1"/>
  <c r="C1982" i="1"/>
  <c r="A11575" i="1"/>
  <c r="C11575" i="1"/>
  <c r="A8300" i="1"/>
  <c r="B8300" i="1"/>
  <c r="C8300" i="1"/>
  <c r="A6065" i="1"/>
  <c r="B6065" i="1"/>
  <c r="C6065" i="1"/>
  <c r="A1016" i="1"/>
  <c r="B1016" i="1"/>
  <c r="C1016" i="1"/>
  <c r="A1017" i="1"/>
  <c r="B1017" i="1"/>
  <c r="C1017" i="1"/>
  <c r="A1019" i="1"/>
  <c r="B1019" i="1"/>
  <c r="C1019" i="1"/>
  <c r="A1058" i="1"/>
  <c r="C1058" i="1"/>
  <c r="A15148" i="1"/>
  <c r="B15148" i="1"/>
  <c r="C15148" i="1"/>
  <c r="A17224" i="1"/>
  <c r="B17224" i="1"/>
  <c r="C17224" i="1"/>
  <c r="A3436" i="1"/>
  <c r="B3436" i="1"/>
  <c r="C3436" i="1"/>
  <c r="A5501" i="1"/>
  <c r="B5501" i="1"/>
  <c r="C5501" i="1"/>
  <c r="A3806" i="1"/>
  <c r="B3806" i="1"/>
  <c r="C3806" i="1"/>
  <c r="A12521" i="1"/>
  <c r="B12521" i="1"/>
  <c r="C12521" i="1"/>
  <c r="A23729" i="1"/>
  <c r="B23729" i="1"/>
  <c r="C23729" i="1"/>
  <c r="A11609" i="1"/>
  <c r="B11609" i="1"/>
  <c r="C11609" i="1"/>
  <c r="A11608" i="1"/>
  <c r="B11608" i="1"/>
  <c r="C11608" i="1"/>
  <c r="A20890" i="1"/>
  <c r="B20890" i="1"/>
  <c r="C20890" i="1"/>
  <c r="A20891" i="1"/>
  <c r="B20891" i="1"/>
  <c r="C20891" i="1"/>
  <c r="A6045" i="1"/>
  <c r="B6045" i="1"/>
  <c r="C6045" i="1"/>
  <c r="A16981" i="1"/>
  <c r="B16981" i="1"/>
  <c r="C16981" i="1"/>
  <c r="A22286" i="1"/>
  <c r="B22286" i="1"/>
  <c r="C22286" i="1"/>
  <c r="A20267" i="1"/>
  <c r="B20267" i="1"/>
  <c r="C20267" i="1"/>
  <c r="A10313" i="1"/>
  <c r="B10313" i="1"/>
  <c r="C10313" i="1"/>
  <c r="A7024" i="1"/>
  <c r="B7024" i="1"/>
  <c r="C7024" i="1"/>
  <c r="A10629" i="1"/>
  <c r="B10629" i="1"/>
  <c r="C10629" i="1"/>
  <c r="A261" i="1"/>
  <c r="B261" i="1"/>
  <c r="C261" i="1"/>
  <c r="A9507" i="1"/>
  <c r="B9507" i="1"/>
  <c r="C9507" i="1"/>
  <c r="A20613" i="1"/>
  <c r="B20613" i="1"/>
  <c r="C20613" i="1"/>
  <c r="A20614" i="1"/>
  <c r="B20614" i="1"/>
  <c r="C20614" i="1"/>
  <c r="A5343" i="1"/>
  <c r="B5343" i="1"/>
  <c r="C5343" i="1"/>
  <c r="A25600" i="1"/>
  <c r="B25600" i="1"/>
  <c r="C25600" i="1"/>
  <c r="A10656" i="1"/>
  <c r="B10656" i="1"/>
  <c r="C10656" i="1"/>
  <c r="A621" i="1"/>
  <c r="B621" i="1"/>
  <c r="C621" i="1"/>
  <c r="A13873" i="1"/>
  <c r="B13873" i="1"/>
  <c r="C13873" i="1"/>
  <c r="A17616" i="1"/>
  <c r="B17616" i="1"/>
  <c r="C17616" i="1"/>
  <c r="A24515" i="1"/>
  <c r="B24515" i="1"/>
  <c r="C24515" i="1"/>
  <c r="A5510" i="1"/>
  <c r="B5510" i="1"/>
  <c r="C5510" i="1"/>
  <c r="A6499" i="1"/>
  <c r="B6499" i="1"/>
  <c r="C6499" i="1"/>
  <c r="A20677" i="1"/>
  <c r="B20677" i="1"/>
  <c r="C20677" i="1"/>
  <c r="A20675" i="1"/>
  <c r="B20675" i="1"/>
  <c r="C20675" i="1"/>
  <c r="A11483" i="1"/>
  <c r="B11483" i="1"/>
  <c r="C11483" i="1"/>
  <c r="A19382" i="1"/>
  <c r="B19382" i="1"/>
  <c r="C19382" i="1"/>
  <c r="A7242" i="1"/>
  <c r="B7242" i="1"/>
  <c r="C7242" i="1"/>
  <c r="A655" i="1"/>
  <c r="B655" i="1"/>
  <c r="C655" i="1"/>
  <c r="A6416" i="1"/>
  <c r="B6416" i="1"/>
  <c r="C6416" i="1"/>
  <c r="A3643" i="1"/>
  <c r="B3643" i="1"/>
  <c r="C3643" i="1"/>
  <c r="A20487" i="1"/>
  <c r="B20487" i="1"/>
  <c r="C20487" i="1"/>
  <c r="A20810" i="1"/>
  <c r="B20810" i="1"/>
  <c r="C20810" i="1"/>
  <c r="A20584" i="1"/>
  <c r="B20584" i="1"/>
  <c r="C20584" i="1"/>
  <c r="A20838" i="1"/>
  <c r="B20838" i="1"/>
  <c r="C20838" i="1"/>
  <c r="A12814" i="1"/>
  <c r="B12814" i="1"/>
  <c r="C12814" i="1"/>
  <c r="A23588" i="1"/>
  <c r="B23588" i="1"/>
  <c r="C23588" i="1"/>
  <c r="A20604" i="1"/>
  <c r="B20604" i="1"/>
  <c r="C20604" i="1"/>
  <c r="A10104" i="1"/>
  <c r="B10104" i="1"/>
  <c r="C10104" i="1"/>
  <c r="A6566" i="1"/>
  <c r="C6566" i="1"/>
  <c r="A6117" i="1"/>
  <c r="B6117" i="1"/>
  <c r="C6117" i="1"/>
  <c r="A23370" i="1"/>
  <c r="B23370" i="1"/>
  <c r="C23370" i="1"/>
  <c r="A22891" i="1"/>
  <c r="B22891" i="1"/>
  <c r="C22891" i="1"/>
  <c r="A22881" i="1"/>
  <c r="B22881" i="1"/>
  <c r="C22881" i="1"/>
  <c r="A2557" i="1"/>
  <c r="B2557" i="1"/>
  <c r="C2557" i="1"/>
  <c r="A17994" i="1"/>
  <c r="B17994" i="1"/>
  <c r="C17994" i="1"/>
  <c r="A451" i="1"/>
  <c r="B451" i="1"/>
  <c r="C451" i="1"/>
  <c r="A19435" i="1"/>
  <c r="B19435" i="1"/>
  <c r="C19435" i="1"/>
  <c r="A201" i="1"/>
  <c r="B201" i="1"/>
  <c r="C201" i="1"/>
  <c r="A12834" i="1"/>
  <c r="B12834" i="1"/>
  <c r="C12834" i="1"/>
  <c r="A19425" i="1"/>
  <c r="B19425" i="1"/>
  <c r="C19425" i="1"/>
  <c r="A546" i="1"/>
  <c r="B546" i="1"/>
  <c r="C546" i="1"/>
  <c r="A23194" i="1"/>
  <c r="B23194" i="1"/>
  <c r="C23194" i="1"/>
  <c r="A11799" i="1"/>
  <c r="B11799" i="1"/>
  <c r="C11799" i="1"/>
  <c r="A16336" i="1"/>
  <c r="B16336" i="1"/>
  <c r="C16336" i="1"/>
  <c r="A3415" i="1"/>
  <c r="B3415" i="1"/>
  <c r="C3415" i="1"/>
  <c r="A20623" i="1"/>
  <c r="B20623" i="1"/>
  <c r="C20623" i="1"/>
  <c r="A24855" i="1"/>
  <c r="B24855" i="1"/>
  <c r="C24855" i="1"/>
  <c r="A804" i="1"/>
  <c r="B804" i="1"/>
  <c r="C804" i="1"/>
  <c r="A811" i="1"/>
  <c r="B811" i="1"/>
  <c r="C811" i="1"/>
  <c r="A790" i="1"/>
  <c r="B790" i="1"/>
  <c r="C790" i="1"/>
  <c r="A972" i="1"/>
  <c r="B972" i="1"/>
  <c r="C972" i="1"/>
  <c r="A22123" i="1"/>
  <c r="B22123" i="1"/>
  <c r="C22123" i="1"/>
  <c r="A18862" i="1"/>
  <c r="B18862" i="1"/>
  <c r="C18862" i="1"/>
  <c r="A2867" i="1"/>
  <c r="B2867" i="1"/>
  <c r="C2867" i="1"/>
  <c r="A2524" i="1"/>
  <c r="B2524" i="1"/>
  <c r="C2524" i="1"/>
  <c r="A2523" i="1"/>
  <c r="B2523" i="1"/>
  <c r="C2523" i="1"/>
  <c r="A15747" i="1"/>
  <c r="B15747" i="1"/>
  <c r="C15747" i="1"/>
  <c r="A12047" i="1"/>
  <c r="B12047" i="1"/>
  <c r="C12047" i="1"/>
  <c r="A15151" i="1"/>
  <c r="B15151" i="1"/>
  <c r="C15151" i="1"/>
  <c r="A6182" i="1"/>
  <c r="B6182" i="1"/>
  <c r="C6182" i="1"/>
  <c r="A16897" i="1"/>
  <c r="B16897" i="1"/>
  <c r="C16897" i="1"/>
  <c r="A24251" i="1"/>
  <c r="B24251" i="1"/>
  <c r="C24251" i="1"/>
  <c r="A12281" i="1"/>
  <c r="B12281" i="1"/>
  <c r="C12281" i="1"/>
  <c r="A25486" i="1"/>
  <c r="B25486" i="1"/>
  <c r="C25486" i="1"/>
  <c r="A22981" i="1"/>
  <c r="B22981" i="1"/>
  <c r="C22981" i="1"/>
  <c r="A20193" i="1"/>
  <c r="B20193" i="1"/>
  <c r="C20193" i="1"/>
  <c r="A15262" i="1"/>
  <c r="B15262" i="1"/>
  <c r="C15262" i="1"/>
  <c r="A24810" i="1"/>
  <c r="B24810" i="1"/>
  <c r="C24810" i="1"/>
  <c r="A16468" i="1"/>
  <c r="B16468" i="1"/>
  <c r="C16468" i="1"/>
  <c r="A19616" i="1"/>
  <c r="B19616" i="1"/>
  <c r="C19616" i="1"/>
  <c r="A19627" i="1"/>
  <c r="B19627" i="1"/>
  <c r="C19627" i="1"/>
  <c r="A24814" i="1"/>
  <c r="B24814" i="1"/>
  <c r="C24814" i="1"/>
  <c r="A10665" i="1"/>
  <c r="B10665" i="1"/>
  <c r="C10665" i="1"/>
  <c r="A13444" i="1"/>
  <c r="B13444" i="1"/>
  <c r="C13444" i="1"/>
  <c r="A13445" i="1"/>
  <c r="B13445" i="1"/>
  <c r="C13445" i="1"/>
  <c r="A3374" i="1"/>
  <c r="B3374" i="1"/>
  <c r="C3374" i="1"/>
  <c r="A12827" i="1"/>
  <c r="B12827" i="1"/>
  <c r="C12827" i="1"/>
  <c r="A1967" i="1"/>
  <c r="B1967" i="1"/>
  <c r="C1967" i="1"/>
  <c r="A25575" i="1"/>
  <c r="C25575" i="1"/>
  <c r="A18395" i="1"/>
  <c r="B18395" i="1"/>
  <c r="C18395" i="1"/>
  <c r="A4311" i="1"/>
  <c r="B4311" i="1"/>
  <c r="C4311" i="1"/>
  <c r="A17182" i="1"/>
  <c r="B17182" i="1"/>
  <c r="C17182" i="1"/>
  <c r="A18735" i="1"/>
  <c r="B18735" i="1"/>
  <c r="C18735" i="1"/>
  <c r="A1504" i="1"/>
  <c r="B1504" i="1"/>
  <c r="C1504" i="1"/>
  <c r="A1588" i="1"/>
  <c r="B1588" i="1"/>
  <c r="C1588" i="1"/>
  <c r="A6392" i="1"/>
  <c r="B6392" i="1"/>
  <c r="C6392" i="1"/>
  <c r="A15323" i="1"/>
  <c r="B15323" i="1"/>
  <c r="C15323" i="1"/>
  <c r="A19093" i="1"/>
  <c r="B19093" i="1"/>
  <c r="C19093" i="1"/>
  <c r="A11803" i="1"/>
  <c r="B11803" i="1"/>
  <c r="C11803" i="1"/>
  <c r="A3521" i="1"/>
  <c r="B3521" i="1"/>
  <c r="C3521" i="1"/>
  <c r="A1503" i="1"/>
  <c r="B1503" i="1"/>
  <c r="C1503" i="1"/>
  <c r="A6795" i="1"/>
  <c r="B6795" i="1"/>
  <c r="C6795" i="1"/>
  <c r="A9003" i="1"/>
  <c r="B9003" i="1"/>
  <c r="C9003" i="1"/>
  <c r="A3795" i="1"/>
  <c r="B3795" i="1"/>
  <c r="C3795" i="1"/>
  <c r="A18597" i="1"/>
  <c r="B18597" i="1"/>
  <c r="C18597" i="1"/>
  <c r="A18598" i="1"/>
  <c r="B18598" i="1"/>
  <c r="C18598" i="1"/>
  <c r="A15353" i="1"/>
  <c r="B15353" i="1"/>
  <c r="C15353" i="1"/>
  <c r="A10203" i="1"/>
  <c r="B10203" i="1"/>
  <c r="C10203" i="1"/>
  <c r="A1367" i="1"/>
  <c r="B1367" i="1"/>
  <c r="C1367" i="1"/>
  <c r="A4842" i="1"/>
  <c r="B4842" i="1"/>
  <c r="C4842" i="1"/>
  <c r="A4841" i="1"/>
  <c r="B4841" i="1"/>
  <c r="C4841" i="1"/>
  <c r="A4843" i="1"/>
  <c r="B4843" i="1"/>
  <c r="C4843" i="1"/>
  <c r="A4844" i="1"/>
  <c r="B4844" i="1"/>
  <c r="C4844" i="1"/>
  <c r="A4853" i="1"/>
  <c r="B4853" i="1"/>
  <c r="C4853" i="1"/>
  <c r="A6981" i="1"/>
  <c r="B6981" i="1"/>
  <c r="C6981" i="1"/>
  <c r="A8823" i="1"/>
  <c r="B8823" i="1"/>
  <c r="C8823" i="1"/>
  <c r="A8824" i="1"/>
  <c r="B8824" i="1"/>
  <c r="C8824" i="1"/>
  <c r="A19908" i="1"/>
  <c r="B19908" i="1"/>
  <c r="C19908" i="1"/>
  <c r="A19917" i="1"/>
  <c r="B19917" i="1"/>
  <c r="C19917" i="1"/>
  <c r="A19902" i="1"/>
  <c r="B19902" i="1"/>
  <c r="C19902" i="1"/>
  <c r="A23766" i="1"/>
  <c r="B23766" i="1"/>
  <c r="C23766" i="1"/>
  <c r="A19730" i="1"/>
  <c r="B19730" i="1"/>
  <c r="C19730" i="1"/>
  <c r="A20818" i="1"/>
  <c r="B20818" i="1"/>
  <c r="C20818" i="1"/>
  <c r="A20806" i="1"/>
  <c r="B20806" i="1"/>
  <c r="C20806" i="1"/>
  <c r="A1648" i="1"/>
  <c r="B1648" i="1"/>
  <c r="C1648" i="1"/>
  <c r="A18778" i="1"/>
  <c r="B18778" i="1"/>
  <c r="C18778" i="1"/>
  <c r="A5116" i="1"/>
  <c r="B5116" i="1"/>
  <c r="C5116" i="1"/>
  <c r="A15360" i="1"/>
  <c r="B15360" i="1"/>
  <c r="C15360" i="1"/>
  <c r="A17262" i="1"/>
  <c r="B17262" i="1"/>
  <c r="C17262" i="1"/>
  <c r="A10781" i="1"/>
  <c r="B10781" i="1"/>
  <c r="C10781" i="1"/>
  <c r="A13316" i="1"/>
  <c r="B13316" i="1"/>
  <c r="C13316" i="1"/>
  <c r="A16949" i="1"/>
  <c r="B16949" i="1"/>
  <c r="C16949" i="1"/>
  <c r="A15634" i="1"/>
  <c r="B15634" i="1"/>
  <c r="C15634" i="1"/>
  <c r="A3826" i="1"/>
  <c r="B3826" i="1"/>
  <c r="C3826" i="1"/>
  <c r="A13205" i="1"/>
  <c r="B13205" i="1"/>
  <c r="C13205" i="1"/>
  <c r="A4800" i="1"/>
  <c r="B4800" i="1"/>
  <c r="C4800" i="1"/>
  <c r="A23205" i="1"/>
  <c r="B23205" i="1"/>
  <c r="C23205" i="1"/>
  <c r="A8553" i="1"/>
  <c r="B8553" i="1"/>
  <c r="C8553" i="1"/>
  <c r="A23284" i="1"/>
  <c r="B23284" i="1"/>
  <c r="C23284" i="1"/>
  <c r="A9828" i="1"/>
  <c r="B9828" i="1"/>
  <c r="C9828" i="1"/>
  <c r="A9813" i="1"/>
  <c r="B9813" i="1"/>
  <c r="C9813" i="1"/>
  <c r="A4873" i="1"/>
  <c r="B4873" i="1"/>
  <c r="C4873" i="1"/>
  <c r="A3915" i="1"/>
  <c r="B3915" i="1"/>
  <c r="C3915" i="1"/>
  <c r="A18362" i="1"/>
  <c r="C18362" i="1"/>
  <c r="A18360" i="1"/>
  <c r="C18360" i="1"/>
  <c r="A18359" i="1"/>
  <c r="C18359" i="1"/>
  <c r="A15773" i="1"/>
  <c r="B15773" i="1"/>
  <c r="C15773" i="1"/>
  <c r="A18358" i="1"/>
  <c r="C18358" i="1"/>
  <c r="A11560" i="1"/>
  <c r="B11560" i="1"/>
  <c r="C11560" i="1"/>
  <c r="A9540" i="1"/>
  <c r="B9540" i="1"/>
  <c r="C9540" i="1"/>
  <c r="A23034" i="1"/>
  <c r="B23034" i="1"/>
  <c r="C23034" i="1"/>
  <c r="A10489" i="1"/>
  <c r="B10489" i="1"/>
  <c r="C10489" i="1"/>
  <c r="A23334" i="1"/>
  <c r="B23334" i="1"/>
  <c r="C23334" i="1"/>
  <c r="A15070" i="1"/>
  <c r="B15070" i="1"/>
  <c r="C15070" i="1"/>
  <c r="A15072" i="1"/>
  <c r="B15072" i="1"/>
  <c r="C15072" i="1"/>
  <c r="A15068" i="1"/>
  <c r="B15068" i="1"/>
  <c r="C15068" i="1"/>
  <c r="A15067" i="1"/>
  <c r="B15067" i="1"/>
  <c r="C15067" i="1"/>
  <c r="A23986" i="1"/>
  <c r="B23986" i="1"/>
  <c r="C23986" i="1"/>
  <c r="A23987" i="1"/>
  <c r="B23987" i="1"/>
  <c r="C23987" i="1"/>
  <c r="A23889" i="1"/>
  <c r="B23889" i="1"/>
  <c r="C23889" i="1"/>
  <c r="A564" i="1"/>
  <c r="B564" i="1"/>
  <c r="C564" i="1"/>
  <c r="A13863" i="1"/>
  <c r="B13863" i="1"/>
  <c r="C13863" i="1"/>
  <c r="A21643" i="1"/>
  <c r="B21643" i="1"/>
  <c r="C21643" i="1"/>
  <c r="A14416" i="1"/>
  <c r="B14416" i="1"/>
  <c r="C14416" i="1"/>
  <c r="A13853" i="1"/>
  <c r="B13853" i="1"/>
  <c r="C13853" i="1"/>
  <c r="A14435" i="1"/>
  <c r="B14435" i="1"/>
  <c r="C14435" i="1"/>
  <c r="A14436" i="1"/>
  <c r="B14436" i="1"/>
  <c r="C14436" i="1"/>
  <c r="A14437" i="1"/>
  <c r="B14437" i="1"/>
  <c r="C14437" i="1"/>
  <c r="A25528" i="1"/>
  <c r="B25528" i="1"/>
  <c r="C25528" i="1"/>
  <c r="A9881" i="1"/>
  <c r="B9881" i="1"/>
  <c r="C9881" i="1"/>
  <c r="A23981" i="1"/>
  <c r="B23981" i="1"/>
  <c r="C23981" i="1"/>
  <c r="A25529" i="1"/>
  <c r="B25529" i="1"/>
  <c r="C25529" i="1"/>
  <c r="A8035" i="1"/>
  <c r="B8035" i="1"/>
  <c r="C8035" i="1"/>
  <c r="A11302" i="1"/>
  <c r="B11302" i="1"/>
  <c r="C11302" i="1"/>
  <c r="A6969" i="1"/>
  <c r="B6969" i="1"/>
  <c r="C6969" i="1"/>
  <c r="A13609" i="1"/>
  <c r="B13609" i="1"/>
  <c r="C13609" i="1"/>
  <c r="A13627" i="1"/>
  <c r="B13627" i="1"/>
  <c r="C13627" i="1"/>
  <c r="A13629" i="1"/>
  <c r="B13629" i="1"/>
  <c r="C13629" i="1"/>
  <c r="A13632" i="1"/>
  <c r="B13632" i="1"/>
  <c r="C13632" i="1"/>
  <c r="A15736" i="1"/>
  <c r="B15736" i="1"/>
  <c r="C15736" i="1"/>
  <c r="A11328" i="1"/>
  <c r="B11328" i="1"/>
  <c r="C11328" i="1"/>
  <c r="A18272" i="1"/>
  <c r="B18272" i="1"/>
  <c r="C18272" i="1"/>
  <c r="A1700" i="1"/>
  <c r="B1700" i="1"/>
  <c r="C1700" i="1"/>
  <c r="A15376" i="1"/>
  <c r="B15376" i="1"/>
  <c r="C15376" i="1"/>
  <c r="A10145" i="1"/>
  <c r="C10145" i="1"/>
  <c r="A10142" i="1"/>
  <c r="B10142" i="1"/>
  <c r="C10142" i="1"/>
  <c r="A15762" i="1"/>
  <c r="B15762" i="1"/>
  <c r="C15762" i="1"/>
  <c r="A18596" i="1"/>
  <c r="B18596" i="1"/>
  <c r="C18596" i="1"/>
  <c r="A21942" i="1"/>
  <c r="B21942" i="1"/>
  <c r="C21942" i="1"/>
  <c r="A19623" i="1"/>
  <c r="B19623" i="1"/>
  <c r="C19623" i="1"/>
  <c r="A19642" i="1"/>
  <c r="B19642" i="1"/>
  <c r="C19642" i="1"/>
  <c r="A13772" i="1"/>
  <c r="B13772" i="1"/>
  <c r="C13772" i="1"/>
  <c r="A15752" i="1"/>
  <c r="B15752" i="1"/>
  <c r="C15752" i="1"/>
  <c r="A20170" i="1"/>
  <c r="B20170" i="1"/>
  <c r="C20170" i="1"/>
  <c r="A16963" i="1"/>
  <c r="B16963" i="1"/>
  <c r="C16963" i="1"/>
  <c r="A21103" i="1"/>
  <c r="B21103" i="1"/>
  <c r="C21103" i="1"/>
  <c r="A6436" i="1"/>
  <c r="B6436" i="1"/>
  <c r="C6436" i="1"/>
  <c r="A6437" i="1"/>
  <c r="B6437" i="1"/>
  <c r="C6437" i="1"/>
  <c r="A6110" i="1"/>
  <c r="B6110" i="1"/>
  <c r="C6110" i="1"/>
  <c r="A6112" i="1"/>
  <c r="B6112" i="1"/>
  <c r="C6112" i="1"/>
  <c r="A16283" i="1"/>
  <c r="B16283" i="1"/>
  <c r="C16283" i="1"/>
  <c r="A10072" i="1"/>
  <c r="B10072" i="1"/>
  <c r="C10072" i="1"/>
  <c r="A11796" i="1"/>
  <c r="B11796" i="1"/>
  <c r="C11796" i="1"/>
  <c r="A4122" i="1"/>
  <c r="B4122" i="1"/>
  <c r="C4122" i="1"/>
  <c r="A19086" i="1"/>
  <c r="B19086" i="1"/>
  <c r="C19086" i="1"/>
  <c r="A16826" i="1"/>
  <c r="B16826" i="1"/>
  <c r="C16826" i="1"/>
  <c r="A7243" i="1"/>
  <c r="B7243" i="1"/>
  <c r="C7243" i="1"/>
  <c r="A7244" i="1"/>
  <c r="B7244" i="1"/>
  <c r="C7244" i="1"/>
  <c r="A5975" i="1"/>
  <c r="B5975" i="1"/>
  <c r="C5975" i="1"/>
  <c r="A22585" i="1"/>
  <c r="B22585" i="1"/>
  <c r="C22585" i="1"/>
  <c r="A22586" i="1"/>
  <c r="B22586" i="1"/>
  <c r="C22586" i="1"/>
  <c r="A22584" i="1"/>
  <c r="B22584" i="1"/>
  <c r="C22584" i="1"/>
  <c r="A22583" i="1"/>
  <c r="B22583" i="1"/>
  <c r="C22583" i="1"/>
  <c r="A17019" i="1"/>
  <c r="B17019" i="1"/>
  <c r="C17019" i="1"/>
  <c r="A23091" i="1"/>
  <c r="B23091" i="1"/>
  <c r="C23091" i="1"/>
  <c r="A23090" i="1"/>
  <c r="B23090" i="1"/>
  <c r="C23090" i="1"/>
  <c r="A19911" i="1"/>
  <c r="B19911" i="1"/>
  <c r="C19911" i="1"/>
  <c r="A16261" i="1"/>
  <c r="B16261" i="1"/>
  <c r="C16261" i="1"/>
  <c r="A21958" i="1"/>
  <c r="B21958" i="1"/>
  <c r="C21958" i="1"/>
  <c r="A6327" i="1"/>
  <c r="B6327" i="1"/>
  <c r="C6327" i="1"/>
  <c r="A10654" i="1"/>
  <c r="B10654" i="1"/>
  <c r="C10654" i="1"/>
  <c r="A5900" i="1"/>
  <c r="B5900" i="1"/>
  <c r="C5900" i="1"/>
  <c r="A250" i="1"/>
  <c r="B250" i="1"/>
  <c r="C250" i="1"/>
  <c r="A9198" i="1"/>
  <c r="B9198" i="1"/>
  <c r="C9198" i="1"/>
  <c r="A6697" i="1"/>
  <c r="B6697" i="1"/>
  <c r="C6697" i="1"/>
  <c r="A16277" i="1"/>
  <c r="B16277" i="1"/>
  <c r="C16277" i="1"/>
  <c r="A9720" i="1"/>
  <c r="B9720" i="1"/>
  <c r="C9720" i="1"/>
  <c r="A25203" i="1"/>
  <c r="B25203" i="1"/>
  <c r="C25203" i="1"/>
  <c r="A25328" i="1"/>
  <c r="B25328" i="1"/>
  <c r="C25328" i="1"/>
  <c r="A9308" i="1"/>
  <c r="B9308" i="1"/>
  <c r="C9308" i="1"/>
  <c r="A4010" i="1"/>
  <c r="B4010" i="1"/>
  <c r="C4010" i="1"/>
  <c r="A15333" i="1"/>
  <c r="B15333" i="1"/>
  <c r="C15333" i="1"/>
  <c r="A5552" i="1"/>
  <c r="B5552" i="1"/>
  <c r="C5552" i="1"/>
  <c r="A10669" i="1"/>
  <c r="B10669" i="1"/>
  <c r="C10669" i="1"/>
  <c r="A10686" i="1"/>
  <c r="B10686" i="1"/>
  <c r="C10686" i="1"/>
  <c r="A22122" i="1"/>
  <c r="B22122" i="1"/>
  <c r="C22122" i="1"/>
  <c r="A22125" i="1"/>
  <c r="B22125" i="1"/>
  <c r="C22125" i="1"/>
  <c r="A11109" i="1"/>
  <c r="B11109" i="1"/>
  <c r="C11109" i="1"/>
  <c r="A11283" i="1"/>
  <c r="B11283" i="1"/>
  <c r="C11283" i="1"/>
  <c r="A13435" i="1"/>
  <c r="B13435" i="1"/>
  <c r="C13435" i="1"/>
  <c r="A13370" i="1"/>
  <c r="B13370" i="1"/>
  <c r="C13370" i="1"/>
  <c r="A22848" i="1"/>
  <c r="B22848" i="1"/>
  <c r="C22848" i="1"/>
  <c r="A21095" i="1"/>
  <c r="B21095" i="1"/>
  <c r="C21095" i="1"/>
  <c r="A11202" i="1"/>
  <c r="B11202" i="1"/>
  <c r="C11202" i="1"/>
  <c r="A16589" i="1"/>
  <c r="B16589" i="1"/>
  <c r="C16589" i="1"/>
  <c r="A16616" i="1"/>
  <c r="B16616" i="1"/>
  <c r="C16616" i="1"/>
  <c r="A8083" i="1"/>
  <c r="B8083" i="1"/>
  <c r="C8083" i="1"/>
  <c r="A11203" i="1"/>
  <c r="B11203" i="1"/>
  <c r="C11203" i="1"/>
  <c r="A17027" i="1"/>
  <c r="B17027" i="1"/>
  <c r="C17027" i="1"/>
  <c r="A19266" i="1"/>
  <c r="B19266" i="1"/>
  <c r="C19266" i="1"/>
  <c r="A11078" i="1"/>
  <c r="B11078" i="1"/>
  <c r="C11078" i="1"/>
  <c r="A390" i="1"/>
  <c r="B390" i="1"/>
  <c r="C390" i="1"/>
  <c r="A11387" i="1"/>
  <c r="B11387" i="1"/>
  <c r="C11387" i="1"/>
  <c r="A16971" i="1"/>
  <c r="B16971" i="1"/>
  <c r="C16971" i="1"/>
  <c r="A8748" i="1"/>
  <c r="B8748" i="1"/>
  <c r="C8748" i="1"/>
  <c r="A13610" i="1"/>
  <c r="B13610" i="1"/>
  <c r="C13610" i="1"/>
  <c r="A13628" i="1"/>
  <c r="B13628" i="1"/>
  <c r="C13628" i="1"/>
  <c r="A13630" i="1"/>
  <c r="B13630" i="1"/>
  <c r="C13630" i="1"/>
  <c r="A13633" i="1"/>
  <c r="B13633" i="1"/>
  <c r="C13633" i="1"/>
  <c r="A15822" i="1"/>
  <c r="B15822" i="1"/>
  <c r="C15822" i="1"/>
  <c r="A23435" i="1"/>
  <c r="B23435" i="1"/>
  <c r="C23435" i="1"/>
  <c r="A23431" i="1"/>
  <c r="B23431" i="1"/>
  <c r="C23431" i="1"/>
  <c r="A23428" i="1"/>
  <c r="B23428" i="1"/>
  <c r="C23428" i="1"/>
  <c r="A23367" i="1"/>
  <c r="B23367" i="1"/>
  <c r="C23367" i="1"/>
  <c r="A23360" i="1"/>
  <c r="B23360" i="1"/>
  <c r="C23360" i="1"/>
  <c r="A15092" i="1"/>
  <c r="B15092" i="1"/>
  <c r="C15092" i="1"/>
  <c r="A6851" i="1"/>
  <c r="B6851" i="1"/>
  <c r="C6851" i="1"/>
  <c r="A9511" i="1"/>
  <c r="B9511" i="1"/>
  <c r="C9511" i="1"/>
  <c r="A16303" i="1"/>
  <c r="B16303" i="1"/>
  <c r="C16303" i="1"/>
  <c r="A20602" i="1"/>
  <c r="B20602" i="1"/>
  <c r="C20602" i="1"/>
  <c r="A25448" i="1"/>
  <c r="B25448" i="1"/>
  <c r="C25448" i="1"/>
  <c r="A15446" i="1"/>
  <c r="B15446" i="1"/>
  <c r="C15446" i="1"/>
  <c r="A15441" i="1"/>
  <c r="B15441" i="1"/>
  <c r="C15441" i="1"/>
  <c r="A6946" i="1"/>
  <c r="B6946" i="1"/>
  <c r="C6946" i="1"/>
  <c r="A7619" i="1"/>
  <c r="B7619" i="1"/>
  <c r="C7619" i="1"/>
  <c r="A9072" i="1"/>
  <c r="B9072" i="1"/>
  <c r="C9072" i="1"/>
  <c r="A9134" i="1"/>
  <c r="B9134" i="1"/>
  <c r="C9134" i="1"/>
  <c r="A2038" i="1"/>
  <c r="B2038" i="1"/>
  <c r="C2038" i="1"/>
  <c r="A1186" i="1"/>
  <c r="B1186" i="1"/>
  <c r="C1186" i="1"/>
  <c r="A1187" i="1"/>
  <c r="B1187" i="1"/>
  <c r="C1187" i="1"/>
  <c r="A1188" i="1"/>
  <c r="B1188" i="1"/>
  <c r="C1188" i="1"/>
  <c r="A1189" i="1"/>
  <c r="B1189" i="1"/>
  <c r="C1189" i="1"/>
  <c r="A1190" i="1"/>
  <c r="B1190" i="1"/>
  <c r="C1190" i="1"/>
  <c r="A1191" i="1"/>
  <c r="B1191" i="1"/>
  <c r="C1191" i="1"/>
  <c r="A1192" i="1"/>
  <c r="B1192" i="1"/>
  <c r="C1192" i="1"/>
  <c r="A1193" i="1"/>
  <c r="B1193" i="1"/>
  <c r="C1193" i="1"/>
  <c r="A1194" i="1"/>
  <c r="B1194" i="1"/>
  <c r="C1194" i="1"/>
  <c r="A1195" i="1"/>
  <c r="B1195" i="1"/>
  <c r="C1195" i="1"/>
  <c r="A17173" i="1"/>
  <c r="B17173" i="1"/>
  <c r="C17173" i="1"/>
  <c r="A6238" i="1"/>
  <c r="B6238" i="1"/>
  <c r="C6238" i="1"/>
  <c r="A6628" i="1"/>
  <c r="B6628" i="1"/>
  <c r="C6628" i="1"/>
  <c r="A1915" i="1"/>
  <c r="B1915" i="1"/>
  <c r="C1915" i="1"/>
  <c r="A12654" i="1"/>
  <c r="B12654" i="1"/>
  <c r="C12654" i="1"/>
  <c r="A19020" i="1"/>
  <c r="B19020" i="1"/>
  <c r="C19020" i="1"/>
  <c r="A6229" i="1"/>
  <c r="B6229" i="1"/>
  <c r="C6229" i="1"/>
  <c r="A6188" i="1"/>
  <c r="B6188" i="1"/>
  <c r="C6188" i="1"/>
  <c r="A6187" i="1"/>
  <c r="B6187" i="1"/>
  <c r="C6187" i="1"/>
  <c r="A6186" i="1"/>
  <c r="B6186" i="1"/>
  <c r="C6186" i="1"/>
  <c r="A6163" i="1"/>
  <c r="B6163" i="1"/>
  <c r="C6163" i="1"/>
  <c r="A19428" i="1"/>
  <c r="B19428" i="1"/>
  <c r="C19428" i="1"/>
  <c r="A19429" i="1"/>
  <c r="B19429" i="1"/>
  <c r="C19429" i="1"/>
  <c r="A14415" i="1"/>
  <c r="B14415" i="1"/>
  <c r="C14415" i="1"/>
  <c r="A24388" i="1"/>
  <c r="B24388" i="1"/>
  <c r="C24388" i="1"/>
  <c r="A5849" i="1"/>
  <c r="B5849" i="1"/>
  <c r="C5849" i="1"/>
  <c r="A23362" i="1"/>
  <c r="B23362" i="1"/>
  <c r="C23362" i="1"/>
  <c r="A23365" i="1"/>
  <c r="B23365" i="1"/>
  <c r="C23365" i="1"/>
  <c r="A23366" i="1"/>
  <c r="B23366" i="1"/>
  <c r="C23366" i="1"/>
  <c r="A23447" i="1"/>
  <c r="B23447" i="1"/>
  <c r="C23447" i="1"/>
  <c r="A15727" i="1"/>
  <c r="B15727" i="1"/>
  <c r="C15727" i="1"/>
  <c r="A16170" i="1"/>
  <c r="B16170" i="1"/>
  <c r="C16170" i="1"/>
  <c r="A16918" i="1"/>
  <c r="B16918" i="1"/>
  <c r="C16918" i="1"/>
  <c r="A10435" i="1"/>
  <c r="B10435" i="1"/>
  <c r="C10435" i="1"/>
  <c r="A15735" i="1"/>
  <c r="B15735" i="1"/>
  <c r="C15735" i="1"/>
  <c r="A16625" i="1"/>
  <c r="B16625" i="1"/>
  <c r="C16625" i="1"/>
  <c r="A18841" i="1"/>
  <c r="B18841" i="1"/>
  <c r="C18841" i="1"/>
  <c r="A11617" i="1"/>
  <c r="B11617" i="1"/>
  <c r="C11617" i="1"/>
  <c r="A19922" i="1"/>
  <c r="B19922" i="1"/>
  <c r="C19922" i="1"/>
  <c r="A25447" i="1"/>
  <c r="B25447" i="1"/>
  <c r="C25447" i="1"/>
  <c r="A20992" i="1"/>
  <c r="B20992" i="1"/>
  <c r="C20992" i="1"/>
  <c r="A14133" i="1"/>
  <c r="B14133" i="1"/>
  <c r="C14133" i="1"/>
  <c r="A11489" i="1"/>
  <c r="B11489" i="1"/>
  <c r="C11489" i="1"/>
  <c r="A21941" i="1"/>
  <c r="B21941" i="1"/>
  <c r="C21941" i="1"/>
  <c r="A2834" i="1"/>
  <c r="B2834" i="1"/>
  <c r="C2834" i="1"/>
  <c r="A10150" i="1"/>
  <c r="B10150" i="1"/>
  <c r="C10150" i="1"/>
  <c r="A24566" i="1"/>
  <c r="B24566" i="1"/>
  <c r="C24566" i="1"/>
  <c r="A2291" i="1"/>
  <c r="B2291" i="1"/>
  <c r="C2291" i="1"/>
  <c r="A9128" i="1"/>
  <c r="B9128" i="1"/>
  <c r="C9128" i="1"/>
  <c r="A7603" i="1"/>
  <c r="B7603" i="1"/>
  <c r="C7603" i="1"/>
  <c r="A9742" i="1"/>
  <c r="B9742" i="1"/>
  <c r="C9742" i="1"/>
  <c r="A14627" i="1"/>
  <c r="B14627" i="1"/>
  <c r="C14627" i="1"/>
  <c r="A1397" i="1"/>
  <c r="B1397" i="1"/>
  <c r="C1397" i="1"/>
  <c r="A176" i="1"/>
  <c r="B176" i="1"/>
  <c r="C176" i="1"/>
  <c r="A7910" i="1"/>
  <c r="B7910" i="1"/>
  <c r="C7910" i="1"/>
  <c r="A20669" i="1"/>
  <c r="B20669" i="1"/>
  <c r="C20669" i="1"/>
  <c r="A17813" i="1"/>
  <c r="B17813" i="1"/>
  <c r="C17813" i="1"/>
  <c r="A21931" i="1"/>
  <c r="B21931" i="1"/>
  <c r="C21931" i="1"/>
  <c r="A21461" i="1"/>
  <c r="B21461" i="1"/>
  <c r="C21461" i="1"/>
  <c r="A10066" i="1"/>
  <c r="B10066" i="1"/>
  <c r="C10066" i="1"/>
  <c r="A10754" i="1"/>
  <c r="B10754" i="1"/>
  <c r="C10754" i="1"/>
  <c r="A10751" i="1"/>
  <c r="B10751" i="1"/>
  <c r="C10751" i="1"/>
  <c r="A16333" i="1"/>
  <c r="B16333" i="1"/>
  <c r="C16333" i="1"/>
  <c r="A853" i="1"/>
  <c r="C853" i="1"/>
  <c r="A19253" i="1"/>
  <c r="B19253" i="1"/>
  <c r="C19253" i="1"/>
  <c r="A19258" i="1"/>
  <c r="B19258" i="1"/>
  <c r="C19258" i="1"/>
  <c r="A6923" i="1"/>
  <c r="B6923" i="1"/>
  <c r="C6923" i="1"/>
  <c r="A14185" i="1"/>
  <c r="B14185" i="1"/>
  <c r="C14185" i="1"/>
  <c r="A24463" i="1"/>
  <c r="B24463" i="1"/>
  <c r="C24463" i="1"/>
  <c r="A9256" i="1"/>
  <c r="B9256" i="1"/>
  <c r="C9256" i="1"/>
  <c r="A6613" i="1"/>
  <c r="B6613" i="1"/>
  <c r="C6613" i="1"/>
  <c r="A13453" i="1"/>
  <c r="B13453" i="1"/>
  <c r="C13453" i="1"/>
  <c r="A20600" i="1"/>
  <c r="B20600" i="1"/>
  <c r="C20600" i="1"/>
  <c r="A20601" i="1"/>
  <c r="B20601" i="1"/>
  <c r="C20601" i="1"/>
  <c r="A25643" i="1"/>
  <c r="B25643" i="1"/>
  <c r="C25643" i="1"/>
  <c r="A5538" i="1"/>
  <c r="B5538" i="1"/>
  <c r="C5538" i="1"/>
  <c r="A4874" i="1"/>
  <c r="B4874" i="1"/>
  <c r="C4874" i="1"/>
  <c r="A15088" i="1"/>
  <c r="B15088" i="1"/>
  <c r="C15088" i="1"/>
  <c r="A6951" i="1"/>
  <c r="B6951" i="1"/>
  <c r="C6951" i="1"/>
  <c r="A11562" i="1"/>
  <c r="B11562" i="1"/>
  <c r="C11562" i="1"/>
  <c r="A21476" i="1"/>
  <c r="B21476" i="1"/>
  <c r="C21476" i="1"/>
  <c r="A7932" i="1"/>
  <c r="B7932" i="1"/>
  <c r="C7932" i="1"/>
  <c r="A16168" i="1"/>
  <c r="B16168" i="1"/>
  <c r="C16168" i="1"/>
  <c r="A23347" i="1"/>
  <c r="B23347" i="1"/>
  <c r="C23347" i="1"/>
  <c r="A9425" i="1"/>
  <c r="B9425" i="1"/>
  <c r="C9425" i="1"/>
  <c r="A15169" i="1"/>
  <c r="B15169" i="1"/>
  <c r="C15169" i="1"/>
  <c r="A8981" i="1"/>
  <c r="B8981" i="1"/>
  <c r="C8981" i="1"/>
  <c r="A8980" i="1"/>
  <c r="B8980" i="1"/>
  <c r="C8980" i="1"/>
  <c r="A19918" i="1"/>
  <c r="B19918" i="1"/>
  <c r="C19918" i="1"/>
  <c r="A2563" i="1"/>
  <c r="B2563" i="1"/>
  <c r="C2563" i="1"/>
  <c r="A19782" i="1"/>
  <c r="B19782" i="1"/>
  <c r="C19782" i="1"/>
  <c r="A17039" i="1"/>
  <c r="B17039" i="1"/>
  <c r="C17039" i="1"/>
  <c r="A20945" i="1"/>
  <c r="B20945" i="1"/>
  <c r="C20945" i="1"/>
  <c r="A20943" i="1"/>
  <c r="B20943" i="1"/>
  <c r="C20943" i="1"/>
  <c r="A6959" i="1"/>
  <c r="B6959" i="1"/>
  <c r="C6959" i="1"/>
  <c r="A6622" i="1"/>
  <c r="B6622" i="1"/>
  <c r="C6622" i="1"/>
  <c r="A21677" i="1"/>
  <c r="B21677" i="1"/>
  <c r="C21677" i="1"/>
  <c r="A19505" i="1"/>
  <c r="B19505" i="1"/>
  <c r="C19505" i="1"/>
  <c r="A19506" i="1"/>
  <c r="B19506" i="1"/>
  <c r="C19506" i="1"/>
  <c r="A5362" i="1"/>
  <c r="B5362" i="1"/>
  <c r="C5362" i="1"/>
  <c r="A5348" i="1"/>
  <c r="B5348" i="1"/>
  <c r="C5348" i="1"/>
  <c r="A5347" i="1"/>
  <c r="B5347" i="1"/>
  <c r="C5347" i="1"/>
  <c r="A12823" i="1"/>
  <c r="B12823" i="1"/>
  <c r="C12823" i="1"/>
  <c r="A21783" i="1"/>
  <c r="B21783" i="1"/>
  <c r="C21783" i="1"/>
  <c r="A5224" i="1"/>
  <c r="B5224" i="1"/>
  <c r="C5224" i="1"/>
  <c r="A23855" i="1"/>
  <c r="B23855" i="1"/>
  <c r="C23855" i="1"/>
  <c r="A25492" i="1"/>
  <c r="B25492" i="1"/>
  <c r="C25492" i="1"/>
  <c r="A12613" i="1"/>
  <c r="B12613" i="1"/>
  <c r="C12613" i="1"/>
  <c r="A5798" i="1"/>
  <c r="B5798" i="1"/>
  <c r="C5798" i="1"/>
  <c r="A5787" i="1"/>
  <c r="B5787" i="1"/>
  <c r="C5787" i="1"/>
  <c r="A5109" i="1"/>
  <c r="B5109" i="1"/>
  <c r="C5109" i="1"/>
  <c r="A5110" i="1"/>
  <c r="B5110" i="1"/>
  <c r="C5110" i="1"/>
  <c r="A5108" i="1"/>
  <c r="B5108" i="1"/>
  <c r="C5108" i="1"/>
  <c r="A3296" i="1"/>
  <c r="B3296" i="1"/>
  <c r="C3296" i="1"/>
  <c r="A3287" i="1"/>
  <c r="B3287" i="1"/>
  <c r="C3287" i="1"/>
  <c r="A3384" i="1"/>
  <c r="B3384" i="1"/>
  <c r="C3384" i="1"/>
  <c r="A2832" i="1"/>
  <c r="B2832" i="1"/>
  <c r="C2832" i="1"/>
  <c r="A17544" i="1"/>
  <c r="B17544" i="1"/>
  <c r="C17544" i="1"/>
  <c r="A24624" i="1"/>
  <c r="B24624" i="1"/>
  <c r="C24624" i="1"/>
  <c r="A8323" i="1"/>
  <c r="B8323" i="1"/>
  <c r="C8323" i="1"/>
  <c r="A8261" i="1"/>
  <c r="B8261" i="1"/>
  <c r="C8261" i="1"/>
  <c r="A8262" i="1"/>
  <c r="B8262" i="1"/>
  <c r="C8262" i="1"/>
  <c r="A22801" i="1"/>
  <c r="B22801" i="1"/>
  <c r="C22801" i="1"/>
  <c r="A22802" i="1"/>
  <c r="B22802" i="1"/>
  <c r="C22802" i="1"/>
  <c r="A3789" i="1"/>
  <c r="B3789" i="1"/>
  <c r="C3789" i="1"/>
  <c r="A15683" i="1"/>
  <c r="B15683" i="1"/>
  <c r="C15683" i="1"/>
  <c r="A25513" i="1"/>
  <c r="B25513" i="1"/>
  <c r="C25513" i="1"/>
  <c r="A1889" i="1"/>
  <c r="B1889" i="1"/>
  <c r="C1889" i="1"/>
  <c r="A15382" i="1"/>
  <c r="B15382" i="1"/>
  <c r="C15382" i="1"/>
  <c r="A15905" i="1"/>
  <c r="B15905" i="1"/>
  <c r="C15905" i="1"/>
  <c r="A455" i="1"/>
  <c r="B455" i="1"/>
  <c r="C455" i="1"/>
  <c r="A25679" i="1"/>
  <c r="B25679" i="1"/>
  <c r="C25679" i="1"/>
  <c r="A10580" i="1"/>
  <c r="B10580" i="1"/>
  <c r="C10580" i="1"/>
  <c r="A20630" i="1"/>
  <c r="B20630" i="1"/>
  <c r="C20630" i="1"/>
  <c r="A6281" i="1"/>
  <c r="B6281" i="1"/>
  <c r="C6281" i="1"/>
  <c r="A17138" i="1"/>
  <c r="B17138" i="1"/>
  <c r="C17138" i="1"/>
  <c r="A533" i="1"/>
  <c r="B533" i="1"/>
  <c r="C533" i="1"/>
  <c r="A13213" i="1"/>
  <c r="B13213" i="1"/>
  <c r="C13213" i="1"/>
  <c r="A5974" i="1"/>
  <c r="B5974" i="1"/>
  <c r="C5974" i="1"/>
  <c r="A10750" i="1"/>
  <c r="B10750" i="1"/>
  <c r="C10750" i="1"/>
  <c r="A10753" i="1"/>
  <c r="B10753" i="1"/>
  <c r="C10753" i="1"/>
  <c r="A11810" i="1"/>
  <c r="B11810" i="1"/>
  <c r="C11810" i="1"/>
  <c r="A11811" i="1"/>
  <c r="B11811" i="1"/>
  <c r="C11811" i="1"/>
  <c r="A19667" i="1"/>
  <c r="B19667" i="1"/>
  <c r="C19667" i="1"/>
  <c r="A24628" i="1"/>
  <c r="B24628" i="1"/>
  <c r="C24628" i="1"/>
  <c r="A17028" i="1"/>
  <c r="B17028" i="1"/>
  <c r="C17028" i="1"/>
  <c r="A16915" i="1"/>
  <c r="B16915" i="1"/>
  <c r="C16915" i="1"/>
  <c r="A20836" i="1"/>
  <c r="B20836" i="1"/>
  <c r="C20836" i="1"/>
  <c r="A20538" i="1"/>
  <c r="B20538" i="1"/>
  <c r="C20538" i="1"/>
  <c r="A11969" i="1"/>
  <c r="B11969" i="1"/>
  <c r="C11969" i="1"/>
  <c r="A16377" i="1"/>
  <c r="B16377" i="1"/>
  <c r="C16377" i="1"/>
  <c r="A3704" i="1"/>
  <c r="B3704" i="1"/>
  <c r="C3704" i="1"/>
  <c r="A11808" i="1"/>
  <c r="B11808" i="1"/>
  <c r="C11808" i="1"/>
  <c r="A17728" i="1"/>
  <c r="B17728" i="1"/>
  <c r="C17728" i="1"/>
  <c r="A21058" i="1"/>
  <c r="B21058" i="1"/>
  <c r="C21058" i="1"/>
  <c r="A23035" i="1"/>
  <c r="C23035" i="1"/>
  <c r="A15069" i="1"/>
  <c r="B15069" i="1"/>
  <c r="C15069" i="1"/>
  <c r="A9765" i="1"/>
  <c r="B9765" i="1"/>
  <c r="C9765" i="1"/>
  <c r="A15732" i="1"/>
  <c r="B15732" i="1"/>
  <c r="C15732" i="1"/>
  <c r="A21915" i="1"/>
  <c r="B21915" i="1"/>
  <c r="C21915" i="1"/>
  <c r="A2969" i="1"/>
  <c r="B2969" i="1"/>
  <c r="C2969" i="1"/>
  <c r="A14481" i="1"/>
  <c r="B14481" i="1"/>
  <c r="C14481" i="1"/>
  <c r="A20179" i="1"/>
  <c r="B20179" i="1"/>
  <c r="C20179" i="1"/>
  <c r="A2786" i="1"/>
  <c r="B2786" i="1"/>
  <c r="C2786" i="1"/>
  <c r="A17655" i="1"/>
  <c r="B17655" i="1"/>
  <c r="C17655" i="1"/>
  <c r="A17442" i="1"/>
  <c r="B17442" i="1"/>
  <c r="C17442" i="1"/>
  <c r="A6012" i="1"/>
  <c r="B6012" i="1"/>
  <c r="C6012" i="1"/>
  <c r="A9846" i="1"/>
  <c r="B9846" i="1"/>
  <c r="C9846" i="1"/>
  <c r="A5589" i="1"/>
  <c r="B5589" i="1"/>
  <c r="C5589" i="1"/>
  <c r="A12450" i="1"/>
  <c r="B12450" i="1"/>
  <c r="C12450" i="1"/>
  <c r="A15635" i="1"/>
  <c r="B15635" i="1"/>
  <c r="C15635" i="1"/>
  <c r="A5626" i="1"/>
  <c r="B5626" i="1"/>
  <c r="C5626" i="1"/>
  <c r="A21879" i="1"/>
  <c r="B21879" i="1"/>
  <c r="C21879" i="1"/>
  <c r="A4180" i="1"/>
  <c r="B4180" i="1"/>
  <c r="C4180" i="1"/>
  <c r="A18206" i="1"/>
  <c r="B18206" i="1"/>
  <c r="C18206" i="1"/>
  <c r="A5902" i="1"/>
  <c r="B5902" i="1"/>
  <c r="C5902" i="1"/>
  <c r="A5906" i="1"/>
  <c r="B5906" i="1"/>
  <c r="C5906" i="1"/>
  <c r="A3620" i="1"/>
  <c r="B3620" i="1"/>
  <c r="C3620" i="1"/>
  <c r="A5715" i="1"/>
  <c r="B5715" i="1"/>
  <c r="C5715" i="1"/>
  <c r="A8968" i="1"/>
  <c r="B8968" i="1"/>
  <c r="C8968" i="1"/>
  <c r="A11281" i="1"/>
  <c r="B11281" i="1"/>
  <c r="C11281" i="1"/>
  <c r="A14938" i="1"/>
  <c r="B14938" i="1"/>
  <c r="C14938" i="1"/>
  <c r="A16096" i="1"/>
  <c r="B16096" i="1"/>
  <c r="C16096" i="1"/>
  <c r="A13345" i="1"/>
  <c r="B13345" i="1"/>
  <c r="C13345" i="1"/>
  <c r="A16117" i="1"/>
  <c r="B16117" i="1"/>
  <c r="C16117" i="1"/>
  <c r="A20846" i="1"/>
  <c r="B20846" i="1"/>
  <c r="C20846" i="1"/>
  <c r="A20875" i="1"/>
  <c r="B20875" i="1"/>
  <c r="C20875" i="1"/>
  <c r="A20562" i="1"/>
  <c r="B20562" i="1"/>
  <c r="C20562" i="1"/>
  <c r="A13339" i="1"/>
  <c r="B13339" i="1"/>
  <c r="C13339" i="1"/>
  <c r="A25271" i="1"/>
  <c r="B25271" i="1"/>
  <c r="C25271" i="1"/>
  <c r="A9260" i="1"/>
  <c r="B9260" i="1"/>
  <c r="C9260" i="1"/>
  <c r="A19515" i="1"/>
  <c r="B19515" i="1"/>
  <c r="C19515" i="1"/>
  <c r="A7726" i="1"/>
  <c r="B7726" i="1"/>
  <c r="C7726" i="1"/>
  <c r="A1743" i="1"/>
  <c r="B1743" i="1"/>
  <c r="C1743" i="1"/>
  <c r="A6489" i="1"/>
  <c r="B6489" i="1"/>
  <c r="C6489" i="1"/>
  <c r="A2296" i="1"/>
  <c r="B2296" i="1"/>
  <c r="C2296" i="1"/>
  <c r="A25120" i="1"/>
  <c r="B25120" i="1"/>
  <c r="C25120" i="1"/>
  <c r="A2569" i="1"/>
  <c r="B2569" i="1"/>
  <c r="C2569" i="1"/>
  <c r="A2568" i="1"/>
  <c r="B2568" i="1"/>
  <c r="C2568" i="1"/>
  <c r="A13971" i="1"/>
  <c r="B13971" i="1"/>
  <c r="C13971" i="1"/>
  <c r="A5496" i="1"/>
  <c r="B5496" i="1"/>
  <c r="C5496" i="1"/>
  <c r="A13214" i="1"/>
  <c r="B13214" i="1"/>
  <c r="C13214" i="1"/>
  <c r="A13209" i="1"/>
  <c r="B13209" i="1"/>
  <c r="C13209" i="1"/>
  <c r="A23425" i="1"/>
  <c r="B23425" i="1"/>
  <c r="C23425" i="1"/>
  <c r="A11998" i="1"/>
  <c r="B11998" i="1"/>
  <c r="C11998" i="1"/>
  <c r="A4065" i="1"/>
  <c r="B4065" i="1"/>
  <c r="C4065" i="1"/>
  <c r="A20837" i="1"/>
  <c r="B20837" i="1"/>
  <c r="C20837" i="1"/>
  <c r="A20913" i="1"/>
  <c r="B20913" i="1"/>
  <c r="C20913" i="1"/>
  <c r="A1912" i="1"/>
  <c r="B1912" i="1"/>
  <c r="C1912" i="1"/>
  <c r="A24244" i="1"/>
  <c r="B24244" i="1"/>
  <c r="C24244" i="1"/>
  <c r="A5825" i="1"/>
  <c r="B5825" i="1"/>
  <c r="C5825" i="1"/>
  <c r="A4771" i="1"/>
  <c r="B4771" i="1"/>
  <c r="C4771" i="1"/>
  <c r="A12766" i="1"/>
  <c r="B12766" i="1"/>
  <c r="C12766" i="1"/>
  <c r="A5455" i="1"/>
  <c r="B5455" i="1"/>
  <c r="C5455" i="1"/>
  <c r="A8868" i="1"/>
  <c r="B8868" i="1"/>
  <c r="C8868" i="1"/>
  <c r="A16620" i="1"/>
  <c r="B16620" i="1"/>
  <c r="C16620" i="1"/>
  <c r="A19618" i="1"/>
  <c r="B19618" i="1"/>
  <c r="C19618" i="1"/>
  <c r="A5342" i="1"/>
  <c r="B5342" i="1"/>
  <c r="C5342" i="1"/>
  <c r="A11346" i="1"/>
  <c r="B11346" i="1"/>
  <c r="C11346" i="1"/>
  <c r="A2251" i="1"/>
  <c r="B2251" i="1"/>
  <c r="C2251" i="1"/>
  <c r="A12445" i="1"/>
  <c r="B12445" i="1"/>
  <c r="C12445" i="1"/>
  <c r="A10213" i="1"/>
  <c r="B10213" i="1"/>
  <c r="C10213" i="1"/>
  <c r="A49" i="1"/>
  <c r="B49" i="1"/>
  <c r="C49" i="1"/>
  <c r="A1015" i="1"/>
  <c r="B1015" i="1"/>
  <c r="C1015" i="1"/>
  <c r="A1012" i="1"/>
  <c r="B1012" i="1"/>
  <c r="C1012" i="1"/>
  <c r="A1025" i="1"/>
  <c r="B1025" i="1"/>
  <c r="C1025" i="1"/>
  <c r="A1011" i="1"/>
  <c r="B1011" i="1"/>
  <c r="C1011" i="1"/>
  <c r="A12796" i="1"/>
  <c r="B12796" i="1"/>
  <c r="C12796" i="1"/>
  <c r="A15174" i="1"/>
  <c r="B15174" i="1"/>
  <c r="C15174" i="1"/>
  <c r="A23036" i="1"/>
  <c r="B23036" i="1"/>
  <c r="C23036" i="1"/>
  <c r="A1355" i="1"/>
  <c r="B1355" i="1"/>
  <c r="C1355" i="1"/>
  <c r="A3544" i="1"/>
  <c r="C3544" i="1"/>
  <c r="A24808" i="1"/>
  <c r="B24808" i="1"/>
  <c r="C24808" i="1"/>
  <c r="A23219" i="1"/>
  <c r="B23219" i="1"/>
  <c r="C23219" i="1"/>
  <c r="A19759" i="1"/>
  <c r="B19759" i="1"/>
  <c r="C19759" i="1"/>
  <c r="A14734" i="1"/>
  <c r="B14734" i="1"/>
  <c r="C14734" i="1"/>
  <c r="A3499" i="1"/>
  <c r="B3499" i="1"/>
  <c r="C3499" i="1"/>
  <c r="A5762" i="1"/>
  <c r="B5762" i="1"/>
  <c r="C5762" i="1"/>
  <c r="A7711" i="1"/>
  <c r="B7711" i="1"/>
  <c r="C7711" i="1"/>
  <c r="A14118" i="1"/>
  <c r="B14118" i="1"/>
  <c r="C14118" i="1"/>
  <c r="A20223" i="1"/>
  <c r="B20223" i="1"/>
  <c r="C20223" i="1"/>
  <c r="A25031" i="1"/>
  <c r="B25031" i="1"/>
  <c r="C25031" i="1"/>
  <c r="A19072" i="1"/>
  <c r="B19072" i="1"/>
  <c r="C19072" i="1"/>
  <c r="A24710" i="1"/>
  <c r="B24710" i="1"/>
  <c r="C24710" i="1"/>
  <c r="A14870" i="1"/>
  <c r="B14870" i="1"/>
  <c r="C14870" i="1"/>
  <c r="A3891" i="1"/>
  <c r="B3891" i="1"/>
  <c r="C3891" i="1"/>
  <c r="A5433" i="1"/>
  <c r="B5433" i="1"/>
  <c r="C5433" i="1"/>
  <c r="A17304" i="1"/>
  <c r="B17304" i="1"/>
  <c r="C17304" i="1"/>
  <c r="A17306" i="1"/>
  <c r="B17306" i="1"/>
  <c r="C17306" i="1"/>
  <c r="A4667" i="1"/>
  <c r="B4667" i="1"/>
  <c r="C4667" i="1"/>
  <c r="A4668" i="1"/>
  <c r="B4668" i="1"/>
  <c r="C4668" i="1"/>
  <c r="A4665" i="1"/>
  <c r="B4665" i="1"/>
  <c r="C4665" i="1"/>
  <c r="A4670" i="1"/>
  <c r="B4670" i="1"/>
  <c r="C4670" i="1"/>
  <c r="A4671" i="1"/>
  <c r="B4671" i="1"/>
  <c r="C4671" i="1"/>
  <c r="A4669" i="1"/>
  <c r="B4669" i="1"/>
  <c r="C4669" i="1"/>
  <c r="A4666" i="1"/>
  <c r="B4666" i="1"/>
  <c r="C4666" i="1"/>
  <c r="A4655" i="1"/>
  <c r="B4655" i="1"/>
  <c r="C4655" i="1"/>
  <c r="A4656" i="1"/>
  <c r="B4656" i="1"/>
  <c r="C4656" i="1"/>
  <c r="A4658" i="1"/>
  <c r="B4658" i="1"/>
  <c r="C4658" i="1"/>
  <c r="A4659" i="1"/>
  <c r="B4659" i="1"/>
  <c r="C4659" i="1"/>
  <c r="A4657" i="1"/>
  <c r="B4657" i="1"/>
  <c r="C4657" i="1"/>
  <c r="A4660" i="1"/>
  <c r="B4660" i="1"/>
  <c r="C4660" i="1"/>
  <c r="A4917" i="1"/>
  <c r="B4917" i="1"/>
  <c r="C4917" i="1"/>
  <c r="A4915" i="1"/>
  <c r="B4915" i="1"/>
  <c r="C4915" i="1"/>
  <c r="A4913" i="1"/>
  <c r="B4913" i="1"/>
  <c r="C4913" i="1"/>
  <c r="A4914" i="1"/>
  <c r="B4914" i="1"/>
  <c r="C4914" i="1"/>
  <c r="A4918" i="1"/>
  <c r="B4918" i="1"/>
  <c r="C4918" i="1"/>
  <c r="A23147" i="1"/>
  <c r="B23147" i="1"/>
  <c r="C23147" i="1"/>
  <c r="A4916" i="1"/>
  <c r="B4916" i="1"/>
  <c r="C4916" i="1"/>
  <c r="A4919" i="1"/>
  <c r="B4919" i="1"/>
  <c r="C4919" i="1"/>
  <c r="A5162" i="1"/>
  <c r="B5162" i="1"/>
  <c r="C5162" i="1"/>
  <c r="A5165" i="1"/>
  <c r="B5165" i="1"/>
  <c r="C5165" i="1"/>
  <c r="A6695" i="1"/>
  <c r="B6695" i="1"/>
  <c r="C6695" i="1"/>
  <c r="A1924" i="1"/>
  <c r="B1924" i="1"/>
  <c r="C1924" i="1"/>
  <c r="A18431" i="1"/>
  <c r="B18431" i="1"/>
  <c r="C18431" i="1"/>
  <c r="A12529" i="1"/>
  <c r="B12529" i="1"/>
  <c r="C12529" i="1"/>
  <c r="A7453" i="1"/>
  <c r="B7453" i="1"/>
  <c r="C7453" i="1"/>
  <c r="A7469" i="1"/>
  <c r="B7469" i="1"/>
  <c r="C7469" i="1"/>
  <c r="A7501" i="1"/>
  <c r="B7501" i="1"/>
  <c r="C7501" i="1"/>
  <c r="A12825" i="1"/>
  <c r="B12825" i="1"/>
  <c r="C12825" i="1"/>
  <c r="A17804" i="1"/>
  <c r="B17804" i="1"/>
  <c r="C17804" i="1"/>
  <c r="A12283" i="1"/>
  <c r="B12283" i="1"/>
  <c r="C12283" i="1"/>
  <c r="A14568" i="1"/>
  <c r="B14568" i="1"/>
  <c r="C14568" i="1"/>
  <c r="A21648" i="1"/>
  <c r="B21648" i="1"/>
  <c r="C21648" i="1"/>
  <c r="A15087" i="1"/>
  <c r="B15087" i="1"/>
  <c r="C15087" i="1"/>
  <c r="A15100" i="1"/>
  <c r="B15100" i="1"/>
  <c r="C15100" i="1"/>
  <c r="A24658" i="1"/>
  <c r="B24658" i="1"/>
  <c r="C24658" i="1"/>
  <c r="A17502" i="1"/>
  <c r="B17502" i="1"/>
  <c r="C17502" i="1"/>
  <c r="A7705" i="1"/>
  <c r="B7705" i="1"/>
  <c r="C7705" i="1"/>
  <c r="A13290" i="1"/>
  <c r="B13290" i="1"/>
  <c r="C13290" i="1"/>
  <c r="A13289" i="1"/>
  <c r="B13289" i="1"/>
  <c r="C13289" i="1"/>
  <c r="A6966" i="1"/>
  <c r="B6966" i="1"/>
  <c r="C6966" i="1"/>
  <c r="A13762" i="1"/>
  <c r="B13762" i="1"/>
  <c r="C13762" i="1"/>
  <c r="A12801" i="1"/>
  <c r="B12801" i="1"/>
  <c r="C12801" i="1"/>
  <c r="A23436" i="1"/>
  <c r="B23436" i="1"/>
  <c r="C23436" i="1"/>
  <c r="A8427" i="1"/>
  <c r="B8427" i="1"/>
  <c r="C8427" i="1"/>
  <c r="A18424" i="1"/>
  <c r="B18424" i="1"/>
  <c r="C18424" i="1"/>
  <c r="A25715" i="1"/>
  <c r="B25715" i="1"/>
  <c r="C25715" i="1"/>
  <c r="A25629" i="1"/>
  <c r="B25629" i="1"/>
  <c r="C25629" i="1"/>
  <c r="A10321" i="1"/>
  <c r="B10321" i="1"/>
  <c r="C10321" i="1"/>
  <c r="A10322" i="1"/>
  <c r="B10322" i="1"/>
  <c r="C10322" i="1"/>
  <c r="A24243" i="1"/>
  <c r="B24243" i="1"/>
  <c r="C24243" i="1"/>
  <c r="A21897" i="1"/>
  <c r="B21897" i="1"/>
  <c r="C21897" i="1"/>
  <c r="A2313" i="1"/>
  <c r="B2313" i="1"/>
  <c r="C2313" i="1"/>
  <c r="A3706" i="1"/>
  <c r="B3706" i="1"/>
  <c r="C3706" i="1"/>
  <c r="A21646" i="1"/>
  <c r="B21646" i="1"/>
  <c r="C21646" i="1"/>
  <c r="A21890" i="1"/>
  <c r="B21890" i="1"/>
  <c r="C21890" i="1"/>
  <c r="A342" i="1"/>
  <c r="B342" i="1"/>
  <c r="C342" i="1"/>
  <c r="A3172" i="1"/>
  <c r="B3172" i="1"/>
  <c r="C3172" i="1"/>
  <c r="A22182" i="1"/>
  <c r="B22182" i="1"/>
  <c r="C22182" i="1"/>
  <c r="A6385" i="1"/>
  <c r="B6385" i="1"/>
  <c r="C6385" i="1"/>
  <c r="A13193" i="1"/>
  <c r="B13193" i="1"/>
  <c r="C13193" i="1"/>
  <c r="A18628" i="1"/>
  <c r="B18628" i="1"/>
  <c r="C18628" i="1"/>
  <c r="A9818" i="1"/>
  <c r="B9818" i="1"/>
  <c r="C9818" i="1"/>
  <c r="A14420" i="1"/>
  <c r="B14420" i="1"/>
  <c r="C14420" i="1"/>
  <c r="A19761" i="1"/>
  <c r="B19761" i="1"/>
  <c r="C19761" i="1"/>
  <c r="A24161" i="1"/>
  <c r="B24161" i="1"/>
  <c r="C24161" i="1"/>
  <c r="A4248" i="1"/>
  <c r="B4248" i="1"/>
  <c r="C4248" i="1"/>
  <c r="A5922" i="1"/>
  <c r="B5922" i="1"/>
  <c r="C5922" i="1"/>
  <c r="A5923" i="1"/>
  <c r="B5923" i="1"/>
  <c r="C5923" i="1"/>
  <c r="A5919" i="1"/>
  <c r="B5919" i="1"/>
  <c r="C5919" i="1"/>
  <c r="A5920" i="1"/>
  <c r="B5920" i="1"/>
  <c r="C5920" i="1"/>
  <c r="A24019" i="1"/>
  <c r="B24019" i="1"/>
  <c r="C24019" i="1"/>
  <c r="A581" i="1"/>
  <c r="B581" i="1"/>
  <c r="C581" i="1"/>
  <c r="A6235" i="1"/>
  <c r="B6235" i="1"/>
  <c r="C6235" i="1"/>
  <c r="A6001" i="1"/>
  <c r="B6001" i="1"/>
  <c r="C6001" i="1"/>
  <c r="A6002" i="1"/>
  <c r="B6002" i="1"/>
  <c r="C6002" i="1"/>
  <c r="A6003" i="1"/>
  <c r="B6003" i="1"/>
  <c r="C6003" i="1"/>
  <c r="A6000" i="1"/>
  <c r="B6000" i="1"/>
  <c r="C6000" i="1"/>
  <c r="A21814" i="1"/>
  <c r="B21814" i="1"/>
  <c r="C21814" i="1"/>
  <c r="A14297" i="1"/>
  <c r="B14297" i="1"/>
  <c r="C14297" i="1"/>
  <c r="A253" i="1"/>
  <c r="B253" i="1"/>
  <c r="C253" i="1"/>
  <c r="A4932" i="1"/>
  <c r="B4932" i="1"/>
  <c r="C4932" i="1"/>
  <c r="A17940" i="1"/>
  <c r="B17940" i="1"/>
  <c r="C17940" i="1"/>
  <c r="A17937" i="1"/>
  <c r="B17937" i="1"/>
  <c r="C17937" i="1"/>
  <c r="A1785" i="1"/>
  <c r="B1785" i="1"/>
  <c r="C1785" i="1"/>
  <c r="A21466" i="1"/>
  <c r="B21466" i="1"/>
  <c r="C21466" i="1"/>
  <c r="A15397" i="1"/>
  <c r="B15397" i="1"/>
  <c r="C15397" i="1"/>
  <c r="A4981" i="1"/>
  <c r="B4981" i="1"/>
  <c r="C4981" i="1"/>
  <c r="A4980" i="1"/>
  <c r="B4980" i="1"/>
  <c r="C4980" i="1"/>
  <c r="A5145" i="1"/>
  <c r="B5145" i="1"/>
  <c r="C5145" i="1"/>
  <c r="A5144" i="1"/>
  <c r="B5144" i="1"/>
  <c r="C5144" i="1"/>
  <c r="A5143" i="1"/>
  <c r="B5143" i="1"/>
  <c r="C5143" i="1"/>
  <c r="A5142" i="1"/>
  <c r="B5142" i="1"/>
  <c r="C5142" i="1"/>
  <c r="A16413" i="1"/>
  <c r="B16413" i="1"/>
  <c r="C16413" i="1"/>
  <c r="A2682" i="1"/>
  <c r="B2682" i="1"/>
  <c r="C2682" i="1"/>
  <c r="A2681" i="1"/>
  <c r="B2681" i="1"/>
  <c r="C2681" i="1"/>
  <c r="A2683" i="1"/>
  <c r="B2683" i="1"/>
  <c r="C2683" i="1"/>
  <c r="A2684" i="1"/>
  <c r="B2684" i="1"/>
  <c r="C2684" i="1"/>
  <c r="A6083" i="1"/>
  <c r="B6083" i="1"/>
  <c r="C6083" i="1"/>
  <c r="A6084" i="1"/>
  <c r="B6084" i="1"/>
  <c r="C6084" i="1"/>
  <c r="A6082" i="1"/>
  <c r="B6082" i="1"/>
  <c r="C6082" i="1"/>
  <c r="A6085" i="1"/>
  <c r="B6085" i="1"/>
  <c r="C6085" i="1"/>
  <c r="A3823" i="1"/>
  <c r="B3823" i="1"/>
  <c r="C3823" i="1"/>
  <c r="A5924" i="1"/>
  <c r="B5924" i="1"/>
  <c r="C5924" i="1"/>
  <c r="A20703" i="1"/>
  <c r="B20703" i="1"/>
  <c r="C20703" i="1"/>
  <c r="A14285" i="1"/>
  <c r="B14285" i="1"/>
  <c r="C14285" i="1"/>
  <c r="A5221" i="1"/>
  <c r="B5221" i="1"/>
  <c r="C5221" i="1"/>
  <c r="A14286" i="1"/>
  <c r="B14286" i="1"/>
  <c r="C14286" i="1"/>
  <c r="A21012" i="1"/>
  <c r="B21012" i="1"/>
  <c r="C21012" i="1"/>
  <c r="A15682" i="1"/>
  <c r="B15682" i="1"/>
  <c r="C15682" i="1"/>
  <c r="A7680" i="1"/>
  <c r="B7680" i="1"/>
  <c r="C7680" i="1"/>
  <c r="A7683" i="1"/>
  <c r="B7683" i="1"/>
  <c r="C7683" i="1"/>
  <c r="A7684" i="1"/>
  <c r="B7684" i="1"/>
  <c r="C7684" i="1"/>
  <c r="A11653" i="1"/>
  <c r="B11653" i="1"/>
  <c r="C11653" i="1"/>
  <c r="A9264" i="1"/>
  <c r="B9264" i="1"/>
  <c r="C9264" i="1"/>
  <c r="A19080" i="1"/>
  <c r="B19080" i="1"/>
  <c r="C19080" i="1"/>
  <c r="A10440" i="1"/>
  <c r="B10440" i="1"/>
  <c r="C10440" i="1"/>
  <c r="A10790" i="1"/>
  <c r="B10790" i="1"/>
  <c r="C10790" i="1"/>
  <c r="A1727" i="1"/>
  <c r="B1727" i="1"/>
  <c r="C1727" i="1"/>
  <c r="A15564" i="1"/>
  <c r="B15564" i="1"/>
  <c r="C15564" i="1"/>
  <c r="A21537" i="1"/>
  <c r="B21537" i="1"/>
  <c r="C21537" i="1"/>
  <c r="A6240" i="1"/>
  <c r="B6240" i="1"/>
  <c r="C6240" i="1"/>
  <c r="A22385" i="1"/>
  <c r="B22385" i="1"/>
  <c r="C22385" i="1"/>
  <c r="A22386" i="1"/>
  <c r="B22386" i="1"/>
  <c r="C22386" i="1"/>
  <c r="A22387" i="1"/>
  <c r="B22387" i="1"/>
  <c r="C22387" i="1"/>
  <c r="A22388" i="1"/>
  <c r="B22388" i="1"/>
  <c r="C22388" i="1"/>
  <c r="A22389" i="1"/>
  <c r="B22389" i="1"/>
  <c r="C22389" i="1"/>
  <c r="A8846" i="1"/>
  <c r="B8846" i="1"/>
  <c r="C8846" i="1"/>
  <c r="A6389" i="1"/>
  <c r="B6389" i="1"/>
  <c r="C6389" i="1"/>
  <c r="A7208" i="1"/>
  <c r="B7208" i="1"/>
  <c r="C7208" i="1"/>
  <c r="A7220" i="1"/>
  <c r="B7220" i="1"/>
  <c r="C7220" i="1"/>
  <c r="A7221" i="1"/>
  <c r="B7221" i="1"/>
  <c r="C7221" i="1"/>
  <c r="A7222" i="1"/>
  <c r="B7222" i="1"/>
  <c r="C7222" i="1"/>
  <c r="A7202" i="1"/>
  <c r="B7202" i="1"/>
  <c r="C7202" i="1"/>
  <c r="A7207" i="1"/>
  <c r="B7207" i="1"/>
  <c r="C7207" i="1"/>
  <c r="A7210" i="1"/>
  <c r="B7210" i="1"/>
  <c r="C7210" i="1"/>
  <c r="A7199" i="1"/>
  <c r="B7199" i="1"/>
  <c r="C7199" i="1"/>
  <c r="A7213" i="1"/>
  <c r="B7213" i="1"/>
  <c r="C7213" i="1"/>
  <c r="A7214" i="1"/>
  <c r="B7214" i="1"/>
  <c r="C7214" i="1"/>
  <c r="A5675" i="1"/>
  <c r="B5675" i="1"/>
  <c r="C5675" i="1"/>
  <c r="A7205" i="1"/>
  <c r="B7205" i="1"/>
  <c r="C7205" i="1"/>
  <c r="A7817" i="1"/>
  <c r="B7817" i="1"/>
  <c r="C7817" i="1"/>
  <c r="A3332" i="1"/>
  <c r="B3332" i="1"/>
  <c r="C3332" i="1"/>
  <c r="A7599" i="1"/>
  <c r="B7599" i="1"/>
  <c r="C7599" i="1"/>
  <c r="A2782" i="1"/>
  <c r="B2782" i="1"/>
  <c r="C2782" i="1"/>
  <c r="A19646" i="1"/>
  <c r="B19646" i="1"/>
  <c r="C19646" i="1"/>
  <c r="A1628" i="1"/>
  <c r="B1628" i="1"/>
  <c r="C1628" i="1"/>
  <c r="A13333" i="1"/>
  <c r="B13333" i="1"/>
  <c r="C13333" i="1"/>
  <c r="A10407" i="1"/>
  <c r="B10407" i="1"/>
  <c r="C10407" i="1"/>
  <c r="A11338" i="1"/>
  <c r="B11338" i="1"/>
  <c r="C11338" i="1"/>
  <c r="A16238" i="1"/>
  <c r="B16238" i="1"/>
  <c r="C16238" i="1"/>
  <c r="A8726" i="1"/>
  <c r="B8726" i="1"/>
  <c r="C8726" i="1"/>
  <c r="A9234" i="1"/>
  <c r="B9234" i="1"/>
  <c r="C9234" i="1"/>
  <c r="A1460" i="1"/>
  <c r="B1460" i="1"/>
  <c r="C1460" i="1"/>
  <c r="A1459" i="1"/>
  <c r="B1459" i="1"/>
  <c r="C1459" i="1"/>
  <c r="A18894" i="1"/>
  <c r="B18894" i="1"/>
  <c r="C18894" i="1"/>
  <c r="A21431" i="1"/>
  <c r="B21431" i="1"/>
  <c r="C21431" i="1"/>
  <c r="A10605" i="1"/>
  <c r="B10605" i="1"/>
  <c r="C10605" i="1"/>
  <c r="A2943" i="1"/>
  <c r="B2943" i="1"/>
  <c r="C2943" i="1"/>
  <c r="A16223" i="1"/>
  <c r="B16223" i="1"/>
  <c r="C16223" i="1"/>
  <c r="A16224" i="1"/>
  <c r="B16224" i="1"/>
  <c r="C16224" i="1"/>
  <c r="A12118" i="1"/>
  <c r="B12118" i="1"/>
  <c r="C12118" i="1"/>
  <c r="A8727" i="1"/>
  <c r="B8727" i="1"/>
  <c r="C8727" i="1"/>
  <c r="A9215" i="1"/>
  <c r="B9215" i="1"/>
  <c r="C9215" i="1"/>
  <c r="A10586" i="1"/>
  <c r="B10586" i="1"/>
  <c r="C10586" i="1"/>
  <c r="A1463" i="1"/>
  <c r="B1463" i="1"/>
  <c r="C1463" i="1"/>
  <c r="A1462" i="1"/>
  <c r="B1462" i="1"/>
  <c r="C1462" i="1"/>
  <c r="A18970" i="1"/>
  <c r="B18970" i="1"/>
  <c r="C18970" i="1"/>
  <c r="A1429" i="1"/>
  <c r="B1429" i="1"/>
  <c r="C1429" i="1"/>
  <c r="A1408" i="1"/>
  <c r="B1408" i="1"/>
  <c r="C1408" i="1"/>
  <c r="A1825" i="1"/>
  <c r="B1825" i="1"/>
  <c r="C1825" i="1"/>
  <c r="A10408" i="1"/>
  <c r="B10408" i="1"/>
  <c r="C10408" i="1"/>
  <c r="A6556" i="1"/>
  <c r="B6556" i="1"/>
  <c r="C6556" i="1"/>
  <c r="A2937" i="1"/>
  <c r="B2937" i="1"/>
  <c r="C2937" i="1"/>
  <c r="A24073" i="1"/>
  <c r="C24073" i="1"/>
  <c r="A9437" i="1"/>
  <c r="B9437" i="1"/>
  <c r="C9437" i="1"/>
  <c r="A9456" i="1"/>
  <c r="B9456" i="1"/>
  <c r="C9456" i="1"/>
  <c r="A10438" i="1"/>
  <c r="B10438" i="1"/>
  <c r="C10438" i="1"/>
  <c r="A21568" i="1"/>
  <c r="B21568" i="1"/>
  <c r="C21568" i="1"/>
  <c r="A21565" i="1"/>
  <c r="B21565" i="1"/>
  <c r="C21565" i="1"/>
  <c r="A5467" i="1"/>
  <c r="B5467" i="1"/>
  <c r="C5467" i="1"/>
  <c r="A3928" i="1"/>
  <c r="B3928" i="1"/>
  <c r="C3928" i="1"/>
  <c r="A20224" i="1"/>
  <c r="B20224" i="1"/>
  <c r="C20224" i="1"/>
  <c r="A6470" i="1"/>
  <c r="B6470" i="1"/>
  <c r="C6470" i="1"/>
  <c r="A13189" i="1"/>
  <c r="B13189" i="1"/>
  <c r="C13189" i="1"/>
  <c r="A17280" i="1"/>
  <c r="B17280" i="1"/>
  <c r="C17280" i="1"/>
  <c r="A17281" i="1"/>
  <c r="B17281" i="1"/>
  <c r="C17281" i="1"/>
  <c r="A17282" i="1"/>
  <c r="B17282" i="1"/>
  <c r="C17282" i="1"/>
  <c r="A24685" i="1"/>
  <c r="B24685" i="1"/>
  <c r="C24685" i="1"/>
  <c r="A2846" i="1"/>
  <c r="B2846" i="1"/>
  <c r="C2846" i="1"/>
  <c r="A16009" i="1"/>
  <c r="B16009" i="1"/>
  <c r="C16009" i="1"/>
  <c r="A4834" i="1"/>
  <c r="B4834" i="1"/>
  <c r="C4834" i="1"/>
  <c r="A4833" i="1"/>
  <c r="B4833" i="1"/>
  <c r="C4833" i="1"/>
  <c r="A16010" i="1"/>
  <c r="B16010" i="1"/>
  <c r="C16010" i="1"/>
  <c r="A19809" i="1"/>
  <c r="B19809" i="1"/>
  <c r="C19809" i="1"/>
  <c r="A11259" i="1"/>
  <c r="B11259" i="1"/>
  <c r="C11259" i="1"/>
  <c r="A12362" i="1"/>
  <c r="B12362" i="1"/>
  <c r="C12362" i="1"/>
  <c r="A11256" i="1"/>
  <c r="B11256" i="1"/>
  <c r="C11256" i="1"/>
  <c r="A11258" i="1"/>
  <c r="B11258" i="1"/>
  <c r="C11258" i="1"/>
  <c r="A11280" i="1"/>
  <c r="B11280" i="1"/>
  <c r="C11280" i="1"/>
  <c r="A11111" i="1"/>
  <c r="B11111" i="1"/>
  <c r="C11111" i="1"/>
  <c r="A17226" i="1"/>
  <c r="B17226" i="1"/>
  <c r="C17226" i="1"/>
  <c r="A20051" i="1"/>
  <c r="B20051" i="1"/>
  <c r="C20051" i="1"/>
  <c r="A4672" i="1"/>
  <c r="B4672" i="1"/>
  <c r="C4672" i="1"/>
  <c r="A5673" i="1"/>
  <c r="B5673" i="1"/>
  <c r="C5673" i="1"/>
  <c r="A10278" i="1"/>
  <c r="B10278" i="1"/>
  <c r="C10278" i="1"/>
  <c r="A17654" i="1"/>
  <c r="B17654" i="1"/>
  <c r="C17654" i="1"/>
  <c r="A24254" i="1"/>
  <c r="B24254" i="1"/>
  <c r="C24254" i="1"/>
  <c r="A4931" i="1"/>
  <c r="B4931" i="1"/>
  <c r="C4931" i="1"/>
  <c r="A5166" i="1"/>
  <c r="B5166" i="1"/>
  <c r="C5166" i="1"/>
  <c r="A2317" i="1"/>
  <c r="B2317" i="1"/>
  <c r="C2317" i="1"/>
  <c r="A11600" i="1"/>
  <c r="B11600" i="1"/>
  <c r="C11600" i="1"/>
  <c r="A21540" i="1"/>
  <c r="B21540" i="1"/>
  <c r="C21540" i="1"/>
  <c r="A21541" i="1"/>
  <c r="B21541" i="1"/>
  <c r="C21541" i="1"/>
  <c r="A21542" i="1"/>
  <c r="B21542" i="1"/>
  <c r="C21542" i="1"/>
  <c r="A21543" i="1"/>
  <c r="B21543" i="1"/>
  <c r="C21543" i="1"/>
  <c r="A8604" i="1"/>
  <c r="B8604" i="1"/>
  <c r="C8604" i="1"/>
  <c r="A14559" i="1"/>
  <c r="B14559" i="1"/>
  <c r="C14559" i="1"/>
  <c r="A14558" i="1"/>
  <c r="B14558" i="1"/>
  <c r="C14558" i="1"/>
  <c r="A18026" i="1"/>
  <c r="B18026" i="1"/>
  <c r="C18026" i="1"/>
  <c r="A21515" i="1"/>
  <c r="B21515" i="1"/>
  <c r="C21515" i="1"/>
  <c r="A24493" i="1"/>
  <c r="B24493" i="1"/>
  <c r="C24493" i="1"/>
  <c r="A8488" i="1"/>
  <c r="B8488" i="1"/>
  <c r="C8488" i="1"/>
  <c r="A23263" i="1"/>
  <c r="B23263" i="1"/>
  <c r="C23263" i="1"/>
  <c r="A24494" i="1"/>
  <c r="B24494" i="1"/>
  <c r="C24494" i="1"/>
  <c r="A4868" i="1"/>
  <c r="B4868" i="1"/>
  <c r="C4868" i="1"/>
  <c r="A4876" i="1"/>
  <c r="B4876" i="1"/>
  <c r="C4876" i="1"/>
  <c r="A9922" i="1"/>
  <c r="B9922" i="1"/>
  <c r="C9922" i="1"/>
  <c r="A9921" i="1"/>
  <c r="B9921" i="1"/>
  <c r="C9921" i="1"/>
  <c r="A9938" i="1"/>
  <c r="B9938" i="1"/>
  <c r="C9938" i="1"/>
  <c r="A8211" i="1"/>
  <c r="B8211" i="1"/>
  <c r="C8211" i="1"/>
  <c r="A9802" i="1"/>
  <c r="B9802" i="1"/>
  <c r="C9802" i="1"/>
  <c r="A19540" i="1"/>
  <c r="B19540" i="1"/>
  <c r="C19540" i="1"/>
  <c r="A9798" i="1"/>
  <c r="B9798" i="1"/>
  <c r="C9798" i="1"/>
  <c r="A19541" i="1"/>
  <c r="B19541" i="1"/>
  <c r="C19541" i="1"/>
  <c r="A2890" i="1"/>
  <c r="B2890" i="1"/>
  <c r="C2890" i="1"/>
  <c r="A16251" i="1"/>
  <c r="B16251" i="1"/>
  <c r="C16251" i="1"/>
  <c r="A4872" i="1"/>
  <c r="B4872" i="1"/>
  <c r="C4872" i="1"/>
  <c r="A4845" i="1"/>
  <c r="B4845" i="1"/>
  <c r="C4845" i="1"/>
  <c r="A24974" i="1"/>
  <c r="B24974" i="1"/>
  <c r="C24974" i="1"/>
  <c r="A9447" i="1"/>
  <c r="B9447" i="1"/>
  <c r="C9447" i="1"/>
  <c r="A9448" i="1"/>
  <c r="B9448" i="1"/>
  <c r="C9448" i="1"/>
  <c r="A9805" i="1"/>
  <c r="B9805" i="1"/>
  <c r="C9805" i="1"/>
  <c r="A11467" i="1"/>
  <c r="B11467" i="1"/>
  <c r="C11467" i="1"/>
  <c r="A9422" i="1"/>
  <c r="B9422" i="1"/>
  <c r="C9422" i="1"/>
  <c r="A9423" i="1"/>
  <c r="B9423" i="1"/>
  <c r="C9423" i="1"/>
  <c r="A9955" i="1"/>
  <c r="B9955" i="1"/>
  <c r="C9955" i="1"/>
  <c r="A1896" i="1"/>
  <c r="B1896" i="1"/>
  <c r="C1896" i="1"/>
  <c r="A16623" i="1"/>
  <c r="B16623" i="1"/>
  <c r="C16623" i="1"/>
  <c r="A16622" i="1"/>
  <c r="B16622" i="1"/>
  <c r="C16622" i="1"/>
  <c r="A5788" i="1"/>
  <c r="B5788" i="1"/>
  <c r="C5788" i="1"/>
  <c r="A203" i="1"/>
  <c r="B203" i="1"/>
  <c r="C203" i="1"/>
  <c r="A10678" i="1"/>
  <c r="B10678" i="1"/>
  <c r="C10678" i="1"/>
  <c r="A22127" i="1"/>
  <c r="B22127" i="1"/>
  <c r="C22127" i="1"/>
  <c r="A22107" i="1"/>
  <c r="B22107" i="1"/>
  <c r="C22107" i="1"/>
  <c r="A15527" i="1"/>
  <c r="B15527" i="1"/>
  <c r="C15527" i="1"/>
  <c r="A19211" i="1"/>
  <c r="B19211" i="1"/>
  <c r="C19211" i="1"/>
  <c r="A15653" i="1"/>
  <c r="B15653" i="1"/>
  <c r="C15653" i="1"/>
  <c r="A24534" i="1"/>
  <c r="B24534" i="1"/>
  <c r="C24534" i="1"/>
  <c r="A11621" i="1"/>
  <c r="B11621" i="1"/>
  <c r="C11621" i="1"/>
  <c r="A5782" i="1"/>
  <c r="B5782" i="1"/>
  <c r="C5782" i="1"/>
  <c r="A6454" i="1"/>
  <c r="B6454" i="1"/>
  <c r="C6454" i="1"/>
  <c r="A6811" i="1"/>
  <c r="B6811" i="1"/>
  <c r="C6811" i="1"/>
  <c r="A24106" i="1"/>
  <c r="B24106" i="1"/>
  <c r="C24106" i="1"/>
  <c r="A7369" i="1"/>
  <c r="B7369" i="1"/>
  <c r="C7369" i="1"/>
  <c r="A22261" i="1"/>
  <c r="B22261" i="1"/>
  <c r="C22261" i="1"/>
  <c r="A13829" i="1"/>
  <c r="B13829" i="1"/>
  <c r="C13829" i="1"/>
  <c r="A15281" i="1"/>
  <c r="B15281" i="1"/>
  <c r="C15281" i="1"/>
  <c r="A11781" i="1"/>
  <c r="B11781" i="1"/>
  <c r="C11781" i="1"/>
  <c r="A22529" i="1"/>
  <c r="B22529" i="1"/>
  <c r="C22529" i="1"/>
  <c r="A16898" i="1"/>
  <c r="B16898" i="1"/>
  <c r="C16898" i="1"/>
  <c r="A23743" i="1"/>
  <c r="B23743" i="1"/>
  <c r="C23743" i="1"/>
  <c r="A5524" i="1"/>
  <c r="B5524" i="1"/>
  <c r="C5524" i="1"/>
  <c r="A17547" i="1"/>
  <c r="B17547" i="1"/>
  <c r="C17547" i="1"/>
  <c r="A18279" i="1"/>
  <c r="B18279" i="1"/>
  <c r="C18279" i="1"/>
  <c r="A25137" i="1"/>
  <c r="B25137" i="1"/>
  <c r="C25137" i="1"/>
  <c r="A21619" i="1"/>
  <c r="B21619" i="1"/>
  <c r="C21619" i="1"/>
  <c r="A19060" i="1"/>
  <c r="B19060" i="1"/>
  <c r="C19060" i="1"/>
  <c r="A13598" i="1"/>
  <c r="B13598" i="1"/>
  <c r="C13598" i="1"/>
  <c r="A2856" i="1"/>
  <c r="B2856" i="1"/>
  <c r="C2856" i="1"/>
  <c r="A9768" i="1"/>
  <c r="B9768" i="1"/>
  <c r="C9768" i="1"/>
  <c r="A9769" i="1"/>
  <c r="B9769" i="1"/>
  <c r="C9769" i="1"/>
  <c r="A8357" i="1"/>
  <c r="B8357" i="1"/>
  <c r="C8357" i="1"/>
  <c r="A20749" i="1"/>
  <c r="B20749" i="1"/>
  <c r="C20749" i="1"/>
  <c r="A1496" i="1"/>
  <c r="B1496" i="1"/>
  <c r="C1496" i="1"/>
  <c r="A8169" i="1"/>
  <c r="B8169" i="1"/>
  <c r="C8169" i="1"/>
  <c r="A44" i="1"/>
  <c r="B44" i="1"/>
  <c r="C44" i="1"/>
  <c r="A59" i="1"/>
  <c r="B59" i="1"/>
  <c r="C59" i="1"/>
  <c r="A971" i="1"/>
  <c r="B971" i="1"/>
  <c r="C971" i="1"/>
  <c r="A534" i="1"/>
  <c r="B534" i="1"/>
  <c r="C534" i="1"/>
  <c r="A3522" i="1"/>
  <c r="B3522" i="1"/>
  <c r="C3522" i="1"/>
  <c r="A23089" i="1"/>
  <c r="B23089" i="1"/>
  <c r="C23089" i="1"/>
  <c r="A14180" i="1"/>
  <c r="B14180" i="1"/>
  <c r="C14180" i="1"/>
  <c r="A24035" i="1"/>
  <c r="B24035" i="1"/>
  <c r="C24035" i="1"/>
  <c r="A8766" i="1"/>
  <c r="B8766" i="1"/>
  <c r="C8766" i="1"/>
  <c r="A11990" i="1"/>
  <c r="B11990" i="1"/>
  <c r="C11990" i="1"/>
  <c r="A22521" i="1"/>
  <c r="B22521" i="1"/>
  <c r="C22521" i="1"/>
  <c r="A22525" i="1"/>
  <c r="B22525" i="1"/>
  <c r="C22525" i="1"/>
  <c r="A22522" i="1"/>
  <c r="B22522" i="1"/>
  <c r="C22522" i="1"/>
  <c r="A18797" i="1"/>
  <c r="B18797" i="1"/>
  <c r="C18797" i="1"/>
  <c r="A19313" i="1"/>
  <c r="B19313" i="1"/>
  <c r="C19313" i="1"/>
  <c r="A19316" i="1"/>
  <c r="B19316" i="1"/>
  <c r="C19316" i="1"/>
  <c r="A9743" i="1"/>
  <c r="B9743" i="1"/>
  <c r="C9743" i="1"/>
  <c r="A559" i="1"/>
  <c r="B559" i="1"/>
  <c r="C559" i="1"/>
  <c r="A16496" i="1"/>
  <c r="B16496" i="1"/>
  <c r="C16496" i="1"/>
  <c r="A12743" i="1"/>
  <c r="B12743" i="1"/>
  <c r="C12743" i="1"/>
  <c r="A20819" i="1"/>
  <c r="B20819" i="1"/>
  <c r="C20819" i="1"/>
  <c r="A11797" i="1"/>
  <c r="B11797" i="1"/>
  <c r="C11797" i="1"/>
  <c r="A12662" i="1"/>
  <c r="B12662" i="1"/>
  <c r="C12662" i="1"/>
  <c r="A12663" i="1"/>
  <c r="B12663" i="1"/>
  <c r="C12663" i="1"/>
  <c r="A12664" i="1"/>
  <c r="B12664" i="1"/>
  <c r="C12664" i="1"/>
  <c r="A12660" i="1"/>
  <c r="B12660" i="1"/>
  <c r="C12660" i="1"/>
  <c r="A12661" i="1"/>
  <c r="B12661" i="1"/>
  <c r="C12661" i="1"/>
  <c r="A21949" i="1"/>
  <c r="B21949" i="1"/>
  <c r="C21949" i="1"/>
  <c r="A12407" i="1"/>
  <c r="B12407" i="1"/>
  <c r="C12407" i="1"/>
  <c r="A3531" i="1"/>
  <c r="B3531" i="1"/>
  <c r="C3531" i="1"/>
  <c r="A2018" i="1"/>
  <c r="B2018" i="1"/>
  <c r="C2018" i="1"/>
  <c r="A14774" i="1"/>
  <c r="B14774" i="1"/>
  <c r="C14774" i="1"/>
  <c r="A2935" i="1"/>
  <c r="B2935" i="1"/>
  <c r="C2935" i="1"/>
  <c r="A20827" i="1"/>
  <c r="B20827" i="1"/>
  <c r="C20827" i="1"/>
  <c r="A23110" i="1"/>
  <c r="B23110" i="1"/>
  <c r="C23110" i="1"/>
  <c r="A10734" i="1"/>
  <c r="B10734" i="1"/>
  <c r="C10734" i="1"/>
  <c r="A10733" i="1"/>
  <c r="B10733" i="1"/>
  <c r="C10733" i="1"/>
  <c r="A16260" i="1"/>
  <c r="B16260" i="1"/>
  <c r="C16260" i="1"/>
  <c r="A17037" i="1"/>
  <c r="B17037" i="1"/>
  <c r="C17037" i="1"/>
  <c r="A3827" i="1"/>
  <c r="B3827" i="1"/>
  <c r="C3827" i="1"/>
  <c r="A6925" i="1"/>
  <c r="B6925" i="1"/>
  <c r="C6925" i="1"/>
  <c r="A11100" i="1"/>
  <c r="B11100" i="1"/>
  <c r="C11100" i="1"/>
  <c r="A11102" i="1"/>
  <c r="B11102" i="1"/>
  <c r="C11102" i="1"/>
  <c r="A11099" i="1"/>
  <c r="B11099" i="1"/>
  <c r="C11099" i="1"/>
  <c r="A11101" i="1"/>
  <c r="B11101" i="1"/>
  <c r="C11101" i="1"/>
  <c r="A20680" i="1"/>
  <c r="B20680" i="1"/>
  <c r="C20680" i="1"/>
  <c r="A9436" i="1"/>
  <c r="B9436" i="1"/>
  <c r="C9436" i="1"/>
  <c r="A3613" i="1"/>
  <c r="B3613" i="1"/>
  <c r="C3613" i="1"/>
  <c r="A21512" i="1"/>
  <c r="B21512" i="1"/>
  <c r="C21512" i="1"/>
  <c r="A19402" i="1"/>
  <c r="B19402" i="1"/>
  <c r="C19402" i="1"/>
  <c r="A12114" i="1"/>
  <c r="B12114" i="1"/>
  <c r="C12114" i="1"/>
  <c r="A24583" i="1"/>
  <c r="B24583" i="1"/>
  <c r="C24583" i="1"/>
  <c r="A22531" i="1"/>
  <c r="B22531" i="1"/>
  <c r="C22531" i="1"/>
  <c r="A21539" i="1"/>
  <c r="B21539" i="1"/>
  <c r="C21539" i="1"/>
  <c r="A18155" i="1"/>
  <c r="B18155" i="1"/>
  <c r="C18155" i="1"/>
  <c r="A4428" i="1"/>
  <c r="B4428" i="1"/>
  <c r="C4428" i="1"/>
  <c r="A16221" i="1"/>
  <c r="B16221" i="1"/>
  <c r="C16221" i="1"/>
  <c r="A4869" i="1"/>
  <c r="B4869" i="1"/>
  <c r="C4869" i="1"/>
  <c r="A25071" i="1"/>
  <c r="B25071" i="1"/>
  <c r="C25071" i="1"/>
  <c r="A25168" i="1"/>
  <c r="B25168" i="1"/>
  <c r="C25168" i="1"/>
  <c r="A25159" i="1"/>
  <c r="B25159" i="1"/>
  <c r="C25159" i="1"/>
  <c r="A25158" i="1"/>
  <c r="B25158" i="1"/>
  <c r="C25158" i="1"/>
  <c r="A25564" i="1"/>
  <c r="B25564" i="1"/>
  <c r="C25564" i="1"/>
  <c r="A25251" i="1"/>
  <c r="B25251" i="1"/>
  <c r="C25251" i="1"/>
  <c r="A17003" i="1"/>
  <c r="B17003" i="1"/>
  <c r="C17003" i="1"/>
  <c r="A4319" i="1"/>
  <c r="B4319" i="1"/>
  <c r="C4319" i="1"/>
  <c r="A7488" i="1"/>
  <c r="B7488" i="1"/>
  <c r="C7488" i="1"/>
  <c r="A17585" i="1"/>
  <c r="B17585" i="1"/>
  <c r="C17585" i="1"/>
  <c r="A1360" i="1"/>
  <c r="B1360" i="1"/>
  <c r="C1360" i="1"/>
  <c r="A1977" i="1"/>
  <c r="B1977" i="1"/>
  <c r="C1977" i="1"/>
  <c r="A9919" i="1"/>
  <c r="B9919" i="1"/>
  <c r="C9919" i="1"/>
  <c r="A9920" i="1"/>
  <c r="B9920" i="1"/>
  <c r="C9920" i="1"/>
  <c r="A3146" i="1"/>
  <c r="B3146" i="1"/>
  <c r="C3146" i="1"/>
  <c r="A11956" i="1"/>
  <c r="B11956" i="1"/>
  <c r="C11956" i="1"/>
  <c r="A9246" i="1"/>
  <c r="B9246" i="1"/>
  <c r="C9246" i="1"/>
  <c r="A7677" i="1"/>
  <c r="B7677" i="1"/>
  <c r="C7677" i="1"/>
  <c r="A16140" i="1"/>
  <c r="B16140" i="1"/>
  <c r="C16140" i="1"/>
  <c r="A16139" i="1"/>
  <c r="B16139" i="1"/>
  <c r="C16139" i="1"/>
  <c r="A16144" i="1"/>
  <c r="B16144" i="1"/>
  <c r="C16144" i="1"/>
  <c r="A16143" i="1"/>
  <c r="B16143" i="1"/>
  <c r="C16143" i="1"/>
  <c r="A16141" i="1"/>
  <c r="B16141" i="1"/>
  <c r="C16141" i="1"/>
  <c r="A6409" i="1"/>
  <c r="B6409" i="1"/>
  <c r="C6409" i="1"/>
  <c r="A18586" i="1"/>
  <c r="B18586" i="1"/>
  <c r="C18586" i="1"/>
  <c r="A24792" i="1"/>
  <c r="B24792" i="1"/>
  <c r="C24792" i="1"/>
  <c r="A14409" i="1"/>
  <c r="B14409" i="1"/>
  <c r="C14409" i="1"/>
  <c r="A10003" i="1"/>
  <c r="B10003" i="1"/>
  <c r="C10003" i="1"/>
  <c r="A10791" i="1"/>
  <c r="B10791" i="1"/>
  <c r="C10791" i="1"/>
  <c r="A8598" i="1"/>
  <c r="B8598" i="1"/>
  <c r="C8598" i="1"/>
  <c r="A15099" i="1"/>
  <c r="B15099" i="1"/>
  <c r="C15099" i="1"/>
  <c r="A7366" i="1"/>
  <c r="B7366" i="1"/>
  <c r="C7366" i="1"/>
  <c r="A19468" i="1"/>
  <c r="B19468" i="1"/>
  <c r="C19468" i="1"/>
  <c r="A9180" i="1"/>
  <c r="B9180" i="1"/>
  <c r="C9180" i="1"/>
  <c r="A1973" i="1"/>
  <c r="B1973" i="1"/>
  <c r="C1973" i="1"/>
  <c r="A1976" i="1"/>
  <c r="B1976" i="1"/>
  <c r="C1976" i="1"/>
  <c r="A1971" i="1"/>
  <c r="B1971" i="1"/>
  <c r="C1971" i="1"/>
  <c r="A1972" i="1"/>
  <c r="B1972" i="1"/>
  <c r="C1972" i="1"/>
  <c r="A2787" i="1"/>
  <c r="B2787" i="1"/>
  <c r="C2787" i="1"/>
  <c r="A4520" i="1"/>
  <c r="B4520" i="1"/>
  <c r="C4520" i="1"/>
  <c r="A21510" i="1"/>
  <c r="B21510" i="1"/>
  <c r="C21510" i="1"/>
  <c r="A17528" i="1"/>
  <c r="B17528" i="1"/>
  <c r="C17528" i="1"/>
  <c r="A14482" i="1"/>
  <c r="B14482" i="1"/>
  <c r="C14482" i="1"/>
  <c r="A19260" i="1"/>
  <c r="B19260" i="1"/>
  <c r="C19260" i="1"/>
  <c r="A19259" i="1"/>
  <c r="B19259" i="1"/>
  <c r="C19259" i="1"/>
  <c r="A3687" i="1"/>
  <c r="B3687" i="1"/>
  <c r="C3687" i="1"/>
  <c r="A7095" i="1"/>
  <c r="B7095" i="1"/>
  <c r="C7095" i="1"/>
  <c r="A17730" i="1"/>
  <c r="B17730" i="1"/>
  <c r="C17730" i="1"/>
  <c r="A11390" i="1"/>
  <c r="B11390" i="1"/>
  <c r="C11390" i="1"/>
  <c r="A10783" i="1"/>
  <c r="C10783" i="1"/>
  <c r="A20741" i="1"/>
  <c r="B20741" i="1"/>
  <c r="C20741" i="1"/>
  <c r="A20842" i="1"/>
  <c r="B20842" i="1"/>
  <c r="C20842" i="1"/>
  <c r="A20831" i="1"/>
  <c r="B20831" i="1"/>
  <c r="C20831" i="1"/>
  <c r="A20854" i="1"/>
  <c r="B20854" i="1"/>
  <c r="C20854" i="1"/>
  <c r="A20853" i="1"/>
  <c r="B20853" i="1"/>
  <c r="C20853" i="1"/>
  <c r="A20852" i="1"/>
  <c r="B20852" i="1"/>
  <c r="C20852" i="1"/>
  <c r="A20919" i="1"/>
  <c r="B20919" i="1"/>
  <c r="C20919" i="1"/>
  <c r="A20918" i="1"/>
  <c r="B20918" i="1"/>
  <c r="C20918" i="1"/>
  <c r="A20841" i="1"/>
  <c r="B20841" i="1"/>
  <c r="C20841" i="1"/>
  <c r="A5152" i="1"/>
  <c r="B5152" i="1"/>
  <c r="C5152" i="1"/>
  <c r="A5151" i="1"/>
  <c r="B5151" i="1"/>
  <c r="C5151" i="1"/>
  <c r="A5149" i="1"/>
  <c r="B5149" i="1"/>
  <c r="C5149" i="1"/>
  <c r="A5150" i="1"/>
  <c r="B5150" i="1"/>
  <c r="C5150" i="1"/>
  <c r="A5146" i="1"/>
  <c r="B5146" i="1"/>
  <c r="C5146" i="1"/>
  <c r="A19584" i="1"/>
  <c r="B19584" i="1"/>
  <c r="C19584" i="1"/>
  <c r="A19576" i="1"/>
  <c r="B19576" i="1"/>
  <c r="C19576" i="1"/>
  <c r="A4704" i="1"/>
  <c r="B4704" i="1"/>
  <c r="C4704" i="1"/>
  <c r="A21968" i="1"/>
  <c r="B21968" i="1"/>
  <c r="C21968" i="1"/>
  <c r="A8924" i="1"/>
  <c r="B8924" i="1"/>
  <c r="C8924" i="1"/>
  <c r="A2293" i="1"/>
  <c r="B2293" i="1"/>
  <c r="C2293" i="1"/>
  <c r="A22319" i="1"/>
  <c r="B22319" i="1"/>
  <c r="C22319" i="1"/>
  <c r="A5918" i="1"/>
  <c r="B5918" i="1"/>
  <c r="C5918" i="1"/>
  <c r="A5921" i="1"/>
  <c r="B5921" i="1"/>
  <c r="C5921" i="1"/>
  <c r="A19173" i="1"/>
  <c r="B19173" i="1"/>
  <c r="C19173" i="1"/>
  <c r="A15528" i="1"/>
  <c r="B15528" i="1"/>
  <c r="C15528" i="1"/>
  <c r="A19210" i="1"/>
  <c r="B19210" i="1"/>
  <c r="C19210" i="1"/>
  <c r="A24122" i="1"/>
  <c r="B24122" i="1"/>
  <c r="C24122" i="1"/>
  <c r="A13792" i="1"/>
  <c r="B13792" i="1"/>
  <c r="C13792" i="1"/>
  <c r="A3672" i="1"/>
  <c r="B3672" i="1"/>
  <c r="C3672" i="1"/>
  <c r="A20022" i="1"/>
  <c r="B20022" i="1"/>
  <c r="C20022" i="1"/>
  <c r="A20053" i="1"/>
  <c r="B20053" i="1"/>
  <c r="C20053" i="1"/>
  <c r="A16089" i="1"/>
  <c r="C16089" i="1"/>
  <c r="A16041" i="1"/>
  <c r="C16041" i="1"/>
  <c r="A16039" i="1"/>
  <c r="C16039" i="1"/>
  <c r="A16043" i="1"/>
  <c r="C16043" i="1"/>
  <c r="A16038" i="1"/>
  <c r="C16038" i="1"/>
  <c r="A21418" i="1"/>
  <c r="B21418" i="1"/>
  <c r="C21418" i="1"/>
  <c r="A7510" i="1"/>
  <c r="B7510" i="1"/>
  <c r="C7510" i="1"/>
  <c r="A6478" i="1"/>
  <c r="B6478" i="1"/>
  <c r="C6478" i="1"/>
  <c r="A15362" i="1"/>
  <c r="B15362" i="1"/>
  <c r="C15362" i="1"/>
  <c r="A24397" i="1"/>
  <c r="B24397" i="1"/>
  <c r="C24397" i="1"/>
  <c r="A9967" i="1"/>
  <c r="B9967" i="1"/>
  <c r="C9967" i="1"/>
  <c r="A3702" i="1"/>
  <c r="B3702" i="1"/>
  <c r="C3702" i="1"/>
  <c r="A4406" i="1"/>
  <c r="B4406" i="1"/>
  <c r="C4406" i="1"/>
  <c r="A11212" i="1"/>
  <c r="B11212" i="1"/>
  <c r="C11212" i="1"/>
  <c r="A19973" i="1"/>
  <c r="B19973" i="1"/>
  <c r="C19973" i="1"/>
  <c r="A16305" i="1"/>
  <c r="B16305" i="1"/>
  <c r="C16305" i="1"/>
  <c r="A14283" i="1"/>
  <c r="B14283" i="1"/>
  <c r="C14283" i="1"/>
  <c r="A11758" i="1"/>
  <c r="B11758" i="1"/>
  <c r="C11758" i="1"/>
  <c r="A21358" i="1"/>
  <c r="B21358" i="1"/>
  <c r="C21358" i="1"/>
  <c r="A4460" i="1"/>
  <c r="B4460" i="1"/>
  <c r="C4460" i="1"/>
  <c r="A6956" i="1"/>
  <c r="B6956" i="1"/>
  <c r="C6956" i="1"/>
  <c r="A5500" i="1"/>
  <c r="B5500" i="1"/>
  <c r="C5500" i="1"/>
  <c r="A7008" i="1"/>
  <c r="B7008" i="1"/>
  <c r="C7008" i="1"/>
  <c r="A5454" i="1"/>
  <c r="B5454" i="1"/>
  <c r="C5454" i="1"/>
  <c r="A24134" i="1"/>
  <c r="B24134" i="1"/>
  <c r="C24134" i="1"/>
  <c r="A12276" i="1"/>
  <c r="B12276" i="1"/>
  <c r="C12276" i="1"/>
  <c r="A1331" i="1"/>
  <c r="B1331" i="1"/>
  <c r="C1331" i="1"/>
  <c r="A16343" i="1"/>
  <c r="B16343" i="1"/>
  <c r="C16343" i="1"/>
  <c r="A18796" i="1"/>
  <c r="B18796" i="1"/>
  <c r="C18796" i="1"/>
  <c r="A21905" i="1"/>
  <c r="B21905" i="1"/>
  <c r="C21905" i="1"/>
  <c r="A18314" i="1"/>
  <c r="B18314" i="1"/>
  <c r="C18314" i="1"/>
  <c r="A24866" i="1"/>
  <c r="B24866" i="1"/>
  <c r="C24866" i="1"/>
  <c r="A14575" i="1"/>
  <c r="B14575" i="1"/>
  <c r="C14575" i="1"/>
  <c r="A5916" i="1"/>
  <c r="B5916" i="1"/>
  <c r="C5916" i="1"/>
  <c r="A9429" i="1"/>
  <c r="C9429" i="1"/>
  <c r="A9361" i="1"/>
  <c r="B9361" i="1"/>
  <c r="C9361" i="1"/>
  <c r="A9362" i="1"/>
  <c r="B9362" i="1"/>
  <c r="C9362" i="1"/>
  <c r="A9421" i="1"/>
  <c r="B9421" i="1"/>
  <c r="C9421" i="1"/>
  <c r="A17921" i="1"/>
  <c r="B17921" i="1"/>
  <c r="C17921" i="1"/>
  <c r="A14060" i="1"/>
  <c r="B14060" i="1"/>
  <c r="C14060" i="1"/>
  <c r="A17577" i="1"/>
  <c r="B17577" i="1"/>
  <c r="C17577" i="1"/>
  <c r="A5484" i="1"/>
  <c r="B5484" i="1"/>
  <c r="C5484" i="1"/>
  <c r="A22683" i="1"/>
  <c r="B22683" i="1"/>
  <c r="C22683" i="1"/>
  <c r="A10482" i="1"/>
  <c r="B10482" i="1"/>
  <c r="C10482" i="1"/>
  <c r="A10481" i="1"/>
  <c r="B10481" i="1"/>
  <c r="C10481" i="1"/>
  <c r="A22651" i="1"/>
  <c r="B22651" i="1"/>
  <c r="C22651" i="1"/>
  <c r="A19166" i="1"/>
  <c r="B19166" i="1"/>
  <c r="C19166" i="1"/>
  <c r="A10162" i="1"/>
  <c r="B10162" i="1"/>
  <c r="C10162" i="1"/>
  <c r="A24867" i="1"/>
  <c r="B24867" i="1"/>
  <c r="C24867" i="1"/>
  <c r="A14425" i="1"/>
  <c r="B14425" i="1"/>
  <c r="C14425" i="1"/>
  <c r="A14146" i="1"/>
  <c r="B14146" i="1"/>
  <c r="C14146" i="1"/>
  <c r="A1330" i="1"/>
  <c r="B1330" i="1"/>
  <c r="C1330" i="1"/>
  <c r="A21743" i="1"/>
  <c r="B21743" i="1"/>
  <c r="C21743" i="1"/>
  <c r="A10439" i="1"/>
  <c r="B10439" i="1"/>
  <c r="C10439" i="1"/>
  <c r="A13888" i="1"/>
  <c r="C13888" i="1"/>
  <c r="A14411" i="1"/>
  <c r="B14411" i="1"/>
  <c r="C14411" i="1"/>
  <c r="A14410" i="1"/>
  <c r="B14410" i="1"/>
  <c r="C14410" i="1"/>
  <c r="A13805" i="1"/>
  <c r="B13805" i="1"/>
  <c r="C13805" i="1"/>
  <c r="A6965" i="1"/>
  <c r="B6965" i="1"/>
  <c r="C6965" i="1"/>
  <c r="A16841" i="1"/>
  <c r="B16841" i="1"/>
  <c r="C16841" i="1"/>
  <c r="A24327" i="1"/>
  <c r="B24327" i="1"/>
  <c r="C24327" i="1"/>
  <c r="A6447" i="1"/>
  <c r="B6447" i="1"/>
  <c r="C6447" i="1"/>
  <c r="A6448" i="1"/>
  <c r="B6448" i="1"/>
  <c r="C6448" i="1"/>
  <c r="A6445" i="1"/>
  <c r="B6445" i="1"/>
  <c r="C6445" i="1"/>
  <c r="A17066" i="1"/>
  <c r="B17066" i="1"/>
  <c r="C17066" i="1"/>
  <c r="A18741" i="1"/>
  <c r="B18741" i="1"/>
  <c r="C18741" i="1"/>
  <c r="A7905" i="1"/>
  <c r="B7905" i="1"/>
  <c r="C7905" i="1"/>
  <c r="A3698" i="1"/>
  <c r="B3698" i="1"/>
  <c r="C3698" i="1"/>
  <c r="A9708" i="1"/>
  <c r="B9708" i="1"/>
  <c r="C9708" i="1"/>
  <c r="A5612" i="1"/>
  <c r="B5612" i="1"/>
  <c r="C5612" i="1"/>
  <c r="A5642" i="1"/>
  <c r="B5642" i="1"/>
  <c r="C5642" i="1"/>
  <c r="A11940" i="1"/>
  <c r="B11940" i="1"/>
  <c r="C11940" i="1"/>
  <c r="A9449" i="1"/>
  <c r="B9449" i="1"/>
  <c r="C9449" i="1"/>
  <c r="A22329" i="1"/>
  <c r="B22329" i="1"/>
  <c r="C22329" i="1"/>
  <c r="A22679" i="1"/>
  <c r="B22679" i="1"/>
  <c r="C22679" i="1"/>
  <c r="A9943" i="1"/>
  <c r="B9943" i="1"/>
  <c r="C9943" i="1"/>
  <c r="A8418" i="1"/>
  <c r="B8418" i="1"/>
  <c r="C8418" i="1"/>
  <c r="A22613" i="1"/>
  <c r="B22613" i="1"/>
  <c r="C22613" i="1"/>
  <c r="A5917" i="1"/>
  <c r="B5917" i="1"/>
  <c r="C5917" i="1"/>
  <c r="A23116" i="1"/>
  <c r="B23116" i="1"/>
  <c r="C23116" i="1"/>
  <c r="A20845" i="1"/>
  <c r="B20845" i="1"/>
  <c r="C20845" i="1"/>
  <c r="A2889" i="1"/>
  <c r="B2889" i="1"/>
  <c r="C2889" i="1"/>
  <c r="A15748" i="1"/>
  <c r="B15748" i="1"/>
  <c r="C15748" i="1"/>
  <c r="A14554" i="1"/>
  <c r="B14554" i="1"/>
  <c r="C14554" i="1"/>
  <c r="A19418" i="1"/>
  <c r="B19418" i="1"/>
  <c r="C19418" i="1"/>
  <c r="A1822" i="1"/>
  <c r="B1822" i="1"/>
  <c r="C1822" i="1"/>
  <c r="A4857" i="1"/>
  <c r="B4857" i="1"/>
  <c r="C4857" i="1"/>
  <c r="A9348" i="1"/>
  <c r="B9348" i="1"/>
  <c r="C9348" i="1"/>
  <c r="A19381" i="1"/>
  <c r="B19381" i="1"/>
  <c r="C19381" i="1"/>
  <c r="A12344" i="1"/>
  <c r="B12344" i="1"/>
  <c r="C12344" i="1"/>
  <c r="A16512" i="1"/>
  <c r="B16512" i="1"/>
  <c r="C16512" i="1"/>
  <c r="A6952" i="1"/>
  <c r="B6952" i="1"/>
  <c r="C6952" i="1"/>
  <c r="A3786" i="1"/>
  <c r="B3786" i="1"/>
  <c r="C3786" i="1"/>
  <c r="A20177" i="1"/>
  <c r="B20177" i="1"/>
  <c r="C20177" i="1"/>
  <c r="A20200" i="1"/>
  <c r="B20200" i="1"/>
  <c r="C20200" i="1"/>
  <c r="A25346" i="1"/>
  <c r="B25346" i="1"/>
  <c r="C25346" i="1"/>
  <c r="A5066" i="1"/>
  <c r="B5066" i="1"/>
  <c r="C5066" i="1"/>
  <c r="A22759" i="1"/>
  <c r="B22759" i="1"/>
  <c r="C22759" i="1"/>
  <c r="A7025" i="1"/>
  <c r="B7025" i="1"/>
  <c r="C7025" i="1"/>
  <c r="A19705" i="1"/>
  <c r="B19705" i="1"/>
  <c r="C19705" i="1"/>
  <c r="A5691" i="1"/>
  <c r="B5691" i="1"/>
  <c r="C5691" i="1"/>
  <c r="A18768" i="1"/>
  <c r="B18768" i="1"/>
  <c r="C18768" i="1"/>
  <c r="A10920" i="1"/>
  <c r="B10920" i="1"/>
  <c r="C10920" i="1"/>
  <c r="A15669" i="1"/>
  <c r="B15669" i="1"/>
  <c r="C15669" i="1"/>
  <c r="A14588" i="1"/>
  <c r="B14588" i="1"/>
  <c r="C14588" i="1"/>
  <c r="A14951" i="1"/>
  <c r="B14951" i="1"/>
  <c r="C14951" i="1"/>
  <c r="A22330" i="1"/>
  <c r="B22330" i="1"/>
  <c r="C22330" i="1"/>
  <c r="A14657" i="1"/>
  <c r="B14657" i="1"/>
  <c r="C14657" i="1"/>
  <c r="A19530" i="1"/>
  <c r="B19530" i="1"/>
  <c r="C19530" i="1"/>
  <c r="A466" i="1"/>
  <c r="B466" i="1"/>
  <c r="C466" i="1"/>
  <c r="A22864" i="1"/>
  <c r="B22864" i="1"/>
  <c r="C22864" i="1"/>
  <c r="A19014" i="1"/>
  <c r="B19014" i="1"/>
  <c r="C19014" i="1"/>
  <c r="A24357" i="1"/>
  <c r="B24357" i="1"/>
  <c r="C24357" i="1"/>
  <c r="A17700" i="1"/>
  <c r="B17700" i="1"/>
  <c r="C17700" i="1"/>
  <c r="A1074" i="1"/>
  <c r="B1074" i="1"/>
  <c r="C1074" i="1"/>
  <c r="A1075" i="1"/>
  <c r="B1075" i="1"/>
  <c r="C1075" i="1"/>
  <c r="A19019" i="1"/>
  <c r="B19019" i="1"/>
  <c r="C19019" i="1"/>
  <c r="A16158" i="1"/>
  <c r="B16158" i="1"/>
  <c r="C16158" i="1"/>
  <c r="A24376" i="1"/>
  <c r="B24376" i="1"/>
  <c r="C24376" i="1"/>
  <c r="A24377" i="1"/>
  <c r="B24377" i="1"/>
  <c r="C24377" i="1"/>
  <c r="A17845" i="1"/>
  <c r="B17845" i="1"/>
  <c r="C17845" i="1"/>
  <c r="A3623" i="1"/>
  <c r="B3623" i="1"/>
  <c r="C3623" i="1"/>
  <c r="A1129" i="1"/>
  <c r="B1129" i="1"/>
  <c r="C1129" i="1"/>
  <c r="A5927" i="1"/>
  <c r="B5927" i="1"/>
  <c r="C5927" i="1"/>
  <c r="A10762" i="1"/>
  <c r="B10762" i="1"/>
  <c r="C10762" i="1"/>
  <c r="A16862" i="1"/>
  <c r="B16862" i="1"/>
  <c r="C16862" i="1"/>
  <c r="A11755" i="1"/>
  <c r="B11755" i="1"/>
  <c r="C11755" i="1"/>
  <c r="A12624" i="1"/>
  <c r="B12624" i="1"/>
  <c r="C12624" i="1"/>
  <c r="A24839" i="1"/>
  <c r="B24839" i="1"/>
  <c r="C24839" i="1"/>
  <c r="A24837" i="1"/>
  <c r="B24837" i="1"/>
  <c r="C24837" i="1"/>
  <c r="A24767" i="1"/>
  <c r="B24767" i="1"/>
  <c r="C24767" i="1"/>
  <c r="A24766" i="1"/>
  <c r="B24766" i="1"/>
  <c r="C24766" i="1"/>
  <c r="A14732" i="1"/>
  <c r="B14732" i="1"/>
  <c r="C14732" i="1"/>
  <c r="A5372" i="1"/>
  <c r="B5372" i="1"/>
  <c r="C5372" i="1"/>
  <c r="A16433" i="1"/>
  <c r="B16433" i="1"/>
  <c r="C16433" i="1"/>
  <c r="A23183" i="1"/>
  <c r="B23183" i="1"/>
  <c r="C23183" i="1"/>
  <c r="A14726" i="1"/>
  <c r="B14726" i="1"/>
  <c r="C14726" i="1"/>
  <c r="A3653" i="1"/>
  <c r="B3653" i="1"/>
  <c r="C3653" i="1"/>
  <c r="A8575" i="1"/>
  <c r="B8575" i="1"/>
  <c r="C8575" i="1"/>
  <c r="A8574" i="1"/>
  <c r="B8574" i="1"/>
  <c r="C8574" i="1"/>
  <c r="A23279" i="1"/>
  <c r="B23279" i="1"/>
  <c r="C23279" i="1"/>
  <c r="A8466" i="1"/>
  <c r="B8466" i="1"/>
  <c r="C8466" i="1"/>
  <c r="A8293" i="1"/>
  <c r="B8293" i="1"/>
  <c r="C8293" i="1"/>
  <c r="A19532" i="1"/>
  <c r="B19532" i="1"/>
  <c r="C19532" i="1"/>
  <c r="A23182" i="1"/>
  <c r="B23182" i="1"/>
  <c r="C23182" i="1"/>
  <c r="A5388" i="1"/>
  <c r="B5388" i="1"/>
  <c r="C5388" i="1"/>
  <c r="A292" i="1"/>
  <c r="B292" i="1"/>
  <c r="C292" i="1"/>
  <c r="A295" i="1"/>
  <c r="B295" i="1"/>
  <c r="C295" i="1"/>
  <c r="A294" i="1"/>
  <c r="B294" i="1"/>
  <c r="C294" i="1"/>
  <c r="A12306" i="1"/>
  <c r="B12306" i="1"/>
  <c r="C12306" i="1"/>
  <c r="A12305" i="1"/>
  <c r="B12305" i="1"/>
  <c r="C12305" i="1"/>
  <c r="A12303" i="1"/>
  <c r="B12303" i="1"/>
  <c r="C12303" i="1"/>
  <c r="A4443" i="1"/>
  <c r="B4443" i="1"/>
  <c r="C4443" i="1"/>
  <c r="A2835" i="1"/>
  <c r="B2835" i="1"/>
  <c r="C2835" i="1"/>
  <c r="A876" i="1"/>
  <c r="B876" i="1"/>
  <c r="C876" i="1"/>
  <c r="A23083" i="1"/>
  <c r="B23083" i="1"/>
  <c r="C23083" i="1"/>
  <c r="A23082" i="1"/>
  <c r="B23082" i="1"/>
  <c r="C23082" i="1"/>
  <c r="A23933" i="1"/>
  <c r="B23933" i="1"/>
  <c r="C23933" i="1"/>
  <c r="A23912" i="1"/>
  <c r="B23912" i="1"/>
  <c r="C23912" i="1"/>
  <c r="A23908" i="1"/>
  <c r="B23908" i="1"/>
  <c r="C23908" i="1"/>
  <c r="A23916" i="1"/>
  <c r="B23916" i="1"/>
  <c r="C23916" i="1"/>
  <c r="A23884" i="1"/>
  <c r="B23884" i="1"/>
  <c r="C23884" i="1"/>
  <c r="A23879" i="1"/>
  <c r="B23879" i="1"/>
  <c r="C23879" i="1"/>
  <c r="A23882" i="1"/>
  <c r="B23882" i="1"/>
  <c r="C23882" i="1"/>
  <c r="A23883" i="1"/>
  <c r="B23883" i="1"/>
  <c r="C23883" i="1"/>
  <c r="A23876" i="1"/>
  <c r="B23876" i="1"/>
  <c r="C23876" i="1"/>
  <c r="A23875" i="1"/>
  <c r="B23875" i="1"/>
  <c r="C23875" i="1"/>
  <c r="A23877" i="1"/>
  <c r="B23877" i="1"/>
  <c r="C23877" i="1"/>
  <c r="A23881" i="1"/>
  <c r="B23881" i="1"/>
  <c r="C23881" i="1"/>
  <c r="A11773" i="1"/>
  <c r="B11773" i="1"/>
  <c r="C11773" i="1"/>
  <c r="A10765" i="1"/>
  <c r="B10765" i="1"/>
  <c r="C10765" i="1"/>
  <c r="A10776" i="1"/>
  <c r="B10776" i="1"/>
  <c r="C10776" i="1"/>
  <c r="A11388" i="1"/>
  <c r="B11388" i="1"/>
  <c r="C11388" i="1"/>
  <c r="A24164" i="1"/>
  <c r="B24164" i="1"/>
  <c r="C24164" i="1"/>
  <c r="A24169" i="1"/>
  <c r="B24169" i="1"/>
  <c r="C24169" i="1"/>
  <c r="A25038" i="1"/>
  <c r="B25038" i="1"/>
  <c r="C25038" i="1"/>
  <c r="A25039" i="1"/>
  <c r="B25039" i="1"/>
  <c r="C25039" i="1"/>
  <c r="A25220" i="1"/>
  <c r="B25220" i="1"/>
  <c r="C25220" i="1"/>
  <c r="A1366" i="1"/>
  <c r="B1366" i="1"/>
  <c r="C1366" i="1"/>
  <c r="A8307" i="1"/>
  <c r="B8307" i="1"/>
  <c r="C8307" i="1"/>
  <c r="A5397" i="1"/>
  <c r="B5397" i="1"/>
  <c r="C5397" i="1"/>
  <c r="A24793" i="1"/>
  <c r="B24793" i="1"/>
  <c r="C24793" i="1"/>
  <c r="A24794" i="1"/>
  <c r="B24794" i="1"/>
  <c r="C24794" i="1"/>
  <c r="A13902" i="1"/>
  <c r="B13902" i="1"/>
  <c r="C13902" i="1"/>
  <c r="A19543" i="1"/>
  <c r="B19543" i="1"/>
  <c r="C19543" i="1"/>
  <c r="A14624" i="1"/>
  <c r="B14624" i="1"/>
  <c r="C14624" i="1"/>
  <c r="A19542" i="1"/>
  <c r="B19542" i="1"/>
  <c r="C19542" i="1"/>
  <c r="A14613" i="1"/>
  <c r="B14613" i="1"/>
  <c r="C14613" i="1"/>
  <c r="A2548" i="1"/>
  <c r="B2548" i="1"/>
  <c r="C2548" i="1"/>
  <c r="A5373" i="1"/>
  <c r="B5373" i="1"/>
  <c r="C5373" i="1"/>
  <c r="A22950" i="1"/>
  <c r="B22950" i="1"/>
  <c r="C22950" i="1"/>
  <c r="A10284" i="1"/>
  <c r="B10284" i="1"/>
  <c r="C10284" i="1"/>
  <c r="A10283" i="1"/>
  <c r="B10283" i="1"/>
  <c r="C10283" i="1"/>
  <c r="A19546" i="1"/>
  <c r="B19546" i="1"/>
  <c r="C19546" i="1"/>
  <c r="A19545" i="1"/>
  <c r="B19545" i="1"/>
  <c r="C19545" i="1"/>
  <c r="A19547" i="1"/>
  <c r="B19547" i="1"/>
  <c r="C19547" i="1"/>
  <c r="A19549" i="1"/>
  <c r="B19549" i="1"/>
  <c r="C19549" i="1"/>
  <c r="A19544" i="1"/>
  <c r="B19544" i="1"/>
  <c r="C19544" i="1"/>
  <c r="A8448" i="1"/>
  <c r="B8448" i="1"/>
  <c r="C8448" i="1"/>
  <c r="A8495" i="1"/>
  <c r="B8495" i="1"/>
  <c r="C8495" i="1"/>
  <c r="A23232" i="1"/>
  <c r="B23232" i="1"/>
  <c r="C23232" i="1"/>
  <c r="A23256" i="1"/>
  <c r="B23256" i="1"/>
  <c r="C23256" i="1"/>
  <c r="A23276" i="1"/>
  <c r="B23276" i="1"/>
  <c r="C23276" i="1"/>
  <c r="A8443" i="1"/>
  <c r="B8443" i="1"/>
  <c r="C8443" i="1"/>
  <c r="A8569" i="1"/>
  <c r="B8569" i="1"/>
  <c r="C8569" i="1"/>
  <c r="A25227" i="1"/>
  <c r="B25227" i="1"/>
  <c r="C25227" i="1"/>
  <c r="A24989" i="1"/>
  <c r="B24989" i="1"/>
  <c r="C24989" i="1"/>
  <c r="A24991" i="1"/>
  <c r="B24991" i="1"/>
  <c r="C24991" i="1"/>
  <c r="A22636" i="1"/>
  <c r="B22636" i="1"/>
  <c r="C22636" i="1"/>
  <c r="A24988" i="1"/>
  <c r="B24988" i="1"/>
  <c r="C24988" i="1"/>
  <c r="A23240" i="1"/>
  <c r="B23240" i="1"/>
  <c r="C23240" i="1"/>
  <c r="A23270" i="1"/>
  <c r="B23270" i="1"/>
  <c r="C23270" i="1"/>
  <c r="A344" i="1"/>
  <c r="B344" i="1"/>
  <c r="C344" i="1"/>
  <c r="A343" i="1"/>
  <c r="B343" i="1"/>
  <c r="C343" i="1"/>
  <c r="A19612" i="1"/>
  <c r="B19612" i="1"/>
  <c r="C19612" i="1"/>
  <c r="A24818" i="1"/>
  <c r="B24818" i="1"/>
  <c r="C24818" i="1"/>
  <c r="A5383" i="1"/>
  <c r="B5383" i="1"/>
  <c r="C5383" i="1"/>
  <c r="A5384" i="1"/>
  <c r="B5384" i="1"/>
  <c r="C5384" i="1"/>
  <c r="A8320" i="1"/>
  <c r="B8320" i="1"/>
  <c r="C8320" i="1"/>
  <c r="A23195" i="1"/>
  <c r="B23195" i="1"/>
  <c r="C23195" i="1"/>
  <c r="A23246" i="1"/>
  <c r="B23246" i="1"/>
  <c r="C23246" i="1"/>
  <c r="A19588" i="1"/>
  <c r="B19588" i="1"/>
  <c r="C19588" i="1"/>
  <c r="A19585" i="1"/>
  <c r="B19585" i="1"/>
  <c r="C19585" i="1"/>
  <c r="A20922" i="1"/>
  <c r="B20922" i="1"/>
  <c r="C20922" i="1"/>
  <c r="A20847" i="1"/>
  <c r="B20847" i="1"/>
  <c r="C20847" i="1"/>
  <c r="A20805" i="1"/>
  <c r="B20805" i="1"/>
  <c r="C20805" i="1"/>
  <c r="A17706" i="1"/>
  <c r="B17706" i="1"/>
  <c r="C17706" i="1"/>
  <c r="A20799" i="1"/>
  <c r="B20799" i="1"/>
  <c r="C20799" i="1"/>
  <c r="A20798" i="1"/>
  <c r="B20798" i="1"/>
  <c r="C20798" i="1"/>
  <c r="A20791" i="1"/>
  <c r="B20791" i="1"/>
  <c r="C20791" i="1"/>
  <c r="A20792" i="1"/>
  <c r="B20792" i="1"/>
  <c r="C20792" i="1"/>
  <c r="A20793" i="1"/>
  <c r="B20793" i="1"/>
  <c r="C20793" i="1"/>
  <c r="A8519" i="1"/>
  <c r="B8519" i="1"/>
  <c r="C8519" i="1"/>
  <c r="A23261" i="1"/>
  <c r="B23261" i="1"/>
  <c r="C23261" i="1"/>
  <c r="A8520" i="1"/>
  <c r="B8520" i="1"/>
  <c r="C8520" i="1"/>
  <c r="A2816" i="1"/>
  <c r="B2816" i="1"/>
  <c r="C2816" i="1"/>
  <c r="A25063" i="1"/>
  <c r="B25063" i="1"/>
  <c r="C25063" i="1"/>
  <c r="A2019" i="1"/>
  <c r="B2019" i="1"/>
  <c r="C2019" i="1"/>
  <c r="A2016" i="1"/>
  <c r="B2016" i="1"/>
  <c r="C2016" i="1"/>
  <c r="A11255" i="1"/>
  <c r="B11255" i="1"/>
  <c r="C11255" i="1"/>
  <c r="A11257" i="1"/>
  <c r="B11257" i="1"/>
  <c r="C11257" i="1"/>
  <c r="A11260" i="1"/>
  <c r="B11260" i="1"/>
  <c r="C11260" i="1"/>
  <c r="A8073" i="1"/>
  <c r="B8073" i="1"/>
  <c r="C8073" i="1"/>
  <c r="A25543" i="1"/>
  <c r="B25543" i="1"/>
  <c r="C25543" i="1"/>
  <c r="A17137" i="1"/>
  <c r="B17137" i="1"/>
  <c r="C17137" i="1"/>
  <c r="A15440" i="1"/>
  <c r="B15440" i="1"/>
  <c r="C15440" i="1"/>
  <c r="A9396" i="1"/>
  <c r="B9396" i="1"/>
  <c r="C9396" i="1"/>
  <c r="A17816" i="1"/>
  <c r="B17816" i="1"/>
  <c r="C17816" i="1"/>
  <c r="A17824" i="1"/>
  <c r="B17824" i="1"/>
  <c r="C17824" i="1"/>
  <c r="A17822" i="1"/>
  <c r="B17822" i="1"/>
  <c r="C17822" i="1"/>
  <c r="A17826" i="1"/>
  <c r="B17826" i="1"/>
  <c r="C17826" i="1"/>
  <c r="A17815" i="1"/>
  <c r="B17815" i="1"/>
  <c r="C17815" i="1"/>
  <c r="A974" i="1"/>
  <c r="B974" i="1"/>
  <c r="C974" i="1"/>
  <c r="A3489" i="1"/>
  <c r="B3489" i="1"/>
  <c r="C3489" i="1"/>
  <c r="A779" i="1"/>
  <c r="B779" i="1"/>
  <c r="C779" i="1"/>
  <c r="A3513" i="1"/>
  <c r="B3513" i="1"/>
  <c r="C3513" i="1"/>
  <c r="A3512" i="1"/>
  <c r="B3512" i="1"/>
  <c r="C3512" i="1"/>
  <c r="A20312" i="1"/>
  <c r="B20312" i="1"/>
  <c r="C20312" i="1"/>
  <c r="A20444" i="1"/>
  <c r="B20444" i="1"/>
  <c r="C20444" i="1"/>
  <c r="A20369" i="1"/>
  <c r="B20369" i="1"/>
  <c r="C20369" i="1"/>
  <c r="A20388" i="1"/>
  <c r="B20388" i="1"/>
  <c r="C20388" i="1"/>
  <c r="A20407" i="1"/>
  <c r="B20407" i="1"/>
  <c r="C20407" i="1"/>
  <c r="A20472" i="1"/>
  <c r="B20472" i="1"/>
  <c r="C20472" i="1"/>
  <c r="A20317" i="1"/>
  <c r="B20317" i="1"/>
  <c r="C20317" i="1"/>
  <c r="A20372" i="1"/>
  <c r="B20372" i="1"/>
  <c r="C20372" i="1"/>
  <c r="A20344" i="1"/>
  <c r="B20344" i="1"/>
  <c r="C20344" i="1"/>
  <c r="A20392" i="1"/>
  <c r="B20392" i="1"/>
  <c r="C20392" i="1"/>
  <c r="A20393" i="1"/>
  <c r="B20393" i="1"/>
  <c r="C20393" i="1"/>
  <c r="A20420" i="1"/>
  <c r="B20420" i="1"/>
  <c r="C20420" i="1"/>
  <c r="A20462" i="1"/>
  <c r="B20462" i="1"/>
  <c r="C20462" i="1"/>
  <c r="A20385" i="1"/>
  <c r="B20385" i="1"/>
  <c r="C20385" i="1"/>
  <c r="A20451" i="1"/>
  <c r="B20451" i="1"/>
  <c r="C20451" i="1"/>
  <c r="A20335" i="1"/>
  <c r="B20335" i="1"/>
  <c r="C20335" i="1"/>
  <c r="A20325" i="1"/>
  <c r="B20325" i="1"/>
  <c r="C20325" i="1"/>
  <c r="A20360" i="1"/>
  <c r="B20360" i="1"/>
  <c r="C20360" i="1"/>
  <c r="A20395" i="1"/>
  <c r="B20395" i="1"/>
  <c r="C20395" i="1"/>
  <c r="A20367" i="1"/>
  <c r="B20367" i="1"/>
  <c r="C20367" i="1"/>
  <c r="A20406" i="1"/>
  <c r="B20406" i="1"/>
  <c r="C20406" i="1"/>
  <c r="A20423" i="1"/>
  <c r="B20423" i="1"/>
  <c r="C20423" i="1"/>
  <c r="A20412" i="1"/>
  <c r="B20412" i="1"/>
  <c r="C20412" i="1"/>
  <c r="A20331" i="1"/>
  <c r="B20331" i="1"/>
  <c r="C20331" i="1"/>
  <c r="A20339" i="1"/>
  <c r="B20339" i="1"/>
  <c r="C20339" i="1"/>
  <c r="A20341" i="1"/>
  <c r="B20341" i="1"/>
  <c r="C20341" i="1"/>
  <c r="A20421" i="1"/>
  <c r="B20421" i="1"/>
  <c r="C20421" i="1"/>
  <c r="A20329" i="1"/>
  <c r="B20329" i="1"/>
  <c r="C20329" i="1"/>
  <c r="A20327" i="1"/>
  <c r="B20327" i="1"/>
  <c r="C20327" i="1"/>
  <c r="A20354" i="1"/>
  <c r="B20354" i="1"/>
  <c r="C20354" i="1"/>
  <c r="A20449" i="1"/>
  <c r="B20449" i="1"/>
  <c r="C20449" i="1"/>
  <c r="A20443" i="1"/>
  <c r="B20443" i="1"/>
  <c r="C20443" i="1"/>
  <c r="A20458" i="1"/>
  <c r="B20458" i="1"/>
  <c r="C20458" i="1"/>
  <c r="A20426" i="1"/>
  <c r="B20426" i="1"/>
  <c r="C20426" i="1"/>
  <c r="A20416" i="1"/>
  <c r="B20416" i="1"/>
  <c r="C20416" i="1"/>
  <c r="A20470" i="1"/>
  <c r="B20470" i="1"/>
  <c r="C20470" i="1"/>
  <c r="A20359" i="1"/>
  <c r="B20359" i="1"/>
  <c r="C20359" i="1"/>
  <c r="A20404" i="1"/>
  <c r="B20404" i="1"/>
  <c r="C20404" i="1"/>
  <c r="A20330" i="1"/>
  <c r="B20330" i="1"/>
  <c r="C20330" i="1"/>
  <c r="A20411" i="1"/>
  <c r="B20411" i="1"/>
  <c r="C20411" i="1"/>
  <c r="A20432" i="1"/>
  <c r="B20432" i="1"/>
  <c r="C20432" i="1"/>
  <c r="A20343" i="1"/>
  <c r="B20343" i="1"/>
  <c r="C20343" i="1"/>
  <c r="A20350" i="1"/>
  <c r="B20350" i="1"/>
  <c r="C20350" i="1"/>
  <c r="A20386" i="1"/>
  <c r="B20386" i="1"/>
  <c r="C20386" i="1"/>
  <c r="A20364" i="1"/>
  <c r="B20364" i="1"/>
  <c r="C20364" i="1"/>
  <c r="A20383" i="1"/>
  <c r="B20383" i="1"/>
  <c r="C20383" i="1"/>
  <c r="A20445" i="1"/>
  <c r="B20445" i="1"/>
  <c r="C20445" i="1"/>
  <c r="A20434" i="1"/>
  <c r="B20434" i="1"/>
  <c r="C20434" i="1"/>
  <c r="A20431" i="1"/>
  <c r="B20431" i="1"/>
  <c r="C20431" i="1"/>
  <c r="A20399" i="1"/>
  <c r="B20399" i="1"/>
  <c r="C20399" i="1"/>
  <c r="A20384" i="1"/>
  <c r="B20384" i="1"/>
  <c r="C20384" i="1"/>
  <c r="A20387" i="1"/>
  <c r="B20387" i="1"/>
  <c r="C20387" i="1"/>
  <c r="A20381" i="1"/>
  <c r="B20381" i="1"/>
  <c r="C20381" i="1"/>
  <c r="A20430" i="1"/>
  <c r="B20430" i="1"/>
  <c r="C20430" i="1"/>
  <c r="A20378" i="1"/>
  <c r="B20378" i="1"/>
  <c r="C20378" i="1"/>
  <c r="A20429" i="1"/>
  <c r="B20429" i="1"/>
  <c r="C20429" i="1"/>
  <c r="A17113" i="1"/>
  <c r="B17113" i="1"/>
  <c r="C17113" i="1"/>
  <c r="A17114" i="1"/>
  <c r="B17114" i="1"/>
  <c r="C17114" i="1"/>
  <c r="A17115" i="1"/>
  <c r="B17115" i="1"/>
  <c r="C17115" i="1"/>
  <c r="A17328" i="1"/>
  <c r="B17328" i="1"/>
  <c r="C17328" i="1"/>
  <c r="A17327" i="1"/>
  <c r="B17327" i="1"/>
  <c r="C17327" i="1"/>
  <c r="A17324" i="1"/>
  <c r="B17324" i="1"/>
  <c r="C17324" i="1"/>
  <c r="A17322" i="1"/>
  <c r="B17322" i="1"/>
  <c r="C17322" i="1"/>
  <c r="A17323" i="1"/>
  <c r="B17323" i="1"/>
  <c r="C17323" i="1"/>
  <c r="A17348" i="1"/>
  <c r="B17348" i="1"/>
  <c r="C17348" i="1"/>
  <c r="A17349" i="1"/>
  <c r="B17349" i="1"/>
  <c r="C17349" i="1"/>
  <c r="A17326" i="1"/>
  <c r="B17326" i="1"/>
  <c r="C17326" i="1"/>
  <c r="A17331" i="1"/>
  <c r="B17331" i="1"/>
  <c r="C17331" i="1"/>
  <c r="A17330" i="1"/>
  <c r="B17330" i="1"/>
  <c r="C17330" i="1"/>
  <c r="A17335" i="1"/>
  <c r="B17335" i="1"/>
  <c r="C17335" i="1"/>
  <c r="A17287" i="1"/>
  <c r="B17287" i="1"/>
  <c r="C17287" i="1"/>
  <c r="A17129" i="1"/>
  <c r="B17129" i="1"/>
  <c r="C17129" i="1"/>
  <c r="A17128" i="1"/>
  <c r="B17128" i="1"/>
  <c r="C17128" i="1"/>
  <c r="A17166" i="1"/>
  <c r="B17166" i="1"/>
  <c r="C17166" i="1"/>
  <c r="A17311" i="1"/>
  <c r="B17311" i="1"/>
  <c r="C17311" i="1"/>
  <c r="A17350" i="1"/>
  <c r="B17350" i="1"/>
  <c r="C17350" i="1"/>
  <c r="A18705" i="1"/>
  <c r="B18705" i="1"/>
  <c r="C18705" i="1"/>
  <c r="A18755" i="1"/>
  <c r="B18755" i="1"/>
  <c r="C18755" i="1"/>
  <c r="A11113" i="1"/>
  <c r="B11113" i="1"/>
  <c r="C11113" i="1"/>
  <c r="A11132" i="1"/>
  <c r="B11132" i="1"/>
  <c r="C11132" i="1"/>
  <c r="A11243" i="1"/>
  <c r="B11243" i="1"/>
  <c r="C11243" i="1"/>
  <c r="A11131" i="1"/>
  <c r="B11131" i="1"/>
  <c r="C11131" i="1"/>
  <c r="A11245" i="1"/>
  <c r="B11245" i="1"/>
  <c r="C11245" i="1"/>
  <c r="A11235" i="1"/>
  <c r="B11235" i="1"/>
  <c r="C11235" i="1"/>
  <c r="A11236" i="1"/>
  <c r="B11236" i="1"/>
  <c r="C11236" i="1"/>
  <c r="A11275" i="1"/>
  <c r="B11275" i="1"/>
  <c r="C11275" i="1"/>
  <c r="A11241" i="1"/>
  <c r="B11241" i="1"/>
  <c r="C11241" i="1"/>
  <c r="A11216" i="1"/>
  <c r="B11216" i="1"/>
  <c r="C11216" i="1"/>
  <c r="A11127" i="1"/>
  <c r="B11127" i="1"/>
  <c r="C11127" i="1"/>
  <c r="A11201" i="1"/>
  <c r="B11201" i="1"/>
  <c r="C11201" i="1"/>
  <c r="A11128" i="1"/>
  <c r="B11128" i="1"/>
  <c r="C11128" i="1"/>
  <c r="A11234" i="1"/>
  <c r="B11234" i="1"/>
  <c r="C11234" i="1"/>
  <c r="A11215" i="1"/>
  <c r="B11215" i="1"/>
  <c r="C11215" i="1"/>
  <c r="A11270" i="1"/>
  <c r="B11270" i="1"/>
  <c r="C11270" i="1"/>
  <c r="A11130" i="1"/>
  <c r="B11130" i="1"/>
  <c r="C11130" i="1"/>
  <c r="A11129" i="1"/>
  <c r="B11129" i="1"/>
  <c r="C11129" i="1"/>
  <c r="A11274" i="1"/>
  <c r="B11274" i="1"/>
  <c r="C11274" i="1"/>
  <c r="A11126" i="1"/>
  <c r="B11126" i="1"/>
  <c r="C11126" i="1"/>
  <c r="A11228" i="1"/>
  <c r="B11228" i="1"/>
  <c r="C11228" i="1"/>
  <c r="A11240" i="1"/>
  <c r="B11240" i="1"/>
  <c r="C11240" i="1"/>
  <c r="A11239" i="1"/>
  <c r="B11239" i="1"/>
  <c r="C11239" i="1"/>
  <c r="A11276" i="1"/>
  <c r="B11276" i="1"/>
  <c r="C11276" i="1"/>
  <c r="A14640" i="1"/>
  <c r="B14640" i="1"/>
  <c r="C14640" i="1"/>
  <c r="A14630" i="1"/>
  <c r="B14630" i="1"/>
  <c r="C14630" i="1"/>
  <c r="A14633" i="1"/>
  <c r="B14633" i="1"/>
  <c r="C14633" i="1"/>
  <c r="A14637" i="1"/>
  <c r="B14637" i="1"/>
  <c r="C14637" i="1"/>
  <c r="A14638" i="1"/>
  <c r="B14638" i="1"/>
  <c r="C14638" i="1"/>
  <c r="A14639" i="1"/>
  <c r="B14639" i="1"/>
  <c r="C14639" i="1"/>
  <c r="A14641" i="1"/>
  <c r="B14641" i="1"/>
  <c r="C14641" i="1"/>
  <c r="A14642" i="1"/>
  <c r="B14642" i="1"/>
  <c r="C14642" i="1"/>
  <c r="A14631" i="1"/>
  <c r="B14631" i="1"/>
  <c r="C14631" i="1"/>
  <c r="A14634" i="1"/>
  <c r="B14634" i="1"/>
  <c r="C14634" i="1"/>
  <c r="A14635" i="1"/>
  <c r="B14635" i="1"/>
  <c r="C14635" i="1"/>
  <c r="A18387" i="1"/>
  <c r="B18387" i="1"/>
  <c r="C18387" i="1"/>
  <c r="A20417" i="1"/>
  <c r="B20417" i="1"/>
  <c r="C20417" i="1"/>
  <c r="A17038" i="1"/>
  <c r="B17038" i="1"/>
  <c r="C17038" i="1"/>
  <c r="A20829" i="1"/>
  <c r="B20829" i="1"/>
  <c r="C20829" i="1"/>
  <c r="A17372" i="1"/>
  <c r="B17372" i="1"/>
  <c r="C17372" i="1"/>
  <c r="A17369" i="1"/>
  <c r="B17369" i="1"/>
  <c r="C17369" i="1"/>
  <c r="A24604" i="1"/>
  <c r="B24604" i="1"/>
  <c r="C24604" i="1"/>
  <c r="A21781" i="1"/>
  <c r="B21781" i="1"/>
  <c r="C21781" i="1"/>
  <c r="A21869" i="1"/>
  <c r="B21869" i="1"/>
  <c r="C21869" i="1"/>
  <c r="A16595" i="1"/>
  <c r="B16595" i="1"/>
  <c r="C16595" i="1"/>
  <c r="A22312" i="1"/>
  <c r="B22312" i="1"/>
  <c r="C22312" i="1"/>
  <c r="A18013" i="1"/>
  <c r="B18013" i="1"/>
  <c r="C18013" i="1"/>
  <c r="A21798" i="1"/>
  <c r="C21798" i="1"/>
  <c r="A21852" i="1"/>
  <c r="B21852" i="1"/>
  <c r="C21852" i="1"/>
  <c r="A6328" i="1"/>
  <c r="B6328" i="1"/>
  <c r="C6328" i="1"/>
  <c r="A24268" i="1"/>
  <c r="B24268" i="1"/>
  <c r="C24268" i="1"/>
  <c r="A711" i="1"/>
  <c r="B711" i="1"/>
  <c r="C711" i="1"/>
  <c r="A23280" i="1"/>
  <c r="B23280" i="1"/>
  <c r="C23280" i="1"/>
  <c r="A18325" i="1"/>
  <c r="B18325" i="1"/>
  <c r="C18325" i="1"/>
  <c r="A18329" i="1"/>
  <c r="B18329" i="1"/>
  <c r="C18329" i="1"/>
  <c r="A7713" i="1"/>
  <c r="B7713" i="1"/>
  <c r="C7713" i="1"/>
  <c r="A139" i="1"/>
  <c r="B139" i="1"/>
  <c r="C139" i="1"/>
  <c r="A140" i="1"/>
  <c r="B140" i="1"/>
  <c r="C140" i="1"/>
  <c r="A7241" i="1"/>
  <c r="B7241" i="1"/>
  <c r="C7241" i="1"/>
  <c r="A7235" i="1"/>
  <c r="B7235" i="1"/>
  <c r="C7235" i="1"/>
  <c r="A7231" i="1"/>
  <c r="B7231" i="1"/>
  <c r="C7231" i="1"/>
  <c r="A7233" i="1"/>
  <c r="B7233" i="1"/>
  <c r="C7233" i="1"/>
  <c r="A13192" i="1"/>
  <c r="B13192" i="1"/>
  <c r="C13192" i="1"/>
  <c r="A9746" i="1"/>
  <c r="B9746" i="1"/>
  <c r="C9746" i="1"/>
  <c r="A24786" i="1"/>
  <c r="B24786" i="1"/>
  <c r="C24786" i="1"/>
  <c r="A24782" i="1"/>
  <c r="B24782" i="1"/>
  <c r="C24782" i="1"/>
  <c r="A24783" i="1"/>
  <c r="B24783" i="1"/>
  <c r="C24783" i="1"/>
  <c r="A19851" i="1"/>
  <c r="B19851" i="1"/>
  <c r="C19851" i="1"/>
  <c r="A20940" i="1"/>
  <c r="B20940" i="1"/>
  <c r="C20940" i="1"/>
  <c r="A6562" i="1"/>
  <c r="B6562" i="1"/>
  <c r="C6562" i="1"/>
  <c r="A6553" i="1"/>
  <c r="B6553" i="1"/>
  <c r="C6553" i="1"/>
  <c r="A930" i="1"/>
  <c r="B930" i="1"/>
  <c r="C930" i="1"/>
  <c r="A932" i="1"/>
  <c r="B932" i="1"/>
  <c r="C932" i="1"/>
  <c r="A933" i="1"/>
  <c r="B933" i="1"/>
  <c r="C933" i="1"/>
  <c r="A934" i="1"/>
  <c r="B934" i="1"/>
  <c r="C934" i="1"/>
  <c r="A945" i="1"/>
  <c r="B945" i="1"/>
  <c r="C945" i="1"/>
  <c r="A17880" i="1"/>
  <c r="B17880" i="1"/>
  <c r="C17880" i="1"/>
  <c r="A11835" i="1"/>
  <c r="B11835" i="1"/>
  <c r="C11835" i="1"/>
  <c r="A11845" i="1"/>
  <c r="B11845" i="1"/>
  <c r="C11845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25471" i="1"/>
  <c r="B25471" i="1"/>
  <c r="C25471" i="1"/>
  <c r="A25473" i="1"/>
  <c r="B25473" i="1"/>
  <c r="C25473" i="1"/>
  <c r="A25469" i="1"/>
  <c r="B25469" i="1"/>
  <c r="C25469" i="1"/>
  <c r="A25478" i="1"/>
  <c r="B25478" i="1"/>
  <c r="C25478" i="1"/>
  <c r="A25479" i="1"/>
  <c r="B25479" i="1"/>
  <c r="C25479" i="1"/>
  <c r="A25480" i="1"/>
  <c r="B25480" i="1"/>
  <c r="C25480" i="1"/>
  <c r="A25481" i="1"/>
  <c r="B25481" i="1"/>
  <c r="C25481" i="1"/>
  <c r="A25474" i="1"/>
  <c r="B25474" i="1"/>
  <c r="C25474" i="1"/>
  <c r="A25470" i="1"/>
  <c r="B25470" i="1"/>
  <c r="C25470" i="1"/>
  <c r="A1028" i="1"/>
  <c r="B1028" i="1"/>
  <c r="C1028" i="1"/>
  <c r="A13606" i="1"/>
  <c r="B13606" i="1"/>
  <c r="C13606" i="1"/>
  <c r="A1031" i="1"/>
  <c r="B1031" i="1"/>
  <c r="C1031" i="1"/>
  <c r="A9509" i="1"/>
  <c r="B9509" i="1"/>
  <c r="C9509" i="1"/>
  <c r="A263" i="1"/>
  <c r="B263" i="1"/>
  <c r="C263" i="1"/>
  <c r="A268" i="1"/>
  <c r="B268" i="1"/>
  <c r="C268" i="1"/>
  <c r="A21921" i="1"/>
  <c r="B21921" i="1"/>
  <c r="C21921" i="1"/>
  <c r="A11155" i="1"/>
  <c r="B11155" i="1"/>
  <c r="C11155" i="1"/>
  <c r="A9526" i="1"/>
  <c r="B9526" i="1"/>
  <c r="C9526" i="1"/>
  <c r="A18646" i="1"/>
  <c r="B18646" i="1"/>
  <c r="C18646" i="1"/>
  <c r="A18647" i="1"/>
  <c r="B18647" i="1"/>
  <c r="C18647" i="1"/>
  <c r="A17122" i="1"/>
  <c r="B17122" i="1"/>
  <c r="C17122" i="1"/>
  <c r="A22305" i="1"/>
  <c r="B22305" i="1"/>
  <c r="C22305" i="1"/>
  <c r="A6284" i="1"/>
  <c r="B6284" i="1"/>
  <c r="C6284" i="1"/>
  <c r="A11877" i="1"/>
  <c r="B11877" i="1"/>
  <c r="C11877" i="1"/>
  <c r="A23301" i="1"/>
  <c r="B23301" i="1"/>
  <c r="C23301" i="1"/>
  <c r="A5302" i="1"/>
  <c r="B5302" i="1"/>
  <c r="C5302" i="1"/>
  <c r="A13797" i="1"/>
  <c r="B13797" i="1"/>
  <c r="C13797" i="1"/>
  <c r="A1222" i="1"/>
  <c r="B1222" i="1"/>
  <c r="C1222" i="1"/>
  <c r="A1231" i="1"/>
  <c r="B1231" i="1"/>
  <c r="C1231" i="1"/>
  <c r="A1232" i="1"/>
  <c r="B1232" i="1"/>
  <c r="C1232" i="1"/>
  <c r="A1239" i="1"/>
  <c r="B1239" i="1"/>
  <c r="C1239" i="1"/>
  <c r="A1245" i="1"/>
  <c r="B1245" i="1"/>
  <c r="C1245" i="1"/>
  <c r="A1249" i="1"/>
  <c r="B1249" i="1"/>
  <c r="C1249" i="1"/>
  <c r="A1255" i="1"/>
  <c r="B1255" i="1"/>
  <c r="C1255" i="1"/>
  <c r="A1252" i="1"/>
  <c r="B1252" i="1"/>
  <c r="C1252" i="1"/>
  <c r="A9974" i="1"/>
  <c r="B9974" i="1"/>
  <c r="C9974" i="1"/>
  <c r="A9973" i="1"/>
  <c r="B9973" i="1"/>
  <c r="C9973" i="1"/>
  <c r="A15224" i="1"/>
  <c r="B15224" i="1"/>
  <c r="C15224" i="1"/>
  <c r="A3797" i="1"/>
  <c r="B3797" i="1"/>
  <c r="C3797" i="1"/>
  <c r="A9118" i="1"/>
  <c r="B9118" i="1"/>
  <c r="C9118" i="1"/>
  <c r="A24481" i="1"/>
  <c r="B24481" i="1"/>
  <c r="C24481" i="1"/>
  <c r="A9972" i="1"/>
  <c r="B9972" i="1"/>
  <c r="C9972" i="1"/>
  <c r="A9969" i="1"/>
  <c r="B9969" i="1"/>
  <c r="C9969" i="1"/>
  <c r="A9970" i="1"/>
  <c r="B9970" i="1"/>
  <c r="C9970" i="1"/>
  <c r="A9971" i="1"/>
  <c r="B9971" i="1"/>
  <c r="C9971" i="1"/>
  <c r="A9877" i="1"/>
  <c r="B9877" i="1"/>
  <c r="C9877" i="1"/>
  <c r="A23790" i="1"/>
  <c r="B23790" i="1"/>
  <c r="C23790" i="1"/>
  <c r="A9965" i="1"/>
  <c r="B9965" i="1"/>
  <c r="C9965" i="1"/>
  <c r="A16605" i="1"/>
  <c r="B16605" i="1"/>
  <c r="C16605" i="1"/>
  <c r="A12268" i="1"/>
  <c r="B12268" i="1"/>
  <c r="C12268" i="1"/>
  <c r="A12273" i="1"/>
  <c r="B12273" i="1"/>
  <c r="C12273" i="1"/>
  <c r="A9822" i="1"/>
  <c r="B9822" i="1"/>
  <c r="C9822" i="1"/>
  <c r="A24791" i="1"/>
  <c r="B24791" i="1"/>
  <c r="C24791" i="1"/>
  <c r="A17162" i="1"/>
  <c r="B17162" i="1"/>
  <c r="C17162" i="1"/>
  <c r="A17298" i="1"/>
  <c r="B17298" i="1"/>
  <c r="C17298" i="1"/>
  <c r="A21021" i="1"/>
  <c r="B21021" i="1"/>
  <c r="C21021" i="1"/>
  <c r="A3552" i="1"/>
  <c r="B3552" i="1"/>
  <c r="C3552" i="1"/>
  <c r="A3561" i="1"/>
  <c r="B3561" i="1"/>
  <c r="C3561" i="1"/>
  <c r="A3560" i="1"/>
  <c r="B3560" i="1"/>
  <c r="C3560" i="1"/>
  <c r="A3563" i="1"/>
  <c r="B3563" i="1"/>
  <c r="C3563" i="1"/>
  <c r="A3555" i="1"/>
  <c r="B3555" i="1"/>
  <c r="C3555" i="1"/>
  <c r="A3554" i="1"/>
  <c r="B3554" i="1"/>
  <c r="C3554" i="1"/>
  <c r="A3559" i="1"/>
  <c r="B3559" i="1"/>
  <c r="C3559" i="1"/>
  <c r="A3556" i="1"/>
  <c r="B3556" i="1"/>
  <c r="C3556" i="1"/>
  <c r="A3553" i="1"/>
  <c r="B3553" i="1"/>
  <c r="C3553" i="1"/>
  <c r="A3558" i="1"/>
  <c r="B3558" i="1"/>
  <c r="C3558" i="1"/>
  <c r="A3557" i="1"/>
  <c r="B3557" i="1"/>
  <c r="C3557" i="1"/>
  <c r="A1489" i="1"/>
  <c r="B1489" i="1"/>
  <c r="C1489" i="1"/>
  <c r="A1485" i="1"/>
  <c r="B1485" i="1"/>
  <c r="C1485" i="1"/>
  <c r="A17299" i="1"/>
  <c r="B17299" i="1"/>
  <c r="C17299" i="1"/>
  <c r="A17334" i="1"/>
  <c r="B17334" i="1"/>
  <c r="C17334" i="1"/>
  <c r="A17332" i="1"/>
  <c r="B17332" i="1"/>
  <c r="C17332" i="1"/>
  <c r="A17333" i="1"/>
  <c r="B17333" i="1"/>
  <c r="C17333" i="1"/>
  <c r="A17121" i="1"/>
  <c r="B17121" i="1"/>
  <c r="C17121" i="1"/>
  <c r="A17213" i="1"/>
  <c r="B17213" i="1"/>
  <c r="C17213" i="1"/>
  <c r="A17283" i="1"/>
  <c r="B17283" i="1"/>
  <c r="C17283" i="1"/>
  <c r="A17163" i="1"/>
  <c r="B17163" i="1"/>
  <c r="C17163" i="1"/>
  <c r="A17211" i="1"/>
  <c r="B17211" i="1"/>
  <c r="C17211" i="1"/>
  <c r="A17216" i="1"/>
  <c r="B17216" i="1"/>
  <c r="C17216" i="1"/>
  <c r="A17269" i="1"/>
  <c r="B17269" i="1"/>
  <c r="C17269" i="1"/>
  <c r="A3669" i="1"/>
  <c r="B3669" i="1"/>
  <c r="C3669" i="1"/>
  <c r="A7290" i="1"/>
  <c r="B7290" i="1"/>
  <c r="C7290" i="1"/>
  <c r="A20326" i="1"/>
  <c r="B20326" i="1"/>
  <c r="C20326" i="1"/>
  <c r="A20336" i="1"/>
  <c r="B20336" i="1"/>
  <c r="C20336" i="1"/>
  <c r="A20340" i="1"/>
  <c r="B20340" i="1"/>
  <c r="C20340" i="1"/>
  <c r="A20338" i="1"/>
  <c r="B20338" i="1"/>
  <c r="C20338" i="1"/>
  <c r="A20332" i="1"/>
  <c r="B20332" i="1"/>
  <c r="C20332" i="1"/>
  <c r="A20353" i="1"/>
  <c r="B20353" i="1"/>
  <c r="C20353" i="1"/>
  <c r="A20401" i="1"/>
  <c r="B20401" i="1"/>
  <c r="C20401" i="1"/>
  <c r="A20413" i="1"/>
  <c r="B20413" i="1"/>
  <c r="C20413" i="1"/>
  <c r="A20422" i="1"/>
  <c r="B20422" i="1"/>
  <c r="C20422" i="1"/>
  <c r="A20440" i="1"/>
  <c r="B20440" i="1"/>
  <c r="C20440" i="1"/>
  <c r="A17558" i="1"/>
  <c r="B17558" i="1"/>
  <c r="C17558" i="1"/>
  <c r="A18685" i="1"/>
  <c r="C18685" i="1"/>
  <c r="A9933" i="1"/>
  <c r="C9933" i="1"/>
  <c r="A74" i="1"/>
  <c r="B74" i="1"/>
  <c r="C74" i="1"/>
  <c r="A69" i="1"/>
  <c r="B69" i="1"/>
  <c r="C69" i="1"/>
  <c r="A70" i="1"/>
  <c r="B70" i="1"/>
  <c r="C70" i="1"/>
  <c r="A76" i="1"/>
  <c r="C76" i="1"/>
  <c r="A2769" i="1"/>
  <c r="B2769" i="1"/>
  <c r="C2769" i="1"/>
  <c r="A25305" i="1"/>
  <c r="B25305" i="1"/>
  <c r="C25305" i="1"/>
  <c r="A25304" i="1"/>
  <c r="B25304" i="1"/>
  <c r="C25304" i="1"/>
  <c r="A9062" i="1"/>
  <c r="B9062" i="1"/>
  <c r="C9062" i="1"/>
  <c r="A22166" i="1"/>
  <c r="B22166" i="1"/>
  <c r="C22166" i="1"/>
  <c r="A11301" i="1"/>
  <c r="B11301" i="1"/>
  <c r="C11301" i="1"/>
  <c r="A8153" i="1"/>
  <c r="B8153" i="1"/>
  <c r="C8153" i="1"/>
  <c r="A8149" i="1"/>
  <c r="B8149" i="1"/>
  <c r="C8149" i="1"/>
  <c r="A8152" i="1"/>
  <c r="B8152" i="1"/>
  <c r="C8152" i="1"/>
  <c r="A8160" i="1"/>
  <c r="B8160" i="1"/>
  <c r="C8160" i="1"/>
  <c r="A8158" i="1"/>
  <c r="B8158" i="1"/>
  <c r="C8158" i="1"/>
  <c r="A8155" i="1"/>
  <c r="B8155" i="1"/>
  <c r="C8155" i="1"/>
  <c r="A8159" i="1"/>
  <c r="B8159" i="1"/>
  <c r="C8159" i="1"/>
  <c r="A8156" i="1"/>
  <c r="B8156" i="1"/>
  <c r="C8156" i="1"/>
  <c r="A8162" i="1"/>
  <c r="B8162" i="1"/>
  <c r="C8162" i="1"/>
  <c r="A8161" i="1"/>
  <c r="B8161" i="1"/>
  <c r="C8161" i="1"/>
  <c r="A8148" i="1"/>
  <c r="B8148" i="1"/>
  <c r="C8148" i="1"/>
  <c r="A8196" i="1"/>
  <c r="B8196" i="1"/>
  <c r="C8196" i="1"/>
  <c r="A8050" i="1"/>
  <c r="B8050" i="1"/>
  <c r="C8050" i="1"/>
  <c r="A8100" i="1"/>
  <c r="B8100" i="1"/>
  <c r="C8100" i="1"/>
  <c r="A8047" i="1"/>
  <c r="B8047" i="1"/>
  <c r="C8047" i="1"/>
  <c r="A8097" i="1"/>
  <c r="B8097" i="1"/>
  <c r="C8097" i="1"/>
  <c r="A8086" i="1"/>
  <c r="B8086" i="1"/>
  <c r="C8086" i="1"/>
  <c r="A8118" i="1"/>
  <c r="B8118" i="1"/>
  <c r="C8118" i="1"/>
  <c r="A11964" i="1"/>
  <c r="B11964" i="1"/>
  <c r="C11964" i="1"/>
  <c r="A18669" i="1"/>
  <c r="B18669" i="1"/>
  <c r="C18669" i="1"/>
  <c r="A18668" i="1"/>
  <c r="B18668" i="1"/>
  <c r="C18668" i="1"/>
  <c r="A14857" i="1"/>
  <c r="B14857" i="1"/>
  <c r="C14857" i="1"/>
  <c r="A14858" i="1"/>
  <c r="B14858" i="1"/>
  <c r="C14858" i="1"/>
  <c r="A14859" i="1"/>
  <c r="B14859" i="1"/>
  <c r="C14859" i="1"/>
  <c r="A14860" i="1"/>
  <c r="B14860" i="1"/>
  <c r="C14860" i="1"/>
  <c r="A18671" i="1"/>
  <c r="B18671" i="1"/>
  <c r="C18671" i="1"/>
  <c r="A15160" i="1"/>
  <c r="B15160" i="1"/>
  <c r="C15160" i="1"/>
  <c r="A2833" i="1"/>
  <c r="B2833" i="1"/>
  <c r="C2833" i="1"/>
  <c r="A8295" i="1"/>
  <c r="B8295" i="1"/>
  <c r="C8295" i="1"/>
  <c r="A10764" i="1"/>
  <c r="B10764" i="1"/>
  <c r="C10764" i="1"/>
  <c r="A15335" i="1"/>
  <c r="B15335" i="1"/>
  <c r="C15335" i="1"/>
  <c r="A19251" i="1"/>
  <c r="B19251" i="1"/>
  <c r="C19251" i="1"/>
  <c r="A19548" i="1"/>
  <c r="B19548" i="1"/>
  <c r="C19548" i="1"/>
  <c r="A14626" i="1"/>
  <c r="B14626" i="1"/>
  <c r="C14626" i="1"/>
  <c r="A14625" i="1"/>
  <c r="B14625" i="1"/>
  <c r="C14625" i="1"/>
  <c r="A19533" i="1"/>
  <c r="B19533" i="1"/>
  <c r="C19533" i="1"/>
  <c r="A8459" i="1"/>
  <c r="B8459" i="1"/>
  <c r="C8459" i="1"/>
  <c r="A19529" i="1"/>
  <c r="B19529" i="1"/>
  <c r="C19529" i="1"/>
  <c r="A23181" i="1"/>
  <c r="B23181" i="1"/>
  <c r="C23181" i="1"/>
  <c r="A8305" i="1"/>
  <c r="B8305" i="1"/>
  <c r="C8305" i="1"/>
  <c r="A8301" i="1"/>
  <c r="B8301" i="1"/>
  <c r="C8301" i="1"/>
  <c r="A24784" i="1"/>
  <c r="B24784" i="1"/>
  <c r="C24784" i="1"/>
  <c r="A20779" i="1"/>
  <c r="B20779" i="1"/>
  <c r="C20779" i="1"/>
  <c r="A19059" i="1"/>
  <c r="B19059" i="1"/>
  <c r="C19059" i="1"/>
  <c r="A21717" i="1"/>
  <c r="B21717" i="1"/>
  <c r="C21717" i="1"/>
  <c r="A21846" i="1"/>
  <c r="B21846" i="1"/>
  <c r="C21846" i="1"/>
  <c r="A21711" i="1"/>
  <c r="B21711" i="1"/>
  <c r="C21711" i="1"/>
  <c r="A21862" i="1"/>
  <c r="B21862" i="1"/>
  <c r="C21862" i="1"/>
  <c r="A7147" i="1"/>
  <c r="B7147" i="1"/>
  <c r="C7147" i="1"/>
  <c r="A20258" i="1"/>
  <c r="B20258" i="1"/>
  <c r="C20258" i="1"/>
  <c r="A20255" i="1"/>
  <c r="B20255" i="1"/>
  <c r="C20255" i="1"/>
  <c r="A20259" i="1"/>
  <c r="B20259" i="1"/>
  <c r="C20259" i="1"/>
  <c r="A6940" i="1"/>
  <c r="B6940" i="1"/>
  <c r="C6940" i="1"/>
  <c r="A21712" i="1"/>
  <c r="B21712" i="1"/>
  <c r="C21712" i="1"/>
  <c r="A23833" i="1"/>
  <c r="B23833" i="1"/>
  <c r="C23833" i="1"/>
  <c r="A23831" i="1"/>
  <c r="B23831" i="1"/>
  <c r="C23831" i="1"/>
  <c r="A23951" i="1"/>
  <c r="B23951" i="1"/>
  <c r="C23951" i="1"/>
  <c r="A20188" i="1"/>
  <c r="B20188" i="1"/>
  <c r="C20188" i="1"/>
  <c r="A8917" i="1"/>
  <c r="B8917" i="1"/>
  <c r="C8917" i="1"/>
  <c r="A14156" i="1"/>
  <c r="B14156" i="1"/>
  <c r="C14156" i="1"/>
  <c r="A9542" i="1"/>
  <c r="B9542" i="1"/>
  <c r="C9542" i="1"/>
  <c r="A9545" i="1"/>
  <c r="B9545" i="1"/>
  <c r="C9545" i="1"/>
  <c r="A17022" i="1"/>
  <c r="B17022" i="1"/>
  <c r="C17022" i="1"/>
  <c r="A9543" i="1"/>
  <c r="B9543" i="1"/>
  <c r="C9543" i="1"/>
  <c r="A16025" i="1"/>
  <c r="B16025" i="1"/>
  <c r="C16025" i="1"/>
  <c r="A16026" i="1"/>
  <c r="B16026" i="1"/>
  <c r="C16026" i="1"/>
  <c r="A16040" i="1"/>
  <c r="C16040" i="1"/>
  <c r="A16023" i="1"/>
  <c r="B16023" i="1"/>
  <c r="C16023" i="1"/>
  <c r="A16090" i="1"/>
  <c r="C16090" i="1"/>
  <c r="A16042" i="1"/>
  <c r="C16042" i="1"/>
  <c r="A16029" i="1"/>
  <c r="B16029" i="1"/>
  <c r="C16029" i="1"/>
  <c r="A16028" i="1"/>
  <c r="B16028" i="1"/>
  <c r="C16028" i="1"/>
  <c r="A16027" i="1"/>
  <c r="B16027" i="1"/>
  <c r="C16027" i="1"/>
  <c r="A16044" i="1"/>
  <c r="C16044" i="1"/>
  <c r="A16034" i="1"/>
  <c r="B16034" i="1"/>
  <c r="C16034" i="1"/>
  <c r="A21684" i="1"/>
  <c r="B21684" i="1"/>
  <c r="C21684" i="1"/>
  <c r="A9953" i="1"/>
  <c r="B9953" i="1"/>
  <c r="C9953" i="1"/>
  <c r="A9923" i="1"/>
  <c r="B9923" i="1"/>
  <c r="C9923" i="1"/>
  <c r="A9918" i="1"/>
  <c r="B9918" i="1"/>
  <c r="C9918" i="1"/>
  <c r="A6033" i="1"/>
  <c r="B6033" i="1"/>
  <c r="C6033" i="1"/>
  <c r="A17460" i="1"/>
  <c r="B17460" i="1"/>
  <c r="C17460" i="1"/>
  <c r="A22692" i="1"/>
  <c r="C22692" i="1"/>
  <c r="A15231" i="1"/>
  <c r="C15231" i="1"/>
  <c r="A12423" i="1"/>
  <c r="B12423" i="1"/>
  <c r="C12423" i="1"/>
  <c r="A22690" i="1"/>
  <c r="B22690" i="1"/>
  <c r="C22690" i="1"/>
  <c r="A17461" i="1"/>
  <c r="B17461" i="1"/>
  <c r="C17461" i="1"/>
  <c r="A22691" i="1"/>
  <c r="B22691" i="1"/>
  <c r="C22691" i="1"/>
  <c r="A11641" i="1"/>
  <c r="C11641" i="1"/>
  <c r="A9298" i="1"/>
  <c r="B9298" i="1"/>
  <c r="C9298" i="1"/>
  <c r="A19248" i="1"/>
  <c r="B19248" i="1"/>
  <c r="C19248" i="1"/>
  <c r="A7125" i="1"/>
  <c r="B7125" i="1"/>
  <c r="C7125" i="1"/>
  <c r="A16855" i="1"/>
  <c r="B16855" i="1"/>
  <c r="C16855" i="1"/>
  <c r="A5203" i="1"/>
  <c r="B5203" i="1"/>
  <c r="C5203" i="1"/>
  <c r="A2631" i="1"/>
  <c r="B2631" i="1"/>
  <c r="C2631" i="1"/>
  <c r="A2629" i="1"/>
  <c r="B2629" i="1"/>
  <c r="C2629" i="1"/>
  <c r="A2628" i="1"/>
  <c r="B2628" i="1"/>
  <c r="C2628" i="1"/>
  <c r="A3914" i="1"/>
  <c r="B3914" i="1"/>
  <c r="C3914" i="1"/>
  <c r="A4767" i="1"/>
  <c r="B4767" i="1"/>
  <c r="C4767" i="1"/>
  <c r="A21778" i="1"/>
  <c r="B21778" i="1"/>
  <c r="C21778" i="1"/>
  <c r="A22096" i="1"/>
  <c r="C22096" i="1"/>
  <c r="A9311" i="1"/>
  <c r="C9311" i="1"/>
  <c r="A23760" i="1"/>
  <c r="B23760" i="1"/>
  <c r="C23760" i="1"/>
  <c r="A8897" i="1"/>
  <c r="B8897" i="1"/>
  <c r="C8897" i="1"/>
  <c r="A2921" i="1"/>
  <c r="C2921" i="1"/>
  <c r="A19031" i="1"/>
  <c r="B19031" i="1"/>
  <c r="C19031" i="1"/>
  <c r="A21882" i="1"/>
  <c r="B21882" i="1"/>
  <c r="C21882" i="1"/>
  <c r="A986" i="1"/>
  <c r="B986" i="1"/>
  <c r="C986" i="1"/>
  <c r="A979" i="1"/>
  <c r="B979" i="1"/>
  <c r="C979" i="1"/>
  <c r="A985" i="1"/>
  <c r="B985" i="1"/>
  <c r="C985" i="1"/>
  <c r="A978" i="1"/>
  <c r="B978" i="1"/>
  <c r="C978" i="1"/>
  <c r="A975" i="1"/>
  <c r="B975" i="1"/>
  <c r="C975" i="1"/>
  <c r="A981" i="1"/>
  <c r="B981" i="1"/>
  <c r="C981" i="1"/>
  <c r="A991" i="1"/>
  <c r="B991" i="1"/>
  <c r="C991" i="1"/>
  <c r="A989" i="1"/>
  <c r="B989" i="1"/>
  <c r="C989" i="1"/>
  <c r="A16074" i="1"/>
  <c r="C16074" i="1"/>
  <c r="A1604" i="1"/>
  <c r="B1604" i="1"/>
  <c r="C1604" i="1"/>
  <c r="A1607" i="1"/>
  <c r="B1607" i="1"/>
  <c r="C1607" i="1"/>
  <c r="A1087" i="1"/>
  <c r="B1087" i="1"/>
  <c r="C1087" i="1"/>
  <c r="A1602" i="1"/>
  <c r="B1602" i="1"/>
  <c r="C1602" i="1"/>
  <c r="A1605" i="1"/>
  <c r="B1605" i="1"/>
  <c r="C1605" i="1"/>
  <c r="A1600" i="1"/>
  <c r="B1600" i="1"/>
  <c r="C1600" i="1"/>
  <c r="A1095" i="1"/>
  <c r="B1095" i="1"/>
  <c r="C1095" i="1"/>
  <c r="A1599" i="1"/>
  <c r="B1599" i="1"/>
  <c r="C1599" i="1"/>
  <c r="A1096" i="1"/>
  <c r="B1096" i="1"/>
  <c r="C1096" i="1"/>
  <c r="A12068" i="1"/>
  <c r="B12068" i="1"/>
  <c r="C12068" i="1"/>
  <c r="A1603" i="1"/>
  <c r="B1603" i="1"/>
  <c r="C1603" i="1"/>
  <c r="A976" i="1"/>
  <c r="B976" i="1"/>
  <c r="C976" i="1"/>
  <c r="A1601" i="1"/>
  <c r="B1601" i="1"/>
  <c r="C1601" i="1"/>
  <c r="A1606" i="1"/>
  <c r="B1606" i="1"/>
  <c r="C1606" i="1"/>
  <c r="A12069" i="1"/>
  <c r="B12069" i="1"/>
  <c r="C12069" i="1"/>
  <c r="A20211" i="1"/>
  <c r="B20211" i="1"/>
  <c r="C20211" i="1"/>
  <c r="A9785" i="1"/>
  <c r="B9785" i="1"/>
  <c r="C9785" i="1"/>
  <c r="A9786" i="1"/>
  <c r="B9786" i="1"/>
  <c r="C9786" i="1"/>
  <c r="A20202" i="1"/>
  <c r="C20202" i="1"/>
  <c r="A23788" i="1"/>
  <c r="C23788" i="1"/>
  <c r="A988" i="1"/>
  <c r="B988" i="1"/>
  <c r="C988" i="1"/>
  <c r="A15079" i="1"/>
  <c r="B15079" i="1"/>
  <c r="C15079" i="1"/>
  <c r="A24573" i="1"/>
  <c r="B24573" i="1"/>
  <c r="C24573" i="1"/>
  <c r="A4770" i="1"/>
  <c r="B4770" i="1"/>
  <c r="C4770" i="1"/>
  <c r="A21777" i="1"/>
  <c r="B21777" i="1"/>
  <c r="C21777" i="1"/>
  <c r="A2967" i="1"/>
  <c r="B2967" i="1"/>
  <c r="C2967" i="1"/>
  <c r="A16088" i="1"/>
  <c r="C16088" i="1"/>
  <c r="A10406" i="1"/>
  <c r="B10406" i="1"/>
  <c r="C10406" i="1"/>
  <c r="A23742" i="1"/>
  <c r="C23742" i="1"/>
  <c r="A10431" i="1"/>
  <c r="B10431" i="1"/>
  <c r="C10431" i="1"/>
  <c r="A990" i="1"/>
  <c r="B990" i="1"/>
  <c r="C990" i="1"/>
  <c r="A8044" i="1"/>
  <c r="C8044" i="1"/>
  <c r="A8045" i="1"/>
  <c r="C8045" i="1"/>
  <c r="A19188" i="1"/>
  <c r="B19188" i="1"/>
  <c r="C19188" i="1"/>
  <c r="A12042" i="1"/>
  <c r="B12042" i="1"/>
  <c r="C12042" i="1"/>
  <c r="A25127" i="1"/>
  <c r="B25127" i="1"/>
  <c r="C25127" i="1"/>
  <c r="A25125" i="1"/>
  <c r="B25125" i="1"/>
  <c r="C25125" i="1"/>
  <c r="A25126" i="1"/>
  <c r="B25126" i="1"/>
  <c r="C25126" i="1"/>
  <c r="A25124" i="1"/>
  <c r="B25124" i="1"/>
  <c r="C25124" i="1"/>
  <c r="A24923" i="1"/>
  <c r="B24923" i="1"/>
  <c r="C24923" i="1"/>
  <c r="A9117" i="1"/>
  <c r="B9117" i="1"/>
  <c r="C9117" i="1"/>
  <c r="A9046" i="1"/>
  <c r="B9046" i="1"/>
  <c r="C9046" i="1"/>
  <c r="A6742" i="1"/>
  <c r="B6742" i="1"/>
  <c r="C6742" i="1"/>
  <c r="A2315" i="1"/>
  <c r="B2315" i="1"/>
  <c r="C2315" i="1"/>
  <c r="A21894" i="1"/>
  <c r="B21894" i="1"/>
  <c r="C21894" i="1"/>
  <c r="A21883" i="1"/>
  <c r="B21883" i="1"/>
  <c r="C21883" i="1"/>
  <c r="A21884" i="1"/>
  <c r="B21884" i="1"/>
  <c r="C21884" i="1"/>
  <c r="A21885" i="1"/>
  <c r="B21885" i="1"/>
  <c r="C21885" i="1"/>
  <c r="A21896" i="1"/>
  <c r="B21896" i="1"/>
  <c r="C21896" i="1"/>
  <c r="A10942" i="1"/>
  <c r="B10942" i="1"/>
  <c r="C10942" i="1"/>
  <c r="A10941" i="1"/>
  <c r="B10941" i="1"/>
  <c r="C10941" i="1"/>
  <c r="A21893" i="1"/>
  <c r="B21893" i="1"/>
  <c r="C21893" i="1"/>
  <c r="A3169" i="1"/>
  <c r="B3169" i="1"/>
  <c r="C3169" i="1"/>
  <c r="A15908" i="1"/>
  <c r="B15908" i="1"/>
  <c r="C15908" i="1"/>
  <c r="A7660" i="1"/>
  <c r="B7660" i="1"/>
  <c r="C7660" i="1"/>
  <c r="A233" i="1"/>
  <c r="B233" i="1"/>
  <c r="C233" i="1"/>
  <c r="A5473" i="1"/>
  <c r="B5473" i="1"/>
  <c r="C5473" i="1"/>
  <c r="A5475" i="1"/>
  <c r="B5475" i="1"/>
  <c r="C5475" i="1"/>
  <c r="A5474" i="1"/>
  <c r="B5474" i="1"/>
  <c r="C5474" i="1"/>
  <c r="A16804" i="1"/>
  <c r="B16804" i="1"/>
  <c r="C16804" i="1"/>
  <c r="A10896" i="1"/>
  <c r="B10896" i="1"/>
  <c r="C10896" i="1"/>
  <c r="A20463" i="1"/>
  <c r="B20463" i="1"/>
  <c r="C20463" i="1"/>
  <c r="A20475" i="1"/>
  <c r="B20475" i="1"/>
  <c r="C20475" i="1"/>
  <c r="A16880" i="1"/>
  <c r="C16880" i="1"/>
  <c r="A12793" i="1"/>
  <c r="B12793" i="1"/>
  <c r="C12793" i="1"/>
  <c r="A21026" i="1"/>
  <c r="B21026" i="1"/>
  <c r="C21026" i="1"/>
  <c r="A2778" i="1"/>
  <c r="B2778" i="1"/>
  <c r="C2778" i="1"/>
  <c r="A25284" i="1"/>
  <c r="C25284" i="1"/>
  <c r="A25283" i="1"/>
  <c r="C25283" i="1"/>
  <c r="A19997" i="1"/>
  <c r="C19997" i="1"/>
  <c r="A19998" i="1"/>
  <c r="C19998" i="1"/>
  <c r="A9516" i="1"/>
  <c r="C9516" i="1"/>
  <c r="A7926" i="1"/>
  <c r="C7926" i="1"/>
  <c r="A25027" i="1"/>
  <c r="C25027" i="1"/>
  <c r="A24947" i="1"/>
  <c r="B24947" i="1"/>
  <c r="C24947" i="1"/>
  <c r="A8185" i="1"/>
  <c r="B8185" i="1"/>
  <c r="C8185" i="1"/>
  <c r="A9962" i="1"/>
  <c r="C9962" i="1"/>
  <c r="A9961" i="1"/>
  <c r="C9961" i="1"/>
  <c r="A9960" i="1"/>
  <c r="C9960" i="1"/>
  <c r="A15907" i="1"/>
  <c r="B15907" i="1"/>
  <c r="C15907" i="1"/>
  <c r="A7190" i="1"/>
  <c r="C7190" i="1"/>
  <c r="A11880" i="1"/>
  <c r="B11880" i="1"/>
  <c r="C11880" i="1"/>
  <c r="A4441" i="1"/>
  <c r="B4441" i="1"/>
  <c r="C4441" i="1"/>
  <c r="A8622" i="1"/>
  <c r="B8622" i="1"/>
  <c r="C8622" i="1"/>
  <c r="A8614" i="1"/>
  <c r="B8614" i="1"/>
  <c r="C8614" i="1"/>
  <c r="A23206" i="1"/>
  <c r="B23206" i="1"/>
  <c r="C23206" i="1"/>
  <c r="A23283" i="1"/>
  <c r="B23283" i="1"/>
  <c r="C23283" i="1"/>
  <c r="A23282" i="1"/>
  <c r="B23282" i="1"/>
  <c r="C23282" i="1"/>
  <c r="A6555" i="1"/>
  <c r="B6555" i="1"/>
  <c r="C6555" i="1"/>
  <c r="A25464" i="1"/>
  <c r="B25464" i="1"/>
  <c r="C25464" i="1"/>
  <c r="A21836" i="1"/>
  <c r="B21836" i="1"/>
  <c r="C21836" i="1"/>
  <c r="A82" i="1"/>
  <c r="B82" i="1"/>
  <c r="C82" i="1"/>
  <c r="A12826" i="1"/>
  <c r="B12826" i="1"/>
  <c r="C12826" i="1"/>
  <c r="A8410" i="1"/>
  <c r="B8410" i="1"/>
  <c r="C8410" i="1"/>
  <c r="A20939" i="1"/>
  <c r="B20939" i="1"/>
  <c r="C20939" i="1"/>
  <c r="A8406" i="1"/>
  <c r="B8406" i="1"/>
  <c r="C8406" i="1"/>
  <c r="A14120" i="1"/>
  <c r="B14120" i="1"/>
  <c r="C14120" i="1"/>
  <c r="A18257" i="1"/>
  <c r="B18257" i="1"/>
  <c r="C18257" i="1"/>
  <c r="A11136" i="1"/>
  <c r="C11136" i="1"/>
  <c r="A25048" i="1"/>
  <c r="B25048" i="1"/>
  <c r="C25048" i="1"/>
  <c r="A19632" i="1"/>
  <c r="B19632" i="1"/>
  <c r="C19632" i="1"/>
  <c r="A23222" i="1"/>
  <c r="B23222" i="1"/>
  <c r="C23222" i="1"/>
  <c r="A6806" i="1"/>
  <c r="B6806" i="1"/>
  <c r="C6806" i="1"/>
  <c r="A3652" i="1"/>
  <c r="B3652" i="1"/>
  <c r="C3652" i="1"/>
  <c r="A14748" i="1"/>
  <c r="B14748" i="1"/>
  <c r="C14748" i="1"/>
  <c r="A19638" i="1"/>
  <c r="B19638" i="1"/>
  <c r="C19638" i="1"/>
  <c r="A23213" i="1"/>
  <c r="B23213" i="1"/>
  <c r="C23213" i="1"/>
  <c r="A24815" i="1"/>
  <c r="B24815" i="1"/>
  <c r="C24815" i="1"/>
  <c r="A20775" i="1"/>
  <c r="B20775" i="1"/>
  <c r="C20775" i="1"/>
  <c r="A25249" i="1"/>
  <c r="B25249" i="1"/>
  <c r="C25249" i="1"/>
  <c r="A21622" i="1"/>
  <c r="B21622" i="1"/>
  <c r="C21622" i="1"/>
  <c r="A14475" i="1"/>
  <c r="B14475" i="1"/>
  <c r="C14475" i="1"/>
  <c r="A7768" i="1"/>
  <c r="B7768" i="1"/>
  <c r="C7768" i="1"/>
  <c r="A2037" i="1"/>
  <c r="B2037" i="1"/>
  <c r="C2037" i="1"/>
  <c r="A2049" i="1"/>
  <c r="B2049" i="1"/>
  <c r="C2049" i="1"/>
  <c r="A22306" i="1"/>
  <c r="B22306" i="1"/>
  <c r="C22306" i="1"/>
  <c r="A6042" i="1"/>
  <c r="B6042" i="1"/>
  <c r="C6042" i="1"/>
  <c r="A23388" i="1"/>
  <c r="B23388" i="1"/>
  <c r="C23388" i="1"/>
  <c r="A12543" i="1"/>
  <c r="B12543" i="1"/>
  <c r="C12543" i="1"/>
  <c r="A6339" i="1"/>
  <c r="B6339" i="1"/>
  <c r="C6339" i="1"/>
  <c r="A14137" i="1"/>
  <c r="C14137" i="1"/>
  <c r="A14140" i="1"/>
  <c r="C14140" i="1"/>
  <c r="A8031" i="1"/>
  <c r="C8031" i="1"/>
  <c r="A13766" i="1"/>
  <c r="C13766" i="1"/>
  <c r="A13767" i="1"/>
  <c r="C13767" i="1"/>
  <c r="A14473" i="1"/>
  <c r="B14473" i="1"/>
  <c r="C14473" i="1"/>
  <c r="A12727" i="1"/>
  <c r="B12727" i="1"/>
  <c r="C12727" i="1"/>
  <c r="A3035" i="1"/>
  <c r="B3035" i="1"/>
  <c r="C3035" i="1"/>
  <c r="A3187" i="1"/>
  <c r="B3187" i="1"/>
  <c r="C3187" i="1"/>
  <c r="A3183" i="1"/>
  <c r="B3183" i="1"/>
  <c r="C3183" i="1"/>
  <c r="A4120" i="1"/>
  <c r="B4120" i="1"/>
  <c r="C4120" i="1"/>
  <c r="A4152" i="1"/>
  <c r="B4152" i="1"/>
  <c r="C4152" i="1"/>
  <c r="A8207" i="1"/>
  <c r="B8207" i="1"/>
  <c r="C8207" i="1"/>
  <c r="A15575" i="1"/>
  <c r="B15575" i="1"/>
  <c r="C15575" i="1"/>
  <c r="A3921" i="1"/>
  <c r="B3921" i="1"/>
  <c r="C3921" i="1"/>
  <c r="A3819" i="1"/>
  <c r="B3819" i="1"/>
  <c r="C3819" i="1"/>
  <c r="A16451" i="1"/>
  <c r="B16451" i="1"/>
  <c r="C16451" i="1"/>
  <c r="A16452" i="1"/>
  <c r="B16452" i="1"/>
  <c r="C16452" i="1"/>
  <c r="A16450" i="1"/>
  <c r="B16450" i="1"/>
  <c r="C16450" i="1"/>
  <c r="A5984" i="1"/>
  <c r="B5984" i="1"/>
  <c r="C5984" i="1"/>
  <c r="A22311" i="1"/>
  <c r="C22311" i="1"/>
  <c r="A24835" i="1"/>
  <c r="B24835" i="1"/>
  <c r="C24835" i="1"/>
  <c r="A13217" i="1"/>
  <c r="C13217" i="1"/>
  <c r="A23537" i="1"/>
  <c r="B23537" i="1"/>
  <c r="C23537" i="1"/>
  <c r="A2789" i="1"/>
  <c r="B2789" i="1"/>
  <c r="C2789" i="1"/>
  <c r="A23386" i="1"/>
  <c r="B23386" i="1"/>
  <c r="C23386" i="1"/>
  <c r="A19853" i="1"/>
  <c r="B19853" i="1"/>
  <c r="C19853" i="1"/>
  <c r="A19189" i="1"/>
  <c r="B19189" i="1"/>
  <c r="C19189" i="1"/>
  <c r="A19190" i="1"/>
  <c r="B19190" i="1"/>
  <c r="C19190" i="1"/>
  <c r="A6569" i="1"/>
  <c r="B6569" i="1"/>
  <c r="C6569" i="1"/>
  <c r="A12643" i="1"/>
  <c r="B12643" i="1"/>
  <c r="C12643" i="1"/>
  <c r="A14728" i="1"/>
  <c r="B14728" i="1"/>
  <c r="C14728" i="1"/>
  <c r="A10411" i="1"/>
  <c r="C10411" i="1"/>
  <c r="A13212" i="1"/>
  <c r="B13212" i="1"/>
  <c r="C13212" i="1"/>
  <c r="A23864" i="1"/>
  <c r="B23864" i="1"/>
  <c r="C23864" i="1"/>
  <c r="A16535" i="1"/>
  <c r="C16535" i="1"/>
  <c r="A6874" i="1"/>
  <c r="B6874" i="1"/>
  <c r="C6874" i="1"/>
  <c r="A23511" i="1"/>
  <c r="B23511" i="1"/>
  <c r="C23511" i="1"/>
  <c r="A4818" i="1"/>
  <c r="B4818" i="1"/>
  <c r="C4818" i="1"/>
  <c r="A3194" i="1"/>
  <c r="B3194" i="1"/>
  <c r="C3194" i="1"/>
  <c r="A3195" i="1"/>
  <c r="B3195" i="1"/>
  <c r="C3195" i="1"/>
  <c r="A3155" i="1"/>
  <c r="B3155" i="1"/>
  <c r="C3155" i="1"/>
  <c r="A25331" i="1"/>
  <c r="B25331" i="1"/>
  <c r="C25331" i="1"/>
  <c r="A1992" i="1"/>
  <c r="B1992" i="1"/>
  <c r="C1992" i="1"/>
  <c r="A2381" i="1"/>
  <c r="B2381" i="1"/>
  <c r="C2381" i="1"/>
  <c r="A11744" i="1"/>
  <c r="B11744" i="1"/>
  <c r="C11744" i="1"/>
  <c r="A22095" i="1"/>
  <c r="C22095" i="1"/>
  <c r="A11591" i="1"/>
  <c r="C11591" i="1"/>
  <c r="A3193" i="1"/>
  <c r="B3193" i="1"/>
  <c r="C3193" i="1"/>
  <c r="A3192" i="1"/>
  <c r="B3192" i="1"/>
  <c r="C3192" i="1"/>
  <c r="A3191" i="1"/>
  <c r="B3191" i="1"/>
  <c r="C3191" i="1"/>
  <c r="A23558" i="1"/>
  <c r="C23558" i="1"/>
  <c r="A23556" i="1"/>
  <c r="C23556" i="1"/>
  <c r="A23557" i="1"/>
  <c r="C23557" i="1"/>
  <c r="A23555" i="1"/>
  <c r="C23555" i="1"/>
  <c r="A1999" i="1"/>
  <c r="B1999" i="1"/>
  <c r="C1999" i="1"/>
  <c r="A12768" i="1"/>
  <c r="B12768" i="1"/>
  <c r="C12768" i="1"/>
  <c r="A13880" i="1"/>
  <c r="B13880" i="1"/>
  <c r="C13880" i="1"/>
  <c r="A13881" i="1"/>
  <c r="B13881" i="1"/>
  <c r="C13881" i="1"/>
  <c r="A14553" i="1"/>
  <c r="B14553" i="1"/>
  <c r="C14553" i="1"/>
  <c r="A20811" i="1"/>
  <c r="B20811" i="1"/>
  <c r="C20811" i="1"/>
  <c r="A20776" i="1"/>
  <c r="B20776" i="1"/>
  <c r="C20776" i="1"/>
  <c r="A20916" i="1"/>
  <c r="B20916" i="1"/>
  <c r="C20916" i="1"/>
  <c r="A21766" i="1"/>
  <c r="B21766" i="1"/>
  <c r="C21766" i="1"/>
  <c r="A20777" i="1"/>
  <c r="B20777" i="1"/>
  <c r="C20777" i="1"/>
  <c r="A20774" i="1"/>
  <c r="B20774" i="1"/>
  <c r="C20774" i="1"/>
  <c r="A15570" i="1"/>
  <c r="B15570" i="1"/>
  <c r="C15570" i="1"/>
  <c r="A25332" i="1"/>
  <c r="B25332" i="1"/>
  <c r="C25332" i="1"/>
  <c r="A19383" i="1"/>
  <c r="B19383" i="1"/>
  <c r="C19383" i="1"/>
  <c r="A17717" i="1"/>
  <c r="B17717" i="1"/>
  <c r="C17717" i="1"/>
  <c r="A8946" i="1"/>
  <c r="B8946" i="1"/>
  <c r="C8946" i="1"/>
  <c r="A22515" i="1"/>
  <c r="B22515" i="1"/>
  <c r="C22515" i="1"/>
  <c r="A4735" i="1"/>
  <c r="B4735" i="1"/>
  <c r="C4735" i="1"/>
  <c r="A9696" i="1"/>
  <c r="B9696" i="1"/>
  <c r="C9696" i="1"/>
  <c r="A9695" i="1"/>
  <c r="B9695" i="1"/>
  <c r="C9695" i="1"/>
  <c r="A17954" i="1"/>
  <c r="B17954" i="1"/>
  <c r="C17954" i="1"/>
  <c r="A17952" i="1"/>
  <c r="B17952" i="1"/>
  <c r="C17952" i="1"/>
  <c r="A640" i="1"/>
  <c r="B640" i="1"/>
  <c r="C640" i="1"/>
  <c r="A8534" i="1"/>
  <c r="B8534" i="1"/>
  <c r="C8534" i="1"/>
  <c r="A8533" i="1"/>
  <c r="B8533" i="1"/>
  <c r="C8533" i="1"/>
  <c r="A8531" i="1"/>
  <c r="B8531" i="1"/>
  <c r="C8531" i="1"/>
  <c r="A5371" i="1"/>
  <c r="B5371" i="1"/>
  <c r="C5371" i="1"/>
  <c r="A5364" i="1"/>
  <c r="B5364" i="1"/>
  <c r="C5364" i="1"/>
  <c r="A5361" i="1"/>
  <c r="B5361" i="1"/>
  <c r="C5361" i="1"/>
  <c r="A25171" i="1"/>
  <c r="B25171" i="1"/>
  <c r="C25171" i="1"/>
  <c r="A25170" i="1"/>
  <c r="B25170" i="1"/>
  <c r="C25170" i="1"/>
  <c r="A25169" i="1"/>
  <c r="B25169" i="1"/>
  <c r="C25169" i="1"/>
  <c r="A25172" i="1"/>
  <c r="B25172" i="1"/>
  <c r="C25172" i="1"/>
  <c r="A25167" i="1"/>
  <c r="B25167" i="1"/>
  <c r="C25167" i="1"/>
  <c r="A6896" i="1"/>
  <c r="B6896" i="1"/>
  <c r="C6896" i="1"/>
  <c r="A17714" i="1"/>
  <c r="B17714" i="1"/>
  <c r="C17714" i="1"/>
  <c r="A16967" i="1"/>
  <c r="B16967" i="1"/>
  <c r="C16967" i="1"/>
  <c r="A7517" i="1"/>
  <c r="B7517" i="1"/>
  <c r="C7517" i="1"/>
  <c r="A22231" i="1"/>
  <c r="B22231" i="1"/>
  <c r="C22231" i="1"/>
  <c r="A404" i="1"/>
  <c r="B404" i="1"/>
  <c r="C404" i="1"/>
  <c r="A10905" i="1"/>
  <c r="B10905" i="1"/>
  <c r="C10905" i="1"/>
  <c r="A19212" i="1"/>
  <c r="B19212" i="1"/>
  <c r="C19212" i="1"/>
  <c r="A5187" i="1"/>
  <c r="B5187" i="1"/>
  <c r="C5187" i="1"/>
  <c r="A5189" i="1"/>
  <c r="B5189" i="1"/>
  <c r="C5189" i="1"/>
  <c r="A23809" i="1"/>
  <c r="B23809" i="1"/>
  <c r="C23809" i="1"/>
  <c r="A10038" i="1"/>
  <c r="B10038" i="1"/>
  <c r="C10038" i="1"/>
  <c r="A17712" i="1"/>
  <c r="B17712" i="1"/>
  <c r="C17712" i="1"/>
  <c r="A5648" i="1"/>
  <c r="B5648" i="1"/>
  <c r="C5648" i="1"/>
  <c r="A4009" i="1"/>
  <c r="B4009" i="1"/>
  <c r="C4009" i="1"/>
  <c r="A5655" i="1"/>
  <c r="B5655" i="1"/>
  <c r="C5655" i="1"/>
  <c r="A5657" i="1"/>
  <c r="B5657" i="1"/>
  <c r="C5657" i="1"/>
  <c r="A7411" i="1"/>
  <c r="B7411" i="1"/>
  <c r="C7411" i="1"/>
  <c r="A18794" i="1"/>
  <c r="B18794" i="1"/>
  <c r="C18794" i="1"/>
  <c r="A13850" i="1"/>
  <c r="B13850" i="1"/>
  <c r="C13850" i="1"/>
  <c r="A9524" i="1"/>
  <c r="B9524" i="1"/>
  <c r="C9524" i="1"/>
  <c r="A12676" i="1"/>
  <c r="B12676" i="1"/>
  <c r="C12676" i="1"/>
  <c r="A14784" i="1"/>
  <c r="B14784" i="1"/>
  <c r="C14784" i="1"/>
  <c r="A4155" i="1"/>
  <c r="B4155" i="1"/>
  <c r="C4155" i="1"/>
  <c r="A4307" i="1"/>
  <c r="B4307" i="1"/>
  <c r="C4307" i="1"/>
  <c r="A9191" i="1"/>
  <c r="B9191" i="1"/>
  <c r="C9191" i="1"/>
  <c r="A4153" i="1"/>
  <c r="B4153" i="1"/>
  <c r="C4153" i="1"/>
  <c r="A20730" i="1"/>
  <c r="B20730" i="1"/>
  <c r="C20730" i="1"/>
  <c r="A20427" i="1"/>
  <c r="B20427" i="1"/>
  <c r="C20427" i="1"/>
  <c r="A20409" i="1"/>
  <c r="B20409" i="1"/>
  <c r="C20409" i="1"/>
  <c r="A20351" i="1"/>
  <c r="B20351" i="1"/>
  <c r="C20351" i="1"/>
  <c r="A16243" i="1"/>
  <c r="B16243" i="1"/>
  <c r="C16243" i="1"/>
  <c r="A23065" i="1"/>
  <c r="B23065" i="1"/>
  <c r="C23065" i="1"/>
  <c r="A2931" i="1"/>
  <c r="C2931" i="1"/>
  <c r="A13874" i="1"/>
  <c r="C13874" i="1"/>
  <c r="A6627" i="1"/>
  <c r="C6627" i="1"/>
  <c r="A4871" i="1"/>
  <c r="B4871" i="1"/>
  <c r="C4871" i="1"/>
  <c r="A12512" i="1"/>
  <c r="B12512" i="1"/>
  <c r="C12512" i="1"/>
  <c r="A647" i="1"/>
  <c r="B647" i="1"/>
  <c r="C647" i="1"/>
  <c r="A25565" i="1"/>
  <c r="B25565" i="1"/>
  <c r="C25565" i="1"/>
  <c r="A5910" i="1"/>
  <c r="B5910" i="1"/>
  <c r="C5910" i="1"/>
  <c r="A18187" i="1"/>
  <c r="B18187" i="1"/>
  <c r="C18187" i="1"/>
  <c r="A20641" i="1"/>
  <c r="B20641" i="1"/>
  <c r="C20641" i="1"/>
  <c r="A22267" i="1"/>
  <c r="B22267" i="1"/>
  <c r="C22267" i="1"/>
  <c r="A1887" i="1"/>
  <c r="B1887" i="1"/>
  <c r="C1887" i="1"/>
  <c r="A1888" i="1"/>
  <c r="B1888" i="1"/>
  <c r="C1888" i="1"/>
  <c r="A1886" i="1"/>
  <c r="B1886" i="1"/>
  <c r="C1886" i="1"/>
  <c r="A18244" i="1"/>
  <c r="B18244" i="1"/>
  <c r="C18244" i="1"/>
  <c r="A12163" i="1"/>
  <c r="B12163" i="1"/>
  <c r="C12163" i="1"/>
  <c r="A23533" i="1"/>
  <c r="B23533" i="1"/>
  <c r="C23533" i="1"/>
  <c r="A14791" i="1"/>
  <c r="B14791" i="1"/>
  <c r="C14791" i="1"/>
  <c r="A2527" i="1"/>
  <c r="B2527" i="1"/>
  <c r="C2527" i="1"/>
  <c r="A193" i="1"/>
  <c r="B193" i="1"/>
  <c r="C193" i="1"/>
  <c r="A12493" i="1"/>
  <c r="B12493" i="1"/>
  <c r="C12493" i="1"/>
  <c r="A25684" i="1"/>
  <c r="B25684" i="1"/>
  <c r="C25684" i="1"/>
  <c r="A18808" i="1"/>
  <c r="C18808" i="1"/>
  <c r="A10109" i="1"/>
  <c r="C10109" i="1"/>
  <c r="A5677" i="1"/>
  <c r="B5677" i="1"/>
  <c r="C5677" i="1"/>
  <c r="A3373" i="1"/>
  <c r="B3373" i="1"/>
  <c r="C3373" i="1"/>
  <c r="A14206" i="1"/>
  <c r="B14206" i="1"/>
  <c r="C14206" i="1"/>
  <c r="A14068" i="1"/>
  <c r="B14068" i="1"/>
  <c r="C14068" i="1"/>
  <c r="A14069" i="1"/>
  <c r="B14069" i="1"/>
  <c r="C14069" i="1"/>
  <c r="A25532" i="1"/>
  <c r="B25532" i="1"/>
  <c r="C25532" i="1"/>
  <c r="A6789" i="1"/>
  <c r="B6789" i="1"/>
  <c r="C6789" i="1"/>
  <c r="A8037" i="1"/>
  <c r="B8037" i="1"/>
  <c r="C8037" i="1"/>
  <c r="A8916" i="1"/>
  <c r="B8916" i="1"/>
  <c r="C8916" i="1"/>
  <c r="A16194" i="1"/>
  <c r="B16194" i="1"/>
  <c r="C16194" i="1"/>
  <c r="A11357" i="1"/>
  <c r="B11357" i="1"/>
  <c r="C11357" i="1"/>
  <c r="A6889" i="1"/>
  <c r="B6889" i="1"/>
  <c r="C6889" i="1"/>
  <c r="A2058" i="1"/>
  <c r="B2058" i="1"/>
  <c r="C2058" i="1"/>
  <c r="A24114" i="1"/>
  <c r="B24114" i="1"/>
  <c r="C24114" i="1"/>
  <c r="A17924" i="1"/>
  <c r="B17924" i="1"/>
  <c r="C17924" i="1"/>
  <c r="A13325" i="1"/>
  <c r="B13325" i="1"/>
  <c r="C13325" i="1"/>
  <c r="A15764" i="1"/>
  <c r="B15764" i="1"/>
  <c r="C15764" i="1"/>
  <c r="A15763" i="1"/>
  <c r="B15763" i="1"/>
  <c r="C15763" i="1"/>
  <c r="A14699" i="1"/>
  <c r="B14699" i="1"/>
  <c r="C14699" i="1"/>
  <c r="A19245" i="1"/>
  <c r="B19245" i="1"/>
  <c r="C19245" i="1"/>
  <c r="A17428" i="1"/>
  <c r="B17428" i="1"/>
  <c r="C17428" i="1"/>
  <c r="A21682" i="1"/>
  <c r="B21682" i="1"/>
  <c r="C21682" i="1"/>
  <c r="A25412" i="1"/>
  <c r="B25412" i="1"/>
  <c r="C25412" i="1"/>
  <c r="A7486" i="1"/>
  <c r="B7486" i="1"/>
  <c r="C7486" i="1"/>
  <c r="A15855" i="1"/>
  <c r="B15855" i="1"/>
  <c r="C15855" i="1"/>
  <c r="A12794" i="1"/>
  <c r="B12794" i="1"/>
  <c r="C12794" i="1"/>
  <c r="A23105" i="1"/>
  <c r="B23105" i="1"/>
  <c r="C23105" i="1"/>
  <c r="A50" i="1"/>
  <c r="B50" i="1"/>
  <c r="C50" i="1"/>
  <c r="A128" i="1"/>
  <c r="B128" i="1"/>
  <c r="C128" i="1"/>
  <c r="A12089" i="1"/>
  <c r="B12089" i="1"/>
  <c r="C12089" i="1"/>
  <c r="A12090" i="1"/>
  <c r="B12090" i="1"/>
  <c r="C12090" i="1"/>
  <c r="A12549" i="1"/>
  <c r="B12549" i="1"/>
  <c r="C12549" i="1"/>
  <c r="A22148" i="1"/>
  <c r="B22148" i="1"/>
  <c r="C22148" i="1"/>
  <c r="A23059" i="1"/>
  <c r="B23059" i="1"/>
  <c r="C23059" i="1"/>
  <c r="A17716" i="1"/>
  <c r="B17716" i="1"/>
  <c r="C17716" i="1"/>
  <c r="A8370" i="1"/>
  <c r="B8370" i="1"/>
  <c r="C8370" i="1"/>
  <c r="A5606" i="1"/>
  <c r="B5606" i="1"/>
  <c r="C5606" i="1"/>
  <c r="A10133" i="1"/>
  <c r="B10133" i="1"/>
  <c r="C10133" i="1"/>
  <c r="A10464" i="1"/>
  <c r="B10464" i="1"/>
  <c r="C10464" i="1"/>
  <c r="A13783" i="1"/>
  <c r="B13783" i="1"/>
  <c r="C13783" i="1"/>
  <c r="A5261" i="1"/>
  <c r="B5261" i="1"/>
  <c r="C5261" i="1"/>
  <c r="A16794" i="1"/>
  <c r="B16794" i="1"/>
  <c r="C16794" i="1"/>
  <c r="A17466" i="1"/>
  <c r="B17466" i="1"/>
  <c r="C17466" i="1"/>
  <c r="A21577" i="1"/>
  <c r="B21577" i="1"/>
  <c r="C21577" i="1"/>
  <c r="A4312" i="1"/>
  <c r="B4312" i="1"/>
  <c r="C4312" i="1"/>
  <c r="A4257" i="1"/>
  <c r="B4257" i="1"/>
  <c r="C4257" i="1"/>
  <c r="A10576" i="1"/>
  <c r="B10576" i="1"/>
  <c r="C10576" i="1"/>
  <c r="A10575" i="1"/>
  <c r="B10575" i="1"/>
  <c r="C10575" i="1"/>
  <c r="A11945" i="1"/>
  <c r="B11945" i="1"/>
  <c r="C11945" i="1"/>
  <c r="A10366" i="1"/>
  <c r="B10366" i="1"/>
  <c r="C10366" i="1"/>
  <c r="A4254" i="1"/>
  <c r="B4254" i="1"/>
  <c r="C4254" i="1"/>
  <c r="A9186" i="1"/>
  <c r="B9186" i="1"/>
  <c r="C9186" i="1"/>
  <c r="A18951" i="1"/>
  <c r="B18951" i="1"/>
  <c r="C18951" i="1"/>
  <c r="A3897" i="1"/>
  <c r="B3897" i="1"/>
  <c r="C3897" i="1"/>
  <c r="A16531" i="1"/>
  <c r="B16531" i="1"/>
  <c r="C16531" i="1"/>
  <c r="A21810" i="1"/>
  <c r="B21810" i="1"/>
  <c r="C21810" i="1"/>
  <c r="A23078" i="1"/>
  <c r="B23078" i="1"/>
  <c r="C23078" i="1"/>
  <c r="A4933" i="1"/>
  <c r="B4933" i="1"/>
  <c r="C4933" i="1"/>
  <c r="A4929" i="1"/>
  <c r="B4929" i="1"/>
  <c r="C4929" i="1"/>
  <c r="A4930" i="1"/>
  <c r="B4930" i="1"/>
  <c r="C4930" i="1"/>
  <c r="A5170" i="1"/>
  <c r="B5170" i="1"/>
  <c r="C5170" i="1"/>
  <c r="A5168" i="1"/>
  <c r="B5168" i="1"/>
  <c r="C5168" i="1"/>
  <c r="A6614" i="1"/>
  <c r="B6614" i="1"/>
  <c r="C6614" i="1"/>
  <c r="A5171" i="1"/>
  <c r="B5171" i="1"/>
  <c r="C5171" i="1"/>
  <c r="A6942" i="1"/>
  <c r="B6942" i="1"/>
  <c r="C6942" i="1"/>
  <c r="A182" i="1"/>
  <c r="B182" i="1"/>
  <c r="C182" i="1"/>
  <c r="A17506" i="1"/>
  <c r="B17506" i="1"/>
  <c r="C17506" i="1"/>
  <c r="A2078" i="1"/>
  <c r="C2078" i="1"/>
  <c r="A2677" i="1"/>
  <c r="C2677" i="1"/>
  <c r="A15345" i="1"/>
  <c r="C15345" i="1"/>
  <c r="A12184" i="1"/>
  <c r="C12184" i="1"/>
  <c r="A22630" i="1"/>
  <c r="C22630" i="1"/>
  <c r="A14773" i="1"/>
  <c r="B14773" i="1"/>
  <c r="C14773" i="1"/>
  <c r="A25419" i="1"/>
  <c r="B25419" i="1"/>
  <c r="C25419" i="1"/>
  <c r="A18399" i="1"/>
  <c r="B18399" i="1"/>
  <c r="C18399" i="1"/>
  <c r="A11205" i="1"/>
  <c r="B11205" i="1"/>
  <c r="C11205" i="1"/>
  <c r="A11206" i="1"/>
  <c r="B11206" i="1"/>
  <c r="C11206" i="1"/>
  <c r="A7709" i="1"/>
  <c r="C7709" i="1"/>
  <c r="A25265" i="1"/>
  <c r="C25265" i="1"/>
  <c r="A25202" i="1"/>
  <c r="C25202" i="1"/>
  <c r="A24600" i="1"/>
  <c r="B24600" i="1"/>
  <c r="C24600" i="1"/>
  <c r="A23260" i="1"/>
  <c r="B23260" i="1"/>
  <c r="C23260" i="1"/>
  <c r="A1420" i="1"/>
  <c r="B1420" i="1"/>
  <c r="C1420" i="1"/>
  <c r="A1419" i="1"/>
  <c r="B1419" i="1"/>
  <c r="C1419" i="1"/>
  <c r="A1418" i="1"/>
  <c r="B1418" i="1"/>
  <c r="C1418" i="1"/>
  <c r="A5180" i="1"/>
  <c r="B5180" i="1"/>
  <c r="C5180" i="1"/>
  <c r="A24044" i="1"/>
  <c r="B24044" i="1"/>
  <c r="C24044" i="1"/>
  <c r="A17465" i="1"/>
  <c r="B17465" i="1"/>
  <c r="C17465" i="1"/>
  <c r="A7936" i="1"/>
  <c r="B7936" i="1"/>
  <c r="C7936" i="1"/>
  <c r="A19980" i="1"/>
  <c r="B19980" i="1"/>
  <c r="C19980" i="1"/>
  <c r="A19004" i="1"/>
  <c r="B19004" i="1"/>
  <c r="C19004" i="1"/>
  <c r="A18989" i="1"/>
  <c r="B18989" i="1"/>
  <c r="C18989" i="1"/>
  <c r="A19005" i="1"/>
  <c r="B19005" i="1"/>
  <c r="C19005" i="1"/>
  <c r="A18990" i="1"/>
  <c r="B18990" i="1"/>
  <c r="C18990" i="1"/>
  <c r="A19008" i="1"/>
  <c r="B19008" i="1"/>
  <c r="C19008" i="1"/>
  <c r="A19003" i="1"/>
  <c r="B19003" i="1"/>
  <c r="C19003" i="1"/>
  <c r="A19007" i="1"/>
  <c r="B19007" i="1"/>
  <c r="C19007" i="1"/>
  <c r="A15482" i="1"/>
  <c r="B15482" i="1"/>
  <c r="C15482" i="1"/>
  <c r="A15481" i="1"/>
  <c r="B15481" i="1"/>
  <c r="C15481" i="1"/>
  <c r="A5581" i="1"/>
  <c r="B5581" i="1"/>
  <c r="C5581" i="1"/>
  <c r="A24898" i="1"/>
  <c r="B24898" i="1"/>
  <c r="C24898" i="1"/>
  <c r="A24014" i="1"/>
  <c r="B24014" i="1"/>
  <c r="C24014" i="1"/>
  <c r="A92" i="1"/>
  <c r="B92" i="1"/>
  <c r="C92" i="1"/>
  <c r="A91" i="1"/>
  <c r="B91" i="1"/>
  <c r="C91" i="1"/>
  <c r="A12205" i="1"/>
  <c r="B12205" i="1"/>
  <c r="C12205" i="1"/>
  <c r="A12204" i="1"/>
  <c r="B12204" i="1"/>
  <c r="C12204" i="1"/>
  <c r="A7039" i="1"/>
  <c r="B7039" i="1"/>
  <c r="C7039" i="1"/>
  <c r="A2007" i="1"/>
  <c r="B2007" i="1"/>
  <c r="C2007" i="1"/>
  <c r="A6490" i="1"/>
  <c r="B6490" i="1"/>
  <c r="C6490" i="1"/>
  <c r="A23095" i="1"/>
  <c r="B23095" i="1"/>
  <c r="C23095" i="1"/>
  <c r="A17418" i="1"/>
  <c r="B17418" i="1"/>
  <c r="C17418" i="1"/>
  <c r="A19486" i="1"/>
  <c r="B19486" i="1"/>
  <c r="C19486" i="1"/>
  <c r="A16978" i="1"/>
  <c r="B16978" i="1"/>
  <c r="C16978" i="1"/>
  <c r="A18138" i="1"/>
  <c r="B18138" i="1"/>
  <c r="C18138" i="1"/>
  <c r="A18137" i="1"/>
  <c r="B18137" i="1"/>
  <c r="C18137" i="1"/>
  <c r="A18139" i="1"/>
  <c r="B18139" i="1"/>
  <c r="C18139" i="1"/>
  <c r="A11735" i="1"/>
  <c r="B11735" i="1"/>
  <c r="C11735" i="1"/>
  <c r="A15849" i="1"/>
  <c r="B15849" i="1"/>
  <c r="C15849" i="1"/>
  <c r="A1849" i="1"/>
  <c r="B1849" i="1"/>
  <c r="C1849" i="1"/>
  <c r="A15770" i="1"/>
  <c r="B15770" i="1"/>
  <c r="C15770" i="1"/>
  <c r="A15775" i="1"/>
  <c r="B15775" i="1"/>
  <c r="C15775" i="1"/>
  <c r="A15774" i="1"/>
  <c r="B15774" i="1"/>
  <c r="C15774" i="1"/>
  <c r="A15776" i="1"/>
  <c r="B15776" i="1"/>
  <c r="C15776" i="1"/>
  <c r="A15772" i="1"/>
  <c r="B15772" i="1"/>
  <c r="C15772" i="1"/>
  <c r="A1678" i="1"/>
  <c r="B1678" i="1"/>
  <c r="C1678" i="1"/>
  <c r="A19068" i="1"/>
  <c r="B19068" i="1"/>
  <c r="C19068" i="1"/>
  <c r="A527" i="1"/>
  <c r="B527" i="1"/>
  <c r="C527" i="1"/>
  <c r="A531" i="1"/>
  <c r="B531" i="1"/>
  <c r="C531" i="1"/>
  <c r="A5509" i="1"/>
  <c r="B5509" i="1"/>
  <c r="C5509" i="1"/>
  <c r="A8832" i="1"/>
  <c r="B8832" i="1"/>
  <c r="C8832" i="1"/>
  <c r="A22976" i="1"/>
  <c r="B22976" i="1"/>
  <c r="C22976" i="1"/>
  <c r="A1760" i="1"/>
  <c r="B1760" i="1"/>
  <c r="C1760" i="1"/>
  <c r="A12091" i="1"/>
  <c r="B12091" i="1"/>
  <c r="C12091" i="1"/>
  <c r="A17731" i="1"/>
  <c r="B17731" i="1"/>
  <c r="C17731" i="1"/>
  <c r="A22354" i="1"/>
  <c r="B22354" i="1"/>
  <c r="C22354" i="1"/>
  <c r="A10035" i="1"/>
  <c r="B10035" i="1"/>
  <c r="C10035" i="1"/>
  <c r="A22317" i="1"/>
  <c r="B22317" i="1"/>
  <c r="C22317" i="1"/>
  <c r="A17676" i="1"/>
  <c r="B17676" i="1"/>
  <c r="C17676" i="1"/>
  <c r="A18298" i="1"/>
  <c r="B18298" i="1"/>
  <c r="C18298" i="1"/>
  <c r="A9164" i="1"/>
  <c r="B9164" i="1"/>
  <c r="C9164" i="1"/>
  <c r="A9165" i="1"/>
  <c r="B9165" i="1"/>
  <c r="C9165" i="1"/>
  <c r="A21642" i="1"/>
  <c r="B21642" i="1"/>
  <c r="C21642" i="1"/>
  <c r="A7490" i="1"/>
  <c r="B7490" i="1"/>
  <c r="C7490" i="1"/>
  <c r="A12483" i="1"/>
  <c r="B12483" i="1"/>
  <c r="C12483" i="1"/>
  <c r="A7818" i="1"/>
  <c r="B7818" i="1"/>
  <c r="C7818" i="1"/>
  <c r="A8813" i="1"/>
  <c r="B8813" i="1"/>
  <c r="C8813" i="1"/>
  <c r="A17785" i="1"/>
  <c r="B17785" i="1"/>
  <c r="C17785" i="1"/>
  <c r="A24241" i="1"/>
  <c r="B24241" i="1"/>
  <c r="C24241" i="1"/>
  <c r="A4837" i="1"/>
  <c r="B4837" i="1"/>
  <c r="C4837" i="1"/>
  <c r="A4835" i="1"/>
  <c r="B4835" i="1"/>
  <c r="C4835" i="1"/>
  <c r="A4838" i="1"/>
  <c r="B4838" i="1"/>
  <c r="C4838" i="1"/>
  <c r="A4836" i="1"/>
  <c r="B4836" i="1"/>
  <c r="C4836" i="1"/>
  <c r="A15336" i="1"/>
  <c r="B15336" i="1"/>
  <c r="C15336" i="1"/>
  <c r="A16108" i="1"/>
  <c r="B16108" i="1"/>
  <c r="C16108" i="1"/>
  <c r="A16024" i="1"/>
  <c r="B16024" i="1"/>
  <c r="C16024" i="1"/>
  <c r="A24560" i="1"/>
  <c r="B24560" i="1"/>
  <c r="C24560" i="1"/>
  <c r="A19215" i="1"/>
  <c r="B19215" i="1"/>
  <c r="C19215" i="1"/>
  <c r="A2847" i="1"/>
  <c r="B2847" i="1"/>
  <c r="C2847" i="1"/>
  <c r="A3366" i="1"/>
  <c r="B3366" i="1"/>
  <c r="C3366" i="1"/>
  <c r="A11915" i="1"/>
  <c r="B11915" i="1"/>
  <c r="C11915" i="1"/>
  <c r="A9408" i="1"/>
  <c r="B9408" i="1"/>
  <c r="C9408" i="1"/>
  <c r="A6870" i="1"/>
  <c r="B6870" i="1"/>
  <c r="C6870" i="1"/>
  <c r="A6450" i="1"/>
  <c r="B6450" i="1"/>
  <c r="C6450" i="1"/>
  <c r="A22548" i="1"/>
  <c r="B22548" i="1"/>
  <c r="C22548" i="1"/>
  <c r="A6869" i="1"/>
  <c r="B6869" i="1"/>
  <c r="C6869" i="1"/>
  <c r="A3565" i="1"/>
  <c r="B3565" i="1"/>
  <c r="C3565" i="1"/>
  <c r="A22549" i="1"/>
  <c r="B22549" i="1"/>
  <c r="C22549" i="1"/>
  <c r="A13384" i="1"/>
  <c r="B13384" i="1"/>
  <c r="C13384" i="1"/>
  <c r="A7444" i="1"/>
  <c r="B7444" i="1"/>
  <c r="C7444" i="1"/>
  <c r="A17482" i="1"/>
  <c r="B17482" i="1"/>
  <c r="C17482" i="1"/>
  <c r="A24720" i="1"/>
  <c r="B24720" i="1"/>
  <c r="C24720" i="1"/>
  <c r="A1622" i="1"/>
  <c r="B1622" i="1"/>
  <c r="C1622" i="1"/>
  <c r="A1891" i="1"/>
  <c r="B1891" i="1"/>
  <c r="C1891" i="1"/>
  <c r="A12671" i="1"/>
  <c r="B12671" i="1"/>
  <c r="C12671" i="1"/>
  <c r="A12492" i="1"/>
  <c r="B12492" i="1"/>
  <c r="C12492" i="1"/>
  <c r="A12673" i="1"/>
  <c r="B12673" i="1"/>
  <c r="C12673" i="1"/>
  <c r="A12670" i="1"/>
  <c r="B12670" i="1"/>
  <c r="C12670" i="1"/>
  <c r="A20622" i="1"/>
  <c r="B20622" i="1"/>
  <c r="C20622" i="1"/>
  <c r="A25526" i="1"/>
  <c r="B25526" i="1"/>
  <c r="C25526" i="1"/>
  <c r="A622" i="1"/>
  <c r="B622" i="1"/>
  <c r="C622" i="1"/>
  <c r="A7452" i="1"/>
  <c r="B7452" i="1"/>
  <c r="C7452" i="1"/>
  <c r="A7445" i="1"/>
  <c r="B7445" i="1"/>
  <c r="C7445" i="1"/>
  <c r="A7430" i="1"/>
  <c r="B7430" i="1"/>
  <c r="C7430" i="1"/>
  <c r="A7432" i="1"/>
  <c r="B7432" i="1"/>
  <c r="C7432" i="1"/>
  <c r="A7429" i="1"/>
  <c r="B7429" i="1"/>
  <c r="C7429" i="1"/>
  <c r="A7431" i="1"/>
  <c r="B7431" i="1"/>
  <c r="C7431" i="1"/>
  <c r="A12669" i="1"/>
  <c r="B12669" i="1"/>
  <c r="C12669" i="1"/>
  <c r="A19701" i="1"/>
  <c r="C19701" i="1"/>
  <c r="A14317" i="1"/>
  <c r="B14317" i="1"/>
  <c r="C14317" i="1"/>
  <c r="A7" i="1"/>
  <c r="B7" i="1"/>
  <c r="C7" i="1"/>
  <c r="A14316" i="1"/>
  <c r="B14316" i="1"/>
  <c r="C14316" i="1"/>
  <c r="A8" i="1"/>
  <c r="B8" i="1"/>
  <c r="C8" i="1"/>
  <c r="A4846" i="1"/>
  <c r="B4846" i="1"/>
  <c r="C4846" i="1"/>
  <c r="A17444" i="1"/>
  <c r="B17444" i="1"/>
  <c r="C17444" i="1"/>
  <c r="A15819" i="1"/>
  <c r="B15819" i="1"/>
  <c r="C15819" i="1"/>
  <c r="A10651" i="1"/>
  <c r="B10651" i="1"/>
  <c r="C10651" i="1"/>
  <c r="A12080" i="1"/>
  <c r="B12080" i="1"/>
  <c r="C12080" i="1"/>
  <c r="A8926" i="1"/>
  <c r="B8926" i="1"/>
  <c r="C8926" i="1"/>
  <c r="A12433" i="1"/>
  <c r="B12433" i="1"/>
  <c r="C12433" i="1"/>
  <c r="A4176" i="1"/>
  <c r="B4176" i="1"/>
  <c r="C4176" i="1"/>
  <c r="A4084" i="1"/>
  <c r="B4084" i="1"/>
  <c r="C4084" i="1"/>
  <c r="A8004" i="1"/>
  <c r="B8004" i="1"/>
  <c r="C8004" i="1"/>
  <c r="A12520" i="1"/>
  <c r="B12520" i="1"/>
  <c r="C12520" i="1"/>
  <c r="A16191" i="1"/>
  <c r="B16191" i="1"/>
  <c r="C16191" i="1"/>
  <c r="A16192" i="1"/>
  <c r="B16192" i="1"/>
  <c r="C16192" i="1"/>
  <c r="A19386" i="1"/>
  <c r="B19386" i="1"/>
  <c r="C19386" i="1"/>
  <c r="A9344" i="1"/>
  <c r="B9344" i="1"/>
  <c r="C9344" i="1"/>
  <c r="A7519" i="1"/>
  <c r="B7519" i="1"/>
  <c r="C7519" i="1"/>
  <c r="A25647" i="1"/>
  <c r="B25647" i="1"/>
  <c r="C25647" i="1"/>
  <c r="A5789" i="1"/>
  <c r="B5789" i="1"/>
  <c r="C5789" i="1"/>
  <c r="A18199" i="1"/>
  <c r="B18199" i="1"/>
  <c r="C18199" i="1"/>
  <c r="A17519" i="1"/>
  <c r="B17519" i="1"/>
  <c r="C17519" i="1"/>
  <c r="A20933" i="1"/>
  <c r="B20933" i="1"/>
  <c r="C20933" i="1"/>
  <c r="A10394" i="1"/>
  <c r="B10394" i="1"/>
  <c r="C10394" i="1"/>
  <c r="A11633" i="1"/>
  <c r="B11633" i="1"/>
  <c r="C11633" i="1"/>
  <c r="A18366" i="1"/>
  <c r="C18366" i="1"/>
  <c r="A24633" i="1"/>
  <c r="B24633" i="1"/>
  <c r="C24633" i="1"/>
  <c r="A22509" i="1"/>
  <c r="B22509" i="1"/>
  <c r="C22509" i="1"/>
  <c r="A14335" i="1"/>
  <c r="B14335" i="1"/>
  <c r="C14335" i="1"/>
  <c r="A21412" i="1"/>
  <c r="B21412" i="1"/>
  <c r="C21412" i="1"/>
  <c r="A537" i="1"/>
  <c r="B537" i="1"/>
  <c r="C537" i="1"/>
  <c r="A19519" i="1"/>
  <c r="B19519" i="1"/>
  <c r="C19519" i="1"/>
  <c r="A14381" i="1"/>
  <c r="B14381" i="1"/>
  <c r="C14381" i="1"/>
  <c r="A6472" i="1"/>
  <c r="B6472" i="1"/>
  <c r="C6472" i="1"/>
  <c r="A6977" i="1"/>
  <c r="C6977" i="1"/>
  <c r="A21013" i="1"/>
  <c r="B21013" i="1"/>
  <c r="C21013" i="1"/>
  <c r="A6493" i="1"/>
  <c r="B6493" i="1"/>
  <c r="C6493" i="1"/>
  <c r="A563" i="1"/>
  <c r="B563" i="1"/>
  <c r="C563" i="1"/>
  <c r="A20175" i="1"/>
  <c r="B20175" i="1"/>
  <c r="C20175" i="1"/>
  <c r="A21919" i="1"/>
  <c r="B21919" i="1"/>
  <c r="C21919" i="1"/>
  <c r="A9213" i="1"/>
  <c r="B9213" i="1"/>
  <c r="C9213" i="1"/>
  <c r="A1829" i="1"/>
  <c r="B1829" i="1"/>
  <c r="C1829" i="1"/>
  <c r="A144" i="1"/>
  <c r="B144" i="1"/>
  <c r="C144" i="1"/>
  <c r="A19404" i="1"/>
  <c r="B19404" i="1"/>
  <c r="C19404" i="1"/>
  <c r="A18846" i="1"/>
  <c r="B18846" i="1"/>
  <c r="C18846" i="1"/>
  <c r="A24369" i="1"/>
  <c r="B24369" i="1"/>
  <c r="C24369" i="1"/>
  <c r="A25661" i="1"/>
  <c r="B25661" i="1"/>
  <c r="C25661" i="1"/>
  <c r="A14006" i="1"/>
  <c r="B14006" i="1"/>
  <c r="C14006" i="1"/>
  <c r="A4353" i="1"/>
  <c r="B4353" i="1"/>
  <c r="C4353" i="1"/>
  <c r="A14651" i="1"/>
  <c r="B14651" i="1"/>
  <c r="C14651" i="1"/>
  <c r="A11949" i="1"/>
  <c r="B11949" i="1"/>
  <c r="C11949" i="1"/>
  <c r="A23098" i="1"/>
  <c r="B23098" i="1"/>
  <c r="C23098" i="1"/>
  <c r="A23097" i="1"/>
  <c r="B23097" i="1"/>
  <c r="C23097" i="1"/>
  <c r="A16902" i="1"/>
  <c r="B16902" i="1"/>
  <c r="C16902" i="1"/>
  <c r="A7023" i="1"/>
  <c r="B7023" i="1"/>
  <c r="C7023" i="1"/>
  <c r="A11981" i="1"/>
  <c r="B11981" i="1"/>
  <c r="C11981" i="1"/>
  <c r="A24184" i="1"/>
  <c r="B24184" i="1"/>
  <c r="C24184" i="1"/>
  <c r="A7907" i="1"/>
  <c r="B7907" i="1"/>
  <c r="C7907" i="1"/>
  <c r="A22621" i="1"/>
  <c r="B22621" i="1"/>
  <c r="C22621" i="1"/>
  <c r="A19825" i="1"/>
  <c r="B19825" i="1"/>
  <c r="C19825" i="1"/>
  <c r="A16887" i="1"/>
  <c r="B16887" i="1"/>
  <c r="C16887" i="1"/>
  <c r="A16888" i="1"/>
  <c r="B16888" i="1"/>
  <c r="C16888" i="1"/>
  <c r="A218" i="1"/>
  <c r="B218" i="1"/>
  <c r="C218" i="1"/>
  <c r="A23626" i="1"/>
  <c r="B23626" i="1"/>
  <c r="C23626" i="1"/>
  <c r="A12770" i="1"/>
  <c r="B12770" i="1"/>
  <c r="C12770" i="1"/>
  <c r="A12769" i="1"/>
  <c r="B12769" i="1"/>
  <c r="C12769" i="1"/>
  <c r="A11582" i="1"/>
  <c r="B11582" i="1"/>
  <c r="C11582" i="1"/>
  <c r="A239" i="1"/>
  <c r="B239" i="1"/>
  <c r="C239" i="1"/>
  <c r="A15765" i="1"/>
  <c r="B15765" i="1"/>
  <c r="C15765" i="1"/>
  <c r="A16934" i="1"/>
  <c r="B16934" i="1"/>
  <c r="C16934" i="1"/>
  <c r="A1733" i="1"/>
  <c r="B1733" i="1"/>
  <c r="C1733" i="1"/>
  <c r="A3180" i="1"/>
  <c r="B3180" i="1"/>
  <c r="C3180" i="1"/>
  <c r="A7555" i="1"/>
  <c r="B7555" i="1"/>
  <c r="C7555" i="1"/>
  <c r="A15887" i="1"/>
  <c r="B15887" i="1"/>
  <c r="C15887" i="1"/>
  <c r="A15888" i="1"/>
  <c r="B15888" i="1"/>
  <c r="C15888" i="1"/>
  <c r="A15895" i="1"/>
  <c r="B15895" i="1"/>
  <c r="C15895" i="1"/>
  <c r="A9034" i="1"/>
  <c r="B9034" i="1"/>
  <c r="C9034" i="1"/>
  <c r="A9035" i="1"/>
  <c r="B9035" i="1"/>
  <c r="C9035" i="1"/>
  <c r="A11408" i="1"/>
  <c r="B11408" i="1"/>
  <c r="C11408" i="1"/>
  <c r="A9080" i="1"/>
  <c r="B9080" i="1"/>
  <c r="C9080" i="1"/>
  <c r="A9083" i="1"/>
  <c r="B9083" i="1"/>
  <c r="C9083" i="1"/>
  <c r="A9082" i="1"/>
  <c r="B9082" i="1"/>
  <c r="C9082" i="1"/>
  <c r="A9297" i="1"/>
  <c r="B9297" i="1"/>
  <c r="C9297" i="1"/>
  <c r="A9296" i="1"/>
  <c r="B9296" i="1"/>
  <c r="C9296" i="1"/>
  <c r="A7568" i="1"/>
  <c r="B7568" i="1"/>
  <c r="C7568" i="1"/>
  <c r="A2630" i="1"/>
  <c r="B2630" i="1"/>
  <c r="C2630" i="1"/>
  <c r="A9036" i="1"/>
  <c r="B9036" i="1"/>
  <c r="C9036" i="1"/>
  <c r="A7344" i="1"/>
  <c r="C7344" i="1"/>
  <c r="A7345" i="1"/>
  <c r="C7345" i="1"/>
  <c r="A7346" i="1"/>
  <c r="C7346" i="1"/>
  <c r="A21794" i="1"/>
  <c r="C21794" i="1"/>
  <c r="A5517" i="1"/>
  <c r="B5517" i="1"/>
  <c r="C5517" i="1"/>
  <c r="A19134" i="1"/>
  <c r="B19134" i="1"/>
  <c r="C19134" i="1"/>
  <c r="A24235" i="1"/>
  <c r="B24235" i="1"/>
  <c r="C24235" i="1"/>
  <c r="A17713" i="1"/>
  <c r="B17713" i="1"/>
  <c r="C17713" i="1"/>
  <c r="A9166" i="1"/>
  <c r="B9166" i="1"/>
  <c r="C9166" i="1"/>
  <c r="A224" i="1"/>
  <c r="B224" i="1"/>
  <c r="C224" i="1"/>
  <c r="A9446" i="1"/>
  <c r="B9446" i="1"/>
  <c r="C9446" i="1"/>
  <c r="A259" i="1"/>
  <c r="B259" i="1"/>
  <c r="C259" i="1"/>
  <c r="A15320" i="1"/>
  <c r="B15320" i="1"/>
  <c r="C15320" i="1"/>
  <c r="A9033" i="1"/>
  <c r="B9033" i="1"/>
  <c r="C9033" i="1"/>
  <c r="A7582" i="1"/>
  <c r="B7582" i="1"/>
  <c r="C7582" i="1"/>
  <c r="A19867" i="1"/>
  <c r="B19867" i="1"/>
  <c r="C19867" i="1"/>
  <c r="A11554" i="1"/>
  <c r="B11554" i="1"/>
  <c r="C11554" i="1"/>
  <c r="A7600" i="1"/>
  <c r="B7600" i="1"/>
  <c r="C7600" i="1"/>
  <c r="A4421" i="1"/>
  <c r="B4421" i="1"/>
  <c r="C4421" i="1"/>
  <c r="A24888" i="1"/>
  <c r="B24888" i="1"/>
  <c r="C24888" i="1"/>
  <c r="A18856" i="1"/>
  <c r="B18856" i="1"/>
  <c r="C18856" i="1"/>
  <c r="A4352" i="1"/>
  <c r="B4352" i="1"/>
  <c r="C4352" i="1"/>
  <c r="A3147" i="1"/>
  <c r="B3147" i="1"/>
  <c r="C3147" i="1"/>
  <c r="A24010" i="1"/>
  <c r="B24010" i="1"/>
  <c r="C24010" i="1"/>
  <c r="A14292" i="1"/>
  <c r="B14292" i="1"/>
  <c r="C14292" i="1"/>
  <c r="A22725" i="1"/>
  <c r="B22725" i="1"/>
  <c r="C22725" i="1"/>
  <c r="A9" i="1"/>
  <c r="B9" i="1"/>
  <c r="C9" i="1"/>
  <c r="A19508" i="1"/>
  <c r="B19508" i="1"/>
  <c r="C19508" i="1"/>
  <c r="A14291" i="1"/>
  <c r="B14291" i="1"/>
  <c r="C14291" i="1"/>
  <c r="A22726" i="1"/>
  <c r="B22726" i="1"/>
  <c r="C22726" i="1"/>
  <c r="A3737" i="1"/>
  <c r="B3737" i="1"/>
  <c r="C3737" i="1"/>
  <c r="A4763" i="1"/>
  <c r="B4763" i="1"/>
  <c r="C4763" i="1"/>
  <c r="A3723" i="1"/>
  <c r="B3723" i="1"/>
  <c r="C3723" i="1"/>
  <c r="A3733" i="1"/>
  <c r="B3733" i="1"/>
  <c r="C3733" i="1"/>
  <c r="A22776" i="1"/>
  <c r="B22776" i="1"/>
  <c r="C22776" i="1"/>
  <c r="A9799" i="1"/>
  <c r="B9799" i="1"/>
  <c r="C9799" i="1"/>
  <c r="A3750" i="1"/>
  <c r="B3750" i="1"/>
  <c r="C3750" i="1"/>
  <c r="A4760" i="1"/>
  <c r="B4760" i="1"/>
  <c r="C4760" i="1"/>
  <c r="A3722" i="1"/>
  <c r="B3722" i="1"/>
  <c r="C3722" i="1"/>
  <c r="A3731" i="1"/>
  <c r="B3731" i="1"/>
  <c r="C3731" i="1"/>
  <c r="A22777" i="1"/>
  <c r="B22777" i="1"/>
  <c r="C22777" i="1"/>
  <c r="A9800" i="1"/>
  <c r="B9800" i="1"/>
  <c r="C9800" i="1"/>
  <c r="A3748" i="1"/>
  <c r="B3748" i="1"/>
  <c r="C3748" i="1"/>
  <c r="A24304" i="1"/>
  <c r="B24304" i="1"/>
  <c r="C24304" i="1"/>
  <c r="A24305" i="1"/>
  <c r="B24305" i="1"/>
  <c r="C24305" i="1"/>
  <c r="A24300" i="1"/>
  <c r="B24300" i="1"/>
  <c r="C24300" i="1"/>
  <c r="A4564" i="1"/>
  <c r="B4564" i="1"/>
  <c r="C4564" i="1"/>
  <c r="A4551" i="1"/>
  <c r="B4551" i="1"/>
  <c r="C4551" i="1"/>
  <c r="A4533" i="1"/>
  <c r="B4533" i="1"/>
  <c r="C4533" i="1"/>
  <c r="A4542" i="1"/>
  <c r="B4542" i="1"/>
  <c r="C4542" i="1"/>
  <c r="A5023" i="1"/>
  <c r="B5023" i="1"/>
  <c r="C5023" i="1"/>
  <c r="A5033" i="1"/>
  <c r="B5033" i="1"/>
  <c r="C5033" i="1"/>
  <c r="A5025" i="1"/>
  <c r="B5025" i="1"/>
  <c r="C5025" i="1"/>
  <c r="A5001" i="1"/>
  <c r="B5001" i="1"/>
  <c r="C5001" i="1"/>
  <c r="A13291" i="1"/>
  <c r="B13291" i="1"/>
  <c r="C13291" i="1"/>
  <c r="A23061" i="1"/>
  <c r="B23061" i="1"/>
  <c r="C23061" i="1"/>
  <c r="A23070" i="1"/>
  <c r="B23070" i="1"/>
  <c r="C23070" i="1"/>
  <c r="A5159" i="1"/>
  <c r="B5159" i="1"/>
  <c r="C5159" i="1"/>
  <c r="A5548" i="1"/>
  <c r="B5548" i="1"/>
  <c r="C5548" i="1"/>
  <c r="A16133" i="1"/>
  <c r="B16133" i="1"/>
  <c r="C16133" i="1"/>
  <c r="A23850" i="1"/>
  <c r="B23850" i="1"/>
  <c r="C23850" i="1"/>
  <c r="A1349" i="1"/>
  <c r="B1349" i="1"/>
  <c r="C1349" i="1"/>
  <c r="A15712" i="1"/>
  <c r="B15712" i="1"/>
  <c r="C15712" i="1"/>
  <c r="A11533" i="1"/>
  <c r="B11533" i="1"/>
  <c r="C11533" i="1"/>
  <c r="A8411" i="1"/>
  <c r="B8411" i="1"/>
  <c r="C8411" i="1"/>
  <c r="A15713" i="1"/>
  <c r="B15713" i="1"/>
  <c r="C15713" i="1"/>
  <c r="A15714" i="1"/>
  <c r="B15714" i="1"/>
  <c r="C15714" i="1"/>
  <c r="A15715" i="1"/>
  <c r="B15715" i="1"/>
  <c r="C15715" i="1"/>
  <c r="A19498" i="1"/>
  <c r="B19498" i="1"/>
  <c r="C19498" i="1"/>
  <c r="A18594" i="1"/>
  <c r="B18594" i="1"/>
  <c r="C18594" i="1"/>
  <c r="A19684" i="1"/>
  <c r="B19684" i="1"/>
  <c r="C19684" i="1"/>
  <c r="A5833" i="1"/>
  <c r="B5833" i="1"/>
  <c r="C5833" i="1"/>
  <c r="A12535" i="1"/>
  <c r="B12535" i="1"/>
  <c r="C12535" i="1"/>
  <c r="A14889" i="1"/>
  <c r="B14889" i="1"/>
  <c r="C14889" i="1"/>
  <c r="A9554" i="1"/>
  <c r="B9554" i="1"/>
  <c r="C9554" i="1"/>
  <c r="A4424" i="1"/>
  <c r="B4424" i="1"/>
  <c r="C4424" i="1"/>
  <c r="A18289" i="1"/>
  <c r="B18289" i="1"/>
  <c r="C18289" i="1"/>
  <c r="A18288" i="1"/>
  <c r="B18288" i="1"/>
  <c r="C18288" i="1"/>
  <c r="A12131" i="1"/>
  <c r="B12131" i="1"/>
  <c r="C12131" i="1"/>
  <c r="A80" i="1"/>
  <c r="B80" i="1"/>
  <c r="C80" i="1"/>
  <c r="A22408" i="1"/>
  <c r="B22408" i="1"/>
  <c r="C22408" i="1"/>
  <c r="A19015" i="1"/>
  <c r="B19015" i="1"/>
  <c r="C19015" i="1"/>
  <c r="A23872" i="1"/>
  <c r="B23872" i="1"/>
  <c r="C23872" i="1"/>
  <c r="A24012" i="1"/>
  <c r="B24012" i="1"/>
  <c r="C24012" i="1"/>
  <c r="A9882" i="1"/>
  <c r="B9882" i="1"/>
  <c r="C9882" i="1"/>
  <c r="A8921" i="1"/>
  <c r="B8921" i="1"/>
  <c r="C8921" i="1"/>
  <c r="A4209" i="1"/>
  <c r="B4209" i="1"/>
  <c r="C4209" i="1"/>
  <c r="A25045" i="1"/>
  <c r="B25045" i="1"/>
  <c r="C25045" i="1"/>
  <c r="A24025" i="1"/>
  <c r="B24025" i="1"/>
  <c r="C24025" i="1"/>
  <c r="A1650" i="1"/>
  <c r="B1650" i="1"/>
  <c r="C1650" i="1"/>
  <c r="A17180" i="1"/>
  <c r="B17180" i="1"/>
  <c r="C17180" i="1"/>
  <c r="A6814" i="1"/>
  <c r="B6814" i="1"/>
  <c r="C6814" i="1"/>
  <c r="A6815" i="1"/>
  <c r="B6815" i="1"/>
  <c r="C6815" i="1"/>
  <c r="A10176" i="1"/>
  <c r="B10176" i="1"/>
  <c r="C10176" i="1"/>
  <c r="A25347" i="1"/>
  <c r="B25347" i="1"/>
  <c r="C25347" i="1"/>
  <c r="A25342" i="1"/>
  <c r="B25342" i="1"/>
  <c r="C25342" i="1"/>
  <c r="A4221" i="1"/>
  <c r="B4221" i="1"/>
  <c r="C4221" i="1"/>
  <c r="A4220" i="1"/>
  <c r="B4220" i="1"/>
  <c r="C4220" i="1"/>
  <c r="A4225" i="1"/>
  <c r="B4225" i="1"/>
  <c r="C4225" i="1"/>
  <c r="A20715" i="1"/>
  <c r="B20715" i="1"/>
  <c r="C20715" i="1"/>
  <c r="A20706" i="1"/>
  <c r="B20706" i="1"/>
  <c r="C20706" i="1"/>
  <c r="A25353" i="1"/>
  <c r="B25353" i="1"/>
  <c r="C25353" i="1"/>
  <c r="A22641" i="1"/>
  <c r="B22641" i="1"/>
  <c r="C22641" i="1"/>
  <c r="A1796" i="1"/>
  <c r="B1796" i="1"/>
  <c r="C1796" i="1"/>
  <c r="A1801" i="1"/>
  <c r="B1801" i="1"/>
  <c r="C1801" i="1"/>
  <c r="A16784" i="1"/>
  <c r="B16784" i="1"/>
  <c r="C16784" i="1"/>
  <c r="A10933" i="1"/>
  <c r="B10933" i="1"/>
  <c r="C10933" i="1"/>
  <c r="A10932" i="1"/>
  <c r="B10932" i="1"/>
  <c r="C10932" i="1"/>
  <c r="A13307" i="1"/>
  <c r="B13307" i="1"/>
  <c r="C13307" i="1"/>
  <c r="A10129" i="1"/>
  <c r="B10129" i="1"/>
  <c r="C10129" i="1"/>
  <c r="A10100" i="1"/>
  <c r="B10100" i="1"/>
  <c r="C10100" i="1"/>
  <c r="A5044" i="1"/>
  <c r="B5044" i="1"/>
  <c r="C5044" i="1"/>
  <c r="A23051" i="1"/>
  <c r="B23051" i="1"/>
  <c r="C23051" i="1"/>
  <c r="A19006" i="1"/>
  <c r="B19006" i="1"/>
  <c r="C19006" i="1"/>
  <c r="A11081" i="1"/>
  <c r="B11081" i="1"/>
  <c r="C11081" i="1"/>
  <c r="A10095" i="1"/>
  <c r="B10095" i="1"/>
  <c r="C10095" i="1"/>
  <c r="A1423" i="1"/>
  <c r="B1423" i="1"/>
  <c r="C1423" i="1"/>
  <c r="A12455" i="1"/>
  <c r="B12455" i="1"/>
  <c r="C12455" i="1"/>
  <c r="A12456" i="1"/>
  <c r="B12456" i="1"/>
  <c r="C12456" i="1"/>
  <c r="A9706" i="1"/>
  <c r="B9706" i="1"/>
  <c r="C9706" i="1"/>
  <c r="A11658" i="1"/>
  <c r="B11658" i="1"/>
  <c r="C11658" i="1"/>
  <c r="A1834" i="1"/>
  <c r="B1834" i="1"/>
  <c r="C1834" i="1"/>
  <c r="A10620" i="1"/>
  <c r="B10620" i="1"/>
  <c r="C10620" i="1"/>
  <c r="A18170" i="1"/>
  <c r="B18170" i="1"/>
  <c r="C18170" i="1"/>
  <c r="A24929" i="1"/>
  <c r="B24929" i="1"/>
  <c r="C24929" i="1"/>
  <c r="A24933" i="1"/>
  <c r="B24933" i="1"/>
  <c r="C24933" i="1"/>
  <c r="A2827" i="1"/>
  <c r="B2827" i="1"/>
  <c r="C2827" i="1"/>
  <c r="A24927" i="1"/>
  <c r="B24927" i="1"/>
  <c r="C24927" i="1"/>
  <c r="A11282" i="1"/>
  <c r="B11282" i="1"/>
  <c r="C11282" i="1"/>
  <c r="A24928" i="1"/>
  <c r="B24928" i="1"/>
  <c r="C24928" i="1"/>
  <c r="A25276" i="1"/>
  <c r="B25276" i="1"/>
  <c r="C25276" i="1"/>
  <c r="A24931" i="1"/>
  <c r="B24931" i="1"/>
  <c r="C24931" i="1"/>
  <c r="A15329" i="1"/>
  <c r="B15329" i="1"/>
  <c r="C15329" i="1"/>
  <c r="A24935" i="1"/>
  <c r="B24935" i="1"/>
  <c r="C24935" i="1"/>
  <c r="A24932" i="1"/>
  <c r="B24932" i="1"/>
  <c r="C24932" i="1"/>
  <c r="A25164" i="1"/>
  <c r="B25164" i="1"/>
  <c r="C25164" i="1"/>
  <c r="A24938" i="1"/>
  <c r="B24938" i="1"/>
  <c r="C24938" i="1"/>
  <c r="A24930" i="1"/>
  <c r="B24930" i="1"/>
  <c r="C24930" i="1"/>
  <c r="A25253" i="1"/>
  <c r="B25253" i="1"/>
  <c r="C25253" i="1"/>
  <c r="A19564" i="1"/>
  <c r="B19564" i="1"/>
  <c r="C19564" i="1"/>
  <c r="A19558" i="1"/>
  <c r="B19558" i="1"/>
  <c r="C19558" i="1"/>
  <c r="A19559" i="1"/>
  <c r="B19559" i="1"/>
  <c r="C19559" i="1"/>
  <c r="A19539" i="1"/>
  <c r="B19539" i="1"/>
  <c r="C19539" i="1"/>
  <c r="A8508" i="1"/>
  <c r="B8508" i="1"/>
  <c r="C8508" i="1"/>
  <c r="A19557" i="1"/>
  <c r="B19557" i="1"/>
  <c r="C19557" i="1"/>
  <c r="A19563" i="1"/>
  <c r="B19563" i="1"/>
  <c r="C19563" i="1"/>
  <c r="A649" i="1"/>
  <c r="B649" i="1"/>
  <c r="C649" i="1"/>
  <c r="A10577" i="1"/>
  <c r="B10577" i="1"/>
  <c r="C10577" i="1"/>
  <c r="A17581" i="1"/>
  <c r="B17581" i="1"/>
  <c r="C17581" i="1"/>
  <c r="A22947" i="1"/>
  <c r="B22947" i="1"/>
  <c r="C22947" i="1"/>
  <c r="A5977" i="1"/>
  <c r="B5977" i="1"/>
  <c r="C5977" i="1"/>
  <c r="A7392" i="1"/>
  <c r="B7392" i="1"/>
  <c r="C7392" i="1"/>
  <c r="A7393" i="1"/>
  <c r="B7393" i="1"/>
  <c r="C7393" i="1"/>
  <c r="A7394" i="1"/>
  <c r="B7394" i="1"/>
  <c r="C7394" i="1"/>
  <c r="A18197" i="1"/>
  <c r="B18197" i="1"/>
  <c r="C18197" i="1"/>
  <c r="A18323" i="1"/>
  <c r="B18323" i="1"/>
  <c r="C18323" i="1"/>
  <c r="A18328" i="1"/>
  <c r="B18328" i="1"/>
  <c r="C18328" i="1"/>
  <c r="A18365" i="1"/>
  <c r="C18365" i="1"/>
  <c r="A9076" i="1"/>
  <c r="B9076" i="1"/>
  <c r="C9076" i="1"/>
  <c r="A17935" i="1"/>
  <c r="B17935" i="1"/>
  <c r="C17935" i="1"/>
  <c r="A24845" i="1"/>
  <c r="B24845" i="1"/>
  <c r="C24845" i="1"/>
  <c r="A19067" i="1"/>
  <c r="B19067" i="1"/>
  <c r="C19067" i="1"/>
  <c r="A16169" i="1"/>
  <c r="B16169" i="1"/>
  <c r="C16169" i="1"/>
  <c r="A10860" i="1"/>
  <c r="B10860" i="1"/>
  <c r="C10860" i="1"/>
  <c r="A19206" i="1"/>
  <c r="B19206" i="1"/>
  <c r="C19206" i="1"/>
  <c r="A4355" i="1"/>
  <c r="B4355" i="1"/>
  <c r="C4355" i="1"/>
  <c r="A4356" i="1"/>
  <c r="B4356" i="1"/>
  <c r="C4356" i="1"/>
  <c r="A4925" i="1"/>
  <c r="B4925" i="1"/>
  <c r="C4925" i="1"/>
  <c r="A22321" i="1"/>
  <c r="B22321" i="1"/>
  <c r="C22321" i="1"/>
  <c r="A20052" i="1"/>
  <c r="B20052" i="1"/>
  <c r="C20052" i="1"/>
  <c r="A20786" i="1"/>
  <c r="B20786" i="1"/>
  <c r="C20786" i="1"/>
  <c r="A20773" i="1"/>
  <c r="B20773" i="1"/>
  <c r="C20773" i="1"/>
  <c r="A8209" i="1"/>
  <c r="B8209" i="1"/>
  <c r="C8209" i="1"/>
  <c r="A16222" i="1"/>
  <c r="B16222" i="1"/>
  <c r="C16222" i="1"/>
  <c r="A8833" i="1"/>
  <c r="B8833" i="1"/>
  <c r="C8833" i="1"/>
  <c r="A18836" i="1"/>
  <c r="B18836" i="1"/>
  <c r="C18836" i="1"/>
  <c r="A14073" i="1"/>
  <c r="B14073" i="1"/>
  <c r="C14073" i="1"/>
  <c r="A25533" i="1"/>
  <c r="B25533" i="1"/>
  <c r="C25533" i="1"/>
  <c r="A6785" i="1"/>
  <c r="B6785" i="1"/>
  <c r="C6785" i="1"/>
  <c r="A14067" i="1"/>
  <c r="B14067" i="1"/>
  <c r="C14067" i="1"/>
  <c r="A14205" i="1"/>
  <c r="B14205" i="1"/>
  <c r="C14205" i="1"/>
  <c r="A16428" i="1"/>
  <c r="B16428" i="1"/>
  <c r="C16428" i="1"/>
  <c r="A4920" i="1"/>
  <c r="B4920" i="1"/>
  <c r="C4920" i="1"/>
  <c r="A4910" i="1"/>
  <c r="B4910" i="1"/>
  <c r="C4910" i="1"/>
  <c r="A4926" i="1"/>
  <c r="B4926" i="1"/>
  <c r="C4926" i="1"/>
  <c r="A5158" i="1"/>
  <c r="B5158" i="1"/>
  <c r="C5158" i="1"/>
  <c r="A4527" i="1"/>
  <c r="B4527" i="1"/>
  <c r="C4527" i="1"/>
  <c r="A4528" i="1"/>
  <c r="B4528" i="1"/>
  <c r="C4528" i="1"/>
  <c r="A4529" i="1"/>
  <c r="B4529" i="1"/>
  <c r="C4529" i="1"/>
  <c r="A4530" i="1"/>
  <c r="B4530" i="1"/>
  <c r="C4530" i="1"/>
  <c r="A4531" i="1"/>
  <c r="B4531" i="1"/>
  <c r="C4531" i="1"/>
  <c r="A4532" i="1"/>
  <c r="B4532" i="1"/>
  <c r="C4532" i="1"/>
  <c r="A4562" i="1"/>
  <c r="B4562" i="1"/>
  <c r="C4562" i="1"/>
  <c r="A4563" i="1"/>
  <c r="B4563" i="1"/>
  <c r="C4563" i="1"/>
  <c r="A24765" i="1"/>
  <c r="B24765" i="1"/>
  <c r="C24765" i="1"/>
  <c r="A19748" i="1"/>
  <c r="B19748" i="1"/>
  <c r="C19748" i="1"/>
  <c r="A19407" i="1"/>
  <c r="B19407" i="1"/>
  <c r="C19407" i="1"/>
  <c r="A2503" i="1"/>
  <c r="B2503" i="1"/>
  <c r="C2503" i="1"/>
  <c r="A17929" i="1"/>
  <c r="B17929" i="1"/>
  <c r="C17929" i="1"/>
  <c r="A24195" i="1"/>
  <c r="B24195" i="1"/>
  <c r="C24195" i="1"/>
  <c r="A13734" i="1"/>
  <c r="B13734" i="1"/>
  <c r="C13734" i="1"/>
  <c r="A3006" i="1"/>
  <c r="C3006" i="1"/>
  <c r="A12111" i="1"/>
  <c r="B12111" i="1"/>
  <c r="C12111" i="1"/>
  <c r="A4064" i="1"/>
  <c r="B4064" i="1"/>
  <c r="C4064" i="1"/>
  <c r="A4066" i="1"/>
  <c r="B4066" i="1"/>
  <c r="C4066" i="1"/>
  <c r="A8887" i="1"/>
  <c r="B8887" i="1"/>
  <c r="C8887" i="1"/>
  <c r="A10266" i="1"/>
  <c r="B10266" i="1"/>
  <c r="C10266" i="1"/>
  <c r="A1662" i="1"/>
  <c r="B1662" i="1"/>
  <c r="C1662" i="1"/>
  <c r="A15277" i="1"/>
  <c r="B15277" i="1"/>
  <c r="C15277" i="1"/>
  <c r="A252" i="1"/>
  <c r="B252" i="1"/>
  <c r="C252" i="1"/>
  <c r="A20757" i="1"/>
  <c r="B20757" i="1"/>
  <c r="C20757" i="1"/>
  <c r="A10735" i="1"/>
  <c r="B10735" i="1"/>
  <c r="C10735" i="1"/>
  <c r="A23062" i="1"/>
  <c r="B23062" i="1"/>
  <c r="C23062" i="1"/>
  <c r="A24776" i="1"/>
  <c r="B24776" i="1"/>
  <c r="C24776" i="1"/>
  <c r="A11158" i="1"/>
  <c r="C11158" i="1"/>
  <c r="A19653" i="1"/>
  <c r="C19653" i="1"/>
  <c r="A9464" i="1"/>
  <c r="B9464" i="1"/>
  <c r="C9464" i="1"/>
  <c r="A8422" i="1"/>
  <c r="B8422" i="1"/>
  <c r="C8422" i="1"/>
  <c r="A21029" i="1"/>
  <c r="C21029" i="1"/>
  <c r="A7331" i="1"/>
  <c r="B7331" i="1"/>
  <c r="C7331" i="1"/>
  <c r="A19244" i="1"/>
  <c r="B19244" i="1"/>
  <c r="C19244" i="1"/>
  <c r="A16958" i="1"/>
  <c r="B16958" i="1"/>
  <c r="C16958" i="1"/>
  <c r="A25406" i="1"/>
  <c r="B25406" i="1"/>
  <c r="C25406" i="1"/>
  <c r="A540" i="1"/>
  <c r="B540" i="1"/>
  <c r="C540" i="1"/>
  <c r="A14104" i="1"/>
  <c r="B14104" i="1"/>
  <c r="C14104" i="1"/>
  <c r="A7446" i="1"/>
  <c r="B7446" i="1"/>
  <c r="C7446" i="1"/>
  <c r="A8059" i="1"/>
  <c r="B8059" i="1"/>
  <c r="C8059" i="1"/>
  <c r="A13600" i="1"/>
  <c r="B13600" i="1"/>
  <c r="C13600" i="1"/>
  <c r="A21100" i="1"/>
  <c r="B21100" i="1"/>
  <c r="C21100" i="1"/>
  <c r="A21099" i="1"/>
  <c r="B21099" i="1"/>
  <c r="C21099" i="1"/>
  <c r="A11406" i="1"/>
  <c r="B11406" i="1"/>
  <c r="C11406" i="1"/>
  <c r="A21838" i="1"/>
  <c r="B21838" i="1"/>
  <c r="C21838" i="1"/>
  <c r="A3809" i="1"/>
  <c r="B3809" i="1"/>
  <c r="C3809" i="1"/>
  <c r="A306" i="1"/>
  <c r="B306" i="1"/>
  <c r="C306" i="1"/>
  <c r="A16612" i="1"/>
  <c r="B16612" i="1"/>
  <c r="C16612" i="1"/>
  <c r="A2513" i="1"/>
  <c r="B2513" i="1"/>
  <c r="C2513" i="1"/>
  <c r="A22434" i="1"/>
  <c r="B22434" i="1"/>
  <c r="C22434" i="1"/>
  <c r="A22435" i="1"/>
  <c r="B22435" i="1"/>
  <c r="C22435" i="1"/>
  <c r="A22433" i="1"/>
  <c r="B22433" i="1"/>
  <c r="C22433" i="1"/>
  <c r="A4758" i="1"/>
  <c r="B4758" i="1"/>
  <c r="C4758" i="1"/>
  <c r="A4751" i="1"/>
  <c r="B4751" i="1"/>
  <c r="C4751" i="1"/>
  <c r="A4756" i="1"/>
  <c r="B4756" i="1"/>
  <c r="C4756" i="1"/>
  <c r="A3728" i="1"/>
  <c r="B3728" i="1"/>
  <c r="C3728" i="1"/>
  <c r="A3719" i="1"/>
  <c r="B3719" i="1"/>
  <c r="C3719" i="1"/>
  <c r="A3742" i="1"/>
  <c r="B3742" i="1"/>
  <c r="C3742" i="1"/>
  <c r="A11213" i="1"/>
  <c r="B11213" i="1"/>
  <c r="C11213" i="1"/>
  <c r="A22425" i="1"/>
  <c r="B22425" i="1"/>
  <c r="C22425" i="1"/>
  <c r="A22426" i="1"/>
  <c r="B22426" i="1"/>
  <c r="C22426" i="1"/>
  <c r="A19756" i="1"/>
  <c r="B19756" i="1"/>
  <c r="C19756" i="1"/>
  <c r="A19758" i="1"/>
  <c r="B19758" i="1"/>
  <c r="C19758" i="1"/>
  <c r="A23773" i="1"/>
  <c r="B23773" i="1"/>
  <c r="C23773" i="1"/>
  <c r="A13322" i="1"/>
  <c r="B13322" i="1"/>
  <c r="C13322" i="1"/>
  <c r="A2252" i="1"/>
  <c r="B2252" i="1"/>
  <c r="C2252" i="1"/>
  <c r="A11722" i="1"/>
  <c r="B11722" i="1"/>
  <c r="C11722" i="1"/>
  <c r="A22350" i="1"/>
  <c r="B22350" i="1"/>
  <c r="C22350" i="1"/>
  <c r="A9699" i="1"/>
  <c r="B9699" i="1"/>
  <c r="C9699" i="1"/>
  <c r="A9705" i="1"/>
  <c r="B9705" i="1"/>
  <c r="C9705" i="1"/>
  <c r="A24464" i="1"/>
  <c r="B24464" i="1"/>
  <c r="C24464" i="1"/>
  <c r="A8510" i="1"/>
  <c r="B8510" i="1"/>
  <c r="C8510" i="1"/>
  <c r="A8514" i="1"/>
  <c r="B8514" i="1"/>
  <c r="C8514" i="1"/>
  <c r="A16905" i="1"/>
  <c r="C16905" i="1"/>
  <c r="A8898" i="1"/>
  <c r="B8898" i="1"/>
  <c r="C8898" i="1"/>
  <c r="A16318" i="1"/>
  <c r="B16318" i="1"/>
  <c r="C16318" i="1"/>
  <c r="A16782" i="1"/>
  <c r="B16782" i="1"/>
  <c r="C16782" i="1"/>
  <c r="A9028" i="1"/>
  <c r="B9028" i="1"/>
  <c r="C9028" i="1"/>
  <c r="A9037" i="1"/>
  <c r="B9037" i="1"/>
  <c r="C9037" i="1"/>
  <c r="A16138" i="1"/>
  <c r="B16138" i="1"/>
  <c r="C16138" i="1"/>
  <c r="A6434" i="1"/>
  <c r="B6434" i="1"/>
  <c r="C6434" i="1"/>
  <c r="A3167" i="1"/>
  <c r="B3167" i="1"/>
  <c r="C3167" i="1"/>
  <c r="A3184" i="1"/>
  <c r="B3184" i="1"/>
  <c r="C3184" i="1"/>
  <c r="A12821" i="1"/>
  <c r="B12821" i="1"/>
  <c r="C12821" i="1"/>
  <c r="A12818" i="1"/>
  <c r="B12818" i="1"/>
  <c r="C12818" i="1"/>
  <c r="A1406" i="1"/>
  <c r="B1406" i="1"/>
  <c r="C1406" i="1"/>
  <c r="A11997" i="1"/>
  <c r="B11997" i="1"/>
  <c r="C11997" i="1"/>
  <c r="A15639" i="1"/>
  <c r="B15639" i="1"/>
  <c r="C15639" i="1"/>
  <c r="A15641" i="1"/>
  <c r="B15641" i="1"/>
  <c r="C15641" i="1"/>
  <c r="A15642" i="1"/>
  <c r="B15642" i="1"/>
  <c r="C15642" i="1"/>
  <c r="A15640" i="1"/>
  <c r="B15640" i="1"/>
  <c r="C15640" i="1"/>
  <c r="A10152" i="1"/>
  <c r="B10152" i="1"/>
  <c r="C10152" i="1"/>
  <c r="A20717" i="1"/>
  <c r="B20717" i="1"/>
  <c r="C20717" i="1"/>
  <c r="A4226" i="1"/>
  <c r="B4226" i="1"/>
  <c r="C4226" i="1"/>
  <c r="A1798" i="1"/>
  <c r="B1798" i="1"/>
  <c r="C1798" i="1"/>
  <c r="A16786" i="1"/>
  <c r="B16786" i="1"/>
  <c r="C16786" i="1"/>
  <c r="A25356" i="1"/>
  <c r="B25356" i="1"/>
  <c r="C25356" i="1"/>
  <c r="A4228" i="1"/>
  <c r="B4228" i="1"/>
  <c r="C4228" i="1"/>
  <c r="A25354" i="1"/>
  <c r="B25354" i="1"/>
  <c r="C25354" i="1"/>
  <c r="A25349" i="1"/>
  <c r="B25349" i="1"/>
  <c r="C25349" i="1"/>
  <c r="A20716" i="1"/>
  <c r="B20716" i="1"/>
  <c r="C20716" i="1"/>
  <c r="A4223" i="1"/>
  <c r="B4223" i="1"/>
  <c r="C4223" i="1"/>
  <c r="A10175" i="1"/>
  <c r="B10175" i="1"/>
  <c r="C10175" i="1"/>
  <c r="A25351" i="1"/>
  <c r="B25351" i="1"/>
  <c r="C25351" i="1"/>
  <c r="A20711" i="1"/>
  <c r="B20711" i="1"/>
  <c r="C20711" i="1"/>
  <c r="A1799" i="1"/>
  <c r="B1799" i="1"/>
  <c r="C1799" i="1"/>
  <c r="A16780" i="1"/>
  <c r="B16780" i="1"/>
  <c r="C16780" i="1"/>
  <c r="A4100" i="1"/>
  <c r="B4100" i="1"/>
  <c r="C4100" i="1"/>
  <c r="A4224" i="1"/>
  <c r="B4224" i="1"/>
  <c r="C4224" i="1"/>
  <c r="A7426" i="1"/>
  <c r="B7426" i="1"/>
  <c r="C7426" i="1"/>
  <c r="A7819" i="1"/>
  <c r="B7819" i="1"/>
  <c r="C7819" i="1"/>
  <c r="A18834" i="1"/>
  <c r="B18834" i="1"/>
  <c r="C18834" i="1"/>
  <c r="A9316" i="1"/>
  <c r="B9316" i="1"/>
  <c r="C9316" i="1"/>
  <c r="A18835" i="1"/>
  <c r="B18835" i="1"/>
  <c r="C18835" i="1"/>
  <c r="A6816" i="1"/>
  <c r="B6816" i="1"/>
  <c r="C6816" i="1"/>
  <c r="A14339" i="1"/>
  <c r="B14339" i="1"/>
  <c r="C14339" i="1"/>
  <c r="A14340" i="1"/>
  <c r="B14340" i="1"/>
  <c r="C14340" i="1"/>
  <c r="A14337" i="1"/>
  <c r="B14337" i="1"/>
  <c r="C14337" i="1"/>
  <c r="A14341" i="1"/>
  <c r="B14341" i="1"/>
  <c r="C14341" i="1"/>
  <c r="A23690" i="1"/>
  <c r="B23690" i="1"/>
  <c r="C23690" i="1"/>
  <c r="A23689" i="1"/>
  <c r="B23689" i="1"/>
  <c r="C23689" i="1"/>
  <c r="A20055" i="1"/>
  <c r="B20055" i="1"/>
  <c r="C20055" i="1"/>
  <c r="A20054" i="1"/>
  <c r="B20054" i="1"/>
  <c r="C20054" i="1"/>
  <c r="A13240" i="1"/>
  <c r="B13240" i="1"/>
  <c r="C13240" i="1"/>
  <c r="A6461" i="1"/>
  <c r="B6461" i="1"/>
  <c r="C6461" i="1"/>
  <c r="A24083" i="1"/>
  <c r="B24083" i="1"/>
  <c r="C24083" i="1"/>
  <c r="A7708" i="1"/>
  <c r="B7708" i="1"/>
  <c r="C7708" i="1"/>
  <c r="A13785" i="1"/>
  <c r="B13785" i="1"/>
  <c r="C13785" i="1"/>
  <c r="A21438" i="1"/>
  <c r="B21438" i="1"/>
  <c r="C21438" i="1"/>
  <c r="A6955" i="1"/>
  <c r="B6955" i="1"/>
  <c r="C6955" i="1"/>
  <c r="A25080" i="1"/>
  <c r="B25080" i="1"/>
  <c r="C25080" i="1"/>
  <c r="A4761" i="1"/>
  <c r="B4761" i="1"/>
  <c r="C4761" i="1"/>
  <c r="A8628" i="1"/>
  <c r="B8628" i="1"/>
  <c r="C8628" i="1"/>
  <c r="A8616" i="1"/>
  <c r="B8616" i="1"/>
  <c r="C8616" i="1"/>
  <c r="A9832" i="1"/>
  <c r="B9832" i="1"/>
  <c r="C9832" i="1"/>
  <c r="A8560" i="1"/>
  <c r="B8560" i="1"/>
  <c r="C8560" i="1"/>
  <c r="A9061" i="1"/>
  <c r="B9061" i="1"/>
  <c r="C9061" i="1"/>
  <c r="A7572" i="1"/>
  <c r="B7572" i="1"/>
  <c r="C7572" i="1"/>
  <c r="A6442" i="1"/>
  <c r="B6442" i="1"/>
  <c r="C6442" i="1"/>
  <c r="A4361" i="1"/>
  <c r="B4361" i="1"/>
  <c r="C4361" i="1"/>
  <c r="A16233" i="1"/>
  <c r="B16233" i="1"/>
  <c r="C16233" i="1"/>
  <c r="A8888" i="1"/>
  <c r="B8888" i="1"/>
  <c r="C8888" i="1"/>
  <c r="A1323" i="1"/>
  <c r="B1323" i="1"/>
  <c r="C1323" i="1"/>
  <c r="A24233" i="1"/>
  <c r="B24233" i="1"/>
  <c r="C24233" i="1"/>
  <c r="A6911" i="1"/>
  <c r="B6911" i="1"/>
  <c r="C6911" i="1"/>
  <c r="A18196" i="1"/>
  <c r="B18196" i="1"/>
  <c r="C18196" i="1"/>
  <c r="A3782" i="1"/>
  <c r="B3782" i="1"/>
  <c r="C3782" i="1"/>
  <c r="A2298" i="1"/>
  <c r="B2298" i="1"/>
  <c r="C2298" i="1"/>
  <c r="A706" i="1"/>
  <c r="B706" i="1"/>
  <c r="C706" i="1"/>
  <c r="A707" i="1"/>
  <c r="B707" i="1"/>
  <c r="C707" i="1"/>
  <c r="A11517" i="1"/>
  <c r="B11517" i="1"/>
  <c r="C11517" i="1"/>
  <c r="A13188" i="1"/>
  <c r="B13188" i="1"/>
  <c r="C13188" i="1"/>
  <c r="A2855" i="1"/>
  <c r="B2855" i="1"/>
  <c r="C2855" i="1"/>
  <c r="A7531" i="1"/>
  <c r="B7531" i="1"/>
  <c r="C7531" i="1"/>
  <c r="A20872" i="1"/>
  <c r="B20872" i="1"/>
  <c r="C20872" i="1"/>
  <c r="A11" i="1"/>
  <c r="B11" i="1"/>
  <c r="C11" i="1"/>
  <c r="A12" i="1"/>
  <c r="B12" i="1"/>
  <c r="C12" i="1"/>
  <c r="A13" i="1"/>
  <c r="B13" i="1"/>
  <c r="C13" i="1"/>
  <c r="A1750" i="1"/>
  <c r="B1750" i="1"/>
  <c r="C1750" i="1"/>
  <c r="A1751" i="1"/>
  <c r="B1751" i="1"/>
  <c r="C1751" i="1"/>
  <c r="A9470" i="1"/>
  <c r="B9470" i="1"/>
  <c r="C9470" i="1"/>
  <c r="A20461" i="1"/>
  <c r="B20461" i="1"/>
  <c r="C20461" i="1"/>
  <c r="A20460" i="1"/>
  <c r="B20460" i="1"/>
  <c r="C20460" i="1"/>
  <c r="A22436" i="1"/>
  <c r="B22436" i="1"/>
  <c r="C22436" i="1"/>
  <c r="A22437" i="1"/>
  <c r="B22437" i="1"/>
  <c r="C22437" i="1"/>
  <c r="A22440" i="1"/>
  <c r="B22440" i="1"/>
  <c r="C22440" i="1"/>
  <c r="A5084" i="1"/>
  <c r="B5084" i="1"/>
  <c r="C5084" i="1"/>
  <c r="A5079" i="1"/>
  <c r="B5079" i="1"/>
  <c r="C5079" i="1"/>
  <c r="A5076" i="1"/>
  <c r="B5076" i="1"/>
  <c r="C5076" i="1"/>
  <c r="A5077" i="1"/>
  <c r="B5077" i="1"/>
  <c r="C5077" i="1"/>
  <c r="A5081" i="1"/>
  <c r="B5081" i="1"/>
  <c r="C5081" i="1"/>
  <c r="A5126" i="1"/>
  <c r="B5126" i="1"/>
  <c r="C5126" i="1"/>
  <c r="A5075" i="1"/>
  <c r="B5075" i="1"/>
  <c r="C5075" i="1"/>
  <c r="A5130" i="1"/>
  <c r="B5130" i="1"/>
  <c r="C5130" i="1"/>
  <c r="A5128" i="1"/>
  <c r="B5128" i="1"/>
  <c r="C5128" i="1"/>
  <c r="A5123" i="1"/>
  <c r="B5123" i="1"/>
  <c r="C5123" i="1"/>
  <c r="A5125" i="1"/>
  <c r="B5125" i="1"/>
  <c r="C5125" i="1"/>
  <c r="A5122" i="1"/>
  <c r="B5122" i="1"/>
  <c r="C5122" i="1"/>
  <c r="A5127" i="1"/>
  <c r="B5127" i="1"/>
  <c r="C5127" i="1"/>
  <c r="A5129" i="1"/>
  <c r="B5129" i="1"/>
  <c r="C5129" i="1"/>
  <c r="A5124" i="1"/>
  <c r="B5124" i="1"/>
  <c r="C5124" i="1"/>
  <c r="A5080" i="1"/>
  <c r="B5080" i="1"/>
  <c r="C5080" i="1"/>
  <c r="A4552" i="1"/>
  <c r="B4552" i="1"/>
  <c r="C4552" i="1"/>
  <c r="A4535" i="1"/>
  <c r="B4535" i="1"/>
  <c r="C4535" i="1"/>
  <c r="A4554" i="1"/>
  <c r="B4554" i="1"/>
  <c r="C4554" i="1"/>
  <c r="A4545" i="1"/>
  <c r="B4545" i="1"/>
  <c r="C4545" i="1"/>
  <c r="A4565" i="1"/>
  <c r="B4565" i="1"/>
  <c r="C4565" i="1"/>
  <c r="A4556" i="1"/>
  <c r="B4556" i="1"/>
  <c r="C4556" i="1"/>
  <c r="A4536" i="1"/>
  <c r="B4536" i="1"/>
  <c r="C4536" i="1"/>
  <c r="A4534" i="1"/>
  <c r="B4534" i="1"/>
  <c r="C4534" i="1"/>
  <c r="A4555" i="1"/>
  <c r="B4555" i="1"/>
  <c r="C4555" i="1"/>
  <c r="A4557" i="1"/>
  <c r="B4557" i="1"/>
  <c r="C4557" i="1"/>
  <c r="A4537" i="1"/>
  <c r="B4537" i="1"/>
  <c r="C4537" i="1"/>
  <c r="A4553" i="1"/>
  <c r="B4553" i="1"/>
  <c r="C4553" i="1"/>
  <c r="A13300" i="1"/>
  <c r="B13300" i="1"/>
  <c r="C13300" i="1"/>
  <c r="A13295" i="1"/>
  <c r="B13295" i="1"/>
  <c r="C13295" i="1"/>
  <c r="A13302" i="1"/>
  <c r="B13302" i="1"/>
  <c r="C13302" i="1"/>
  <c r="A13293" i="1"/>
  <c r="B13293" i="1"/>
  <c r="C13293" i="1"/>
  <c r="A13301" i="1"/>
  <c r="B13301" i="1"/>
  <c r="C13301" i="1"/>
  <c r="A11182" i="1"/>
  <c r="B11182" i="1"/>
  <c r="C11182" i="1"/>
  <c r="A19691" i="1"/>
  <c r="B19691" i="1"/>
  <c r="C19691" i="1"/>
  <c r="A10677" i="1"/>
  <c r="B10677" i="1"/>
  <c r="C10677" i="1"/>
  <c r="A8845" i="1"/>
  <c r="B8845" i="1"/>
  <c r="C8845" i="1"/>
  <c r="A12592" i="1"/>
  <c r="B12592" i="1"/>
  <c r="C12592" i="1"/>
  <c r="A5792" i="1"/>
  <c r="B5792" i="1"/>
  <c r="C5792" i="1"/>
  <c r="A6821" i="1"/>
  <c r="B6821" i="1"/>
  <c r="C6821" i="1"/>
  <c r="A24370" i="1"/>
  <c r="B24370" i="1"/>
  <c r="C24370" i="1"/>
  <c r="A4104" i="1"/>
  <c r="C4104" i="1"/>
  <c r="A5085" i="1"/>
  <c r="B5085" i="1"/>
  <c r="C5085" i="1"/>
  <c r="A4543" i="1"/>
  <c r="B4543" i="1"/>
  <c r="C4543" i="1"/>
  <c r="A13298" i="1"/>
  <c r="B13298" i="1"/>
  <c r="C13298" i="1"/>
  <c r="A3931" i="1"/>
  <c r="B3931" i="1"/>
  <c r="C3931" i="1"/>
  <c r="A22270" i="1"/>
  <c r="B22270" i="1"/>
  <c r="C22270" i="1"/>
  <c r="A9851" i="1"/>
  <c r="B9851" i="1"/>
  <c r="C9851" i="1"/>
  <c r="A13786" i="1"/>
  <c r="B13786" i="1"/>
  <c r="C13786" i="1"/>
  <c r="A13895" i="1"/>
  <c r="B13895" i="1"/>
  <c r="C13895" i="1"/>
  <c r="A3791" i="1"/>
  <c r="B3791" i="1"/>
  <c r="C3791" i="1"/>
  <c r="A22218" i="1"/>
  <c r="B22218" i="1"/>
  <c r="C22218" i="1"/>
  <c r="A7497" i="1"/>
  <c r="B7497" i="1"/>
  <c r="C7497" i="1"/>
  <c r="A15896" i="1"/>
  <c r="B15896" i="1"/>
  <c r="C15896" i="1"/>
  <c r="A7540" i="1"/>
  <c r="B7540" i="1"/>
  <c r="C7540" i="1"/>
  <c r="A15110" i="1"/>
  <c r="B15110" i="1"/>
  <c r="C15110" i="1"/>
  <c r="A836" i="1"/>
  <c r="B836" i="1"/>
  <c r="C836" i="1"/>
  <c r="A859" i="1"/>
  <c r="C859" i="1"/>
  <c r="A807" i="1"/>
  <c r="B807" i="1"/>
  <c r="C807" i="1"/>
  <c r="A4420" i="1"/>
  <c r="B4420" i="1"/>
  <c r="C4420" i="1"/>
  <c r="A8150" i="1"/>
  <c r="B8150" i="1"/>
  <c r="C8150" i="1"/>
  <c r="A6676" i="1"/>
  <c r="B6676" i="1"/>
  <c r="C6676" i="1"/>
  <c r="A6677" i="1"/>
  <c r="B6677" i="1"/>
  <c r="C6677" i="1"/>
  <c r="A18032" i="1"/>
  <c r="B18032" i="1"/>
  <c r="C18032" i="1"/>
  <c r="A10643" i="1"/>
  <c r="B10643" i="1"/>
  <c r="C10643" i="1"/>
  <c r="A7621" i="1"/>
  <c r="B7621" i="1"/>
  <c r="C7621" i="1"/>
  <c r="A24956" i="1"/>
  <c r="B24956" i="1"/>
  <c r="C24956" i="1"/>
  <c r="A12556" i="1"/>
  <c r="B12556" i="1"/>
  <c r="C12556" i="1"/>
  <c r="A21792" i="1"/>
  <c r="C21792" i="1"/>
  <c r="A3836" i="1"/>
  <c r="C3836" i="1"/>
  <c r="A314" i="1"/>
  <c r="C314" i="1"/>
  <c r="A4110" i="1"/>
  <c r="B4110" i="1"/>
  <c r="C4110" i="1"/>
  <c r="A19858" i="1"/>
  <c r="C19858" i="1"/>
  <c r="A12363" i="1"/>
  <c r="B12363" i="1"/>
  <c r="C12363" i="1"/>
  <c r="A6552" i="1"/>
  <c r="B6552" i="1"/>
  <c r="C6552" i="1"/>
  <c r="A13447" i="1"/>
  <c r="B13447" i="1"/>
  <c r="C13447" i="1"/>
  <c r="A2556" i="1"/>
  <c r="B2556" i="1"/>
  <c r="C2556" i="1"/>
  <c r="A13456" i="1"/>
  <c r="B13456" i="1"/>
  <c r="C13456" i="1"/>
  <c r="A8960" i="1"/>
  <c r="B8960" i="1"/>
  <c r="C8960" i="1"/>
  <c r="A8782" i="1"/>
  <c r="B8782" i="1"/>
  <c r="C8782" i="1"/>
  <c r="A16422" i="1"/>
  <c r="B16422" i="1"/>
  <c r="C16422" i="1"/>
  <c r="A16581" i="1"/>
  <c r="B16581" i="1"/>
  <c r="C16581" i="1"/>
  <c r="A6914" i="1"/>
  <c r="B6914" i="1"/>
  <c r="C6914" i="1"/>
  <c r="A24295" i="1"/>
  <c r="B24295" i="1"/>
  <c r="C24295" i="1"/>
  <c r="A2919" i="1"/>
  <c r="B2919" i="1"/>
  <c r="C2919" i="1"/>
  <c r="A11133" i="1"/>
  <c r="B11133" i="1"/>
  <c r="C11133" i="1"/>
  <c r="A3352" i="1"/>
  <c r="B3352" i="1"/>
  <c r="C3352" i="1"/>
  <c r="A3353" i="1"/>
  <c r="B3353" i="1"/>
  <c r="C3353" i="1"/>
  <c r="A3355" i="1"/>
  <c r="B3355" i="1"/>
  <c r="C3355" i="1"/>
  <c r="A5061" i="1"/>
  <c r="B5061" i="1"/>
  <c r="C5061" i="1"/>
  <c r="A5056" i="1"/>
  <c r="B5056" i="1"/>
  <c r="C5056" i="1"/>
  <c r="A5046" i="1"/>
  <c r="B5046" i="1"/>
  <c r="C5046" i="1"/>
  <c r="A5051" i="1"/>
  <c r="B5051" i="1"/>
  <c r="C5051" i="1"/>
  <c r="A5045" i="1"/>
  <c r="B5045" i="1"/>
  <c r="C5045" i="1"/>
  <c r="A4621" i="1"/>
  <c r="B4621" i="1"/>
  <c r="C4621" i="1"/>
  <c r="A4616" i="1"/>
  <c r="B4616" i="1"/>
  <c r="C4616" i="1"/>
  <c r="A4606" i="1"/>
  <c r="B4606" i="1"/>
  <c r="C4606" i="1"/>
  <c r="A4611" i="1"/>
  <c r="B4611" i="1"/>
  <c r="C4611" i="1"/>
  <c r="A4605" i="1"/>
  <c r="B4605" i="1"/>
  <c r="C4605" i="1"/>
  <c r="A13304" i="1"/>
  <c r="B13304" i="1"/>
  <c r="C13304" i="1"/>
  <c r="A13299" i="1"/>
  <c r="B13299" i="1"/>
  <c r="C13299" i="1"/>
  <c r="A13294" i="1"/>
  <c r="B13294" i="1"/>
  <c r="C13294" i="1"/>
  <c r="A13297" i="1"/>
  <c r="B13297" i="1"/>
  <c r="C13297" i="1"/>
  <c r="A4978" i="1"/>
  <c r="B4978" i="1"/>
  <c r="C4978" i="1"/>
  <c r="A4962" i="1"/>
  <c r="B4962" i="1"/>
  <c r="C4962" i="1"/>
  <c r="A4963" i="1"/>
  <c r="B4963" i="1"/>
  <c r="C4963" i="1"/>
  <c r="A4965" i="1"/>
  <c r="B4965" i="1"/>
  <c r="C4965" i="1"/>
  <c r="A4515" i="1"/>
  <c r="B4515" i="1"/>
  <c r="C4515" i="1"/>
  <c r="A4502" i="1"/>
  <c r="B4502" i="1"/>
  <c r="C4502" i="1"/>
  <c r="A4500" i="1"/>
  <c r="B4500" i="1"/>
  <c r="C4500" i="1"/>
  <c r="A4501" i="1"/>
  <c r="B4501" i="1"/>
  <c r="C4501" i="1"/>
  <c r="A4499" i="1"/>
  <c r="B4499" i="1"/>
  <c r="C4499" i="1"/>
  <c r="A5039" i="1"/>
  <c r="B5039" i="1"/>
  <c r="C5039" i="1"/>
  <c r="A4600" i="1"/>
  <c r="B4600" i="1"/>
  <c r="C4600" i="1"/>
  <c r="A4999" i="1"/>
  <c r="B4999" i="1"/>
  <c r="C4999" i="1"/>
  <c r="A4522" i="1"/>
  <c r="B4522" i="1"/>
  <c r="C4522" i="1"/>
  <c r="A13292" i="1"/>
  <c r="B13292" i="1"/>
  <c r="C13292" i="1"/>
  <c r="A10179" i="1"/>
  <c r="B10179" i="1"/>
  <c r="C10179" i="1"/>
  <c r="A10181" i="1"/>
  <c r="B10181" i="1"/>
  <c r="C10181" i="1"/>
  <c r="A1800" i="1"/>
  <c r="B1800" i="1"/>
  <c r="C1800" i="1"/>
  <c r="A1797" i="1"/>
  <c r="B1797" i="1"/>
  <c r="C1797" i="1"/>
  <c r="A22918" i="1"/>
  <c r="B22918" i="1"/>
  <c r="C22918" i="1"/>
  <c r="A10452" i="1"/>
  <c r="B10452" i="1"/>
  <c r="C10452" i="1"/>
  <c r="A18579" i="1"/>
  <c r="B18579" i="1"/>
  <c r="C18579" i="1"/>
  <c r="A18580" i="1"/>
  <c r="B18580" i="1"/>
  <c r="C18580" i="1"/>
  <c r="A18581" i="1"/>
  <c r="B18581" i="1"/>
  <c r="C18581" i="1"/>
  <c r="A18577" i="1"/>
  <c r="B18577" i="1"/>
  <c r="C18577" i="1"/>
  <c r="A18578" i="1"/>
  <c r="B18578" i="1"/>
  <c r="C18578" i="1"/>
  <c r="A18576" i="1"/>
  <c r="B18576" i="1"/>
  <c r="C18576" i="1"/>
  <c r="A18575" i="1"/>
  <c r="B18575" i="1"/>
  <c r="C18575" i="1"/>
  <c r="A14233" i="1"/>
  <c r="C14233" i="1"/>
  <c r="A4752" i="1"/>
  <c r="B4752" i="1"/>
  <c r="C4752" i="1"/>
  <c r="A4754" i="1"/>
  <c r="B4754" i="1"/>
  <c r="C4754" i="1"/>
  <c r="A4750" i="1"/>
  <c r="B4750" i="1"/>
  <c r="C4750" i="1"/>
  <c r="A22723" i="1"/>
  <c r="B22723" i="1"/>
  <c r="C22723" i="1"/>
  <c r="A19527" i="1"/>
  <c r="B19527" i="1"/>
  <c r="C19527" i="1"/>
  <c r="A19531" i="1"/>
  <c r="B19531" i="1"/>
  <c r="C19531" i="1"/>
  <c r="A22724" i="1"/>
  <c r="B22724" i="1"/>
  <c r="C22724" i="1"/>
  <c r="A9833" i="1"/>
  <c r="B9833" i="1"/>
  <c r="C9833" i="1"/>
  <c r="A9831" i="1"/>
  <c r="B9831" i="1"/>
  <c r="C9831" i="1"/>
  <c r="A9858" i="1"/>
  <c r="B9858" i="1"/>
  <c r="C9858" i="1"/>
  <c r="A9855" i="1"/>
  <c r="B9855" i="1"/>
  <c r="C9855" i="1"/>
  <c r="A2289" i="1"/>
  <c r="B2289" i="1"/>
  <c r="C2289" i="1"/>
  <c r="A2284" i="1"/>
  <c r="B2284" i="1"/>
  <c r="C2284" i="1"/>
  <c r="A21723" i="1"/>
  <c r="C21723" i="1"/>
  <c r="A5604" i="1"/>
  <c r="B5604" i="1"/>
  <c r="C5604" i="1"/>
  <c r="A22578" i="1"/>
  <c r="B22578" i="1"/>
  <c r="C22578" i="1"/>
  <c r="A22579" i="1"/>
  <c r="B22579" i="1"/>
  <c r="C22579" i="1"/>
  <c r="A16307" i="1"/>
  <c r="B16307" i="1"/>
  <c r="C16307" i="1"/>
  <c r="A2831" i="1"/>
  <c r="B2831" i="1"/>
  <c r="C2831" i="1"/>
  <c r="A22978" i="1"/>
  <c r="B22978" i="1"/>
  <c r="C22978" i="1"/>
  <c r="A10652" i="1"/>
  <c r="B10652" i="1"/>
  <c r="C10652" i="1"/>
  <c r="A7484" i="1"/>
  <c r="B7484" i="1"/>
  <c r="C7484" i="1"/>
  <c r="A1735" i="1"/>
  <c r="B1735" i="1"/>
  <c r="C1735" i="1"/>
  <c r="A11705" i="1"/>
  <c r="B11705" i="1"/>
  <c r="C11705" i="1"/>
  <c r="A4468" i="1"/>
  <c r="B4468" i="1"/>
  <c r="C4468" i="1"/>
  <c r="A16624" i="1"/>
  <c r="B16624" i="1"/>
  <c r="C16624" i="1"/>
  <c r="A20471" i="1"/>
  <c r="B20471" i="1"/>
  <c r="C20471" i="1"/>
  <c r="A20469" i="1"/>
  <c r="B20469" i="1"/>
  <c r="C20469" i="1"/>
  <c r="A24272" i="1"/>
  <c r="B24272" i="1"/>
  <c r="C24272" i="1"/>
  <c r="A21755" i="1"/>
  <c r="B21755" i="1"/>
  <c r="C21755" i="1"/>
  <c r="A19702" i="1"/>
  <c r="B19702" i="1"/>
  <c r="C19702" i="1"/>
  <c r="A13305" i="1"/>
  <c r="B13305" i="1"/>
  <c r="C13305" i="1"/>
  <c r="A5083" i="1"/>
  <c r="B5083" i="1"/>
  <c r="C5083" i="1"/>
  <c r="A19783" i="1"/>
  <c r="B19783" i="1"/>
  <c r="C19783" i="1"/>
  <c r="A13303" i="1"/>
  <c r="B13303" i="1"/>
  <c r="C13303" i="1"/>
  <c r="A3894" i="1"/>
  <c r="B3894" i="1"/>
  <c r="C3894" i="1"/>
  <c r="A75" i="1"/>
  <c r="B75" i="1"/>
  <c r="C75" i="1"/>
  <c r="A21538" i="1"/>
  <c r="B21538" i="1"/>
  <c r="C21538" i="1"/>
  <c r="A5082" i="1"/>
  <c r="B5082" i="1"/>
  <c r="C5082" i="1"/>
  <c r="A5078" i="1"/>
  <c r="B5078" i="1"/>
  <c r="C5078" i="1"/>
  <c r="A4544" i="1"/>
  <c r="B4544" i="1"/>
  <c r="C4544" i="1"/>
  <c r="A8912" i="1"/>
  <c r="B8912" i="1"/>
  <c r="C8912" i="1"/>
  <c r="A8914" i="1"/>
  <c r="B8914" i="1"/>
  <c r="C8914" i="1"/>
  <c r="A8911" i="1"/>
  <c r="B8911" i="1"/>
  <c r="C8911" i="1"/>
  <c r="A15771" i="1"/>
  <c r="B15771" i="1"/>
  <c r="C15771" i="1"/>
  <c r="A15818" i="1"/>
  <c r="B15818" i="1"/>
  <c r="C15818" i="1"/>
  <c r="A15941" i="1"/>
  <c r="B15941" i="1"/>
  <c r="C15941" i="1"/>
  <c r="A1841" i="1"/>
  <c r="B1841" i="1"/>
  <c r="C1841" i="1"/>
  <c r="A4746" i="1"/>
  <c r="B4746" i="1"/>
  <c r="C4746" i="1"/>
  <c r="A16500" i="1"/>
  <c r="B16500" i="1"/>
  <c r="C16500" i="1"/>
  <c r="A14832" i="1"/>
  <c r="B14832" i="1"/>
  <c r="C14832" i="1"/>
  <c r="A7539" i="1"/>
  <c r="B7539" i="1"/>
  <c r="C7539" i="1"/>
  <c r="A14833" i="1"/>
  <c r="B14833" i="1"/>
  <c r="C14833" i="1"/>
  <c r="A5660" i="1"/>
  <c r="B5660" i="1"/>
  <c r="C5660" i="1"/>
  <c r="A25000" i="1"/>
  <c r="B25000" i="1"/>
  <c r="C25000" i="1"/>
  <c r="A25084" i="1"/>
  <c r="B25084" i="1"/>
  <c r="C25084" i="1"/>
  <c r="A25085" i="1"/>
  <c r="B25085" i="1"/>
  <c r="C25085" i="1"/>
  <c r="A2529" i="1"/>
  <c r="B2529" i="1"/>
  <c r="C2529" i="1"/>
  <c r="A23017" i="1"/>
  <c r="B23017" i="1"/>
  <c r="C23017" i="1"/>
  <c r="A12447" i="1"/>
  <c r="B12447" i="1"/>
  <c r="C12447" i="1"/>
  <c r="A12517" i="1"/>
  <c r="B12517" i="1"/>
  <c r="C12517" i="1"/>
  <c r="A22211" i="1"/>
  <c r="B22211" i="1"/>
  <c r="C22211" i="1"/>
  <c r="A25423" i="1"/>
  <c r="B25423" i="1"/>
  <c r="C25423" i="1"/>
  <c r="A25422" i="1"/>
  <c r="B25422" i="1"/>
  <c r="C25422" i="1"/>
  <c r="A11440" i="1"/>
  <c r="B11440" i="1"/>
  <c r="C11440" i="1"/>
  <c r="A11442" i="1"/>
  <c r="B11442" i="1"/>
  <c r="C11442" i="1"/>
  <c r="A11441" i="1"/>
  <c r="B11441" i="1"/>
  <c r="C11441" i="1"/>
  <c r="A11447" i="1"/>
  <c r="B11447" i="1"/>
  <c r="C11447" i="1"/>
  <c r="A21727" i="1"/>
  <c r="B21727" i="1"/>
  <c r="C21727" i="1"/>
  <c r="A5779" i="1"/>
  <c r="B5779" i="1"/>
  <c r="C5779" i="1"/>
  <c r="A16867" i="1"/>
  <c r="B16867" i="1"/>
  <c r="C16867" i="1"/>
  <c r="A17488" i="1"/>
  <c r="B17488" i="1"/>
  <c r="C17488" i="1"/>
  <c r="A22196" i="1"/>
  <c r="B22196" i="1"/>
  <c r="C22196" i="1"/>
  <c r="A10685" i="1"/>
  <c r="B10685" i="1"/>
  <c r="C10685" i="1"/>
  <c r="A536" i="1"/>
  <c r="B536" i="1"/>
  <c r="C536" i="1"/>
  <c r="A7406" i="1"/>
  <c r="B7406" i="1"/>
  <c r="C7406" i="1"/>
  <c r="A1814" i="1"/>
  <c r="B1814" i="1"/>
  <c r="C1814" i="1"/>
  <c r="A4284" i="1"/>
  <c r="B4284" i="1"/>
  <c r="C4284" i="1"/>
  <c r="A10564" i="1"/>
  <c r="B10564" i="1"/>
  <c r="C10564" i="1"/>
  <c r="A5583" i="1"/>
  <c r="B5583" i="1"/>
  <c r="C5583" i="1"/>
  <c r="A15560" i="1"/>
  <c r="B15560" i="1"/>
  <c r="C15560" i="1"/>
  <c r="A5599" i="1"/>
  <c r="B5599" i="1"/>
  <c r="C5599" i="1"/>
  <c r="A121" i="1"/>
  <c r="B121" i="1"/>
  <c r="C121" i="1"/>
  <c r="A15623" i="1"/>
  <c r="B15623" i="1"/>
  <c r="C15623" i="1"/>
  <c r="A6039" i="1"/>
  <c r="B6039" i="1"/>
  <c r="C6039" i="1"/>
  <c r="A6968" i="1"/>
  <c r="B6968" i="1"/>
  <c r="C6968" i="1"/>
  <c r="A4446" i="1"/>
  <c r="B4446" i="1"/>
  <c r="C4446" i="1"/>
  <c r="A9462" i="1"/>
  <c r="B9462" i="1"/>
  <c r="C9462" i="1"/>
  <c r="A3842" i="1"/>
  <c r="B3842" i="1"/>
  <c r="C3842" i="1"/>
  <c r="A24027" i="1"/>
  <c r="B24027" i="1"/>
  <c r="C24027" i="1"/>
  <c r="A6820" i="1"/>
  <c r="B6820" i="1"/>
  <c r="C6820" i="1"/>
  <c r="A23865" i="1"/>
  <c r="B23865" i="1"/>
  <c r="C23865" i="1"/>
  <c r="A20196" i="1"/>
  <c r="B20196" i="1"/>
  <c r="C20196" i="1"/>
  <c r="A8222" i="1"/>
  <c r="C8222" i="1"/>
  <c r="A24484" i="1"/>
  <c r="B24484" i="1"/>
  <c r="C24484" i="1"/>
  <c r="A9520" i="1"/>
  <c r="B9520" i="1"/>
  <c r="C9520" i="1"/>
  <c r="A9513" i="1"/>
  <c r="B9513" i="1"/>
  <c r="C9513" i="1"/>
  <c r="A9514" i="1"/>
  <c r="B9514" i="1"/>
  <c r="C9514" i="1"/>
  <c r="A10254" i="1"/>
  <c r="B10254" i="1"/>
  <c r="C10254" i="1"/>
  <c r="A19137" i="1"/>
  <c r="B19137" i="1"/>
  <c r="C19137" i="1"/>
  <c r="A19138" i="1"/>
  <c r="B19138" i="1"/>
  <c r="C19138" i="1"/>
  <c r="A1237" i="1"/>
  <c r="B1237" i="1"/>
  <c r="C1237" i="1"/>
  <c r="A1238" i="1"/>
  <c r="B1238" i="1"/>
  <c r="C1238" i="1"/>
  <c r="A1235" i="1"/>
  <c r="B1235" i="1"/>
  <c r="C1235" i="1"/>
  <c r="A1236" i="1"/>
  <c r="B1236" i="1"/>
  <c r="C1236" i="1"/>
  <c r="A1260" i="1"/>
  <c r="B1260" i="1"/>
  <c r="C1260" i="1"/>
  <c r="A1261" i="1"/>
  <c r="B1261" i="1"/>
  <c r="C1261" i="1"/>
  <c r="A8020" i="1"/>
  <c r="B8020" i="1"/>
  <c r="C8020" i="1"/>
  <c r="A9893" i="1"/>
  <c r="B9893" i="1"/>
  <c r="C9893" i="1"/>
  <c r="A16511" i="1"/>
  <c r="B16511" i="1"/>
  <c r="C16511" i="1"/>
  <c r="A19304" i="1"/>
  <c r="B19304" i="1"/>
  <c r="C19304" i="1"/>
  <c r="A22197" i="1"/>
  <c r="B22197" i="1"/>
  <c r="C22197" i="1"/>
  <c r="A22202" i="1"/>
  <c r="B22202" i="1"/>
  <c r="C22202" i="1"/>
  <c r="A22201" i="1"/>
  <c r="B22201" i="1"/>
  <c r="C22201" i="1"/>
  <c r="A22198" i="1"/>
  <c r="B22198" i="1"/>
  <c r="C22198" i="1"/>
  <c r="A22200" i="1"/>
  <c r="B22200" i="1"/>
  <c r="C22200" i="1"/>
  <c r="A22199" i="1"/>
  <c r="B22199" i="1"/>
  <c r="C22199" i="1"/>
  <c r="A14142" i="1"/>
  <c r="C14142" i="1"/>
  <c r="A14442" i="1"/>
  <c r="B14442" i="1"/>
  <c r="C14442" i="1"/>
  <c r="A8896" i="1"/>
  <c r="B8896" i="1"/>
  <c r="C8896" i="1"/>
  <c r="A22474" i="1"/>
  <c r="B22474" i="1"/>
  <c r="C22474" i="1"/>
  <c r="A25720" i="1"/>
  <c r="B25720" i="1"/>
  <c r="C25720" i="1"/>
  <c r="A18909" i="1"/>
  <c r="B18909" i="1"/>
  <c r="C18909" i="1"/>
  <c r="A2702" i="1"/>
  <c r="B2702" i="1"/>
  <c r="C2702" i="1"/>
  <c r="A11200" i="1"/>
  <c r="B11200" i="1"/>
  <c r="C11200" i="1"/>
  <c r="A15401" i="1"/>
  <c r="B15401" i="1"/>
  <c r="C15401" i="1"/>
  <c r="A11545" i="1"/>
  <c r="B11545" i="1"/>
  <c r="C11545" i="1"/>
  <c r="A15644" i="1"/>
  <c r="B15644" i="1"/>
  <c r="C15644" i="1"/>
  <c r="A24110" i="1"/>
  <c r="B24110" i="1"/>
  <c r="C24110" i="1"/>
  <c r="A22799" i="1"/>
  <c r="B22799" i="1"/>
  <c r="C22799" i="1"/>
  <c r="A2929" i="1"/>
  <c r="B2929" i="1"/>
  <c r="C2929" i="1"/>
  <c r="A12263" i="1"/>
  <c r="B12263" i="1"/>
  <c r="C12263" i="1"/>
  <c r="A2861" i="1"/>
  <c r="B2861" i="1"/>
  <c r="C2861" i="1"/>
  <c r="A14338" i="1"/>
  <c r="B14338" i="1"/>
  <c r="C14338" i="1"/>
  <c r="A23762" i="1"/>
  <c r="C23762" i="1"/>
  <c r="A7438" i="1"/>
  <c r="B7438" i="1"/>
  <c r="C7438" i="1"/>
  <c r="A7441" i="1"/>
  <c r="B7441" i="1"/>
  <c r="C7441" i="1"/>
  <c r="A7442" i="1"/>
  <c r="B7442" i="1"/>
  <c r="C7442" i="1"/>
  <c r="A7439" i="1"/>
  <c r="B7439" i="1"/>
  <c r="C7439" i="1"/>
  <c r="A7440" i="1"/>
  <c r="B7440" i="1"/>
  <c r="C7440" i="1"/>
  <c r="A22023" i="1"/>
  <c r="B22023" i="1"/>
  <c r="C22023" i="1"/>
  <c r="A10619" i="1"/>
  <c r="B10619" i="1"/>
  <c r="C10619" i="1"/>
  <c r="A6343" i="1"/>
  <c r="B6343" i="1"/>
  <c r="C6343" i="1"/>
  <c r="A6340" i="1"/>
  <c r="B6340" i="1"/>
  <c r="C6340" i="1"/>
  <c r="A12604" i="1"/>
  <c r="B12604" i="1"/>
  <c r="C12604" i="1"/>
  <c r="A10566" i="1"/>
  <c r="B10566" i="1"/>
  <c r="C10566" i="1"/>
  <c r="A14778" i="1"/>
  <c r="B14778" i="1"/>
  <c r="C14778" i="1"/>
  <c r="A14780" i="1"/>
  <c r="B14780" i="1"/>
  <c r="C14780" i="1"/>
  <c r="A14779" i="1"/>
  <c r="B14779" i="1"/>
  <c r="C14779" i="1"/>
  <c r="A79" i="1"/>
  <c r="B79" i="1"/>
  <c r="C79" i="1"/>
  <c r="A4040" i="1"/>
  <c r="B4040" i="1"/>
  <c r="C4040" i="1"/>
  <c r="A9984" i="1"/>
  <c r="B9984" i="1"/>
  <c r="C9984" i="1"/>
  <c r="A2896" i="1"/>
  <c r="B2896" i="1"/>
  <c r="C2896" i="1"/>
  <c r="A23638" i="1"/>
  <c r="B23638" i="1"/>
  <c r="C23638" i="1"/>
  <c r="A17291" i="1"/>
  <c r="B17291" i="1"/>
  <c r="C17291" i="1"/>
  <c r="A18723" i="1"/>
  <c r="B18723" i="1"/>
  <c r="C18723" i="1"/>
  <c r="A17344" i="1"/>
  <c r="B17344" i="1"/>
  <c r="C17344" i="1"/>
  <c r="A6505" i="1"/>
  <c r="C6505" i="1"/>
  <c r="A19155" i="1"/>
  <c r="B19155" i="1"/>
  <c r="C19155" i="1"/>
  <c r="A10308" i="1"/>
  <c r="B10308" i="1"/>
  <c r="C10308" i="1"/>
  <c r="A2288" i="1"/>
  <c r="B2288" i="1"/>
  <c r="C2288" i="1"/>
  <c r="A15340" i="1"/>
  <c r="B15340" i="1"/>
  <c r="C15340" i="1"/>
  <c r="A25648" i="1"/>
  <c r="B25648" i="1"/>
  <c r="C25648" i="1"/>
  <c r="A14370" i="1"/>
  <c r="B14370" i="1"/>
  <c r="C14370" i="1"/>
  <c r="A1304" i="1"/>
  <c r="B1304" i="1"/>
  <c r="C1304" i="1"/>
  <c r="A15427" i="1"/>
  <c r="B15427" i="1"/>
  <c r="C15427" i="1"/>
  <c r="A15426" i="1"/>
  <c r="B15426" i="1"/>
  <c r="C15426" i="1"/>
  <c r="A15429" i="1"/>
  <c r="B15429" i="1"/>
  <c r="C15429" i="1"/>
  <c r="A15428" i="1"/>
  <c r="B15428" i="1"/>
  <c r="C15428" i="1"/>
  <c r="A23995" i="1"/>
  <c r="B23995" i="1"/>
  <c r="C23995" i="1"/>
  <c r="A23994" i="1"/>
  <c r="B23994" i="1"/>
  <c r="C23994" i="1"/>
  <c r="A23997" i="1"/>
  <c r="B23997" i="1"/>
  <c r="C23997" i="1"/>
  <c r="A23996" i="1"/>
  <c r="B23996" i="1"/>
  <c r="C23996" i="1"/>
  <c r="A2928" i="1"/>
  <c r="B2928" i="1"/>
  <c r="C2928" i="1"/>
  <c r="A9247" i="1"/>
  <c r="B9247" i="1"/>
  <c r="C9247" i="1"/>
  <c r="A10403" i="1"/>
  <c r="B10403" i="1"/>
  <c r="C10403" i="1"/>
  <c r="A14192" i="1"/>
  <c r="B14192" i="1"/>
  <c r="C14192" i="1"/>
  <c r="A2522" i="1"/>
  <c r="B2522" i="1"/>
  <c r="C2522" i="1"/>
  <c r="A21757" i="1"/>
  <c r="B21757" i="1"/>
  <c r="C21757" i="1"/>
  <c r="A25037" i="1"/>
  <c r="B25037" i="1"/>
  <c r="C25037" i="1"/>
  <c r="A21536" i="1"/>
  <c r="B21536" i="1"/>
  <c r="C21536" i="1"/>
  <c r="A4305" i="1"/>
  <c r="B4305" i="1"/>
  <c r="C4305" i="1"/>
  <c r="A16642" i="1"/>
  <c r="B16642" i="1"/>
  <c r="C16642" i="1"/>
  <c r="A12000" i="1"/>
  <c r="B12000" i="1"/>
  <c r="C12000" i="1"/>
  <c r="A4426" i="1"/>
  <c r="B4426" i="1"/>
  <c r="C4426" i="1"/>
  <c r="A18900" i="1"/>
  <c r="B18900" i="1"/>
  <c r="C18900" i="1"/>
  <c r="A4389" i="1"/>
  <c r="B4389" i="1"/>
  <c r="C4389" i="1"/>
  <c r="A13500" i="1"/>
  <c r="B13500" i="1"/>
  <c r="C13500" i="1"/>
  <c r="A10159" i="1"/>
  <c r="B10159" i="1"/>
  <c r="C10159" i="1"/>
  <c r="A17545" i="1"/>
  <c r="B17545" i="1"/>
  <c r="C17545" i="1"/>
  <c r="A24391" i="1"/>
  <c r="B24391" i="1"/>
  <c r="C24391" i="1"/>
  <c r="A17055" i="1"/>
  <c r="B17055" i="1"/>
  <c r="C17055" i="1"/>
  <c r="A1562" i="1"/>
  <c r="B1562" i="1"/>
  <c r="C1562" i="1"/>
  <c r="A18680" i="1"/>
  <c r="B18680" i="1"/>
  <c r="C18680" i="1"/>
  <c r="A17919" i="1"/>
  <c r="B17919" i="1"/>
  <c r="C17919" i="1"/>
  <c r="A11923" i="1"/>
  <c r="B11923" i="1"/>
  <c r="C11923" i="1"/>
  <c r="A17054" i="1"/>
  <c r="B17054" i="1"/>
  <c r="C17054" i="1"/>
  <c r="A18650" i="1"/>
  <c r="B18650" i="1"/>
  <c r="C18650" i="1"/>
  <c r="A13910" i="1"/>
  <c r="B13910" i="1"/>
  <c r="C13910" i="1"/>
  <c r="A18045" i="1"/>
  <c r="B18045" i="1"/>
  <c r="C18045" i="1"/>
  <c r="A18046" i="1"/>
  <c r="B18046" i="1"/>
  <c r="C18046" i="1"/>
  <c r="A11162" i="1"/>
  <c r="C11162" i="1"/>
  <c r="A11151" i="1"/>
  <c r="C11151" i="1"/>
  <c r="A11150" i="1"/>
  <c r="C11150" i="1"/>
  <c r="A11160" i="1"/>
  <c r="C11160" i="1"/>
  <c r="A11152" i="1"/>
  <c r="C11152" i="1"/>
  <c r="A22789" i="1"/>
  <c r="B22789" i="1"/>
  <c r="C22789" i="1"/>
  <c r="A12389" i="1"/>
  <c r="B12389" i="1"/>
  <c r="C12389" i="1"/>
  <c r="A9265" i="1"/>
  <c r="B9265" i="1"/>
  <c r="C9265" i="1"/>
  <c r="A22618" i="1"/>
  <c r="B22618" i="1"/>
  <c r="C22618" i="1"/>
  <c r="A11161" i="1"/>
  <c r="C11161" i="1"/>
  <c r="A11153" i="1"/>
  <c r="C11153" i="1"/>
  <c r="A11157" i="1"/>
  <c r="C11157" i="1"/>
  <c r="A11148" i="1"/>
  <c r="C11148" i="1"/>
  <c r="A21827" i="1"/>
  <c r="B21827" i="1"/>
  <c r="C21827" i="1"/>
  <c r="A18194" i="1"/>
  <c r="B18194" i="1"/>
  <c r="C18194" i="1"/>
  <c r="A11902" i="1"/>
  <c r="B11902" i="1"/>
  <c r="C11902" i="1"/>
  <c r="A21936" i="1"/>
  <c r="B21936" i="1"/>
  <c r="C21936" i="1"/>
  <c r="A20004" i="1"/>
  <c r="B20004" i="1"/>
  <c r="C20004" i="1"/>
  <c r="A11307" i="1"/>
  <c r="B11307" i="1"/>
  <c r="C11307" i="1"/>
  <c r="A14186" i="1"/>
  <c r="B14186" i="1"/>
  <c r="C14186" i="1"/>
  <c r="A11501" i="1"/>
  <c r="B11501" i="1"/>
  <c r="C11501" i="1"/>
  <c r="A5948" i="1"/>
  <c r="B5948" i="1"/>
  <c r="C5948" i="1"/>
  <c r="A22975" i="1"/>
  <c r="B22975" i="1"/>
  <c r="C22975" i="1"/>
  <c r="A1431" i="1"/>
  <c r="B1431" i="1"/>
  <c r="C1431" i="1"/>
  <c r="A8904" i="1"/>
  <c r="B8904" i="1"/>
  <c r="C8904" i="1"/>
  <c r="A2534" i="1"/>
  <c r="B2534" i="1"/>
  <c r="C2534" i="1"/>
  <c r="A2535" i="1"/>
  <c r="B2535" i="1"/>
  <c r="C2535" i="1"/>
  <c r="A9700" i="1"/>
  <c r="B9700" i="1"/>
  <c r="C9700" i="1"/>
  <c r="A9701" i="1"/>
  <c r="B9701" i="1"/>
  <c r="C9701" i="1"/>
  <c r="A18302" i="1"/>
  <c r="B18302" i="1"/>
  <c r="C18302" i="1"/>
  <c r="A588" i="1"/>
  <c r="B588" i="1"/>
  <c r="C588" i="1"/>
  <c r="A13335" i="1"/>
  <c r="B13335" i="1"/>
  <c r="C13335" i="1"/>
  <c r="A22791" i="1"/>
  <c r="B22791" i="1"/>
  <c r="C22791" i="1"/>
  <c r="A18612" i="1"/>
  <c r="B18612" i="1"/>
  <c r="C18612" i="1"/>
  <c r="A21420" i="1"/>
  <c r="B21420" i="1"/>
  <c r="C21420" i="1"/>
  <c r="A13401" i="1"/>
  <c r="B13401" i="1"/>
  <c r="C13401" i="1"/>
  <c r="A5628" i="1"/>
  <c r="B5628" i="1"/>
  <c r="C5628" i="1"/>
  <c r="A16619" i="1"/>
  <c r="B16619" i="1"/>
  <c r="C16619" i="1"/>
  <c r="A14722" i="1"/>
  <c r="B14722" i="1"/>
  <c r="C14722" i="1"/>
  <c r="A14677" i="1"/>
  <c r="B14677" i="1"/>
  <c r="C14677" i="1"/>
  <c r="A7094" i="1"/>
  <c r="B7094" i="1"/>
  <c r="C7094" i="1"/>
  <c r="A22979" i="1"/>
  <c r="B22979" i="1"/>
  <c r="C22979" i="1"/>
  <c r="A20632" i="1"/>
  <c r="B20632" i="1"/>
  <c r="C20632" i="1"/>
  <c r="A12203" i="1"/>
  <c r="B12203" i="1"/>
  <c r="C12203" i="1"/>
  <c r="A9958" i="1"/>
  <c r="C9958" i="1"/>
  <c r="A10434" i="1"/>
  <c r="C10434" i="1"/>
  <c r="A10572" i="1"/>
  <c r="B10572" i="1"/>
  <c r="C10572" i="1"/>
  <c r="A14770" i="1"/>
  <c r="B14770" i="1"/>
  <c r="C14770" i="1"/>
  <c r="A10602" i="1"/>
  <c r="B10602" i="1"/>
  <c r="C10602" i="1"/>
  <c r="A22510" i="1"/>
  <c r="B22510" i="1"/>
  <c r="C22510" i="1"/>
  <c r="A10612" i="1"/>
  <c r="B10612" i="1"/>
  <c r="C10612" i="1"/>
  <c r="A10571" i="1"/>
  <c r="B10571" i="1"/>
  <c r="C10571" i="1"/>
  <c r="A14131" i="1"/>
  <c r="B14131" i="1"/>
  <c r="C14131" i="1"/>
  <c r="A9181" i="1"/>
  <c r="B9181" i="1"/>
  <c r="C9181" i="1"/>
  <c r="A24204" i="1"/>
  <c r="B24204" i="1"/>
  <c r="C24204" i="1"/>
  <c r="A22473" i="1"/>
  <c r="B22473" i="1"/>
  <c r="C22473" i="1"/>
  <c r="A18908" i="1"/>
  <c r="B18908" i="1"/>
  <c r="C18908" i="1"/>
  <c r="A6701" i="1"/>
  <c r="B6701" i="1"/>
  <c r="C6701" i="1"/>
  <c r="A17501" i="1"/>
  <c r="B17501" i="1"/>
  <c r="C17501" i="1"/>
  <c r="A21471" i="1"/>
  <c r="B21471" i="1"/>
  <c r="C21471" i="1"/>
  <c r="A5738" i="1"/>
  <c r="B5738" i="1"/>
  <c r="C5738" i="1"/>
  <c r="A13285" i="1"/>
  <c r="B13285" i="1"/>
  <c r="C13285" i="1"/>
  <c r="A13286" i="1"/>
  <c r="B13286" i="1"/>
  <c r="C13286" i="1"/>
  <c r="A24209" i="1"/>
  <c r="B24209" i="1"/>
  <c r="C24209" i="1"/>
  <c r="A2671" i="1"/>
  <c r="B2671" i="1"/>
  <c r="C2671" i="1"/>
  <c r="A10108" i="1"/>
  <c r="B10108" i="1"/>
  <c r="C10108" i="1"/>
  <c r="A3439" i="1"/>
  <c r="B3439" i="1"/>
  <c r="C3439" i="1"/>
  <c r="A3438" i="1"/>
  <c r="B3438" i="1"/>
  <c r="C3438" i="1"/>
  <c r="A3437" i="1"/>
  <c r="B3437" i="1"/>
  <c r="C3437" i="1"/>
  <c r="A13875" i="1"/>
  <c r="B13875" i="1"/>
  <c r="C13875" i="1"/>
  <c r="A15882" i="1"/>
  <c r="B15882" i="1"/>
  <c r="C15882" i="1"/>
  <c r="A15881" i="1"/>
  <c r="B15881" i="1"/>
  <c r="C15881" i="1"/>
  <c r="A1668" i="1"/>
  <c r="B1668" i="1"/>
  <c r="C1668" i="1"/>
  <c r="A18273" i="1"/>
  <c r="B18273" i="1"/>
  <c r="C18273" i="1"/>
  <c r="A15791" i="1"/>
  <c r="B15791" i="1"/>
  <c r="C15791" i="1"/>
  <c r="A12615" i="1"/>
  <c r="B12615" i="1"/>
  <c r="C12615" i="1"/>
  <c r="A12616" i="1"/>
  <c r="B12616" i="1"/>
  <c r="C12616" i="1"/>
  <c r="A8869" i="1"/>
  <c r="B8869" i="1"/>
  <c r="C8869" i="1"/>
  <c r="A14394" i="1"/>
  <c r="B14394" i="1"/>
  <c r="C14394" i="1"/>
  <c r="A8858" i="1"/>
  <c r="B8858" i="1"/>
  <c r="C8858" i="1"/>
  <c r="A13899" i="1"/>
  <c r="B13899" i="1"/>
  <c r="C13899" i="1"/>
  <c r="A424" i="1"/>
  <c r="B424" i="1"/>
  <c r="C424" i="1"/>
  <c r="A22351" i="1"/>
  <c r="B22351" i="1"/>
  <c r="C22351" i="1"/>
  <c r="A21937" i="1"/>
  <c r="B21937" i="1"/>
  <c r="C21937" i="1"/>
  <c r="A3679" i="1"/>
  <c r="B3679" i="1"/>
  <c r="C3679" i="1"/>
  <c r="A16207" i="1"/>
  <c r="B16207" i="1"/>
  <c r="C16207" i="1"/>
  <c r="A1836" i="1"/>
  <c r="B1836" i="1"/>
  <c r="C1836" i="1"/>
  <c r="A21015" i="1"/>
  <c r="B21015" i="1"/>
  <c r="C21015" i="1"/>
  <c r="A17504" i="1"/>
  <c r="B17504" i="1"/>
  <c r="C17504" i="1"/>
  <c r="A5157" i="1"/>
  <c r="B5157" i="1"/>
  <c r="C5157" i="1"/>
  <c r="A5156" i="1"/>
  <c r="B5156" i="1"/>
  <c r="C5156" i="1"/>
  <c r="A15496" i="1"/>
  <c r="B15496" i="1"/>
  <c r="C15496" i="1"/>
  <c r="A339" i="1"/>
  <c r="B339" i="1"/>
  <c r="C339" i="1"/>
  <c r="A8310" i="1"/>
  <c r="B8310" i="1"/>
  <c r="C8310" i="1"/>
  <c r="A15814" i="1"/>
  <c r="B15814" i="1"/>
  <c r="C15814" i="1"/>
  <c r="A23317" i="1"/>
  <c r="B23317" i="1"/>
  <c r="C23317" i="1"/>
  <c r="A24978" i="1"/>
  <c r="C24978" i="1"/>
  <c r="A4998" i="1"/>
  <c r="B4998" i="1"/>
  <c r="C4998" i="1"/>
  <c r="A5834" i="1"/>
  <c r="B5834" i="1"/>
  <c r="C5834" i="1"/>
  <c r="A11547" i="1"/>
  <c r="B11547" i="1"/>
  <c r="C11547" i="1"/>
  <c r="A11548" i="1"/>
  <c r="B11548" i="1"/>
  <c r="C11548" i="1"/>
  <c r="A21369" i="1"/>
  <c r="B21369" i="1"/>
  <c r="C21369" i="1"/>
  <c r="A4055" i="1"/>
  <c r="B4055" i="1"/>
  <c r="C4055" i="1"/>
  <c r="A4053" i="1"/>
  <c r="B4053" i="1"/>
  <c r="C4053" i="1"/>
  <c r="A5646" i="1"/>
  <c r="B5646" i="1"/>
  <c r="C5646" i="1"/>
  <c r="A5672" i="1"/>
  <c r="B5672" i="1"/>
  <c r="C5672" i="1"/>
  <c r="A6702" i="1"/>
  <c r="B6702" i="1"/>
  <c r="C6702" i="1"/>
  <c r="A127" i="1"/>
  <c r="B127" i="1"/>
  <c r="C127" i="1"/>
  <c r="A9724" i="1"/>
  <c r="B9724" i="1"/>
  <c r="C9724" i="1"/>
  <c r="A13524" i="1"/>
  <c r="B13524" i="1"/>
  <c r="C13524" i="1"/>
  <c r="A13526" i="1"/>
  <c r="B13526" i="1"/>
  <c r="C13526" i="1"/>
  <c r="A13523" i="1"/>
  <c r="B13523" i="1"/>
  <c r="C13523" i="1"/>
  <c r="A12214" i="1"/>
  <c r="B12214" i="1"/>
  <c r="C12214" i="1"/>
  <c r="A7036" i="1"/>
  <c r="B7036" i="1"/>
  <c r="C7036" i="1"/>
  <c r="A21529" i="1"/>
  <c r="B21529" i="1"/>
  <c r="C21529" i="1"/>
  <c r="A3985" i="1"/>
  <c r="B3985" i="1"/>
  <c r="C3985" i="1"/>
  <c r="A7157" i="1"/>
  <c r="B7157" i="1"/>
  <c r="C7157" i="1"/>
  <c r="A11908" i="1"/>
  <c r="B11908" i="1"/>
  <c r="C11908" i="1"/>
  <c r="A21488" i="1"/>
  <c r="B21488" i="1"/>
  <c r="C21488" i="1"/>
  <c r="A8507" i="1"/>
  <c r="B8507" i="1"/>
  <c r="C8507" i="1"/>
  <c r="A13525" i="1"/>
  <c r="B13525" i="1"/>
  <c r="C13525" i="1"/>
  <c r="A21528" i="1"/>
  <c r="B21528" i="1"/>
  <c r="C21528" i="1"/>
  <c r="A1795" i="1"/>
  <c r="B1795" i="1"/>
  <c r="C1795" i="1"/>
  <c r="A1802" i="1"/>
  <c r="B1802" i="1"/>
  <c r="C1802" i="1"/>
  <c r="A10934" i="1"/>
  <c r="B10934" i="1"/>
  <c r="C10934" i="1"/>
  <c r="A10183" i="1"/>
  <c r="B10183" i="1"/>
  <c r="C10183" i="1"/>
  <c r="A4050" i="1"/>
  <c r="B4050" i="1"/>
  <c r="C4050" i="1"/>
  <c r="A20710" i="1"/>
  <c r="B20710" i="1"/>
  <c r="C20710" i="1"/>
  <c r="A10178" i="1"/>
  <c r="B10178" i="1"/>
  <c r="C10178" i="1"/>
  <c r="A11413" i="1"/>
  <c r="B11413" i="1"/>
  <c r="C11413" i="1"/>
  <c r="A1927" i="1"/>
  <c r="B1927" i="1"/>
  <c r="C1927" i="1"/>
  <c r="A1955" i="1"/>
  <c r="B1955" i="1"/>
  <c r="C1955" i="1"/>
  <c r="A1962" i="1"/>
  <c r="B1962" i="1"/>
  <c r="C1962" i="1"/>
  <c r="A14875" i="1"/>
  <c r="B14875" i="1"/>
  <c r="C14875" i="1"/>
  <c r="A18681" i="1"/>
  <c r="B18681" i="1"/>
  <c r="C18681" i="1"/>
  <c r="A1512" i="1"/>
  <c r="B1512" i="1"/>
  <c r="C1512" i="1"/>
  <c r="A1123" i="1"/>
  <c r="B1123" i="1"/>
  <c r="C1123" i="1"/>
  <c r="A1125" i="1"/>
  <c r="B1125" i="1"/>
  <c r="C1125" i="1"/>
  <c r="A1122" i="1"/>
  <c r="B1122" i="1"/>
  <c r="C1122" i="1"/>
  <c r="A13640" i="1"/>
  <c r="B13640" i="1"/>
  <c r="C13640" i="1"/>
  <c r="A13581" i="1"/>
  <c r="B13581" i="1"/>
  <c r="C13581" i="1"/>
  <c r="A19496" i="1"/>
  <c r="B19496" i="1"/>
  <c r="C19496" i="1"/>
  <c r="A19494" i="1"/>
  <c r="B19494" i="1"/>
  <c r="C19494" i="1"/>
  <c r="A19495" i="1"/>
  <c r="B19495" i="1"/>
  <c r="C19495" i="1"/>
  <c r="A19497" i="1"/>
  <c r="B19497" i="1"/>
  <c r="C19497" i="1"/>
  <c r="A18066" i="1"/>
  <c r="B18066" i="1"/>
  <c r="C18066" i="1"/>
  <c r="A2587" i="1"/>
  <c r="B2587" i="1"/>
  <c r="C2587" i="1"/>
  <c r="A615" i="1"/>
  <c r="B615" i="1"/>
  <c r="C615" i="1"/>
  <c r="A16142" i="1"/>
  <c r="B16142" i="1"/>
  <c r="C16142" i="1"/>
  <c r="A16146" i="1"/>
  <c r="B16146" i="1"/>
  <c r="C16146" i="1"/>
  <c r="A16145" i="1"/>
  <c r="B16145" i="1"/>
  <c r="C16145" i="1"/>
  <c r="A15129" i="1"/>
  <c r="B15129" i="1"/>
  <c r="C15129" i="1"/>
  <c r="A18814" i="1"/>
  <c r="B18814" i="1"/>
  <c r="C18814" i="1"/>
  <c r="A9207" i="1"/>
  <c r="B9207" i="1"/>
  <c r="C9207" i="1"/>
  <c r="A24128" i="1"/>
  <c r="B24128" i="1"/>
  <c r="C24128" i="1"/>
  <c r="A21797" i="1"/>
  <c r="B21797" i="1"/>
  <c r="C21797" i="1"/>
  <c r="A20650" i="1"/>
  <c r="B20650" i="1"/>
  <c r="C20650" i="1"/>
  <c r="A2673" i="1"/>
  <c r="B2673" i="1"/>
  <c r="C2673" i="1"/>
  <c r="A15165" i="1"/>
  <c r="C15165" i="1"/>
  <c r="A15166" i="1"/>
  <c r="C15166" i="1"/>
  <c r="A1659" i="1"/>
  <c r="C1659" i="1"/>
  <c r="A1660" i="1"/>
  <c r="C1660" i="1"/>
  <c r="A11753" i="1"/>
  <c r="C11753" i="1"/>
  <c r="A6603" i="1"/>
  <c r="C6603" i="1"/>
  <c r="A9834" i="1"/>
  <c r="C9834" i="1"/>
  <c r="A6693" i="1"/>
  <c r="B6693" i="1"/>
  <c r="C6693" i="1"/>
  <c r="A6694" i="1"/>
  <c r="B6694" i="1"/>
  <c r="C6694" i="1"/>
  <c r="A18429" i="1"/>
  <c r="B18429" i="1"/>
  <c r="C18429" i="1"/>
  <c r="A12677" i="1"/>
  <c r="B12677" i="1"/>
  <c r="C12677" i="1"/>
  <c r="A15548" i="1"/>
  <c r="B15548" i="1"/>
  <c r="C15548" i="1"/>
  <c r="A17626" i="1"/>
  <c r="B17626" i="1"/>
  <c r="C17626" i="1"/>
  <c r="A9204" i="1"/>
  <c r="B9204" i="1"/>
  <c r="C9204" i="1"/>
  <c r="A3770" i="1"/>
  <c r="B3770" i="1"/>
  <c r="C3770" i="1"/>
  <c r="A3772" i="1"/>
  <c r="B3772" i="1"/>
  <c r="C3772" i="1"/>
  <c r="A4167" i="1"/>
  <c r="B4167" i="1"/>
  <c r="C4167" i="1"/>
  <c r="A24087" i="1"/>
  <c r="B24087" i="1"/>
  <c r="C24087" i="1"/>
  <c r="A24088" i="1"/>
  <c r="B24088" i="1"/>
  <c r="C24088" i="1"/>
  <c r="A18336" i="1"/>
  <c r="B18336" i="1"/>
  <c r="C18336" i="1"/>
  <c r="A18337" i="1"/>
  <c r="B18337" i="1"/>
  <c r="C18337" i="1"/>
  <c r="A25594" i="1"/>
  <c r="B25594" i="1"/>
  <c r="C25594" i="1"/>
  <c r="A19637" i="1"/>
  <c r="B19637" i="1"/>
  <c r="C19637" i="1"/>
  <c r="A17274" i="1"/>
  <c r="B17274" i="1"/>
  <c r="C17274" i="1"/>
  <c r="A18069" i="1"/>
  <c r="B18069" i="1"/>
  <c r="C18069" i="1"/>
  <c r="A19327" i="1"/>
  <c r="B19327" i="1"/>
  <c r="C19327" i="1"/>
  <c r="A19694" i="1"/>
  <c r="B19694" i="1"/>
  <c r="C19694" i="1"/>
  <c r="A24778" i="1"/>
  <c r="B24778" i="1"/>
  <c r="C24778" i="1"/>
  <c r="A24779" i="1"/>
  <c r="B24779" i="1"/>
  <c r="C24779" i="1"/>
  <c r="A13689" i="1"/>
  <c r="B13689" i="1"/>
  <c r="C13689" i="1"/>
  <c r="A6504" i="1"/>
  <c r="C6504" i="1"/>
  <c r="A9787" i="1"/>
  <c r="C9787" i="1"/>
  <c r="A9788" i="1"/>
  <c r="B9788" i="1"/>
  <c r="C9788" i="1"/>
  <c r="A429" i="1"/>
  <c r="B429" i="1"/>
  <c r="C429" i="1"/>
  <c r="A21616" i="1"/>
  <c r="C21616" i="1"/>
  <c r="A2109" i="1"/>
  <c r="C2109" i="1"/>
  <c r="A16001" i="1"/>
  <c r="C16001" i="1"/>
  <c r="A16002" i="1"/>
  <c r="C16002" i="1"/>
  <c r="A19720" i="1"/>
  <c r="C19720" i="1"/>
  <c r="A8763" i="1"/>
  <c r="C8763" i="1"/>
  <c r="A25289" i="1"/>
  <c r="C25289" i="1"/>
  <c r="A2771" i="1"/>
  <c r="C2771" i="1"/>
  <c r="A22398" i="1"/>
  <c r="C22398" i="1"/>
  <c r="A25279" i="1"/>
  <c r="B25279" i="1"/>
  <c r="C25279" i="1"/>
  <c r="A9372" i="1"/>
  <c r="B9372" i="1"/>
  <c r="C9372" i="1"/>
  <c r="A17829" i="1"/>
  <c r="B17829" i="1"/>
  <c r="C17829" i="1"/>
  <c r="A21088" i="1"/>
  <c r="B21088" i="1"/>
  <c r="C21088" i="1"/>
  <c r="A2272" i="1"/>
  <c r="B2272" i="1"/>
  <c r="C2272" i="1"/>
  <c r="A12776" i="1"/>
  <c r="B12776" i="1"/>
  <c r="C12776" i="1"/>
  <c r="A302" i="1"/>
  <c r="B302" i="1"/>
  <c r="C302" i="1"/>
  <c r="A316" i="1"/>
  <c r="B316" i="1"/>
  <c r="C316" i="1"/>
  <c r="A317" i="1"/>
  <c r="B317" i="1"/>
  <c r="C317" i="1"/>
  <c r="A15044" i="1"/>
  <c r="B15044" i="1"/>
  <c r="C15044" i="1"/>
  <c r="A15043" i="1"/>
  <c r="B15043" i="1"/>
  <c r="C15043" i="1"/>
  <c r="A15046" i="1"/>
  <c r="B15046" i="1"/>
  <c r="C15046" i="1"/>
  <c r="A15045" i="1"/>
  <c r="B15045" i="1"/>
  <c r="C15045" i="1"/>
  <c r="A15047" i="1"/>
  <c r="B15047" i="1"/>
  <c r="C15047" i="1"/>
  <c r="A24315" i="1"/>
  <c r="B24315" i="1"/>
  <c r="C24315" i="1"/>
  <c r="A1691" i="1"/>
  <c r="B1691" i="1"/>
  <c r="C1691" i="1"/>
  <c r="A17917" i="1"/>
  <c r="B17917" i="1"/>
  <c r="C17917" i="1"/>
  <c r="A6887" i="1"/>
  <c r="B6887" i="1"/>
  <c r="C6887" i="1"/>
  <c r="A6886" i="1"/>
  <c r="B6886" i="1"/>
  <c r="C6886" i="1"/>
  <c r="A11181" i="1"/>
  <c r="B11181" i="1"/>
  <c r="C11181" i="1"/>
  <c r="A11180" i="1"/>
  <c r="B11180" i="1"/>
  <c r="C11180" i="1"/>
  <c r="A21817" i="1"/>
  <c r="B21817" i="1"/>
  <c r="C21817" i="1"/>
  <c r="A16304" i="1"/>
  <c r="B16304" i="1"/>
  <c r="C16304" i="1"/>
  <c r="A16600" i="1"/>
  <c r="B16600" i="1"/>
  <c r="C16600" i="1"/>
  <c r="A25531" i="1"/>
  <c r="B25531" i="1"/>
  <c r="C25531" i="1"/>
  <c r="A15238" i="1"/>
  <c r="C15238" i="1"/>
  <c r="A23329" i="1"/>
  <c r="B23329" i="1"/>
  <c r="C23329" i="1"/>
  <c r="A24383" i="1"/>
  <c r="B24383" i="1"/>
  <c r="C24383" i="1"/>
  <c r="A6999" i="1"/>
  <c r="B6999" i="1"/>
  <c r="C6999" i="1"/>
  <c r="A2622" i="1"/>
  <c r="B2622" i="1"/>
  <c r="C2622" i="1"/>
  <c r="A5196" i="1"/>
  <c r="B5196" i="1"/>
  <c r="C5196" i="1"/>
  <c r="A23322" i="1"/>
  <c r="B23322" i="1"/>
  <c r="C23322" i="1"/>
  <c r="A6639" i="1"/>
  <c r="B6639" i="1"/>
  <c r="C6639" i="1"/>
  <c r="A19796" i="1"/>
  <c r="C19796" i="1"/>
  <c r="A10090" i="1"/>
  <c r="B10090" i="1"/>
  <c r="C10090" i="1"/>
  <c r="A11146" i="1"/>
  <c r="C11146" i="1"/>
  <c r="A11156" i="1"/>
  <c r="C11156" i="1"/>
  <c r="A21105" i="1"/>
  <c r="B21105" i="1"/>
  <c r="C21105" i="1"/>
  <c r="A11397" i="1"/>
  <c r="B11397" i="1"/>
  <c r="C11397" i="1"/>
  <c r="A7899" i="1"/>
  <c r="B7899" i="1"/>
  <c r="C7899" i="1"/>
  <c r="A17762" i="1"/>
  <c r="B17762" i="1"/>
  <c r="C17762" i="1"/>
  <c r="A5632" i="1"/>
  <c r="B5632" i="1"/>
  <c r="C5632" i="1"/>
  <c r="A25495" i="1"/>
  <c r="B25495" i="1"/>
  <c r="C25495" i="1"/>
  <c r="A12288" i="1"/>
  <c r="C12288" i="1"/>
  <c r="A12277" i="1"/>
  <c r="C12277" i="1"/>
  <c r="A14534" i="1"/>
  <c r="C14534" i="1"/>
  <c r="A14535" i="1"/>
  <c r="C14535" i="1"/>
  <c r="A1343" i="1"/>
  <c r="C1343" i="1"/>
  <c r="A13733" i="1"/>
  <c r="C13733" i="1"/>
  <c r="A16875" i="1"/>
  <c r="B16875" i="1"/>
  <c r="C16875" i="1"/>
  <c r="A23391" i="1"/>
  <c r="B23391" i="1"/>
  <c r="C23391" i="1"/>
  <c r="A23390" i="1"/>
  <c r="B23390" i="1"/>
  <c r="C23390" i="1"/>
  <c r="A23484" i="1"/>
  <c r="C23484" i="1"/>
  <c r="A23481" i="1"/>
  <c r="C23481" i="1"/>
  <c r="A23480" i="1"/>
  <c r="C23480" i="1"/>
  <c r="A23479" i="1"/>
  <c r="C23479" i="1"/>
  <c r="A23478" i="1"/>
  <c r="C23478" i="1"/>
  <c r="A23477" i="1"/>
  <c r="C23477" i="1"/>
  <c r="A23485" i="1"/>
  <c r="C23485" i="1"/>
  <c r="A23486" i="1"/>
  <c r="C23486" i="1"/>
  <c r="A23487" i="1"/>
  <c r="C23487" i="1"/>
  <c r="A23488" i="1"/>
  <c r="C23488" i="1"/>
  <c r="A23490" i="1"/>
  <c r="C23490" i="1"/>
  <c r="A23491" i="1"/>
  <c r="C23491" i="1"/>
  <c r="A13512" i="1"/>
  <c r="B13512" i="1"/>
  <c r="C13512" i="1"/>
  <c r="A23494" i="1"/>
  <c r="C23494" i="1"/>
  <c r="A23492" i="1"/>
  <c r="C23492" i="1"/>
  <c r="A23495" i="1"/>
  <c r="C23495" i="1"/>
  <c r="A23476" i="1"/>
  <c r="C23476" i="1"/>
  <c r="A23493" i="1"/>
  <c r="C23493" i="1"/>
  <c r="A23482" i="1"/>
  <c r="C23482" i="1"/>
  <c r="A23489" i="1"/>
  <c r="C23489" i="1"/>
  <c r="A23483" i="1"/>
  <c r="B23483" i="1"/>
  <c r="C23483" i="1"/>
  <c r="A2746" i="1"/>
  <c r="B2746" i="1"/>
  <c r="C2746" i="1"/>
  <c r="A2745" i="1"/>
  <c r="B2745" i="1"/>
  <c r="C2745" i="1"/>
  <c r="A13527" i="1"/>
  <c r="B13527" i="1"/>
  <c r="C13527" i="1"/>
  <c r="A24660" i="1"/>
  <c r="B24660" i="1"/>
  <c r="C24660" i="1"/>
  <c r="A24669" i="1"/>
  <c r="B24669" i="1"/>
  <c r="C24669" i="1"/>
  <c r="A8325" i="1"/>
  <c r="B8325" i="1"/>
  <c r="C8325" i="1"/>
  <c r="A8326" i="1"/>
  <c r="B8326" i="1"/>
  <c r="C8326" i="1"/>
  <c r="A14749" i="1"/>
  <c r="B14749" i="1"/>
  <c r="C14749" i="1"/>
  <c r="A14751" i="1"/>
  <c r="B14751" i="1"/>
  <c r="C14751" i="1"/>
  <c r="A13517" i="1"/>
  <c r="B13517" i="1"/>
  <c r="C13517" i="1"/>
  <c r="A13519" i="1"/>
  <c r="B13519" i="1"/>
  <c r="C13519" i="1"/>
  <c r="A19641" i="1"/>
  <c r="B19641" i="1"/>
  <c r="C19641" i="1"/>
  <c r="A24607" i="1"/>
  <c r="B24607" i="1"/>
  <c r="C24607" i="1"/>
  <c r="A24608" i="1"/>
  <c r="B24608" i="1"/>
  <c r="C24608" i="1"/>
  <c r="A24609" i="1"/>
  <c r="B24609" i="1"/>
  <c r="C24609" i="1"/>
  <c r="A8455" i="1"/>
  <c r="B8455" i="1"/>
  <c r="C8455" i="1"/>
  <c r="A8456" i="1"/>
  <c r="B8456" i="1"/>
  <c r="C8456" i="1"/>
  <c r="A8457" i="1"/>
  <c r="B8457" i="1"/>
  <c r="C8457" i="1"/>
  <c r="A13528" i="1"/>
  <c r="B13528" i="1"/>
  <c r="C13528" i="1"/>
  <c r="A13529" i="1"/>
  <c r="B13529" i="1"/>
  <c r="C13529" i="1"/>
  <c r="A19608" i="1"/>
  <c r="B19608" i="1"/>
  <c r="C19608" i="1"/>
  <c r="A19401" i="1"/>
  <c r="B19401" i="1"/>
  <c r="C19401" i="1"/>
  <c r="A20621" i="1"/>
  <c r="B20621" i="1"/>
  <c r="C20621" i="1"/>
  <c r="A13520" i="1"/>
  <c r="B13520" i="1"/>
  <c r="C13520" i="1"/>
  <c r="A22203" i="1"/>
  <c r="B22203" i="1"/>
  <c r="C22203" i="1"/>
  <c r="A24386" i="1"/>
  <c r="B24386" i="1"/>
  <c r="C24386" i="1"/>
  <c r="A4183" i="1"/>
  <c r="B4183" i="1"/>
  <c r="C4183" i="1"/>
  <c r="A23094" i="1"/>
  <c r="B23094" i="1"/>
  <c r="C23094" i="1"/>
  <c r="A23093" i="1"/>
  <c r="B23093" i="1"/>
  <c r="C23093" i="1"/>
  <c r="A23092" i="1"/>
  <c r="B23092" i="1"/>
  <c r="C23092" i="1"/>
  <c r="A17665" i="1"/>
  <c r="B17665" i="1"/>
  <c r="C17665" i="1"/>
  <c r="A2592" i="1"/>
  <c r="B2592" i="1"/>
  <c r="C2592" i="1"/>
  <c r="A23010" i="1"/>
  <c r="B23010" i="1"/>
  <c r="C23010" i="1"/>
  <c r="A24990" i="1"/>
  <c r="B24990" i="1"/>
  <c r="C24990" i="1"/>
  <c r="A11539" i="1"/>
  <c r="B11539" i="1"/>
  <c r="C11539" i="1"/>
  <c r="A12531" i="1"/>
  <c r="C12531" i="1"/>
  <c r="A318" i="1"/>
  <c r="C318" i="1"/>
  <c r="A23404" i="1"/>
  <c r="B23404" i="1"/>
  <c r="C23404" i="1"/>
  <c r="A20921" i="1"/>
  <c r="B20921" i="1"/>
  <c r="C20921" i="1"/>
  <c r="A1705" i="1"/>
  <c r="B1705" i="1"/>
  <c r="C1705" i="1"/>
  <c r="A4749" i="1"/>
  <c r="B4749" i="1"/>
  <c r="C4749" i="1"/>
  <c r="A3745" i="1"/>
  <c r="B3745" i="1"/>
  <c r="C3745" i="1"/>
  <c r="A3710" i="1"/>
  <c r="B3710" i="1"/>
  <c r="C3710" i="1"/>
  <c r="A3741" i="1"/>
  <c r="B3741" i="1"/>
  <c r="C3741" i="1"/>
  <c r="A3738" i="1"/>
  <c r="B3738" i="1"/>
  <c r="C3738" i="1"/>
  <c r="A3718" i="1"/>
  <c r="B3718" i="1"/>
  <c r="C3718" i="1"/>
  <c r="A3716" i="1"/>
  <c r="B3716" i="1"/>
  <c r="C3716" i="1"/>
  <c r="A3714" i="1"/>
  <c r="B3714" i="1"/>
  <c r="C3714" i="1"/>
  <c r="A3726" i="1"/>
  <c r="B3726" i="1"/>
  <c r="C3726" i="1"/>
  <c r="A3724" i="1"/>
  <c r="B3724" i="1"/>
  <c r="C3724" i="1"/>
  <c r="A3721" i="1"/>
  <c r="B3721" i="1"/>
  <c r="C3721" i="1"/>
  <c r="A3717" i="1"/>
  <c r="B3717" i="1"/>
  <c r="C3717" i="1"/>
  <c r="A6017" i="1"/>
  <c r="B6017" i="1"/>
  <c r="C6017" i="1"/>
  <c r="A5981" i="1"/>
  <c r="B5981" i="1"/>
  <c r="C5981" i="1"/>
  <c r="A3999" i="1"/>
  <c r="B3999" i="1"/>
  <c r="C3999" i="1"/>
  <c r="A4068" i="1"/>
  <c r="B4068" i="1"/>
  <c r="C4068" i="1"/>
  <c r="A3884" i="1"/>
  <c r="B3884" i="1"/>
  <c r="C3884" i="1"/>
  <c r="A18947" i="1"/>
  <c r="B18947" i="1"/>
  <c r="C18947" i="1"/>
  <c r="A18946" i="1"/>
  <c r="B18946" i="1"/>
  <c r="C18946" i="1"/>
  <c r="A18944" i="1"/>
  <c r="B18944" i="1"/>
  <c r="C18944" i="1"/>
  <c r="A10490" i="1"/>
  <c r="B10490" i="1"/>
  <c r="C10490" i="1"/>
  <c r="A18078" i="1"/>
  <c r="B18078" i="1"/>
  <c r="C18078" i="1"/>
  <c r="A8077" i="1"/>
  <c r="B8077" i="1"/>
  <c r="C8077" i="1"/>
  <c r="A2690" i="1"/>
  <c r="B2690" i="1"/>
  <c r="C2690" i="1"/>
  <c r="A2696" i="1"/>
  <c r="B2696" i="1"/>
  <c r="C2696" i="1"/>
  <c r="A24237" i="1"/>
  <c r="C24237" i="1"/>
  <c r="A1384" i="1"/>
  <c r="B1384" i="1"/>
  <c r="C1384" i="1"/>
  <c r="A7725" i="1"/>
  <c r="C7725" i="1"/>
  <c r="A18933" i="1"/>
  <c r="B18933" i="1"/>
  <c r="C18933" i="1"/>
  <c r="A5690" i="1"/>
  <c r="B5690" i="1"/>
  <c r="C5690" i="1"/>
  <c r="A5689" i="1"/>
  <c r="B5689" i="1"/>
  <c r="C5689" i="1"/>
  <c r="A2379" i="1"/>
  <c r="B2379" i="1"/>
  <c r="C2379" i="1"/>
  <c r="A19043" i="1"/>
  <c r="B19043" i="1"/>
  <c r="C19043" i="1"/>
  <c r="A12022" i="1"/>
  <c r="B12022" i="1"/>
  <c r="C12022" i="1"/>
  <c r="A13430" i="1"/>
  <c r="C13430" i="1"/>
  <c r="A13839" i="1"/>
  <c r="B13839" i="1"/>
  <c r="C13839" i="1"/>
  <c r="A22265" i="1"/>
  <c r="B22265" i="1"/>
  <c r="C22265" i="1"/>
  <c r="A8339" i="1"/>
  <c r="B8339" i="1"/>
  <c r="C8339" i="1"/>
  <c r="A8859" i="1"/>
  <c r="B8859" i="1"/>
  <c r="C8859" i="1"/>
  <c r="A3031" i="1"/>
  <c r="B3031" i="1"/>
  <c r="C3031" i="1"/>
  <c r="A9171" i="1"/>
  <c r="B9171" i="1"/>
  <c r="C9171" i="1"/>
  <c r="A11096" i="1"/>
  <c r="B11096" i="1"/>
  <c r="C11096" i="1"/>
  <c r="A23269" i="1"/>
  <c r="B23269" i="1"/>
  <c r="C23269" i="1"/>
  <c r="A24980" i="1"/>
  <c r="B24980" i="1"/>
  <c r="C24980" i="1"/>
  <c r="A25225" i="1"/>
  <c r="B25225" i="1"/>
  <c r="C25225" i="1"/>
  <c r="A9546" i="1"/>
  <c r="B9546" i="1"/>
  <c r="C9546" i="1"/>
  <c r="A18761" i="1"/>
  <c r="B18761" i="1"/>
  <c r="C18761" i="1"/>
  <c r="A18760" i="1"/>
  <c r="B18760" i="1"/>
  <c r="C18760" i="1"/>
  <c r="A4497" i="1"/>
  <c r="B4497" i="1"/>
  <c r="C4497" i="1"/>
  <c r="A4496" i="1"/>
  <c r="B4496" i="1"/>
  <c r="C4496" i="1"/>
  <c r="A4494" i="1"/>
  <c r="B4494" i="1"/>
  <c r="C4494" i="1"/>
  <c r="A4495" i="1"/>
  <c r="B4495" i="1"/>
  <c r="C4495" i="1"/>
  <c r="A5139" i="1"/>
  <c r="B5139" i="1"/>
  <c r="C5139" i="1"/>
  <c r="A5137" i="1"/>
  <c r="B5137" i="1"/>
  <c r="C5137" i="1"/>
  <c r="A5138" i="1"/>
  <c r="B5138" i="1"/>
  <c r="C5138" i="1"/>
  <c r="A19042" i="1"/>
  <c r="B19042" i="1"/>
  <c r="C19042" i="1"/>
  <c r="A7675" i="1"/>
  <c r="B7675" i="1"/>
  <c r="C7675" i="1"/>
  <c r="A5618" i="1"/>
  <c r="C5618" i="1"/>
  <c r="A8213" i="1"/>
  <c r="C8213" i="1"/>
  <c r="A8236" i="1"/>
  <c r="C8236" i="1"/>
  <c r="A9914" i="1"/>
  <c r="C9914" i="1"/>
  <c r="A9916" i="1"/>
  <c r="C9916" i="1"/>
  <c r="A9917" i="1"/>
  <c r="C9917" i="1"/>
  <c r="A14931" i="1"/>
  <c r="C14931" i="1"/>
  <c r="A17591" i="1"/>
  <c r="C17591" i="1"/>
  <c r="A17592" i="1"/>
  <c r="C17592" i="1"/>
  <c r="A17601" i="1"/>
  <c r="C17601" i="1"/>
  <c r="A11732" i="1"/>
  <c r="B11732" i="1"/>
  <c r="C11732" i="1"/>
  <c r="A23808" i="1"/>
  <c r="B23808" i="1"/>
  <c r="C23808" i="1"/>
  <c r="A15573" i="1"/>
  <c r="B15573" i="1"/>
  <c r="C15573" i="1"/>
  <c r="A15561" i="1"/>
  <c r="B15561" i="1"/>
  <c r="C15561" i="1"/>
  <c r="A3050" i="1"/>
  <c r="B3050" i="1"/>
  <c r="C3050" i="1"/>
  <c r="A3941" i="1"/>
  <c r="B3941" i="1"/>
  <c r="C3941" i="1"/>
  <c r="A24085" i="1"/>
  <c r="B24085" i="1"/>
  <c r="C24085" i="1"/>
  <c r="A8237" i="1"/>
  <c r="B8237" i="1"/>
  <c r="C8237" i="1"/>
  <c r="A15313" i="1"/>
  <c r="B15313" i="1"/>
  <c r="C15313" i="1"/>
  <c r="A15685" i="1"/>
  <c r="B15685" i="1"/>
  <c r="C15685" i="1"/>
  <c r="A20952" i="1"/>
  <c r="B20952" i="1"/>
  <c r="C20952" i="1"/>
  <c r="A22693" i="1"/>
  <c r="B22693" i="1"/>
  <c r="C22693" i="1"/>
  <c r="A15431" i="1"/>
  <c r="B15431" i="1"/>
  <c r="C15431" i="1"/>
  <c r="A15430" i="1"/>
  <c r="B15430" i="1"/>
  <c r="C15430" i="1"/>
  <c r="A15433" i="1"/>
  <c r="B15433" i="1"/>
  <c r="C15433" i="1"/>
  <c r="A15432" i="1"/>
  <c r="B15432" i="1"/>
  <c r="C15432" i="1"/>
  <c r="A15435" i="1"/>
  <c r="B15435" i="1"/>
  <c r="C15435" i="1"/>
  <c r="A15434" i="1"/>
  <c r="B15434" i="1"/>
  <c r="C15434" i="1"/>
  <c r="A5279" i="1"/>
  <c r="B5279" i="1"/>
  <c r="C5279" i="1"/>
  <c r="A5280" i="1"/>
  <c r="B5280" i="1"/>
  <c r="C5280" i="1"/>
  <c r="A5952" i="1"/>
  <c r="B5952" i="1"/>
  <c r="C5952" i="1"/>
  <c r="A14796" i="1"/>
  <c r="B14796" i="1"/>
  <c r="C14796" i="1"/>
  <c r="A14797" i="1"/>
  <c r="B14797" i="1"/>
  <c r="C14797" i="1"/>
  <c r="A4090" i="1"/>
  <c r="B4090" i="1"/>
  <c r="C4090" i="1"/>
  <c r="A4089" i="1"/>
  <c r="B4089" i="1"/>
  <c r="C4089" i="1"/>
  <c r="A22866" i="1"/>
  <c r="B22866" i="1"/>
  <c r="C22866" i="1"/>
  <c r="A8889" i="1"/>
  <c r="B8889" i="1"/>
  <c r="C8889" i="1"/>
  <c r="A24160" i="1"/>
  <c r="B24160" i="1"/>
  <c r="C24160" i="1"/>
  <c r="A14643" i="1"/>
  <c r="B14643" i="1"/>
  <c r="C14643" i="1"/>
  <c r="A17926" i="1"/>
  <c r="B17926" i="1"/>
  <c r="C17926" i="1"/>
  <c r="A12394" i="1"/>
  <c r="B12394" i="1"/>
  <c r="C12394" i="1"/>
  <c r="A14730" i="1"/>
  <c r="B14730" i="1"/>
  <c r="C14730" i="1"/>
  <c r="A5871" i="1"/>
  <c r="B5871" i="1"/>
  <c r="C5871" i="1"/>
  <c r="A14327" i="1"/>
  <c r="B14327" i="1"/>
  <c r="C14327" i="1"/>
  <c r="A24670" i="1"/>
  <c r="B24670" i="1"/>
  <c r="C24670" i="1"/>
  <c r="A8327" i="1"/>
  <c r="B8327" i="1"/>
  <c r="C8327" i="1"/>
  <c r="A8333" i="1"/>
  <c r="B8333" i="1"/>
  <c r="C8333" i="1"/>
  <c r="A14753" i="1"/>
  <c r="B14753" i="1"/>
  <c r="C14753" i="1"/>
  <c r="A13518" i="1"/>
  <c r="B13518" i="1"/>
  <c r="C13518" i="1"/>
  <c r="A24668" i="1"/>
  <c r="B24668" i="1"/>
  <c r="C24668" i="1"/>
  <c r="A14750" i="1"/>
  <c r="B14750" i="1"/>
  <c r="C14750" i="1"/>
  <c r="A13521" i="1"/>
  <c r="B13521" i="1"/>
  <c r="C13521" i="1"/>
  <c r="A13522" i="1"/>
  <c r="B13522" i="1"/>
  <c r="C13522" i="1"/>
  <c r="A14752" i="1"/>
  <c r="B14752" i="1"/>
  <c r="C14752" i="1"/>
  <c r="A10368" i="1"/>
  <c r="B10368" i="1"/>
  <c r="C10368" i="1"/>
  <c r="A4256" i="1"/>
  <c r="B4256" i="1"/>
  <c r="C4256" i="1"/>
  <c r="A21427" i="1"/>
  <c r="B21427" i="1"/>
  <c r="C21427" i="1"/>
  <c r="A9491" i="1"/>
  <c r="B9491" i="1"/>
  <c r="C9491" i="1"/>
  <c r="A15404" i="1"/>
  <c r="B15404" i="1"/>
  <c r="C15404" i="1"/>
  <c r="A15403" i="1"/>
  <c r="B15403" i="1"/>
  <c r="C15403" i="1"/>
  <c r="A15406" i="1"/>
  <c r="B15406" i="1"/>
  <c r="C15406" i="1"/>
  <c r="A15405" i="1"/>
  <c r="B15405" i="1"/>
  <c r="C15405" i="1"/>
  <c r="A15408" i="1"/>
  <c r="B15408" i="1"/>
  <c r="C15408" i="1"/>
  <c r="A15407" i="1"/>
  <c r="B15407" i="1"/>
  <c r="C15407" i="1"/>
  <c r="A1706" i="1"/>
  <c r="B1706" i="1"/>
  <c r="C1706" i="1"/>
  <c r="A9489" i="1"/>
  <c r="B9489" i="1"/>
  <c r="C9489" i="1"/>
  <c r="A5964" i="1"/>
  <c r="B5964" i="1"/>
  <c r="C5964" i="1"/>
  <c r="A12832" i="1"/>
  <c r="B12832" i="1"/>
  <c r="C12832" i="1"/>
  <c r="A25425" i="1"/>
  <c r="B25425" i="1"/>
  <c r="C25425" i="1"/>
  <c r="A11488" i="1"/>
  <c r="B11488" i="1"/>
  <c r="C11488" i="1"/>
  <c r="A8504" i="1"/>
  <c r="B8504" i="1"/>
  <c r="C8504" i="1"/>
  <c r="A12569" i="1"/>
  <c r="B12569" i="1"/>
  <c r="C12569" i="1"/>
  <c r="A14511" i="1"/>
  <c r="B14511" i="1"/>
  <c r="C14511" i="1"/>
  <c r="A315" i="1"/>
  <c r="B315" i="1"/>
  <c r="C315" i="1"/>
  <c r="A14445" i="1"/>
  <c r="B14445" i="1"/>
  <c r="C14445" i="1"/>
  <c r="A11746" i="1"/>
  <c r="B11746" i="1"/>
  <c r="C11746" i="1"/>
  <c r="A19485" i="1"/>
  <c r="B19485" i="1"/>
  <c r="C19485" i="1"/>
  <c r="A1380" i="1"/>
  <c r="B1380" i="1"/>
  <c r="C1380" i="1"/>
  <c r="A13954" i="1"/>
  <c r="B13954" i="1"/>
  <c r="C13954" i="1"/>
  <c r="A9002" i="1"/>
  <c r="B9002" i="1"/>
  <c r="C9002" i="1"/>
  <c r="A22617" i="1"/>
  <c r="B22617" i="1"/>
  <c r="C22617" i="1"/>
  <c r="A3684" i="1"/>
  <c r="B3684" i="1"/>
  <c r="C3684" i="1"/>
  <c r="A11728" i="1"/>
  <c r="B11728" i="1"/>
  <c r="C11728" i="1"/>
  <c r="A11729" i="1"/>
  <c r="B11729" i="1"/>
  <c r="C11729" i="1"/>
  <c r="A11709" i="1"/>
  <c r="B11709" i="1"/>
  <c r="C11709" i="1"/>
  <c r="A15757" i="1"/>
  <c r="B15757" i="1"/>
  <c r="C15757" i="1"/>
  <c r="A15756" i="1"/>
  <c r="B15756" i="1"/>
  <c r="C15756" i="1"/>
  <c r="A1794" i="1"/>
  <c r="B1794" i="1"/>
  <c r="C1794" i="1"/>
  <c r="A1866" i="1"/>
  <c r="B1866" i="1"/>
  <c r="C1866" i="1"/>
  <c r="A24417" i="1"/>
  <c r="B24417" i="1"/>
  <c r="C24417" i="1"/>
  <c r="A11947" i="1"/>
  <c r="B11947" i="1"/>
  <c r="C11947" i="1"/>
  <c r="A24736" i="1"/>
  <c r="B24736" i="1"/>
  <c r="C24736" i="1"/>
  <c r="A24737" i="1"/>
  <c r="B24737" i="1"/>
  <c r="C24737" i="1"/>
  <c r="A24739" i="1"/>
  <c r="B24739" i="1"/>
  <c r="C24739" i="1"/>
  <c r="A24743" i="1"/>
  <c r="B24743" i="1"/>
  <c r="C24743" i="1"/>
  <c r="A24745" i="1"/>
  <c r="B24745" i="1"/>
  <c r="C24745" i="1"/>
  <c r="A24749" i="1"/>
  <c r="B24749" i="1"/>
  <c r="C24749" i="1"/>
  <c r="A24730" i="1"/>
  <c r="B24730" i="1"/>
  <c r="C24730" i="1"/>
  <c r="A24731" i="1"/>
  <c r="B24731" i="1"/>
  <c r="C24731" i="1"/>
  <c r="A24732" i="1"/>
  <c r="B24732" i="1"/>
  <c r="C24732" i="1"/>
  <c r="A24738" i="1"/>
  <c r="B24738" i="1"/>
  <c r="C24738" i="1"/>
  <c r="A24748" i="1"/>
  <c r="B24748" i="1"/>
  <c r="C24748" i="1"/>
  <c r="A15506" i="1"/>
  <c r="B15506" i="1"/>
  <c r="C15506" i="1"/>
  <c r="A15507" i="1"/>
  <c r="B15507" i="1"/>
  <c r="C15507" i="1"/>
  <c r="A10224" i="1"/>
  <c r="B10224" i="1"/>
  <c r="C10224" i="1"/>
  <c r="A17033" i="1"/>
  <c r="B17033" i="1"/>
  <c r="C17033" i="1"/>
  <c r="A16999" i="1"/>
  <c r="B16999" i="1"/>
  <c r="C16999" i="1"/>
  <c r="A25683" i="1"/>
  <c r="B25683" i="1"/>
  <c r="C25683" i="1"/>
  <c r="A10862" i="1"/>
  <c r="B10862" i="1"/>
  <c r="C10862" i="1"/>
  <c r="A15499" i="1"/>
  <c r="B15499" i="1"/>
  <c r="C15499" i="1"/>
  <c r="A15500" i="1"/>
  <c r="B15500" i="1"/>
  <c r="C15500" i="1"/>
  <c r="A23068" i="1"/>
  <c r="B23068" i="1"/>
  <c r="C23068" i="1"/>
  <c r="A13508" i="1"/>
  <c r="B13508" i="1"/>
  <c r="C13508" i="1"/>
  <c r="A13509" i="1"/>
  <c r="B13509" i="1"/>
  <c r="C13509" i="1"/>
  <c r="A4934" i="1"/>
  <c r="B4934" i="1"/>
  <c r="C4934" i="1"/>
  <c r="A23870" i="1"/>
  <c r="B23870" i="1"/>
  <c r="C23870" i="1"/>
  <c r="A25499" i="1"/>
  <c r="B25499" i="1"/>
  <c r="C25499" i="1"/>
  <c r="A3739" i="1"/>
  <c r="B3739" i="1"/>
  <c r="C3739" i="1"/>
  <c r="A3764" i="1"/>
  <c r="B3764" i="1"/>
  <c r="C3764" i="1"/>
  <c r="A3727" i="1"/>
  <c r="B3727" i="1"/>
  <c r="C3727" i="1"/>
  <c r="A6018" i="1"/>
  <c r="B6018" i="1"/>
  <c r="C6018" i="1"/>
  <c r="A6021" i="1"/>
  <c r="B6021" i="1"/>
  <c r="C6021" i="1"/>
  <c r="A6006" i="1"/>
  <c r="B6006" i="1"/>
  <c r="C6006" i="1"/>
  <c r="A3863" i="1"/>
  <c r="B3863" i="1"/>
  <c r="C3863" i="1"/>
  <c r="A12416" i="1"/>
  <c r="B12416" i="1"/>
  <c r="C12416" i="1"/>
  <c r="A4379" i="1"/>
  <c r="B4379" i="1"/>
  <c r="C4379" i="1"/>
  <c r="A22820" i="1"/>
  <c r="B22820" i="1"/>
  <c r="C22820" i="1"/>
  <c r="A7185" i="1"/>
  <c r="B7185" i="1"/>
  <c r="C7185" i="1"/>
  <c r="A22322" i="1"/>
  <c r="B22322" i="1"/>
  <c r="C22322" i="1"/>
  <c r="A16152" i="1"/>
  <c r="B16152" i="1"/>
  <c r="C16152" i="1"/>
  <c r="A587" i="1"/>
  <c r="B587" i="1"/>
  <c r="C587" i="1"/>
  <c r="A22323" i="1"/>
  <c r="B22323" i="1"/>
  <c r="C22323" i="1"/>
  <c r="A10631" i="1"/>
  <c r="B10631" i="1"/>
  <c r="C10631" i="1"/>
  <c r="A16151" i="1"/>
  <c r="B16151" i="1"/>
  <c r="C16151" i="1"/>
  <c r="A17167" i="1"/>
  <c r="B17167" i="1"/>
  <c r="C17167" i="1"/>
  <c r="A4377" i="1"/>
  <c r="B4377" i="1"/>
  <c r="C4377" i="1"/>
  <c r="A1584" i="1"/>
  <c r="B1584" i="1"/>
  <c r="C1584" i="1"/>
  <c r="A18634" i="1"/>
  <c r="B18634" i="1"/>
  <c r="C18634" i="1"/>
  <c r="A11353" i="1"/>
  <c r="B11353" i="1"/>
  <c r="C11353" i="1"/>
  <c r="A23602" i="1"/>
  <c r="B23602" i="1"/>
  <c r="C23602" i="1"/>
  <c r="A17179" i="1"/>
  <c r="B17179" i="1"/>
  <c r="C17179" i="1"/>
  <c r="A3854" i="1"/>
  <c r="B3854" i="1"/>
  <c r="C3854" i="1"/>
  <c r="A3857" i="1"/>
  <c r="B3857" i="1"/>
  <c r="C3857" i="1"/>
  <c r="A3858" i="1"/>
  <c r="B3858" i="1"/>
  <c r="C3858" i="1"/>
  <c r="A3853" i="1"/>
  <c r="B3853" i="1"/>
  <c r="C3853" i="1"/>
  <c r="A3855" i="1"/>
  <c r="B3855" i="1"/>
  <c r="C3855" i="1"/>
  <c r="A3856" i="1"/>
  <c r="B3856" i="1"/>
  <c r="C3856" i="1"/>
  <c r="A3859" i="1"/>
  <c r="B3859" i="1"/>
  <c r="C3859" i="1"/>
  <c r="A3861" i="1"/>
  <c r="B3861" i="1"/>
  <c r="C3861" i="1"/>
  <c r="A3872" i="1"/>
  <c r="B3872" i="1"/>
  <c r="C3872" i="1"/>
  <c r="A3874" i="1"/>
  <c r="B3874" i="1"/>
  <c r="C3874" i="1"/>
  <c r="A3871" i="1"/>
  <c r="B3871" i="1"/>
  <c r="C3871" i="1"/>
  <c r="A3873" i="1"/>
  <c r="B3873" i="1"/>
  <c r="C3873" i="1"/>
  <c r="A4097" i="1"/>
  <c r="B4097" i="1"/>
  <c r="C4097" i="1"/>
  <c r="A15930" i="1"/>
  <c r="B15930" i="1"/>
  <c r="C15930" i="1"/>
  <c r="A24147" i="1"/>
  <c r="B24147" i="1"/>
  <c r="C24147" i="1"/>
  <c r="A13207" i="1"/>
  <c r="B13207" i="1"/>
  <c r="C13207" i="1"/>
  <c r="A4393" i="1"/>
  <c r="B4393" i="1"/>
  <c r="C4393" i="1"/>
  <c r="A2278" i="1"/>
  <c r="B2278" i="1"/>
  <c r="C2278" i="1"/>
  <c r="A7271" i="1"/>
  <c r="B7271" i="1"/>
  <c r="C7271" i="1"/>
  <c r="A15872" i="1"/>
  <c r="B15872" i="1"/>
  <c r="C15872" i="1"/>
  <c r="A15928" i="1"/>
  <c r="B15928" i="1"/>
  <c r="C15928" i="1"/>
  <c r="A2232" i="1"/>
  <c r="B2232" i="1"/>
  <c r="C2232" i="1"/>
  <c r="A15927" i="1"/>
  <c r="B15927" i="1"/>
  <c r="C15927" i="1"/>
  <c r="A15929" i="1"/>
  <c r="B15929" i="1"/>
  <c r="C15929" i="1"/>
  <c r="A5828" i="1"/>
  <c r="B5828" i="1"/>
  <c r="C5828" i="1"/>
  <c r="A4061" i="1"/>
  <c r="B4061" i="1"/>
  <c r="C4061" i="1"/>
  <c r="A13877" i="1"/>
  <c r="B13877" i="1"/>
  <c r="C13877" i="1"/>
  <c r="A24197" i="1"/>
  <c r="B24197" i="1"/>
  <c r="C24197" i="1"/>
  <c r="A22685" i="1"/>
  <c r="B22685" i="1"/>
  <c r="C22685" i="1"/>
  <c r="A4521" i="1"/>
  <c r="B4521" i="1"/>
  <c r="C4521" i="1"/>
  <c r="A24139" i="1"/>
  <c r="B24139" i="1"/>
  <c r="C24139" i="1"/>
  <c r="A39" i="1"/>
  <c r="B39" i="1"/>
  <c r="C39" i="1"/>
  <c r="A19757" i="1"/>
  <c r="B19757" i="1"/>
  <c r="C19757" i="1"/>
  <c r="A24677" i="1"/>
  <c r="B24677" i="1"/>
  <c r="C24677" i="1"/>
  <c r="A16347" i="1"/>
  <c r="B16347" i="1"/>
  <c r="C16347" i="1"/>
  <c r="A22919" i="1"/>
  <c r="B22919" i="1"/>
  <c r="C22919" i="1"/>
  <c r="A13204" i="1"/>
  <c r="B13204" i="1"/>
  <c r="C13204" i="1"/>
  <c r="A4101" i="1"/>
  <c r="B4101" i="1"/>
  <c r="C4101" i="1"/>
  <c r="A16781" i="1"/>
  <c r="B16781" i="1"/>
  <c r="C16781" i="1"/>
  <c r="A16893" i="1"/>
  <c r="B16893" i="1"/>
  <c r="C16893" i="1"/>
  <c r="A16890" i="1"/>
  <c r="B16890" i="1"/>
  <c r="C16890" i="1"/>
  <c r="A18819" i="1"/>
  <c r="B18819" i="1"/>
  <c r="C18819" i="1"/>
  <c r="A13953" i="1"/>
  <c r="B13953" i="1"/>
  <c r="C13953" i="1"/>
  <c r="A17214" i="1"/>
  <c r="B17214" i="1"/>
  <c r="C17214" i="1"/>
  <c r="A15497" i="1"/>
  <c r="B15497" i="1"/>
  <c r="C15497" i="1"/>
  <c r="A17649" i="1"/>
  <c r="B17649" i="1"/>
  <c r="C17649" i="1"/>
  <c r="A17586" i="1"/>
  <c r="B17586" i="1"/>
  <c r="C17586" i="1"/>
  <c r="A5934" i="1"/>
  <c r="B5934" i="1"/>
  <c r="C5934" i="1"/>
  <c r="A18453" i="1"/>
  <c r="B18453" i="1"/>
  <c r="C18453" i="1"/>
  <c r="A18458" i="1"/>
  <c r="B18458" i="1"/>
  <c r="C18458" i="1"/>
  <c r="A17219" i="1"/>
  <c r="B17219" i="1"/>
  <c r="C17219" i="1"/>
  <c r="A17218" i="1"/>
  <c r="B17218" i="1"/>
  <c r="C17218" i="1"/>
  <c r="A17192" i="1"/>
  <c r="B17192" i="1"/>
  <c r="C17192" i="1"/>
  <c r="A17217" i="1"/>
  <c r="B17217" i="1"/>
  <c r="C17217" i="1"/>
  <c r="A17632" i="1"/>
  <c r="B17632" i="1"/>
  <c r="C17632" i="1"/>
  <c r="A17614" i="1"/>
  <c r="B17614" i="1"/>
  <c r="C17614" i="1"/>
  <c r="A17613" i="1"/>
  <c r="B17613" i="1"/>
  <c r="C17613" i="1"/>
  <c r="A24698" i="1"/>
  <c r="B24698" i="1"/>
  <c r="C24698" i="1"/>
  <c r="A14531" i="1"/>
  <c r="C14531" i="1"/>
  <c r="A14218" i="1"/>
  <c r="B14218" i="1"/>
  <c r="C14218" i="1"/>
  <c r="A24733" i="1"/>
  <c r="B24733" i="1"/>
  <c r="C24733" i="1"/>
  <c r="A19658" i="1"/>
  <c r="C19658" i="1"/>
  <c r="A9940" i="1"/>
  <c r="B9940" i="1"/>
  <c r="C9940" i="1"/>
  <c r="A9939" i="1"/>
  <c r="B9939" i="1"/>
  <c r="C9939" i="1"/>
  <c r="A8216" i="1"/>
  <c r="B8216" i="1"/>
  <c r="C8216" i="1"/>
  <c r="A9806" i="1"/>
  <c r="B9806" i="1"/>
  <c r="C9806" i="1"/>
  <c r="A22393" i="1"/>
  <c r="B22393" i="1"/>
  <c r="C22393" i="1"/>
  <c r="A17589" i="1"/>
  <c r="B17589" i="1"/>
  <c r="C17589" i="1"/>
  <c r="A11905" i="1"/>
  <c r="B11905" i="1"/>
  <c r="C11905" i="1"/>
  <c r="A19097" i="1"/>
  <c r="B19097" i="1"/>
  <c r="C19097" i="1"/>
  <c r="A5985" i="1"/>
  <c r="B5985" i="1"/>
  <c r="C5985" i="1"/>
  <c r="A7643" i="1"/>
  <c r="B7643" i="1"/>
  <c r="C7643" i="1"/>
  <c r="A4062" i="1"/>
  <c r="B4062" i="1"/>
  <c r="C4062" i="1"/>
  <c r="A10666" i="1"/>
  <c r="B10666" i="1"/>
  <c r="C10666" i="1"/>
  <c r="A23145" i="1"/>
  <c r="B23145" i="1"/>
  <c r="C23145" i="1"/>
  <c r="A6020" i="1"/>
  <c r="B6020" i="1"/>
  <c r="C6020" i="1"/>
  <c r="A24167" i="1"/>
  <c r="B24167" i="1"/>
  <c r="C24167" i="1"/>
  <c r="A19052" i="1"/>
  <c r="B19052" i="1"/>
  <c r="C19052" i="1"/>
  <c r="A21473" i="1"/>
  <c r="B21473" i="1"/>
  <c r="C21473" i="1"/>
  <c r="A3807" i="1"/>
  <c r="B3807" i="1"/>
  <c r="C3807" i="1"/>
  <c r="A18100" i="1"/>
  <c r="B18100" i="1"/>
  <c r="C18100" i="1"/>
  <c r="A14229" i="1"/>
  <c r="B14229" i="1"/>
  <c r="C14229" i="1"/>
  <c r="A14228" i="1"/>
  <c r="B14228" i="1"/>
  <c r="C14228" i="1"/>
  <c r="A14227" i="1"/>
  <c r="B14227" i="1"/>
  <c r="C14227" i="1"/>
  <c r="A14223" i="1"/>
  <c r="B14223" i="1"/>
  <c r="C14223" i="1"/>
  <c r="A24740" i="1"/>
  <c r="B24740" i="1"/>
  <c r="C24740" i="1"/>
  <c r="A1963" i="1"/>
  <c r="B1963" i="1"/>
  <c r="C1963" i="1"/>
  <c r="A1953" i="1"/>
  <c r="B1953" i="1"/>
  <c r="C1953" i="1"/>
  <c r="A8332" i="1"/>
  <c r="B8332" i="1"/>
  <c r="C8332" i="1"/>
  <c r="A23211" i="1"/>
  <c r="B23211" i="1"/>
  <c r="C23211" i="1"/>
  <c r="A8502" i="1"/>
  <c r="B8502" i="1"/>
  <c r="C8502" i="1"/>
  <c r="A8503" i="1"/>
  <c r="B8503" i="1"/>
  <c r="C8503" i="1"/>
  <c r="A18765" i="1"/>
  <c r="B18765" i="1"/>
  <c r="C18765" i="1"/>
  <c r="A7409" i="1"/>
  <c r="B7409" i="1"/>
  <c r="C7409" i="1"/>
  <c r="A3331" i="1"/>
  <c r="B3331" i="1"/>
  <c r="C3331" i="1"/>
  <c r="A966" i="1"/>
  <c r="B966" i="1"/>
  <c r="C966" i="1"/>
  <c r="A9780" i="1"/>
  <c r="B9780" i="1"/>
  <c r="C9780" i="1"/>
  <c r="A25363" i="1"/>
  <c r="B25363" i="1"/>
  <c r="C25363" i="1"/>
  <c r="A13694" i="1"/>
  <c r="B13694" i="1"/>
  <c r="C13694" i="1"/>
  <c r="A20693" i="1"/>
  <c r="B20693" i="1"/>
  <c r="C20693" i="1"/>
  <c r="A24427" i="1"/>
  <c r="B24427" i="1"/>
  <c r="C24427" i="1"/>
  <c r="A19979" i="1"/>
  <c r="B19979" i="1"/>
  <c r="C19979" i="1"/>
  <c r="A22743" i="1"/>
  <c r="B22743" i="1"/>
  <c r="C22743" i="1"/>
  <c r="A3763" i="1"/>
  <c r="B3763" i="1"/>
  <c r="C3763" i="1"/>
  <c r="A19507" i="1"/>
  <c r="B19507" i="1"/>
  <c r="C19507" i="1"/>
  <c r="A22735" i="1"/>
  <c r="B22735" i="1"/>
  <c r="C22735" i="1"/>
  <c r="A4866" i="1"/>
  <c r="B4866" i="1"/>
  <c r="C4866" i="1"/>
  <c r="A4865" i="1"/>
  <c r="B4865" i="1"/>
  <c r="C4865" i="1"/>
  <c r="A3762" i="1"/>
  <c r="B3762" i="1"/>
  <c r="C3762" i="1"/>
  <c r="A3754" i="1"/>
  <c r="B3754" i="1"/>
  <c r="C3754" i="1"/>
  <c r="A22742" i="1"/>
  <c r="B22742" i="1"/>
  <c r="C22742" i="1"/>
  <c r="A15339" i="1"/>
  <c r="C15339" i="1"/>
  <c r="A13789" i="1"/>
  <c r="C13789" i="1"/>
  <c r="A25275" i="1"/>
  <c r="C25275" i="1"/>
  <c r="A13747" i="1"/>
  <c r="C13747" i="1"/>
  <c r="A13894" i="1"/>
  <c r="C13894" i="1"/>
  <c r="A13777" i="1"/>
  <c r="C13777" i="1"/>
  <c r="A973" i="1"/>
  <c r="C973" i="1"/>
  <c r="A21984" i="1"/>
  <c r="B21984" i="1"/>
  <c r="C21984" i="1"/>
  <c r="A21567" i="1"/>
  <c r="B21567" i="1"/>
  <c r="C21567" i="1"/>
  <c r="A9295" i="1"/>
  <c r="B9295" i="1"/>
  <c r="C9295" i="1"/>
  <c r="A7617" i="1"/>
  <c r="B7617" i="1"/>
  <c r="C7617" i="1"/>
  <c r="A19884" i="1"/>
  <c r="B19884" i="1"/>
  <c r="C19884" i="1"/>
  <c r="A2667" i="1"/>
  <c r="B2667" i="1"/>
  <c r="C2667" i="1"/>
  <c r="A6217" i="1"/>
  <c r="B6217" i="1"/>
  <c r="C6217" i="1"/>
  <c r="A6899" i="1"/>
  <c r="B6899" i="1"/>
  <c r="C6899" i="1"/>
  <c r="A15111" i="1"/>
  <c r="B15111" i="1"/>
  <c r="C15111" i="1"/>
  <c r="A15112" i="1"/>
  <c r="B15112" i="1"/>
  <c r="C15112" i="1"/>
  <c r="A15113" i="1"/>
  <c r="B15113" i="1"/>
  <c r="C15113" i="1"/>
  <c r="A14724" i="1"/>
  <c r="B14724" i="1"/>
  <c r="C14724" i="1"/>
  <c r="A18845" i="1"/>
  <c r="B18845" i="1"/>
  <c r="C18845" i="1"/>
  <c r="A22712" i="1"/>
  <c r="B22712" i="1"/>
  <c r="C22712" i="1"/>
  <c r="A10687" i="1"/>
  <c r="B10687" i="1"/>
  <c r="C10687" i="1"/>
  <c r="A10676" i="1"/>
  <c r="B10676" i="1"/>
  <c r="C10676" i="1"/>
  <c r="A10681" i="1"/>
  <c r="B10681" i="1"/>
  <c r="C10681" i="1"/>
  <c r="A2000" i="1"/>
  <c r="B2000" i="1"/>
  <c r="C2000" i="1"/>
  <c r="A18764" i="1"/>
  <c r="B18764" i="1"/>
  <c r="C18764" i="1"/>
  <c r="A7020" i="1"/>
  <c r="B7020" i="1"/>
  <c r="C7020" i="1"/>
  <c r="A9850" i="1"/>
  <c r="B9850" i="1"/>
  <c r="C9850" i="1"/>
  <c r="A2496" i="1"/>
  <c r="B2496" i="1"/>
  <c r="C2496" i="1"/>
  <c r="A2589" i="1"/>
  <c r="B2589" i="1"/>
  <c r="C2589" i="1"/>
  <c r="A4073" i="1"/>
  <c r="B4073" i="1"/>
  <c r="C4073" i="1"/>
  <c r="A4072" i="1"/>
  <c r="B4072" i="1"/>
  <c r="C4072" i="1"/>
  <c r="A3996" i="1"/>
  <c r="B3996" i="1"/>
  <c r="C3996" i="1"/>
  <c r="A2621" i="1"/>
  <c r="B2621" i="1"/>
  <c r="C2621" i="1"/>
  <c r="A14658" i="1"/>
  <c r="B14658" i="1"/>
  <c r="C14658" i="1"/>
  <c r="A25743" i="1"/>
  <c r="B25743" i="1"/>
  <c r="C25743" i="1"/>
  <c r="A5650" i="1"/>
  <c r="B5650" i="1"/>
  <c r="C5650" i="1"/>
  <c r="A12079" i="1"/>
  <c r="B12079" i="1"/>
  <c r="C12079" i="1"/>
  <c r="A19815" i="1"/>
  <c r="C19815" i="1"/>
  <c r="A22431" i="1"/>
  <c r="B22431" i="1"/>
  <c r="C22431" i="1"/>
  <c r="A22432" i="1"/>
  <c r="B22432" i="1"/>
  <c r="C22432" i="1"/>
  <c r="A11711" i="1"/>
  <c r="B11711" i="1"/>
  <c r="C11711" i="1"/>
  <c r="A22538" i="1"/>
  <c r="B22538" i="1"/>
  <c r="C22538" i="1"/>
  <c r="A21408" i="1"/>
  <c r="B21408" i="1"/>
  <c r="C21408" i="1"/>
  <c r="A6013" i="1"/>
  <c r="B6013" i="1"/>
  <c r="C6013" i="1"/>
  <c r="A24174" i="1"/>
  <c r="B24174" i="1"/>
  <c r="C24174" i="1"/>
  <c r="A2688" i="1"/>
  <c r="B2688" i="1"/>
  <c r="C2688" i="1"/>
  <c r="A6506" i="1"/>
  <c r="B6506" i="1"/>
  <c r="C6506" i="1"/>
  <c r="A3938" i="1"/>
  <c r="B3938" i="1"/>
  <c r="C3938" i="1"/>
  <c r="A8383" i="1"/>
  <c r="B8383" i="1"/>
  <c r="C8383" i="1"/>
  <c r="A17417" i="1"/>
  <c r="B17417" i="1"/>
  <c r="C17417" i="1"/>
  <c r="A17575" i="1"/>
  <c r="B17575" i="1"/>
  <c r="C17575" i="1"/>
  <c r="A22856" i="1"/>
  <c r="B22856" i="1"/>
  <c r="C22856" i="1"/>
  <c r="A12325" i="1"/>
  <c r="B12325" i="1"/>
  <c r="C12325" i="1"/>
  <c r="A13787" i="1"/>
  <c r="B13787" i="1"/>
  <c r="C13787" i="1"/>
  <c r="A5323" i="1"/>
  <c r="B5323" i="1"/>
  <c r="C5323" i="1"/>
  <c r="A2012" i="1"/>
  <c r="B2012" i="1"/>
  <c r="C2012" i="1"/>
  <c r="A18745" i="1"/>
  <c r="B18745" i="1"/>
  <c r="C18745" i="1"/>
  <c r="A1587" i="1"/>
  <c r="B1587" i="1"/>
  <c r="C1587" i="1"/>
  <c r="A17031" i="1"/>
  <c r="B17031" i="1"/>
  <c r="C17031" i="1"/>
  <c r="A24957" i="1"/>
  <c r="B24957" i="1"/>
  <c r="C24957" i="1"/>
  <c r="A22988" i="1"/>
  <c r="B22988" i="1"/>
  <c r="C22988" i="1"/>
  <c r="A22986" i="1"/>
  <c r="B22986" i="1"/>
  <c r="C22986" i="1"/>
  <c r="A22260" i="1"/>
  <c r="B22260" i="1"/>
  <c r="C22260" i="1"/>
  <c r="A25663" i="1"/>
  <c r="B25663" i="1"/>
  <c r="C25663" i="1"/>
  <c r="A16254" i="1"/>
  <c r="B16254" i="1"/>
  <c r="C16254" i="1"/>
  <c r="A2768" i="1"/>
  <c r="B2768" i="1"/>
  <c r="C2768" i="1"/>
  <c r="A13822" i="1"/>
  <c r="B13822" i="1"/>
  <c r="C13822" i="1"/>
  <c r="A9091" i="1"/>
  <c r="B9091" i="1"/>
  <c r="C9091" i="1"/>
  <c r="A16510" i="1"/>
  <c r="B16510" i="1"/>
  <c r="C16510" i="1"/>
  <c r="A22172" i="1"/>
  <c r="B22172" i="1"/>
  <c r="C22172" i="1"/>
  <c r="A22171" i="1"/>
  <c r="B22171" i="1"/>
  <c r="C22171" i="1"/>
  <c r="A5827" i="1"/>
  <c r="B5827" i="1"/>
  <c r="C5827" i="1"/>
  <c r="A15890" i="1"/>
  <c r="B15890" i="1"/>
  <c r="C15890" i="1"/>
  <c r="A15891" i="1"/>
  <c r="B15891" i="1"/>
  <c r="C15891" i="1"/>
  <c r="A2594" i="1"/>
  <c r="B2594" i="1"/>
  <c r="C2594" i="1"/>
  <c r="A2597" i="1"/>
  <c r="B2597" i="1"/>
  <c r="C2597" i="1"/>
  <c r="A2598" i="1"/>
  <c r="B2598" i="1"/>
  <c r="C2598" i="1"/>
  <c r="A2600" i="1"/>
  <c r="B2600" i="1"/>
  <c r="C2600" i="1"/>
  <c r="A2603" i="1"/>
  <c r="B2603" i="1"/>
  <c r="C2603" i="1"/>
  <c r="A2604" i="1"/>
  <c r="B2604" i="1"/>
  <c r="C2604" i="1"/>
  <c r="A2606" i="1"/>
  <c r="B2606" i="1"/>
  <c r="C2606" i="1"/>
  <c r="A2607" i="1"/>
  <c r="B2607" i="1"/>
  <c r="C2607" i="1"/>
  <c r="A2611" i="1"/>
  <c r="B2611" i="1"/>
  <c r="C2611" i="1"/>
  <c r="A2610" i="1"/>
  <c r="B2610" i="1"/>
  <c r="C2610" i="1"/>
  <c r="A2620" i="1"/>
  <c r="B2620" i="1"/>
  <c r="C2620" i="1"/>
  <c r="A2619" i="1"/>
  <c r="B2619" i="1"/>
  <c r="C2619" i="1"/>
  <c r="A5141" i="1"/>
  <c r="B5141" i="1"/>
  <c r="C5141" i="1"/>
  <c r="A19187" i="1"/>
  <c r="B19187" i="1"/>
  <c r="C19187" i="1"/>
  <c r="A5140" i="1"/>
  <c r="B5140" i="1"/>
  <c r="C5140" i="1"/>
  <c r="A22221" i="1"/>
  <c r="B22221" i="1"/>
  <c r="C22221" i="1"/>
  <c r="A4264" i="1"/>
  <c r="B4264" i="1"/>
  <c r="C4264" i="1"/>
  <c r="A4269" i="1"/>
  <c r="B4269" i="1"/>
  <c r="C4269" i="1"/>
  <c r="A4270" i="1"/>
  <c r="B4270" i="1"/>
  <c r="C4270" i="1"/>
  <c r="A4273" i="1"/>
  <c r="B4273" i="1"/>
  <c r="C4273" i="1"/>
  <c r="A14803" i="1"/>
  <c r="B14803" i="1"/>
  <c r="C14803" i="1"/>
  <c r="A16896" i="1"/>
  <c r="B16896" i="1"/>
  <c r="C16896" i="1"/>
  <c r="A25018" i="1"/>
  <c r="B25018" i="1"/>
  <c r="C25018" i="1"/>
  <c r="A25032" i="1"/>
  <c r="B25032" i="1"/>
  <c r="C25032" i="1"/>
  <c r="A21101" i="1"/>
  <c r="B21101" i="1"/>
  <c r="C21101" i="1"/>
  <c r="A22750" i="1"/>
  <c r="B22750" i="1"/>
  <c r="C22750" i="1"/>
  <c r="A22751" i="1"/>
  <c r="B22751" i="1"/>
  <c r="C22751" i="1"/>
  <c r="A18928" i="1"/>
  <c r="B18928" i="1"/>
  <c r="C18928" i="1"/>
  <c r="A16969" i="1"/>
  <c r="B16969" i="1"/>
  <c r="C16969" i="1"/>
  <c r="A14399" i="1"/>
  <c r="B14399" i="1"/>
  <c r="C14399" i="1"/>
  <c r="A14398" i="1"/>
  <c r="B14398" i="1"/>
  <c r="C14398" i="1"/>
  <c r="A18193" i="1"/>
  <c r="B18193" i="1"/>
  <c r="C18193" i="1"/>
  <c r="A6550" i="1"/>
  <c r="B6550" i="1"/>
  <c r="C6550" i="1"/>
  <c r="A6551" i="1"/>
  <c r="B6551" i="1"/>
  <c r="C6551" i="1"/>
  <c r="A11740" i="1"/>
  <c r="B11740" i="1"/>
  <c r="C11740" i="1"/>
  <c r="A14580" i="1"/>
  <c r="B14580" i="1"/>
  <c r="C14580" i="1"/>
  <c r="A15372" i="1"/>
  <c r="B15372" i="1"/>
  <c r="C15372" i="1"/>
  <c r="A19607" i="1"/>
  <c r="B19607" i="1"/>
  <c r="C19607" i="1"/>
  <c r="A19603" i="1"/>
  <c r="B19603" i="1"/>
  <c r="C19603" i="1"/>
  <c r="A23961" i="1"/>
  <c r="B23961" i="1"/>
  <c r="C23961" i="1"/>
  <c r="A9760" i="1"/>
  <c r="B9760" i="1"/>
  <c r="C9760" i="1"/>
  <c r="A7491" i="1"/>
  <c r="B7491" i="1"/>
  <c r="C7491" i="1"/>
  <c r="A7492" i="1"/>
  <c r="B7492" i="1"/>
  <c r="C7492" i="1"/>
  <c r="A10898" i="1"/>
  <c r="B10898" i="1"/>
  <c r="C10898" i="1"/>
  <c r="A5767" i="1"/>
  <c r="B5767" i="1"/>
  <c r="C5767" i="1"/>
  <c r="A13784" i="1"/>
  <c r="B13784" i="1"/>
  <c r="C13784" i="1"/>
  <c r="A4875" i="1"/>
  <c r="B4875" i="1"/>
  <c r="C4875" i="1"/>
  <c r="A14000" i="1"/>
  <c r="B14000" i="1"/>
  <c r="C14000" i="1"/>
  <c r="A13997" i="1"/>
  <c r="B13997" i="1"/>
  <c r="C13997" i="1"/>
  <c r="A13996" i="1"/>
  <c r="B13996" i="1"/>
  <c r="C13996" i="1"/>
  <c r="A13999" i="1"/>
  <c r="B13999" i="1"/>
  <c r="C13999" i="1"/>
  <c r="A14001" i="1"/>
  <c r="B14001" i="1"/>
  <c r="C14001" i="1"/>
  <c r="A13998" i="1"/>
  <c r="B13998" i="1"/>
  <c r="C13998" i="1"/>
  <c r="A9711" i="1"/>
  <c r="B9711" i="1"/>
  <c r="C9711" i="1"/>
  <c r="A1701" i="1"/>
  <c r="B1701" i="1"/>
  <c r="C1701" i="1"/>
  <c r="A25020" i="1"/>
  <c r="B25020" i="1"/>
  <c r="C25020" i="1"/>
  <c r="A9561" i="1"/>
  <c r="B9561" i="1"/>
  <c r="C9561" i="1"/>
  <c r="A8551" i="1"/>
  <c r="B8551" i="1"/>
  <c r="C8551" i="1"/>
  <c r="A8606" i="1"/>
  <c r="B8606" i="1"/>
  <c r="C8606" i="1"/>
  <c r="A23201" i="1"/>
  <c r="B23201" i="1"/>
  <c r="C23201" i="1"/>
  <c r="A19510" i="1"/>
  <c r="B19510" i="1"/>
  <c r="C19510" i="1"/>
  <c r="A8624" i="1"/>
  <c r="B8624" i="1"/>
  <c r="C8624" i="1"/>
  <c r="A13516" i="1"/>
  <c r="B13516" i="1"/>
  <c r="C13516" i="1"/>
  <c r="A23202" i="1"/>
  <c r="B23202" i="1"/>
  <c r="C23202" i="1"/>
  <c r="A13515" i="1"/>
  <c r="B13515" i="1"/>
  <c r="C13515" i="1"/>
  <c r="A5351" i="1"/>
  <c r="B5351" i="1"/>
  <c r="C5351" i="1"/>
  <c r="A1983" i="1"/>
  <c r="B1983" i="1"/>
  <c r="C1983" i="1"/>
  <c r="A3619" i="1"/>
  <c r="B3619" i="1"/>
  <c r="C3619" i="1"/>
  <c r="A17290" i="1"/>
  <c r="B17290" i="1"/>
  <c r="C17290" i="1"/>
  <c r="A9663" i="1"/>
  <c r="B9663" i="1"/>
  <c r="C9663" i="1"/>
  <c r="A3709" i="1"/>
  <c r="B3709" i="1"/>
  <c r="C3709" i="1"/>
  <c r="A8607" i="1"/>
  <c r="B8607" i="1"/>
  <c r="C8607" i="1"/>
  <c r="A8608" i="1"/>
  <c r="B8608" i="1"/>
  <c r="C8608" i="1"/>
  <c r="A22774" i="1"/>
  <c r="B22774" i="1"/>
  <c r="C22774" i="1"/>
  <c r="A17175" i="1"/>
  <c r="B17175" i="1"/>
  <c r="C17175" i="1"/>
  <c r="A12364" i="1"/>
  <c r="C12364" i="1"/>
  <c r="A24097" i="1"/>
  <c r="B24097" i="1"/>
  <c r="C24097" i="1"/>
  <c r="A8264" i="1"/>
  <c r="B8264" i="1"/>
  <c r="C8264" i="1"/>
  <c r="A8263" i="1"/>
  <c r="B8263" i="1"/>
  <c r="C8263" i="1"/>
  <c r="A8336" i="1"/>
  <c r="B8336" i="1"/>
  <c r="C8336" i="1"/>
  <c r="A14308" i="1"/>
  <c r="B14308" i="1"/>
  <c r="C14308" i="1"/>
  <c r="A14562" i="1"/>
  <c r="B14562" i="1"/>
  <c r="C14562" i="1"/>
  <c r="A18164" i="1"/>
  <c r="B18164" i="1"/>
  <c r="C18164" i="1"/>
  <c r="A25593" i="1"/>
  <c r="B25593" i="1"/>
  <c r="C25593" i="1"/>
  <c r="A1371" i="1"/>
  <c r="B1371" i="1"/>
  <c r="C1371" i="1"/>
  <c r="A23550" i="1"/>
  <c r="B23550" i="1"/>
  <c r="C23550" i="1"/>
  <c r="A25583" i="1"/>
  <c r="B25583" i="1"/>
  <c r="C25583" i="1"/>
  <c r="A25582" i="1"/>
  <c r="B25582" i="1"/>
  <c r="C25582" i="1"/>
  <c r="A10921" i="1"/>
  <c r="B10921" i="1"/>
  <c r="C10921" i="1"/>
  <c r="A15355" i="1"/>
  <c r="B15355" i="1"/>
  <c r="C15355" i="1"/>
  <c r="A1656" i="1"/>
  <c r="B1656" i="1"/>
  <c r="C1656" i="1"/>
  <c r="A13952" i="1"/>
  <c r="B13952" i="1"/>
  <c r="C13952" i="1"/>
  <c r="A22606" i="1"/>
  <c r="C22606" i="1"/>
  <c r="A17401" i="1"/>
  <c r="C17401" i="1"/>
  <c r="A22361" i="1"/>
  <c r="B22361" i="1"/>
  <c r="C22361" i="1"/>
  <c r="A19146" i="1"/>
  <c r="B19146" i="1"/>
  <c r="C19146" i="1"/>
  <c r="A14810" i="1"/>
  <c r="B14810" i="1"/>
  <c r="C14810" i="1"/>
  <c r="A14808" i="1"/>
  <c r="B14808" i="1"/>
  <c r="C14808" i="1"/>
  <c r="A14809" i="1"/>
  <c r="B14809" i="1"/>
  <c r="C14809" i="1"/>
  <c r="A12734" i="1"/>
  <c r="B12734" i="1"/>
  <c r="C12734" i="1"/>
  <c r="A12735" i="1"/>
  <c r="B12735" i="1"/>
  <c r="C12735" i="1"/>
  <c r="A12732" i="1"/>
  <c r="B12732" i="1"/>
  <c r="C12732" i="1"/>
  <c r="A12733" i="1"/>
  <c r="B12733" i="1"/>
  <c r="C12733" i="1"/>
  <c r="A24681" i="1"/>
  <c r="B24681" i="1"/>
  <c r="C24681" i="1"/>
  <c r="A11097" i="1"/>
  <c r="B11097" i="1"/>
  <c r="C11097" i="1"/>
  <c r="A11145" i="1"/>
  <c r="C11145" i="1"/>
  <c r="A19503" i="1"/>
  <c r="B19503" i="1"/>
  <c r="C19503" i="1"/>
  <c r="A1960" i="1"/>
  <c r="B1960" i="1"/>
  <c r="C1960" i="1"/>
  <c r="A5244" i="1"/>
  <c r="B5244" i="1"/>
  <c r="C5244" i="1"/>
  <c r="A5245" i="1"/>
  <c r="B5245" i="1"/>
  <c r="C5245" i="1"/>
  <c r="A5247" i="1"/>
  <c r="B5247" i="1"/>
  <c r="C5247" i="1"/>
  <c r="A8246" i="1"/>
  <c r="B8246" i="1"/>
  <c r="C8246" i="1"/>
  <c r="A25395" i="1"/>
  <c r="B25395" i="1"/>
  <c r="C25395" i="1"/>
  <c r="A10671" i="1"/>
  <c r="B10671" i="1"/>
  <c r="C10671" i="1"/>
  <c r="A10384" i="1"/>
  <c r="B10384" i="1"/>
  <c r="C10384" i="1"/>
  <c r="A24954" i="1"/>
  <c r="C24954" i="1"/>
  <c r="A16553" i="1"/>
  <c r="B16553" i="1"/>
  <c r="C16553" i="1"/>
  <c r="A20778" i="1"/>
  <c r="B20778" i="1"/>
  <c r="C20778" i="1"/>
  <c r="A20590" i="1"/>
  <c r="B20590" i="1"/>
  <c r="C20590" i="1"/>
  <c r="A20025" i="1"/>
  <c r="B20025" i="1"/>
  <c r="C20025" i="1"/>
  <c r="A20021" i="1"/>
  <c r="B20021" i="1"/>
  <c r="C20021" i="1"/>
  <c r="A20019" i="1"/>
  <c r="B20019" i="1"/>
  <c r="C20019" i="1"/>
  <c r="A20020" i="1"/>
  <c r="B20020" i="1"/>
  <c r="C20020" i="1"/>
  <c r="A20018" i="1"/>
  <c r="B20018" i="1"/>
  <c r="C20018" i="1"/>
  <c r="A14326" i="1"/>
  <c r="B14326" i="1"/>
  <c r="C14326" i="1"/>
  <c r="A11707" i="1"/>
  <c r="B11707" i="1"/>
  <c r="C11707" i="1"/>
  <c r="A11706" i="1"/>
  <c r="B11706" i="1"/>
  <c r="C11706" i="1"/>
  <c r="A11731" i="1"/>
  <c r="B11731" i="1"/>
  <c r="C11731" i="1"/>
  <c r="A22995" i="1"/>
  <c r="B22995" i="1"/>
  <c r="C22995" i="1"/>
  <c r="A371" i="1"/>
  <c r="B371" i="1"/>
  <c r="C371" i="1"/>
  <c r="A18599" i="1"/>
  <c r="B18599" i="1"/>
  <c r="C18599" i="1"/>
  <c r="A24489" i="1"/>
  <c r="B24489" i="1"/>
  <c r="C24489" i="1"/>
  <c r="A1932" i="1"/>
  <c r="B1932" i="1"/>
  <c r="C1932" i="1"/>
  <c r="A1930" i="1"/>
  <c r="B1930" i="1"/>
  <c r="C1930" i="1"/>
  <c r="A23323" i="1"/>
  <c r="C23323" i="1"/>
  <c r="A8509" i="1"/>
  <c r="B8509" i="1"/>
  <c r="C8509" i="1"/>
  <c r="A24675" i="1"/>
  <c r="B24675" i="1"/>
  <c r="C24675" i="1"/>
  <c r="A11568" i="1"/>
  <c r="C11568" i="1"/>
  <c r="A434" i="1"/>
  <c r="B434" i="1"/>
  <c r="C434" i="1"/>
  <c r="A2248" i="1"/>
  <c r="B2248" i="1"/>
  <c r="C2248" i="1"/>
  <c r="A2584" i="1"/>
  <c r="B2584" i="1"/>
  <c r="C2584" i="1"/>
  <c r="A2585" i="1"/>
  <c r="B2585" i="1"/>
  <c r="C2585" i="1"/>
  <c r="A14650" i="1"/>
  <c r="B14650" i="1"/>
  <c r="C14650" i="1"/>
  <c r="A336" i="1"/>
  <c r="B336" i="1"/>
  <c r="C336" i="1"/>
  <c r="A25224" i="1"/>
  <c r="B25224" i="1"/>
  <c r="C25224" i="1"/>
  <c r="A22420" i="1"/>
  <c r="B22420" i="1"/>
  <c r="C22420" i="1"/>
  <c r="A6982" i="1"/>
  <c r="B6982" i="1"/>
  <c r="C6982" i="1"/>
  <c r="A10644" i="1"/>
  <c r="B10644" i="1"/>
  <c r="C10644" i="1"/>
  <c r="A33" i="1"/>
  <c r="B33" i="1"/>
  <c r="C33" i="1"/>
  <c r="A12046" i="1"/>
  <c r="B12046" i="1"/>
  <c r="C12046" i="1"/>
  <c r="A18771" i="1"/>
  <c r="B18771" i="1"/>
  <c r="C18771" i="1"/>
  <c r="A11147" i="1"/>
  <c r="C11147" i="1"/>
  <c r="A11144" i="1"/>
  <c r="C11144" i="1"/>
  <c r="A16560" i="1"/>
  <c r="B16560" i="1"/>
  <c r="C16560" i="1"/>
  <c r="A16559" i="1"/>
  <c r="B16559" i="1"/>
  <c r="C16559" i="1"/>
  <c r="A18881" i="1"/>
  <c r="B18881" i="1"/>
  <c r="C18881" i="1"/>
  <c r="A281" i="1"/>
  <c r="B281" i="1"/>
  <c r="C281" i="1"/>
  <c r="A23143" i="1"/>
  <c r="B23143" i="1"/>
  <c r="C23143" i="1"/>
  <c r="A9873" i="1"/>
  <c r="C9873" i="1"/>
  <c r="A9928" i="1"/>
  <c r="C9928" i="1"/>
  <c r="A9929" i="1"/>
  <c r="C9929" i="1"/>
  <c r="A6577" i="1"/>
  <c r="B6577" i="1"/>
  <c r="C6577" i="1"/>
  <c r="A6575" i="1"/>
  <c r="B6575" i="1"/>
  <c r="C6575" i="1"/>
  <c r="A6576" i="1"/>
  <c r="B6576" i="1"/>
  <c r="C6576" i="1"/>
  <c r="A6574" i="1"/>
  <c r="B6574" i="1"/>
  <c r="C6574" i="1"/>
  <c r="A6582" i="1"/>
  <c r="B6582" i="1"/>
  <c r="C6582" i="1"/>
  <c r="A6581" i="1"/>
  <c r="C6581" i="1"/>
  <c r="A20028" i="1"/>
  <c r="B20028" i="1"/>
  <c r="C20028" i="1"/>
  <c r="A6580" i="1"/>
  <c r="C6580" i="1"/>
  <c r="A6579" i="1"/>
  <c r="C6579" i="1"/>
  <c r="A16087" i="1"/>
  <c r="C16087" i="1"/>
  <c r="A10689" i="1"/>
  <c r="C10689" i="1"/>
  <c r="A8989" i="1"/>
  <c r="C8989" i="1"/>
  <c r="A14914" i="1"/>
  <c r="C14914" i="1"/>
  <c r="A9401" i="1"/>
  <c r="C9401" i="1"/>
  <c r="A22557" i="1"/>
  <c r="C22557" i="1"/>
  <c r="A1037" i="1"/>
  <c r="C1037" i="1"/>
  <c r="A518" i="1"/>
  <c r="C518" i="1"/>
  <c r="A221" i="1"/>
  <c r="C221" i="1"/>
  <c r="A1036" i="1"/>
  <c r="C1036" i="1"/>
  <c r="A1035" i="1"/>
  <c r="C1035" i="1"/>
  <c r="A9312" i="1"/>
  <c r="C9312" i="1"/>
  <c r="A1900" i="1"/>
  <c r="B1900" i="1"/>
  <c r="C1900" i="1"/>
  <c r="A24367" i="1"/>
  <c r="B24367" i="1"/>
  <c r="C24367" i="1"/>
  <c r="A1630" i="1"/>
  <c r="B1630" i="1"/>
  <c r="C1630" i="1"/>
  <c r="A24045" i="1"/>
  <c r="B24045" i="1"/>
  <c r="C24045" i="1"/>
  <c r="A20965" i="1"/>
  <c r="B20965" i="1"/>
  <c r="C20965" i="1"/>
  <c r="A22865" i="1"/>
  <c r="B22865" i="1"/>
  <c r="C22865" i="1"/>
  <c r="A7000" i="1"/>
  <c r="B7000" i="1"/>
  <c r="C7000" i="1"/>
  <c r="A8127" i="1"/>
  <c r="B8127" i="1"/>
  <c r="C8127" i="1"/>
  <c r="A3074" i="1"/>
  <c r="B3074" i="1"/>
  <c r="C3074" i="1"/>
  <c r="A11594" i="1"/>
  <c r="B11594" i="1"/>
  <c r="C11594" i="1"/>
  <c r="A19915" i="1"/>
  <c r="B19915" i="1"/>
  <c r="C19915" i="1"/>
  <c r="A17001" i="1"/>
  <c r="B17001" i="1"/>
  <c r="C17001" i="1"/>
  <c r="A8331" i="1"/>
  <c r="B8331" i="1"/>
  <c r="C8331" i="1"/>
  <c r="A4437" i="1"/>
  <c r="B4437" i="1"/>
  <c r="C4437" i="1"/>
  <c r="A19635" i="1"/>
  <c r="B19635" i="1"/>
  <c r="C19635" i="1"/>
  <c r="A23028" i="1"/>
  <c r="B23028" i="1"/>
  <c r="C23028" i="1"/>
  <c r="A6268" i="1"/>
  <c r="B6268" i="1"/>
  <c r="C6268" i="1"/>
  <c r="A6270" i="1"/>
  <c r="B6270" i="1"/>
  <c r="C6270" i="1"/>
  <c r="A19636" i="1"/>
  <c r="B19636" i="1"/>
  <c r="C19636" i="1"/>
  <c r="A13803" i="1"/>
  <c r="B13803" i="1"/>
  <c r="C13803" i="1"/>
  <c r="A6220" i="1"/>
  <c r="C6220" i="1"/>
  <c r="A5428" i="1"/>
  <c r="C5428" i="1"/>
  <c r="A15933" i="1"/>
  <c r="B15933" i="1"/>
  <c r="C15933" i="1"/>
  <c r="A17389" i="1"/>
  <c r="B17389" i="1"/>
  <c r="C17389" i="1"/>
  <c r="A13817" i="1"/>
  <c r="B13817" i="1"/>
  <c r="C13817" i="1"/>
  <c r="A13906" i="1"/>
  <c r="B13906" i="1"/>
  <c r="C13906" i="1"/>
  <c r="A10065" i="1"/>
  <c r="B10065" i="1"/>
  <c r="C10065" i="1"/>
  <c r="A18305" i="1"/>
  <c r="B18305" i="1"/>
  <c r="C18305" i="1"/>
  <c r="A12316" i="1"/>
  <c r="B12316" i="1"/>
  <c r="C12316" i="1"/>
  <c r="A17656" i="1"/>
  <c r="B17656" i="1"/>
  <c r="C17656" i="1"/>
  <c r="A11909" i="1"/>
  <c r="B11909" i="1"/>
  <c r="C11909" i="1"/>
  <c r="A9811" i="1"/>
  <c r="B9811" i="1"/>
  <c r="C9811" i="1"/>
  <c r="A9809" i="1"/>
  <c r="B9809" i="1"/>
  <c r="C9809" i="1"/>
  <c r="A9810" i="1"/>
  <c r="B9810" i="1"/>
  <c r="C9810" i="1"/>
  <c r="A9006" i="1"/>
  <c r="B9006" i="1"/>
  <c r="C9006" i="1"/>
  <c r="A22592" i="1"/>
  <c r="B22592" i="1"/>
  <c r="C22592" i="1"/>
  <c r="A17267" i="1"/>
  <c r="B17267" i="1"/>
  <c r="C17267" i="1"/>
  <c r="A4157" i="1"/>
  <c r="B4157" i="1"/>
  <c r="C4157" i="1"/>
  <c r="A11738" i="1"/>
  <c r="B11738" i="1"/>
  <c r="C11738" i="1"/>
  <c r="A19686" i="1"/>
  <c r="B19686" i="1"/>
  <c r="C19686" i="1"/>
  <c r="A1422" i="1"/>
  <c r="B1422" i="1"/>
  <c r="C1422" i="1"/>
  <c r="A17468" i="1"/>
  <c r="B17468" i="1"/>
  <c r="C17468" i="1"/>
  <c r="A17177" i="1"/>
  <c r="B17177" i="1"/>
  <c r="C17177" i="1"/>
  <c r="A12210" i="1"/>
  <c r="B12210" i="1"/>
  <c r="C12210" i="1"/>
  <c r="A22837" i="1"/>
  <c r="B22837" i="1"/>
  <c r="C22837" i="1"/>
  <c r="A8556" i="1"/>
  <c r="B8556" i="1"/>
  <c r="C8556" i="1"/>
  <c r="A8612" i="1"/>
  <c r="B8612" i="1"/>
  <c r="C8612" i="1"/>
  <c r="A8619" i="1"/>
  <c r="B8619" i="1"/>
  <c r="C8619" i="1"/>
  <c r="A23203" i="1"/>
  <c r="B23203" i="1"/>
  <c r="C23203" i="1"/>
  <c r="A22898" i="1"/>
  <c r="B22898" i="1"/>
  <c r="C22898" i="1"/>
  <c r="A22899" i="1"/>
  <c r="B22899" i="1"/>
  <c r="C22899" i="1"/>
  <c r="A22900" i="1"/>
  <c r="B22900" i="1"/>
  <c r="C22900" i="1"/>
  <c r="A22905" i="1"/>
  <c r="B22905" i="1"/>
  <c r="C22905" i="1"/>
  <c r="A13514" i="1"/>
  <c r="B13514" i="1"/>
  <c r="C13514" i="1"/>
  <c r="A3993" i="1"/>
  <c r="B3993" i="1"/>
  <c r="C3993" i="1"/>
  <c r="A6404" i="1"/>
  <c r="B6404" i="1"/>
  <c r="C6404" i="1"/>
  <c r="A16821" i="1"/>
  <c r="B16821" i="1"/>
  <c r="C16821" i="1"/>
  <c r="A20822" i="1"/>
  <c r="B20822" i="1"/>
  <c r="C20822" i="1"/>
  <c r="A16045" i="1"/>
  <c r="B16045" i="1"/>
  <c r="C16045" i="1"/>
  <c r="A24063" i="1"/>
  <c r="B24063" i="1"/>
  <c r="C24063" i="1"/>
  <c r="A24064" i="1"/>
  <c r="B24064" i="1"/>
  <c r="C24064" i="1"/>
  <c r="A7130" i="1"/>
  <c r="B7130" i="1"/>
  <c r="C7130" i="1"/>
  <c r="A7131" i="1"/>
  <c r="B7131" i="1"/>
  <c r="C7131" i="1"/>
  <c r="A19231" i="1"/>
  <c r="B19231" i="1"/>
  <c r="C19231" i="1"/>
  <c r="A2551" i="1"/>
  <c r="B2551" i="1"/>
  <c r="C2551" i="1"/>
  <c r="A4378" i="1"/>
  <c r="B4378" i="1"/>
  <c r="C4378" i="1"/>
  <c r="A4386" i="1"/>
  <c r="B4386" i="1"/>
  <c r="C4386" i="1"/>
  <c r="A13855" i="1"/>
  <c r="B13855" i="1"/>
  <c r="C13855" i="1"/>
  <c r="A7343" i="1"/>
  <c r="B7343" i="1"/>
  <c r="C7343" i="1"/>
  <c r="A25711" i="1"/>
  <c r="B25711" i="1"/>
  <c r="C25711" i="1"/>
  <c r="A24186" i="1"/>
  <c r="B24186" i="1"/>
  <c r="C24186" i="1"/>
  <c r="A24187" i="1"/>
  <c r="B24187" i="1"/>
  <c r="C24187" i="1"/>
  <c r="A13365" i="1"/>
  <c r="B13365" i="1"/>
  <c r="C13365" i="1"/>
  <c r="A16180" i="1"/>
  <c r="B16180" i="1"/>
  <c r="C16180" i="1"/>
  <c r="A8820" i="1"/>
  <c r="B8820" i="1"/>
  <c r="C8820" i="1"/>
  <c r="A16523" i="1"/>
  <c r="B16523" i="1"/>
  <c r="C16523" i="1"/>
  <c r="A12510" i="1"/>
  <c r="B12510" i="1"/>
  <c r="C12510" i="1"/>
  <c r="A12509" i="1"/>
  <c r="B12509" i="1"/>
  <c r="C12509" i="1"/>
  <c r="A15813" i="1"/>
  <c r="B15813" i="1"/>
  <c r="C15813" i="1"/>
  <c r="A15368" i="1"/>
  <c r="B15368" i="1"/>
  <c r="C15368" i="1"/>
  <c r="A11527" i="1"/>
  <c r="B11527" i="1"/>
  <c r="C11527" i="1"/>
  <c r="A16229" i="1"/>
  <c r="B16229" i="1"/>
  <c r="C16229" i="1"/>
  <c r="A10618" i="1"/>
  <c r="B10618" i="1"/>
  <c r="C10618" i="1"/>
  <c r="A5794" i="1"/>
  <c r="B5794" i="1"/>
  <c r="C5794" i="1"/>
  <c r="A5793" i="1"/>
  <c r="B5793" i="1"/>
  <c r="C5793" i="1"/>
  <c r="A22174" i="1"/>
  <c r="B22174" i="1"/>
  <c r="C22174" i="1"/>
  <c r="A5781" i="1"/>
  <c r="B5781" i="1"/>
  <c r="C5781" i="1"/>
  <c r="A5712" i="1"/>
  <c r="B5712" i="1"/>
  <c r="C5712" i="1"/>
  <c r="A11494" i="1"/>
  <c r="B11494" i="1"/>
  <c r="C11494" i="1"/>
  <c r="A25155" i="1"/>
  <c r="C25155" i="1"/>
  <c r="A25215" i="1"/>
  <c r="B25215" i="1"/>
  <c r="C25215" i="1"/>
  <c r="A5238" i="1"/>
  <c r="B5238" i="1"/>
  <c r="C5238" i="1"/>
  <c r="A15852" i="1"/>
  <c r="B15852" i="1"/>
  <c r="C15852" i="1"/>
  <c r="A19781" i="1"/>
  <c r="B19781" i="1"/>
  <c r="C19781" i="1"/>
  <c r="A22744" i="1"/>
  <c r="B22744" i="1"/>
  <c r="C22744" i="1"/>
  <c r="A3720" i="1"/>
  <c r="B3720" i="1"/>
  <c r="C3720" i="1"/>
  <c r="A3715" i="1"/>
  <c r="B3715" i="1"/>
  <c r="C3715" i="1"/>
  <c r="A3725" i="1"/>
  <c r="B3725" i="1"/>
  <c r="C3725" i="1"/>
  <c r="A3730" i="1"/>
  <c r="B3730" i="1"/>
  <c r="C3730" i="1"/>
  <c r="A22727" i="1"/>
  <c r="B22727" i="1"/>
  <c r="C22727" i="1"/>
  <c r="A4753" i="1"/>
  <c r="B4753" i="1"/>
  <c r="C4753" i="1"/>
  <c r="A3713" i="1"/>
  <c r="B3713" i="1"/>
  <c r="C3713" i="1"/>
  <c r="A3712" i="1"/>
  <c r="B3712" i="1"/>
  <c r="C3712" i="1"/>
  <c r="A11540" i="1"/>
  <c r="B11540" i="1"/>
  <c r="C11540" i="1"/>
  <c r="A7108" i="1"/>
  <c r="B7108" i="1"/>
  <c r="C7108" i="1"/>
  <c r="A8886" i="1"/>
  <c r="B8886" i="1"/>
  <c r="C8886" i="1"/>
  <c r="A19819" i="1"/>
  <c r="B19819" i="1"/>
  <c r="C19819" i="1"/>
  <c r="A23758" i="1"/>
  <c r="B23758" i="1"/>
  <c r="C23758" i="1"/>
  <c r="A5435" i="1"/>
  <c r="B5435" i="1"/>
  <c r="C5435" i="1"/>
  <c r="A19806" i="1"/>
  <c r="B19806" i="1"/>
  <c r="C19806" i="1"/>
  <c r="A18774" i="1"/>
  <c r="B18774" i="1"/>
  <c r="C18774" i="1"/>
  <c r="A2932" i="1"/>
  <c r="B2932" i="1"/>
  <c r="C2932" i="1"/>
  <c r="A16869" i="1"/>
  <c r="B16869" i="1"/>
  <c r="C16869" i="1"/>
  <c r="A22224" i="1"/>
  <c r="B22224" i="1"/>
  <c r="C22224" i="1"/>
  <c r="A10372" i="1"/>
  <c r="B10372" i="1"/>
  <c r="C10372" i="1"/>
  <c r="A10373" i="1"/>
  <c r="B10373" i="1"/>
  <c r="C10373" i="1"/>
  <c r="A10374" i="1"/>
  <c r="B10374" i="1"/>
  <c r="C10374" i="1"/>
  <c r="A10375" i="1"/>
  <c r="B10375" i="1"/>
  <c r="C10375" i="1"/>
  <c r="A5878" i="1"/>
  <c r="B5878" i="1"/>
  <c r="C5878" i="1"/>
  <c r="A25082" i="1"/>
  <c r="C25082" i="1"/>
  <c r="A1409" i="1"/>
  <c r="C1409" i="1"/>
  <c r="A18960" i="1"/>
  <c r="C18960" i="1"/>
  <c r="A9734" i="1"/>
  <c r="B9734" i="1"/>
  <c r="C9734" i="1"/>
  <c r="A9733" i="1"/>
  <c r="B9733" i="1"/>
  <c r="C9733" i="1"/>
  <c r="A11535" i="1"/>
  <c r="B11535" i="1"/>
  <c r="C11535" i="1"/>
  <c r="A19556" i="1"/>
  <c r="B19556" i="1"/>
  <c r="C19556" i="1"/>
  <c r="A19555" i="1"/>
  <c r="B19555" i="1"/>
  <c r="C19555" i="1"/>
  <c r="A619" i="1"/>
  <c r="B619" i="1"/>
  <c r="C619" i="1"/>
  <c r="A24613" i="1"/>
  <c r="B24613" i="1"/>
  <c r="C24613" i="1"/>
  <c r="A15327" i="1"/>
  <c r="B15327" i="1"/>
  <c r="C15327" i="1"/>
  <c r="A5874" i="1"/>
  <c r="B5874" i="1"/>
  <c r="C5874" i="1"/>
  <c r="A24500" i="1"/>
  <c r="B24500" i="1"/>
  <c r="C24500" i="1"/>
  <c r="A24507" i="1"/>
  <c r="B24507" i="1"/>
  <c r="C24507" i="1"/>
  <c r="A16287" i="1"/>
  <c r="B16287" i="1"/>
  <c r="C16287" i="1"/>
  <c r="A16271" i="1"/>
  <c r="C16271" i="1"/>
  <c r="A2904" i="1"/>
  <c r="B2904" i="1"/>
  <c r="C2904" i="1"/>
  <c r="A11612" i="1"/>
  <c r="B11612" i="1"/>
  <c r="C11612" i="1"/>
  <c r="A24496" i="1"/>
  <c r="B24496" i="1"/>
  <c r="C24496" i="1"/>
  <c r="A13725" i="1"/>
  <c r="B13725" i="1"/>
  <c r="C13725" i="1"/>
  <c r="A594" i="1"/>
  <c r="B594" i="1"/>
  <c r="C594" i="1"/>
  <c r="A17023" i="1"/>
  <c r="B17023" i="1"/>
  <c r="C17023" i="1"/>
  <c r="A5854" i="1"/>
  <c r="B5854" i="1"/>
  <c r="C5854" i="1"/>
  <c r="A18857" i="1"/>
  <c r="B18857" i="1"/>
  <c r="C18857" i="1"/>
  <c r="A24213" i="1"/>
  <c r="B24213" i="1"/>
  <c r="C24213" i="1"/>
  <c r="A4049" i="1"/>
  <c r="B4049" i="1"/>
  <c r="C4049" i="1"/>
  <c r="A4048" i="1"/>
  <c r="B4048" i="1"/>
  <c r="C4048" i="1"/>
  <c r="A23609" i="1"/>
  <c r="B23609" i="1"/>
  <c r="C23609" i="1"/>
  <c r="A24887" i="1"/>
  <c r="B24887" i="1"/>
  <c r="C24887" i="1"/>
  <c r="A8550" i="1"/>
  <c r="B8550" i="1"/>
  <c r="C8550" i="1"/>
  <c r="A24882" i="1"/>
  <c r="B24882" i="1"/>
  <c r="C24882" i="1"/>
  <c r="A1491" i="1"/>
  <c r="B1491" i="1"/>
  <c r="C1491" i="1"/>
  <c r="A3508" i="1"/>
  <c r="B3508" i="1"/>
  <c r="C3508" i="1"/>
  <c r="A20231" i="1"/>
  <c r="B20231" i="1"/>
  <c r="C20231" i="1"/>
  <c r="A5700" i="1"/>
  <c r="B5700" i="1"/>
  <c r="C5700" i="1"/>
  <c r="A10160" i="1"/>
  <c r="B10160" i="1"/>
  <c r="C10160" i="1"/>
  <c r="A10186" i="1"/>
  <c r="B10186" i="1"/>
  <c r="C10186" i="1"/>
  <c r="A10187" i="1"/>
  <c r="B10187" i="1"/>
  <c r="C10187" i="1"/>
  <c r="A18017" i="1"/>
  <c r="B18017" i="1"/>
  <c r="C18017" i="1"/>
  <c r="A7120" i="1"/>
  <c r="B7120" i="1"/>
  <c r="C7120" i="1"/>
  <c r="A13843" i="1"/>
  <c r="B13843" i="1"/>
  <c r="C13843" i="1"/>
  <c r="A6713" i="1"/>
  <c r="B6713" i="1"/>
  <c r="C6713" i="1"/>
  <c r="A4215" i="1"/>
  <c r="B4215" i="1"/>
  <c r="C4215" i="1"/>
  <c r="A16779" i="1"/>
  <c r="B16779" i="1"/>
  <c r="C16779" i="1"/>
  <c r="A6079" i="1"/>
  <c r="B6079" i="1"/>
  <c r="C6079" i="1"/>
  <c r="A11934" i="1"/>
  <c r="C11934" i="1"/>
  <c r="A4686" i="1"/>
  <c r="B4686" i="1"/>
  <c r="C4686" i="1"/>
  <c r="A6458" i="1"/>
  <c r="B6458" i="1"/>
  <c r="C6458" i="1"/>
  <c r="A11786" i="1"/>
  <c r="B11786" i="1"/>
  <c r="C11786" i="1"/>
  <c r="A16368" i="1"/>
  <c r="B16368" i="1"/>
  <c r="C16368" i="1"/>
  <c r="A21387" i="1"/>
  <c r="B21387" i="1"/>
  <c r="C21387" i="1"/>
  <c r="A21391" i="1"/>
  <c r="B21391" i="1"/>
  <c r="C21391" i="1"/>
  <c r="A11638" i="1"/>
  <c r="B11638" i="1"/>
  <c r="C11638" i="1"/>
  <c r="A11765" i="1"/>
  <c r="B11765" i="1"/>
  <c r="C11765" i="1"/>
  <c r="A25717" i="1"/>
  <c r="B25717" i="1"/>
  <c r="C25717" i="1"/>
  <c r="A1294" i="1"/>
  <c r="B1294" i="1"/>
  <c r="C1294" i="1"/>
  <c r="A16429" i="1"/>
  <c r="B16429" i="1"/>
  <c r="C16429" i="1"/>
  <c r="A2498" i="1"/>
  <c r="B2498" i="1"/>
  <c r="C2498" i="1"/>
  <c r="A633" i="1"/>
  <c r="B633" i="1"/>
  <c r="C633" i="1"/>
  <c r="A13979" i="1"/>
  <c r="B13979" i="1"/>
  <c r="C13979" i="1"/>
  <c r="A24501" i="1"/>
  <c r="B24501" i="1"/>
  <c r="C24501" i="1"/>
  <c r="A13505" i="1"/>
  <c r="B13505" i="1"/>
  <c r="C13505" i="1"/>
  <c r="A6549" i="1"/>
  <c r="C6549" i="1"/>
  <c r="A6484" i="1"/>
  <c r="C6484" i="1"/>
  <c r="A6867" i="1"/>
  <c r="B6867" i="1"/>
  <c r="C6867" i="1"/>
  <c r="A25596" i="1"/>
  <c r="B25596" i="1"/>
  <c r="C25596" i="1"/>
  <c r="A1931" i="1"/>
  <c r="B1931" i="1"/>
  <c r="C1931" i="1"/>
  <c r="A17643" i="1"/>
  <c r="B17643" i="1"/>
  <c r="C17643" i="1"/>
  <c r="A1334" i="1"/>
  <c r="B1334" i="1"/>
  <c r="C1334" i="1"/>
  <c r="A25369" i="1"/>
  <c r="B25369" i="1"/>
  <c r="C25369" i="1"/>
  <c r="A6125" i="1"/>
  <c r="B6125" i="1"/>
  <c r="C6125" i="1"/>
  <c r="A8555" i="1"/>
  <c r="B8555" i="1"/>
  <c r="C8555" i="1"/>
  <c r="A15056" i="1"/>
  <c r="B15056" i="1"/>
  <c r="C15056" i="1"/>
  <c r="A15059" i="1"/>
  <c r="B15059" i="1"/>
  <c r="C15059" i="1"/>
  <c r="A15052" i="1"/>
  <c r="B15052" i="1"/>
  <c r="C15052" i="1"/>
  <c r="A15054" i="1"/>
  <c r="B15054" i="1"/>
  <c r="C15054" i="1"/>
  <c r="A15055" i="1"/>
  <c r="B15055" i="1"/>
  <c r="C15055" i="1"/>
  <c r="A15058" i="1"/>
  <c r="B15058" i="1"/>
  <c r="C15058" i="1"/>
  <c r="A15057" i="1"/>
  <c r="B15057" i="1"/>
  <c r="C15057" i="1"/>
  <c r="A15051" i="1"/>
  <c r="B15051" i="1"/>
  <c r="C15051" i="1"/>
  <c r="A15053" i="1"/>
  <c r="B15053" i="1"/>
  <c r="C15053" i="1"/>
  <c r="A15060" i="1"/>
  <c r="B15060" i="1"/>
  <c r="C15060" i="1"/>
  <c r="A6303" i="1"/>
  <c r="B6303" i="1"/>
  <c r="C6303" i="1"/>
  <c r="A6302" i="1"/>
  <c r="B6302" i="1"/>
  <c r="C6302" i="1"/>
  <c r="A15211" i="1"/>
  <c r="B15211" i="1"/>
  <c r="C15211" i="1"/>
  <c r="A1290" i="1"/>
  <c r="B1290" i="1"/>
  <c r="C1290" i="1"/>
  <c r="A4950" i="1"/>
  <c r="B4950" i="1"/>
  <c r="C4950" i="1"/>
  <c r="A4951" i="1"/>
  <c r="B4951" i="1"/>
  <c r="C4951" i="1"/>
  <c r="A4651" i="1"/>
  <c r="B4651" i="1"/>
  <c r="C4651" i="1"/>
  <c r="A4650" i="1"/>
  <c r="B4650" i="1"/>
  <c r="C4650" i="1"/>
  <c r="A23339" i="1"/>
  <c r="B23339" i="1"/>
  <c r="C23339" i="1"/>
  <c r="A25670" i="1"/>
  <c r="B25670" i="1"/>
  <c r="C25670" i="1"/>
  <c r="A1720" i="1"/>
  <c r="B1720" i="1"/>
  <c r="C1720" i="1"/>
  <c r="A4308" i="1"/>
  <c r="B4308" i="1"/>
  <c r="C4308" i="1"/>
  <c r="A14231" i="1"/>
  <c r="B14231" i="1"/>
  <c r="C14231" i="1"/>
  <c r="A6872" i="1"/>
  <c r="B6872" i="1"/>
  <c r="C6872" i="1"/>
  <c r="A1643" i="1"/>
  <c r="B1643" i="1"/>
  <c r="C1643" i="1"/>
  <c r="A5621" i="1"/>
  <c r="B5621" i="1"/>
  <c r="C5621" i="1"/>
  <c r="A6633" i="1"/>
  <c r="B6633" i="1"/>
  <c r="C6633" i="1"/>
  <c r="A23117" i="1"/>
  <c r="B23117" i="1"/>
  <c r="C23117" i="1"/>
  <c r="A20651" i="1"/>
  <c r="B20651" i="1"/>
  <c r="C20651" i="1"/>
  <c r="A17745" i="1"/>
  <c r="B17745" i="1"/>
  <c r="C17745" i="1"/>
  <c r="A3734" i="1"/>
  <c r="B3734" i="1"/>
  <c r="C3734" i="1"/>
  <c r="A22741" i="1"/>
  <c r="B22741" i="1"/>
  <c r="C22741" i="1"/>
  <c r="A3757" i="1"/>
  <c r="B3757" i="1"/>
  <c r="C3757" i="1"/>
  <c r="A3765" i="1"/>
  <c r="B3765" i="1"/>
  <c r="C3765" i="1"/>
  <c r="A3747" i="1"/>
  <c r="B3747" i="1"/>
  <c r="C3747" i="1"/>
  <c r="A72" i="1"/>
  <c r="B72" i="1"/>
  <c r="C72" i="1"/>
  <c r="A3896" i="1"/>
  <c r="B3896" i="1"/>
  <c r="C3896" i="1"/>
  <c r="A24864" i="1"/>
  <c r="B24864" i="1"/>
  <c r="C24864" i="1"/>
  <c r="A1645" i="1"/>
  <c r="B1645" i="1"/>
  <c r="C1645" i="1"/>
  <c r="A11737" i="1"/>
  <c r="B11737" i="1"/>
  <c r="C11737" i="1"/>
  <c r="A432" i="1"/>
  <c r="B432" i="1"/>
  <c r="C432" i="1"/>
  <c r="A14181" i="1"/>
  <c r="B14181" i="1"/>
  <c r="C14181" i="1"/>
  <c r="A6483" i="1"/>
  <c r="B6483" i="1"/>
  <c r="C6483" i="1"/>
  <c r="A1467" i="1"/>
  <c r="B1467" i="1"/>
  <c r="C1467" i="1"/>
  <c r="A9721" i="1"/>
  <c r="B9721" i="1"/>
  <c r="C9721" i="1"/>
  <c r="A4359" i="1"/>
  <c r="B4359" i="1"/>
  <c r="C4359" i="1"/>
  <c r="A1414" i="1"/>
  <c r="B1414" i="1"/>
  <c r="C1414" i="1"/>
  <c r="A5248" i="1"/>
  <c r="B5248" i="1"/>
  <c r="C5248" i="1"/>
  <c r="A20206" i="1"/>
  <c r="C20206" i="1"/>
  <c r="A14372" i="1"/>
  <c r="C14372" i="1"/>
  <c r="A14373" i="1"/>
  <c r="C14373" i="1"/>
  <c r="A21932" i="1"/>
  <c r="C21932" i="1"/>
  <c r="A23393" i="1"/>
  <c r="B23393" i="1"/>
  <c r="C23393" i="1"/>
  <c r="A23394" i="1"/>
  <c r="B23394" i="1"/>
  <c r="C23394" i="1"/>
  <c r="A654" i="1"/>
  <c r="B654" i="1"/>
  <c r="C654" i="1"/>
  <c r="A14807" i="1"/>
  <c r="B14807" i="1"/>
  <c r="C14807" i="1"/>
  <c r="A13475" i="1"/>
  <c r="B13475" i="1"/>
  <c r="C13475" i="1"/>
  <c r="A14802" i="1"/>
  <c r="B14802" i="1"/>
  <c r="C14802" i="1"/>
  <c r="A291" i="1"/>
  <c r="B291" i="1"/>
  <c r="C291" i="1"/>
  <c r="A14366" i="1"/>
  <c r="B14366" i="1"/>
  <c r="C14366" i="1"/>
  <c r="A13908" i="1"/>
  <c r="C13908" i="1"/>
  <c r="A13909" i="1"/>
  <c r="C13909" i="1"/>
  <c r="A15959" i="1"/>
  <c r="B15959" i="1"/>
  <c r="C15959" i="1"/>
  <c r="A15958" i="1"/>
  <c r="B15958" i="1"/>
  <c r="C15958" i="1"/>
  <c r="A15935" i="1"/>
  <c r="B15935" i="1"/>
  <c r="C15935" i="1"/>
  <c r="A12721" i="1"/>
  <c r="B12721" i="1"/>
  <c r="C12721" i="1"/>
  <c r="A18191" i="1"/>
  <c r="B18191" i="1"/>
  <c r="C18191" i="1"/>
  <c r="A18190" i="1"/>
  <c r="B18190" i="1"/>
  <c r="C18190" i="1"/>
  <c r="A8844" i="1"/>
  <c r="C8844" i="1"/>
  <c r="A6509" i="1"/>
  <c r="C6509" i="1"/>
  <c r="A25209" i="1"/>
  <c r="C25209" i="1"/>
  <c r="A722" i="1"/>
  <c r="C722" i="1"/>
  <c r="A20026" i="1"/>
  <c r="B20026" i="1"/>
  <c r="C20026" i="1"/>
  <c r="A15892" i="1"/>
  <c r="B15892" i="1"/>
  <c r="C15892" i="1"/>
  <c r="A20649" i="1"/>
  <c r="B20649" i="1"/>
  <c r="C20649" i="1"/>
  <c r="A6306" i="1"/>
  <c r="B6306" i="1"/>
  <c r="C6306" i="1"/>
  <c r="A11529" i="1"/>
  <c r="B11529" i="1"/>
  <c r="C11529" i="1"/>
  <c r="A14683" i="1"/>
  <c r="B14683" i="1"/>
  <c r="C14683" i="1"/>
  <c r="A1696" i="1"/>
  <c r="B1696" i="1"/>
  <c r="C1696" i="1"/>
  <c r="A10484" i="1"/>
  <c r="B10484" i="1"/>
  <c r="C10484" i="1"/>
  <c r="A394" i="1"/>
  <c r="B394" i="1"/>
  <c r="C394" i="1"/>
  <c r="A3934" i="1"/>
  <c r="B3934" i="1"/>
  <c r="C3934" i="1"/>
  <c r="A10082" i="1"/>
  <c r="B10082" i="1"/>
  <c r="C10082" i="1"/>
  <c r="A6849" i="1"/>
  <c r="B6849" i="1"/>
  <c r="C6849" i="1"/>
  <c r="A4755" i="1"/>
  <c r="B4755" i="1"/>
  <c r="C4755" i="1"/>
  <c r="A3743" i="1"/>
  <c r="B3743" i="1"/>
  <c r="C3743" i="1"/>
  <c r="A3729" i="1"/>
  <c r="B3729" i="1"/>
  <c r="C3729" i="1"/>
  <c r="A3744" i="1"/>
  <c r="B3744" i="1"/>
  <c r="C3744" i="1"/>
  <c r="A3088" i="1"/>
  <c r="B3088" i="1"/>
  <c r="C3088" i="1"/>
  <c r="A8903" i="1"/>
  <c r="B8903" i="1"/>
  <c r="C8903" i="1"/>
  <c r="A15659" i="1"/>
  <c r="B15659" i="1"/>
  <c r="C15659" i="1"/>
  <c r="A5999" i="1"/>
  <c r="B5999" i="1"/>
  <c r="C5999" i="1"/>
  <c r="A8970" i="1"/>
  <c r="B8970" i="1"/>
  <c r="C8970" i="1"/>
  <c r="A2962" i="1"/>
  <c r="B2962" i="1"/>
  <c r="C2962" i="1"/>
  <c r="A3218" i="1"/>
  <c r="B3218" i="1"/>
  <c r="C3218" i="1"/>
  <c r="A5535" i="1"/>
  <c r="C5535" i="1"/>
  <c r="A18779" i="1"/>
  <c r="B18779" i="1"/>
  <c r="C18779" i="1"/>
  <c r="A7929" i="1"/>
  <c r="B7929" i="1"/>
  <c r="C7929" i="1"/>
  <c r="A5447" i="1"/>
  <c r="B5447" i="1"/>
  <c r="C5447" i="1"/>
  <c r="A23813" i="1"/>
  <c r="B23813" i="1"/>
  <c r="C23813" i="1"/>
  <c r="A25123" i="1"/>
  <c r="B25123" i="1"/>
  <c r="C25123" i="1"/>
  <c r="A25212" i="1"/>
  <c r="B25212" i="1"/>
  <c r="C25212" i="1"/>
  <c r="A11502" i="1"/>
  <c r="B11502" i="1"/>
  <c r="C11502" i="1"/>
  <c r="A19970" i="1"/>
  <c r="B19970" i="1"/>
  <c r="C19970" i="1"/>
  <c r="A18348" i="1"/>
  <c r="B18348" i="1"/>
  <c r="C18348" i="1"/>
  <c r="A10723" i="1"/>
  <c r="B10723" i="1"/>
  <c r="C10723" i="1"/>
  <c r="A25738" i="1"/>
  <c r="B25738" i="1"/>
  <c r="C25738" i="1"/>
  <c r="A4839" i="1"/>
  <c r="B4839" i="1"/>
  <c r="C4839" i="1"/>
  <c r="A3880" i="1"/>
  <c r="C3880" i="1"/>
  <c r="A12539" i="1"/>
  <c r="C12539" i="1"/>
  <c r="A13726" i="1"/>
  <c r="B13726" i="1"/>
  <c r="C13726" i="1"/>
  <c r="A4095" i="1"/>
  <c r="B4095" i="1"/>
  <c r="C4095" i="1"/>
  <c r="A305" i="1"/>
  <c r="B305" i="1"/>
  <c r="C305" i="1"/>
  <c r="A5449" i="1"/>
  <c r="B5449" i="1"/>
  <c r="C5449" i="1"/>
  <c r="A16630" i="1"/>
  <c r="B16630" i="1"/>
  <c r="C16630" i="1"/>
  <c r="A17960" i="1"/>
  <c r="B17960" i="1"/>
  <c r="C17960" i="1"/>
  <c r="A17554" i="1"/>
  <c r="B17554" i="1"/>
  <c r="C17554" i="1"/>
  <c r="A1742" i="1"/>
  <c r="B1742" i="1"/>
  <c r="C1742" i="1"/>
  <c r="A5676" i="1"/>
  <c r="C5676" i="1"/>
  <c r="A9497" i="1"/>
  <c r="B9497" i="1"/>
  <c r="C9497" i="1"/>
  <c r="A16369" i="1"/>
  <c r="B16369" i="1"/>
  <c r="C16369" i="1"/>
  <c r="A7382" i="1"/>
  <c r="B7382" i="1"/>
  <c r="C7382" i="1"/>
  <c r="A2837" i="1"/>
  <c r="B2837" i="1"/>
  <c r="C2837" i="1"/>
  <c r="A7996" i="1"/>
  <c r="B7996" i="1"/>
  <c r="C7996" i="1"/>
  <c r="A12668" i="1"/>
  <c r="B12668" i="1"/>
  <c r="C12668" i="1"/>
  <c r="A17563" i="1"/>
  <c r="B17563" i="1"/>
  <c r="C17563" i="1"/>
  <c r="A15332" i="1"/>
  <c r="B15332" i="1"/>
  <c r="C15332" i="1"/>
  <c r="A3612" i="1"/>
  <c r="B3612" i="1"/>
  <c r="C3612" i="1"/>
  <c r="A20455" i="1"/>
  <c r="B20455" i="1"/>
  <c r="C20455" i="1"/>
  <c r="A20801" i="1"/>
  <c r="B20801" i="1"/>
  <c r="C20801" i="1"/>
  <c r="A968" i="1"/>
  <c r="C968" i="1"/>
  <c r="A967" i="1"/>
  <c r="C967" i="1"/>
  <c r="A8399" i="1"/>
  <c r="B8399" i="1"/>
  <c r="C8399" i="1"/>
  <c r="A22827" i="1"/>
  <c r="B22827" i="1"/>
  <c r="C22827" i="1"/>
  <c r="A4372" i="1"/>
  <c r="B4372" i="1"/>
  <c r="C4372" i="1"/>
  <c r="A12718" i="1"/>
  <c r="B12718" i="1"/>
  <c r="C12718" i="1"/>
  <c r="A12720" i="1"/>
  <c r="B12720" i="1"/>
  <c r="C12720" i="1"/>
  <c r="A2591" i="1"/>
  <c r="B2591" i="1"/>
  <c r="C2591" i="1"/>
  <c r="A24080" i="1"/>
  <c r="B24080" i="1"/>
  <c r="C24080" i="1"/>
  <c r="A1922" i="1"/>
  <c r="B1922" i="1"/>
  <c r="C1922" i="1"/>
  <c r="A17187" i="1"/>
  <c r="B17187" i="1"/>
  <c r="C17187" i="1"/>
  <c r="A14170" i="1"/>
  <c r="B14170" i="1"/>
  <c r="C14170" i="1"/>
  <c r="A6099" i="1"/>
  <c r="B6099" i="1"/>
  <c r="C6099" i="1"/>
  <c r="A5804" i="1"/>
  <c r="B5804" i="1"/>
  <c r="C5804" i="1"/>
  <c r="A13557" i="1"/>
  <c r="C13557" i="1"/>
  <c r="A12333" i="1"/>
  <c r="C12333" i="1"/>
  <c r="A16527" i="1"/>
  <c r="C16527" i="1"/>
  <c r="A8215" i="1"/>
  <c r="C8215" i="1"/>
  <c r="A727" i="1"/>
  <c r="C727" i="1"/>
  <c r="A8182" i="1"/>
  <c r="B8182" i="1"/>
  <c r="C8182" i="1"/>
  <c r="A1884" i="1"/>
  <c r="B1884" i="1"/>
  <c r="C1884" i="1"/>
  <c r="A1883" i="1"/>
  <c r="B1883" i="1"/>
  <c r="C1883" i="1"/>
  <c r="A17859" i="1"/>
  <c r="B17859" i="1"/>
  <c r="C17859" i="1"/>
  <c r="A3598" i="1"/>
  <c r="B3598" i="1"/>
  <c r="C3598" i="1"/>
  <c r="A20493" i="1"/>
  <c r="B20493" i="1"/>
  <c r="C20493" i="1"/>
  <c r="A1508" i="1"/>
  <c r="B1508" i="1"/>
  <c r="C1508" i="1"/>
  <c r="A20758" i="1"/>
  <c r="B20758" i="1"/>
  <c r="C20758" i="1"/>
  <c r="A20759" i="1"/>
  <c r="B20759" i="1"/>
  <c r="C20759" i="1"/>
  <c r="A17793" i="1"/>
  <c r="B17793" i="1"/>
  <c r="C17793" i="1"/>
  <c r="A4687" i="1"/>
  <c r="B4687" i="1"/>
  <c r="C4687" i="1"/>
  <c r="A19141" i="1"/>
  <c r="B19141" i="1"/>
  <c r="C19141" i="1"/>
  <c r="A17792" i="1"/>
  <c r="B17792" i="1"/>
  <c r="C17792" i="1"/>
  <c r="A22711" i="1"/>
  <c r="B22711" i="1"/>
  <c r="C22711" i="1"/>
  <c r="A1965" i="1"/>
  <c r="B1965" i="1"/>
  <c r="C1965" i="1"/>
  <c r="A7908" i="1"/>
  <c r="B7908" i="1"/>
  <c r="C7908" i="1"/>
  <c r="A13350" i="1"/>
  <c r="B13350" i="1"/>
  <c r="C13350" i="1"/>
  <c r="A1946" i="1"/>
  <c r="B1946" i="1"/>
  <c r="C1946" i="1"/>
  <c r="A1944" i="1"/>
  <c r="B1944" i="1"/>
  <c r="C1944" i="1"/>
  <c r="A1945" i="1"/>
  <c r="B1945" i="1"/>
  <c r="C1945" i="1"/>
  <c r="A1942" i="1"/>
  <c r="B1942" i="1"/>
  <c r="C1942" i="1"/>
  <c r="A1943" i="1"/>
  <c r="B1943" i="1"/>
  <c r="C1943" i="1"/>
  <c r="A1364" i="1"/>
  <c r="B1364" i="1"/>
  <c r="C1364" i="1"/>
  <c r="A1362" i="1"/>
  <c r="B1362" i="1"/>
  <c r="C1362" i="1"/>
  <c r="A22748" i="1"/>
  <c r="B22748" i="1"/>
  <c r="C22748" i="1"/>
  <c r="A4302" i="1"/>
  <c r="B4302" i="1"/>
  <c r="C4302" i="1"/>
  <c r="A12199" i="1"/>
  <c r="B12199" i="1"/>
  <c r="C12199" i="1"/>
  <c r="A5930" i="1"/>
  <c r="B5930" i="1"/>
  <c r="C5930" i="1"/>
  <c r="A3705" i="1"/>
  <c r="B3705" i="1"/>
  <c r="C3705" i="1"/>
  <c r="A19384" i="1"/>
  <c r="B19384" i="1"/>
  <c r="C19384" i="1"/>
  <c r="A3929" i="1"/>
  <c r="B3929" i="1"/>
  <c r="C3929" i="1"/>
  <c r="A2780" i="1"/>
  <c r="B2780" i="1"/>
  <c r="C2780" i="1"/>
  <c r="A20742" i="1"/>
  <c r="B20742" i="1"/>
  <c r="C20742" i="1"/>
  <c r="A16892" i="1"/>
  <c r="B16892" i="1"/>
  <c r="C16892" i="1"/>
  <c r="A5293" i="1"/>
  <c r="B5293" i="1"/>
  <c r="C5293" i="1"/>
  <c r="A18913" i="1"/>
  <c r="B18913" i="1"/>
  <c r="C18913" i="1"/>
  <c r="A18912" i="1"/>
  <c r="B18912" i="1"/>
  <c r="C18912" i="1"/>
  <c r="A15869" i="1"/>
  <c r="B15869" i="1"/>
  <c r="C15869" i="1"/>
  <c r="A25578" i="1"/>
  <c r="B25578" i="1"/>
  <c r="C25578" i="1"/>
  <c r="A25601" i="1"/>
  <c r="B25601" i="1"/>
  <c r="C25601" i="1"/>
  <c r="A10455" i="1"/>
  <c r="B10455" i="1"/>
  <c r="C10455" i="1"/>
  <c r="A23379" i="1"/>
  <c r="B23379" i="1"/>
  <c r="C23379" i="1"/>
  <c r="A11718" i="1"/>
  <c r="B11718" i="1"/>
  <c r="C11718" i="1"/>
  <c r="A10674" i="1"/>
  <c r="B10674" i="1"/>
  <c r="C10674" i="1"/>
  <c r="A17503" i="1"/>
  <c r="B17503" i="1"/>
  <c r="C17503" i="1"/>
  <c r="A16840" i="1"/>
  <c r="B16840" i="1"/>
  <c r="C16840" i="1"/>
  <c r="A18910" i="1"/>
  <c r="B18910" i="1"/>
  <c r="C18910" i="1"/>
  <c r="A2853" i="1"/>
  <c r="B2853" i="1"/>
  <c r="C2853" i="1"/>
  <c r="A580" i="1"/>
  <c r="B580" i="1"/>
  <c r="C580" i="1"/>
  <c r="A12137" i="1"/>
  <c r="B12137" i="1"/>
  <c r="C12137" i="1"/>
  <c r="A24137" i="1"/>
  <c r="B24137" i="1"/>
  <c r="C24137" i="1"/>
  <c r="A14877" i="1"/>
  <c r="B14877" i="1"/>
  <c r="C14877" i="1"/>
  <c r="A22758" i="1"/>
  <c r="B22758" i="1"/>
  <c r="C22758" i="1"/>
  <c r="A19744" i="1"/>
  <c r="B19744" i="1"/>
  <c r="C19744" i="1"/>
  <c r="A1313" i="1"/>
  <c r="B1313" i="1"/>
  <c r="C1313" i="1"/>
  <c r="A3487" i="1"/>
  <c r="B3487" i="1"/>
  <c r="C3487" i="1"/>
  <c r="A8752" i="1"/>
  <c r="B8752" i="1"/>
  <c r="C8752" i="1"/>
  <c r="A23135" i="1"/>
  <c r="B23135" i="1"/>
  <c r="C23135" i="1"/>
  <c r="A3350" i="1"/>
  <c r="B3350" i="1"/>
  <c r="C3350" i="1"/>
  <c r="A25674" i="1"/>
  <c r="B25674" i="1"/>
  <c r="C25674" i="1"/>
  <c r="A149" i="1"/>
  <c r="B149" i="1"/>
  <c r="C149" i="1"/>
  <c r="A148" i="1"/>
  <c r="B148" i="1"/>
  <c r="C148" i="1"/>
  <c r="A12229" i="1"/>
  <c r="B12229" i="1"/>
  <c r="C12229" i="1"/>
  <c r="A11605" i="1"/>
  <c r="B11605" i="1"/>
  <c r="C11605" i="1"/>
  <c r="A25744" i="1"/>
  <c r="B25744" i="1"/>
  <c r="C25744" i="1"/>
  <c r="A21583" i="1"/>
  <c r="B21583" i="1"/>
  <c r="C21583" i="1"/>
  <c r="A9205" i="1"/>
  <c r="B9205" i="1"/>
  <c r="C9205" i="1"/>
  <c r="A9199" i="1"/>
  <c r="B9199" i="1"/>
  <c r="C9199" i="1"/>
  <c r="A15670" i="1"/>
  <c r="B15670" i="1"/>
  <c r="C15670" i="1"/>
  <c r="A10642" i="1"/>
  <c r="B10642" i="1"/>
  <c r="C10642" i="1"/>
  <c r="A3850" i="1"/>
  <c r="B3850" i="1"/>
  <c r="C3850" i="1"/>
  <c r="A3851" i="1"/>
  <c r="B3851" i="1"/>
  <c r="C3851" i="1"/>
  <c r="A3849" i="1"/>
  <c r="B3849" i="1"/>
  <c r="C3849" i="1"/>
  <c r="A3821" i="1"/>
  <c r="B3821" i="1"/>
  <c r="C3821" i="1"/>
  <c r="A3820" i="1"/>
  <c r="B3820" i="1"/>
  <c r="C3820" i="1"/>
  <c r="A9956" i="1"/>
  <c r="C9956" i="1"/>
  <c r="A10433" i="1"/>
  <c r="C10433" i="1"/>
  <c r="A10432" i="1"/>
  <c r="C10432" i="1"/>
  <c r="A14125" i="1"/>
  <c r="B14125" i="1"/>
  <c r="C14125" i="1"/>
  <c r="A25073" i="1"/>
  <c r="B25073" i="1"/>
  <c r="C25073" i="1"/>
  <c r="A14124" i="1"/>
  <c r="B14124" i="1"/>
  <c r="C14124" i="1"/>
  <c r="A18291" i="1"/>
  <c r="B18291" i="1"/>
  <c r="C18291" i="1"/>
  <c r="A7461" i="1"/>
  <c r="B7461" i="1"/>
  <c r="C7461" i="1"/>
  <c r="A19442" i="1"/>
  <c r="B19442" i="1"/>
  <c r="C19442" i="1"/>
  <c r="A19448" i="1"/>
  <c r="B19448" i="1"/>
  <c r="C19448" i="1"/>
  <c r="A21986" i="1"/>
  <c r="B21986" i="1"/>
  <c r="C21986" i="1"/>
  <c r="A12591" i="1"/>
  <c r="B12591" i="1"/>
  <c r="C12591" i="1"/>
  <c r="A21793" i="1"/>
  <c r="B21793" i="1"/>
  <c r="C21793" i="1"/>
  <c r="A3906" i="1"/>
  <c r="B3906" i="1"/>
  <c r="C3906" i="1"/>
  <c r="A3912" i="1"/>
  <c r="B3912" i="1"/>
  <c r="C3912" i="1"/>
  <c r="A3913" i="1"/>
  <c r="B3913" i="1"/>
  <c r="C3913" i="1"/>
  <c r="A535" i="1"/>
  <c r="B535" i="1"/>
  <c r="C535" i="1"/>
  <c r="A21633" i="1"/>
  <c r="B21633" i="1"/>
  <c r="C21633" i="1"/>
  <c r="A1831" i="1"/>
  <c r="C1831" i="1"/>
  <c r="A7537" i="1"/>
  <c r="B7537" i="1"/>
  <c r="C7537" i="1"/>
  <c r="A4232" i="1"/>
  <c r="B4232" i="1"/>
  <c r="C4232" i="1"/>
  <c r="A4231" i="1"/>
  <c r="B4231" i="1"/>
  <c r="C4231" i="1"/>
  <c r="A4233" i="1"/>
  <c r="B4233" i="1"/>
  <c r="C4233" i="1"/>
  <c r="A4200" i="1"/>
  <c r="B4200" i="1"/>
  <c r="C4200" i="1"/>
  <c r="A10153" i="1"/>
  <c r="B10153" i="1"/>
  <c r="C10153" i="1"/>
  <c r="A10154" i="1"/>
  <c r="B10154" i="1"/>
  <c r="C10154" i="1"/>
  <c r="A10155" i="1"/>
  <c r="B10155" i="1"/>
  <c r="C10155" i="1"/>
  <c r="A10156" i="1"/>
  <c r="B10156" i="1"/>
  <c r="C10156" i="1"/>
  <c r="A10157" i="1"/>
  <c r="B10157" i="1"/>
  <c r="C10157" i="1"/>
  <c r="A10123" i="1"/>
  <c r="B10123" i="1"/>
  <c r="C10123" i="1"/>
  <c r="A10184" i="1"/>
  <c r="B10184" i="1"/>
  <c r="C10184" i="1"/>
  <c r="A25362" i="1"/>
  <c r="B25362" i="1"/>
  <c r="C25362" i="1"/>
  <c r="A20705" i="1"/>
  <c r="B20705" i="1"/>
  <c r="C20705" i="1"/>
  <c r="A10125" i="1"/>
  <c r="B10125" i="1"/>
  <c r="C10125" i="1"/>
  <c r="A6718" i="1"/>
  <c r="B6718" i="1"/>
  <c r="C6718" i="1"/>
  <c r="A25357" i="1"/>
  <c r="B25357" i="1"/>
  <c r="C25357" i="1"/>
  <c r="A10174" i="1"/>
  <c r="B10174" i="1"/>
  <c r="C10174" i="1"/>
  <c r="A6712" i="1"/>
  <c r="B6712" i="1"/>
  <c r="C6712" i="1"/>
  <c r="A25361" i="1"/>
  <c r="B25361" i="1"/>
  <c r="C25361" i="1"/>
  <c r="A6717" i="1"/>
  <c r="B6717" i="1"/>
  <c r="C6717" i="1"/>
  <c r="A25358" i="1"/>
  <c r="B25358" i="1"/>
  <c r="C25358" i="1"/>
  <c r="A6714" i="1"/>
  <c r="B6714" i="1"/>
  <c r="C6714" i="1"/>
  <c r="A25360" i="1"/>
  <c r="B25360" i="1"/>
  <c r="C25360" i="1"/>
  <c r="A6716" i="1"/>
  <c r="B6716" i="1"/>
  <c r="C6716" i="1"/>
  <c r="A25359" i="1"/>
  <c r="B25359" i="1"/>
  <c r="C25359" i="1"/>
  <c r="A6715" i="1"/>
  <c r="B6715" i="1"/>
  <c r="C6715" i="1"/>
  <c r="A5724" i="1"/>
  <c r="B5724" i="1"/>
  <c r="C5724" i="1"/>
  <c r="A19029" i="1"/>
  <c r="B19029" i="1"/>
  <c r="C19029" i="1"/>
  <c r="A16640" i="1"/>
  <c r="B16640" i="1"/>
  <c r="C16640" i="1"/>
  <c r="A22610" i="1"/>
  <c r="B22610" i="1"/>
  <c r="C22610" i="1"/>
  <c r="A6221" i="1"/>
  <c r="B6221" i="1"/>
  <c r="C6221" i="1"/>
  <c r="A13397" i="1"/>
  <c r="B13397" i="1"/>
  <c r="C13397" i="1"/>
  <c r="A6842" i="1"/>
  <c r="B6842" i="1"/>
  <c r="C6842" i="1"/>
  <c r="A6844" i="1"/>
  <c r="B6844" i="1"/>
  <c r="C6844" i="1"/>
  <c r="A6843" i="1"/>
  <c r="B6843" i="1"/>
  <c r="C6843" i="1"/>
  <c r="A14799" i="1"/>
  <c r="B14799" i="1"/>
  <c r="C14799" i="1"/>
  <c r="A3905" i="1"/>
  <c r="B3905" i="1"/>
  <c r="C3905" i="1"/>
  <c r="A3904" i="1"/>
  <c r="B3904" i="1"/>
  <c r="C3904" i="1"/>
  <c r="A3903" i="1"/>
  <c r="B3903" i="1"/>
  <c r="C3903" i="1"/>
  <c r="A3902" i="1"/>
  <c r="B3902" i="1"/>
  <c r="C3902" i="1"/>
  <c r="A14447" i="1"/>
  <c r="B14447" i="1"/>
  <c r="C14447" i="1"/>
  <c r="A14450" i="1"/>
  <c r="B14450" i="1"/>
  <c r="C14450" i="1"/>
  <c r="A1347" i="1"/>
  <c r="B1347" i="1"/>
  <c r="C1347" i="1"/>
  <c r="A24257" i="1"/>
  <c r="B24257" i="1"/>
  <c r="C24257" i="1"/>
  <c r="A24258" i="1"/>
  <c r="B24258" i="1"/>
  <c r="C24258" i="1"/>
  <c r="A18403" i="1"/>
  <c r="B18403" i="1"/>
  <c r="C18403" i="1"/>
  <c r="A16317" i="1"/>
  <c r="B16317" i="1"/>
  <c r="C16317" i="1"/>
  <c r="A2330" i="1"/>
  <c r="B2330" i="1"/>
  <c r="C2330" i="1"/>
  <c r="A18772" i="1"/>
  <c r="B18772" i="1"/>
  <c r="C18772" i="1"/>
  <c r="A10608" i="1"/>
  <c r="B10608" i="1"/>
  <c r="C10608" i="1"/>
  <c r="A10601" i="1"/>
  <c r="B10601" i="1"/>
  <c r="C10601" i="1"/>
  <c r="A10611" i="1"/>
  <c r="B10611" i="1"/>
  <c r="C10611" i="1"/>
  <c r="A10614" i="1"/>
  <c r="B10614" i="1"/>
  <c r="C10614" i="1"/>
  <c r="A21439" i="1"/>
  <c r="B21439" i="1"/>
  <c r="C21439" i="1"/>
  <c r="A9558" i="1"/>
  <c r="B9558" i="1"/>
  <c r="C9558" i="1"/>
  <c r="A9472" i="1"/>
  <c r="B9472" i="1"/>
  <c r="C9472" i="1"/>
  <c r="A7373" i="1"/>
  <c r="B7373" i="1"/>
  <c r="C7373" i="1"/>
  <c r="A7374" i="1"/>
  <c r="B7374" i="1"/>
  <c r="C7374" i="1"/>
  <c r="A7371" i="1"/>
  <c r="C7371" i="1"/>
  <c r="A7372" i="1"/>
  <c r="C7372" i="1"/>
  <c r="A19261" i="1"/>
  <c r="B19261" i="1"/>
  <c r="C19261" i="1"/>
  <c r="A19265" i="1"/>
  <c r="B19265" i="1"/>
  <c r="C19265" i="1"/>
  <c r="A19262" i="1"/>
  <c r="B19262" i="1"/>
  <c r="C19262" i="1"/>
  <c r="A19264" i="1"/>
  <c r="B19264" i="1"/>
  <c r="C19264" i="1"/>
  <c r="A19263" i="1"/>
  <c r="B19263" i="1"/>
  <c r="C19263" i="1"/>
  <c r="A14448" i="1"/>
  <c r="B14448" i="1"/>
  <c r="C14448" i="1"/>
  <c r="A18558" i="1"/>
  <c r="B18558" i="1"/>
  <c r="C18558" i="1"/>
  <c r="A11284" i="1"/>
  <c r="B11284" i="1"/>
  <c r="C11284" i="1"/>
  <c r="A9521" i="1"/>
  <c r="B9521" i="1"/>
  <c r="C9521" i="1"/>
  <c r="A23250" i="1"/>
  <c r="B23250" i="1"/>
  <c r="C23250" i="1"/>
  <c r="A23249" i="1"/>
  <c r="B23249" i="1"/>
  <c r="C23249" i="1"/>
  <c r="A23251" i="1"/>
  <c r="B23251" i="1"/>
  <c r="C23251" i="1"/>
  <c r="A19107" i="1"/>
  <c r="B19107" i="1"/>
  <c r="C19107" i="1"/>
  <c r="A22347" i="1"/>
  <c r="B22347" i="1"/>
  <c r="C22347" i="1"/>
  <c r="A11970" i="1"/>
  <c r="B11970" i="1"/>
  <c r="C11970" i="1"/>
  <c r="A21806" i="1"/>
  <c r="B21806" i="1"/>
  <c r="C21806" i="1"/>
  <c r="A15416" i="1"/>
  <c r="B15416" i="1"/>
  <c r="C15416" i="1"/>
  <c r="A15415" i="1"/>
  <c r="B15415" i="1"/>
  <c r="C15415" i="1"/>
  <c r="A13220" i="1"/>
  <c r="B13220" i="1"/>
  <c r="C13220" i="1"/>
  <c r="A13221" i="1"/>
  <c r="B13221" i="1"/>
  <c r="C13221" i="1"/>
  <c r="A2124" i="1"/>
  <c r="B2124" i="1"/>
  <c r="C2124" i="1"/>
  <c r="A4278" i="1"/>
  <c r="B4278" i="1"/>
  <c r="C4278" i="1"/>
  <c r="A16213" i="1"/>
  <c r="B16213" i="1"/>
  <c r="C16213" i="1"/>
  <c r="A5176" i="1"/>
  <c r="B5176" i="1"/>
  <c r="C5176" i="1"/>
  <c r="A5175" i="1"/>
  <c r="B5175" i="1"/>
  <c r="C5175" i="1"/>
  <c r="A5174" i="1"/>
  <c r="B5174" i="1"/>
  <c r="C5174" i="1"/>
  <c r="A5172" i="1"/>
  <c r="B5172" i="1"/>
  <c r="C5172" i="1"/>
  <c r="A4948" i="1"/>
  <c r="B4948" i="1"/>
  <c r="C4948" i="1"/>
  <c r="A4947" i="1"/>
  <c r="B4947" i="1"/>
  <c r="C4947" i="1"/>
  <c r="A4946" i="1"/>
  <c r="B4946" i="1"/>
  <c r="C4946" i="1"/>
  <c r="A4944" i="1"/>
  <c r="B4944" i="1"/>
  <c r="C4944" i="1"/>
  <c r="A16396" i="1"/>
  <c r="B16396" i="1"/>
  <c r="C16396" i="1"/>
  <c r="A13964" i="1"/>
  <c r="B13964" i="1"/>
  <c r="C13964" i="1"/>
  <c r="A21590" i="1"/>
  <c r="B21590" i="1"/>
  <c r="C21590" i="1"/>
  <c r="A7448" i="1"/>
  <c r="B7448" i="1"/>
  <c r="C7448" i="1"/>
  <c r="A13890" i="1"/>
  <c r="B13890" i="1"/>
  <c r="C13890" i="1"/>
  <c r="A23293" i="1"/>
  <c r="B23293" i="1"/>
  <c r="C23293" i="1"/>
  <c r="A15689" i="1"/>
  <c r="B15689" i="1"/>
  <c r="C15689" i="1"/>
  <c r="A3272" i="1"/>
  <c r="B3272" i="1"/>
  <c r="C3272" i="1"/>
  <c r="A3273" i="1"/>
  <c r="B3273" i="1"/>
  <c r="C3273" i="1"/>
  <c r="A3274" i="1"/>
  <c r="B3274" i="1"/>
  <c r="C3274" i="1"/>
  <c r="A3275" i="1"/>
  <c r="B3275" i="1"/>
  <c r="C3275" i="1"/>
  <c r="A3276" i="1"/>
  <c r="B3276" i="1"/>
  <c r="C3276" i="1"/>
  <c r="A3277" i="1"/>
  <c r="B3277" i="1"/>
  <c r="C3277" i="1"/>
  <c r="A3278" i="1"/>
  <c r="B3278" i="1"/>
  <c r="C3278" i="1"/>
  <c r="A3279" i="1"/>
  <c r="B3279" i="1"/>
  <c r="C3279" i="1"/>
  <c r="A3280" i="1"/>
  <c r="B3280" i="1"/>
  <c r="C3280" i="1"/>
  <c r="A3281" i="1"/>
  <c r="B3281" i="1"/>
  <c r="C3281" i="1"/>
  <c r="A22213" i="1"/>
  <c r="B22213" i="1"/>
  <c r="C22213" i="1"/>
  <c r="A15562" i="1"/>
  <c r="B15562" i="1"/>
  <c r="C15562" i="1"/>
  <c r="A17992" i="1"/>
  <c r="B17992" i="1"/>
  <c r="C17992" i="1"/>
  <c r="A4680" i="1"/>
  <c r="B4680" i="1"/>
  <c r="C4680" i="1"/>
  <c r="A21409" i="1"/>
  <c r="B21409" i="1"/>
  <c r="C21409" i="1"/>
  <c r="A25602" i="1"/>
  <c r="B25602" i="1"/>
  <c r="C25602" i="1"/>
  <c r="A2572" i="1"/>
  <c r="B2572" i="1"/>
  <c r="C2572" i="1"/>
  <c r="A2571" i="1"/>
  <c r="B2571" i="1"/>
  <c r="C2571" i="1"/>
  <c r="A157" i="1"/>
  <c r="B157" i="1"/>
  <c r="C157" i="1"/>
  <c r="A18145" i="1"/>
  <c r="B18145" i="1"/>
  <c r="C18145" i="1"/>
  <c r="A10001" i="1"/>
  <c r="B10001" i="1"/>
  <c r="C10001" i="1"/>
  <c r="A9997" i="1"/>
  <c r="B9997" i="1"/>
  <c r="C9997" i="1"/>
  <c r="A9859" i="1"/>
  <c r="B9859" i="1"/>
  <c r="C9859" i="1"/>
  <c r="A5282" i="1"/>
  <c r="B5282" i="1"/>
  <c r="C5282" i="1"/>
  <c r="A15688" i="1"/>
  <c r="B15688" i="1"/>
  <c r="C15688" i="1"/>
  <c r="A5872" i="1"/>
  <c r="B5872" i="1"/>
  <c r="C5872" i="1"/>
  <c r="A4907" i="1"/>
  <c r="B4907" i="1"/>
  <c r="C4907" i="1"/>
  <c r="A4908" i="1"/>
  <c r="B4908" i="1"/>
  <c r="C4908" i="1"/>
  <c r="A4909" i="1"/>
  <c r="B4909" i="1"/>
  <c r="C4909" i="1"/>
  <c r="A6644" i="1"/>
  <c r="B6644" i="1"/>
  <c r="C6644" i="1"/>
  <c r="A3231" i="1"/>
  <c r="B3231" i="1"/>
  <c r="C3231" i="1"/>
  <c r="A3232" i="1"/>
  <c r="B3232" i="1"/>
  <c r="C3232" i="1"/>
  <c r="A3233" i="1"/>
  <c r="B3233" i="1"/>
  <c r="C3233" i="1"/>
  <c r="A3234" i="1"/>
  <c r="B3234" i="1"/>
  <c r="C3234" i="1"/>
  <c r="A3235" i="1"/>
  <c r="B3235" i="1"/>
  <c r="C3235" i="1"/>
  <c r="A3236" i="1"/>
  <c r="B3236" i="1"/>
  <c r="C3236" i="1"/>
  <c r="A3237" i="1"/>
  <c r="B3237" i="1"/>
  <c r="C3237" i="1"/>
  <c r="A3238" i="1"/>
  <c r="B3238" i="1"/>
  <c r="C3238" i="1"/>
  <c r="A3240" i="1"/>
  <c r="B3240" i="1"/>
  <c r="C3240" i="1"/>
  <c r="A3241" i="1"/>
  <c r="B3241" i="1"/>
  <c r="C3241" i="1"/>
  <c r="A16212" i="1"/>
  <c r="B16212" i="1"/>
  <c r="C16212" i="1"/>
  <c r="A18369" i="1"/>
  <c r="B18369" i="1"/>
  <c r="C18369" i="1"/>
  <c r="A25746" i="1"/>
  <c r="B25746" i="1"/>
  <c r="C25746" i="1"/>
  <c r="A19570" i="1"/>
  <c r="B19570" i="1"/>
  <c r="C19570" i="1"/>
  <c r="A22782" i="1"/>
  <c r="B22782" i="1"/>
  <c r="C22782" i="1"/>
  <c r="A24713" i="1"/>
  <c r="B24713" i="1"/>
  <c r="C24713" i="1"/>
  <c r="A15083" i="1"/>
  <c r="B15083" i="1"/>
  <c r="C15083" i="1"/>
  <c r="A13378" i="1"/>
  <c r="B13378" i="1"/>
  <c r="C13378" i="1"/>
  <c r="A16392" i="1"/>
  <c r="B16392" i="1"/>
  <c r="C16392" i="1"/>
  <c r="A13392" i="1"/>
  <c r="C13392" i="1"/>
  <c r="A12405" i="1"/>
  <c r="B12405" i="1"/>
  <c r="C12405" i="1"/>
  <c r="A12402" i="1"/>
  <c r="B12402" i="1"/>
  <c r="C12402" i="1"/>
  <c r="A22829" i="1"/>
  <c r="B22829" i="1"/>
  <c r="C22829" i="1"/>
  <c r="A22828" i="1"/>
  <c r="B22828" i="1"/>
  <c r="C22828" i="1"/>
  <c r="A13915" i="1"/>
  <c r="B13915" i="1"/>
  <c r="C13915" i="1"/>
  <c r="A13914" i="1"/>
  <c r="B13914" i="1"/>
  <c r="C13914" i="1"/>
  <c r="A19400" i="1"/>
  <c r="B19400" i="1"/>
  <c r="C19400" i="1"/>
  <c r="A19099" i="1"/>
  <c r="B19099" i="1"/>
  <c r="C19099" i="1"/>
  <c r="A4448" i="1"/>
  <c r="B4448" i="1"/>
  <c r="C4448" i="1"/>
  <c r="A4396" i="1"/>
  <c r="B4396" i="1"/>
  <c r="C4396" i="1"/>
  <c r="A15613" i="1"/>
  <c r="B15613" i="1"/>
  <c r="C15613" i="1"/>
  <c r="A16205" i="1"/>
  <c r="B16205" i="1"/>
  <c r="C16205" i="1"/>
  <c r="A4099" i="1"/>
  <c r="B4099" i="1"/>
  <c r="C4099" i="1"/>
  <c r="A6708" i="1"/>
  <c r="B6708" i="1"/>
  <c r="C6708" i="1"/>
  <c r="A5446" i="1"/>
  <c r="B5446" i="1"/>
  <c r="C5446" i="1"/>
  <c r="A20737" i="1"/>
  <c r="B20737" i="1"/>
  <c r="C20737" i="1"/>
  <c r="A24614" i="1"/>
  <c r="B24614" i="1"/>
  <c r="C24614" i="1"/>
  <c r="A11904" i="1"/>
  <c r="B11904" i="1"/>
  <c r="C11904" i="1"/>
  <c r="A16132" i="1"/>
  <c r="B16132" i="1"/>
  <c r="C16132" i="1"/>
  <c r="A13690" i="1"/>
  <c r="B13690" i="1"/>
  <c r="C13690" i="1"/>
  <c r="A6500" i="1"/>
  <c r="B6500" i="1"/>
  <c r="C6500" i="1"/>
  <c r="A2922" i="1"/>
  <c r="B2922" i="1"/>
  <c r="C2922" i="1"/>
  <c r="A16922" i="1"/>
  <c r="B16922" i="1"/>
  <c r="C16922" i="1"/>
  <c r="A18088" i="1"/>
  <c r="C18088" i="1"/>
  <c r="A11262" i="1"/>
  <c r="C11262" i="1"/>
  <c r="A11122" i="1"/>
  <c r="C11122" i="1"/>
  <c r="A11188" i="1"/>
  <c r="C11188" i="1"/>
  <c r="A11417" i="1"/>
  <c r="C11417" i="1"/>
  <c r="A25217" i="1"/>
  <c r="C25217" i="1"/>
  <c r="A24955" i="1"/>
  <c r="C24955" i="1"/>
  <c r="A14369" i="1"/>
  <c r="B14369" i="1"/>
  <c r="C14369" i="1"/>
  <c r="A2260" i="1"/>
  <c r="B2260" i="1"/>
  <c r="C2260" i="1"/>
  <c r="A2275" i="1"/>
  <c r="B2275" i="1"/>
  <c r="C2275" i="1"/>
  <c r="A1739" i="1"/>
  <c r="B1739" i="1"/>
  <c r="C1739" i="1"/>
  <c r="A1850" i="1"/>
  <c r="B1850" i="1"/>
  <c r="C1850" i="1"/>
  <c r="A24520" i="1"/>
  <c r="B24520" i="1"/>
  <c r="C24520" i="1"/>
  <c r="A5837" i="1"/>
  <c r="B5837" i="1"/>
  <c r="C5837" i="1"/>
  <c r="A17009" i="1"/>
  <c r="B17009" i="1"/>
  <c r="C17009" i="1"/>
  <c r="A5838" i="1"/>
  <c r="B5838" i="1"/>
  <c r="C5838" i="1"/>
  <c r="A15179" i="1"/>
  <c r="B15179" i="1"/>
  <c r="C15179" i="1"/>
  <c r="A23559" i="1"/>
  <c r="B23559" i="1"/>
  <c r="C23559" i="1"/>
  <c r="A22378" i="1"/>
  <c r="B22378" i="1"/>
  <c r="C22378" i="1"/>
  <c r="A5839" i="1"/>
  <c r="B5839" i="1"/>
  <c r="C5839" i="1"/>
  <c r="A25081" i="1"/>
  <c r="B25081" i="1"/>
  <c r="C25081" i="1"/>
  <c r="A17715" i="1"/>
  <c r="B17715" i="1"/>
  <c r="C17715" i="1"/>
  <c r="A5468" i="1"/>
  <c r="B5468" i="1"/>
  <c r="C5468" i="1"/>
  <c r="A5483" i="1"/>
  <c r="B5483" i="1"/>
  <c r="C5483" i="1"/>
  <c r="A19813" i="1"/>
  <c r="B19813" i="1"/>
  <c r="C19813" i="1"/>
  <c r="A25089" i="1"/>
  <c r="B25089" i="1"/>
  <c r="C25089" i="1"/>
  <c r="A7272" i="1"/>
  <c r="B7272" i="1"/>
  <c r="C7272" i="1"/>
  <c r="A23336" i="1"/>
  <c r="B23336" i="1"/>
  <c r="C23336" i="1"/>
  <c r="A1919" i="1"/>
  <c r="B1919" i="1"/>
  <c r="C1919" i="1"/>
  <c r="A3101" i="1"/>
  <c r="B3101" i="1"/>
  <c r="C3101" i="1"/>
  <c r="A20820" i="1"/>
  <c r="B20820" i="1"/>
  <c r="C20820" i="1"/>
  <c r="A689" i="1"/>
  <c r="B689" i="1"/>
  <c r="C689" i="1"/>
  <c r="A17387" i="1"/>
  <c r="B17387" i="1"/>
  <c r="C17387" i="1"/>
  <c r="A22684" i="1"/>
  <c r="B22684" i="1"/>
  <c r="C22684" i="1"/>
  <c r="A24674" i="1"/>
  <c r="B24674" i="1"/>
  <c r="C24674" i="1"/>
  <c r="A24678" i="1"/>
  <c r="B24678" i="1"/>
  <c r="C24678" i="1"/>
  <c r="A24682" i="1"/>
  <c r="B24682" i="1"/>
  <c r="C24682" i="1"/>
  <c r="A23708" i="1"/>
  <c r="B23708" i="1"/>
  <c r="C23708" i="1"/>
  <c r="A23707" i="1"/>
  <c r="B23707" i="1"/>
  <c r="C23707" i="1"/>
  <c r="A14566" i="1"/>
  <c r="C14566" i="1"/>
  <c r="A14141" i="1"/>
  <c r="C14141" i="1"/>
  <c r="A3755" i="1"/>
  <c r="B3755" i="1"/>
  <c r="C3755" i="1"/>
  <c r="A22736" i="1"/>
  <c r="B22736" i="1"/>
  <c r="C22736" i="1"/>
  <c r="A8398" i="1"/>
  <c r="B8398" i="1"/>
  <c r="C8398" i="1"/>
  <c r="A14702" i="1"/>
  <c r="B14702" i="1"/>
  <c r="C14702" i="1"/>
  <c r="A4336" i="1"/>
  <c r="B4336" i="1"/>
  <c r="C4336" i="1"/>
  <c r="A4337" i="1"/>
  <c r="B4337" i="1"/>
  <c r="C4337" i="1"/>
  <c r="A4338" i="1"/>
  <c r="B4338" i="1"/>
  <c r="C4338" i="1"/>
  <c r="A4339" i="1"/>
  <c r="B4339" i="1"/>
  <c r="C4339" i="1"/>
  <c r="A4340" i="1"/>
  <c r="B4340" i="1"/>
  <c r="C4340" i="1"/>
  <c r="A22824" i="1"/>
  <c r="B22824" i="1"/>
  <c r="C22824" i="1"/>
  <c r="A22826" i="1"/>
  <c r="B22826" i="1"/>
  <c r="C22826" i="1"/>
  <c r="A22825" i="1"/>
  <c r="B22825" i="1"/>
  <c r="C22825" i="1"/>
  <c r="A22823" i="1"/>
  <c r="B22823" i="1"/>
  <c r="C22823" i="1"/>
  <c r="A22822" i="1"/>
  <c r="B22822" i="1"/>
  <c r="C22822" i="1"/>
  <c r="A3911" i="1"/>
  <c r="B3911" i="1"/>
  <c r="C3911" i="1"/>
  <c r="A3910" i="1"/>
  <c r="B3910" i="1"/>
  <c r="C3910" i="1"/>
  <c r="A24095" i="1"/>
  <c r="B24095" i="1"/>
  <c r="C24095" i="1"/>
  <c r="A5949" i="1"/>
  <c r="B5949" i="1"/>
  <c r="C5949" i="1"/>
  <c r="A5947" i="1"/>
  <c r="B5947" i="1"/>
  <c r="C5947" i="1"/>
  <c r="A18940" i="1"/>
  <c r="B18940" i="1"/>
  <c r="C18940" i="1"/>
  <c r="A18939" i="1"/>
  <c r="B18939" i="1"/>
  <c r="C18939" i="1"/>
  <c r="A1921" i="1"/>
  <c r="B1921" i="1"/>
  <c r="C1921" i="1"/>
  <c r="A17188" i="1"/>
  <c r="B17188" i="1"/>
  <c r="C17188" i="1"/>
  <c r="A17201" i="1"/>
  <c r="B17201" i="1"/>
  <c r="C17201" i="1"/>
  <c r="A17202" i="1"/>
  <c r="B17202" i="1"/>
  <c r="C17202" i="1"/>
  <c r="A18691" i="1"/>
  <c r="B18691" i="1"/>
  <c r="C18691" i="1"/>
  <c r="A1556" i="1"/>
  <c r="B1556" i="1"/>
  <c r="C1556" i="1"/>
  <c r="A6081" i="1"/>
  <c r="B6081" i="1"/>
  <c r="C6081" i="1"/>
  <c r="A6080" i="1"/>
  <c r="B6080" i="1"/>
  <c r="C6080" i="1"/>
  <c r="A12198" i="1"/>
  <c r="B12198" i="1"/>
  <c r="C12198" i="1"/>
  <c r="A1782" i="1"/>
  <c r="B1782" i="1"/>
  <c r="C1782" i="1"/>
  <c r="A17314" i="1"/>
  <c r="B17314" i="1"/>
  <c r="C17314" i="1"/>
  <c r="A113" i="1"/>
  <c r="B113" i="1"/>
  <c r="C113" i="1"/>
  <c r="A13504" i="1"/>
  <c r="B13504" i="1"/>
  <c r="C13504" i="1"/>
  <c r="A14876" i="1"/>
  <c r="B14876" i="1"/>
  <c r="C14876" i="1"/>
  <c r="A19854" i="1"/>
  <c r="B19854" i="1"/>
  <c r="C19854" i="1"/>
  <c r="A174" i="1"/>
  <c r="B174" i="1"/>
  <c r="C174" i="1"/>
  <c r="A25077" i="1"/>
  <c r="B25077" i="1"/>
  <c r="C25077" i="1"/>
  <c r="A13701" i="1"/>
  <c r="B13701" i="1"/>
  <c r="C13701" i="1"/>
  <c r="A16891" i="1"/>
  <c r="B16891" i="1"/>
  <c r="C16891" i="1"/>
  <c r="A18785" i="1"/>
  <c r="B18785" i="1"/>
  <c r="C18785" i="1"/>
  <c r="A13702" i="1"/>
  <c r="B13702" i="1"/>
  <c r="C13702" i="1"/>
  <c r="A15638" i="1"/>
  <c r="B15638" i="1"/>
  <c r="C15638" i="1"/>
  <c r="A4102" i="1"/>
  <c r="B4102" i="1"/>
  <c r="C4102" i="1"/>
  <c r="A6711" i="1"/>
  <c r="B6711" i="1"/>
  <c r="C6711" i="1"/>
  <c r="A4063" i="1"/>
  <c r="B4063" i="1"/>
  <c r="C4063" i="1"/>
  <c r="A22616" i="1"/>
  <c r="B22616" i="1"/>
  <c r="C22616" i="1"/>
  <c r="A21518" i="1"/>
  <c r="B21518" i="1"/>
  <c r="C21518" i="1"/>
  <c r="A16947" i="1"/>
  <c r="B16947" i="1"/>
  <c r="C16947" i="1"/>
  <c r="A3829" i="1"/>
  <c r="B3829" i="1"/>
  <c r="C3829" i="1"/>
  <c r="A23289" i="1"/>
  <c r="B23289" i="1"/>
  <c r="C23289" i="1"/>
  <c r="A24459" i="1"/>
  <c r="B24459" i="1"/>
  <c r="C24459" i="1"/>
  <c r="A24457" i="1"/>
  <c r="B24457" i="1"/>
  <c r="C24457" i="1"/>
  <c r="A8521" i="1"/>
  <c r="B8521" i="1"/>
  <c r="C8521" i="1"/>
  <c r="A23177" i="1"/>
  <c r="B23177" i="1"/>
  <c r="C23177" i="1"/>
  <c r="A23176" i="1"/>
  <c r="B23176" i="1"/>
  <c r="C23176" i="1"/>
  <c r="A23175" i="1"/>
  <c r="B23175" i="1"/>
  <c r="C23175" i="1"/>
  <c r="A23174" i="1"/>
  <c r="B23174" i="1"/>
  <c r="C23174" i="1"/>
  <c r="A23173" i="1"/>
  <c r="B23173" i="1"/>
  <c r="C23173" i="1"/>
  <c r="A23170" i="1"/>
  <c r="B23170" i="1"/>
  <c r="C23170" i="1"/>
  <c r="A23172" i="1"/>
  <c r="B23172" i="1"/>
  <c r="C23172" i="1"/>
  <c r="A19501" i="1"/>
  <c r="B19501" i="1"/>
  <c r="C19501" i="1"/>
  <c r="A19500" i="1"/>
  <c r="B19500" i="1"/>
  <c r="C19500" i="1"/>
  <c r="A19499" i="1"/>
  <c r="B19499" i="1"/>
  <c r="C19499" i="1"/>
  <c r="A19999" i="1"/>
  <c r="B19999" i="1"/>
  <c r="C19999" i="1"/>
  <c r="A13968" i="1"/>
  <c r="B13968" i="1"/>
  <c r="C13968" i="1"/>
  <c r="A13965" i="1"/>
  <c r="B13965" i="1"/>
  <c r="C13965" i="1"/>
  <c r="A13966" i="1"/>
  <c r="B13966" i="1"/>
  <c r="C13966" i="1"/>
  <c r="A13967" i="1"/>
  <c r="B13967" i="1"/>
  <c r="C13967" i="1"/>
  <c r="A9277" i="1"/>
  <c r="B9277" i="1"/>
  <c r="C9277" i="1"/>
  <c r="A21411" i="1"/>
  <c r="B21411" i="1"/>
  <c r="C21411" i="1"/>
  <c r="A12126" i="1"/>
  <c r="B12126" i="1"/>
  <c r="C12126" i="1"/>
  <c r="A11649" i="1"/>
  <c r="B11649" i="1"/>
  <c r="C11649" i="1"/>
  <c r="A7702" i="1"/>
  <c r="B7702" i="1"/>
  <c r="C7702" i="1"/>
  <c r="A7901" i="1"/>
  <c r="B7901" i="1"/>
  <c r="C7901" i="1"/>
  <c r="A8415" i="1"/>
  <c r="B8415" i="1"/>
  <c r="C8415" i="1"/>
  <c r="A12167" i="1"/>
  <c r="B12167" i="1"/>
  <c r="C12167" i="1"/>
  <c r="A6775" i="1"/>
  <c r="B6775" i="1"/>
  <c r="C6775" i="1"/>
  <c r="A24214" i="1"/>
  <c r="B24214" i="1"/>
  <c r="C24214" i="1"/>
  <c r="A7732" i="1"/>
  <c r="B7732" i="1"/>
  <c r="C7732" i="1"/>
  <c r="A17523" i="1"/>
  <c r="B17523" i="1"/>
  <c r="C17523" i="1"/>
  <c r="A18784" i="1"/>
  <c r="B18784" i="1"/>
  <c r="C18784" i="1"/>
  <c r="A24687" i="1"/>
  <c r="B24687" i="1"/>
  <c r="C24687" i="1"/>
  <c r="A24689" i="1"/>
  <c r="B24689" i="1"/>
  <c r="C24689" i="1"/>
  <c r="A24690" i="1"/>
  <c r="B24690" i="1"/>
  <c r="C24690" i="1"/>
  <c r="A24688" i="1"/>
  <c r="B24688" i="1"/>
  <c r="C24688" i="1"/>
  <c r="A8498" i="1"/>
  <c r="B8498" i="1"/>
  <c r="C8498" i="1"/>
  <c r="A8499" i="1"/>
  <c r="B8499" i="1"/>
  <c r="C8499" i="1"/>
  <c r="A8454" i="1"/>
  <c r="B8454" i="1"/>
  <c r="C8454" i="1"/>
  <c r="A8500" i="1"/>
  <c r="B8500" i="1"/>
  <c r="C8500" i="1"/>
  <c r="A23169" i="1"/>
  <c r="B23169" i="1"/>
  <c r="C23169" i="1"/>
  <c r="A23168" i="1"/>
  <c r="B23168" i="1"/>
  <c r="C23168" i="1"/>
  <c r="A11498" i="1"/>
  <c r="B11498" i="1"/>
  <c r="C11498" i="1"/>
  <c r="A11497" i="1"/>
  <c r="B11497" i="1"/>
  <c r="C11497" i="1"/>
  <c r="A11468" i="1"/>
  <c r="B11468" i="1"/>
  <c r="C11468" i="1"/>
  <c r="A17698" i="1"/>
  <c r="B17698" i="1"/>
  <c r="C17698" i="1"/>
  <c r="A17697" i="1"/>
  <c r="B17697" i="1"/>
  <c r="C17697" i="1"/>
  <c r="A19562" i="1"/>
  <c r="B19562" i="1"/>
  <c r="C19562" i="1"/>
  <c r="A19573" i="1"/>
  <c r="B19573" i="1"/>
  <c r="C19573" i="1"/>
  <c r="A4318" i="1"/>
  <c r="B4318" i="1"/>
  <c r="C4318" i="1"/>
  <c r="A2866" i="1"/>
  <c r="C2866" i="1"/>
  <c r="A4315" i="1"/>
  <c r="B4315" i="1"/>
  <c r="C4315" i="1"/>
  <c r="A4314" i="1"/>
  <c r="B4314" i="1"/>
  <c r="C4314" i="1"/>
  <c r="A4316" i="1"/>
  <c r="B4316" i="1"/>
  <c r="C4316" i="1"/>
  <c r="A13575" i="1"/>
  <c r="B13575" i="1"/>
  <c r="C13575" i="1"/>
  <c r="A13576" i="1"/>
  <c r="B13576" i="1"/>
  <c r="C13576" i="1"/>
  <c r="A17207" i="1"/>
  <c r="B17207" i="1"/>
  <c r="C17207" i="1"/>
  <c r="A17208" i="1"/>
  <c r="B17208" i="1"/>
  <c r="C17208" i="1"/>
  <c r="A1736" i="1"/>
  <c r="B1736" i="1"/>
  <c r="C1736" i="1"/>
  <c r="A25023" i="1"/>
  <c r="B25023" i="1"/>
  <c r="C25023" i="1"/>
  <c r="A14417" i="1"/>
  <c r="B14417" i="1"/>
  <c r="C14417" i="1"/>
  <c r="A24381" i="1"/>
  <c r="B24381" i="1"/>
  <c r="C24381" i="1"/>
  <c r="A11385" i="1"/>
  <c r="B11385" i="1"/>
  <c r="C11385" i="1"/>
  <c r="A108" i="1"/>
  <c r="B108" i="1"/>
  <c r="C108" i="1"/>
  <c r="A107" i="1"/>
  <c r="B107" i="1"/>
  <c r="C107" i="1"/>
  <c r="A106" i="1"/>
  <c r="B106" i="1"/>
  <c r="C106" i="1"/>
  <c r="A19873" i="1"/>
  <c r="B19873" i="1"/>
  <c r="C19873" i="1"/>
  <c r="A8843" i="1"/>
  <c r="B8843" i="1"/>
  <c r="C8843" i="1"/>
  <c r="A3790" i="1"/>
  <c r="B3790" i="1"/>
  <c r="C3790" i="1"/>
  <c r="A6669" i="1"/>
  <c r="B6669" i="1"/>
  <c r="C6669" i="1"/>
  <c r="A6670" i="1"/>
  <c r="B6670" i="1"/>
  <c r="C6670" i="1"/>
  <c r="A6672" i="1"/>
  <c r="B6672" i="1"/>
  <c r="C6672" i="1"/>
  <c r="A6661" i="1"/>
  <c r="B6661" i="1"/>
  <c r="C6661" i="1"/>
  <c r="A6668" i="1"/>
  <c r="B6668" i="1"/>
  <c r="C6668" i="1"/>
  <c r="A15392" i="1"/>
  <c r="B15392" i="1"/>
  <c r="C15392" i="1"/>
  <c r="A4283" i="1"/>
  <c r="B4283" i="1"/>
  <c r="C4283" i="1"/>
  <c r="A23771" i="1"/>
  <c r="B23771" i="1"/>
  <c r="C23771" i="1"/>
  <c r="A22250" i="1"/>
  <c r="B22250" i="1"/>
  <c r="C22250" i="1"/>
  <c r="A18776" i="1"/>
  <c r="B18776" i="1"/>
  <c r="C18776" i="1"/>
  <c r="A18777" i="1"/>
  <c r="B18777" i="1"/>
  <c r="C18777" i="1"/>
  <c r="A25665" i="1"/>
  <c r="B25665" i="1"/>
  <c r="C25665" i="1"/>
  <c r="A1303" i="1"/>
  <c r="B1303" i="1"/>
  <c r="C1303" i="1"/>
  <c r="A25736" i="1"/>
  <c r="B25736" i="1"/>
  <c r="C25736" i="1"/>
  <c r="A32" i="1"/>
  <c r="B32" i="1"/>
  <c r="C32" i="1"/>
  <c r="A10657" i="1"/>
  <c r="B10657" i="1"/>
  <c r="C10657" i="1"/>
  <c r="A22222" i="1"/>
  <c r="B22222" i="1"/>
  <c r="C22222" i="1"/>
  <c r="A21001" i="1"/>
  <c r="B21001" i="1"/>
  <c r="C21001" i="1"/>
  <c r="A16525" i="1"/>
  <c r="B16525" i="1"/>
  <c r="C16525" i="1"/>
  <c r="A15597" i="1"/>
  <c r="B15597" i="1"/>
  <c r="C15597" i="1"/>
  <c r="A11913" i="1"/>
  <c r="B11913" i="1"/>
  <c r="C11913" i="1"/>
  <c r="A7507" i="1"/>
  <c r="B7507" i="1"/>
  <c r="C7507" i="1"/>
  <c r="A2926" i="1"/>
  <c r="B2926" i="1"/>
  <c r="C2926" i="1"/>
  <c r="A16848" i="1"/>
  <c r="B16848" i="1"/>
  <c r="C16848" i="1"/>
  <c r="A18099" i="1"/>
  <c r="B18099" i="1"/>
  <c r="C18099" i="1"/>
  <c r="A18095" i="1"/>
  <c r="B18095" i="1"/>
  <c r="C18095" i="1"/>
  <c r="A8242" i="1"/>
  <c r="B8242" i="1"/>
  <c r="C8242" i="1"/>
  <c r="A13009" i="1"/>
  <c r="B13009" i="1"/>
  <c r="C13009" i="1"/>
  <c r="A24868" i="1"/>
  <c r="B24868" i="1"/>
  <c r="C24868" i="1"/>
  <c r="A20729" i="1"/>
  <c r="B20729" i="1"/>
  <c r="C20729" i="1"/>
  <c r="A14122" i="1"/>
  <c r="B14122" i="1"/>
  <c r="C14122" i="1"/>
  <c r="A19437" i="1"/>
  <c r="B19437" i="1"/>
  <c r="C19437" i="1"/>
  <c r="A10173" i="1"/>
  <c r="B10173" i="1"/>
  <c r="C10173" i="1"/>
  <c r="A4219" i="1"/>
  <c r="B4219" i="1"/>
  <c r="C4219" i="1"/>
  <c r="A10252" i="1"/>
  <c r="B10252" i="1"/>
  <c r="C10252" i="1"/>
  <c r="A19055" i="1"/>
  <c r="B19055" i="1"/>
  <c r="C19055" i="1"/>
  <c r="A14174" i="1"/>
  <c r="B14174" i="1"/>
  <c r="C14174" i="1"/>
  <c r="A10955" i="1"/>
  <c r="B10955" i="1"/>
  <c r="C10955" i="1"/>
  <c r="A19687" i="1"/>
  <c r="B19687" i="1"/>
  <c r="C19687" i="1"/>
  <c r="A4279" i="1"/>
  <c r="B4279" i="1"/>
  <c r="C4279" i="1"/>
  <c r="A3890" i="1"/>
  <c r="B3890" i="1"/>
  <c r="C3890" i="1"/>
  <c r="A14563" i="1"/>
  <c r="B14563" i="1"/>
  <c r="C14563" i="1"/>
  <c r="A8956" i="1"/>
  <c r="B8956" i="1"/>
  <c r="C8956" i="1"/>
  <c r="A8971" i="1"/>
  <c r="B8971" i="1"/>
  <c r="C8971" i="1"/>
  <c r="A12260" i="1"/>
  <c r="B12260" i="1"/>
  <c r="C12260" i="1"/>
  <c r="A20603" i="1"/>
  <c r="B20603" i="1"/>
  <c r="C20603" i="1"/>
  <c r="A15903" i="1"/>
  <c r="B15903" i="1"/>
  <c r="C15903" i="1"/>
  <c r="A6391" i="1"/>
  <c r="B6391" i="1"/>
  <c r="C6391" i="1"/>
  <c r="A3792" i="1"/>
  <c r="B3792" i="1"/>
  <c r="C3792" i="1"/>
  <c r="A24410" i="1"/>
  <c r="B24410" i="1"/>
  <c r="C24410" i="1"/>
  <c r="A18183" i="1"/>
  <c r="B18183" i="1"/>
  <c r="C18183" i="1"/>
  <c r="A13008" i="1"/>
  <c r="B13008" i="1"/>
  <c r="C13008" i="1"/>
  <c r="A4724" i="1"/>
  <c r="B4724" i="1"/>
  <c r="C4724" i="1"/>
  <c r="A19491" i="1"/>
  <c r="B19491" i="1"/>
  <c r="C19491" i="1"/>
  <c r="A7642" i="1"/>
  <c r="B7642" i="1"/>
  <c r="C7642" i="1"/>
  <c r="A18766" i="1"/>
  <c r="B18766" i="1"/>
  <c r="C18766" i="1"/>
  <c r="A21564" i="1"/>
  <c r="B21564" i="1"/>
  <c r="C21564" i="1"/>
  <c r="A21007" i="1"/>
  <c r="B21007" i="1"/>
  <c r="C21007" i="1"/>
  <c r="A20998" i="1"/>
  <c r="B20998" i="1"/>
  <c r="C20998" i="1"/>
  <c r="A1623" i="1"/>
  <c r="B1623" i="1"/>
  <c r="C1623" i="1"/>
  <c r="A9741" i="1"/>
  <c r="B9741" i="1"/>
  <c r="C9741" i="1"/>
  <c r="A3922" i="1"/>
  <c r="B3922" i="1"/>
  <c r="C3922" i="1"/>
  <c r="A6560" i="1"/>
  <c r="B6560" i="1"/>
  <c r="C6560" i="1"/>
  <c r="A23337" i="1"/>
  <c r="B23337" i="1"/>
  <c r="C23337" i="1"/>
  <c r="A9884" i="1"/>
  <c r="B9884" i="1"/>
  <c r="C9884" i="1"/>
  <c r="A19196" i="1"/>
  <c r="B19196" i="1"/>
  <c r="C19196" i="1"/>
  <c r="A23109" i="1"/>
  <c r="B23109" i="1"/>
  <c r="C23109" i="1"/>
  <c r="A24811" i="1"/>
  <c r="B24811" i="1"/>
  <c r="C24811" i="1"/>
  <c r="A36" i="1"/>
  <c r="B36" i="1"/>
  <c r="C36" i="1"/>
  <c r="A4239" i="1"/>
  <c r="B4239" i="1"/>
  <c r="C4239" i="1"/>
  <c r="A13780" i="1"/>
  <c r="B13780" i="1"/>
  <c r="C13780" i="1"/>
  <c r="A13782" i="1"/>
  <c r="B13782" i="1"/>
  <c r="C13782" i="1"/>
  <c r="A2742" i="1"/>
  <c r="B2742" i="1"/>
  <c r="C2742" i="1"/>
  <c r="A11583" i="1"/>
  <c r="B11583" i="1"/>
  <c r="C11583" i="1"/>
  <c r="A3335" i="1"/>
  <c r="B3335" i="1"/>
  <c r="C3335" i="1"/>
  <c r="A5989" i="1"/>
  <c r="B5989" i="1"/>
  <c r="C5989" i="1"/>
  <c r="A5988" i="1"/>
  <c r="B5988" i="1"/>
  <c r="C5988" i="1"/>
  <c r="A5986" i="1"/>
  <c r="B5986" i="1"/>
  <c r="C5986" i="1"/>
  <c r="A11499" i="1"/>
  <c r="B11499" i="1"/>
  <c r="C11499" i="1"/>
  <c r="A8452" i="1"/>
  <c r="B8452" i="1"/>
  <c r="C8452" i="1"/>
  <c r="A24516" i="1"/>
  <c r="B24516" i="1"/>
  <c r="C24516" i="1"/>
  <c r="A111" i="1"/>
  <c r="B111" i="1"/>
  <c r="C111" i="1"/>
  <c r="A110" i="1"/>
  <c r="B110" i="1"/>
  <c r="C110" i="1"/>
  <c r="A7327" i="1"/>
  <c r="B7327" i="1"/>
  <c r="C7327" i="1"/>
  <c r="A293" i="1"/>
  <c r="B293" i="1"/>
  <c r="C293" i="1"/>
  <c r="A9474" i="1"/>
  <c r="B9474" i="1"/>
  <c r="C9474" i="1"/>
  <c r="A23238" i="1"/>
  <c r="B23238" i="1"/>
  <c r="C23238" i="1"/>
  <c r="A23234" i="1"/>
  <c r="B23234" i="1"/>
  <c r="C23234" i="1"/>
  <c r="A15746" i="1"/>
  <c r="B15746" i="1"/>
  <c r="C15746" i="1"/>
  <c r="A8768" i="1"/>
  <c r="B8768" i="1"/>
  <c r="C8768" i="1"/>
  <c r="A21005" i="1"/>
  <c r="B21005" i="1"/>
  <c r="C21005" i="1"/>
  <c r="A21006" i="1"/>
  <c r="B21006" i="1"/>
  <c r="C21006" i="1"/>
  <c r="A8791" i="1"/>
  <c r="B8791" i="1"/>
  <c r="C8791" i="1"/>
  <c r="A8792" i="1"/>
  <c r="B8792" i="1"/>
  <c r="C8792" i="1"/>
  <c r="A8794" i="1"/>
  <c r="B8794" i="1"/>
  <c r="C8794" i="1"/>
  <c r="A8789" i="1"/>
  <c r="B8789" i="1"/>
  <c r="C8789" i="1"/>
  <c r="A22217" i="1"/>
  <c r="B22217" i="1"/>
  <c r="C22217" i="1"/>
  <c r="A5423" i="1"/>
  <c r="B5423" i="1"/>
  <c r="C5423" i="1"/>
  <c r="A17756" i="1"/>
  <c r="B17756" i="1"/>
  <c r="C17756" i="1"/>
  <c r="A18110" i="1"/>
  <c r="B18110" i="1"/>
  <c r="C18110" i="1"/>
  <c r="A11254" i="1"/>
  <c r="B11254" i="1"/>
  <c r="C11254" i="1"/>
  <c r="A24857" i="1"/>
  <c r="C24857" i="1"/>
  <c r="A25107" i="1"/>
  <c r="B25107" i="1"/>
  <c r="C25107" i="1"/>
  <c r="A11432" i="1"/>
  <c r="B11432" i="1"/>
  <c r="C11432" i="1"/>
  <c r="A24806" i="1"/>
  <c r="B24806" i="1"/>
  <c r="C24806" i="1"/>
  <c r="A21033" i="1"/>
  <c r="B21033" i="1"/>
  <c r="C21033" i="1"/>
  <c r="A14822" i="1"/>
  <c r="B14822" i="1"/>
  <c r="C14822" i="1"/>
  <c r="A7093" i="1"/>
  <c r="B7093" i="1"/>
  <c r="C7093" i="1"/>
  <c r="A249" i="1"/>
  <c r="B249" i="1"/>
  <c r="C249" i="1"/>
  <c r="A24712" i="1"/>
  <c r="B24712" i="1"/>
  <c r="C24712" i="1"/>
  <c r="A1084" i="1"/>
  <c r="B1084" i="1"/>
  <c r="C1084" i="1"/>
  <c r="A8891" i="1"/>
  <c r="B8891" i="1"/>
  <c r="C8891" i="1"/>
  <c r="A22964" i="1"/>
  <c r="B22964" i="1"/>
  <c r="C22964" i="1"/>
  <c r="A16486" i="1"/>
  <c r="B16486" i="1"/>
  <c r="C16486" i="1"/>
  <c r="A112" i="1"/>
  <c r="B112" i="1"/>
  <c r="C112" i="1"/>
  <c r="A11492" i="1"/>
  <c r="B11492" i="1"/>
  <c r="C11492" i="1"/>
  <c r="A11491" i="1"/>
  <c r="B11491" i="1"/>
  <c r="C11491" i="1"/>
  <c r="A3255" i="1"/>
  <c r="B3255" i="1"/>
  <c r="C3255" i="1"/>
  <c r="A3256" i="1"/>
  <c r="B3256" i="1"/>
  <c r="C3256" i="1"/>
  <c r="A3257" i="1"/>
  <c r="B3257" i="1"/>
  <c r="C3257" i="1"/>
  <c r="A3258" i="1"/>
  <c r="B3258" i="1"/>
  <c r="C3258" i="1"/>
  <c r="A3259" i="1"/>
  <c r="B3259" i="1"/>
  <c r="C3259" i="1"/>
  <c r="A3260" i="1"/>
  <c r="B3260" i="1"/>
  <c r="C3260" i="1"/>
  <c r="A3261" i="1"/>
  <c r="B3261" i="1"/>
  <c r="C3261" i="1"/>
  <c r="A3262" i="1"/>
  <c r="B3262" i="1"/>
  <c r="C3262" i="1"/>
  <c r="A3263" i="1"/>
  <c r="B3263" i="1"/>
  <c r="C3263" i="1"/>
  <c r="A3264" i="1"/>
  <c r="B3264" i="1"/>
  <c r="C3264" i="1"/>
  <c r="A3265" i="1"/>
  <c r="B3265" i="1"/>
  <c r="C3265" i="1"/>
  <c r="A3266" i="1"/>
  <c r="B3266" i="1"/>
  <c r="C3266" i="1"/>
  <c r="A3267" i="1"/>
  <c r="B3267" i="1"/>
  <c r="C3267" i="1"/>
  <c r="A9845" i="1"/>
  <c r="B9845" i="1"/>
  <c r="C9845" i="1"/>
  <c r="A14654" i="1"/>
  <c r="B14654" i="1"/>
  <c r="C14654" i="1"/>
  <c r="A19606" i="1"/>
  <c r="B19606" i="1"/>
  <c r="C19606" i="1"/>
  <c r="A7003" i="1"/>
  <c r="B7003" i="1"/>
  <c r="C7003" i="1"/>
  <c r="A3893" i="1"/>
  <c r="B3893" i="1"/>
  <c r="C3893" i="1"/>
  <c r="A19017" i="1"/>
  <c r="B19017" i="1"/>
  <c r="C19017" i="1"/>
  <c r="A2613" i="1"/>
  <c r="B2613" i="1"/>
  <c r="C2613" i="1"/>
  <c r="A2618" i="1"/>
  <c r="B2618" i="1"/>
  <c r="C2618" i="1"/>
  <c r="A5702" i="1"/>
  <c r="B5702" i="1"/>
  <c r="C5702" i="1"/>
  <c r="A14276" i="1"/>
  <c r="B14276" i="1"/>
  <c r="C14276" i="1"/>
  <c r="A583" i="1"/>
  <c r="B583" i="1"/>
  <c r="C583" i="1"/>
  <c r="A8549" i="1"/>
  <c r="B8549" i="1"/>
  <c r="C8549" i="1"/>
  <c r="A7054" i="1"/>
  <c r="B7054" i="1"/>
  <c r="C7054" i="1"/>
  <c r="A24883" i="1"/>
  <c r="B24883" i="1"/>
  <c r="C24883" i="1"/>
  <c r="A1842" i="1"/>
  <c r="B1842" i="1"/>
  <c r="C1842" i="1"/>
  <c r="A13795" i="1"/>
  <c r="B13795" i="1"/>
  <c r="C13795" i="1"/>
  <c r="A8927" i="1"/>
  <c r="B8927" i="1"/>
  <c r="C8927" i="1"/>
  <c r="A10574" i="1"/>
  <c r="B10574" i="1"/>
  <c r="C10574" i="1"/>
  <c r="A13703" i="1"/>
  <c r="B13703" i="1"/>
  <c r="C13703" i="1"/>
  <c r="A13698" i="1"/>
  <c r="B13698" i="1"/>
  <c r="C13698" i="1"/>
  <c r="A10658" i="1"/>
  <c r="B10658" i="1"/>
  <c r="C10658" i="1"/>
  <c r="A7809" i="1"/>
  <c r="B7809" i="1"/>
  <c r="C7809" i="1"/>
  <c r="A13688" i="1"/>
  <c r="B13688" i="1"/>
  <c r="C13688" i="1"/>
  <c r="A13186" i="1"/>
  <c r="B13186" i="1"/>
  <c r="C13186" i="1"/>
  <c r="A19778" i="1"/>
  <c r="B19778" i="1"/>
  <c r="C19778" i="1"/>
  <c r="A10303" i="1"/>
  <c r="B10303" i="1"/>
  <c r="C10303" i="1"/>
  <c r="A5408" i="1"/>
  <c r="B5408" i="1"/>
  <c r="C5408" i="1"/>
  <c r="A7665" i="1"/>
  <c r="B7665" i="1"/>
  <c r="C7665" i="1"/>
  <c r="A1929" i="1"/>
  <c r="B1929" i="1"/>
  <c r="C1929" i="1"/>
  <c r="A15131" i="1"/>
  <c r="B15131" i="1"/>
  <c r="C15131" i="1"/>
  <c r="A15130" i="1"/>
  <c r="B15130" i="1"/>
  <c r="C15130" i="1"/>
  <c r="A12627" i="1"/>
  <c r="B12627" i="1"/>
  <c r="C12627" i="1"/>
  <c r="A7994" i="1"/>
  <c r="B7994" i="1"/>
  <c r="C7994" i="1"/>
  <c r="A11951" i="1"/>
  <c r="B11951" i="1"/>
  <c r="C11951" i="1"/>
  <c r="A1625" i="1"/>
  <c r="B1625" i="1"/>
  <c r="C1625" i="1"/>
  <c r="A14733" i="1"/>
  <c r="B14733" i="1"/>
  <c r="C14733" i="1"/>
  <c r="A17386" i="1"/>
  <c r="B17386" i="1"/>
  <c r="C17386" i="1"/>
  <c r="A13865" i="1"/>
  <c r="B13865" i="1"/>
  <c r="C13865" i="1"/>
  <c r="A14764" i="1"/>
  <c r="B14764" i="1"/>
  <c r="C14764" i="1"/>
  <c r="A5529" i="1"/>
  <c r="B5529" i="1"/>
  <c r="C5529" i="1"/>
  <c r="A14768" i="1"/>
  <c r="B14768" i="1"/>
  <c r="C14768" i="1"/>
  <c r="A752" i="1"/>
  <c r="B752" i="1"/>
  <c r="C752" i="1"/>
  <c r="A11704" i="1"/>
  <c r="B11704" i="1"/>
  <c r="C11704" i="1"/>
  <c r="A10376" i="1"/>
  <c r="B10376" i="1"/>
  <c r="C10376" i="1"/>
  <c r="A19393" i="1"/>
  <c r="B19393" i="1"/>
  <c r="C19393" i="1"/>
  <c r="A2324" i="1"/>
  <c r="B2324" i="1"/>
  <c r="C2324" i="1"/>
  <c r="A4214" i="1"/>
  <c r="B4214" i="1"/>
  <c r="C4214" i="1"/>
  <c r="A10122" i="1"/>
  <c r="B10122" i="1"/>
  <c r="C10122" i="1"/>
  <c r="A19413" i="1"/>
  <c r="B19413" i="1"/>
  <c r="C19413" i="1"/>
  <c r="A4216" i="1"/>
  <c r="B4216" i="1"/>
  <c r="C4216" i="1"/>
  <c r="A10260" i="1"/>
  <c r="B10260" i="1"/>
  <c r="C10260" i="1"/>
  <c r="A22560" i="1"/>
  <c r="B22560" i="1"/>
  <c r="C22560" i="1"/>
  <c r="A22561" i="1"/>
  <c r="B22561" i="1"/>
  <c r="C22561" i="1"/>
  <c r="A10261" i="1"/>
  <c r="B10261" i="1"/>
  <c r="C10261" i="1"/>
  <c r="A18018" i="1"/>
  <c r="B18018" i="1"/>
  <c r="C18018" i="1"/>
  <c r="A15049" i="1"/>
  <c r="B15049" i="1"/>
  <c r="C15049" i="1"/>
  <c r="A17379" i="1"/>
  <c r="B17379" i="1"/>
  <c r="C17379" i="1"/>
  <c r="A17378" i="1"/>
  <c r="B17378" i="1"/>
  <c r="C17378" i="1"/>
  <c r="A6707" i="1"/>
  <c r="B6707" i="1"/>
  <c r="C6707" i="1"/>
  <c r="A16783" i="1"/>
  <c r="B16783" i="1"/>
  <c r="C16783" i="1"/>
  <c r="A4098" i="1"/>
  <c r="B4098" i="1"/>
  <c r="C4098" i="1"/>
  <c r="A6710" i="1"/>
  <c r="B6710" i="1"/>
  <c r="C6710" i="1"/>
  <c r="A6709" i="1"/>
  <c r="B6709" i="1"/>
  <c r="C6709" i="1"/>
  <c r="A16960" i="1"/>
  <c r="B16960" i="1"/>
  <c r="C16960" i="1"/>
  <c r="A16961" i="1"/>
  <c r="B16961" i="1"/>
  <c r="C16961" i="1"/>
  <c r="A9522" i="1"/>
  <c r="B9522" i="1"/>
  <c r="C9522" i="1"/>
  <c r="A9523" i="1"/>
  <c r="B9523" i="1"/>
  <c r="C9523" i="1"/>
  <c r="A13685" i="1"/>
  <c r="B13685" i="1"/>
  <c r="C13685" i="1"/>
  <c r="A19360" i="1"/>
  <c r="B19360" i="1"/>
  <c r="C19360" i="1"/>
  <c r="A13683" i="1"/>
  <c r="B13683" i="1"/>
  <c r="C13683" i="1"/>
  <c r="A24038" i="1"/>
  <c r="B24038" i="1"/>
  <c r="C24038" i="1"/>
  <c r="A2605" i="1"/>
  <c r="B2605" i="1"/>
  <c r="C2605" i="1"/>
  <c r="A2608" i="1"/>
  <c r="B2608" i="1"/>
  <c r="C2608" i="1"/>
  <c r="A2609" i="1"/>
  <c r="B2609" i="1"/>
  <c r="C2609" i="1"/>
  <c r="A2615" i="1"/>
  <c r="B2615" i="1"/>
  <c r="C2615" i="1"/>
  <c r="A2614" i="1"/>
  <c r="B2614" i="1"/>
  <c r="C2614" i="1"/>
  <c r="A10935" i="1"/>
  <c r="B10935" i="1"/>
  <c r="C10935" i="1"/>
  <c r="A10936" i="1"/>
  <c r="B10936" i="1"/>
  <c r="C10936" i="1"/>
  <c r="A17407" i="1"/>
  <c r="B17407" i="1"/>
  <c r="C17407" i="1"/>
  <c r="A17409" i="1"/>
  <c r="B17409" i="1"/>
  <c r="C17409" i="1"/>
  <c r="A17408" i="1"/>
  <c r="B17408" i="1"/>
  <c r="C17408" i="1"/>
  <c r="A10198" i="1"/>
  <c r="B10198" i="1"/>
  <c r="C10198" i="1"/>
  <c r="A590" i="1"/>
  <c r="B590" i="1"/>
  <c r="C590" i="1"/>
  <c r="A10662" i="1"/>
  <c r="B10662" i="1"/>
  <c r="C10662" i="1"/>
  <c r="A10255" i="1"/>
  <c r="B10255" i="1"/>
  <c r="C10255" i="1"/>
  <c r="A6854" i="1"/>
  <c r="B6854" i="1"/>
  <c r="C6854" i="1"/>
  <c r="A5622" i="1"/>
  <c r="B5622" i="1"/>
  <c r="C5622" i="1"/>
  <c r="A2760" i="1"/>
  <c r="B2760" i="1"/>
  <c r="C2760" i="1"/>
  <c r="A2761" i="1"/>
  <c r="B2761" i="1"/>
  <c r="C2761" i="1"/>
  <c r="A7473" i="1"/>
  <c r="B7473" i="1"/>
  <c r="C7473" i="1"/>
  <c r="A7505" i="1"/>
  <c r="B7505" i="1"/>
  <c r="C7505" i="1"/>
  <c r="A7414" i="1"/>
  <c r="B7414" i="1"/>
  <c r="C7414" i="1"/>
  <c r="A7422" i="1"/>
  <c r="B7422" i="1"/>
  <c r="C7422" i="1"/>
  <c r="A18649" i="1"/>
  <c r="B18649" i="1"/>
  <c r="C18649" i="1"/>
  <c r="A18648" i="1"/>
  <c r="B18648" i="1"/>
  <c r="C18648" i="1"/>
  <c r="A15621" i="1"/>
  <c r="B15621" i="1"/>
  <c r="C15621" i="1"/>
  <c r="A23779" i="1"/>
  <c r="B23779" i="1"/>
  <c r="C23779" i="1"/>
  <c r="A4546" i="1"/>
  <c r="B4546" i="1"/>
  <c r="C4546" i="1"/>
  <c r="A22697" i="1"/>
  <c r="B22697" i="1"/>
  <c r="C22697" i="1"/>
  <c r="A9027" i="1"/>
  <c r="B9027" i="1"/>
  <c r="C9027" i="1"/>
  <c r="A4370" i="1"/>
  <c r="B4370" i="1"/>
  <c r="C4370" i="1"/>
  <c r="A24402" i="1"/>
  <c r="B24402" i="1"/>
  <c r="C24402" i="1"/>
  <c r="A14288" i="1"/>
  <c r="B14288" i="1"/>
  <c r="C14288" i="1"/>
  <c r="A22857" i="1"/>
  <c r="B22857" i="1"/>
  <c r="C22857" i="1"/>
  <c r="A3966" i="1"/>
  <c r="B3966" i="1"/>
  <c r="C3966" i="1"/>
  <c r="A4124" i="1"/>
  <c r="B4124" i="1"/>
  <c r="C4124" i="1"/>
  <c r="A19079" i="1"/>
  <c r="B19079" i="1"/>
  <c r="C19079" i="1"/>
  <c r="A24202" i="1"/>
  <c r="B24202" i="1"/>
  <c r="C24202" i="1"/>
  <c r="A1338" i="1"/>
  <c r="B1338" i="1"/>
  <c r="C1338" i="1"/>
  <c r="A22373" i="1"/>
  <c r="B22373" i="1"/>
  <c r="C22373" i="1"/>
  <c r="A16633" i="1"/>
  <c r="B16633" i="1"/>
  <c r="C16633" i="1"/>
  <c r="A22703" i="1"/>
  <c r="B22703" i="1"/>
  <c r="C22703" i="1"/>
  <c r="A24891" i="1"/>
  <c r="B24891" i="1"/>
  <c r="C24891" i="1"/>
  <c r="A22707" i="1"/>
  <c r="B22707" i="1"/>
  <c r="C22707" i="1"/>
  <c r="A22702" i="1"/>
  <c r="B22702" i="1"/>
  <c r="C22702" i="1"/>
  <c r="A22706" i="1"/>
  <c r="B22706" i="1"/>
  <c r="C22706" i="1"/>
  <c r="A15938" i="1"/>
  <c r="B15938" i="1"/>
  <c r="C15938" i="1"/>
  <c r="A22704" i="1"/>
  <c r="B22704" i="1"/>
  <c r="C22704" i="1"/>
  <c r="A22705" i="1"/>
  <c r="B22705" i="1"/>
  <c r="C22705" i="1"/>
  <c r="A11577" i="1"/>
  <c r="B11577" i="1"/>
  <c r="C11577" i="1"/>
  <c r="A22500" i="1"/>
  <c r="B22500" i="1"/>
  <c r="C22500" i="1"/>
  <c r="A16241" i="1"/>
  <c r="B16241" i="1"/>
  <c r="C16241" i="1"/>
  <c r="A24413" i="1"/>
  <c r="B24413" i="1"/>
  <c r="C24413" i="1"/>
  <c r="A5629" i="1"/>
  <c r="B5629" i="1"/>
  <c r="C5629" i="1"/>
  <c r="A5630" i="1"/>
  <c r="B5630" i="1"/>
  <c r="C5630" i="1"/>
  <c r="A10387" i="1"/>
  <c r="B10387" i="1"/>
  <c r="C10387" i="1"/>
  <c r="A2617" i="1"/>
  <c r="B2617" i="1"/>
  <c r="C2617" i="1"/>
  <c r="A12312" i="1"/>
  <c r="B12312" i="1"/>
  <c r="C12312" i="1"/>
  <c r="A18555" i="1"/>
  <c r="B18555" i="1"/>
  <c r="C18555" i="1"/>
  <c r="A11444" i="1"/>
  <c r="B11444" i="1"/>
  <c r="C11444" i="1"/>
  <c r="A18245" i="1"/>
  <c r="B18245" i="1"/>
  <c r="C18245" i="1"/>
  <c r="A4242" i="1"/>
  <c r="B4242" i="1"/>
  <c r="C4242" i="1"/>
  <c r="A3239" i="1"/>
  <c r="B3239" i="1"/>
  <c r="C3239" i="1"/>
  <c r="A16586" i="1"/>
  <c r="B16586" i="1"/>
  <c r="C16586" i="1"/>
  <c r="A4953" i="1"/>
  <c r="B4953" i="1"/>
  <c r="C4953" i="1"/>
  <c r="A4952" i="1"/>
  <c r="B4952" i="1"/>
  <c r="C4952" i="1"/>
  <c r="A4653" i="1"/>
  <c r="B4653" i="1"/>
  <c r="C4653" i="1"/>
  <c r="A4652" i="1"/>
  <c r="B4652" i="1"/>
  <c r="C4652" i="1"/>
  <c r="A11884" i="1"/>
  <c r="B11884" i="1"/>
  <c r="C11884" i="1"/>
  <c r="A12237" i="1"/>
  <c r="B12237" i="1"/>
  <c r="C12237" i="1"/>
  <c r="A2595" i="1"/>
  <c r="B2595" i="1"/>
  <c r="C2595" i="1"/>
  <c r="A4911" i="1"/>
  <c r="B4911" i="1"/>
  <c r="C4911" i="1"/>
  <c r="A4927" i="1"/>
  <c r="B4927" i="1"/>
  <c r="C4927" i="1"/>
  <c r="A4949" i="1"/>
  <c r="B4949" i="1"/>
  <c r="C4949" i="1"/>
  <c r="A15466" i="1"/>
  <c r="B15466" i="1"/>
  <c r="C15466" i="1"/>
  <c r="A17970" i="1"/>
  <c r="B17970" i="1"/>
  <c r="C17970" i="1"/>
  <c r="A17396" i="1"/>
  <c r="B17396" i="1"/>
  <c r="C17396" i="1"/>
  <c r="A5173" i="1"/>
  <c r="B5173" i="1"/>
  <c r="C5173" i="1"/>
  <c r="A4943" i="1"/>
  <c r="B4943" i="1"/>
  <c r="C4943" i="1"/>
  <c r="A4945" i="1"/>
  <c r="B4945" i="1"/>
  <c r="C4945" i="1"/>
  <c r="A4229" i="1"/>
  <c r="B4229" i="1"/>
  <c r="C4229" i="1"/>
  <c r="A8439" i="1"/>
  <c r="B8439" i="1"/>
  <c r="C8439" i="1"/>
  <c r="A25365" i="1"/>
  <c r="B25365" i="1"/>
  <c r="C25365" i="1"/>
  <c r="A25348" i="1"/>
  <c r="B25348" i="1"/>
  <c r="C25348" i="1"/>
  <c r="A7396" i="1"/>
  <c r="B7396" i="1"/>
  <c r="C7396" i="1"/>
  <c r="A7388" i="1"/>
  <c r="B7388" i="1"/>
  <c r="C7388" i="1"/>
  <c r="A7387" i="1"/>
  <c r="B7387" i="1"/>
  <c r="C7387" i="1"/>
  <c r="A7385" i="1"/>
  <c r="B7385" i="1"/>
  <c r="C7385" i="1"/>
  <c r="A4955" i="1"/>
  <c r="B4955" i="1"/>
  <c r="C4955" i="1"/>
  <c r="A12105" i="1"/>
  <c r="B12105" i="1"/>
  <c r="C12105" i="1"/>
  <c r="A9844" i="1"/>
  <c r="B9844" i="1"/>
  <c r="C9844" i="1"/>
  <c r="A15216" i="1"/>
  <c r="B15216" i="1"/>
  <c r="C15216" i="1"/>
  <c r="A25088" i="1"/>
  <c r="B25088" i="1"/>
  <c r="C25088" i="1"/>
  <c r="A296" i="1"/>
  <c r="B296" i="1"/>
  <c r="C296" i="1"/>
  <c r="A24103" i="1"/>
  <c r="B24103" i="1"/>
  <c r="C24103" i="1"/>
  <c r="A184" i="1"/>
  <c r="B184" i="1"/>
  <c r="C184" i="1"/>
  <c r="A10189" i="1"/>
  <c r="B10189" i="1"/>
  <c r="C10189" i="1"/>
  <c r="A7173" i="1"/>
  <c r="B7173" i="1"/>
  <c r="C7173" i="1"/>
  <c r="A10177" i="1"/>
  <c r="B10177" i="1"/>
  <c r="C10177" i="1"/>
  <c r="A6631" i="1"/>
  <c r="B6631" i="1"/>
  <c r="C6631" i="1"/>
  <c r="A6632" i="1"/>
  <c r="B6632" i="1"/>
  <c r="C6632" i="1"/>
  <c r="A10063" i="1"/>
  <c r="B10063" i="1"/>
  <c r="C10063" i="1"/>
  <c r="A10064" i="1"/>
  <c r="B10064" i="1"/>
  <c r="C10064" i="1"/>
  <c r="A17541" i="1"/>
  <c r="B17541" i="1"/>
  <c r="C17541" i="1"/>
  <c r="A21010" i="1"/>
  <c r="B21010" i="1"/>
  <c r="C21010" i="1"/>
  <c r="A17013" i="1"/>
  <c r="B17013" i="1"/>
  <c r="C17013" i="1"/>
  <c r="A2857" i="1"/>
  <c r="B2857" i="1"/>
  <c r="C2857" i="1"/>
  <c r="A2108" i="1"/>
  <c r="B2108" i="1"/>
  <c r="C2108" i="1"/>
  <c r="A10088" i="1"/>
  <c r="B10088" i="1"/>
  <c r="C10088" i="1"/>
  <c r="A10087" i="1"/>
  <c r="B10087" i="1"/>
  <c r="C10087" i="1"/>
  <c r="A23101" i="1"/>
  <c r="B23101" i="1"/>
  <c r="C23101" i="1"/>
  <c r="A10491" i="1"/>
  <c r="B10491" i="1"/>
  <c r="C10491" i="1"/>
  <c r="A11534" i="1"/>
  <c r="B11534" i="1"/>
  <c r="C11534" i="1"/>
  <c r="A15754" i="1"/>
  <c r="B15754" i="1"/>
  <c r="C15754" i="1"/>
  <c r="A22249" i="1"/>
  <c r="B22249" i="1"/>
  <c r="C22249" i="1"/>
  <c r="A22598" i="1"/>
  <c r="B22598" i="1"/>
  <c r="C22598" i="1"/>
  <c r="A23434" i="1"/>
  <c r="B23434" i="1"/>
  <c r="C23434" i="1"/>
  <c r="A23433" i="1"/>
  <c r="B23433" i="1"/>
  <c r="C23433" i="1"/>
  <c r="A5588" i="1"/>
  <c r="B5588" i="1"/>
  <c r="C5588" i="1"/>
  <c r="A15750" i="1"/>
  <c r="B15750" i="1"/>
  <c r="C15750" i="1"/>
  <c r="A2318" i="1"/>
  <c r="B2318" i="1"/>
  <c r="C2318" i="1"/>
  <c r="A5593" i="1"/>
  <c r="B5593" i="1"/>
  <c r="C5593" i="1"/>
  <c r="A1280" i="1"/>
  <c r="B1280" i="1"/>
  <c r="C1280" i="1"/>
  <c r="A4454" i="1"/>
  <c r="B4454" i="1"/>
  <c r="C4454" i="1"/>
  <c r="A3639" i="1"/>
  <c r="B3639" i="1"/>
  <c r="C3639" i="1"/>
  <c r="A4912" i="1"/>
  <c r="B4912" i="1"/>
  <c r="C4912" i="1"/>
  <c r="A4928" i="1"/>
  <c r="B4928" i="1"/>
  <c r="C4928" i="1"/>
  <c r="A16738" i="1"/>
  <c r="B16738" i="1"/>
  <c r="C16738" i="1"/>
  <c r="A23810" i="1"/>
  <c r="B23810" i="1"/>
  <c r="C23810" i="1"/>
  <c r="A16126" i="1"/>
  <c r="B16126" i="1"/>
  <c r="C16126" i="1"/>
  <c r="A19314" i="1"/>
  <c r="B19314" i="1"/>
  <c r="C19314" i="1"/>
  <c r="A23064" i="1"/>
  <c r="B23064" i="1"/>
  <c r="C23064" i="1"/>
  <c r="A22033" i="1"/>
  <c r="B22033" i="1"/>
  <c r="C22033" i="1"/>
  <c r="A22043" i="1"/>
  <c r="B22043" i="1"/>
  <c r="C22043" i="1"/>
  <c r="A22051" i="1"/>
  <c r="B22051" i="1"/>
  <c r="C22051" i="1"/>
  <c r="A22086" i="1"/>
  <c r="B22086" i="1"/>
  <c r="C22086" i="1"/>
  <c r="A11606" i="1"/>
  <c r="B11606" i="1"/>
  <c r="C11606" i="1"/>
  <c r="A23057" i="1"/>
  <c r="B23057" i="1"/>
  <c r="C23057" i="1"/>
  <c r="A23067" i="1"/>
  <c r="B23067" i="1"/>
  <c r="C23067" i="1"/>
  <c r="A23044" i="1"/>
  <c r="B23044" i="1"/>
  <c r="C23044" i="1"/>
  <c r="A22036" i="1"/>
  <c r="B22036" i="1"/>
  <c r="C22036" i="1"/>
  <c r="A12435" i="1"/>
  <c r="B12435" i="1"/>
  <c r="C12435" i="1"/>
  <c r="A24568" i="1"/>
  <c r="B24568" i="1"/>
  <c r="C24568" i="1"/>
  <c r="A10381" i="1"/>
  <c r="B10381" i="1"/>
  <c r="C10381" i="1"/>
  <c r="A11721" i="1"/>
  <c r="B11721" i="1"/>
  <c r="C11721" i="1"/>
  <c r="A2803" i="1"/>
  <c r="B2803" i="1"/>
  <c r="C2803" i="1"/>
  <c r="A2804" i="1"/>
  <c r="B2804" i="1"/>
  <c r="C2804" i="1"/>
  <c r="A11345" i="1"/>
  <c r="B11345" i="1"/>
  <c r="C11345" i="1"/>
  <c r="A22066" i="1"/>
  <c r="B22066" i="1"/>
  <c r="C22066" i="1"/>
  <c r="A20625" i="1"/>
  <c r="B20625" i="1"/>
  <c r="C20625" i="1"/>
  <c r="A18907" i="1"/>
  <c r="B18907" i="1"/>
  <c r="C18907" i="1"/>
  <c r="A20505" i="1"/>
  <c r="B20505" i="1"/>
  <c r="C20505" i="1"/>
  <c r="A19130" i="1"/>
  <c r="B19130" i="1"/>
  <c r="C19130" i="1"/>
  <c r="A19129" i="1"/>
  <c r="B19129" i="1"/>
  <c r="C19129" i="1"/>
  <c r="A21016" i="1"/>
  <c r="B21016" i="1"/>
  <c r="C21016" i="1"/>
  <c r="A22475" i="1"/>
  <c r="B22475" i="1"/>
  <c r="C22475" i="1"/>
  <c r="A25721" i="1"/>
  <c r="B25721" i="1"/>
  <c r="C25721" i="1"/>
  <c r="A25723" i="1"/>
  <c r="B25723" i="1"/>
  <c r="C25723" i="1"/>
  <c r="A25722" i="1"/>
  <c r="B25722" i="1"/>
  <c r="C25722" i="1"/>
  <c r="A18203" i="1"/>
  <c r="B18203" i="1"/>
  <c r="C18203" i="1"/>
  <c r="A20124" i="1"/>
  <c r="B20124" i="1"/>
  <c r="C20124" i="1"/>
  <c r="A20125" i="1"/>
  <c r="B20125" i="1"/>
  <c r="C20125" i="1"/>
  <c r="A9353" i="1"/>
  <c r="B9353" i="1"/>
  <c r="C9353" i="1"/>
  <c r="A2113" i="1"/>
  <c r="B2113" i="1"/>
  <c r="C2113" i="1"/>
  <c r="A11588" i="1"/>
  <c r="B11588" i="1"/>
  <c r="C11588" i="1"/>
  <c r="A17406" i="1"/>
  <c r="B17406" i="1"/>
  <c r="C17406" i="1"/>
  <c r="A17405" i="1"/>
  <c r="B17405" i="1"/>
  <c r="C17405" i="1"/>
  <c r="A6822" i="1"/>
  <c r="B6822" i="1"/>
  <c r="C6822" i="1"/>
  <c r="A18243" i="1"/>
  <c r="B18243" i="1"/>
  <c r="C18243" i="1"/>
  <c r="A19698" i="1"/>
  <c r="B19698" i="1"/>
  <c r="C19698" i="1"/>
  <c r="A5844" i="1"/>
  <c r="B5844" i="1"/>
  <c r="C5844" i="1"/>
  <c r="A10185" i="1"/>
  <c r="B10185" i="1"/>
  <c r="C10185" i="1"/>
  <c r="A10259" i="1"/>
  <c r="B10259" i="1"/>
  <c r="C10259" i="1"/>
  <c r="A10256" i="1"/>
  <c r="B10256" i="1"/>
  <c r="C10256" i="1"/>
  <c r="A10258" i="1"/>
  <c r="B10258" i="1"/>
  <c r="C10258" i="1"/>
  <c r="A7389" i="1"/>
  <c r="B7389" i="1"/>
  <c r="C7389" i="1"/>
  <c r="A7395" i="1"/>
  <c r="B7395" i="1"/>
  <c r="C7395" i="1"/>
  <c r="A7384" i="1"/>
  <c r="B7384" i="1"/>
  <c r="C7384" i="1"/>
  <c r="A13284" i="1"/>
  <c r="B13284" i="1"/>
  <c r="C13284" i="1"/>
  <c r="A13296" i="1"/>
  <c r="B13296" i="1"/>
  <c r="C13296" i="1"/>
  <c r="A9891" i="1"/>
  <c r="B9891" i="1"/>
  <c r="C9891" i="1"/>
  <c r="A11984" i="1"/>
  <c r="B11984" i="1"/>
  <c r="C11984" i="1"/>
  <c r="A17749" i="1"/>
  <c r="B17749" i="1"/>
  <c r="C17749" i="1"/>
  <c r="A10770" i="1"/>
  <c r="B10770" i="1"/>
  <c r="C10770" i="1"/>
  <c r="A13323" i="1"/>
  <c r="B13323" i="1"/>
  <c r="C13323" i="1"/>
  <c r="A10199" i="1"/>
  <c r="B10199" i="1"/>
  <c r="C10199" i="1"/>
  <c r="A11454" i="1"/>
  <c r="B11454" i="1"/>
  <c r="C11454" i="1"/>
  <c r="A22778" i="1"/>
  <c r="B22778" i="1"/>
  <c r="C22778" i="1"/>
  <c r="A14198" i="1"/>
  <c r="B14198" i="1"/>
  <c r="C14198" i="1"/>
  <c r="A15569" i="1"/>
  <c r="B15569" i="1"/>
  <c r="C15569" i="1"/>
  <c r="A11654" i="1"/>
  <c r="B11654" i="1"/>
  <c r="C11654" i="1"/>
  <c r="A14305" i="1"/>
  <c r="B14305" i="1"/>
  <c r="C14305" i="1"/>
  <c r="A8282" i="1"/>
  <c r="B8282" i="1"/>
  <c r="C8282" i="1"/>
  <c r="A22129" i="1"/>
  <c r="B22129" i="1"/>
  <c r="C22129" i="1"/>
  <c r="A15381" i="1"/>
  <c r="B15381" i="1"/>
  <c r="C15381" i="1"/>
  <c r="A20230" i="1"/>
  <c r="B20230" i="1"/>
  <c r="C20230" i="1"/>
  <c r="A22079" i="1"/>
  <c r="B22079" i="1"/>
  <c r="C22079" i="1"/>
  <c r="A3816" i="1"/>
  <c r="B3816" i="1"/>
  <c r="C3816" i="1"/>
  <c r="A2699" i="1"/>
  <c r="B2699" i="1"/>
  <c r="C2699" i="1"/>
  <c r="A11085" i="1"/>
  <c r="B11085" i="1"/>
  <c r="C11085" i="1"/>
  <c r="A2807" i="1"/>
  <c r="B2807" i="1"/>
  <c r="C2807" i="1"/>
  <c r="A13867" i="1"/>
  <c r="B13867" i="1"/>
  <c r="C13867" i="1"/>
  <c r="A25731" i="1"/>
  <c r="B25731" i="1"/>
  <c r="C25731" i="1"/>
  <c r="A25732" i="1"/>
  <c r="B25732" i="1"/>
  <c r="C25732" i="1"/>
  <c r="A25733" i="1"/>
  <c r="B25733" i="1"/>
  <c r="C25733" i="1"/>
  <c r="A5768" i="1"/>
  <c r="B5768" i="1"/>
  <c r="C5768" i="1"/>
  <c r="A19153" i="1"/>
  <c r="B19153" i="1"/>
  <c r="C19153" i="1"/>
  <c r="A19128" i="1"/>
  <c r="B19128" i="1"/>
  <c r="C19128" i="1"/>
  <c r="A19127" i="1"/>
  <c r="B19127" i="1"/>
  <c r="C19127" i="1"/>
  <c r="A19126" i="1"/>
  <c r="B19126" i="1"/>
  <c r="C19126" i="1"/>
  <c r="A14772" i="1"/>
  <c r="B14772" i="1"/>
  <c r="C14772" i="1"/>
  <c r="A11720" i="1"/>
  <c r="B11720" i="1"/>
  <c r="C11720" i="1"/>
  <c r="A6817" i="1"/>
  <c r="B6817" i="1"/>
  <c r="C6817" i="1"/>
  <c r="A6818" i="1"/>
  <c r="B6818" i="1"/>
  <c r="C6818" i="1"/>
  <c r="A6819" i="1"/>
  <c r="B6819" i="1"/>
  <c r="C6819" i="1"/>
  <c r="A10257" i="1"/>
  <c r="B10257" i="1"/>
  <c r="C10257" i="1"/>
  <c r="A10190" i="1"/>
  <c r="B10190" i="1"/>
  <c r="C10190" i="1"/>
  <c r="A10120" i="1"/>
  <c r="B10120" i="1"/>
  <c r="C10120" i="1"/>
  <c r="A10158" i="1"/>
  <c r="B10158" i="1"/>
  <c r="C10158" i="1"/>
  <c r="A4201" i="1"/>
  <c r="B4201" i="1"/>
  <c r="C4201" i="1"/>
  <c r="A10124" i="1"/>
  <c r="B10124" i="1"/>
  <c r="C10124" i="1"/>
  <c r="A11900" i="1"/>
  <c r="B11900" i="1"/>
  <c r="C11900" i="1"/>
  <c r="A20714" i="1"/>
  <c r="B20714" i="1"/>
  <c r="C20714" i="1"/>
  <c r="A20707" i="1"/>
  <c r="B20707" i="1"/>
  <c r="C20707" i="1"/>
  <c r="A20713" i="1"/>
  <c r="B20713" i="1"/>
  <c r="C20713" i="1"/>
  <c r="A20712" i="1"/>
  <c r="B20712" i="1"/>
  <c r="C20712" i="1"/>
  <c r="A4217" i="1"/>
  <c r="B4217" i="1"/>
  <c r="C4217" i="1"/>
  <c r="A4051" i="1"/>
  <c r="B4051" i="1"/>
  <c r="C4051" i="1"/>
  <c r="A13329" i="1"/>
  <c r="B13329" i="1"/>
  <c r="C13329" i="1"/>
  <c r="A13326" i="1"/>
  <c r="B13326" i="1"/>
  <c r="C13326" i="1"/>
  <c r="A13328" i="1"/>
  <c r="B13328" i="1"/>
  <c r="C13328" i="1"/>
  <c r="A13327" i="1"/>
  <c r="B13327" i="1"/>
  <c r="C13327" i="1"/>
  <c r="A13331" i="1"/>
  <c r="B13331" i="1"/>
  <c r="C13331" i="1"/>
  <c r="A13321" i="1"/>
  <c r="B13321" i="1"/>
  <c r="C13321" i="1"/>
  <c r="A13330" i="1"/>
  <c r="B13330" i="1"/>
  <c r="C13330" i="1"/>
  <c r="A22082" i="1"/>
  <c r="B22082" i="1"/>
  <c r="C22082" i="1"/>
  <c r="A24006" i="1"/>
  <c r="B24006" i="1"/>
  <c r="C24006" i="1"/>
  <c r="A2964" i="1"/>
  <c r="B2964" i="1"/>
  <c r="C2964" i="1"/>
  <c r="A1840" i="1"/>
  <c r="B1840" i="1"/>
  <c r="C1840" i="1"/>
  <c r="A3269" i="1"/>
  <c r="B3269" i="1"/>
  <c r="C3269" i="1"/>
  <c r="A12835" i="1"/>
  <c r="B12835" i="1"/>
  <c r="C12835" i="1"/>
  <c r="A17727" i="1"/>
  <c r="B17727" i="1"/>
  <c r="C17727" i="1"/>
  <c r="A16410" i="1"/>
  <c r="B16410" i="1"/>
  <c r="C16410" i="1"/>
  <c r="A25413" i="1"/>
  <c r="B25413" i="1"/>
  <c r="C25413" i="1"/>
  <c r="A4304" i="1"/>
  <c r="B4304" i="1"/>
  <c r="C4304" i="1"/>
  <c r="A5153" i="1"/>
  <c r="B5153" i="1"/>
  <c r="C5153" i="1"/>
  <c r="A5148" i="1"/>
  <c r="B5148" i="1"/>
  <c r="C5148" i="1"/>
  <c r="A23158" i="1"/>
  <c r="B23158" i="1"/>
  <c r="C23158" i="1"/>
  <c r="A2305" i="1"/>
  <c r="B2305" i="1"/>
  <c r="C2305" i="1"/>
  <c r="A13854" i="1"/>
  <c r="B13854" i="1"/>
  <c r="C13854" i="1"/>
  <c r="A7973" i="1"/>
  <c r="B7973" i="1"/>
  <c r="C7973" i="1"/>
  <c r="A22058" i="1"/>
  <c r="B22058" i="1"/>
  <c r="C22058" i="1"/>
  <c r="A16850" i="1"/>
  <c r="B16850" i="1"/>
  <c r="C16850" i="1"/>
  <c r="A53" i="1"/>
  <c r="B53" i="1"/>
  <c r="C53" i="1"/>
  <c r="A1369" i="1"/>
  <c r="B1369" i="1"/>
  <c r="C1369" i="1"/>
  <c r="A1370" i="1"/>
  <c r="B1370" i="1"/>
  <c r="C1370" i="1"/>
  <c r="A16380" i="1"/>
  <c r="B16380" i="1"/>
  <c r="C16380" i="1"/>
  <c r="A16381" i="1"/>
  <c r="B16381" i="1"/>
  <c r="C16381" i="1"/>
  <c r="A16382" i="1"/>
  <c r="B16382" i="1"/>
  <c r="C16382" i="1"/>
  <c r="A16383" i="1"/>
  <c r="B16383" i="1"/>
  <c r="C16383" i="1"/>
  <c r="A16384" i="1"/>
  <c r="B16384" i="1"/>
  <c r="C16384" i="1"/>
  <c r="A16385" i="1"/>
  <c r="B16385" i="1"/>
  <c r="C16385" i="1"/>
  <c r="A16386" i="1"/>
  <c r="B16386" i="1"/>
  <c r="C16386" i="1"/>
  <c r="A16387" i="1"/>
  <c r="B16387" i="1"/>
  <c r="C16387" i="1"/>
  <c r="A16388" i="1"/>
  <c r="B16388" i="1"/>
  <c r="C16388" i="1"/>
  <c r="A16389" i="1"/>
  <c r="B16389" i="1"/>
  <c r="C16389" i="1"/>
  <c r="A16390" i="1"/>
  <c r="B16390" i="1"/>
  <c r="C16390" i="1"/>
  <c r="A21524" i="1"/>
  <c r="B21524" i="1"/>
  <c r="C21524" i="1"/>
  <c r="A24591" i="1"/>
  <c r="B24591" i="1"/>
  <c r="C24591" i="1"/>
  <c r="A14607" i="1"/>
  <c r="B14607" i="1"/>
  <c r="C14607" i="1"/>
  <c r="A14605" i="1"/>
  <c r="B14605" i="1"/>
  <c r="C14605" i="1"/>
  <c r="A8250" i="1"/>
  <c r="B8250" i="1"/>
  <c r="C8250" i="1"/>
  <c r="A9430" i="1"/>
  <c r="B9430" i="1"/>
  <c r="C9430" i="1"/>
  <c r="A5915" i="1"/>
  <c r="B5915" i="1"/>
  <c r="C5915" i="1"/>
  <c r="A15854" i="1"/>
  <c r="B15854" i="1"/>
  <c r="C15854" i="1"/>
  <c r="A12307" i="1"/>
  <c r="B12307" i="1"/>
  <c r="C12307" i="1"/>
  <c r="A24192" i="1"/>
  <c r="B24192" i="1"/>
  <c r="C24192" i="1"/>
  <c r="A17956" i="1"/>
  <c r="B17956" i="1"/>
  <c r="C17956" i="1"/>
  <c r="A13443" i="1"/>
  <c r="B13443" i="1"/>
  <c r="C13443" i="1"/>
  <c r="A13722" i="1"/>
  <c r="B13722" i="1"/>
  <c r="C13722" i="1"/>
  <c r="A11787" i="1"/>
  <c r="B11787" i="1"/>
  <c r="C11787" i="1"/>
  <c r="A17056" i="1"/>
  <c r="B17056" i="1"/>
  <c r="C17056" i="1"/>
  <c r="A19387" i="1"/>
  <c r="B19387" i="1"/>
  <c r="C19387" i="1"/>
  <c r="A7816" i="1"/>
  <c r="B7816" i="1"/>
  <c r="C7816" i="1"/>
  <c r="A10101" i="1"/>
  <c r="B10101" i="1"/>
  <c r="C10101" i="1"/>
  <c r="A6095" i="1"/>
  <c r="B6095" i="1"/>
  <c r="C6095" i="1"/>
  <c r="A16948" i="1"/>
  <c r="B16948" i="1"/>
  <c r="C16948" i="1"/>
  <c r="A5795" i="1"/>
  <c r="B5795" i="1"/>
  <c r="C5795" i="1"/>
  <c r="A5796" i="1"/>
  <c r="B5796" i="1"/>
  <c r="C5796" i="1"/>
  <c r="A5147" i="1"/>
  <c r="B5147" i="1"/>
  <c r="C5147" i="1"/>
  <c r="A5233" i="1"/>
  <c r="B5233" i="1"/>
  <c r="C5233" i="1"/>
  <c r="A5448" i="1"/>
  <c r="B5448" i="1"/>
  <c r="C5448" i="1"/>
  <c r="A3131" i="1"/>
  <c r="B3131" i="1"/>
  <c r="C3131" i="1"/>
  <c r="A13821" i="1"/>
  <c r="B13821" i="1"/>
  <c r="C13821" i="1"/>
  <c r="A24133" i="1"/>
  <c r="B24133" i="1"/>
  <c r="C24133" i="1"/>
  <c r="A1421" i="1"/>
  <c r="B1421" i="1"/>
  <c r="C1421" i="1"/>
  <c r="A5659" i="1"/>
  <c r="B5659" i="1"/>
  <c r="C5659" i="1"/>
  <c r="A22067" i="1"/>
  <c r="B22067" i="1"/>
  <c r="C22067" i="1"/>
  <c r="A22035" i="1"/>
  <c r="B22035" i="1"/>
  <c r="C22035" i="1"/>
  <c r="A12175" i="1"/>
  <c r="B12175" i="1"/>
  <c r="C12175" i="1"/>
  <c r="A5631" i="1"/>
  <c r="B5631" i="1"/>
  <c r="C5631" i="1"/>
  <c r="A5667" i="1"/>
  <c r="B5667" i="1"/>
  <c r="C5667" i="1"/>
  <c r="A14355" i="1"/>
  <c r="B14355" i="1"/>
  <c r="C14355" i="1"/>
  <c r="A21505" i="1"/>
  <c r="B21505" i="1"/>
  <c r="C21505" i="1"/>
  <c r="A25364" i="1"/>
  <c r="B25364" i="1"/>
  <c r="C25364" i="1"/>
  <c r="A10121" i="1"/>
  <c r="B10121" i="1"/>
  <c r="C10121" i="1"/>
  <c r="A10119" i="1"/>
  <c r="B10119" i="1"/>
  <c r="C10119" i="1"/>
  <c r="A2321" i="1"/>
  <c r="B2321" i="1"/>
  <c r="C2321" i="1"/>
  <c r="A2319" i="1"/>
  <c r="B2319" i="1"/>
  <c r="C2319" i="1"/>
  <c r="A3268" i="1"/>
  <c r="B3268" i="1"/>
  <c r="C3268" i="1"/>
  <c r="A3254" i="1"/>
  <c r="B3254" i="1"/>
  <c r="C3254" i="1"/>
  <c r="A22081" i="1"/>
  <c r="B22081" i="1"/>
  <c r="C22081" i="1"/>
  <c r="A3242" i="1"/>
  <c r="B3242" i="1"/>
  <c r="C3242" i="1"/>
  <c r="A11207" i="1"/>
  <c r="B11207" i="1"/>
  <c r="C11207" i="1"/>
  <c r="A11204" i="1"/>
  <c r="B11204" i="1"/>
  <c r="C11204" i="1"/>
  <c r="A11110" i="1"/>
  <c r="B11110" i="1"/>
  <c r="C11110" i="1"/>
  <c r="A11198" i="1"/>
  <c r="B11198" i="1"/>
  <c r="C11198" i="1"/>
  <c r="A21410" i="1"/>
  <c r="B21410" i="1"/>
  <c r="C21410" i="1"/>
  <c r="A219" i="1"/>
  <c r="B219" i="1"/>
  <c r="C219" i="1"/>
  <c r="A2997" i="1"/>
  <c r="B2997" i="1"/>
  <c r="C2997" i="1"/>
  <c r="A22344" i="1"/>
  <c r="B22344" i="1"/>
  <c r="C22344" i="1"/>
  <c r="A22340" i="1"/>
  <c r="B22340" i="1"/>
  <c r="C22340" i="1"/>
  <c r="A22341" i="1"/>
  <c r="B22341" i="1"/>
  <c r="C22341" i="1"/>
  <c r="A22342" i="1"/>
  <c r="B22342" i="1"/>
  <c r="C22342" i="1"/>
  <c r="A24540" i="1"/>
  <c r="B24540" i="1"/>
  <c r="C24540" i="1"/>
  <c r="A17542" i="1"/>
  <c r="B17542" i="1"/>
  <c r="C17542" i="1"/>
  <c r="A18902" i="1"/>
  <c r="B18902" i="1"/>
  <c r="C18902" i="1"/>
  <c r="A4676" i="1"/>
  <c r="B4676" i="1"/>
  <c r="C4676" i="1"/>
  <c r="A9285" i="1"/>
  <c r="B9285" i="1"/>
  <c r="C9285" i="1"/>
  <c r="A9284" i="1"/>
  <c r="B9284" i="1"/>
  <c r="C9284" i="1"/>
  <c r="A9293" i="1"/>
  <c r="B9293" i="1"/>
  <c r="C9293" i="1"/>
  <c r="A9289" i="1"/>
  <c r="C9289" i="1"/>
  <c r="A2501" i="1"/>
  <c r="B2501" i="1"/>
  <c r="C2501" i="1"/>
  <c r="A2502" i="1"/>
  <c r="B2502" i="1"/>
  <c r="C2502" i="1"/>
  <c r="A2499" i="1"/>
  <c r="B2499" i="1"/>
  <c r="C2499" i="1"/>
  <c r="A17969" i="1"/>
  <c r="B17969" i="1"/>
  <c r="C17969" i="1"/>
  <c r="A17968" i="1"/>
  <c r="B17968" i="1"/>
  <c r="C17968" i="1"/>
  <c r="A1787" i="1"/>
  <c r="B1787" i="1"/>
  <c r="C1787" i="1"/>
  <c r="A19161" i="1"/>
  <c r="B19161" i="1"/>
  <c r="C19161" i="1"/>
  <c r="A2247" i="1"/>
  <c r="B2247" i="1"/>
  <c r="C2247" i="1"/>
  <c r="A17933" i="1"/>
  <c r="B17933" i="1"/>
  <c r="C17933" i="1"/>
  <c r="A17934" i="1"/>
  <c r="B17934" i="1"/>
  <c r="C17934" i="1"/>
  <c r="A17932" i="1"/>
  <c r="B17932" i="1"/>
  <c r="C17932" i="1"/>
  <c r="A13955" i="1"/>
  <c r="C13955" i="1"/>
  <c r="A22580" i="1"/>
  <c r="B22580" i="1"/>
  <c r="C22580" i="1"/>
  <c r="A18300" i="1"/>
  <c r="B18300" i="1"/>
  <c r="C18300" i="1"/>
  <c r="A14066" i="1"/>
  <c r="B14066" i="1"/>
  <c r="C14066" i="1"/>
  <c r="A2509" i="1"/>
  <c r="B2509" i="1"/>
  <c r="C2509" i="1"/>
  <c r="A15596" i="1"/>
  <c r="B15596" i="1"/>
  <c r="C15596" i="1"/>
  <c r="A22484" i="1"/>
  <c r="B22484" i="1"/>
  <c r="C22484" i="1"/>
  <c r="A5117" i="1"/>
  <c r="B5117" i="1"/>
  <c r="C5117" i="1"/>
  <c r="A4489" i="1"/>
  <c r="B4489" i="1"/>
  <c r="C4489" i="1"/>
  <c r="A14811" i="1"/>
  <c r="B14811" i="1"/>
  <c r="C14811" i="1"/>
  <c r="A19154" i="1"/>
  <c r="B19154" i="1"/>
  <c r="C19154" i="1"/>
  <c r="A14769" i="1"/>
  <c r="B14769" i="1"/>
  <c r="C14769" i="1"/>
  <c r="A14766" i="1"/>
  <c r="B14766" i="1"/>
  <c r="C14766" i="1"/>
  <c r="A14688" i="1"/>
  <c r="B14688" i="1"/>
  <c r="C14688" i="1"/>
  <c r="A14684" i="1"/>
  <c r="B14684" i="1"/>
  <c r="C14684" i="1"/>
  <c r="A20502" i="1"/>
  <c r="B20502" i="1"/>
  <c r="C20502" i="1"/>
  <c r="A16556" i="1"/>
  <c r="B16556" i="1"/>
  <c r="C16556" i="1"/>
  <c r="A222" i="1"/>
  <c r="B222" i="1"/>
  <c r="C222" i="1"/>
  <c r="A12399" i="1"/>
  <c r="B12399" i="1"/>
  <c r="C12399" i="1"/>
  <c r="A4741" i="1"/>
  <c r="B4741" i="1"/>
  <c r="C4741" i="1"/>
  <c r="A5239" i="1"/>
  <c r="B5239" i="1"/>
  <c r="C5239" i="1"/>
  <c r="A2691" i="1"/>
  <c r="B2691" i="1"/>
  <c r="C2691" i="1"/>
  <c r="A2692" i="1"/>
  <c r="B2692" i="1"/>
  <c r="C2692" i="1"/>
  <c r="A2616" i="1"/>
  <c r="B2616" i="1"/>
  <c r="C2616" i="1"/>
  <c r="A2612" i="1"/>
  <c r="B2612" i="1"/>
  <c r="C2612" i="1"/>
  <c r="A2596" i="1"/>
  <c r="B2596" i="1"/>
  <c r="C2596" i="1"/>
  <c r="A13679" i="1"/>
  <c r="B13679" i="1"/>
  <c r="C13679" i="1"/>
  <c r="A12587" i="1"/>
  <c r="B12587" i="1"/>
  <c r="C12587" i="1"/>
  <c r="A10649" i="1"/>
  <c r="B10649" i="1"/>
  <c r="C10649" i="1"/>
  <c r="A5654" i="1"/>
  <c r="B5654" i="1"/>
  <c r="C5654" i="1"/>
  <c r="A6630" i="1"/>
  <c r="B6630" i="1"/>
  <c r="C6630" i="1"/>
  <c r="A12475" i="1"/>
  <c r="B12475" i="1"/>
  <c r="C12475" i="1"/>
  <c r="A7145" i="1"/>
  <c r="B7145" i="1"/>
  <c r="C7145" i="1"/>
  <c r="A4205" i="1"/>
  <c r="B4205" i="1"/>
  <c r="C4205" i="1"/>
  <c r="A14301" i="1"/>
  <c r="B14301" i="1"/>
  <c r="C14301" i="1"/>
  <c r="A6097" i="1"/>
  <c r="B6097" i="1"/>
  <c r="C6097" i="1"/>
  <c r="A12314" i="1"/>
  <c r="B12314" i="1"/>
  <c r="C12314" i="1"/>
  <c r="A6802" i="1"/>
  <c r="B6802" i="1"/>
  <c r="C6802" i="1"/>
  <c r="A23842" i="1"/>
  <c r="B23842" i="1"/>
  <c r="C23842" i="1"/>
  <c r="A7330" i="1"/>
  <c r="B7330" i="1"/>
  <c r="C7330" i="1"/>
  <c r="A15463" i="1"/>
  <c r="B15463" i="1"/>
  <c r="C15463" i="1"/>
  <c r="A6092" i="1"/>
  <c r="B6092" i="1"/>
  <c r="C6092" i="1"/>
  <c r="A25028" i="1"/>
  <c r="B25028" i="1"/>
  <c r="C25028" i="1"/>
  <c r="A2570" i="1"/>
  <c r="B2570" i="1"/>
  <c r="C2570" i="1"/>
  <c r="A22624" i="1"/>
  <c r="B22624" i="1"/>
  <c r="C22624" i="1"/>
  <c r="A22627" i="1"/>
  <c r="B22627" i="1"/>
  <c r="C22627" i="1"/>
  <c r="A22626" i="1"/>
  <c r="B22626" i="1"/>
  <c r="C22626" i="1"/>
  <c r="A9572" i="1"/>
  <c r="B9572" i="1"/>
  <c r="C9572" i="1"/>
  <c r="A17443" i="1"/>
  <c r="B17443" i="1"/>
  <c r="C17443" i="1"/>
  <c r="A4083" i="1"/>
  <c r="B4083" i="1"/>
  <c r="C4083" i="1"/>
  <c r="A19380" i="1"/>
  <c r="B19380" i="1"/>
  <c r="C19380" i="1"/>
  <c r="A12383" i="1"/>
  <c r="B12383" i="1"/>
  <c r="C12383" i="1"/>
  <c r="A12368" i="1"/>
  <c r="B12368" i="1"/>
  <c r="C12368" i="1"/>
  <c r="A13860" i="1"/>
  <c r="B13860" i="1"/>
  <c r="C13860" i="1"/>
  <c r="A9723" i="1"/>
  <c r="B9723" i="1"/>
  <c r="C9723" i="1"/>
  <c r="A9718" i="1"/>
  <c r="B9718" i="1"/>
  <c r="C9718" i="1"/>
  <c r="A3959" i="1"/>
  <c r="B3959" i="1"/>
  <c r="C3959" i="1"/>
  <c r="A3958" i="1"/>
  <c r="B3958" i="1"/>
  <c r="C3958" i="1"/>
  <c r="A3963" i="1"/>
  <c r="B3963" i="1"/>
  <c r="C3963" i="1"/>
  <c r="A16797" i="1"/>
  <c r="B16797" i="1"/>
  <c r="C16797" i="1"/>
  <c r="A22591" i="1"/>
  <c r="B22591" i="1"/>
  <c r="C22591" i="1"/>
  <c r="A4579" i="1"/>
  <c r="B4579" i="1"/>
  <c r="C4579" i="1"/>
  <c r="A4572" i="1"/>
  <c r="B4572" i="1"/>
  <c r="C4572" i="1"/>
  <c r="A5034" i="1"/>
  <c r="B5034" i="1"/>
  <c r="C5034" i="1"/>
  <c r="A5026" i="1"/>
  <c r="B5026" i="1"/>
  <c r="C5026" i="1"/>
  <c r="A2581" i="1"/>
  <c r="B2581" i="1"/>
  <c r="C2581" i="1"/>
  <c r="A2580" i="1"/>
  <c r="B2580" i="1"/>
  <c r="C2580" i="1"/>
  <c r="A13502" i="1"/>
  <c r="B13502" i="1"/>
  <c r="C13502" i="1"/>
  <c r="A16627" i="1"/>
  <c r="B16627" i="1"/>
  <c r="C16627" i="1"/>
  <c r="A21457" i="1"/>
  <c r="B21457" i="1"/>
  <c r="C21457" i="1"/>
  <c r="A4385" i="1"/>
  <c r="B4385" i="1"/>
  <c r="C4385" i="1"/>
  <c r="A2575" i="1"/>
  <c r="B2575" i="1"/>
  <c r="C2575" i="1"/>
  <c r="A23752" i="1"/>
  <c r="B23752" i="1"/>
  <c r="C23752" i="1"/>
  <c r="A18347" i="1"/>
  <c r="B18347" i="1"/>
  <c r="C18347" i="1"/>
  <c r="A4582" i="1"/>
  <c r="B4582" i="1"/>
  <c r="C4582" i="1"/>
  <c r="A4578" i="1"/>
  <c r="B4578" i="1"/>
  <c r="C4578" i="1"/>
  <c r="A4571" i="1"/>
  <c r="B4571" i="1"/>
  <c r="C4571" i="1"/>
  <c r="A4575" i="1"/>
  <c r="B4575" i="1"/>
  <c r="C4575" i="1"/>
  <c r="A4583" i="1"/>
  <c r="B4583" i="1"/>
  <c r="C4583" i="1"/>
  <c r="A4580" i="1"/>
  <c r="B4580" i="1"/>
  <c r="C4580" i="1"/>
  <c r="A4573" i="1"/>
  <c r="B4573" i="1"/>
  <c r="C4573" i="1"/>
  <c r="A5036" i="1"/>
  <c r="B5036" i="1"/>
  <c r="C5036" i="1"/>
  <c r="A5032" i="1"/>
  <c r="B5032" i="1"/>
  <c r="C5032" i="1"/>
  <c r="A5024" i="1"/>
  <c r="B5024" i="1"/>
  <c r="C5024" i="1"/>
  <c r="A5028" i="1"/>
  <c r="B5028" i="1"/>
  <c r="C5028" i="1"/>
  <c r="A5038" i="1"/>
  <c r="B5038" i="1"/>
  <c r="C5038" i="1"/>
  <c r="A5035" i="1"/>
  <c r="B5035" i="1"/>
  <c r="C5035" i="1"/>
  <c r="A5027" i="1"/>
  <c r="B5027" i="1"/>
  <c r="C5027" i="1"/>
  <c r="A5031" i="1"/>
  <c r="B5031" i="1"/>
  <c r="C5031" i="1"/>
  <c r="A6839" i="1"/>
  <c r="B6839" i="1"/>
  <c r="C6839" i="1"/>
  <c r="A7390" i="1"/>
  <c r="B7390" i="1"/>
  <c r="C7390" i="1"/>
  <c r="A6841" i="1"/>
  <c r="B6841" i="1"/>
  <c r="C6841" i="1"/>
  <c r="A5845" i="1"/>
  <c r="B5845" i="1"/>
  <c r="C5845" i="1"/>
  <c r="A7386" i="1"/>
  <c r="B7386" i="1"/>
  <c r="C7386" i="1"/>
  <c r="A7467" i="1"/>
  <c r="B7467" i="1"/>
  <c r="C7467" i="1"/>
  <c r="A6835" i="1"/>
  <c r="B6835" i="1"/>
  <c r="C6835" i="1"/>
  <c r="A6848" i="1"/>
  <c r="B6848" i="1"/>
  <c r="C6848" i="1"/>
  <c r="A6840" i="1"/>
  <c r="B6840" i="1"/>
  <c r="C6840" i="1"/>
  <c r="A6847" i="1"/>
  <c r="B6847" i="1"/>
  <c r="C6847" i="1"/>
  <c r="A5846" i="1"/>
  <c r="B5846" i="1"/>
  <c r="C5846" i="1"/>
  <c r="A13682" i="1"/>
  <c r="B13682" i="1"/>
  <c r="C13682" i="1"/>
  <c r="A7662" i="1"/>
  <c r="B7662" i="1"/>
  <c r="C7662" i="1"/>
  <c r="A7664" i="1"/>
  <c r="B7664" i="1"/>
  <c r="C7664" i="1"/>
  <c r="A16939" i="1"/>
  <c r="B16939" i="1"/>
  <c r="C16939" i="1"/>
  <c r="A7663" i="1"/>
  <c r="B7663" i="1"/>
  <c r="C7663" i="1"/>
  <c r="A22519" i="1"/>
  <c r="B22519" i="1"/>
  <c r="C22519" i="1"/>
  <c r="A22520" i="1"/>
  <c r="B22520" i="1"/>
  <c r="C22520" i="1"/>
  <c r="A11651" i="1"/>
  <c r="B11651" i="1"/>
  <c r="C11651" i="1"/>
  <c r="A15119" i="1"/>
  <c r="B15119" i="1"/>
  <c r="C15119" i="1"/>
  <c r="A25664" i="1"/>
  <c r="B25664" i="1"/>
  <c r="C25664" i="1"/>
  <c r="A13801" i="1"/>
  <c r="B13801" i="1"/>
  <c r="C13801" i="1"/>
  <c r="A24121" i="1"/>
  <c r="B24121" i="1"/>
  <c r="C24121" i="1"/>
  <c r="A12266" i="1"/>
  <c r="B12266" i="1"/>
  <c r="C12266" i="1"/>
  <c r="A4287" i="1"/>
  <c r="B4287" i="1"/>
  <c r="C4287" i="1"/>
  <c r="A17416" i="1"/>
  <c r="B17416" i="1"/>
  <c r="C17416" i="1"/>
  <c r="A21447" i="1"/>
  <c r="B21447" i="1"/>
  <c r="C21447" i="1"/>
  <c r="A21449" i="1"/>
  <c r="B21449" i="1"/>
  <c r="C21449" i="1"/>
  <c r="A21448" i="1"/>
  <c r="B21448" i="1"/>
  <c r="C21448" i="1"/>
  <c r="A21441" i="1"/>
  <c r="B21441" i="1"/>
  <c r="C21441" i="1"/>
  <c r="A21451" i="1"/>
  <c r="B21451" i="1"/>
  <c r="C21451" i="1"/>
  <c r="A21454" i="1"/>
  <c r="B21454" i="1"/>
  <c r="C21454" i="1"/>
  <c r="A22039" i="1"/>
  <c r="B22039" i="1"/>
  <c r="C22039" i="1"/>
  <c r="A14806" i="1"/>
  <c r="B14806" i="1"/>
  <c r="C14806" i="1"/>
  <c r="A4581" i="1"/>
  <c r="B4581" i="1"/>
  <c r="C4581" i="1"/>
  <c r="A4577" i="1"/>
  <c r="B4577" i="1"/>
  <c r="C4577" i="1"/>
  <c r="A4570" i="1"/>
  <c r="B4570" i="1"/>
  <c r="C4570" i="1"/>
  <c r="A4574" i="1"/>
  <c r="B4574" i="1"/>
  <c r="C4574" i="1"/>
  <c r="A22054" i="1"/>
  <c r="B22054" i="1"/>
  <c r="C22054" i="1"/>
  <c r="A14721" i="1"/>
  <c r="B14721" i="1"/>
  <c r="C14721" i="1"/>
  <c r="A20228" i="1"/>
  <c r="B20228" i="1"/>
  <c r="C20228" i="1"/>
  <c r="A3113" i="1"/>
  <c r="B3113" i="1"/>
  <c r="C3113" i="1"/>
  <c r="A2695" i="1"/>
  <c r="B2695" i="1"/>
  <c r="C2695" i="1"/>
  <c r="A19308" i="1"/>
  <c r="B19308" i="1"/>
  <c r="C19308" i="1"/>
  <c r="A8757" i="1"/>
  <c r="B8757" i="1"/>
  <c r="C8757" i="1"/>
  <c r="A25680" i="1"/>
  <c r="B25680" i="1"/>
  <c r="C25680" i="1"/>
  <c r="A25756" i="1"/>
  <c r="B25756" i="1"/>
  <c r="C25756" i="1"/>
  <c r="A16210" i="1"/>
  <c r="B16210" i="1"/>
  <c r="C16210" i="1"/>
  <c r="A1372" i="1"/>
  <c r="B1372" i="1"/>
  <c r="C1372" i="1"/>
  <c r="A18911" i="1"/>
  <c r="B18911" i="1"/>
  <c r="C18911" i="1"/>
  <c r="A17046" i="1"/>
  <c r="B17046" i="1"/>
  <c r="C17046" i="1"/>
  <c r="A9192" i="1"/>
  <c r="B9192" i="1"/>
  <c r="C9192" i="1"/>
  <c r="A10812" i="1"/>
  <c r="B10812" i="1"/>
  <c r="C10812" i="1"/>
  <c r="A10504" i="1"/>
  <c r="B10504" i="1"/>
  <c r="C10504" i="1"/>
  <c r="A17913" i="1"/>
  <c r="B17913" i="1"/>
  <c r="C17913" i="1"/>
  <c r="A5681" i="1"/>
  <c r="B5681" i="1"/>
  <c r="C5681" i="1"/>
  <c r="A17526" i="1"/>
  <c r="B17526" i="1"/>
  <c r="C17526" i="1"/>
  <c r="A5592" i="1"/>
  <c r="B5592" i="1"/>
  <c r="C5592" i="1"/>
  <c r="A9176" i="1"/>
  <c r="C9176" i="1"/>
  <c r="A17667" i="1"/>
  <c r="B17667" i="1"/>
  <c r="C17667" i="1"/>
  <c r="A22206" i="1"/>
  <c r="B22206" i="1"/>
  <c r="C22206" i="1"/>
  <c r="A17668" i="1"/>
  <c r="B17668" i="1"/>
  <c r="C17668" i="1"/>
  <c r="A22931" i="1"/>
  <c r="B22931" i="1"/>
  <c r="C22931" i="1"/>
  <c r="A13824" i="1"/>
  <c r="B13824" i="1"/>
  <c r="C13824" i="1"/>
  <c r="A14093" i="1"/>
  <c r="B14093" i="1"/>
  <c r="C14093" i="1"/>
  <c r="A17463" i="1"/>
  <c r="B17463" i="1"/>
  <c r="C17463" i="1"/>
  <c r="A21450" i="1"/>
  <c r="B21450" i="1"/>
  <c r="C21450" i="1"/>
  <c r="A21446" i="1"/>
  <c r="B21446" i="1"/>
  <c r="C21446" i="1"/>
  <c r="A3107" i="1"/>
  <c r="B3107" i="1"/>
  <c r="C3107" i="1"/>
  <c r="A3109" i="1"/>
  <c r="B3109" i="1"/>
  <c r="C3109" i="1"/>
  <c r="A3110" i="1"/>
  <c r="B3110" i="1"/>
  <c r="C3110" i="1"/>
  <c r="A3111" i="1"/>
  <c r="B3111" i="1"/>
  <c r="C3111" i="1"/>
  <c r="A3112" i="1"/>
  <c r="B3112" i="1"/>
  <c r="C3112" i="1"/>
  <c r="A3114" i="1"/>
  <c r="B3114" i="1"/>
  <c r="C3114" i="1"/>
  <c r="A3115" i="1"/>
  <c r="B3115" i="1"/>
  <c r="C3115" i="1"/>
  <c r="A3116" i="1"/>
  <c r="B3116" i="1"/>
  <c r="C3116" i="1"/>
  <c r="A3117" i="1"/>
  <c r="B3117" i="1"/>
  <c r="C3117" i="1"/>
  <c r="A3118" i="1"/>
  <c r="B3118" i="1"/>
  <c r="C3118" i="1"/>
  <c r="A3119" i="1"/>
  <c r="B3119" i="1"/>
  <c r="C3119" i="1"/>
  <c r="A3120" i="1"/>
  <c r="B3120" i="1"/>
  <c r="C3120" i="1"/>
  <c r="A10557" i="1"/>
  <c r="B10557" i="1"/>
  <c r="C10557" i="1"/>
  <c r="A282" i="1"/>
  <c r="B282" i="1"/>
  <c r="C282" i="1"/>
  <c r="A3270" i="1"/>
  <c r="B3270" i="1"/>
  <c r="C3270" i="1"/>
  <c r="A3271" i="1"/>
  <c r="B3271" i="1"/>
  <c r="C3271" i="1"/>
  <c r="A1615" i="1"/>
  <c r="B1615" i="1"/>
  <c r="C1615" i="1"/>
  <c r="A1614" i="1"/>
  <c r="B1614" i="1"/>
  <c r="C1614" i="1"/>
  <c r="A1611" i="1"/>
  <c r="B1611" i="1"/>
  <c r="C1611" i="1"/>
  <c r="A1612" i="1"/>
  <c r="B1612" i="1"/>
  <c r="C1612" i="1"/>
  <c r="A1613" i="1"/>
  <c r="B1613" i="1"/>
  <c r="C1613" i="1"/>
  <c r="A15580" i="1"/>
  <c r="B15580" i="1"/>
  <c r="C15580" i="1"/>
  <c r="A3769" i="1"/>
  <c r="B3769" i="1"/>
  <c r="C3769" i="1"/>
  <c r="A3771" i="1"/>
  <c r="B3771" i="1"/>
  <c r="C3771" i="1"/>
  <c r="A12181" i="1"/>
  <c r="B12181" i="1"/>
  <c r="C12181" i="1"/>
  <c r="A17628" i="1"/>
  <c r="B17628" i="1"/>
  <c r="C17628" i="1"/>
  <c r="A17642" i="1"/>
  <c r="B17642" i="1"/>
  <c r="C17642" i="1"/>
  <c r="A17627" i="1"/>
  <c r="B17627" i="1"/>
  <c r="C17627" i="1"/>
  <c r="A15729" i="1"/>
  <c r="B15729" i="1"/>
  <c r="C15729" i="1"/>
  <c r="A12444" i="1"/>
  <c r="B12444" i="1"/>
  <c r="C12444" i="1"/>
  <c r="A22607" i="1"/>
  <c r="B22607" i="1"/>
  <c r="C22607" i="1"/>
  <c r="A1326" i="1"/>
  <c r="B1326" i="1"/>
  <c r="C1326" i="1"/>
  <c r="A5226" i="1"/>
  <c r="B5226" i="1"/>
  <c r="C5226" i="1"/>
  <c r="A10147" i="1"/>
  <c r="B10147" i="1"/>
  <c r="C10147" i="1"/>
  <c r="A17953" i="1"/>
  <c r="B17953" i="1"/>
  <c r="C17953" i="1"/>
  <c r="A11948" i="1"/>
  <c r="B11948" i="1"/>
  <c r="C11948" i="1"/>
  <c r="A10148" i="1"/>
  <c r="B10148" i="1"/>
  <c r="C10148" i="1"/>
  <c r="A22955" i="1"/>
  <c r="B22955" i="1"/>
  <c r="C22955" i="1"/>
  <c r="A11733" i="1"/>
  <c r="B11733" i="1"/>
  <c r="C11733" i="1"/>
  <c r="A16952" i="1"/>
  <c r="B16952" i="1"/>
  <c r="C16952" i="1"/>
  <c r="A14171" i="1"/>
  <c r="B14171" i="1"/>
  <c r="C14171" i="1"/>
  <c r="A14168" i="1"/>
  <c r="B14168" i="1"/>
  <c r="C14168" i="1"/>
  <c r="A14653" i="1"/>
  <c r="B14653" i="1"/>
  <c r="C14653" i="1"/>
  <c r="A14712" i="1"/>
  <c r="B14712" i="1"/>
  <c r="C14712" i="1"/>
  <c r="A6831" i="1"/>
  <c r="B6831" i="1"/>
  <c r="C6831" i="1"/>
  <c r="A5607" i="1"/>
  <c r="B5607" i="1"/>
  <c r="C5607" i="1"/>
  <c r="A4070" i="1"/>
  <c r="B4070" i="1"/>
  <c r="C4070" i="1"/>
  <c r="A4074" i="1"/>
  <c r="B4074" i="1"/>
  <c r="C4074" i="1"/>
  <c r="A11579" i="1"/>
  <c r="B11579" i="1"/>
  <c r="C11579" i="1"/>
  <c r="A4168" i="1"/>
  <c r="B4168" i="1"/>
  <c r="C4168" i="1"/>
  <c r="A5406" i="1"/>
  <c r="B5406" i="1"/>
  <c r="C5406" i="1"/>
  <c r="A6629" i="1"/>
  <c r="B6629" i="1"/>
  <c r="C6629" i="1"/>
  <c r="A21578" i="1"/>
  <c r="B21578" i="1"/>
  <c r="C21578" i="1"/>
  <c r="A16991" i="1"/>
  <c r="B16991" i="1"/>
  <c r="C16991" i="1"/>
  <c r="A10245" i="1"/>
  <c r="B10245" i="1"/>
  <c r="C10245" i="1"/>
  <c r="A10246" i="1"/>
  <c r="B10246" i="1"/>
  <c r="C10246" i="1"/>
  <c r="A14765" i="1"/>
  <c r="B14765" i="1"/>
  <c r="C14765" i="1"/>
  <c r="A8416" i="1"/>
  <c r="B8416" i="1"/>
  <c r="C8416" i="1"/>
  <c r="A22028" i="1"/>
  <c r="B22028" i="1"/>
  <c r="C22028" i="1"/>
  <c r="A17936" i="1"/>
  <c r="B17936" i="1"/>
  <c r="C17936" i="1"/>
  <c r="A6733" i="1"/>
  <c r="B6733" i="1"/>
  <c r="C6733" i="1"/>
  <c r="A14781" i="1"/>
  <c r="B14781" i="1"/>
  <c r="C14781" i="1"/>
  <c r="A5786" i="1"/>
  <c r="B5786" i="1"/>
  <c r="C5786" i="1"/>
  <c r="A5790" i="1"/>
  <c r="B5790" i="1"/>
  <c r="C5790" i="1"/>
  <c r="A5791" i="1"/>
  <c r="B5791" i="1"/>
  <c r="C5791" i="1"/>
  <c r="A12130" i="1"/>
  <c r="B12130" i="1"/>
  <c r="C12130" i="1"/>
  <c r="A11278" i="1"/>
  <c r="B11278" i="1"/>
  <c r="C11278" i="1"/>
  <c r="A14686" i="1"/>
  <c r="B14686" i="1"/>
  <c r="C14686" i="1"/>
  <c r="A14685" i="1"/>
  <c r="B14685" i="1"/>
  <c r="C14685" i="1"/>
  <c r="A14687" i="1"/>
  <c r="B14687" i="1"/>
  <c r="C14687" i="1"/>
  <c r="A5737" i="1"/>
  <c r="B5737" i="1"/>
  <c r="C5737" i="1"/>
  <c r="A16941" i="1"/>
  <c r="B16941" i="1"/>
  <c r="C16941" i="1"/>
  <c r="A16940" i="1"/>
  <c r="B16940" i="1"/>
  <c r="C16940" i="1"/>
  <c r="A16943" i="1"/>
  <c r="B16943" i="1"/>
  <c r="C16943" i="1"/>
  <c r="A8765" i="1"/>
  <c r="B8765" i="1"/>
  <c r="C8765" i="1"/>
  <c r="A1698" i="1"/>
  <c r="B1698" i="1"/>
  <c r="C1698" i="1"/>
  <c r="A19690" i="1"/>
  <c r="B19690" i="1"/>
  <c r="C19690" i="1"/>
  <c r="A11942" i="1"/>
  <c r="B11942" i="1"/>
  <c r="C11942" i="1"/>
  <c r="A4255" i="1"/>
  <c r="B4255" i="1"/>
  <c r="C4255" i="1"/>
  <c r="A14691" i="1"/>
  <c r="B14691" i="1"/>
  <c r="C14691" i="1"/>
  <c r="A14690" i="1"/>
  <c r="B14690" i="1"/>
  <c r="C14690" i="1"/>
  <c r="A14689" i="1"/>
  <c r="B14689" i="1"/>
  <c r="C14689" i="1"/>
  <c r="A6836" i="1"/>
  <c r="B6836" i="1"/>
  <c r="C6836" i="1"/>
  <c r="A11974" i="1"/>
  <c r="B11974" i="1"/>
  <c r="C11974" i="1"/>
  <c r="A18056" i="1"/>
  <c r="B18056" i="1"/>
  <c r="C18056" i="1"/>
  <c r="A18055" i="1"/>
  <c r="B18055" i="1"/>
  <c r="C18055" i="1"/>
  <c r="A18053" i="1"/>
  <c r="B18053" i="1"/>
  <c r="C18053" i="1"/>
  <c r="A18054" i="1"/>
  <c r="B18054" i="1"/>
  <c r="C18054" i="1"/>
  <c r="A18057" i="1"/>
  <c r="B18057" i="1"/>
  <c r="C18057" i="1"/>
  <c r="A18195" i="1"/>
  <c r="B18195" i="1"/>
  <c r="C18195" i="1"/>
  <c r="A14304" i="1"/>
  <c r="B14304" i="1"/>
  <c r="C14304" i="1"/>
  <c r="A9759" i="1"/>
  <c r="B9759" i="1"/>
  <c r="C9759" i="1"/>
  <c r="A24124" i="1"/>
  <c r="B24124" i="1"/>
  <c r="C24124" i="1"/>
  <c r="A24104" i="1"/>
  <c r="B24104" i="1"/>
  <c r="C24104" i="1"/>
  <c r="A12398" i="1"/>
  <c r="B12398" i="1"/>
  <c r="C12398" i="1"/>
  <c r="A16499" i="1"/>
  <c r="B16499" i="1"/>
  <c r="C16499" i="1"/>
  <c r="A4094" i="1"/>
  <c r="B4094" i="1"/>
  <c r="C4094" i="1"/>
  <c r="A14801" i="1"/>
  <c r="B14801" i="1"/>
  <c r="C14801" i="1"/>
  <c r="A21455" i="1"/>
  <c r="B21455" i="1"/>
  <c r="C21455" i="1"/>
  <c r="A21453" i="1"/>
  <c r="B21453" i="1"/>
  <c r="C21453" i="1"/>
  <c r="A21456" i="1"/>
  <c r="B21456" i="1"/>
  <c r="C21456" i="1"/>
  <c r="A21452" i="1"/>
  <c r="B21452" i="1"/>
  <c r="C21452" i="1"/>
  <c r="A21444" i="1"/>
  <c r="B21444" i="1"/>
  <c r="C21444" i="1"/>
  <c r="A21442" i="1"/>
  <c r="B21442" i="1"/>
  <c r="C21442" i="1"/>
  <c r="A21445" i="1"/>
  <c r="B21445" i="1"/>
  <c r="C21445" i="1"/>
  <c r="A21443" i="1"/>
  <c r="B21443" i="1"/>
  <c r="C21443" i="1"/>
  <c r="A19085" i="1"/>
  <c r="B19085" i="1"/>
  <c r="C19085" i="1"/>
  <c r="A142" i="1"/>
  <c r="B142" i="1"/>
  <c r="C142" i="1"/>
  <c r="A18398" i="1"/>
  <c r="B18398" i="1"/>
  <c r="C18398" i="1"/>
  <c r="A6772" i="1"/>
  <c r="B6772" i="1"/>
  <c r="C6772" i="1"/>
  <c r="A12125" i="1"/>
  <c r="B12125" i="1"/>
  <c r="C12125" i="1"/>
  <c r="A2886" i="1"/>
  <c r="B2886" i="1"/>
  <c r="C2886" i="1"/>
  <c r="A15740" i="1"/>
  <c r="B15740" i="1"/>
  <c r="C15740" i="1"/>
  <c r="A16340" i="1"/>
  <c r="B16340" i="1"/>
  <c r="C16340" i="1"/>
  <c r="A8559" i="1"/>
  <c r="B8559" i="1"/>
  <c r="C8559" i="1"/>
  <c r="A8613" i="1"/>
  <c r="B8613" i="1"/>
  <c r="C8613" i="1"/>
  <c r="A8621" i="1"/>
  <c r="B8621" i="1"/>
  <c r="C8621" i="1"/>
  <c r="A8409" i="1"/>
  <c r="B8409" i="1"/>
  <c r="C8409" i="1"/>
  <c r="A3860" i="1"/>
  <c r="B3860" i="1"/>
  <c r="C3860" i="1"/>
  <c r="A3862" i="1"/>
  <c r="B3862" i="1"/>
  <c r="C3862" i="1"/>
  <c r="A11903" i="1"/>
  <c r="B11903" i="1"/>
  <c r="C11903" i="1"/>
  <c r="A6473" i="1"/>
  <c r="B6473" i="1"/>
  <c r="C6473" i="1"/>
  <c r="A5299" i="1"/>
  <c r="B5299" i="1"/>
  <c r="C5299" i="1"/>
  <c r="A14567" i="1"/>
  <c r="B14567" i="1"/>
  <c r="C14567" i="1"/>
  <c r="A14159" i="1"/>
  <c r="B14159" i="1"/>
  <c r="C14159" i="1"/>
  <c r="A5982" i="1"/>
  <c r="B5982" i="1"/>
  <c r="C5982" i="1"/>
  <c r="A5987" i="1"/>
  <c r="B5987" i="1"/>
  <c r="C5987" i="1"/>
  <c r="A1038" i="1"/>
  <c r="B1038" i="1"/>
  <c r="C1038" i="1"/>
  <c r="A20311" i="1"/>
  <c r="B20311" i="1"/>
  <c r="C20311" i="1"/>
  <c r="A20309" i="1"/>
  <c r="B20309" i="1"/>
  <c r="C20309" i="1"/>
  <c r="A20310" i="1"/>
  <c r="B20310" i="1"/>
  <c r="C20310" i="1"/>
  <c r="A14395" i="1"/>
  <c r="B14395" i="1"/>
  <c r="C14395" i="1"/>
  <c r="A14397" i="1"/>
  <c r="B14397" i="1"/>
  <c r="C14397" i="1"/>
  <c r="A14299" i="1"/>
  <c r="B14299" i="1"/>
  <c r="C14299" i="1"/>
  <c r="A10569" i="1"/>
  <c r="B10569" i="1"/>
  <c r="C10569" i="1"/>
  <c r="A10568" i="1"/>
  <c r="B10568" i="1"/>
  <c r="C10568" i="1"/>
  <c r="A10610" i="1"/>
  <c r="B10610" i="1"/>
  <c r="C10610" i="1"/>
  <c r="A4400" i="1"/>
  <c r="B4400" i="1"/>
  <c r="C4400" i="1"/>
  <c r="A3895" i="1"/>
  <c r="B3895" i="1"/>
  <c r="C3895" i="1"/>
  <c r="A17237" i="1"/>
  <c r="B17237" i="1"/>
  <c r="C17237" i="1"/>
  <c r="A18719" i="1"/>
  <c r="B18719" i="1"/>
  <c r="C18719" i="1"/>
  <c r="A1693" i="1"/>
  <c r="B1693" i="1"/>
  <c r="C1693" i="1"/>
  <c r="A15037" i="1"/>
  <c r="B15037" i="1"/>
  <c r="C15037" i="1"/>
  <c r="A19095" i="1"/>
  <c r="B19095" i="1"/>
  <c r="C19095" i="1"/>
  <c r="A4675" i="1"/>
  <c r="B4675" i="1"/>
  <c r="C4675" i="1"/>
  <c r="A4954" i="1"/>
  <c r="B4954" i="1"/>
  <c r="C4954" i="1"/>
  <c r="A24210" i="1"/>
  <c r="B24210" i="1"/>
  <c r="C24210" i="1"/>
  <c r="A15477" i="1"/>
  <c r="B15477" i="1"/>
  <c r="C15477" i="1"/>
  <c r="A19132" i="1"/>
  <c r="B19132" i="1"/>
  <c r="C19132" i="1"/>
  <c r="A15598" i="1"/>
  <c r="B15598" i="1"/>
  <c r="C15598" i="1"/>
  <c r="A16522" i="1"/>
  <c r="B16522" i="1"/>
  <c r="C16522" i="1"/>
  <c r="A13678" i="1"/>
  <c r="B13678" i="1"/>
  <c r="C13678" i="1"/>
  <c r="A22482" i="1"/>
  <c r="B22482" i="1"/>
  <c r="C22482" i="1"/>
  <c r="A2538" i="1"/>
  <c r="B2538" i="1"/>
  <c r="C2538" i="1"/>
  <c r="A10069" i="1"/>
  <c r="B10069" i="1"/>
  <c r="C10069" i="1"/>
  <c r="A5525" i="1"/>
  <c r="B5525" i="1"/>
  <c r="C5525" i="1"/>
  <c r="A22229" i="1"/>
  <c r="B22229" i="1"/>
  <c r="C22229" i="1"/>
  <c r="A15594" i="1"/>
  <c r="B15594" i="1"/>
  <c r="C15594" i="1"/>
  <c r="A17764" i="1"/>
  <c r="B17764" i="1"/>
  <c r="C17764" i="1"/>
  <c r="A17757" i="1"/>
  <c r="B17757" i="1"/>
  <c r="C17757" i="1"/>
  <c r="A22160" i="1"/>
  <c r="B22160" i="1"/>
  <c r="C22160" i="1"/>
  <c r="A18663" i="1"/>
  <c r="B18663" i="1"/>
  <c r="C18663" i="1"/>
  <c r="A18011" i="1"/>
  <c r="B18011" i="1"/>
  <c r="C18011" i="1"/>
  <c r="A7972" i="1"/>
  <c r="B7972" i="1"/>
  <c r="C7972" i="1"/>
  <c r="A9324" i="1"/>
  <c r="B9324" i="1"/>
  <c r="C9324" i="1"/>
  <c r="A6801" i="1"/>
  <c r="B6801" i="1"/>
  <c r="C6801" i="1"/>
  <c r="A15545" i="1"/>
  <c r="B15545" i="1"/>
  <c r="C15545" i="1"/>
  <c r="A18868" i="1"/>
  <c r="B18868" i="1"/>
  <c r="C18868" i="1"/>
  <c r="A1626" i="1"/>
  <c r="B1626" i="1"/>
  <c r="C1626" i="1"/>
  <c r="A22070" i="1"/>
  <c r="B22070" i="1"/>
  <c r="C22070" i="1"/>
  <c r="A2698" i="1"/>
  <c r="B2698" i="1"/>
  <c r="C2698" i="1"/>
  <c r="A6987" i="1"/>
  <c r="B6987" i="1"/>
  <c r="C6987" i="1"/>
  <c r="A22528" i="1"/>
  <c r="B22528" i="1"/>
  <c r="C22528" i="1"/>
  <c r="A22527" i="1"/>
  <c r="B22527" i="1"/>
  <c r="C22527" i="1"/>
  <c r="A2697" i="1"/>
  <c r="B2697" i="1"/>
  <c r="C2697" i="1"/>
  <c r="A14207" i="1"/>
  <c r="B14207" i="1"/>
  <c r="C14207" i="1"/>
  <c r="A14208" i="1"/>
  <c r="B14208" i="1"/>
  <c r="C14208" i="1"/>
  <c r="A19697" i="1"/>
  <c r="B19697" i="1"/>
  <c r="C19697" i="1"/>
  <c r="A25337" i="1"/>
  <c r="B25337" i="1"/>
  <c r="C25337" i="1"/>
  <c r="A14628" i="1"/>
  <c r="B14628" i="1"/>
  <c r="C14628" i="1"/>
  <c r="A14629" i="1"/>
  <c r="B14629" i="1"/>
  <c r="C14629" i="1"/>
  <c r="A16942" i="1"/>
  <c r="B16942" i="1"/>
  <c r="C16942" i="1"/>
  <c r="A8805" i="1"/>
  <c r="B8805" i="1"/>
  <c r="C8805" i="1"/>
  <c r="A22268" i="1"/>
  <c r="B22268" i="1"/>
  <c r="C22268" i="1"/>
  <c r="A19426" i="1"/>
  <c r="B19426" i="1"/>
  <c r="C19426" i="1"/>
  <c r="A1079" i="1"/>
  <c r="B1079" i="1"/>
  <c r="C1079" i="1"/>
  <c r="A12666" i="1"/>
  <c r="B12666" i="1"/>
  <c r="C12666" i="1"/>
  <c r="A6653" i="1"/>
  <c r="B6653" i="1"/>
  <c r="C6653" i="1"/>
  <c r="A9847" i="1"/>
  <c r="B9847" i="1"/>
  <c r="C9847" i="1"/>
  <c r="A9309" i="1"/>
  <c r="B9309" i="1"/>
  <c r="C9309" i="1"/>
  <c r="A4213" i="1"/>
  <c r="B4213" i="1"/>
  <c r="C4213" i="1"/>
  <c r="A13313" i="1"/>
  <c r="B13313" i="1"/>
  <c r="C13313" i="1"/>
  <c r="A13311" i="1"/>
  <c r="B13311" i="1"/>
  <c r="C13311" i="1"/>
  <c r="A13312" i="1"/>
  <c r="B13312" i="1"/>
  <c r="C13312" i="1"/>
  <c r="A14377" i="1"/>
  <c r="B14377" i="1"/>
  <c r="C14377" i="1"/>
  <c r="A125" i="1"/>
  <c r="B125" i="1"/>
  <c r="C125" i="1"/>
  <c r="A18363" i="1"/>
  <c r="C18363" i="1"/>
  <c r="A18364" i="1"/>
  <c r="C18364" i="1"/>
  <c r="A18349" i="1"/>
  <c r="B18349" i="1"/>
  <c r="C18349" i="1"/>
  <c r="A2276" i="1"/>
  <c r="B2276" i="1"/>
  <c r="C2276" i="1"/>
  <c r="A22430" i="1"/>
  <c r="B22430" i="1"/>
  <c r="C22430" i="1"/>
  <c r="A22429" i="1"/>
  <c r="B22429" i="1"/>
  <c r="C22429" i="1"/>
  <c r="A22428" i="1"/>
  <c r="B22428" i="1"/>
  <c r="C22428" i="1"/>
  <c r="A17944" i="1"/>
  <c r="B17944" i="1"/>
  <c r="C17944" i="1"/>
  <c r="A22427" i="1"/>
  <c r="B22427" i="1"/>
  <c r="C22427" i="1"/>
  <c r="A10367" i="1"/>
  <c r="B10367" i="1"/>
  <c r="C10367" i="1"/>
  <c r="A21362" i="1"/>
  <c r="B21362" i="1"/>
  <c r="C21362" i="1"/>
  <c r="A5663" i="1"/>
  <c r="B5663" i="1"/>
  <c r="C5663" i="1"/>
  <c r="A25355" i="1"/>
  <c r="B25355" i="1"/>
  <c r="C25355" i="1"/>
  <c r="A25352" i="1"/>
  <c r="B25352" i="1"/>
  <c r="C25352" i="1"/>
  <c r="A10188" i="1"/>
  <c r="B10188" i="1"/>
  <c r="C10188" i="1"/>
  <c r="A15859" i="1"/>
  <c r="B15859" i="1"/>
  <c r="C15859" i="1"/>
  <c r="A15860" i="1"/>
  <c r="B15860" i="1"/>
  <c r="C15860" i="1"/>
  <c r="A8877" i="1"/>
  <c r="B8877" i="1"/>
  <c r="C8877" i="1"/>
  <c r="A18234" i="1"/>
  <c r="B18234" i="1"/>
  <c r="C18234" i="1"/>
  <c r="A18236" i="1"/>
  <c r="B18236" i="1"/>
  <c r="C18236" i="1"/>
  <c r="A18231" i="1"/>
  <c r="B18231" i="1"/>
  <c r="C18231" i="1"/>
  <c r="A18232" i="1"/>
  <c r="B18232" i="1"/>
  <c r="C18232" i="1"/>
  <c r="A18238" i="1"/>
  <c r="B18238" i="1"/>
  <c r="C18238" i="1"/>
  <c r="A18237" i="1"/>
  <c r="B18237" i="1"/>
  <c r="C18237" i="1"/>
  <c r="A18235" i="1"/>
  <c r="B18235" i="1"/>
  <c r="C18235" i="1"/>
  <c r="A18228" i="1"/>
  <c r="B18228" i="1"/>
  <c r="C18228" i="1"/>
  <c r="A18229" i="1"/>
  <c r="B18229" i="1"/>
  <c r="C18229" i="1"/>
  <c r="A21791" i="1"/>
  <c r="B21791" i="1"/>
  <c r="C21791" i="1"/>
  <c r="A23900" i="1"/>
  <c r="B23900" i="1"/>
  <c r="C23900" i="1"/>
  <c r="A11890" i="1"/>
  <c r="B11890" i="1"/>
  <c r="C11890" i="1"/>
  <c r="A11199" i="1"/>
  <c r="B11199" i="1"/>
  <c r="C11199" i="1"/>
  <c r="A648" i="1"/>
  <c r="B648" i="1"/>
  <c r="C648" i="1"/>
  <c r="A11887" i="1"/>
  <c r="B11887" i="1"/>
  <c r="C11887" i="1"/>
  <c r="A7727" i="1"/>
  <c r="B7727" i="1"/>
  <c r="C7727" i="1"/>
  <c r="A15901" i="1"/>
  <c r="B15901" i="1"/>
  <c r="C15901" i="1"/>
  <c r="A717" i="1"/>
  <c r="B717" i="1"/>
  <c r="C717" i="1"/>
  <c r="A15963" i="1"/>
  <c r="B15963" i="1"/>
  <c r="C15963" i="1"/>
  <c r="A22188" i="1"/>
  <c r="B22188" i="1"/>
  <c r="C22188" i="1"/>
  <c r="A303" i="1"/>
  <c r="B303" i="1"/>
  <c r="C303" i="1"/>
  <c r="A19799" i="1"/>
  <c r="B19799" i="1"/>
  <c r="C19799" i="1"/>
  <c r="A6510" i="1"/>
  <c r="B6510" i="1"/>
  <c r="C6510" i="1"/>
  <c r="A24574" i="1"/>
  <c r="B24574" i="1"/>
  <c r="C24574" i="1"/>
  <c r="A4683" i="1"/>
  <c r="B4683" i="1"/>
  <c r="C4683" i="1"/>
  <c r="A18822" i="1"/>
  <c r="B18822" i="1"/>
  <c r="C18822" i="1"/>
  <c r="A14352" i="1"/>
  <c r="B14352" i="1"/>
  <c r="C14352" i="1"/>
  <c r="A23909" i="1"/>
  <c r="B23909" i="1"/>
  <c r="C23909" i="1"/>
  <c r="A23510" i="1"/>
  <c r="B23510" i="1"/>
  <c r="C23510" i="1"/>
  <c r="A17660" i="1"/>
  <c r="B17660" i="1"/>
  <c r="C17660" i="1"/>
  <c r="A5729" i="1"/>
  <c r="B5729" i="1"/>
  <c r="C5729" i="1"/>
  <c r="A7002" i="1"/>
  <c r="B7002" i="1"/>
  <c r="C7002" i="1"/>
  <c r="A15721" i="1"/>
  <c r="B15721" i="1"/>
  <c r="C15721" i="1"/>
  <c r="A7767" i="1"/>
  <c r="B7767" i="1"/>
  <c r="C7767" i="1"/>
  <c r="A21483" i="1"/>
  <c r="B21483" i="1"/>
  <c r="C21483" i="1"/>
  <c r="A11524" i="1"/>
  <c r="B11524" i="1"/>
  <c r="C11524" i="1"/>
  <c r="A207" i="1"/>
  <c r="B207" i="1"/>
  <c r="C207" i="1"/>
  <c r="A20908" i="1"/>
  <c r="B20908" i="1"/>
  <c r="C20908" i="1"/>
  <c r="A5192" i="1"/>
  <c r="B5192" i="1"/>
  <c r="C5192" i="1"/>
  <c r="A5728" i="1"/>
  <c r="B5728" i="1"/>
  <c r="C5728" i="1"/>
  <c r="A3185" i="1"/>
  <c r="B3185" i="1"/>
  <c r="C3185" i="1"/>
  <c r="A25427" i="1"/>
  <c r="B25427" i="1"/>
  <c r="C25427" i="1"/>
  <c r="A21809" i="1"/>
  <c r="B21809" i="1"/>
  <c r="C21809" i="1"/>
  <c r="A15168" i="1"/>
  <c r="B15168" i="1"/>
  <c r="C15168" i="1"/>
  <c r="A16313" i="1"/>
  <c r="B16313" i="1"/>
  <c r="C16313" i="1"/>
  <c r="A2839" i="1"/>
  <c r="B2839" i="1"/>
  <c r="C2839" i="1"/>
  <c r="A22145" i="1"/>
  <c r="B22145" i="1"/>
  <c r="C22145" i="1"/>
  <c r="A12372" i="1"/>
  <c r="B12372" i="1"/>
  <c r="C12372" i="1"/>
  <c r="A11869" i="1"/>
  <c r="B11869" i="1"/>
  <c r="C11869" i="1"/>
  <c r="A11719" i="1"/>
  <c r="B11719" i="1"/>
  <c r="C11719" i="1"/>
  <c r="A9039" i="1"/>
  <c r="B9039" i="1"/>
  <c r="C9039" i="1"/>
  <c r="A22191" i="1"/>
  <c r="B22191" i="1"/>
  <c r="C22191" i="1"/>
  <c r="A2799" i="1"/>
  <c r="B2799" i="1"/>
  <c r="C2799" i="1"/>
  <c r="A24290" i="1"/>
  <c r="C24290" i="1"/>
  <c r="A24291" i="1"/>
  <c r="C24291" i="1"/>
  <c r="A24297" i="1"/>
  <c r="B24297" i="1"/>
  <c r="C24297" i="1"/>
  <c r="A24296" i="1"/>
  <c r="B24296" i="1"/>
  <c r="C24296" i="1"/>
  <c r="A16301" i="1"/>
  <c r="B16301" i="1"/>
  <c r="C16301" i="1"/>
  <c r="A19666" i="1"/>
  <c r="C19666" i="1"/>
  <c r="A18430" i="1"/>
  <c r="B18430" i="1"/>
  <c r="C18430" i="1"/>
  <c r="A21818" i="1"/>
  <c r="B21818" i="1"/>
  <c r="C21818" i="1"/>
  <c r="A12538" i="1"/>
  <c r="B12538" i="1"/>
  <c r="C12538" i="1"/>
  <c r="A255" i="1"/>
  <c r="B255" i="1"/>
  <c r="C255" i="1"/>
  <c r="A20672" i="1"/>
  <c r="B20672" i="1"/>
  <c r="C20672" i="1"/>
  <c r="A15042" i="1"/>
  <c r="B15042" i="1"/>
  <c r="C15042" i="1"/>
  <c r="A19609" i="1"/>
  <c r="B19609" i="1"/>
  <c r="C19609" i="1"/>
  <c r="A11159" i="1"/>
  <c r="C11159" i="1"/>
  <c r="A4684" i="1"/>
  <c r="B4684" i="1"/>
  <c r="C4684" i="1"/>
  <c r="A25216" i="1"/>
  <c r="B25216" i="1"/>
  <c r="C25216" i="1"/>
  <c r="A93" i="1"/>
  <c r="B93" i="1"/>
  <c r="C93" i="1"/>
  <c r="A94" i="1"/>
  <c r="B94" i="1"/>
  <c r="C94" i="1"/>
  <c r="A96" i="1"/>
  <c r="B96" i="1"/>
  <c r="C96" i="1"/>
  <c r="A98" i="1"/>
  <c r="B98" i="1"/>
  <c r="C98" i="1"/>
  <c r="A95" i="1"/>
  <c r="B95" i="1"/>
  <c r="C95" i="1"/>
  <c r="A97" i="1"/>
  <c r="B97" i="1"/>
  <c r="C97" i="1"/>
  <c r="A25132" i="1"/>
  <c r="B25132" i="1"/>
  <c r="C25132" i="1"/>
  <c r="A11479" i="1"/>
  <c r="B11479" i="1"/>
  <c r="C11479" i="1"/>
  <c r="A24680" i="1"/>
  <c r="B24680" i="1"/>
  <c r="C24680" i="1"/>
  <c r="A1964" i="1"/>
  <c r="B1964" i="1"/>
  <c r="C1964" i="1"/>
  <c r="A16298" i="1"/>
  <c r="B16298" i="1"/>
  <c r="C16298" i="1"/>
  <c r="A10197" i="1"/>
  <c r="B10197" i="1"/>
  <c r="C10197" i="1"/>
  <c r="A7260" i="1"/>
  <c r="B7260" i="1"/>
  <c r="C7260" i="1"/>
  <c r="A24366" i="1"/>
  <c r="B24366" i="1"/>
  <c r="C24366" i="1"/>
  <c r="A14092" i="1"/>
  <c r="B14092" i="1"/>
  <c r="C14092" i="1"/>
  <c r="A5516" i="1"/>
  <c r="B5516" i="1"/>
  <c r="C5516" i="1"/>
  <c r="A8335" i="1"/>
  <c r="B8335" i="1"/>
  <c r="C8335" i="1"/>
  <c r="A25106" i="1"/>
  <c r="B25106" i="1"/>
  <c r="C25106" i="1"/>
  <c r="A22397" i="1"/>
  <c r="B22397" i="1"/>
  <c r="C22397" i="1"/>
  <c r="A9005" i="1"/>
  <c r="B9005" i="1"/>
  <c r="C9005" i="1"/>
  <c r="A9167" i="1"/>
  <c r="B9167" i="1"/>
  <c r="C9167" i="1"/>
  <c r="A25585" i="1"/>
  <c r="B25585" i="1"/>
  <c r="C25585" i="1"/>
  <c r="A14731" i="1"/>
  <c r="B14731" i="1"/>
  <c r="C14731" i="1"/>
  <c r="A11508" i="1"/>
  <c r="B11508" i="1"/>
  <c r="C11508" i="1"/>
  <c r="A17516" i="1"/>
  <c r="B17516" i="1"/>
  <c r="C17516" i="1"/>
  <c r="A17515" i="1"/>
  <c r="B17515" i="1"/>
  <c r="C17515" i="1"/>
  <c r="A22968" i="1"/>
  <c r="B22968" i="1"/>
  <c r="C22968" i="1"/>
  <c r="A1738" i="1"/>
  <c r="B1738" i="1"/>
  <c r="C1738" i="1"/>
  <c r="A25121" i="1"/>
  <c r="B25121" i="1"/>
  <c r="C25121" i="1"/>
  <c r="A9038" i="1"/>
  <c r="B9038" i="1"/>
  <c r="C9038" i="1"/>
  <c r="A14740" i="1"/>
  <c r="B14740" i="1"/>
  <c r="C14740" i="1"/>
  <c r="A31" i="1"/>
  <c r="B31" i="1"/>
  <c r="C31" i="1"/>
  <c r="A23290" i="1"/>
  <c r="B23290" i="1"/>
  <c r="C23290" i="1"/>
  <c r="A1618" i="1"/>
  <c r="B1618" i="1"/>
  <c r="C1618" i="1"/>
  <c r="A22644" i="1"/>
  <c r="B22644" i="1"/>
  <c r="C22644" i="1"/>
  <c r="A7425" i="1"/>
  <c r="B7425" i="1"/>
  <c r="C7425" i="1"/>
  <c r="A18301" i="1"/>
  <c r="B18301" i="1"/>
  <c r="C18301" i="1"/>
  <c r="A16962" i="1"/>
  <c r="B16962" i="1"/>
  <c r="C16962" i="1"/>
  <c r="A13834" i="1"/>
  <c r="B13834" i="1"/>
  <c r="C13834" i="1"/>
  <c r="A21066" i="1"/>
  <c r="B21066" i="1"/>
  <c r="C21066" i="1"/>
  <c r="A17818" i="1"/>
  <c r="B17818" i="1"/>
  <c r="C17818" i="1"/>
  <c r="A21701" i="1"/>
  <c r="C21701" i="1"/>
  <c r="A14145" i="1"/>
  <c r="B14145" i="1"/>
  <c r="C14145" i="1"/>
  <c r="A73" i="1"/>
  <c r="B73" i="1"/>
  <c r="C73" i="1"/>
  <c r="A14382" i="1"/>
  <c r="B14382" i="1"/>
  <c r="C14382" i="1"/>
  <c r="A1956" i="1"/>
  <c r="B1956" i="1"/>
  <c r="C1956" i="1"/>
  <c r="A14423" i="1"/>
  <c r="B14423" i="1"/>
  <c r="C14423" i="1"/>
  <c r="A9860" i="1"/>
  <c r="B9860" i="1"/>
  <c r="C9860" i="1"/>
  <c r="A15220" i="1"/>
  <c r="B15220" i="1"/>
  <c r="C15220" i="1"/>
  <c r="A7262" i="1"/>
  <c r="B7262" i="1"/>
  <c r="C7262" i="1"/>
  <c r="A7261" i="1"/>
  <c r="B7261" i="1"/>
  <c r="C7261" i="1"/>
  <c r="A7259" i="1"/>
  <c r="B7259" i="1"/>
  <c r="C7259" i="1"/>
  <c r="A14909" i="1"/>
  <c r="B14909" i="1"/>
  <c r="C14909" i="1"/>
  <c r="A20626" i="1"/>
  <c r="B20626" i="1"/>
  <c r="C20626" i="1"/>
  <c r="A22223" i="1"/>
  <c r="B22223" i="1"/>
  <c r="C22223" i="1"/>
  <c r="A6790" i="1"/>
  <c r="B6790" i="1"/>
  <c r="C6790" i="1"/>
  <c r="A19152" i="1"/>
  <c r="B19152" i="1"/>
  <c r="C19152" i="1"/>
  <c r="A22571" i="1"/>
  <c r="B22571" i="1"/>
  <c r="C22571" i="1"/>
  <c r="A22657" i="1"/>
  <c r="B22657" i="1"/>
  <c r="C22657" i="1"/>
  <c r="A22572" i="1"/>
  <c r="B22572" i="1"/>
  <c r="C22572" i="1"/>
  <c r="A22658" i="1"/>
  <c r="B22658" i="1"/>
  <c r="C22658" i="1"/>
  <c r="A22570" i="1"/>
  <c r="B22570" i="1"/>
  <c r="C22570" i="1"/>
  <c r="A22656" i="1"/>
  <c r="B22656" i="1"/>
  <c r="C22656" i="1"/>
  <c r="A11496" i="1"/>
  <c r="B11496" i="1"/>
  <c r="C11496" i="1"/>
  <c r="A11500" i="1"/>
  <c r="B11500" i="1"/>
  <c r="C11500" i="1"/>
  <c r="A13573" i="1"/>
  <c r="C13573" i="1"/>
  <c r="A13574" i="1"/>
  <c r="B13574" i="1"/>
  <c r="C13574" i="1"/>
  <c r="A23167" i="1"/>
  <c r="B23167" i="1"/>
  <c r="C23167" i="1"/>
  <c r="A23243" i="1"/>
  <c r="B23243" i="1"/>
  <c r="C23243" i="1"/>
  <c r="A23230" i="1"/>
  <c r="B23230" i="1"/>
  <c r="C23230" i="1"/>
  <c r="A23231" i="1"/>
  <c r="B23231" i="1"/>
  <c r="C23231" i="1"/>
  <c r="A23165" i="1"/>
  <c r="B23165" i="1"/>
  <c r="C23165" i="1"/>
  <c r="A23242" i="1"/>
  <c r="B23242" i="1"/>
  <c r="C23242" i="1"/>
  <c r="A23244" i="1"/>
  <c r="B23244" i="1"/>
  <c r="C23244" i="1"/>
  <c r="A23245" i="1"/>
  <c r="B23245" i="1"/>
  <c r="C23245" i="1"/>
  <c r="A24454" i="1"/>
  <c r="B24454" i="1"/>
  <c r="C24454" i="1"/>
  <c r="A24451" i="1"/>
  <c r="B24451" i="1"/>
  <c r="C24451" i="1"/>
  <c r="A24449" i="1"/>
  <c r="B24449" i="1"/>
  <c r="C24449" i="1"/>
  <c r="A24447" i="1"/>
  <c r="B24447" i="1"/>
  <c r="C24447" i="1"/>
  <c r="A24448" i="1"/>
  <c r="B24448" i="1"/>
  <c r="C24448" i="1"/>
  <c r="A24450" i="1"/>
  <c r="B24450" i="1"/>
  <c r="C24450" i="1"/>
  <c r="A24456" i="1"/>
  <c r="B24456" i="1"/>
  <c r="C24456" i="1"/>
  <c r="A8471" i="1"/>
  <c r="B8471" i="1"/>
  <c r="C8471" i="1"/>
  <c r="A8468" i="1"/>
  <c r="B8468" i="1"/>
  <c r="C8468" i="1"/>
  <c r="A8465" i="1"/>
  <c r="B8465" i="1"/>
  <c r="C8465" i="1"/>
  <c r="A8467" i="1"/>
  <c r="B8467" i="1"/>
  <c r="C8467" i="1"/>
  <c r="A8446" i="1"/>
  <c r="B8446" i="1"/>
  <c r="C8446" i="1"/>
  <c r="A8472" i="1"/>
  <c r="B8472" i="1"/>
  <c r="C8472" i="1"/>
  <c r="A2841" i="1"/>
  <c r="B2841" i="1"/>
  <c r="C2841" i="1"/>
  <c r="A2840" i="1"/>
  <c r="B2840" i="1"/>
  <c r="C2840" i="1"/>
  <c r="A13583" i="1"/>
  <c r="B13583" i="1"/>
  <c r="C13583" i="1"/>
  <c r="A13582" i="1"/>
  <c r="B13582" i="1"/>
  <c r="C13582" i="1"/>
  <c r="A17106" i="1"/>
  <c r="B17106" i="1"/>
  <c r="C17106" i="1"/>
  <c r="A17107" i="1"/>
  <c r="B17107" i="1"/>
  <c r="C17107" i="1"/>
  <c r="A19550" i="1"/>
  <c r="B19550" i="1"/>
  <c r="C19550" i="1"/>
  <c r="A19551" i="1"/>
  <c r="B19551" i="1"/>
  <c r="C19551" i="1"/>
  <c r="A19552" i="1"/>
  <c r="B19552" i="1"/>
  <c r="C19552" i="1"/>
  <c r="A19553" i="1"/>
  <c r="B19553" i="1"/>
  <c r="C19553" i="1"/>
  <c r="A19571" i="1"/>
  <c r="B19571" i="1"/>
  <c r="C19571" i="1"/>
  <c r="A11574" i="1"/>
  <c r="B11574" i="1"/>
  <c r="C11574" i="1"/>
  <c r="A8829" i="1"/>
  <c r="B8829" i="1"/>
  <c r="C8829" i="1"/>
  <c r="A8595" i="1"/>
  <c r="B8595" i="1"/>
  <c r="C8595" i="1"/>
  <c r="A51" i="1"/>
  <c r="B51" i="1"/>
  <c r="C51" i="1"/>
  <c r="A23130" i="1"/>
  <c r="B23130" i="1"/>
  <c r="C23130" i="1"/>
  <c r="A20812" i="1"/>
  <c r="B20812" i="1"/>
  <c r="C20812" i="1"/>
  <c r="A8407" i="1"/>
  <c r="B8407" i="1"/>
  <c r="C8407" i="1"/>
  <c r="A25009" i="1"/>
  <c r="B25009" i="1"/>
  <c r="C25009" i="1"/>
  <c r="A23259" i="1"/>
  <c r="B23259" i="1"/>
  <c r="C23259" i="1"/>
  <c r="A14571" i="1"/>
  <c r="B14571" i="1"/>
  <c r="C14571" i="1"/>
  <c r="A405" i="1"/>
  <c r="B405" i="1"/>
  <c r="C405" i="1"/>
  <c r="A15149" i="1"/>
  <c r="B15149" i="1"/>
  <c r="C15149" i="1"/>
  <c r="A15210" i="1"/>
  <c r="B15210" i="1"/>
  <c r="C15210" i="1"/>
  <c r="A15150" i="1"/>
  <c r="B15150" i="1"/>
  <c r="C15150" i="1"/>
  <c r="A15222" i="1"/>
  <c r="B15222" i="1"/>
  <c r="C15222" i="1"/>
  <c r="A8353" i="1"/>
  <c r="B8353" i="1"/>
  <c r="C8353" i="1"/>
  <c r="A23801" i="1"/>
  <c r="B23801" i="1"/>
  <c r="C23801" i="1"/>
  <c r="A13761" i="1"/>
  <c r="B13761" i="1"/>
  <c r="C13761" i="1"/>
  <c r="A23296" i="1"/>
  <c r="B23296" i="1"/>
  <c r="C23296" i="1"/>
  <c r="A21772" i="1"/>
  <c r="B21772" i="1"/>
  <c r="C21772" i="1"/>
  <c r="A6443" i="1"/>
  <c r="B6443" i="1"/>
  <c r="C6443" i="1"/>
  <c r="A21136" i="1"/>
  <c r="B21136" i="1"/>
  <c r="C21136" i="1"/>
  <c r="A19050" i="1"/>
  <c r="B19050" i="1"/>
  <c r="C19050" i="1"/>
  <c r="A10029" i="1"/>
  <c r="B10029" i="1"/>
  <c r="C10029" i="1"/>
  <c r="A10028" i="1"/>
  <c r="B10028" i="1"/>
  <c r="C10028" i="1"/>
  <c r="A22371" i="1"/>
  <c r="B22371" i="1"/>
  <c r="C22371" i="1"/>
  <c r="A20996" i="1"/>
  <c r="B20996" i="1"/>
  <c r="C20996" i="1"/>
  <c r="A22647" i="1"/>
  <c r="B22647" i="1"/>
  <c r="C22647" i="1"/>
  <c r="A24409" i="1"/>
  <c r="B24409" i="1"/>
  <c r="C24409" i="1"/>
  <c r="A8470" i="1"/>
  <c r="B8470" i="1"/>
  <c r="C8470" i="1"/>
  <c r="A15648" i="1"/>
  <c r="B15648" i="1"/>
  <c r="C15648" i="1"/>
  <c r="A15701" i="1"/>
  <c r="B15701" i="1"/>
  <c r="C15701" i="1"/>
  <c r="A1902" i="1"/>
  <c r="B1902" i="1"/>
  <c r="C1902" i="1"/>
  <c r="A1913" i="1"/>
  <c r="B1913" i="1"/>
  <c r="C1913" i="1"/>
  <c r="A5596" i="1"/>
  <c r="B5596" i="1"/>
  <c r="C5596" i="1"/>
  <c r="A21081" i="1"/>
  <c r="B21081" i="1"/>
  <c r="C21081" i="1"/>
  <c r="A22843" i="1"/>
  <c r="B22843" i="1"/>
  <c r="C22843" i="1"/>
  <c r="A22844" i="1"/>
  <c r="B22844" i="1"/>
  <c r="C22844" i="1"/>
  <c r="A13414" i="1"/>
  <c r="B13414" i="1"/>
  <c r="C13414" i="1"/>
  <c r="A8480" i="1"/>
  <c r="B8480" i="1"/>
  <c r="C8480" i="1"/>
  <c r="A22965" i="1"/>
  <c r="B22965" i="1"/>
  <c r="C22965" i="1"/>
  <c r="A18345" i="1"/>
  <c r="B18345" i="1"/>
  <c r="C18345" i="1"/>
  <c r="A17165" i="1"/>
  <c r="B17165" i="1"/>
  <c r="C17165" i="1"/>
  <c r="A17164" i="1"/>
  <c r="B17164" i="1"/>
  <c r="C17164" i="1"/>
  <c r="A24630" i="1"/>
  <c r="B24630" i="1"/>
  <c r="C24630" i="1"/>
  <c r="A8476" i="1"/>
  <c r="B8476" i="1"/>
  <c r="C8476" i="1"/>
  <c r="A25339" i="1"/>
  <c r="B25339" i="1"/>
  <c r="C25339" i="1"/>
  <c r="A24541" i="1"/>
  <c r="B24541" i="1"/>
  <c r="C24541" i="1"/>
  <c r="A1934" i="1"/>
  <c r="B1934" i="1"/>
  <c r="C1934" i="1"/>
  <c r="A5246" i="1"/>
  <c r="B5246" i="1"/>
  <c r="C5246" i="1"/>
  <c r="A11340" i="1"/>
  <c r="B11340" i="1"/>
  <c r="C11340" i="1"/>
  <c r="A8478" i="1"/>
  <c r="B8478" i="1"/>
  <c r="C8478" i="1"/>
  <c r="A8477" i="1"/>
  <c r="B8477" i="1"/>
  <c r="C8477" i="1"/>
  <c r="A8475" i="1"/>
  <c r="B8475" i="1"/>
  <c r="C8475" i="1"/>
  <c r="A8481" i="1"/>
  <c r="B8481" i="1"/>
  <c r="C8481" i="1"/>
  <c r="A23274" i="1"/>
  <c r="B23274" i="1"/>
  <c r="C23274" i="1"/>
  <c r="A8447" i="1"/>
  <c r="B8447" i="1"/>
  <c r="C8447" i="1"/>
  <c r="A22941" i="1"/>
  <c r="B22941" i="1"/>
  <c r="C22941" i="1"/>
  <c r="A22943" i="1"/>
  <c r="B22943" i="1"/>
  <c r="C22943" i="1"/>
  <c r="A22942" i="1"/>
  <c r="B22942" i="1"/>
  <c r="C22942" i="1"/>
  <c r="A22944" i="1"/>
  <c r="B22944" i="1"/>
  <c r="C22944" i="1"/>
  <c r="A19239" i="1"/>
  <c r="B19239" i="1"/>
  <c r="C19239" i="1"/>
  <c r="A12688" i="1"/>
  <c r="B12688" i="1"/>
  <c r="C12688" i="1"/>
  <c r="A15172" i="1"/>
  <c r="B15172" i="1"/>
  <c r="C15172" i="1"/>
  <c r="A15377" i="1"/>
  <c r="B15377" i="1"/>
  <c r="C15377" i="1"/>
  <c r="A6419" i="1"/>
  <c r="B6419" i="1"/>
  <c r="C6419" i="1"/>
  <c r="A6420" i="1"/>
  <c r="B6420" i="1"/>
  <c r="C6420" i="1"/>
  <c r="A220" i="1"/>
  <c r="B220" i="1"/>
  <c r="C220" i="1"/>
  <c r="A16226" i="1"/>
  <c r="B16226" i="1"/>
  <c r="C16226" i="1"/>
  <c r="A20361" i="1"/>
  <c r="B20361" i="1"/>
  <c r="C20361" i="1"/>
  <c r="A15914" i="1"/>
  <c r="B15914" i="1"/>
  <c r="C15914" i="1"/>
  <c r="A2085" i="1"/>
  <c r="B2085" i="1"/>
  <c r="C2085" i="1"/>
  <c r="A22214" i="1"/>
  <c r="B22214" i="1"/>
  <c r="C22214" i="1"/>
  <c r="A3909" i="1"/>
  <c r="B3909" i="1"/>
  <c r="C3909" i="1"/>
  <c r="A16376" i="1"/>
  <c r="B16376" i="1"/>
  <c r="C16376" i="1"/>
  <c r="A22632" i="1"/>
  <c r="B22632" i="1"/>
  <c r="C22632" i="1"/>
  <c r="A18824" i="1"/>
  <c r="B18824" i="1"/>
  <c r="C18824" i="1"/>
  <c r="A3907" i="1"/>
  <c r="B3907" i="1"/>
  <c r="C3907" i="1"/>
  <c r="A14293" i="1"/>
  <c r="B14293" i="1"/>
  <c r="C14293" i="1"/>
  <c r="A8609" i="1"/>
  <c r="B8609" i="1"/>
  <c r="C8609" i="1"/>
  <c r="A8561" i="1"/>
  <c r="B8561" i="1"/>
  <c r="C8561" i="1"/>
  <c r="A15538" i="1"/>
  <c r="B15538" i="1"/>
  <c r="C15538" i="1"/>
  <c r="A16083" i="1"/>
  <c r="B16083" i="1"/>
  <c r="C16083" i="1"/>
  <c r="A13852" i="1"/>
  <c r="B13852" i="1"/>
  <c r="C13852" i="1"/>
  <c r="A5328" i="1"/>
  <c r="B5328" i="1"/>
  <c r="C5328" i="1"/>
  <c r="A7810" i="1"/>
  <c r="B7810" i="1"/>
  <c r="C7810" i="1"/>
  <c r="A6502" i="1"/>
  <c r="B6502" i="1"/>
  <c r="C6502" i="1"/>
  <c r="A22701" i="1"/>
  <c r="B22701" i="1"/>
  <c r="C22701" i="1"/>
  <c r="A15707" i="1"/>
  <c r="B15707" i="1"/>
  <c r="C15707" i="1"/>
  <c r="A18721" i="1"/>
  <c r="B18721" i="1"/>
  <c r="C18721" i="1"/>
  <c r="A24061" i="1"/>
  <c r="B24061" i="1"/>
  <c r="C24061" i="1"/>
  <c r="A366" i="1"/>
  <c r="B366" i="1"/>
  <c r="C366" i="1"/>
  <c r="A13830" i="1"/>
  <c r="C13830" i="1"/>
  <c r="A22374" i="1"/>
  <c r="C22374" i="1"/>
  <c r="A15568" i="1"/>
  <c r="C15568" i="1"/>
  <c r="A9694" i="1"/>
  <c r="C9694" i="1"/>
  <c r="A9680" i="1"/>
  <c r="C9680" i="1"/>
  <c r="A9687" i="1"/>
  <c r="C9687" i="1"/>
  <c r="A6864" i="1"/>
  <c r="C6864" i="1"/>
  <c r="A19436" i="1"/>
  <c r="C19436" i="1"/>
  <c r="A289" i="1"/>
  <c r="C289" i="1"/>
  <c r="A10262" i="1"/>
  <c r="C10262" i="1"/>
  <c r="A9292" i="1"/>
  <c r="C9292" i="1"/>
  <c r="A9291" i="1"/>
  <c r="C9291" i="1"/>
  <c r="A9290" i="1"/>
  <c r="B9290" i="1"/>
  <c r="C9290" i="1"/>
  <c r="A15755" i="1"/>
  <c r="C15755" i="1"/>
  <c r="A1741" i="1"/>
  <c r="B1741" i="1"/>
  <c r="C1741" i="1"/>
  <c r="A3017" i="1"/>
  <c r="C3017" i="1"/>
  <c r="A11620" i="1"/>
  <c r="C11620" i="1"/>
  <c r="A8839" i="1"/>
  <c r="C8839" i="1"/>
  <c r="A18140" i="1"/>
  <c r="B18140" i="1"/>
  <c r="C18140" i="1"/>
  <c r="A13956" i="1"/>
  <c r="C13956" i="1"/>
  <c r="A4288" i="1"/>
  <c r="B4288" i="1"/>
  <c r="C4288" i="1"/>
  <c r="A17945" i="1"/>
  <c r="C17945" i="1"/>
  <c r="A17947" i="1"/>
  <c r="C17947" i="1"/>
  <c r="A17949" i="1"/>
  <c r="C17949" i="1"/>
  <c r="A17942" i="1"/>
  <c r="C17942" i="1"/>
  <c r="A17950" i="1"/>
  <c r="C17950" i="1"/>
  <c r="A10134" i="1"/>
  <c r="C10134" i="1"/>
  <c r="A10041" i="1"/>
  <c r="C10041" i="1"/>
  <c r="A11142" i="1"/>
  <c r="B11142" i="1"/>
  <c r="C11142" i="1"/>
  <c r="A11143" i="1"/>
  <c r="B11143" i="1"/>
  <c r="C11143" i="1"/>
  <c r="A1315" i="1"/>
  <c r="C1315" i="1"/>
  <c r="A16857" i="1"/>
  <c r="B16857" i="1"/>
  <c r="C16857" i="1"/>
  <c r="A14289" i="1"/>
  <c r="B14289" i="1"/>
  <c r="C14289" i="1"/>
  <c r="A6991" i="1"/>
  <c r="B6991" i="1"/>
  <c r="C6991" i="1"/>
  <c r="A6040" i="1"/>
  <c r="B6040" i="1"/>
  <c r="C6040" i="1"/>
  <c r="A21390" i="1"/>
  <c r="C21390" i="1"/>
  <c r="A21861" i="1"/>
  <c r="C21861" i="1"/>
  <c r="A618" i="1"/>
  <c r="C618" i="1"/>
  <c r="A25139" i="1"/>
  <c r="C25139" i="1"/>
  <c r="A3923" i="1"/>
  <c r="C3923" i="1"/>
  <c r="A17847" i="1"/>
  <c r="B17847" i="1"/>
  <c r="C17847" i="1"/>
  <c r="A17848" i="1"/>
  <c r="B17848" i="1"/>
  <c r="C17848" i="1"/>
  <c r="A19213" i="1"/>
  <c r="B19213" i="1"/>
  <c r="C19213" i="1"/>
  <c r="A24239" i="1"/>
  <c r="B24239" i="1"/>
  <c r="C24239" i="1"/>
  <c r="A24240" i="1"/>
  <c r="B24240" i="1"/>
  <c r="C24240" i="1"/>
  <c r="A15085" i="1"/>
  <c r="B15085" i="1"/>
  <c r="C15085" i="1"/>
  <c r="A19249" i="1"/>
  <c r="C19249" i="1"/>
  <c r="A5627" i="1"/>
  <c r="B5627" i="1"/>
  <c r="C5627" i="1"/>
  <c r="A10052" i="1"/>
  <c r="B10052" i="1"/>
  <c r="C10052" i="1"/>
  <c r="A7090" i="1"/>
  <c r="B7090" i="1"/>
  <c r="C7090" i="1"/>
  <c r="A7468" i="1"/>
  <c r="B7468" i="1"/>
  <c r="C7468" i="1"/>
  <c r="A24667" i="1"/>
  <c r="B24667" i="1"/>
  <c r="C24667" i="1"/>
  <c r="A14743" i="1"/>
  <c r="B14743" i="1"/>
  <c r="C14743" i="1"/>
  <c r="A17773" i="1"/>
  <c r="B17773" i="1"/>
  <c r="C17773" i="1"/>
  <c r="A9287" i="1"/>
  <c r="B9287" i="1"/>
  <c r="C9287" i="1"/>
  <c r="A9286" i="1"/>
  <c r="B9286" i="1"/>
  <c r="C9286" i="1"/>
  <c r="A11637" i="1"/>
  <c r="B11637" i="1"/>
  <c r="C11637" i="1"/>
  <c r="A16494" i="1"/>
  <c r="B16494" i="1"/>
  <c r="C16494" i="1"/>
  <c r="A16980" i="1"/>
  <c r="B16980" i="1"/>
  <c r="C16980" i="1"/>
  <c r="A16320" i="1"/>
  <c r="C16320" i="1"/>
  <c r="A2895" i="1"/>
  <c r="C2895" i="1"/>
  <c r="A8274" i="1"/>
  <c r="B8274" i="1"/>
  <c r="C8274" i="1"/>
  <c r="A5460" i="1"/>
  <c r="B5460" i="1"/>
  <c r="C5460" i="1"/>
  <c r="A5313" i="1"/>
  <c r="B5313" i="1"/>
  <c r="C5313" i="1"/>
  <c r="A10923" i="1"/>
  <c r="B10923" i="1"/>
  <c r="C10923" i="1"/>
  <c r="A1901" i="1"/>
  <c r="B1901" i="1"/>
  <c r="C1901" i="1"/>
  <c r="A7088" i="1"/>
  <c r="B7088" i="1"/>
  <c r="C7088" i="1"/>
  <c r="A25530" i="1"/>
  <c r="B25530" i="1"/>
  <c r="C25530" i="1"/>
  <c r="A8920" i="1"/>
  <c r="B8920" i="1"/>
  <c r="C8920" i="1"/>
  <c r="A19049" i="1"/>
  <c r="B19049" i="1"/>
  <c r="C19049" i="1"/>
  <c r="A21739" i="1"/>
  <c r="B21739" i="1"/>
  <c r="C21739" i="1"/>
  <c r="A9378" i="1"/>
  <c r="B9378" i="1"/>
  <c r="C9378" i="1"/>
  <c r="A3330" i="1"/>
  <c r="B3330" i="1"/>
  <c r="C3330" i="1"/>
  <c r="A4107" i="1"/>
  <c r="B4107" i="1"/>
  <c r="C4107" i="1"/>
  <c r="A12752" i="1"/>
  <c r="B12752" i="1"/>
  <c r="C12752" i="1"/>
  <c r="A12751" i="1"/>
  <c r="B12751" i="1"/>
  <c r="C12751" i="1"/>
  <c r="A12754" i="1"/>
  <c r="B12754" i="1"/>
  <c r="C12754" i="1"/>
  <c r="A12753" i="1"/>
  <c r="B12753" i="1"/>
  <c r="C12753" i="1"/>
  <c r="A7443" i="1"/>
  <c r="B7443" i="1"/>
  <c r="C7443" i="1"/>
  <c r="A24405" i="1"/>
  <c r="B24405" i="1"/>
  <c r="C24405" i="1"/>
  <c r="A7289" i="1"/>
  <c r="C7289" i="1"/>
  <c r="A12345" i="1"/>
  <c r="B12345" i="1"/>
  <c r="C12345" i="1"/>
  <c r="A16528" i="1"/>
  <c r="B16528" i="1"/>
  <c r="C16528" i="1"/>
  <c r="A728" i="1"/>
  <c r="B728" i="1"/>
  <c r="C728" i="1"/>
  <c r="A8214" i="1"/>
  <c r="B8214" i="1"/>
  <c r="C8214" i="1"/>
  <c r="A2593" i="1"/>
  <c r="B2593" i="1"/>
  <c r="C2593" i="1"/>
  <c r="A20936" i="1"/>
  <c r="B20936" i="1"/>
  <c r="C20936" i="1"/>
  <c r="A20821" i="1"/>
  <c r="B20821" i="1"/>
  <c r="C20821" i="1"/>
  <c r="A9482" i="1"/>
  <c r="B9482" i="1"/>
  <c r="C9482" i="1"/>
  <c r="A13928" i="1"/>
  <c r="B13928" i="1"/>
  <c r="C13928" i="1"/>
  <c r="A13925" i="1"/>
  <c r="B13925" i="1"/>
  <c r="C13925" i="1"/>
  <c r="A13926" i="1"/>
  <c r="B13926" i="1"/>
  <c r="C13926" i="1"/>
  <c r="A16678" i="1"/>
  <c r="B16678" i="1"/>
  <c r="C16678" i="1"/>
  <c r="A16676" i="1"/>
  <c r="B16676" i="1"/>
  <c r="C16676" i="1"/>
  <c r="A13948" i="1"/>
  <c r="B13948" i="1"/>
  <c r="C13948" i="1"/>
  <c r="A13950" i="1"/>
  <c r="B13950" i="1"/>
  <c r="C13950" i="1"/>
  <c r="A13951" i="1"/>
  <c r="B13951" i="1"/>
  <c r="C13951" i="1"/>
  <c r="A13946" i="1"/>
  <c r="B13946" i="1"/>
  <c r="C13946" i="1"/>
  <c r="A13947" i="1"/>
  <c r="B13947" i="1"/>
  <c r="C13947" i="1"/>
  <c r="A13937" i="1"/>
  <c r="B13937" i="1"/>
  <c r="C13937" i="1"/>
  <c r="A9479" i="1"/>
  <c r="B9479" i="1"/>
  <c r="C9479" i="1"/>
  <c r="A9480" i="1"/>
  <c r="B9480" i="1"/>
  <c r="C9480" i="1"/>
  <c r="A13924" i="1"/>
  <c r="B13924" i="1"/>
  <c r="C13924" i="1"/>
  <c r="A16675" i="1"/>
  <c r="B16675" i="1"/>
  <c r="C16675" i="1"/>
  <c r="A13922" i="1"/>
  <c r="B13922" i="1"/>
  <c r="C13922" i="1"/>
  <c r="A13927" i="1"/>
  <c r="B13927" i="1"/>
  <c r="C13927" i="1"/>
  <c r="A16677" i="1"/>
  <c r="B16677" i="1"/>
  <c r="C16677" i="1"/>
  <c r="A13929" i="1"/>
  <c r="B13929" i="1"/>
  <c r="C13929" i="1"/>
  <c r="A16679" i="1"/>
  <c r="B16679" i="1"/>
  <c r="C16679" i="1"/>
  <c r="A13944" i="1"/>
  <c r="B13944" i="1"/>
  <c r="C13944" i="1"/>
  <c r="A13753" i="1"/>
  <c r="B13753" i="1"/>
  <c r="C13753" i="1"/>
  <c r="A13752" i="1"/>
  <c r="B13752" i="1"/>
  <c r="C13752" i="1"/>
  <c r="A13754" i="1"/>
  <c r="B13754" i="1"/>
  <c r="C13754" i="1"/>
  <c r="A13755" i="1"/>
  <c r="B13755" i="1"/>
  <c r="C13755" i="1"/>
  <c r="A13750" i="1"/>
  <c r="B13750" i="1"/>
  <c r="C13750" i="1"/>
  <c r="A13751" i="1"/>
  <c r="B13751" i="1"/>
  <c r="C13751" i="1"/>
  <c r="A9481" i="1"/>
  <c r="B9481" i="1"/>
  <c r="C9481" i="1"/>
  <c r="A19191" i="1"/>
  <c r="B19191" i="1"/>
  <c r="C19191" i="1"/>
  <c r="A13749" i="1"/>
  <c r="B13749" i="1"/>
  <c r="C13749" i="1"/>
  <c r="A13920" i="1"/>
  <c r="B13920" i="1"/>
  <c r="C13920" i="1"/>
  <c r="A13921" i="1"/>
  <c r="B13921" i="1"/>
  <c r="C13921" i="1"/>
  <c r="A13933" i="1"/>
  <c r="B13933" i="1"/>
  <c r="C13933" i="1"/>
  <c r="A13934" i="1"/>
  <c r="B13934" i="1"/>
  <c r="C13934" i="1"/>
  <c r="A13942" i="1"/>
  <c r="B13942" i="1"/>
  <c r="C13942" i="1"/>
  <c r="A13935" i="1"/>
  <c r="B13935" i="1"/>
  <c r="C13935" i="1"/>
  <c r="A13931" i="1"/>
  <c r="B13931" i="1"/>
  <c r="C13931" i="1"/>
  <c r="A13932" i="1"/>
  <c r="B13932" i="1"/>
  <c r="C13932" i="1"/>
  <c r="A13941" i="1"/>
  <c r="B13941" i="1"/>
  <c r="C13941" i="1"/>
  <c r="A13930" i="1"/>
  <c r="B13930" i="1"/>
  <c r="C13930" i="1"/>
  <c r="A13943" i="1"/>
  <c r="B13943" i="1"/>
  <c r="C13943" i="1"/>
  <c r="A13936" i="1"/>
  <c r="B13936" i="1"/>
  <c r="C13936" i="1"/>
  <c r="A13938" i="1"/>
  <c r="B13938" i="1"/>
  <c r="C13938" i="1"/>
  <c r="A13939" i="1"/>
  <c r="B13939" i="1"/>
  <c r="C13939" i="1"/>
  <c r="A13940" i="1"/>
  <c r="B13940" i="1"/>
  <c r="C13940" i="1"/>
  <c r="A13740" i="1"/>
  <c r="B13740" i="1"/>
  <c r="C13740" i="1"/>
  <c r="A13736" i="1"/>
  <c r="B13736" i="1"/>
  <c r="C13736" i="1"/>
  <c r="A21703" i="1"/>
  <c r="B21703" i="1"/>
  <c r="C21703" i="1"/>
  <c r="A13739" i="1"/>
  <c r="B13739" i="1"/>
  <c r="C13739" i="1"/>
  <c r="A6491" i="1"/>
  <c r="B6491" i="1"/>
  <c r="C6491" i="1"/>
  <c r="A13738" i="1"/>
  <c r="B13738" i="1"/>
  <c r="C13738" i="1"/>
  <c r="A21760" i="1"/>
  <c r="B21760" i="1"/>
  <c r="C21760" i="1"/>
  <c r="A22566" i="1"/>
  <c r="B22566" i="1"/>
  <c r="C22566" i="1"/>
  <c r="A866" i="1"/>
  <c r="B866" i="1"/>
  <c r="C866" i="1"/>
  <c r="A16124" i="1"/>
  <c r="B16124" i="1"/>
  <c r="C16124" i="1"/>
  <c r="A12033" i="1"/>
  <c r="B12033" i="1"/>
  <c r="C12033" i="1"/>
  <c r="A13741" i="1"/>
  <c r="B13741" i="1"/>
  <c r="C13741" i="1"/>
  <c r="A22577" i="1"/>
  <c r="B22577" i="1"/>
  <c r="C22577" i="1"/>
  <c r="A24555" i="1"/>
  <c r="B24555" i="1"/>
  <c r="C24555" i="1"/>
  <c r="A21702" i="1"/>
  <c r="B21702" i="1"/>
  <c r="C21702" i="1"/>
  <c r="A21705" i="1"/>
  <c r="B21705" i="1"/>
  <c r="C21705" i="1"/>
  <c r="A13735" i="1"/>
  <c r="B13735" i="1"/>
  <c r="C13735" i="1"/>
  <c r="A21704" i="1"/>
  <c r="B21704" i="1"/>
  <c r="C21704" i="1"/>
  <c r="A4757" i="1"/>
  <c r="B4757" i="1"/>
  <c r="C4757" i="1"/>
  <c r="A3751" i="1"/>
  <c r="B3751" i="1"/>
  <c r="C3751" i="1"/>
  <c r="A3735" i="1"/>
  <c r="B3735" i="1"/>
  <c r="C3735" i="1"/>
  <c r="A3759" i="1"/>
  <c r="B3759" i="1"/>
  <c r="C3759" i="1"/>
  <c r="A22734" i="1"/>
  <c r="B22734" i="1"/>
  <c r="C22734" i="1"/>
  <c r="A3760" i="1"/>
  <c r="B3760" i="1"/>
  <c r="C3760" i="1"/>
  <c r="A22732" i="1"/>
  <c r="B22732" i="1"/>
  <c r="C22732" i="1"/>
  <c r="A22733" i="1"/>
  <c r="B22733" i="1"/>
  <c r="C22733" i="1"/>
  <c r="A19509" i="1"/>
  <c r="B19509" i="1"/>
  <c r="C19509" i="1"/>
  <c r="A17308" i="1"/>
  <c r="B17308" i="1"/>
  <c r="C17308" i="1"/>
  <c r="A17176" i="1"/>
  <c r="B17176" i="1"/>
  <c r="C17176" i="1"/>
  <c r="A17781" i="1"/>
  <c r="C17781" i="1"/>
  <c r="A8022" i="1"/>
  <c r="C8022" i="1"/>
  <c r="A12750" i="1"/>
  <c r="B12750" i="1"/>
  <c r="C12750" i="1"/>
  <c r="A11462" i="1"/>
  <c r="B11462" i="1"/>
  <c r="C11462" i="1"/>
  <c r="A11461" i="1"/>
  <c r="B11461" i="1"/>
  <c r="C11461" i="1"/>
  <c r="A3841" i="1"/>
  <c r="B3841" i="1"/>
  <c r="C3841" i="1"/>
  <c r="A12746" i="1"/>
  <c r="B12746" i="1"/>
  <c r="C12746" i="1"/>
  <c r="A2903" i="1"/>
  <c r="C2903" i="1"/>
  <c r="A2902" i="1"/>
  <c r="C2902" i="1"/>
  <c r="A25065" i="1"/>
  <c r="B25065" i="1"/>
  <c r="C25065" i="1"/>
  <c r="A24631" i="1"/>
  <c r="B24631" i="1"/>
  <c r="C24631" i="1"/>
  <c r="A8479" i="1"/>
  <c r="B8479" i="1"/>
  <c r="C8479" i="1"/>
  <c r="A24822" i="1"/>
  <c r="B24822" i="1"/>
  <c r="C24822" i="1"/>
  <c r="A23254" i="1"/>
  <c r="B23254" i="1"/>
  <c r="C23254" i="1"/>
  <c r="A101" i="1"/>
  <c r="B101" i="1"/>
  <c r="C101" i="1"/>
  <c r="A25098" i="1"/>
  <c r="B25098" i="1"/>
  <c r="C25098" i="1"/>
  <c r="A25096" i="1"/>
  <c r="B25096" i="1"/>
  <c r="C25096" i="1"/>
  <c r="A25097" i="1"/>
  <c r="B25097" i="1"/>
  <c r="C25097" i="1"/>
  <c r="A6704" i="1"/>
  <c r="B6704" i="1"/>
  <c r="C6704" i="1"/>
  <c r="A20984" i="1"/>
  <c r="B20984" i="1"/>
  <c r="C20984" i="1"/>
  <c r="A24587" i="1"/>
  <c r="B24587" i="1"/>
  <c r="C24587" i="1"/>
  <c r="A17602" i="1"/>
  <c r="B17602" i="1"/>
  <c r="C17602" i="1"/>
  <c r="A8781" i="1"/>
  <c r="B8781" i="1"/>
  <c r="C8781" i="1"/>
  <c r="A22951" i="1"/>
  <c r="B22951" i="1"/>
  <c r="C22951" i="1"/>
  <c r="A1127" i="1"/>
  <c r="B1127" i="1"/>
  <c r="C1127" i="1"/>
  <c r="A20642" i="1"/>
  <c r="B20642" i="1"/>
  <c r="C20642" i="1"/>
  <c r="A25030" i="1"/>
  <c r="B25030" i="1"/>
  <c r="C25030" i="1"/>
  <c r="A21613" i="1"/>
  <c r="B21613" i="1"/>
  <c r="C21613" i="1"/>
  <c r="A1181" i="1"/>
  <c r="B1181" i="1"/>
  <c r="C1181" i="1"/>
  <c r="A18327" i="1"/>
  <c r="B18327" i="1"/>
  <c r="C18327" i="1"/>
  <c r="A18331" i="1"/>
  <c r="B18331" i="1"/>
  <c r="C18331" i="1"/>
  <c r="A24893" i="1"/>
  <c r="B24893" i="1"/>
  <c r="C24893" i="1"/>
  <c r="A571" i="1"/>
  <c r="B571" i="1"/>
  <c r="C571" i="1"/>
  <c r="A9457" i="1"/>
  <c r="B9457" i="1"/>
  <c r="C9457" i="1"/>
  <c r="A16130" i="1"/>
  <c r="B16130" i="1"/>
  <c r="C16130" i="1"/>
  <c r="A18148" i="1"/>
  <c r="B18148" i="1"/>
  <c r="C18148" i="1"/>
  <c r="A24563" i="1"/>
  <c r="B24563" i="1"/>
  <c r="C24563" i="1"/>
  <c r="A15464" i="1"/>
  <c r="C15464" i="1"/>
  <c r="A10459" i="1"/>
  <c r="C10459" i="1"/>
  <c r="A145" i="1"/>
  <c r="C145" i="1"/>
  <c r="A19794" i="1"/>
  <c r="C19794" i="1"/>
  <c r="A19789" i="1"/>
  <c r="C19789" i="1"/>
  <c r="A34" i="1"/>
  <c r="B34" i="1"/>
  <c r="C34" i="1"/>
  <c r="A35" i="1"/>
  <c r="B35" i="1"/>
  <c r="C35" i="1"/>
  <c r="A10616" i="1"/>
  <c r="B10616" i="1"/>
  <c r="C10616" i="1"/>
  <c r="A12076" i="1"/>
  <c r="B12076" i="1"/>
  <c r="C12076" i="1"/>
  <c r="A20663" i="1"/>
  <c r="B20663" i="1"/>
  <c r="C20663" i="1"/>
  <c r="A6943" i="1"/>
  <c r="B6943" i="1"/>
  <c r="C6943" i="1"/>
  <c r="A4759" i="1"/>
  <c r="B4759" i="1"/>
  <c r="C4759" i="1"/>
  <c r="A2836" i="1"/>
  <c r="B2836" i="1"/>
  <c r="C2836" i="1"/>
  <c r="A4182" i="1"/>
  <c r="B4182" i="1"/>
  <c r="C4182" i="1"/>
  <c r="A18218" i="1"/>
  <c r="B18218" i="1"/>
  <c r="C18218" i="1"/>
  <c r="A18263" i="1"/>
  <c r="B18263" i="1"/>
  <c r="C18263" i="1"/>
  <c r="A2738" i="1"/>
  <c r="B2738" i="1"/>
  <c r="C2738" i="1"/>
  <c r="A16551" i="1"/>
  <c r="B16551" i="1"/>
  <c r="C16551" i="1"/>
  <c r="A19765" i="1"/>
  <c r="B19765" i="1"/>
  <c r="C19765" i="1"/>
  <c r="A14645" i="1"/>
  <c r="B14645" i="1"/>
  <c r="C14645" i="1"/>
  <c r="A753" i="1"/>
  <c r="B753" i="1"/>
  <c r="C753" i="1"/>
  <c r="A301" i="1"/>
  <c r="B301" i="1"/>
  <c r="C301" i="1"/>
  <c r="A18058" i="1"/>
  <c r="B18058" i="1"/>
  <c r="C18058" i="1"/>
  <c r="A18265" i="1"/>
  <c r="B18265" i="1"/>
  <c r="C18265" i="1"/>
  <c r="A5249" i="1"/>
  <c r="B5249" i="1"/>
  <c r="C5249" i="1"/>
  <c r="A5250" i="1"/>
  <c r="B5250" i="1"/>
  <c r="C5250" i="1"/>
  <c r="A18082" i="1"/>
  <c r="B18082" i="1"/>
  <c r="C18082" i="1"/>
  <c r="A4199" i="1"/>
  <c r="B4199" i="1"/>
  <c r="C4199" i="1"/>
  <c r="A14813" i="1"/>
  <c r="B14813" i="1"/>
  <c r="C14813" i="1"/>
  <c r="A16750" i="1"/>
  <c r="B16750" i="1"/>
  <c r="C16750" i="1"/>
  <c r="A25218" i="1"/>
  <c r="B25218" i="1"/>
  <c r="C25218" i="1"/>
  <c r="A25231" i="1"/>
  <c r="B25231" i="1"/>
  <c r="C25231" i="1"/>
  <c r="A25230" i="1"/>
  <c r="B25230" i="1"/>
  <c r="C25230" i="1"/>
  <c r="A6825" i="1"/>
  <c r="B6825" i="1"/>
  <c r="C6825" i="1"/>
  <c r="A23811" i="1"/>
  <c r="B23811" i="1"/>
  <c r="C23811" i="1"/>
  <c r="A5602" i="1"/>
  <c r="B5602" i="1"/>
  <c r="C5602" i="1"/>
  <c r="A6455" i="1"/>
  <c r="B6455" i="1"/>
  <c r="C6455" i="1"/>
  <c r="A5751" i="1"/>
  <c r="B5751" i="1"/>
  <c r="C5751" i="1"/>
  <c r="A159" i="1"/>
  <c r="B159" i="1"/>
  <c r="C159" i="1"/>
  <c r="A2573" i="1"/>
  <c r="B2573" i="1"/>
  <c r="C2573" i="1"/>
  <c r="A5784" i="1"/>
  <c r="B5784" i="1"/>
  <c r="C5784" i="1"/>
  <c r="A5785" i="1"/>
  <c r="B5785" i="1"/>
  <c r="C5785" i="1"/>
  <c r="A17191" i="1"/>
  <c r="B17191" i="1"/>
  <c r="C17191" i="1"/>
  <c r="A12755" i="1"/>
  <c r="B12755" i="1"/>
  <c r="C12755" i="1"/>
  <c r="A18065" i="1"/>
  <c r="B18065" i="1"/>
  <c r="C18065" i="1"/>
  <c r="A8895" i="1"/>
  <c r="B8895" i="1"/>
  <c r="C8895" i="1"/>
  <c r="A25384" i="1"/>
  <c r="B25384" i="1"/>
  <c r="C25384" i="1"/>
  <c r="A14941" i="1"/>
  <c r="B14941" i="1"/>
  <c r="C14941" i="1"/>
  <c r="A10118" i="1"/>
  <c r="B10118" i="1"/>
  <c r="C10118" i="1"/>
  <c r="A21725" i="1"/>
  <c r="B21725" i="1"/>
  <c r="C21725" i="1"/>
  <c r="A8238" i="1"/>
  <c r="B8238" i="1"/>
  <c r="C8238" i="1"/>
  <c r="A9959" i="1"/>
  <c r="B9959" i="1"/>
  <c r="C9959" i="1"/>
  <c r="A8043" i="1"/>
  <c r="B8043" i="1"/>
  <c r="C8043" i="1"/>
  <c r="A13883" i="1"/>
  <c r="B13883" i="1"/>
  <c r="C13883" i="1"/>
  <c r="A13887" i="1"/>
  <c r="B13887" i="1"/>
  <c r="C13887" i="1"/>
  <c r="A20950" i="1"/>
  <c r="B20950" i="1"/>
  <c r="C20950" i="1"/>
  <c r="A25086" i="1"/>
  <c r="B25086" i="1"/>
  <c r="C25086" i="1"/>
  <c r="A1377" i="1"/>
  <c r="B1377" i="1"/>
  <c r="C1377" i="1"/>
  <c r="A4006" i="1"/>
  <c r="B4006" i="1"/>
  <c r="C4006" i="1"/>
  <c r="A4005" i="1"/>
  <c r="B4005" i="1"/>
  <c r="C4005" i="1"/>
  <c r="A19324" i="1"/>
  <c r="B19324" i="1"/>
  <c r="C19324" i="1"/>
  <c r="A19841" i="1"/>
  <c r="B19841" i="1"/>
  <c r="C19841" i="1"/>
  <c r="A6413" i="1"/>
  <c r="B6413" i="1"/>
  <c r="C6413" i="1"/>
  <c r="A11555" i="1"/>
  <c r="B11555" i="1"/>
  <c r="C11555" i="1"/>
  <c r="A24309" i="1"/>
  <c r="B24309" i="1"/>
  <c r="C24309" i="1"/>
  <c r="A524" i="1"/>
  <c r="B524" i="1"/>
  <c r="C524" i="1"/>
  <c r="A8389" i="1"/>
  <c r="B8389" i="1"/>
  <c r="C8389" i="1"/>
  <c r="A1721" i="1"/>
  <c r="B1721" i="1"/>
  <c r="C1721" i="1"/>
  <c r="A15566" i="1"/>
  <c r="B15566" i="1"/>
  <c r="C15566" i="1"/>
  <c r="A22980" i="1"/>
  <c r="B22980" i="1"/>
  <c r="C22980" i="1"/>
  <c r="A24399" i="1"/>
  <c r="B24399" i="1"/>
  <c r="C24399" i="1"/>
  <c r="A15646" i="1"/>
  <c r="B15646" i="1"/>
  <c r="C15646" i="1"/>
  <c r="A11950" i="1"/>
  <c r="B11950" i="1"/>
  <c r="C11950" i="1"/>
  <c r="A2864" i="1"/>
  <c r="C2864" i="1"/>
  <c r="A1791" i="1"/>
  <c r="B1791" i="1"/>
  <c r="C1791" i="1"/>
  <c r="A19405" i="1"/>
  <c r="B19405" i="1"/>
  <c r="C19405" i="1"/>
  <c r="A703" i="1"/>
  <c r="B703" i="1"/>
  <c r="C703" i="1"/>
  <c r="A8432" i="1"/>
  <c r="B8432" i="1"/>
  <c r="C8432" i="1"/>
  <c r="A18651" i="1"/>
  <c r="B18651" i="1"/>
  <c r="C18651" i="1"/>
  <c r="A6369" i="1"/>
  <c r="B6369" i="1"/>
  <c r="C6369" i="1"/>
  <c r="A6370" i="1"/>
  <c r="B6370" i="1"/>
  <c r="C6370" i="1"/>
  <c r="A6273" i="1"/>
  <c r="B6273" i="1"/>
  <c r="C6273" i="1"/>
  <c r="A6272" i="1"/>
  <c r="B6272" i="1"/>
  <c r="C6272" i="1"/>
  <c r="A596" i="1"/>
  <c r="B596" i="1"/>
  <c r="C596" i="1"/>
  <c r="A595" i="1"/>
  <c r="B595" i="1"/>
  <c r="C595" i="1"/>
  <c r="A13962" i="1"/>
  <c r="B13962" i="1"/>
  <c r="C13962" i="1"/>
  <c r="A12148" i="1"/>
  <c r="B12148" i="1"/>
  <c r="C12148" i="1"/>
  <c r="A24036" i="1"/>
  <c r="B24036" i="1"/>
  <c r="C24036" i="1"/>
  <c r="A14173" i="1"/>
  <c r="B14173" i="1"/>
  <c r="C14173" i="1"/>
  <c r="A16745" i="1"/>
  <c r="B16745" i="1"/>
  <c r="C16745" i="1"/>
  <c r="A14310" i="1"/>
  <c r="B14310" i="1"/>
  <c r="C14310" i="1"/>
  <c r="A40" i="1"/>
  <c r="B40" i="1"/>
  <c r="C40" i="1"/>
  <c r="A8414" i="1"/>
  <c r="B8414" i="1"/>
  <c r="C8414" i="1"/>
  <c r="A17763" i="1"/>
  <c r="B17763" i="1"/>
  <c r="C17763" i="1"/>
  <c r="A17759" i="1"/>
  <c r="B17759" i="1"/>
  <c r="C17759" i="1"/>
  <c r="A23815" i="1"/>
  <c r="B23815" i="1"/>
  <c r="C23815" i="1"/>
  <c r="A23814" i="1"/>
  <c r="B23814" i="1"/>
  <c r="C23814" i="1"/>
  <c r="A17760" i="1"/>
  <c r="B17760" i="1"/>
  <c r="C17760" i="1"/>
  <c r="A4317" i="1"/>
  <c r="B4317" i="1"/>
  <c r="C4317" i="1"/>
  <c r="A2680" i="1"/>
  <c r="B2680" i="1"/>
  <c r="C2680" i="1"/>
  <c r="A13208" i="1"/>
  <c r="B13208" i="1"/>
  <c r="C13208" i="1"/>
  <c r="A5883" i="1"/>
  <c r="B5883" i="1"/>
  <c r="C5883" i="1"/>
  <c r="A623" i="1"/>
  <c r="B623" i="1"/>
  <c r="C623" i="1"/>
  <c r="A18135" i="1"/>
  <c r="B18135" i="1"/>
  <c r="C18135" i="1"/>
  <c r="A6700" i="1"/>
  <c r="B6700" i="1"/>
  <c r="C6700" i="1"/>
  <c r="A15652" i="1"/>
  <c r="B15652" i="1"/>
  <c r="C15652" i="1"/>
  <c r="A23802" i="1"/>
  <c r="B23802" i="1"/>
  <c r="C23802" i="1"/>
  <c r="A19009" i="1"/>
  <c r="B19009" i="1"/>
  <c r="C19009" i="1"/>
  <c r="A14360" i="1"/>
  <c r="B14360" i="1"/>
  <c r="C14360" i="1"/>
  <c r="A4115" i="1"/>
  <c r="B4115" i="1"/>
  <c r="C4115" i="1"/>
  <c r="A10304" i="1"/>
  <c r="B10304" i="1"/>
  <c r="C10304" i="1"/>
  <c r="A22681" i="1"/>
  <c r="B22681" i="1"/>
  <c r="C22681" i="1"/>
  <c r="A19309" i="1"/>
  <c r="B19309" i="1"/>
  <c r="C19309" i="1"/>
  <c r="A18280" i="1"/>
  <c r="B18280" i="1"/>
  <c r="C18280" i="1"/>
  <c r="A22839" i="1"/>
  <c r="B22839" i="1"/>
  <c r="C22839" i="1"/>
  <c r="A22737" i="1"/>
  <c r="B22737" i="1"/>
  <c r="C22737" i="1"/>
  <c r="A19142" i="1"/>
  <c r="B19142" i="1"/>
  <c r="C19142" i="1"/>
  <c r="A5310" i="1"/>
  <c r="B5310" i="1"/>
  <c r="C5310" i="1"/>
  <c r="A18798" i="1"/>
  <c r="B18798" i="1"/>
  <c r="C18798" i="1"/>
  <c r="A9001" i="1"/>
  <c r="B9001" i="1"/>
  <c r="C9001" i="1"/>
  <c r="A23680" i="1"/>
  <c r="B23680" i="1"/>
  <c r="C23680" i="1"/>
  <c r="A24316" i="1"/>
  <c r="B24316" i="1"/>
  <c r="C24316" i="1"/>
  <c r="A25518" i="1"/>
  <c r="B25518" i="1"/>
  <c r="C25518" i="1"/>
  <c r="A22423" i="1"/>
  <c r="B22423" i="1"/>
  <c r="C22423" i="1"/>
  <c r="A5414" i="1"/>
  <c r="B5414" i="1"/>
  <c r="C5414" i="1"/>
  <c r="A2669" i="1"/>
  <c r="B2669" i="1"/>
  <c r="C2669" i="1"/>
  <c r="A17357" i="1"/>
  <c r="B17357" i="1"/>
  <c r="C17357" i="1"/>
  <c r="A15324" i="1"/>
  <c r="B15324" i="1"/>
  <c r="C15324" i="1"/>
  <c r="A3756" i="1"/>
  <c r="B3756" i="1"/>
  <c r="C3756" i="1"/>
  <c r="A23709" i="1"/>
  <c r="B23709" i="1"/>
  <c r="C23709" i="1"/>
  <c r="A23710" i="1"/>
  <c r="B23710" i="1"/>
  <c r="C23710" i="1"/>
  <c r="A23714" i="1"/>
  <c r="B23714" i="1"/>
  <c r="C23714" i="1"/>
  <c r="A2021" i="1"/>
  <c r="B2021" i="1"/>
  <c r="C2021" i="1"/>
  <c r="A2067" i="1"/>
  <c r="B2067" i="1"/>
  <c r="C2067" i="1"/>
  <c r="A11439" i="1"/>
  <c r="B11439" i="1"/>
  <c r="C11439" i="1"/>
  <c r="A22868" i="1"/>
  <c r="B22868" i="1"/>
  <c r="C22868" i="1"/>
  <c r="A3761" i="1"/>
  <c r="B3761" i="1"/>
  <c r="C3761" i="1"/>
  <c r="A7380" i="1"/>
  <c r="B7380" i="1"/>
  <c r="C7380" i="1"/>
  <c r="A3736" i="1"/>
  <c r="B3736" i="1"/>
  <c r="C3736" i="1"/>
  <c r="A22729" i="1"/>
  <c r="B22729" i="1"/>
  <c r="C22729" i="1"/>
  <c r="A22731" i="1"/>
  <c r="B22731" i="1"/>
  <c r="C22731" i="1"/>
  <c r="A5318" i="1"/>
  <c r="B5318" i="1"/>
  <c r="C5318" i="1"/>
  <c r="A3451" i="1"/>
  <c r="B3451" i="1"/>
  <c r="C3451" i="1"/>
  <c r="A24799" i="1"/>
  <c r="B24799" i="1"/>
  <c r="C24799" i="1"/>
  <c r="A24798" i="1"/>
  <c r="B24798" i="1"/>
  <c r="C24798" i="1"/>
  <c r="A17178" i="1"/>
  <c r="B17178" i="1"/>
  <c r="C17178" i="1"/>
  <c r="A4166" i="1"/>
  <c r="B4166" i="1"/>
  <c r="C4166" i="1"/>
  <c r="A4119" i="1"/>
  <c r="B4119" i="1"/>
  <c r="C4119" i="1"/>
  <c r="A4111" i="1"/>
  <c r="B4111" i="1"/>
  <c r="C4111" i="1"/>
  <c r="A4156" i="1"/>
  <c r="B4156" i="1"/>
  <c r="C4156" i="1"/>
  <c r="A4748" i="1"/>
  <c r="B4748" i="1"/>
  <c r="C4748" i="1"/>
  <c r="A3752" i="1"/>
  <c r="B3752" i="1"/>
  <c r="C3752" i="1"/>
  <c r="A22730" i="1"/>
  <c r="B22730" i="1"/>
  <c r="C22730" i="1"/>
  <c r="A19518" i="1"/>
  <c r="B19518" i="1"/>
  <c r="C19518" i="1"/>
  <c r="A19320" i="1"/>
  <c r="B19320" i="1"/>
  <c r="C19320" i="1"/>
  <c r="A7583" i="1"/>
  <c r="B7583" i="1"/>
  <c r="C7583" i="1"/>
  <c r="A3032" i="1"/>
  <c r="B3032" i="1"/>
  <c r="C3032" i="1"/>
  <c r="A19180" i="1"/>
  <c r="B19180" i="1"/>
  <c r="C19180" i="1"/>
  <c r="A18381" i="1"/>
  <c r="B18381" i="1"/>
  <c r="C18381" i="1"/>
  <c r="A7806" i="1"/>
  <c r="B7806" i="1"/>
  <c r="C7806" i="1"/>
  <c r="A22102" i="1"/>
  <c r="B22102" i="1"/>
  <c r="C22102" i="1"/>
  <c r="A16232" i="1"/>
  <c r="B16232" i="1"/>
  <c r="C16232" i="1"/>
  <c r="A5301" i="1"/>
  <c r="B5301" i="1"/>
  <c r="C5301" i="1"/>
  <c r="A5300" i="1"/>
  <c r="B5300" i="1"/>
  <c r="C5300" i="1"/>
  <c r="A18076" i="1"/>
  <c r="B18076" i="1"/>
  <c r="C18076" i="1"/>
  <c r="A18111" i="1"/>
  <c r="B18111" i="1"/>
  <c r="C18111" i="1"/>
  <c r="A19773" i="1"/>
  <c r="B19773" i="1"/>
  <c r="C19773" i="1"/>
  <c r="A9424" i="1"/>
  <c r="B9424" i="1"/>
  <c r="C9424" i="1"/>
  <c r="A3170" i="1"/>
  <c r="B3170" i="1"/>
  <c r="C3170" i="1"/>
  <c r="A1890" i="1"/>
  <c r="B1890" i="1"/>
  <c r="C1890" i="1"/>
  <c r="A25241" i="1"/>
  <c r="B25241" i="1"/>
  <c r="C25241" i="1"/>
  <c r="A11576" i="1"/>
  <c r="B11576" i="1"/>
  <c r="C11576" i="1"/>
  <c r="A15268" i="1"/>
  <c r="B15268" i="1"/>
  <c r="C15268" i="1"/>
  <c r="A15233" i="1"/>
  <c r="B15233" i="1"/>
  <c r="C15233" i="1"/>
  <c r="A1621" i="1"/>
  <c r="B1621" i="1"/>
  <c r="C1621" i="1"/>
  <c r="A12409" i="1"/>
  <c r="B12409" i="1"/>
  <c r="C12409" i="1"/>
  <c r="A308" i="1"/>
  <c r="B308" i="1"/>
  <c r="C308" i="1"/>
  <c r="A7820" i="1"/>
  <c r="B7820" i="1"/>
  <c r="C7820" i="1"/>
  <c r="A17041" i="1"/>
  <c r="B17041" i="1"/>
  <c r="C17041" i="1"/>
  <c r="A17040" i="1"/>
  <c r="B17040" i="1"/>
  <c r="C17040" i="1"/>
  <c r="A11565" i="1"/>
  <c r="B11565" i="1"/>
  <c r="C11565" i="1"/>
  <c r="A18406" i="1"/>
  <c r="B18406" i="1"/>
  <c r="C18406" i="1"/>
  <c r="A18407" i="1"/>
  <c r="B18407" i="1"/>
  <c r="C18407" i="1"/>
  <c r="A7112" i="1"/>
  <c r="B7112" i="1"/>
  <c r="C7112" i="1"/>
  <c r="A7113" i="1"/>
  <c r="B7113" i="1"/>
  <c r="C7113" i="1"/>
  <c r="A5407" i="1"/>
  <c r="B5407" i="1"/>
  <c r="C5407" i="1"/>
  <c r="A4071" i="1"/>
  <c r="B4071" i="1"/>
  <c r="C4071" i="1"/>
  <c r="A1933" i="1"/>
  <c r="B1933" i="1"/>
  <c r="C1933" i="1"/>
  <c r="A5305" i="1"/>
  <c r="B5305" i="1"/>
  <c r="C5305" i="1"/>
  <c r="A15711" i="1"/>
  <c r="B15711" i="1"/>
  <c r="C15711" i="1"/>
  <c r="A15695" i="1"/>
  <c r="B15695" i="1"/>
  <c r="C15695" i="1"/>
  <c r="A7601" i="1"/>
  <c r="C7601" i="1"/>
  <c r="A2668" i="1"/>
  <c r="C2668" i="1"/>
  <c r="A16917" i="1"/>
  <c r="B16917" i="1"/>
  <c r="C16917" i="1"/>
  <c r="A173" i="1"/>
  <c r="B173" i="1"/>
  <c r="C173" i="1"/>
  <c r="A18783" i="1"/>
  <c r="B18783" i="1"/>
  <c r="C18783" i="1"/>
  <c r="A21365" i="1"/>
  <c r="B21365" i="1"/>
  <c r="C21365" i="1"/>
  <c r="A10871" i="1"/>
  <c r="B10871" i="1"/>
  <c r="C10871" i="1"/>
  <c r="A17741" i="1"/>
  <c r="B17741" i="1"/>
  <c r="C17741" i="1"/>
  <c r="A10040" i="1"/>
  <c r="B10040" i="1"/>
  <c r="C10040" i="1"/>
  <c r="A24585" i="1"/>
  <c r="B24585" i="1"/>
  <c r="C24585" i="1"/>
  <c r="A17060" i="1"/>
  <c r="B17060" i="1"/>
  <c r="C17060" i="1"/>
  <c r="A567" i="1"/>
  <c r="B567" i="1"/>
  <c r="C567" i="1"/>
  <c r="A14290" i="1"/>
  <c r="B14290" i="1"/>
  <c r="C14290" i="1"/>
  <c r="A1885" i="1"/>
  <c r="B1885" i="1"/>
  <c r="C1885" i="1"/>
  <c r="A13972" i="1"/>
  <c r="B13972" i="1"/>
  <c r="C13972" i="1"/>
  <c r="A721" i="1"/>
  <c r="B721" i="1"/>
  <c r="C721" i="1"/>
  <c r="A15439" i="1"/>
  <c r="B15439" i="1"/>
  <c r="C15439" i="1"/>
  <c r="A5253" i="1"/>
  <c r="B5253" i="1"/>
  <c r="C5253" i="1"/>
  <c r="A24385" i="1"/>
  <c r="B24385" i="1"/>
  <c r="C24385" i="1"/>
  <c r="A7723" i="1"/>
  <c r="C7723" i="1"/>
  <c r="A23699" i="1"/>
  <c r="C23699" i="1"/>
  <c r="A16878" i="1"/>
  <c r="B16878" i="1"/>
  <c r="C16878" i="1"/>
  <c r="A11516" i="1"/>
  <c r="C11516" i="1"/>
  <c r="A24721" i="1"/>
  <c r="B24721" i="1"/>
  <c r="C24721" i="1"/>
  <c r="A13763" i="1"/>
  <c r="B13763" i="1"/>
  <c r="C13763" i="1"/>
  <c r="A22216" i="1"/>
  <c r="B22216" i="1"/>
  <c r="C22216" i="1"/>
  <c r="A11521" i="1"/>
  <c r="C11521" i="1"/>
  <c r="A22989" i="1"/>
  <c r="B22989" i="1"/>
  <c r="C22989" i="1"/>
  <c r="A6259" i="1"/>
  <c r="B6259" i="1"/>
  <c r="C6259" i="1"/>
  <c r="A17651" i="1"/>
  <c r="B17651" i="1"/>
  <c r="C17651" i="1"/>
  <c r="A17620" i="1"/>
  <c r="B17620" i="1"/>
  <c r="C17620" i="1"/>
  <c r="A17652" i="1"/>
  <c r="B17652" i="1"/>
  <c r="C17652" i="1"/>
  <c r="A24525" i="1"/>
  <c r="B24525" i="1"/>
  <c r="C24525" i="1"/>
  <c r="A24482" i="1"/>
  <c r="B24482" i="1"/>
  <c r="C24482" i="1"/>
  <c r="A10404" i="1"/>
  <c r="C10404" i="1"/>
  <c r="A21097" i="1"/>
  <c r="C21097" i="1"/>
  <c r="A21096" i="1"/>
  <c r="C21096" i="1"/>
  <c r="A10370" i="1"/>
  <c r="B10370" i="1"/>
  <c r="C10370" i="1"/>
  <c r="A18246" i="1"/>
  <c r="C18246" i="1"/>
  <c r="A18247" i="1"/>
  <c r="C18247" i="1"/>
  <c r="A18248" i="1"/>
  <c r="C18248" i="1"/>
  <c r="A18249" i="1"/>
  <c r="B18249" i="1"/>
  <c r="C18249" i="1"/>
  <c r="A5327" i="1"/>
  <c r="B5327" i="1"/>
  <c r="C5327" i="1"/>
  <c r="A12442" i="1"/>
  <c r="B12442" i="1"/>
  <c r="C12442" i="1"/>
  <c r="A18156" i="1"/>
  <c r="B18156" i="1"/>
  <c r="C18156" i="1"/>
  <c r="A18207" i="1"/>
  <c r="B18207" i="1"/>
  <c r="C18207" i="1"/>
  <c r="A18186" i="1"/>
  <c r="B18186" i="1"/>
  <c r="C18186" i="1"/>
  <c r="A24972" i="1"/>
  <c r="B24972" i="1"/>
  <c r="C24972" i="1"/>
  <c r="A7447" i="1"/>
  <c r="B7447" i="1"/>
  <c r="C7447" i="1"/>
  <c r="A17105" i="1"/>
  <c r="B17105" i="1"/>
  <c r="C17105" i="1"/>
  <c r="A45" i="1"/>
  <c r="B45" i="1"/>
  <c r="C45" i="1"/>
  <c r="A20953" i="1"/>
  <c r="B20953" i="1"/>
  <c r="C20953" i="1"/>
  <c r="A25581" i="1"/>
  <c r="B25581" i="1"/>
  <c r="C25581" i="1"/>
  <c r="A7997" i="1"/>
  <c r="B7997" i="1"/>
  <c r="C7997" i="1"/>
  <c r="A15170" i="1"/>
  <c r="B15170" i="1"/>
  <c r="C15170" i="1"/>
  <c r="A10151" i="1"/>
  <c r="B10151" i="1"/>
  <c r="C10151" i="1"/>
  <c r="A14879" i="1"/>
  <c r="B14879" i="1"/>
  <c r="C14879" i="1"/>
  <c r="A4301" i="1"/>
  <c r="B4301" i="1"/>
  <c r="C4301" i="1"/>
  <c r="A23292" i="1"/>
  <c r="B23292" i="1"/>
  <c r="C23292" i="1"/>
  <c r="A10226" i="1"/>
  <c r="B10226" i="1"/>
  <c r="C10226" i="1"/>
  <c r="A21584" i="1"/>
  <c r="B21584" i="1"/>
  <c r="C21584" i="1"/>
  <c r="A15884" i="1"/>
  <c r="B15884" i="1"/>
  <c r="C15884" i="1"/>
  <c r="A17530" i="1"/>
  <c r="B17530" i="1"/>
  <c r="C17530" i="1"/>
  <c r="A25440" i="1"/>
  <c r="B25440" i="1"/>
  <c r="C25440" i="1"/>
  <c r="A17321" i="1"/>
  <c r="B17321" i="1"/>
  <c r="C17321" i="1"/>
  <c r="A6792" i="1"/>
  <c r="B6792" i="1"/>
  <c r="C6792" i="1"/>
  <c r="A25742" i="1"/>
  <c r="B25742" i="1"/>
  <c r="C25742" i="1"/>
  <c r="A19537" i="1"/>
  <c r="B19537" i="1"/>
  <c r="C19537" i="1"/>
  <c r="A20676" i="1"/>
  <c r="B20676" i="1"/>
  <c r="C20676" i="1"/>
  <c r="A19064" i="1"/>
  <c r="B19064" i="1"/>
  <c r="C19064" i="1"/>
  <c r="A19066" i="1"/>
  <c r="B19066" i="1"/>
  <c r="C19066" i="1"/>
  <c r="A9193" i="1"/>
  <c r="B9193" i="1"/>
  <c r="C9193" i="1"/>
  <c r="A16348" i="1"/>
  <c r="B16348" i="1"/>
  <c r="C16348" i="1"/>
  <c r="A16349" i="1"/>
  <c r="B16349" i="1"/>
  <c r="C16349" i="1"/>
  <c r="A1740" i="1"/>
  <c r="B1740" i="1"/>
  <c r="C1740" i="1"/>
  <c r="A20349" i="1"/>
  <c r="B20349" i="1"/>
  <c r="C20349" i="1"/>
  <c r="A14564" i="1"/>
  <c r="B14564" i="1"/>
  <c r="C14564" i="1"/>
  <c r="A14138" i="1"/>
  <c r="B14138" i="1"/>
  <c r="C14138" i="1"/>
  <c r="A7317" i="1"/>
  <c r="B7317" i="1"/>
  <c r="C7317" i="1"/>
  <c r="A7318" i="1"/>
  <c r="B7318" i="1"/>
  <c r="C7318" i="1"/>
  <c r="A3365" i="1"/>
  <c r="B3365" i="1"/>
  <c r="C3365" i="1"/>
  <c r="A19328" i="1"/>
  <c r="B19328" i="1"/>
  <c r="C19328" i="1"/>
  <c r="A19319" i="1"/>
  <c r="B19319" i="1"/>
  <c r="C19319" i="1"/>
  <c r="A16411" i="1"/>
  <c r="B16411" i="1"/>
  <c r="C16411" i="1"/>
  <c r="A7464" i="1"/>
  <c r="B7464" i="1"/>
  <c r="C7464" i="1"/>
  <c r="A7509" i="1"/>
  <c r="B7509" i="1"/>
  <c r="C7509" i="1"/>
  <c r="A9248" i="1"/>
  <c r="B9248" i="1"/>
  <c r="C9248" i="1"/>
  <c r="A3832" i="1"/>
  <c r="B3832" i="1"/>
  <c r="C3832" i="1"/>
  <c r="A19521" i="1"/>
  <c r="B19521" i="1"/>
  <c r="C19521" i="1"/>
  <c r="A14365" i="1"/>
  <c r="B14365" i="1"/>
  <c r="C14365" i="1"/>
  <c r="A25329" i="1"/>
  <c r="B25329" i="1"/>
  <c r="C25329" i="1"/>
  <c r="A1821" i="1"/>
  <c r="B1821" i="1"/>
  <c r="C1821" i="1"/>
  <c r="A3473" i="1"/>
  <c r="B3473" i="1"/>
  <c r="C3473" i="1"/>
  <c r="A23376" i="1"/>
  <c r="B23376" i="1"/>
  <c r="C23376" i="1"/>
  <c r="A11991" i="1"/>
  <c r="B11991" i="1"/>
  <c r="C11991" i="1"/>
  <c r="A17557" i="1"/>
  <c r="B17557" i="1"/>
  <c r="C17557" i="1"/>
  <c r="A17556" i="1"/>
  <c r="B17556" i="1"/>
  <c r="C17556" i="1"/>
  <c r="A11777" i="1"/>
  <c r="B11777" i="1"/>
  <c r="C11777" i="1"/>
  <c r="A22902" i="1"/>
  <c r="B22902" i="1"/>
  <c r="C22902" i="1"/>
  <c r="A11901" i="1"/>
  <c r="B11901" i="1"/>
  <c r="C11901" i="1"/>
  <c r="A4694" i="1"/>
  <c r="B4694" i="1"/>
  <c r="C4694" i="1"/>
  <c r="A24308" i="1"/>
  <c r="B24308" i="1"/>
  <c r="C24308" i="1"/>
  <c r="A1781" i="1"/>
  <c r="B1781" i="1"/>
  <c r="C1781" i="1"/>
  <c r="A19399" i="1"/>
  <c r="B19399" i="1"/>
  <c r="C19399" i="1"/>
  <c r="A21582" i="1"/>
  <c r="B21582" i="1"/>
  <c r="C21582" i="1"/>
  <c r="A8901" i="1"/>
  <c r="B8901" i="1"/>
  <c r="C8901" i="1"/>
  <c r="A18374" i="1"/>
  <c r="B18374" i="1"/>
  <c r="C18374" i="1"/>
  <c r="A13495" i="1"/>
  <c r="B13495" i="1"/>
  <c r="C13495" i="1"/>
  <c r="A11271" i="1"/>
  <c r="B11271" i="1"/>
  <c r="C11271" i="1"/>
  <c r="A7022" i="1"/>
  <c r="B7022" i="1"/>
  <c r="C7022" i="1"/>
  <c r="A19063" i="1"/>
  <c r="B19063" i="1"/>
  <c r="C19063" i="1"/>
  <c r="A7360" i="1"/>
  <c r="B7360" i="1"/>
  <c r="C7360" i="1"/>
  <c r="A14950" i="1"/>
  <c r="B14950" i="1"/>
  <c r="C14950" i="1"/>
  <c r="A13215" i="1"/>
  <c r="B13215" i="1"/>
  <c r="C13215" i="1"/>
  <c r="A22029" i="1"/>
  <c r="B22029" i="1"/>
  <c r="C22029" i="1"/>
  <c r="A22057" i="1"/>
  <c r="B22057" i="1"/>
  <c r="C22057" i="1"/>
  <c r="A22031" i="1"/>
  <c r="B22031" i="1"/>
  <c r="C22031" i="1"/>
  <c r="A22063" i="1"/>
  <c r="B22063" i="1"/>
  <c r="C22063" i="1"/>
  <c r="A9926" i="1"/>
  <c r="C9926" i="1"/>
  <c r="A9927" i="1"/>
  <c r="C9927" i="1"/>
  <c r="A19733" i="1"/>
  <c r="B19733" i="1"/>
  <c r="C19733" i="1"/>
  <c r="A19734" i="1"/>
  <c r="B19734" i="1"/>
  <c r="C19734" i="1"/>
  <c r="A25232" i="1"/>
  <c r="B25232" i="1"/>
  <c r="C25232" i="1"/>
  <c r="A4134" i="1"/>
  <c r="B4134" i="1"/>
  <c r="C4134" i="1"/>
  <c r="A4154" i="1"/>
  <c r="B4154" i="1"/>
  <c r="C4154" i="1"/>
  <c r="A4133" i="1"/>
  <c r="B4133" i="1"/>
  <c r="C4133" i="1"/>
  <c r="A4117" i="1"/>
  <c r="B4117" i="1"/>
  <c r="C4117" i="1"/>
  <c r="A9088" i="1"/>
  <c r="B9088" i="1"/>
  <c r="C9088" i="1"/>
  <c r="A2662" i="1"/>
  <c r="B2662" i="1"/>
  <c r="C2662" i="1"/>
  <c r="A19874" i="1"/>
  <c r="B19874" i="1"/>
  <c r="C19874" i="1"/>
  <c r="A19447" i="1"/>
  <c r="B19447" i="1"/>
  <c r="C19447" i="1"/>
  <c r="A22061" i="1"/>
  <c r="B22061" i="1"/>
  <c r="C22061" i="1"/>
  <c r="A22056" i="1"/>
  <c r="B22056" i="1"/>
  <c r="C22056" i="1"/>
  <c r="A18276" i="1"/>
  <c r="B18276" i="1"/>
  <c r="C18276" i="1"/>
  <c r="A18278" i="1"/>
  <c r="B18278" i="1"/>
  <c r="C18278" i="1"/>
  <c r="A22046" i="1"/>
  <c r="B22046" i="1"/>
  <c r="C22046" i="1"/>
  <c r="A22064" i="1"/>
  <c r="B22064" i="1"/>
  <c r="C22064" i="1"/>
  <c r="A22065" i="1"/>
  <c r="B22065" i="1"/>
  <c r="C22065" i="1"/>
  <c r="A7051" i="1"/>
  <c r="B7051" i="1"/>
  <c r="C7051" i="1"/>
  <c r="A7046" i="1"/>
  <c r="B7046" i="1"/>
  <c r="C7046" i="1"/>
  <c r="A7044" i="1"/>
  <c r="B7044" i="1"/>
  <c r="C7044" i="1"/>
  <c r="A7034" i="1"/>
  <c r="B7034" i="1"/>
  <c r="C7034" i="1"/>
  <c r="A7035" i="1"/>
  <c r="B7035" i="1"/>
  <c r="C7035" i="1"/>
  <c r="A7160" i="1"/>
  <c r="B7160" i="1"/>
  <c r="C7160" i="1"/>
  <c r="A13577" i="1"/>
  <c r="B13577" i="1"/>
  <c r="C13577" i="1"/>
  <c r="A11434" i="1"/>
  <c r="B11434" i="1"/>
  <c r="C11434" i="1"/>
  <c r="A10169" i="1"/>
  <c r="B10169" i="1"/>
  <c r="C10169" i="1"/>
  <c r="A22536" i="1"/>
  <c r="B22536" i="1"/>
  <c r="C22536" i="1"/>
  <c r="A11906" i="1"/>
  <c r="B11906" i="1"/>
  <c r="C11906" i="1"/>
  <c r="A11412" i="1"/>
  <c r="B11412" i="1"/>
  <c r="C11412" i="1"/>
  <c r="A20647" i="1"/>
  <c r="B20647" i="1"/>
  <c r="C20647" i="1"/>
  <c r="A1488" i="1"/>
  <c r="B1488" i="1"/>
  <c r="C1488" i="1"/>
  <c r="A2661" i="1"/>
  <c r="C2661" i="1"/>
  <c r="A6610" i="1"/>
  <c r="B6610" i="1"/>
  <c r="C6610" i="1"/>
  <c r="A19704" i="1"/>
  <c r="B19704" i="1"/>
  <c r="C19704" i="1"/>
  <c r="A22055" i="1"/>
  <c r="B22055" i="1"/>
  <c r="C22055" i="1"/>
  <c r="A20983" i="1"/>
  <c r="B20983" i="1"/>
  <c r="C20983" i="1"/>
  <c r="A12633" i="1"/>
  <c r="B12633" i="1"/>
  <c r="C12633" i="1"/>
  <c r="A6147" i="1"/>
  <c r="B6147" i="1"/>
  <c r="C6147" i="1"/>
  <c r="A21773" i="1"/>
  <c r="B21773" i="1"/>
  <c r="C21773" i="1"/>
  <c r="A3466" i="1"/>
  <c r="B3466" i="1"/>
  <c r="C3466" i="1"/>
  <c r="A3467" i="1"/>
  <c r="B3467" i="1"/>
  <c r="C3467" i="1"/>
  <c r="A3465" i="1"/>
  <c r="B3465" i="1"/>
  <c r="C3465" i="1"/>
  <c r="A24414" i="1"/>
  <c r="B24414" i="1"/>
  <c r="C24414" i="1"/>
  <c r="A15693" i="1"/>
  <c r="B15693" i="1"/>
  <c r="C15693" i="1"/>
  <c r="A15681" i="1"/>
  <c r="B15681" i="1"/>
  <c r="C15681" i="1"/>
  <c r="A25604" i="1"/>
  <c r="B25604" i="1"/>
  <c r="C25604" i="1"/>
  <c r="A25603" i="1"/>
  <c r="B25603" i="1"/>
  <c r="C25603" i="1"/>
  <c r="A18277" i="1"/>
  <c r="B18277" i="1"/>
  <c r="C18277" i="1"/>
  <c r="A4204" i="1"/>
  <c r="B4204" i="1"/>
  <c r="C4204" i="1"/>
  <c r="A13799" i="1"/>
  <c r="B13799" i="1"/>
  <c r="C13799" i="1"/>
  <c r="A3831" i="1"/>
  <c r="B3831" i="1"/>
  <c r="C3831" i="1"/>
  <c r="A22176" i="1"/>
  <c r="B22176" i="1"/>
  <c r="C22176" i="1"/>
  <c r="A7565" i="1"/>
  <c r="B7565" i="1"/>
  <c r="C7565" i="1"/>
  <c r="A17600" i="1"/>
  <c r="B17600" i="1"/>
  <c r="C17600" i="1"/>
  <c r="A5776" i="1"/>
  <c r="B5776" i="1"/>
  <c r="C5776" i="1"/>
  <c r="A7805" i="1"/>
  <c r="B7805" i="1"/>
  <c r="C7805" i="1"/>
  <c r="A19693" i="1"/>
  <c r="B19693" i="1"/>
  <c r="C19693" i="1"/>
  <c r="A14008" i="1"/>
  <c r="B14008" i="1"/>
  <c r="C14008" i="1"/>
  <c r="A14009" i="1"/>
  <c r="B14009" i="1"/>
  <c r="C14009" i="1"/>
  <c r="A19856" i="1"/>
  <c r="B19856" i="1"/>
  <c r="C19856" i="1"/>
  <c r="A22038" i="1"/>
  <c r="B22038" i="1"/>
  <c r="C22038" i="1"/>
  <c r="A19751" i="1"/>
  <c r="B19751" i="1"/>
  <c r="C19751" i="1"/>
  <c r="A9417" i="1"/>
  <c r="C9417" i="1"/>
  <c r="A9416" i="1"/>
  <c r="C9416" i="1"/>
  <c r="A1939" i="1"/>
  <c r="B1939" i="1"/>
  <c r="C1939" i="1"/>
  <c r="A22045" i="1"/>
  <c r="B22045" i="1"/>
  <c r="C22045" i="1"/>
  <c r="A763" i="1"/>
  <c r="C763" i="1"/>
  <c r="A762" i="1"/>
  <c r="C762" i="1"/>
  <c r="A13459" i="1"/>
  <c r="B13459" i="1"/>
  <c r="C13459" i="1"/>
  <c r="A23910" i="1"/>
  <c r="B23910" i="1"/>
  <c r="C23910" i="1"/>
  <c r="A16748" i="1"/>
  <c r="B16748" i="1"/>
  <c r="C16748" i="1"/>
  <c r="A12026" i="1"/>
  <c r="B12026" i="1"/>
  <c r="C12026" i="1"/>
  <c r="A18787" i="1"/>
  <c r="B18787" i="1"/>
  <c r="C18787" i="1"/>
  <c r="A2263" i="1"/>
  <c r="B2263" i="1"/>
  <c r="C2263" i="1"/>
  <c r="A11544" i="1"/>
  <c r="B11544" i="1"/>
  <c r="C11544" i="1"/>
  <c r="A1879" i="1"/>
  <c r="B1879" i="1"/>
  <c r="C1879" i="1"/>
  <c r="A21649" i="1"/>
  <c r="B21649" i="1"/>
  <c r="C21649" i="1"/>
  <c r="A1878" i="1"/>
  <c r="B1878" i="1"/>
  <c r="C1878" i="1"/>
  <c r="A14814" i="1"/>
  <c r="B14814" i="1"/>
  <c r="C14814" i="1"/>
  <c r="A2262" i="1"/>
  <c r="B2262" i="1"/>
  <c r="C2262" i="1"/>
  <c r="A5716" i="1"/>
  <c r="B5716" i="1"/>
  <c r="C5716" i="1"/>
  <c r="A2008" i="1"/>
  <c r="B2008" i="1"/>
  <c r="C2008" i="1"/>
  <c r="A8362" i="1"/>
  <c r="B8362" i="1"/>
  <c r="C8362" i="1"/>
  <c r="A7042" i="1"/>
  <c r="B7042" i="1"/>
  <c r="C7042" i="1"/>
  <c r="A4369" i="1"/>
  <c r="B4369" i="1"/>
  <c r="C4369" i="1"/>
  <c r="A22069" i="1"/>
  <c r="B22069" i="1"/>
  <c r="C22069" i="1"/>
  <c r="A15894" i="1"/>
  <c r="B15894" i="1"/>
  <c r="C15894" i="1"/>
  <c r="A15886" i="1"/>
  <c r="B15886" i="1"/>
  <c r="C15886" i="1"/>
  <c r="A15885" i="1"/>
  <c r="B15885" i="1"/>
  <c r="C15885" i="1"/>
  <c r="A11514" i="1"/>
  <c r="C11514" i="1"/>
  <c r="A52" i="1"/>
  <c r="C52" i="1"/>
  <c r="A13756" i="1"/>
  <c r="C13756" i="1"/>
  <c r="A25192" i="1"/>
  <c r="B25192" i="1"/>
  <c r="C25192" i="1"/>
  <c r="A24282" i="1"/>
  <c r="B24282" i="1"/>
  <c r="C24282" i="1"/>
  <c r="A4824" i="1"/>
  <c r="B4824" i="1"/>
  <c r="C4824" i="1"/>
  <c r="A2625" i="1"/>
  <c r="B2625" i="1"/>
  <c r="C2625" i="1"/>
  <c r="A17300" i="1"/>
  <c r="B17300" i="1"/>
  <c r="C17300" i="1"/>
  <c r="A22696" i="1"/>
  <c r="B22696" i="1"/>
  <c r="C22696" i="1"/>
  <c r="A25026" i="1"/>
  <c r="B25026" i="1"/>
  <c r="C25026" i="1"/>
  <c r="A8512" i="1"/>
  <c r="B8512" i="1"/>
  <c r="C8512" i="1"/>
  <c r="A5365" i="1"/>
  <c r="B5365" i="1"/>
  <c r="C5365" i="1"/>
  <c r="A5363" i="1"/>
  <c r="B5363" i="1"/>
  <c r="C5363" i="1"/>
  <c r="A1851" i="1"/>
  <c r="B1851" i="1"/>
  <c r="C1851" i="1"/>
  <c r="A16219" i="1"/>
  <c r="B16219" i="1"/>
  <c r="C16219" i="1"/>
  <c r="A4170" i="1"/>
  <c r="B4170" i="1"/>
  <c r="C4170" i="1"/>
  <c r="A4169" i="1"/>
  <c r="B4169" i="1"/>
  <c r="C4169" i="1"/>
  <c r="A7807" i="1"/>
  <c r="B7807" i="1"/>
  <c r="C7807" i="1"/>
  <c r="A6197" i="1"/>
  <c r="B6197" i="1"/>
  <c r="C6197" i="1"/>
  <c r="A6198" i="1"/>
  <c r="B6198" i="1"/>
  <c r="C6198" i="1"/>
  <c r="A10068" i="1"/>
  <c r="B10068" i="1"/>
  <c r="C10068" i="1"/>
  <c r="A1426" i="1"/>
  <c r="B1426" i="1"/>
  <c r="C1426" i="1"/>
  <c r="A12373" i="1"/>
  <c r="B12373" i="1"/>
  <c r="C12373" i="1"/>
  <c r="A12374" i="1"/>
  <c r="B12374" i="1"/>
  <c r="C12374" i="1"/>
  <c r="A12375" i="1"/>
  <c r="B12375" i="1"/>
  <c r="C12375" i="1"/>
  <c r="A7428" i="1"/>
  <c r="B7428" i="1"/>
  <c r="C7428" i="1"/>
  <c r="A16868" i="1"/>
  <c r="B16868" i="1"/>
  <c r="C16868" i="1"/>
  <c r="A1624" i="1"/>
  <c r="B1624" i="1"/>
  <c r="C1624" i="1"/>
  <c r="A7400" i="1"/>
  <c r="B7400" i="1"/>
  <c r="C7400" i="1"/>
  <c r="A19914" i="1"/>
  <c r="B19914" i="1"/>
  <c r="C19914" i="1"/>
  <c r="A22686" i="1"/>
  <c r="B22686" i="1"/>
  <c r="C22686" i="1"/>
  <c r="A25569" i="1"/>
  <c r="B25569" i="1"/>
  <c r="C25569" i="1"/>
  <c r="A25568" i="1"/>
  <c r="B25568" i="1"/>
  <c r="C25568" i="1"/>
  <c r="A18073" i="1"/>
  <c r="B18073" i="1"/>
  <c r="C18073" i="1"/>
  <c r="A21998" i="1"/>
  <c r="B21998" i="1"/>
  <c r="C21998" i="1"/>
  <c r="A22796" i="1"/>
  <c r="B22796" i="1"/>
  <c r="C22796" i="1"/>
  <c r="A22044" i="1"/>
  <c r="B22044" i="1"/>
  <c r="C22044" i="1"/>
  <c r="A23088" i="1"/>
  <c r="B23088" i="1"/>
  <c r="C23088" i="1"/>
  <c r="A16154" i="1"/>
  <c r="B16154" i="1"/>
  <c r="C16154" i="1"/>
  <c r="A19574" i="1"/>
  <c r="B19574" i="1"/>
  <c r="C19574" i="1"/>
  <c r="A19575" i="1"/>
  <c r="B19575" i="1"/>
  <c r="C19575" i="1"/>
  <c r="A22815" i="1"/>
  <c r="B22815" i="1"/>
  <c r="C22815" i="1"/>
  <c r="A22075" i="1"/>
  <c r="B22075" i="1"/>
  <c r="C22075" i="1"/>
  <c r="A13206" i="1"/>
  <c r="B13206" i="1"/>
  <c r="C13206" i="1"/>
  <c r="A22181" i="1"/>
  <c r="B22181" i="1"/>
  <c r="C22181" i="1"/>
  <c r="A21768" i="1"/>
  <c r="B21768" i="1"/>
  <c r="C21768" i="1"/>
  <c r="A9274" i="1"/>
  <c r="B9274" i="1"/>
  <c r="C9274" i="1"/>
  <c r="A3488" i="1"/>
  <c r="B3488" i="1"/>
  <c r="C3488" i="1"/>
  <c r="A6656" i="1"/>
  <c r="B6656" i="1"/>
  <c r="C6656" i="1"/>
  <c r="A11185" i="1"/>
  <c r="B11185" i="1"/>
  <c r="C11185" i="1"/>
  <c r="A24694" i="1"/>
  <c r="B24694" i="1"/>
  <c r="C24694" i="1"/>
  <c r="A1937" i="1"/>
  <c r="B1937" i="1"/>
  <c r="C1937" i="1"/>
  <c r="A18378" i="1"/>
  <c r="B18378" i="1"/>
  <c r="C18378" i="1"/>
  <c r="A19098" i="1"/>
  <c r="B19098" i="1"/>
  <c r="C19098" i="1"/>
  <c r="A15700" i="1"/>
  <c r="B15700" i="1"/>
  <c r="C15700" i="1"/>
  <c r="A6041" i="1"/>
  <c r="B6041" i="1"/>
  <c r="C6041" i="1"/>
  <c r="A8767" i="1"/>
  <c r="B8767" i="1"/>
  <c r="C8767" i="1"/>
  <c r="A9255" i="1"/>
  <c r="B9255" i="1"/>
  <c r="C9255" i="1"/>
  <c r="A8235" i="1"/>
  <c r="B8235" i="1"/>
  <c r="C8235" i="1"/>
  <c r="A12233" i="1"/>
  <c r="B12233" i="1"/>
  <c r="C12233" i="1"/>
  <c r="A16128" i="1"/>
  <c r="B16128" i="1"/>
  <c r="C16128" i="1"/>
  <c r="A9251" i="1"/>
  <c r="B9251" i="1"/>
  <c r="C9251" i="1"/>
  <c r="A1938" i="1"/>
  <c r="B1938" i="1"/>
  <c r="C1938" i="1"/>
  <c r="A24610" i="1"/>
  <c r="B24610" i="1"/>
  <c r="C24610" i="1"/>
  <c r="A8567" i="1"/>
  <c r="B8567" i="1"/>
  <c r="C8567" i="1"/>
  <c r="A22687" i="1"/>
  <c r="B22687" i="1"/>
  <c r="C22687" i="1"/>
  <c r="A22760" i="1"/>
  <c r="B22760" i="1"/>
  <c r="C22760" i="1"/>
  <c r="A14379" i="1"/>
  <c r="B14379" i="1"/>
  <c r="C14379" i="1"/>
  <c r="A22041" i="1"/>
  <c r="B22041" i="1"/>
  <c r="C22041" i="1"/>
  <c r="A9835" i="1"/>
  <c r="B9835" i="1"/>
  <c r="C9835" i="1"/>
  <c r="A9384" i="1"/>
  <c r="B9384" i="1"/>
  <c r="C9384" i="1"/>
  <c r="A16012" i="1"/>
  <c r="B16012" i="1"/>
  <c r="C16012" i="1"/>
  <c r="A9383" i="1"/>
  <c r="B9383" i="1"/>
  <c r="C9383" i="1"/>
  <c r="A9359" i="1"/>
  <c r="B9359" i="1"/>
  <c r="C9359" i="1"/>
  <c r="A3611" i="1"/>
  <c r="C3611" i="1"/>
  <c r="A1351" i="1"/>
  <c r="B1351" i="1"/>
  <c r="C1351" i="1"/>
  <c r="A330" i="1"/>
  <c r="B330" i="1"/>
  <c r="C330" i="1"/>
  <c r="A8930" i="1"/>
  <c r="B8930" i="1"/>
  <c r="C8930" i="1"/>
  <c r="A22977" i="1"/>
  <c r="B22977" i="1"/>
  <c r="C22977" i="1"/>
  <c r="A13356" i="1"/>
  <c r="B13356" i="1"/>
  <c r="C13356" i="1"/>
  <c r="A5526" i="1"/>
  <c r="B5526" i="1"/>
  <c r="C5526" i="1"/>
  <c r="A423" i="1"/>
  <c r="B423" i="1"/>
  <c r="C423" i="1"/>
  <c r="A25501" i="1"/>
  <c r="B25501" i="1"/>
  <c r="C25501" i="1"/>
  <c r="A16801" i="1"/>
  <c r="B16801" i="1"/>
  <c r="C16801" i="1"/>
  <c r="A17456" i="1"/>
  <c r="B17456" i="1"/>
  <c r="C17456" i="1"/>
  <c r="A16863" i="1"/>
  <c r="B16863" i="1"/>
  <c r="C16863" i="1"/>
  <c r="A11149" i="1"/>
  <c r="C11149" i="1"/>
  <c r="A7417" i="1"/>
  <c r="B7417" i="1"/>
  <c r="C7417" i="1"/>
  <c r="A4851" i="1"/>
  <c r="B4851" i="1"/>
  <c r="C4851" i="1"/>
  <c r="A11108" i="1"/>
  <c r="C11108" i="1"/>
  <c r="A11106" i="1"/>
  <c r="C11106" i="1"/>
  <c r="A11107" i="1"/>
  <c r="C11107" i="1"/>
  <c r="A11105" i="1"/>
  <c r="C11105" i="1"/>
  <c r="A24163" i="1"/>
  <c r="B24163" i="1"/>
  <c r="C24163" i="1"/>
  <c r="A15221" i="1"/>
  <c r="C15221" i="1"/>
  <c r="A19184" i="1"/>
  <c r="B19184" i="1"/>
  <c r="C19184" i="1"/>
  <c r="A23515" i="1"/>
  <c r="B23515" i="1"/>
  <c r="C23515" i="1"/>
  <c r="A23087" i="1"/>
  <c r="B23087" i="1"/>
  <c r="C23087" i="1"/>
  <c r="A17962" i="1"/>
  <c r="B17962" i="1"/>
  <c r="C17962" i="1"/>
  <c r="A11625" i="1"/>
  <c r="B11625" i="1"/>
  <c r="C11625" i="1"/>
  <c r="A14579" i="1"/>
  <c r="B14579" i="1"/>
  <c r="C14579" i="1"/>
  <c r="A9273" i="1"/>
  <c r="B9273" i="1"/>
  <c r="C9273" i="1"/>
  <c r="A12498" i="1"/>
  <c r="B12498" i="1"/>
  <c r="C12498" i="1"/>
  <c r="A6382" i="1"/>
  <c r="B6382" i="1"/>
  <c r="C6382" i="1"/>
  <c r="A7566" i="1"/>
  <c r="B7566" i="1"/>
  <c r="C7566" i="1"/>
  <c r="A4367" i="1"/>
  <c r="B4367" i="1"/>
  <c r="C4367" i="1"/>
  <c r="A4368" i="1"/>
  <c r="B4368" i="1"/>
  <c r="C4368" i="1"/>
  <c r="A1379" i="1"/>
  <c r="B1379" i="1"/>
  <c r="C1379" i="1"/>
  <c r="A18759" i="1"/>
  <c r="B18759" i="1"/>
  <c r="C18759" i="1"/>
  <c r="A25669" i="1"/>
  <c r="B25669" i="1"/>
  <c r="C25669" i="1"/>
  <c r="A22985" i="1"/>
  <c r="B22985" i="1"/>
  <c r="C22985" i="1"/>
  <c r="A10316" i="1"/>
  <c r="B10316" i="1"/>
  <c r="C10316" i="1"/>
  <c r="A25571" i="1"/>
  <c r="B25571" i="1"/>
  <c r="C25571" i="1"/>
  <c r="A25572" i="1"/>
  <c r="B25572" i="1"/>
  <c r="C25572" i="1"/>
  <c r="A23357" i="1"/>
  <c r="B23357" i="1"/>
  <c r="C23357" i="1"/>
  <c r="A17358" i="1"/>
  <c r="B17358" i="1"/>
  <c r="C17358" i="1"/>
  <c r="A4747" i="1"/>
  <c r="B4747" i="1"/>
  <c r="C4747" i="1"/>
  <c r="A10083" i="1"/>
  <c r="B10083" i="1"/>
  <c r="C10083" i="1"/>
  <c r="A12708" i="1"/>
  <c r="B12708" i="1"/>
  <c r="C12708" i="1"/>
  <c r="A24079" i="1"/>
  <c r="B24079" i="1"/>
  <c r="C24079" i="1"/>
  <c r="A22490" i="1"/>
  <c r="B22490" i="1"/>
  <c r="C22490" i="1"/>
  <c r="A22491" i="1"/>
  <c r="B22491" i="1"/>
  <c r="C22491" i="1"/>
  <c r="A22483" i="1"/>
  <c r="B22483" i="1"/>
  <c r="C22483" i="1"/>
  <c r="A17735" i="1"/>
  <c r="B17735" i="1"/>
  <c r="C17735" i="1"/>
  <c r="A14219" i="1"/>
  <c r="B14219" i="1"/>
  <c r="C14219" i="1"/>
  <c r="A20942" i="1"/>
  <c r="B20942" i="1"/>
  <c r="C20942" i="1"/>
  <c r="A23917" i="1"/>
  <c r="B23917" i="1"/>
  <c r="C23917" i="1"/>
  <c r="A15310" i="1"/>
  <c r="B15310" i="1"/>
  <c r="C15310" i="1"/>
  <c r="A6675" i="1"/>
  <c r="B6675" i="1"/>
  <c r="C6675" i="1"/>
  <c r="A14555" i="1"/>
  <c r="B14555" i="1"/>
  <c r="C14555" i="1"/>
  <c r="A5482" i="1"/>
  <c r="B5482" i="1"/>
  <c r="C5482" i="1"/>
  <c r="A8271" i="1"/>
  <c r="B8271" i="1"/>
  <c r="C8271" i="1"/>
  <c r="A8272" i="1"/>
  <c r="B8272" i="1"/>
  <c r="C8272" i="1"/>
  <c r="A10061" i="1"/>
  <c r="B10061" i="1"/>
  <c r="C10061" i="1"/>
  <c r="A10062" i="1"/>
  <c r="B10062" i="1"/>
  <c r="C10062" i="1"/>
  <c r="A1688" i="1"/>
  <c r="B1688" i="1"/>
  <c r="C1688" i="1"/>
  <c r="A8538" i="1"/>
  <c r="B8538" i="1"/>
  <c r="C8538" i="1"/>
  <c r="A8537" i="1"/>
  <c r="B8537" i="1"/>
  <c r="C8537" i="1"/>
  <c r="A8535" i="1"/>
  <c r="B8535" i="1"/>
  <c r="C8535" i="1"/>
  <c r="A8617" i="1"/>
  <c r="B8617" i="1"/>
  <c r="C8617" i="1"/>
  <c r="A4769" i="1"/>
  <c r="B4769" i="1"/>
  <c r="C4769" i="1"/>
  <c r="A17765" i="1"/>
  <c r="B17765" i="1"/>
  <c r="C17765" i="1"/>
  <c r="A15228" i="1"/>
  <c r="B15228" i="1"/>
  <c r="C15228" i="1"/>
  <c r="A4082" i="1"/>
  <c r="B4082" i="1"/>
  <c r="C4082" i="1"/>
  <c r="A4682" i="1"/>
  <c r="B4682" i="1"/>
  <c r="C4682" i="1"/>
  <c r="A25544" i="1"/>
  <c r="B25544" i="1"/>
  <c r="C25544" i="1"/>
  <c r="A25545" i="1"/>
  <c r="B25545" i="1"/>
  <c r="C25545" i="1"/>
  <c r="A8878" i="1"/>
  <c r="C8878" i="1"/>
  <c r="A24941" i="1"/>
  <c r="C24941" i="1"/>
  <c r="A24940" i="1"/>
  <c r="C24940" i="1"/>
  <c r="A16914" i="1"/>
  <c r="B16914" i="1"/>
  <c r="C16914" i="1"/>
  <c r="A11939" i="1"/>
  <c r="B11939" i="1"/>
  <c r="C11939" i="1"/>
  <c r="A13896" i="1"/>
  <c r="B13896" i="1"/>
  <c r="C13896" i="1"/>
  <c r="A9206" i="1"/>
  <c r="B9206" i="1"/>
  <c r="C9206" i="1"/>
  <c r="A9092" i="1"/>
  <c r="B9092" i="1"/>
  <c r="C9092" i="1"/>
  <c r="A8999" i="1"/>
  <c r="B8999" i="1"/>
  <c r="C8999" i="1"/>
  <c r="A11593" i="1"/>
  <c r="B11593" i="1"/>
  <c r="C11593" i="1"/>
  <c r="A12235" i="1"/>
  <c r="B12235" i="1"/>
  <c r="C12235" i="1"/>
  <c r="A11376" i="1"/>
  <c r="B11376" i="1"/>
  <c r="C11376" i="1"/>
  <c r="A24171" i="1"/>
  <c r="B24171" i="1"/>
  <c r="C24171" i="1"/>
  <c r="A16306" i="1"/>
  <c r="B16306" i="1"/>
  <c r="C16306" i="1"/>
  <c r="A23309" i="1"/>
  <c r="B23309" i="1"/>
  <c r="C23309" i="1"/>
  <c r="A2909" i="1"/>
  <c r="B2909" i="1"/>
  <c r="C2909" i="1"/>
  <c r="A14401" i="1"/>
  <c r="B14401" i="1"/>
  <c r="C14401" i="1"/>
  <c r="A8034" i="1"/>
  <c r="B8034" i="1"/>
  <c r="C8034" i="1"/>
  <c r="A4698" i="1"/>
  <c r="B4698" i="1"/>
  <c r="C4698" i="1"/>
  <c r="A14303" i="1"/>
  <c r="B14303" i="1"/>
  <c r="C14303" i="1"/>
  <c r="A12621" i="1"/>
  <c r="B12621" i="1"/>
  <c r="C12621" i="1"/>
  <c r="A19885" i="1"/>
  <c r="B19885" i="1"/>
  <c r="C19885" i="1"/>
  <c r="A21839" i="1"/>
  <c r="B21839" i="1"/>
  <c r="C21839" i="1"/>
  <c r="A24617" i="1"/>
  <c r="B24617" i="1"/>
  <c r="C24617" i="1"/>
  <c r="A24618" i="1"/>
  <c r="B24618" i="1"/>
  <c r="C24618" i="1"/>
  <c r="A24620" i="1"/>
  <c r="B24620" i="1"/>
  <c r="C24620" i="1"/>
  <c r="A2993" i="1"/>
  <c r="B2993" i="1"/>
  <c r="C2993" i="1"/>
  <c r="A1348" i="1"/>
  <c r="B1348" i="1"/>
  <c r="C1348" i="1"/>
  <c r="A1382" i="1"/>
  <c r="B1382" i="1"/>
  <c r="C1382" i="1"/>
  <c r="A23308" i="1"/>
  <c r="B23308" i="1"/>
  <c r="C23308" i="1"/>
  <c r="A11355" i="1"/>
  <c r="B11355" i="1"/>
  <c r="C11355" i="1"/>
  <c r="A5594" i="1"/>
  <c r="B5594" i="1"/>
  <c r="C5594" i="1"/>
  <c r="A8017" i="1"/>
  <c r="B8017" i="1"/>
  <c r="C8017" i="1"/>
  <c r="A9275" i="1"/>
  <c r="B9275" i="1"/>
  <c r="C9275" i="1"/>
  <c r="A9276" i="1"/>
  <c r="B9276" i="1"/>
  <c r="C9276" i="1"/>
  <c r="A20088" i="1"/>
  <c r="B20088" i="1"/>
  <c r="C20088" i="1"/>
  <c r="A288" i="1"/>
  <c r="B288" i="1"/>
  <c r="C288" i="1"/>
  <c r="A17733" i="1"/>
  <c r="B17733" i="1"/>
  <c r="C17733" i="1"/>
  <c r="A15607" i="1"/>
  <c r="B15607" i="1"/>
  <c r="C15607" i="1"/>
  <c r="A1789" i="1"/>
  <c r="B1789" i="1"/>
  <c r="C1789" i="1"/>
  <c r="A1790" i="1"/>
  <c r="B1790" i="1"/>
  <c r="C1790" i="1"/>
  <c r="A15385" i="1"/>
  <c r="B15385" i="1"/>
  <c r="C15385" i="1"/>
  <c r="A19065" i="1"/>
  <c r="B19065" i="1"/>
  <c r="C19065" i="1"/>
  <c r="A1034" i="1"/>
  <c r="B1034" i="1"/>
  <c r="C1034" i="1"/>
  <c r="A24491" i="1"/>
  <c r="B24491" i="1"/>
  <c r="C24491" i="1"/>
  <c r="A24492" i="1"/>
  <c r="B24492" i="1"/>
  <c r="C24492" i="1"/>
  <c r="A5191" i="1"/>
  <c r="B5191" i="1"/>
  <c r="C5191" i="1"/>
  <c r="A4439" i="1"/>
  <c r="B4439" i="1"/>
  <c r="C4439" i="1"/>
  <c r="A21819" i="1"/>
  <c r="B21819" i="1"/>
  <c r="C21819" i="1"/>
  <c r="A22603" i="1"/>
  <c r="B22603" i="1"/>
  <c r="C22603" i="1"/>
  <c r="A11616" i="1"/>
  <c r="B11616" i="1"/>
  <c r="C11616" i="1"/>
  <c r="A11615" i="1"/>
  <c r="B11615" i="1"/>
  <c r="C11615" i="1"/>
  <c r="A13432" i="1"/>
  <c r="B13432" i="1"/>
  <c r="C13432" i="1"/>
  <c r="A20465" i="1"/>
  <c r="B20465" i="1"/>
  <c r="C20465" i="1"/>
  <c r="A24344" i="1"/>
  <c r="B24344" i="1"/>
  <c r="C24344" i="1"/>
  <c r="A20929" i="1"/>
  <c r="B20929" i="1"/>
  <c r="C20929" i="1"/>
  <c r="A20826" i="1"/>
  <c r="B20826" i="1"/>
  <c r="C20826" i="1"/>
  <c r="A3998" i="1"/>
  <c r="B3998" i="1"/>
  <c r="C3998" i="1"/>
  <c r="A20935" i="1"/>
  <c r="B20935" i="1"/>
  <c r="C20935" i="1"/>
  <c r="A22532" i="1"/>
  <c r="B22532" i="1"/>
  <c r="C22532" i="1"/>
  <c r="A22533" i="1"/>
  <c r="B22533" i="1"/>
  <c r="C22533" i="1"/>
  <c r="A8779" i="1"/>
  <c r="B8779" i="1"/>
  <c r="C8779" i="1"/>
  <c r="A24863" i="1"/>
  <c r="B24863" i="1"/>
  <c r="C24863" i="1"/>
  <c r="A6769" i="1"/>
  <c r="B6769" i="1"/>
  <c r="C6769" i="1"/>
  <c r="A12315" i="1"/>
  <c r="B12315" i="1"/>
  <c r="C12315" i="1"/>
  <c r="A14383" i="1"/>
  <c r="B14383" i="1"/>
  <c r="C14383" i="1"/>
  <c r="A6998" i="1"/>
  <c r="B6998" i="1"/>
  <c r="C6998" i="1"/>
  <c r="A22144" i="1"/>
  <c r="B22144" i="1"/>
  <c r="C22144" i="1"/>
  <c r="A14574" i="1"/>
  <c r="B14574" i="1"/>
  <c r="C14574" i="1"/>
  <c r="A11095" i="1"/>
  <c r="B11095" i="1"/>
  <c r="C11095" i="1"/>
  <c r="A12147" i="1"/>
  <c r="B12147" i="1"/>
  <c r="C12147" i="1"/>
  <c r="A2820" i="1"/>
  <c r="B2820" i="1"/>
  <c r="C2820" i="1"/>
  <c r="A42" i="1"/>
  <c r="B42" i="1"/>
  <c r="C42" i="1"/>
  <c r="A714" i="1"/>
  <c r="B714" i="1"/>
  <c r="C714" i="1"/>
  <c r="A8906" i="1"/>
  <c r="B8906" i="1"/>
  <c r="C8906" i="1"/>
  <c r="A22552" i="1"/>
  <c r="B22552" i="1"/>
  <c r="C22552" i="1"/>
  <c r="A22554" i="1"/>
  <c r="B22554" i="1"/>
  <c r="C22554" i="1"/>
  <c r="A1617" i="1"/>
  <c r="B1617" i="1"/>
  <c r="C1617" i="1"/>
  <c r="A22551" i="1"/>
  <c r="B22551" i="1"/>
  <c r="C22551" i="1"/>
  <c r="A22553" i="1"/>
  <c r="B22553" i="1"/>
  <c r="C22553" i="1"/>
  <c r="A3550" i="1"/>
  <c r="B3550" i="1"/>
  <c r="C3550" i="1"/>
  <c r="A2663" i="1"/>
  <c r="B2663" i="1"/>
  <c r="C2663" i="1"/>
  <c r="A24181" i="1"/>
  <c r="B24181" i="1"/>
  <c r="C24181" i="1"/>
  <c r="A13949" i="1"/>
  <c r="B13949" i="1"/>
  <c r="C13949" i="1"/>
  <c r="A19094" i="1"/>
  <c r="B19094" i="1"/>
  <c r="C19094" i="1"/>
  <c r="A8069" i="1"/>
  <c r="B8069" i="1"/>
  <c r="C8069" i="1"/>
  <c r="A8070" i="1"/>
  <c r="B8070" i="1"/>
  <c r="C8070" i="1"/>
  <c r="A15254" i="1"/>
  <c r="B15254" i="1"/>
  <c r="C15254" i="1"/>
  <c r="A14928" i="1"/>
  <c r="B14928" i="1"/>
  <c r="C14928" i="1"/>
  <c r="A16838" i="1"/>
  <c r="B16838" i="1"/>
  <c r="C16838" i="1"/>
  <c r="A24093" i="1"/>
  <c r="B24093" i="1"/>
  <c r="C24093" i="1"/>
  <c r="A25223" i="1"/>
  <c r="B25223" i="1"/>
  <c r="C25223" i="1"/>
  <c r="A12029" i="1"/>
  <c r="B12029" i="1"/>
  <c r="C12029" i="1"/>
  <c r="A14600" i="1"/>
  <c r="B14600" i="1"/>
  <c r="C14600" i="1"/>
  <c r="A14596" i="1"/>
  <c r="B14596" i="1"/>
  <c r="C14596" i="1"/>
  <c r="A3549" i="1"/>
  <c r="B3549" i="1"/>
  <c r="C3549" i="1"/>
  <c r="A1502" i="1"/>
  <c r="B1502" i="1"/>
  <c r="C1502" i="1"/>
  <c r="A4405" i="1"/>
  <c r="B4405" i="1"/>
  <c r="C4405" i="1"/>
  <c r="A15171" i="1"/>
  <c r="B15171" i="1"/>
  <c r="C15171" i="1"/>
  <c r="A6482" i="1"/>
  <c r="B6482" i="1"/>
  <c r="C6482" i="1"/>
  <c r="A3104" i="1"/>
  <c r="B3104" i="1"/>
  <c r="C3104" i="1"/>
  <c r="A3105" i="1"/>
  <c r="B3105" i="1"/>
  <c r="C3105" i="1"/>
  <c r="A12548" i="1"/>
  <c r="B12548" i="1"/>
  <c r="C12548" i="1"/>
  <c r="A17251" i="1"/>
  <c r="B17251" i="1"/>
  <c r="C17251" i="1"/>
  <c r="A17254" i="1"/>
  <c r="B17254" i="1"/>
  <c r="C17254" i="1"/>
  <c r="A20761" i="1"/>
  <c r="B20761" i="1"/>
  <c r="C20761" i="1"/>
  <c r="A23210" i="1"/>
  <c r="B23210" i="1"/>
  <c r="C23210" i="1"/>
  <c r="A9120" i="1"/>
  <c r="B9120" i="1"/>
  <c r="C9120" i="1"/>
  <c r="A15809" i="1"/>
  <c r="B15809" i="1"/>
  <c r="C15809" i="1"/>
  <c r="A15810" i="1"/>
  <c r="B15810" i="1"/>
  <c r="C15810" i="1"/>
  <c r="A15803" i="1"/>
  <c r="B15803" i="1"/>
  <c r="C15803" i="1"/>
  <c r="A15804" i="1"/>
  <c r="B15804" i="1"/>
  <c r="C15804" i="1"/>
  <c r="A15805" i="1"/>
  <c r="B15805" i="1"/>
  <c r="C15805" i="1"/>
  <c r="A15801" i="1"/>
  <c r="B15801" i="1"/>
  <c r="C15801" i="1"/>
  <c r="A23918" i="1"/>
  <c r="B23918" i="1"/>
  <c r="C23918" i="1"/>
  <c r="A9013" i="1"/>
  <c r="B9013" i="1"/>
  <c r="C9013" i="1"/>
  <c r="A24403" i="1"/>
  <c r="B24403" i="1"/>
  <c r="C24403" i="1"/>
  <c r="A22304" i="1"/>
  <c r="B22304" i="1"/>
  <c r="C22304" i="1"/>
  <c r="A13746" i="1"/>
  <c r="C13746" i="1"/>
  <c r="A8126" i="1"/>
  <c r="B8126" i="1"/>
  <c r="C8126" i="1"/>
  <c r="A8387" i="1"/>
  <c r="B8387" i="1"/>
  <c r="C8387" i="1"/>
  <c r="A12284" i="1"/>
  <c r="B12284" i="1"/>
  <c r="C12284" i="1"/>
  <c r="A22438" i="1"/>
  <c r="B22438" i="1"/>
  <c r="C22438" i="1"/>
  <c r="A22439" i="1"/>
  <c r="B22439" i="1"/>
  <c r="C22439" i="1"/>
  <c r="A10436" i="1"/>
  <c r="B10436" i="1"/>
  <c r="C10436" i="1"/>
  <c r="A21372" i="1"/>
  <c r="B21372" i="1"/>
  <c r="C21372" i="1"/>
  <c r="A21371" i="1"/>
  <c r="B21371" i="1"/>
  <c r="C21371" i="1"/>
  <c r="A4745" i="1"/>
  <c r="B4745" i="1"/>
  <c r="C4745" i="1"/>
  <c r="A24269" i="1"/>
  <c r="B24269" i="1"/>
  <c r="C24269" i="1"/>
  <c r="A712" i="1"/>
  <c r="B712" i="1"/>
  <c r="C712" i="1"/>
  <c r="A4147" i="1"/>
  <c r="B4147" i="1"/>
  <c r="C4147" i="1"/>
  <c r="A1832" i="1"/>
  <c r="B1832" i="1"/>
  <c r="C1832" i="1"/>
  <c r="A11831" i="1"/>
  <c r="B11831" i="1"/>
  <c r="C11831" i="1"/>
  <c r="A18810" i="1"/>
  <c r="B18810" i="1"/>
  <c r="C18810" i="1"/>
  <c r="A25685" i="1"/>
  <c r="B25685" i="1"/>
  <c r="C25685" i="1"/>
  <c r="A24890" i="1"/>
  <c r="B24890" i="1"/>
  <c r="C24890" i="1"/>
  <c r="A13380" i="1"/>
  <c r="B13380" i="1"/>
  <c r="C13380" i="1"/>
  <c r="A4208" i="1"/>
  <c r="B4208" i="1"/>
  <c r="C4208" i="1"/>
  <c r="A4207" i="1"/>
  <c r="B4207" i="1"/>
  <c r="C4207" i="1"/>
  <c r="A2897" i="1"/>
  <c r="B2897" i="1"/>
  <c r="C2897" i="1"/>
  <c r="A9374" i="1"/>
  <c r="B9374" i="1"/>
  <c r="C9374" i="1"/>
  <c r="A17817" i="1"/>
  <c r="B17817" i="1"/>
  <c r="C17817" i="1"/>
  <c r="A1180" i="1"/>
  <c r="B1180" i="1"/>
  <c r="C1180" i="1"/>
  <c r="A23265" i="1"/>
  <c r="B23265" i="1"/>
  <c r="C23265" i="1"/>
  <c r="A24011" i="1"/>
  <c r="B24011" i="1"/>
  <c r="C24011" i="1"/>
  <c r="A19084" i="1"/>
  <c r="B19084" i="1"/>
  <c r="C19084" i="1"/>
  <c r="A20740" i="1"/>
  <c r="B20740" i="1"/>
  <c r="C20740" i="1"/>
  <c r="A18009" i="1"/>
  <c r="B18009" i="1"/>
  <c r="C18009" i="1"/>
  <c r="A21373" i="1"/>
  <c r="B21373" i="1"/>
  <c r="C21373" i="1"/>
  <c r="A10280" i="1"/>
  <c r="B10280" i="1"/>
  <c r="C10280" i="1"/>
  <c r="A21695" i="1"/>
  <c r="B21695" i="1"/>
  <c r="C21695" i="1"/>
  <c r="A18849" i="1"/>
  <c r="B18849" i="1"/>
  <c r="C18849" i="1"/>
  <c r="A21645" i="1"/>
  <c r="B21645" i="1"/>
  <c r="C21645" i="1"/>
  <c r="A21423" i="1"/>
  <c r="B21423" i="1"/>
  <c r="C21423" i="1"/>
  <c r="A22547" i="1"/>
  <c r="B22547" i="1"/>
  <c r="C22547" i="1"/>
  <c r="A11469" i="1"/>
  <c r="B11469" i="1"/>
  <c r="C11469" i="1"/>
  <c r="A3766" i="1"/>
  <c r="B3766" i="1"/>
  <c r="C3766" i="1"/>
  <c r="A9560" i="1"/>
  <c r="B9560" i="1"/>
  <c r="C9560" i="1"/>
  <c r="A2953" i="1"/>
  <c r="B2953" i="1"/>
  <c r="C2953" i="1"/>
  <c r="A1000" i="1"/>
  <c r="B1000" i="1"/>
  <c r="C1000" i="1"/>
  <c r="A12031" i="1"/>
  <c r="B12031" i="1"/>
  <c r="C12031" i="1"/>
  <c r="A10570" i="1"/>
  <c r="B10570" i="1"/>
  <c r="C10570" i="1"/>
  <c r="A12519" i="1"/>
  <c r="B12519" i="1"/>
  <c r="C12519" i="1"/>
  <c r="A17963" i="1"/>
  <c r="B17963" i="1"/>
  <c r="C17963" i="1"/>
  <c r="A20743" i="1"/>
  <c r="B20743" i="1"/>
  <c r="C20743" i="1"/>
  <c r="A22004" i="1"/>
  <c r="B22004" i="1"/>
  <c r="C22004" i="1"/>
  <c r="A21780" i="1"/>
  <c r="B21780" i="1"/>
  <c r="C21780" i="1"/>
  <c r="A3881" i="1"/>
  <c r="B3881" i="1"/>
  <c r="C3881" i="1"/>
  <c r="A15290" i="1"/>
  <c r="B15290" i="1"/>
  <c r="C15290" i="1"/>
  <c r="A25626" i="1"/>
  <c r="B25626" i="1"/>
  <c r="C25626" i="1"/>
  <c r="A5595" i="1"/>
  <c r="B5595" i="1"/>
  <c r="C5595" i="1"/>
  <c r="A15157" i="1"/>
  <c r="B15157" i="1"/>
  <c r="C15157" i="1"/>
  <c r="A12063" i="1"/>
  <c r="B12063" i="1"/>
  <c r="C12063" i="1"/>
  <c r="A14617" i="1"/>
  <c r="B14617" i="1"/>
  <c r="C14617" i="1"/>
  <c r="A14623" i="1"/>
  <c r="B14623" i="1"/>
  <c r="C14623" i="1"/>
  <c r="A14622" i="1"/>
  <c r="B14622" i="1"/>
  <c r="C14622" i="1"/>
  <c r="A14620" i="1"/>
  <c r="B14620" i="1"/>
  <c r="C14620" i="1"/>
  <c r="A14621" i="1"/>
  <c r="B14621" i="1"/>
  <c r="C14621" i="1"/>
  <c r="A2739" i="1"/>
  <c r="B2739" i="1"/>
  <c r="C2739" i="1"/>
  <c r="A2279" i="1"/>
  <c r="B2279" i="1"/>
  <c r="C2279" i="1"/>
  <c r="A869" i="1"/>
  <c r="B869" i="1"/>
  <c r="C869" i="1"/>
  <c r="A3220" i="1"/>
  <c r="B3220" i="1"/>
  <c r="C3220" i="1"/>
  <c r="A3221" i="1"/>
  <c r="B3221" i="1"/>
  <c r="C3221" i="1"/>
  <c r="A3222" i="1"/>
  <c r="B3222" i="1"/>
  <c r="C3222" i="1"/>
  <c r="A3223" i="1"/>
  <c r="B3223" i="1"/>
  <c r="C3223" i="1"/>
  <c r="A3224" i="1"/>
  <c r="B3224" i="1"/>
  <c r="C3224" i="1"/>
  <c r="A3225" i="1"/>
  <c r="B3225" i="1"/>
  <c r="C3225" i="1"/>
  <c r="A3226" i="1"/>
  <c r="B3226" i="1"/>
  <c r="C3226" i="1"/>
  <c r="A3227" i="1"/>
  <c r="B3227" i="1"/>
  <c r="C3227" i="1"/>
  <c r="A3228" i="1"/>
  <c r="B3228" i="1"/>
  <c r="C3228" i="1"/>
  <c r="A3229" i="1"/>
  <c r="B3229" i="1"/>
  <c r="C3229" i="1"/>
  <c r="A3230" i="1"/>
  <c r="B3230" i="1"/>
  <c r="C3230" i="1"/>
  <c r="A11708" i="1"/>
  <c r="B11708" i="1"/>
  <c r="C11708" i="1"/>
  <c r="A21886" i="1"/>
  <c r="B21886" i="1"/>
  <c r="C21886" i="1"/>
  <c r="A22619" i="1"/>
  <c r="B22619" i="1"/>
  <c r="C22619" i="1"/>
  <c r="A20606" i="1"/>
  <c r="B20606" i="1"/>
  <c r="C20606" i="1"/>
  <c r="A19760" i="1"/>
  <c r="B19760" i="1"/>
  <c r="C19760" i="1"/>
  <c r="A14586" i="1"/>
  <c r="B14586" i="1"/>
  <c r="C14586" i="1"/>
  <c r="A8796" i="1"/>
  <c r="B8796" i="1"/>
  <c r="C8796" i="1"/>
  <c r="A8797" i="1"/>
  <c r="B8797" i="1"/>
  <c r="C8797" i="1"/>
  <c r="A12481" i="1"/>
  <c r="B12481" i="1"/>
  <c r="C12481" i="1"/>
  <c r="A15733" i="1"/>
  <c r="B15733" i="1"/>
  <c r="C15733" i="1"/>
  <c r="A16662" i="1"/>
  <c r="B16662" i="1"/>
  <c r="C16662" i="1"/>
  <c r="A25320" i="1"/>
  <c r="B25320" i="1"/>
  <c r="C25320" i="1"/>
  <c r="A3908" i="1"/>
  <c r="B3908" i="1"/>
  <c r="C3908" i="1"/>
  <c r="A18109" i="1"/>
  <c r="B18109" i="1"/>
  <c r="C18109" i="1"/>
  <c r="A22291" i="1"/>
  <c r="B22291" i="1"/>
  <c r="C22291" i="1"/>
  <c r="A16302" i="1"/>
  <c r="B16302" i="1"/>
  <c r="C16302" i="1"/>
  <c r="A1269" i="1"/>
  <c r="B1269" i="1"/>
  <c r="C1269" i="1"/>
  <c r="A25134" i="1"/>
  <c r="B25134" i="1"/>
  <c r="C25134" i="1"/>
  <c r="A21871" i="1"/>
  <c r="B21871" i="1"/>
  <c r="C21871" i="1"/>
  <c r="A11169" i="1"/>
  <c r="B11169" i="1"/>
  <c r="C11169" i="1"/>
  <c r="A25500" i="1"/>
  <c r="B25500" i="1"/>
  <c r="C25500" i="1"/>
  <c r="A12183" i="1"/>
  <c r="B12183" i="1"/>
  <c r="C12183" i="1"/>
  <c r="A77" i="1"/>
  <c r="B77" i="1"/>
  <c r="C77" i="1"/>
  <c r="A78" i="1"/>
  <c r="B78" i="1"/>
  <c r="C78" i="1"/>
  <c r="A7111" i="1"/>
  <c r="B7111" i="1"/>
  <c r="C7111" i="1"/>
  <c r="A17438" i="1"/>
  <c r="B17438" i="1"/>
  <c r="C17438" i="1"/>
  <c r="A24060" i="1"/>
  <c r="B24060" i="1"/>
  <c r="C24060" i="1"/>
  <c r="A11751" i="1"/>
  <c r="B11751" i="1"/>
  <c r="C11751" i="1"/>
  <c r="A19743" i="1"/>
  <c r="B19743" i="1"/>
  <c r="C19743" i="1"/>
  <c r="A1669" i="1"/>
  <c r="B1669" i="1"/>
  <c r="C1669" i="1"/>
  <c r="A24176" i="1"/>
  <c r="B24176" i="1"/>
  <c r="C24176" i="1"/>
  <c r="A20824" i="1"/>
  <c r="B20824" i="1"/>
  <c r="C20824" i="1"/>
  <c r="A23706" i="1"/>
  <c r="B23706" i="1"/>
  <c r="C23706" i="1"/>
  <c r="A15696" i="1"/>
  <c r="B15696" i="1"/>
  <c r="C15696" i="1"/>
  <c r="A20780" i="1"/>
  <c r="B20780" i="1"/>
  <c r="C20780" i="1"/>
  <c r="A20783" i="1"/>
  <c r="B20783" i="1"/>
  <c r="C20783" i="1"/>
  <c r="A20782" i="1"/>
  <c r="B20782" i="1"/>
  <c r="C20782" i="1"/>
  <c r="A1050" i="1"/>
  <c r="B1050" i="1"/>
  <c r="C1050" i="1"/>
  <c r="A2081" i="1"/>
  <c r="B2081" i="1"/>
  <c r="C2081" i="1"/>
  <c r="A1985" i="1"/>
  <c r="B1985" i="1"/>
  <c r="C1985" i="1"/>
  <c r="A17160" i="1"/>
  <c r="B17160" i="1"/>
  <c r="C17160" i="1"/>
  <c r="A24836" i="1"/>
  <c r="B24836" i="1"/>
  <c r="C24836" i="1"/>
  <c r="A14800" i="1"/>
  <c r="B14800" i="1"/>
  <c r="C14800" i="1"/>
  <c r="A18844" i="1"/>
  <c r="B18844" i="1"/>
  <c r="C18844" i="1"/>
  <c r="A702" i="1"/>
  <c r="B702" i="1"/>
  <c r="C702" i="1"/>
  <c r="A8589" i="1"/>
  <c r="B8589" i="1"/>
  <c r="C8589" i="1"/>
  <c r="A8303" i="1"/>
  <c r="B8303" i="1"/>
  <c r="C8303" i="1"/>
  <c r="A20405" i="1"/>
  <c r="B20405" i="1"/>
  <c r="C20405" i="1"/>
  <c r="A9478" i="1"/>
  <c r="B9478" i="1"/>
  <c r="C9478" i="1"/>
  <c r="A19110" i="1"/>
  <c r="B19110" i="1"/>
  <c r="C19110" i="1"/>
  <c r="A6329" i="1"/>
  <c r="B6329" i="1"/>
  <c r="C6329" i="1"/>
  <c r="A25460" i="1"/>
  <c r="B25460" i="1"/>
  <c r="C25460" i="1"/>
  <c r="A11464" i="1"/>
  <c r="B11464" i="1"/>
  <c r="C11464" i="1"/>
  <c r="A20611" i="1"/>
  <c r="B20611" i="1"/>
  <c r="C20611" i="1"/>
  <c r="A25741" i="1"/>
  <c r="B25741" i="1"/>
  <c r="C25741" i="1"/>
  <c r="A12336" i="1"/>
  <c r="B12336" i="1"/>
  <c r="C12336" i="1"/>
  <c r="A24821" i="1"/>
  <c r="B24821" i="1"/>
  <c r="C24821" i="1"/>
  <c r="A22215" i="1"/>
  <c r="B22215" i="1"/>
  <c r="C22215" i="1"/>
  <c r="A22219" i="1"/>
  <c r="B22219" i="1"/>
  <c r="C22219" i="1"/>
  <c r="A22379" i="1"/>
  <c r="B22379" i="1"/>
  <c r="C22379" i="1"/>
  <c r="A16269" i="1"/>
  <c r="B16269" i="1"/>
  <c r="C16269" i="1"/>
  <c r="A464" i="1"/>
  <c r="B464" i="1"/>
  <c r="C464" i="1"/>
  <c r="A7402" i="1"/>
  <c r="B7402" i="1"/>
  <c r="C7402" i="1"/>
  <c r="A7449" i="1"/>
  <c r="B7449" i="1"/>
  <c r="C7449" i="1"/>
  <c r="A9000" i="1"/>
  <c r="B9000" i="1"/>
  <c r="C9000" i="1"/>
  <c r="A1279" i="1"/>
  <c r="B1279" i="1"/>
  <c r="C1279" i="1"/>
  <c r="A21899" i="1"/>
  <c r="B21899" i="1"/>
  <c r="C21899" i="1"/>
  <c r="A18152" i="1"/>
  <c r="C18152" i="1"/>
  <c r="A3204" i="1"/>
  <c r="B3204" i="1"/>
  <c r="C3204" i="1"/>
  <c r="A4175" i="1"/>
  <c r="B4175" i="1"/>
  <c r="C4175" i="1"/>
  <c r="A24359" i="1"/>
  <c r="B24359" i="1"/>
  <c r="C24359" i="1"/>
  <c r="A16101" i="1"/>
  <c r="B16101" i="1"/>
  <c r="C16101" i="1"/>
  <c r="A17196" i="1"/>
  <c r="B17196" i="1"/>
  <c r="C17196" i="1"/>
  <c r="A22097" i="1"/>
  <c r="C22097" i="1"/>
  <c r="A21805" i="1"/>
  <c r="B21805" i="1"/>
  <c r="C21805" i="1"/>
  <c r="A15811" i="1"/>
  <c r="B15811" i="1"/>
  <c r="C15811" i="1"/>
  <c r="A2211" i="1"/>
  <c r="B2211" i="1"/>
  <c r="C2211" i="1"/>
  <c r="A22204" i="1"/>
  <c r="B22204" i="1"/>
  <c r="C22204" i="1"/>
  <c r="A7567" i="1"/>
  <c r="B7567" i="1"/>
  <c r="C7567" i="1"/>
  <c r="A7563" i="1"/>
  <c r="B7563" i="1"/>
  <c r="C7563" i="1"/>
  <c r="A7610" i="1"/>
  <c r="B7610" i="1"/>
  <c r="C7610" i="1"/>
  <c r="A7627" i="1"/>
  <c r="B7627" i="1"/>
  <c r="C7627" i="1"/>
  <c r="A19835" i="1"/>
  <c r="B19835" i="1"/>
  <c r="C19835" i="1"/>
  <c r="A13507" i="1"/>
  <c r="B13507" i="1"/>
  <c r="C13507" i="1"/>
  <c r="A9049" i="1"/>
  <c r="B9049" i="1"/>
  <c r="C9049" i="1"/>
  <c r="A3186" i="1"/>
  <c r="B3186" i="1"/>
  <c r="C3186" i="1"/>
  <c r="A22190" i="1"/>
  <c r="B22190" i="1"/>
  <c r="C22190" i="1"/>
  <c r="A22189" i="1"/>
  <c r="B22189" i="1"/>
  <c r="C22189" i="1"/>
  <c r="A7632" i="1"/>
  <c r="B7632" i="1"/>
  <c r="C7632" i="1"/>
  <c r="A19920" i="1"/>
  <c r="B19920" i="1"/>
  <c r="C19920" i="1"/>
  <c r="A19859" i="1"/>
  <c r="B19859" i="1"/>
  <c r="C19859" i="1"/>
  <c r="A12536" i="1"/>
  <c r="B12536" i="1"/>
  <c r="C12536" i="1"/>
  <c r="A6744" i="1"/>
  <c r="B6744" i="1"/>
  <c r="C6744" i="1"/>
  <c r="A7253" i="1"/>
  <c r="B7253" i="1"/>
  <c r="C7253" i="1"/>
  <c r="A7252" i="1"/>
  <c r="B7252" i="1"/>
  <c r="C7252" i="1"/>
  <c r="A3047" i="1"/>
  <c r="B3047" i="1"/>
  <c r="C3047" i="1"/>
  <c r="A3049" i="1"/>
  <c r="B3049" i="1"/>
  <c r="C3049" i="1"/>
  <c r="A3048" i="1"/>
  <c r="B3048" i="1"/>
  <c r="C3048" i="1"/>
  <c r="A15796" i="1"/>
  <c r="B15796" i="1"/>
  <c r="C15796" i="1"/>
  <c r="A11838" i="1"/>
  <c r="B11838" i="1"/>
  <c r="C11838" i="1"/>
  <c r="A18816" i="1"/>
  <c r="B18816" i="1"/>
  <c r="C18816" i="1"/>
  <c r="A2915" i="1"/>
  <c r="B2915" i="1"/>
  <c r="C2915" i="1"/>
  <c r="A6128" i="1"/>
  <c r="B6128" i="1"/>
  <c r="C6128" i="1"/>
  <c r="A9073" i="1"/>
  <c r="B9073" i="1"/>
  <c r="C9073" i="1"/>
  <c r="A16803" i="1"/>
  <c r="B16803" i="1"/>
  <c r="C16803" i="1"/>
  <c r="A25442" i="1"/>
  <c r="B25442" i="1"/>
  <c r="C25442" i="1"/>
  <c r="A12679" i="1"/>
  <c r="B12679" i="1"/>
  <c r="C12679" i="1"/>
  <c r="A7099" i="1"/>
  <c r="B7099" i="1"/>
  <c r="C7099" i="1"/>
  <c r="A7100" i="1"/>
  <c r="B7100" i="1"/>
  <c r="C7100" i="1"/>
  <c r="A9043" i="1"/>
  <c r="B9043" i="1"/>
  <c r="C9043" i="1"/>
  <c r="A9044" i="1"/>
  <c r="B9044" i="1"/>
  <c r="C9044" i="1"/>
  <c r="A9280" i="1"/>
  <c r="B9280" i="1"/>
  <c r="C9280" i="1"/>
  <c r="A19984" i="1"/>
  <c r="B19984" i="1"/>
  <c r="C19984" i="1"/>
  <c r="A12822" i="1"/>
  <c r="B12822" i="1"/>
  <c r="C12822" i="1"/>
  <c r="A15557" i="1"/>
  <c r="B15557" i="1"/>
  <c r="C15557" i="1"/>
  <c r="A19136" i="1"/>
  <c r="B19136" i="1"/>
  <c r="C19136" i="1"/>
  <c r="A19990" i="1"/>
  <c r="B19990" i="1"/>
  <c r="C19990" i="1"/>
  <c r="A12703" i="1"/>
  <c r="B12703" i="1"/>
  <c r="C12703" i="1"/>
  <c r="A9483" i="1"/>
  <c r="B9483" i="1"/>
  <c r="C9483" i="1"/>
  <c r="A10778" i="1"/>
  <c r="B10778" i="1"/>
  <c r="C10778" i="1"/>
  <c r="A7992" i="1"/>
  <c r="B7992" i="1"/>
  <c r="C7992" i="1"/>
  <c r="A10779" i="1"/>
  <c r="B10779" i="1"/>
  <c r="C10779" i="1"/>
  <c r="A10716" i="1"/>
  <c r="B10716" i="1"/>
  <c r="C10716" i="1"/>
  <c r="A6342" i="1"/>
  <c r="B6342" i="1"/>
  <c r="C6342" i="1"/>
  <c r="A11623" i="1"/>
  <c r="B11623" i="1"/>
  <c r="C11623" i="1"/>
  <c r="A15553" i="1"/>
  <c r="B15553" i="1"/>
  <c r="C15553" i="1"/>
  <c r="A7301" i="1"/>
  <c r="B7301" i="1"/>
  <c r="C7301" i="1"/>
  <c r="A24372" i="1"/>
  <c r="B24372" i="1"/>
  <c r="C24372" i="1"/>
  <c r="A8573" i="1"/>
  <c r="B8573" i="1"/>
  <c r="C8573" i="1"/>
  <c r="A10567" i="1"/>
  <c r="B10567" i="1"/>
  <c r="C10567" i="1"/>
  <c r="A18142" i="1"/>
  <c r="B18142" i="1"/>
  <c r="C18142" i="1"/>
  <c r="A13239" i="1"/>
  <c r="B13239" i="1"/>
  <c r="C13239" i="1"/>
  <c r="A15383" i="1"/>
  <c r="B15383" i="1"/>
  <c r="C15383" i="1"/>
  <c r="A21927" i="1"/>
  <c r="B21927" i="1"/>
  <c r="C21927" i="1"/>
  <c r="A19338" i="1"/>
  <c r="B19338" i="1"/>
  <c r="C19338" i="1"/>
  <c r="A24734" i="1"/>
  <c r="B24734" i="1"/>
  <c r="C24734" i="1"/>
  <c r="A24735" i="1"/>
  <c r="B24735" i="1"/>
  <c r="C24735" i="1"/>
  <c r="A24728" i="1"/>
  <c r="B24728" i="1"/>
  <c r="C24728" i="1"/>
  <c r="A24742" i="1"/>
  <c r="B24742" i="1"/>
  <c r="C24742" i="1"/>
  <c r="A24744" i="1"/>
  <c r="B24744" i="1"/>
  <c r="C24744" i="1"/>
  <c r="A24750" i="1"/>
  <c r="B24750" i="1"/>
  <c r="C24750" i="1"/>
  <c r="A24751" i="1"/>
  <c r="B24751" i="1"/>
  <c r="C24751" i="1"/>
  <c r="A15515" i="1"/>
  <c r="B15515" i="1"/>
  <c r="C15515" i="1"/>
  <c r="A15516" i="1"/>
  <c r="B15516" i="1"/>
  <c r="C15516" i="1"/>
  <c r="A15237" i="1"/>
  <c r="B15237" i="1"/>
  <c r="C15237" i="1"/>
  <c r="A2277" i="1"/>
  <c r="B2277" i="1"/>
  <c r="C2277" i="1"/>
  <c r="A4781" i="1"/>
  <c r="B4781" i="1"/>
  <c r="C4781" i="1"/>
  <c r="A17120" i="1"/>
  <c r="B17120" i="1"/>
  <c r="C17120" i="1"/>
  <c r="A17002" i="1"/>
  <c r="B17002" i="1"/>
  <c r="C17002" i="1"/>
  <c r="A19847" i="1"/>
  <c r="B19847" i="1"/>
  <c r="C19847" i="1"/>
  <c r="A3329" i="1"/>
  <c r="B3329" i="1"/>
  <c r="C3329" i="1"/>
  <c r="A7503" i="1"/>
  <c r="B7503" i="1"/>
  <c r="C7503" i="1"/>
  <c r="A4058" i="1"/>
  <c r="B4058" i="1"/>
  <c r="C4058" i="1"/>
  <c r="A7927" i="1"/>
  <c r="B7927" i="1"/>
  <c r="C7927" i="1"/>
  <c r="A21895" i="1"/>
  <c r="B21895" i="1"/>
  <c r="C21895" i="1"/>
  <c r="A3477" i="1"/>
  <c r="B3477" i="1"/>
  <c r="C3477" i="1"/>
  <c r="A3478" i="1"/>
  <c r="B3478" i="1"/>
  <c r="C3478" i="1"/>
  <c r="A3479" i="1"/>
  <c r="B3479" i="1"/>
  <c r="C3479" i="1"/>
  <c r="A24194" i="1"/>
  <c r="B24194" i="1"/>
  <c r="C24194" i="1"/>
  <c r="A24889" i="1"/>
  <c r="B24889" i="1"/>
  <c r="C24889" i="1"/>
  <c r="A18820" i="1"/>
  <c r="B18820" i="1"/>
  <c r="C18820" i="1"/>
  <c r="A24939" i="1"/>
  <c r="B24939" i="1"/>
  <c r="C24939" i="1"/>
  <c r="A13434" i="1"/>
  <c r="B13434" i="1"/>
  <c r="C13434" i="1"/>
  <c r="A13428" i="1"/>
  <c r="B13428" i="1"/>
  <c r="C13428" i="1"/>
  <c r="A5485" i="1"/>
  <c r="B5485" i="1"/>
  <c r="C5485" i="1"/>
  <c r="A7408" i="1"/>
  <c r="B7408" i="1"/>
  <c r="C7408" i="1"/>
  <c r="A5656" i="1"/>
  <c r="B5656" i="1"/>
  <c r="C5656" i="1"/>
  <c r="A5658" i="1"/>
  <c r="B5658" i="1"/>
  <c r="C5658" i="1"/>
  <c r="A7412" i="1"/>
  <c r="B7412" i="1"/>
  <c r="C7412" i="1"/>
  <c r="A7410" i="1"/>
  <c r="B7410" i="1"/>
  <c r="C7410" i="1"/>
  <c r="A13394" i="1"/>
  <c r="B13394" i="1"/>
  <c r="C13394" i="1"/>
  <c r="A15932" i="1"/>
  <c r="B15932" i="1"/>
  <c r="C15932" i="1"/>
  <c r="A25436" i="1"/>
  <c r="B25436" i="1"/>
  <c r="C25436" i="1"/>
  <c r="A15828" i="1"/>
  <c r="B15828" i="1"/>
  <c r="C15828" i="1"/>
  <c r="A7049" i="1"/>
  <c r="B7049" i="1"/>
  <c r="C7049" i="1"/>
  <c r="A9338" i="1"/>
  <c r="B9338" i="1"/>
  <c r="C9338" i="1"/>
  <c r="A9339" i="1"/>
  <c r="B9339" i="1"/>
  <c r="C9339" i="1"/>
  <c r="A18806" i="1"/>
  <c r="B18806" i="1"/>
  <c r="C18806" i="1"/>
  <c r="A15961" i="1"/>
  <c r="B15961" i="1"/>
  <c r="C15961" i="1"/>
  <c r="A15957" i="1"/>
  <c r="B15957" i="1"/>
  <c r="C15957" i="1"/>
  <c r="A22932" i="1"/>
  <c r="B22932" i="1"/>
  <c r="C22932" i="1"/>
  <c r="A7804" i="1"/>
  <c r="B7804" i="1"/>
  <c r="C7804" i="1"/>
  <c r="A8605" i="1"/>
  <c r="B8605" i="1"/>
  <c r="C8605" i="1"/>
  <c r="A4341" i="1"/>
  <c r="B4341" i="1"/>
  <c r="C4341" i="1"/>
  <c r="A16449" i="1"/>
  <c r="B16449" i="1"/>
  <c r="C16449" i="1"/>
  <c r="A25398" i="1"/>
  <c r="B25398" i="1"/>
  <c r="C25398" i="1"/>
  <c r="A22649" i="1"/>
  <c r="B22649" i="1"/>
  <c r="C22649" i="1"/>
  <c r="A4445" i="1"/>
  <c r="B4445" i="1"/>
  <c r="C4445" i="1"/>
  <c r="A6424" i="1"/>
  <c r="B6424" i="1"/>
  <c r="C6424" i="1"/>
  <c r="A13691" i="1"/>
  <c r="B13691" i="1"/>
  <c r="C13691" i="1"/>
  <c r="A14894" i="1"/>
  <c r="B14894" i="1"/>
  <c r="C14894" i="1"/>
  <c r="A2911" i="1"/>
  <c r="C2911" i="1"/>
  <c r="A4357" i="1"/>
  <c r="B4357" i="1"/>
  <c r="C4357" i="1"/>
  <c r="A4358" i="1"/>
  <c r="B4358" i="1"/>
  <c r="C4358" i="1"/>
  <c r="A7030" i="1"/>
  <c r="B7030" i="1"/>
  <c r="C7030" i="1"/>
  <c r="A13717" i="1"/>
  <c r="B13717" i="1"/>
  <c r="C13717" i="1"/>
  <c r="A7029" i="1"/>
  <c r="B7029" i="1"/>
  <c r="C7029" i="1"/>
  <c r="A15258" i="1"/>
  <c r="C15258" i="1"/>
  <c r="A15554" i="1"/>
  <c r="B15554" i="1"/>
  <c r="C15554" i="1"/>
  <c r="A4453" i="1"/>
  <c r="B4453" i="1"/>
  <c r="C4453" i="1"/>
  <c r="A22793" i="1"/>
  <c r="B22793" i="1"/>
  <c r="C22793" i="1"/>
  <c r="A15243" i="1"/>
  <c r="B15243" i="1"/>
  <c r="C15243" i="1"/>
  <c r="A4007" i="1"/>
  <c r="B4007" i="1"/>
  <c r="C4007" i="1"/>
  <c r="A4078" i="1"/>
  <c r="B4078" i="1"/>
  <c r="C4078" i="1"/>
  <c r="A4008" i="1"/>
  <c r="B4008" i="1"/>
  <c r="C4008" i="1"/>
  <c r="A9654" i="1"/>
  <c r="B9654" i="1"/>
  <c r="C9654" i="1"/>
  <c r="A9658" i="1"/>
  <c r="B9658" i="1"/>
  <c r="C9658" i="1"/>
  <c r="A9659" i="1"/>
  <c r="B9659" i="1"/>
  <c r="C9659" i="1"/>
  <c r="A9660" i="1"/>
  <c r="B9660" i="1"/>
  <c r="C9660" i="1"/>
  <c r="A9653" i="1"/>
  <c r="B9653" i="1"/>
  <c r="C9653" i="1"/>
  <c r="A9655" i="1"/>
  <c r="B9655" i="1"/>
  <c r="C9655" i="1"/>
  <c r="A9656" i="1"/>
  <c r="B9656" i="1"/>
  <c r="C9656" i="1"/>
  <c r="A9657" i="1"/>
  <c r="B9657" i="1"/>
  <c r="C9657" i="1"/>
  <c r="A9661" i="1"/>
  <c r="B9661" i="1"/>
  <c r="C9661" i="1"/>
  <c r="A5746" i="1"/>
  <c r="B5746" i="1"/>
  <c r="C5746" i="1"/>
  <c r="A8963" i="1"/>
  <c r="B8963" i="1"/>
  <c r="C8963" i="1"/>
  <c r="A17194" i="1"/>
  <c r="B17194" i="1"/>
  <c r="C17194" i="1"/>
  <c r="A9278" i="1"/>
  <c r="B9278" i="1"/>
  <c r="C9278" i="1"/>
  <c r="A6023" i="1"/>
  <c r="B6023" i="1"/>
  <c r="C6023" i="1"/>
  <c r="A3852" i="1"/>
  <c r="B3852" i="1"/>
  <c r="C3852" i="1"/>
  <c r="A3843" i="1"/>
  <c r="B3843" i="1"/>
  <c r="C3843" i="1"/>
  <c r="A3844" i="1"/>
  <c r="B3844" i="1"/>
  <c r="C3844" i="1"/>
  <c r="A3845" i="1"/>
  <c r="B3845" i="1"/>
  <c r="C3845" i="1"/>
  <c r="A4052" i="1"/>
  <c r="B4052" i="1"/>
  <c r="C4052" i="1"/>
  <c r="A15286" i="1"/>
  <c r="B15286" i="1"/>
  <c r="C15286" i="1"/>
  <c r="A15285" i="1"/>
  <c r="B15285" i="1"/>
  <c r="C15285" i="1"/>
  <c r="A23761" i="1"/>
  <c r="B23761" i="1"/>
  <c r="C23761" i="1"/>
  <c r="A13842" i="1"/>
  <c r="B13842" i="1"/>
  <c r="C13842" i="1"/>
  <c r="A7457" i="1"/>
  <c r="B7457" i="1"/>
  <c r="C7457" i="1"/>
  <c r="A15540" i="1"/>
  <c r="B15540" i="1"/>
  <c r="C15540" i="1"/>
  <c r="A6754" i="1"/>
  <c r="B6754" i="1"/>
  <c r="C6754" i="1"/>
  <c r="A5831" i="1"/>
  <c r="B5831" i="1"/>
  <c r="C5831" i="1"/>
  <c r="A21796" i="1"/>
  <c r="B21796" i="1"/>
  <c r="C21796" i="1"/>
  <c r="A6257" i="1"/>
  <c r="B6257" i="1"/>
  <c r="C6257" i="1"/>
  <c r="A21795" i="1"/>
  <c r="B21795" i="1"/>
  <c r="C21795" i="1"/>
  <c r="A21802" i="1"/>
  <c r="B21802" i="1"/>
  <c r="C21802" i="1"/>
  <c r="A11550" i="1"/>
  <c r="B11550" i="1"/>
  <c r="C11550" i="1"/>
  <c r="A3189" i="1"/>
  <c r="B3189" i="1"/>
  <c r="C3189" i="1"/>
  <c r="A4805" i="1"/>
  <c r="B4805" i="1"/>
  <c r="C4805" i="1"/>
  <c r="A5832" i="1"/>
  <c r="B5832" i="1"/>
  <c r="C5832" i="1"/>
  <c r="A14887" i="1"/>
  <c r="B14887" i="1"/>
  <c r="C14887" i="1"/>
  <c r="A11573" i="1"/>
  <c r="B11573" i="1"/>
  <c r="C11573" i="1"/>
  <c r="A15808" i="1"/>
  <c r="B15808" i="1"/>
  <c r="C15808" i="1"/>
  <c r="A15799" i="1"/>
  <c r="B15799" i="1"/>
  <c r="C15799" i="1"/>
  <c r="A15800" i="1"/>
  <c r="B15800" i="1"/>
  <c r="C15800" i="1"/>
  <c r="A12712" i="1"/>
  <c r="B12712" i="1"/>
  <c r="C12712" i="1"/>
  <c r="A3175" i="1"/>
  <c r="B3175" i="1"/>
  <c r="C3175" i="1"/>
  <c r="A11580" i="1"/>
  <c r="B11580" i="1"/>
  <c r="C11580" i="1"/>
  <c r="A3044" i="1"/>
  <c r="B3044" i="1"/>
  <c r="C3044" i="1"/>
  <c r="A7122" i="1"/>
  <c r="B7122" i="1"/>
  <c r="C7122" i="1"/>
  <c r="A7116" i="1"/>
  <c r="B7116" i="1"/>
  <c r="C7116" i="1"/>
  <c r="A7117" i="1"/>
  <c r="B7117" i="1"/>
  <c r="C7117" i="1"/>
  <c r="A7121" i="1"/>
  <c r="B7121" i="1"/>
  <c r="C7121" i="1"/>
  <c r="A1289" i="1"/>
  <c r="B1289" i="1"/>
  <c r="C1289" i="1"/>
  <c r="A24944" i="1"/>
  <c r="B24944" i="1"/>
  <c r="C24944" i="1"/>
  <c r="A24908" i="1"/>
  <c r="B24908" i="1"/>
  <c r="C24908" i="1"/>
  <c r="A20756" i="1"/>
  <c r="B20756" i="1"/>
  <c r="C20756" i="1"/>
  <c r="A11532" i="1"/>
  <c r="B11532" i="1"/>
  <c r="C11532" i="1"/>
  <c r="A2" i="1"/>
  <c r="C2" i="1"/>
  <c r="A3" i="1"/>
  <c r="C3" i="1"/>
  <c r="A4" i="1"/>
  <c r="C4" i="1"/>
  <c r="A5" i="1"/>
  <c r="C5" i="1"/>
  <c r="A22257" i="1"/>
  <c r="C22257" i="1"/>
  <c r="A22251" i="1"/>
  <c r="C22251" i="1"/>
  <c r="A22252" i="1"/>
  <c r="C22252" i="1"/>
  <c r="A22253" i="1"/>
  <c r="C22253" i="1"/>
  <c r="A22254" i="1"/>
  <c r="C22254" i="1"/>
  <c r="A22255" i="1"/>
  <c r="C22255" i="1"/>
  <c r="A22256" i="1"/>
  <c r="C22256" i="1"/>
  <c r="A3971" i="1"/>
  <c r="B3971" i="1"/>
  <c r="C3971" i="1"/>
  <c r="A19753" i="1"/>
  <c r="B19753" i="1"/>
  <c r="C19753" i="1"/>
  <c r="A22969" i="1"/>
  <c r="B22969" i="1"/>
  <c r="C22969" i="1"/>
  <c r="A4768" i="1"/>
  <c r="B4768" i="1"/>
  <c r="C4768" i="1"/>
  <c r="A8536" i="1"/>
  <c r="B8536" i="1"/>
  <c r="C8536" i="1"/>
  <c r="A8563" i="1"/>
  <c r="B8563" i="1"/>
  <c r="C8563" i="1"/>
  <c r="A8618" i="1"/>
  <c r="B8618" i="1"/>
  <c r="C8618" i="1"/>
  <c r="A8032" i="1"/>
  <c r="B8032" i="1"/>
  <c r="C8032" i="1"/>
  <c r="A25306" i="1"/>
  <c r="B25306" i="1"/>
  <c r="C25306" i="1"/>
  <c r="A20735" i="1"/>
  <c r="B20735" i="1"/>
  <c r="C20735" i="1"/>
  <c r="A20734" i="1"/>
  <c r="B20734" i="1"/>
  <c r="C20734" i="1"/>
  <c r="A9148" i="1"/>
  <c r="B9148" i="1"/>
  <c r="C9148" i="1"/>
  <c r="A22738" i="1"/>
  <c r="B22738" i="1"/>
  <c r="C22738" i="1"/>
  <c r="A3740" i="1"/>
  <c r="B3740" i="1"/>
  <c r="C3740" i="1"/>
  <c r="A25269" i="1"/>
  <c r="B25269" i="1"/>
  <c r="C25269" i="1"/>
  <c r="A7551" i="1"/>
  <c r="B7551" i="1"/>
  <c r="C7551" i="1"/>
  <c r="A23523" i="1"/>
  <c r="B23523" i="1"/>
  <c r="C23523" i="1"/>
  <c r="A9147" i="1"/>
  <c r="B9147" i="1"/>
  <c r="C9147" i="1"/>
  <c r="A13433" i="1"/>
  <c r="B13433" i="1"/>
  <c r="C13433" i="1"/>
  <c r="A18230" i="1"/>
  <c r="B18230" i="1"/>
  <c r="C18230" i="1"/>
  <c r="A18233" i="1"/>
  <c r="B18233" i="1"/>
  <c r="C18233" i="1"/>
  <c r="A10672" i="1"/>
  <c r="B10672" i="1"/>
  <c r="C10672" i="1"/>
  <c r="A2601" i="1"/>
  <c r="B2601" i="1"/>
  <c r="C2601" i="1"/>
  <c r="A2602" i="1"/>
  <c r="B2602" i="1"/>
  <c r="C2602" i="1"/>
  <c r="A14609" i="1"/>
  <c r="B14609" i="1"/>
  <c r="C14609" i="1"/>
  <c r="A14611" i="1"/>
  <c r="B14611" i="1"/>
  <c r="C14611" i="1"/>
  <c r="A3108" i="1"/>
  <c r="B3108" i="1"/>
  <c r="C3108" i="1"/>
  <c r="A21057" i="1"/>
  <c r="B21057" i="1"/>
  <c r="C21057" i="1"/>
  <c r="A15760" i="1"/>
  <c r="B15760" i="1"/>
  <c r="C15760" i="1"/>
  <c r="A16954" i="1"/>
  <c r="B16954" i="1"/>
  <c r="C16954" i="1"/>
  <c r="A16346" i="1"/>
  <c r="B16346" i="1"/>
  <c r="C16346" i="1"/>
  <c r="A3956" i="1"/>
  <c r="B3956" i="1"/>
  <c r="C3956" i="1"/>
  <c r="A3960" i="1"/>
  <c r="B3960" i="1"/>
  <c r="C3960" i="1"/>
  <c r="A17961" i="1"/>
  <c r="B17961" i="1"/>
  <c r="C17961" i="1"/>
  <c r="A9574" i="1"/>
  <c r="B9574" i="1"/>
  <c r="C9574" i="1"/>
  <c r="A16938" i="1"/>
  <c r="B16938" i="1"/>
  <c r="C16938" i="1"/>
  <c r="A22111" i="1"/>
  <c r="B22111" i="1"/>
  <c r="C22111" i="1"/>
  <c r="A22110" i="1"/>
  <c r="B22110" i="1"/>
  <c r="C22110" i="1"/>
  <c r="A22113" i="1"/>
  <c r="B22113" i="1"/>
  <c r="C22113" i="1"/>
  <c r="A22114" i="1"/>
  <c r="B22114" i="1"/>
  <c r="C22114" i="1"/>
  <c r="A22112" i="1"/>
  <c r="B22112" i="1"/>
  <c r="C22112" i="1"/>
  <c r="A22115" i="1"/>
  <c r="B22115" i="1"/>
  <c r="C22115" i="1"/>
  <c r="A22108" i="1"/>
  <c r="B22108" i="1"/>
  <c r="C22108" i="1"/>
  <c r="A22109" i="1"/>
  <c r="B22109" i="1"/>
  <c r="C22109" i="1"/>
  <c r="A22116" i="1"/>
  <c r="B22116" i="1"/>
  <c r="C22116" i="1"/>
  <c r="A22118" i="1"/>
  <c r="B22118" i="1"/>
  <c r="C22118" i="1"/>
  <c r="A22119" i="1"/>
  <c r="B22119" i="1"/>
  <c r="C22119" i="1"/>
  <c r="A22117" i="1"/>
  <c r="B22117" i="1"/>
  <c r="C22117" i="1"/>
  <c r="A22120" i="1"/>
  <c r="B22120" i="1"/>
  <c r="C22120" i="1"/>
  <c r="A22121" i="1"/>
  <c r="B22121" i="1"/>
  <c r="C22121" i="1"/>
  <c r="A16955" i="1"/>
  <c r="B16955" i="1"/>
  <c r="C16955" i="1"/>
  <c r="A19317" i="1"/>
  <c r="B19317" i="1"/>
  <c r="C19317" i="1"/>
  <c r="A13833" i="1"/>
  <c r="B13833" i="1"/>
  <c r="C13833" i="1"/>
  <c r="A14002" i="1"/>
  <c r="B14002" i="1"/>
  <c r="C14002" i="1"/>
  <c r="A18356" i="1"/>
  <c r="C18356" i="1"/>
  <c r="A18352" i="1"/>
  <c r="C18352" i="1"/>
  <c r="A18357" i="1"/>
  <c r="C18357" i="1"/>
  <c r="A21508" i="1"/>
  <c r="B21508" i="1"/>
  <c r="C21508" i="1"/>
  <c r="A11333" i="1"/>
  <c r="B11333" i="1"/>
  <c r="C11333" i="1"/>
  <c r="A11331" i="1"/>
  <c r="B11331" i="1"/>
  <c r="C11331" i="1"/>
  <c r="A5662" i="1"/>
  <c r="B5662" i="1"/>
  <c r="C5662" i="1"/>
  <c r="A24101" i="1"/>
  <c r="B24101" i="1"/>
  <c r="C24101" i="1"/>
  <c r="A16945" i="1"/>
  <c r="B16945" i="1"/>
  <c r="C16945" i="1"/>
  <c r="A13677" i="1"/>
  <c r="B13677" i="1"/>
  <c r="C13677" i="1"/>
  <c r="A6827" i="1"/>
  <c r="B6827" i="1"/>
  <c r="C6827" i="1"/>
  <c r="A2504" i="1"/>
  <c r="B2504" i="1"/>
  <c r="C2504" i="1"/>
  <c r="A19663" i="1"/>
  <c r="B19663" i="1"/>
  <c r="C19663" i="1"/>
  <c r="A19664" i="1"/>
  <c r="B19664" i="1"/>
  <c r="C19664" i="1"/>
  <c r="A19665" i="1"/>
  <c r="B19665" i="1"/>
  <c r="C19665" i="1"/>
  <c r="A14701" i="1"/>
  <c r="B14701" i="1"/>
  <c r="C14701" i="1"/>
  <c r="A14700" i="1"/>
  <c r="B14700" i="1"/>
  <c r="C14700" i="1"/>
  <c r="A14682" i="1"/>
  <c r="B14682" i="1"/>
  <c r="C14682" i="1"/>
  <c r="A14681" i="1"/>
  <c r="B14681" i="1"/>
  <c r="C14681" i="1"/>
  <c r="A3282" i="1"/>
  <c r="B3282" i="1"/>
  <c r="C3282" i="1"/>
  <c r="A3283" i="1"/>
  <c r="B3283" i="1"/>
  <c r="C3283" i="1"/>
  <c r="A3284" i="1"/>
  <c r="B3284" i="1"/>
  <c r="C3284" i="1"/>
  <c r="A3285" i="1"/>
  <c r="B3285" i="1"/>
  <c r="C3285" i="1"/>
  <c r="A3286" i="1"/>
  <c r="B3286" i="1"/>
  <c r="C3286" i="1"/>
  <c r="A15032" i="1"/>
  <c r="B15032" i="1"/>
  <c r="C15032" i="1"/>
  <c r="A15028" i="1"/>
  <c r="B15028" i="1"/>
  <c r="C15028" i="1"/>
  <c r="A15027" i="1"/>
  <c r="B15027" i="1"/>
  <c r="C15027" i="1"/>
  <c r="A15030" i="1"/>
  <c r="B15030" i="1"/>
  <c r="C15030" i="1"/>
  <c r="A1424" i="1"/>
  <c r="B1424" i="1"/>
  <c r="C1424" i="1"/>
  <c r="A8762" i="1"/>
  <c r="B8762" i="1"/>
  <c r="C8762" i="1"/>
  <c r="A23102" i="1"/>
  <c r="B23102" i="1"/>
  <c r="C23102" i="1"/>
  <c r="A7249" i="1"/>
  <c r="B7249" i="1"/>
  <c r="C7249" i="1"/>
  <c r="A10291" i="1"/>
  <c r="B10291" i="1"/>
  <c r="C10291" i="1"/>
  <c r="A15048" i="1"/>
  <c r="B15048" i="1"/>
  <c r="C15048" i="1"/>
  <c r="A4237" i="1"/>
  <c r="B4237" i="1"/>
  <c r="C4237" i="1"/>
  <c r="A15040" i="1"/>
  <c r="B15040" i="1"/>
  <c r="C15040" i="1"/>
  <c r="A1307" i="1"/>
  <c r="B1307" i="1"/>
  <c r="C1307" i="1"/>
  <c r="A2543" i="1"/>
  <c r="B2543" i="1"/>
  <c r="C2543" i="1"/>
  <c r="A2541" i="1"/>
  <c r="B2541" i="1"/>
  <c r="C2541" i="1"/>
  <c r="A2526" i="1"/>
  <c r="B2526" i="1"/>
  <c r="C2526" i="1"/>
  <c r="A10126" i="1"/>
  <c r="B10126" i="1"/>
  <c r="C10126" i="1"/>
  <c r="A17726" i="1"/>
  <c r="B17726" i="1"/>
  <c r="C17726" i="1"/>
  <c r="A6735" i="1"/>
  <c r="B6735" i="1"/>
  <c r="C6735" i="1"/>
  <c r="A1783" i="1"/>
  <c r="B1783" i="1"/>
  <c r="C1783" i="1"/>
  <c r="A15031" i="1"/>
  <c r="B15031" i="1"/>
  <c r="C15031" i="1"/>
  <c r="A15033" i="1"/>
  <c r="B15033" i="1"/>
  <c r="C15033" i="1"/>
  <c r="A15026" i="1"/>
  <c r="B15026" i="1"/>
  <c r="C15026" i="1"/>
  <c r="A15029" i="1"/>
  <c r="B15029" i="1"/>
  <c r="C15029" i="1"/>
  <c r="A14604" i="1"/>
  <c r="B14604" i="1"/>
  <c r="C14604" i="1"/>
  <c r="A14603" i="1"/>
  <c r="B14603" i="1"/>
  <c r="C14603" i="1"/>
  <c r="A14601" i="1"/>
  <c r="B14601" i="1"/>
  <c r="C14601" i="1"/>
  <c r="A14602" i="1"/>
  <c r="B14602" i="1"/>
  <c r="C14602" i="1"/>
  <c r="A16521" i="1"/>
  <c r="B16521" i="1"/>
  <c r="C16521" i="1"/>
  <c r="A6719" i="1"/>
  <c r="B6719" i="1"/>
  <c r="C6719" i="1"/>
  <c r="A19207" i="1"/>
  <c r="B19207" i="1"/>
  <c r="C19207" i="1"/>
  <c r="A16877" i="1"/>
  <c r="B16877" i="1"/>
  <c r="C16877" i="1"/>
  <c r="A2925" i="1"/>
  <c r="B2925" i="1"/>
  <c r="C2925" i="1"/>
  <c r="A2546" i="1"/>
  <c r="B2546" i="1"/>
  <c r="C2546" i="1"/>
  <c r="A23856" i="1"/>
  <c r="B23856" i="1"/>
  <c r="C23856" i="1"/>
  <c r="A23857" i="1"/>
  <c r="B23857" i="1"/>
  <c r="C23857" i="1"/>
  <c r="A22259" i="1"/>
  <c r="B22259" i="1"/>
  <c r="C22259" i="1"/>
  <c r="A18553" i="1"/>
  <c r="B18553" i="1"/>
  <c r="C18553" i="1"/>
  <c r="A6624" i="1"/>
  <c r="B6624" i="1"/>
  <c r="C6624" i="1"/>
  <c r="A11899" i="1"/>
  <c r="B11899" i="1"/>
  <c r="C11899" i="1"/>
  <c r="A9698" i="1"/>
  <c r="B9698" i="1"/>
  <c r="C9698" i="1"/>
  <c r="A9697" i="1"/>
  <c r="B9697" i="1"/>
  <c r="C9697" i="1"/>
  <c r="A3219" i="1"/>
  <c r="B3219" i="1"/>
  <c r="C3219" i="1"/>
  <c r="A24175" i="1"/>
  <c r="B24175" i="1"/>
  <c r="C24175" i="1"/>
  <c r="A14891" i="1"/>
  <c r="B14891" i="1"/>
  <c r="C14891" i="1"/>
  <c r="A19321" i="1"/>
  <c r="B19321" i="1"/>
  <c r="C19321" i="1"/>
  <c r="A22068" i="1"/>
  <c r="B22068" i="1"/>
  <c r="C22068" i="1"/>
  <c r="A16402" i="1"/>
  <c r="B16402" i="1"/>
  <c r="C16402" i="1"/>
  <c r="A16401" i="1"/>
  <c r="B16401" i="1"/>
  <c r="C16401" i="1"/>
  <c r="A16400" i="1"/>
  <c r="B16400" i="1"/>
  <c r="C16400" i="1"/>
  <c r="A16426" i="1"/>
  <c r="B16426" i="1"/>
  <c r="C16426" i="1"/>
  <c r="A10" i="1"/>
  <c r="B10" i="1"/>
  <c r="C10" i="1"/>
  <c r="A16944" i="1"/>
  <c r="B16944" i="1"/>
  <c r="C16944" i="1"/>
  <c r="A4218" i="1"/>
  <c r="B4218" i="1"/>
  <c r="C4218" i="1"/>
  <c r="A8372" i="1"/>
  <c r="B8372" i="1"/>
  <c r="C8372" i="1"/>
  <c r="A10007" i="1"/>
  <c r="B10007" i="1"/>
  <c r="C10007" i="1"/>
  <c r="A12683" i="1"/>
  <c r="B12683" i="1"/>
  <c r="C12683" i="1"/>
  <c r="A6929" i="1"/>
  <c r="B6929" i="1"/>
  <c r="C6929" i="1"/>
  <c r="A21607" i="1"/>
  <c r="B21607" i="1"/>
  <c r="C21607" i="1"/>
  <c r="A1968" i="1"/>
  <c r="B1968" i="1"/>
  <c r="C1968" i="1"/>
  <c r="A6837" i="1"/>
  <c r="B6837" i="1"/>
  <c r="C6837" i="1"/>
  <c r="A6838" i="1"/>
  <c r="B6838" i="1"/>
  <c r="C6838" i="1"/>
  <c r="A6846" i="1"/>
  <c r="B6846" i="1"/>
  <c r="C6846" i="1"/>
  <c r="A18043" i="1"/>
  <c r="B18043" i="1"/>
  <c r="C18043" i="1"/>
  <c r="A16994" i="1"/>
  <c r="B16994" i="1"/>
  <c r="C16994" i="1"/>
  <c r="A5742" i="1"/>
  <c r="B5742" i="1"/>
  <c r="C5742" i="1"/>
  <c r="A11929" i="1"/>
  <c r="B11929" i="1"/>
  <c r="C11929" i="1"/>
  <c r="A6880" i="1"/>
  <c r="B6880" i="1"/>
  <c r="C6880" i="1"/>
  <c r="A16561" i="1"/>
  <c r="B16561" i="1"/>
  <c r="C16561" i="1"/>
  <c r="A4251" i="1"/>
  <c r="B4251" i="1"/>
  <c r="C4251" i="1"/>
  <c r="A4250" i="1"/>
  <c r="B4250" i="1"/>
  <c r="C4250" i="1"/>
  <c r="A4253" i="1"/>
  <c r="B4253" i="1"/>
  <c r="C4253" i="1"/>
  <c r="A22984" i="1"/>
  <c r="B22984" i="1"/>
  <c r="C22984" i="1"/>
  <c r="A23291" i="1"/>
  <c r="C23291" i="1"/>
  <c r="A16209" i="1"/>
  <c r="B16209" i="1"/>
  <c r="C16209" i="1"/>
  <c r="A19337" i="1"/>
  <c r="B19337" i="1"/>
  <c r="C19337" i="1"/>
  <c r="A11166" i="1"/>
  <c r="B11166" i="1"/>
  <c r="C11166" i="1"/>
  <c r="A11167" i="1"/>
  <c r="B11167" i="1"/>
  <c r="C11167" i="1"/>
  <c r="A4700" i="1"/>
  <c r="B4700" i="1"/>
  <c r="C4700" i="1"/>
  <c r="A4701" i="1"/>
  <c r="B4701" i="1"/>
  <c r="C4701" i="1"/>
  <c r="A20459" i="1"/>
  <c r="B20459" i="1"/>
  <c r="C20459" i="1"/>
  <c r="A20457" i="1"/>
  <c r="B20457" i="1"/>
  <c r="C20457" i="1"/>
  <c r="A15132" i="1"/>
  <c r="B15132" i="1"/>
  <c r="C15132" i="1"/>
  <c r="A15473" i="1"/>
  <c r="B15473" i="1"/>
  <c r="C15473" i="1"/>
  <c r="A23777" i="1"/>
  <c r="B23777" i="1"/>
  <c r="C23777" i="1"/>
  <c r="A21429" i="1"/>
  <c r="B21429" i="1"/>
  <c r="C21429" i="1"/>
  <c r="A14357" i="1"/>
  <c r="B14357" i="1"/>
  <c r="C14357" i="1"/>
  <c r="A6464" i="1"/>
  <c r="B6464" i="1"/>
  <c r="C6464" i="1"/>
  <c r="A6463" i="1"/>
  <c r="B6463" i="1"/>
  <c r="C6463" i="1"/>
  <c r="A13757" i="1"/>
  <c r="B13757" i="1"/>
  <c r="C13757" i="1"/>
  <c r="A6486" i="1"/>
  <c r="B6486" i="1"/>
  <c r="C6486" i="1"/>
  <c r="A19349" i="1"/>
  <c r="B19349" i="1"/>
  <c r="C19349" i="1"/>
  <c r="A19348" i="1"/>
  <c r="B19348" i="1"/>
  <c r="C19348" i="1"/>
  <c r="A19347" i="1"/>
  <c r="B19347" i="1"/>
  <c r="C19347" i="1"/>
  <c r="A19346" i="1"/>
  <c r="B19346" i="1"/>
  <c r="C19346" i="1"/>
  <c r="A5670" i="1"/>
  <c r="B5670" i="1"/>
  <c r="C5670" i="1"/>
  <c r="A20227" i="1"/>
  <c r="B20227" i="1"/>
  <c r="C20227" i="1"/>
  <c r="A15084" i="1"/>
  <c r="B15084" i="1"/>
  <c r="C15084" i="1"/>
  <c r="A15097" i="1"/>
  <c r="B15097" i="1"/>
  <c r="C15097" i="1"/>
  <c r="A15096" i="1"/>
  <c r="B15096" i="1"/>
  <c r="C15096" i="1"/>
  <c r="A15089" i="1"/>
  <c r="B15089" i="1"/>
  <c r="C15089" i="1"/>
  <c r="A15081" i="1"/>
  <c r="B15081" i="1"/>
  <c r="C15081" i="1"/>
  <c r="A13866" i="1"/>
  <c r="B13866" i="1"/>
  <c r="C13866" i="1"/>
  <c r="A23776" i="1"/>
  <c r="B23776" i="1"/>
  <c r="C23776" i="1"/>
  <c r="A21428" i="1"/>
  <c r="B21428" i="1"/>
  <c r="C21428" i="1"/>
  <c r="A6734" i="1"/>
  <c r="B6734" i="1"/>
  <c r="C6734" i="1"/>
  <c r="A25710" i="1"/>
  <c r="B25710" i="1"/>
  <c r="C25710" i="1"/>
  <c r="A11759" i="1"/>
  <c r="B11759" i="1"/>
  <c r="C11759" i="1"/>
  <c r="A18818" i="1"/>
  <c r="B18818" i="1"/>
  <c r="C18818" i="1"/>
  <c r="A18782" i="1"/>
  <c r="B18782" i="1"/>
  <c r="C18782" i="1"/>
  <c r="A11569" i="1"/>
  <c r="B11569" i="1"/>
  <c r="C11569" i="1"/>
  <c r="A12127" i="1"/>
  <c r="B12127" i="1"/>
  <c r="C12127" i="1"/>
  <c r="A15827" i="1"/>
  <c r="B15827" i="1"/>
  <c r="C15827" i="1"/>
  <c r="A8997" i="1"/>
  <c r="B8997" i="1"/>
  <c r="C8997" i="1"/>
  <c r="A8996" i="1"/>
  <c r="B8996" i="1"/>
  <c r="C8996" i="1"/>
  <c r="A3199" i="1"/>
  <c r="B3199" i="1"/>
  <c r="C3199" i="1"/>
  <c r="A3200" i="1"/>
  <c r="B3200" i="1"/>
  <c r="C3200" i="1"/>
  <c r="A3201" i="1"/>
  <c r="B3201" i="1"/>
  <c r="C3201" i="1"/>
  <c r="A3202" i="1"/>
  <c r="B3202" i="1"/>
  <c r="C3202" i="1"/>
  <c r="A7219" i="1"/>
  <c r="B7219" i="1"/>
  <c r="C7219" i="1"/>
  <c r="A15242" i="1"/>
  <c r="B15242" i="1"/>
  <c r="C15242" i="1"/>
  <c r="A20442" i="1"/>
  <c r="B20442" i="1"/>
  <c r="C20442" i="1"/>
  <c r="A15280" i="1"/>
  <c r="B15280" i="1"/>
  <c r="C15280" i="1"/>
  <c r="A6223" i="1"/>
  <c r="B6223" i="1"/>
  <c r="C6223" i="1"/>
  <c r="A12211" i="1"/>
  <c r="B12211" i="1"/>
  <c r="C12211" i="1"/>
  <c r="A20358" i="1"/>
  <c r="B20358" i="1"/>
  <c r="C20358" i="1"/>
  <c r="A8007" i="1"/>
  <c r="B8007" i="1"/>
  <c r="C8007" i="1"/>
  <c r="A8009" i="1"/>
  <c r="B8009" i="1"/>
  <c r="C8009" i="1"/>
  <c r="A1657" i="1"/>
  <c r="B1657" i="1"/>
  <c r="C1657" i="1"/>
  <c r="A1658" i="1"/>
  <c r="B1658" i="1"/>
  <c r="C1658" i="1"/>
  <c r="A16211" i="1"/>
  <c r="B16211" i="1"/>
  <c r="C16211" i="1"/>
  <c r="A16231" i="1"/>
  <c r="B16231" i="1"/>
  <c r="C16231" i="1"/>
  <c r="A16751" i="1"/>
  <c r="B16751" i="1"/>
  <c r="C16751" i="1"/>
  <c r="A12295" i="1"/>
  <c r="B12295" i="1"/>
  <c r="C12295" i="1"/>
  <c r="A25285" i="1"/>
  <c r="B25285" i="1"/>
  <c r="C25285" i="1"/>
  <c r="A7144" i="1"/>
  <c r="B7144" i="1"/>
  <c r="C7144" i="1"/>
  <c r="A4343" i="1"/>
  <c r="B4343" i="1"/>
  <c r="C4343" i="1"/>
  <c r="A16394" i="1"/>
  <c r="B16394" i="1"/>
  <c r="C16394" i="1"/>
  <c r="A582" i="1"/>
  <c r="B582" i="1"/>
  <c r="C582" i="1"/>
  <c r="A20454" i="1"/>
  <c r="B20454" i="1"/>
  <c r="C20454" i="1"/>
  <c r="A9282" i="1"/>
  <c r="B9282" i="1"/>
  <c r="C9282" i="1"/>
  <c r="A17966" i="1"/>
  <c r="B17966" i="1"/>
  <c r="C17966" i="1"/>
  <c r="A16497" i="1"/>
  <c r="B16497" i="1"/>
  <c r="C16497" i="1"/>
  <c r="A1342" i="1"/>
  <c r="B1342" i="1"/>
  <c r="C1342" i="1"/>
  <c r="A5914" i="1"/>
  <c r="B5914" i="1"/>
  <c r="C5914" i="1"/>
  <c r="A1811" i="1"/>
  <c r="B1811" i="1"/>
  <c r="C1811" i="1"/>
  <c r="A8433" i="1"/>
  <c r="B8433" i="1"/>
  <c r="C8433" i="1"/>
  <c r="A25490" i="1"/>
  <c r="B25490" i="1"/>
  <c r="C25490" i="1"/>
  <c r="A22155" i="1"/>
  <c r="B22155" i="1"/>
  <c r="C22155" i="1"/>
  <c r="A3798" i="1"/>
  <c r="B3798" i="1"/>
  <c r="C3798" i="1"/>
  <c r="A1830" i="1"/>
  <c r="B1830" i="1"/>
  <c r="C1830" i="1"/>
  <c r="A25248" i="1"/>
  <c r="B25248" i="1"/>
  <c r="C25248" i="1"/>
  <c r="A9093" i="1"/>
  <c r="B9093" i="1"/>
  <c r="C9093" i="1"/>
  <c r="A4045" i="1"/>
  <c r="B4045" i="1"/>
  <c r="C4045" i="1"/>
  <c r="A1916" i="1"/>
  <c r="B1916" i="1"/>
  <c r="C1916" i="1"/>
  <c r="A5271" i="1"/>
  <c r="B5271" i="1"/>
  <c r="C5271" i="1"/>
  <c r="A18049" i="1"/>
  <c r="B18049" i="1"/>
  <c r="C18049" i="1"/>
  <c r="A12044" i="1"/>
  <c r="B12044" i="1"/>
  <c r="C12044" i="1"/>
  <c r="A1121" i="1"/>
  <c r="B1121" i="1"/>
  <c r="C1121" i="1"/>
  <c r="A20696" i="1"/>
  <c r="B20696" i="1"/>
  <c r="C20696" i="1"/>
  <c r="A15133" i="1"/>
  <c r="B15133" i="1"/>
  <c r="C15133" i="1"/>
  <c r="A15936" i="1"/>
  <c r="B15936" i="1"/>
  <c r="C15936" i="1"/>
  <c r="A22639" i="1"/>
  <c r="B22639" i="1"/>
  <c r="C22639" i="1"/>
  <c r="A18071" i="1"/>
  <c r="B18071" i="1"/>
  <c r="C18071" i="1"/>
  <c r="A22638" i="1"/>
  <c r="B22638" i="1"/>
  <c r="C22638" i="1"/>
  <c r="A18067" i="1"/>
  <c r="B18067" i="1"/>
  <c r="C18067" i="1"/>
  <c r="A15960" i="1"/>
  <c r="B15960" i="1"/>
  <c r="C15960" i="1"/>
  <c r="A15875" i="1"/>
  <c r="B15875" i="1"/>
  <c r="C15875" i="1"/>
  <c r="A18070" i="1"/>
  <c r="B18070" i="1"/>
  <c r="C18070" i="1"/>
  <c r="A18033" i="1"/>
  <c r="B18033" i="1"/>
  <c r="C18033" i="1"/>
  <c r="A18034" i="1"/>
  <c r="B18034" i="1"/>
  <c r="C18034" i="1"/>
  <c r="A16197" i="1"/>
  <c r="B16197" i="1"/>
  <c r="C16197" i="1"/>
  <c r="A16195" i="1"/>
  <c r="B16195" i="1"/>
  <c r="C16195" i="1"/>
  <c r="A12366" i="1"/>
  <c r="B12366" i="1"/>
  <c r="C12366" i="1"/>
  <c r="A956" i="1"/>
  <c r="B956" i="1"/>
  <c r="C956" i="1"/>
  <c r="A18000" i="1"/>
  <c r="B18000" i="1"/>
  <c r="C18000" i="1"/>
  <c r="A20477" i="1"/>
  <c r="B20477" i="1"/>
  <c r="C20477" i="1"/>
  <c r="A20750" i="1"/>
  <c r="B20750" i="1"/>
  <c r="C20750" i="1"/>
  <c r="A19855" i="1"/>
  <c r="B19855" i="1"/>
  <c r="C19855" i="1"/>
  <c r="A13613" i="1"/>
  <c r="B13613" i="1"/>
  <c r="C13613" i="1"/>
  <c r="A7379" i="1"/>
  <c r="B7379" i="1"/>
  <c r="C7379" i="1"/>
  <c r="A13420" i="1"/>
  <c r="B13420" i="1"/>
  <c r="C13420" i="1"/>
  <c r="A13359" i="1"/>
  <c r="B13359" i="1"/>
  <c r="C13359" i="1"/>
  <c r="A9476" i="1"/>
  <c r="B9476" i="1"/>
  <c r="C9476" i="1"/>
  <c r="A13534" i="1"/>
  <c r="B13534" i="1"/>
  <c r="C13534" i="1"/>
  <c r="A6334" i="1"/>
  <c r="B6334" i="1"/>
  <c r="C6334" i="1"/>
  <c r="A16856" i="1"/>
  <c r="B16856" i="1"/>
  <c r="C16856" i="1"/>
  <c r="A11553" i="1"/>
  <c r="B11553" i="1"/>
  <c r="C11553" i="1"/>
  <c r="A4165" i="1"/>
  <c r="B4165" i="1"/>
  <c r="C4165" i="1"/>
  <c r="A4139" i="1"/>
  <c r="B4139" i="1"/>
  <c r="C4139" i="1"/>
  <c r="A4106" i="1"/>
  <c r="B4106" i="1"/>
  <c r="C4106" i="1"/>
  <c r="A4131" i="1"/>
  <c r="B4131" i="1"/>
  <c r="C4131" i="1"/>
  <c r="A3181" i="1"/>
  <c r="B3181" i="1"/>
  <c r="C3181" i="1"/>
  <c r="A12008" i="1"/>
  <c r="B12008" i="1"/>
  <c r="C12008" i="1"/>
  <c r="A12009" i="1"/>
  <c r="B12009" i="1"/>
  <c r="C12009" i="1"/>
  <c r="A9025" i="1"/>
  <c r="B9025" i="1"/>
  <c r="C9025" i="1"/>
  <c r="A19881" i="1"/>
  <c r="B19881" i="1"/>
  <c r="C19881" i="1"/>
  <c r="A21868" i="1"/>
  <c r="B21868" i="1"/>
  <c r="C21868" i="1"/>
  <c r="A8602" i="1"/>
  <c r="B8602" i="1"/>
  <c r="C8602" i="1"/>
  <c r="A11640" i="1"/>
  <c r="B11640" i="1"/>
  <c r="C11640" i="1"/>
  <c r="A17588" i="1"/>
  <c r="B17588" i="1"/>
  <c r="C17588" i="1"/>
  <c r="A22568" i="1"/>
  <c r="B22568" i="1"/>
  <c r="C22568" i="1"/>
  <c r="A772" i="1"/>
  <c r="B772" i="1"/>
  <c r="C772" i="1"/>
  <c r="A21080" i="1"/>
  <c r="B21080" i="1"/>
  <c r="C21080" i="1"/>
  <c r="A17171" i="1"/>
  <c r="B17171" i="1"/>
  <c r="C17171" i="1"/>
  <c r="A17340" i="1"/>
  <c r="B17340" i="1"/>
  <c r="C17340" i="1"/>
  <c r="A7559" i="1"/>
  <c r="B7559" i="1"/>
  <c r="C7559" i="1"/>
  <c r="A14556" i="1"/>
  <c r="B14556" i="1"/>
  <c r="C14556" i="1"/>
  <c r="A11163" i="1"/>
  <c r="B11163" i="1"/>
  <c r="C11163" i="1"/>
  <c r="A24298" i="1"/>
  <c r="B24298" i="1"/>
  <c r="C24298" i="1"/>
  <c r="A8365" i="1"/>
  <c r="B8365" i="1"/>
  <c r="C8365" i="1"/>
  <c r="A3010" i="1"/>
  <c r="B3010" i="1"/>
  <c r="C3010" i="1"/>
  <c r="A22948" i="1"/>
  <c r="B22948" i="1"/>
  <c r="C22948" i="1"/>
  <c r="A9744" i="1"/>
  <c r="B9744" i="1"/>
  <c r="C9744" i="1"/>
  <c r="A20808" i="1"/>
  <c r="B20808" i="1"/>
  <c r="C20808" i="1"/>
  <c r="A307" i="1"/>
  <c r="B307" i="1"/>
  <c r="C307" i="1"/>
  <c r="A3864" i="1"/>
  <c r="B3864" i="1"/>
  <c r="C3864" i="1"/>
  <c r="A16230" i="1"/>
  <c r="B16230" i="1"/>
  <c r="C16230" i="1"/>
  <c r="A18093" i="1"/>
  <c r="B18093" i="1"/>
  <c r="C18093" i="1"/>
  <c r="A18091" i="1"/>
  <c r="B18091" i="1"/>
  <c r="C18091" i="1"/>
  <c r="A18094" i="1"/>
  <c r="B18094" i="1"/>
  <c r="C18094" i="1"/>
  <c r="A18092" i="1"/>
  <c r="B18092" i="1"/>
  <c r="C18092" i="1"/>
  <c r="A20217" i="1"/>
  <c r="B20217" i="1"/>
  <c r="C20217" i="1"/>
  <c r="A4795" i="1"/>
  <c r="B4795" i="1"/>
  <c r="C4795" i="1"/>
  <c r="A23711" i="1"/>
  <c r="B23711" i="1"/>
  <c r="C23711" i="1"/>
  <c r="A23712" i="1"/>
  <c r="B23712" i="1"/>
  <c r="C23712" i="1"/>
  <c r="A23715" i="1"/>
  <c r="B23715" i="1"/>
  <c r="C23715" i="1"/>
  <c r="A18122" i="1"/>
  <c r="B18122" i="1"/>
  <c r="C18122" i="1"/>
  <c r="A20210" i="1"/>
  <c r="B20210" i="1"/>
  <c r="C20210" i="1"/>
  <c r="A18121" i="1"/>
  <c r="B18121" i="1"/>
  <c r="C18121" i="1"/>
  <c r="A23738" i="1"/>
  <c r="B23738" i="1"/>
  <c r="C23738" i="1"/>
  <c r="A19214" i="1"/>
  <c r="B19214" i="1"/>
  <c r="C19214" i="1"/>
  <c r="A15586" i="1"/>
  <c r="B15586" i="1"/>
  <c r="C15586" i="1"/>
  <c r="A15589" i="1"/>
  <c r="B15589" i="1"/>
  <c r="C15589" i="1"/>
  <c r="A9776" i="1"/>
  <c r="B9776" i="1"/>
  <c r="C9776" i="1"/>
  <c r="A9775" i="1"/>
  <c r="B9775" i="1"/>
  <c r="C9775" i="1"/>
  <c r="A9683" i="1"/>
  <c r="B9683" i="1"/>
  <c r="C9683" i="1"/>
  <c r="A20203" i="1"/>
  <c r="B20203" i="1"/>
  <c r="C20203" i="1"/>
  <c r="A18120" i="1"/>
  <c r="B18120" i="1"/>
  <c r="C18120" i="1"/>
  <c r="A23739" i="1"/>
  <c r="B23739" i="1"/>
  <c r="C23739" i="1"/>
  <c r="A13876" i="1"/>
  <c r="B13876" i="1"/>
  <c r="C13876" i="1"/>
  <c r="A10712" i="1"/>
  <c r="B10712" i="1"/>
  <c r="C10712" i="1"/>
  <c r="A10714" i="1"/>
  <c r="B10714" i="1"/>
  <c r="C10714" i="1"/>
  <c r="A15680" i="1"/>
  <c r="B15680" i="1"/>
  <c r="C15680" i="1"/>
  <c r="A12530" i="1"/>
  <c r="B12530" i="1"/>
  <c r="C12530" i="1"/>
  <c r="A6199" i="1"/>
  <c r="B6199" i="1"/>
  <c r="C6199" i="1"/>
  <c r="A24287" i="1"/>
  <c r="B24287" i="1"/>
  <c r="C24287" i="1"/>
  <c r="A21799" i="1"/>
  <c r="B21799" i="1"/>
  <c r="C21799" i="1"/>
  <c r="A3930" i="1"/>
  <c r="B3930" i="1"/>
  <c r="C3930" i="1"/>
  <c r="A22558" i="1"/>
  <c r="B22558" i="1"/>
  <c r="C22558" i="1"/>
  <c r="A3867" i="1"/>
  <c r="B3867" i="1"/>
  <c r="C3867" i="1"/>
  <c r="A22559" i="1"/>
  <c r="B22559" i="1"/>
  <c r="C22559" i="1"/>
  <c r="A12629" i="1"/>
  <c r="B12629" i="1"/>
  <c r="C12629" i="1"/>
  <c r="A3868" i="1"/>
  <c r="B3868" i="1"/>
  <c r="C3868" i="1"/>
  <c r="A21803" i="1"/>
  <c r="B21803" i="1"/>
  <c r="C21803" i="1"/>
  <c r="A21804" i="1"/>
  <c r="B21804" i="1"/>
  <c r="C21804" i="1"/>
  <c r="A9187" i="1"/>
  <c r="B9187" i="1"/>
  <c r="C9187" i="1"/>
  <c r="A12789" i="1"/>
  <c r="B12789" i="1"/>
  <c r="C12789" i="1"/>
  <c r="A12791" i="1"/>
  <c r="B12791" i="1"/>
  <c r="C12791" i="1"/>
  <c r="A12790" i="1"/>
  <c r="B12790" i="1"/>
  <c r="C12790" i="1"/>
  <c r="A12787" i="1"/>
  <c r="B12787" i="1"/>
  <c r="C12787" i="1"/>
  <c r="A6435" i="1"/>
  <c r="B6435" i="1"/>
  <c r="C6435" i="1"/>
  <c r="A18433" i="1"/>
  <c r="B18433" i="1"/>
  <c r="C18433" i="1"/>
  <c r="A3523" i="1"/>
  <c r="B3523" i="1"/>
  <c r="C3523" i="1"/>
  <c r="A13846" i="1"/>
  <c r="B13846" i="1"/>
  <c r="C13846" i="1"/>
  <c r="A2670" i="1"/>
  <c r="B2670" i="1"/>
  <c r="C2670" i="1"/>
  <c r="A12695" i="1"/>
  <c r="B12695" i="1"/>
  <c r="C12695" i="1"/>
  <c r="A7645" i="1"/>
  <c r="B7645" i="1"/>
  <c r="C7645" i="1"/>
  <c r="A7550" i="1"/>
  <c r="B7550" i="1"/>
  <c r="C7550" i="1"/>
  <c r="A15806" i="1"/>
  <c r="B15806" i="1"/>
  <c r="C15806" i="1"/>
  <c r="A12546" i="1"/>
  <c r="B12546" i="1"/>
  <c r="C12546" i="1"/>
  <c r="A11597" i="1"/>
  <c r="B11597" i="1"/>
  <c r="C11597" i="1"/>
  <c r="A22721" i="1"/>
  <c r="B22721" i="1"/>
  <c r="C22721" i="1"/>
  <c r="A3033" i="1"/>
  <c r="B3033" i="1"/>
  <c r="C3033" i="1"/>
  <c r="A23905" i="1"/>
  <c r="B23905" i="1"/>
  <c r="C23905" i="1"/>
  <c r="A23898" i="1"/>
  <c r="B23898" i="1"/>
  <c r="C23898" i="1"/>
  <c r="A15802" i="1"/>
  <c r="B15802" i="1"/>
  <c r="C15802" i="1"/>
  <c r="A10319" i="1"/>
  <c r="B10319" i="1"/>
  <c r="C10319" i="1"/>
  <c r="A18012" i="1"/>
  <c r="B18012" i="1"/>
  <c r="C18012" i="1"/>
  <c r="A6262" i="1"/>
  <c r="B6262" i="1"/>
  <c r="C6262" i="1"/>
  <c r="A4765" i="1"/>
  <c r="B4765" i="1"/>
  <c r="C4765" i="1"/>
  <c r="A4766" i="1"/>
  <c r="B4766" i="1"/>
  <c r="C4766" i="1"/>
  <c r="A4764" i="1"/>
  <c r="B4764" i="1"/>
  <c r="C4764" i="1"/>
  <c r="A22739" i="1"/>
  <c r="B22739" i="1"/>
  <c r="C22739" i="1"/>
  <c r="A22740" i="1"/>
  <c r="B22740" i="1"/>
  <c r="C22740" i="1"/>
  <c r="A3746" i="1"/>
  <c r="B3746" i="1"/>
  <c r="C3746" i="1"/>
  <c r="A3749" i="1"/>
  <c r="B3749" i="1"/>
  <c r="C3749" i="1"/>
  <c r="A18050" i="1"/>
  <c r="B18050" i="1"/>
  <c r="C18050" i="1"/>
  <c r="A18048" i="1"/>
  <c r="B18048" i="1"/>
  <c r="C18048" i="1"/>
  <c r="A24611" i="1"/>
  <c r="B24611" i="1"/>
  <c r="C24611" i="1"/>
  <c r="A8482" i="1"/>
  <c r="B8482" i="1"/>
  <c r="C8482" i="1"/>
  <c r="A23278" i="1"/>
  <c r="B23278" i="1"/>
  <c r="C23278" i="1"/>
  <c r="A15920" i="1"/>
  <c r="B15920" i="1"/>
  <c r="C15920" i="1"/>
  <c r="A23621" i="1"/>
  <c r="B23621" i="1"/>
  <c r="C23621" i="1"/>
  <c r="A15913" i="1"/>
  <c r="B15913" i="1"/>
  <c r="C15913" i="1"/>
  <c r="A12547" i="1"/>
  <c r="B12547" i="1"/>
  <c r="C12547" i="1"/>
  <c r="A23553" i="1"/>
  <c r="B23553" i="1"/>
  <c r="C23553" i="1"/>
  <c r="A15915" i="1"/>
  <c r="B15915" i="1"/>
  <c r="C15915" i="1"/>
  <c r="A15876" i="1"/>
  <c r="B15876" i="1"/>
  <c r="C15876" i="1"/>
  <c r="A14300" i="1"/>
  <c r="B14300" i="1"/>
  <c r="C14300" i="1"/>
  <c r="A14538" i="1"/>
  <c r="B14538" i="1"/>
  <c r="C14538" i="1"/>
  <c r="A14552" i="1"/>
  <c r="B14552" i="1"/>
  <c r="C14552" i="1"/>
  <c r="A22569" i="1"/>
  <c r="B22569" i="1"/>
  <c r="C22569" i="1"/>
  <c r="A16176" i="1"/>
  <c r="B16176" i="1"/>
  <c r="C16176" i="1"/>
  <c r="A15955" i="1"/>
  <c r="B15955" i="1"/>
  <c r="C15955" i="1"/>
  <c r="A15918" i="1"/>
  <c r="B15918" i="1"/>
  <c r="C15918" i="1"/>
  <c r="A3892" i="1"/>
  <c r="B3892" i="1"/>
  <c r="C3892" i="1"/>
  <c r="A71" i="1"/>
  <c r="B71" i="1"/>
  <c r="C71" i="1"/>
  <c r="A13531" i="1"/>
  <c r="B13531" i="1"/>
  <c r="C13531" i="1"/>
  <c r="A6503" i="1"/>
  <c r="B6503" i="1"/>
  <c r="C6503" i="1"/>
  <c r="A7018" i="1"/>
  <c r="B7018" i="1"/>
  <c r="C7018" i="1"/>
  <c r="A22620" i="1"/>
  <c r="B22620" i="1"/>
  <c r="C22620" i="1"/>
  <c r="A4092" i="1"/>
  <c r="B4092" i="1"/>
  <c r="C4092" i="1"/>
  <c r="A23904" i="1"/>
  <c r="B23904" i="1"/>
  <c r="C23904" i="1"/>
  <c r="A23896" i="1"/>
  <c r="B23896" i="1"/>
  <c r="C23896" i="1"/>
  <c r="A614" i="1"/>
  <c r="B614" i="1"/>
  <c r="C614" i="1"/>
  <c r="A2965" i="1"/>
  <c r="B2965" i="1"/>
  <c r="C2965" i="1"/>
  <c r="A11261" i="1"/>
  <c r="B11261" i="1"/>
  <c r="C11261" i="1"/>
  <c r="A9402" i="1"/>
  <c r="B9402" i="1"/>
  <c r="C9402" i="1"/>
  <c r="A9433" i="1"/>
  <c r="B9433" i="1"/>
  <c r="C9433" i="1"/>
  <c r="A9428" i="1"/>
  <c r="B9428" i="1"/>
  <c r="C9428" i="1"/>
  <c r="A9382" i="1"/>
  <c r="B9382" i="1"/>
  <c r="C9382" i="1"/>
  <c r="A16198" i="1"/>
  <c r="B16198" i="1"/>
  <c r="C16198" i="1"/>
  <c r="A16196" i="1"/>
  <c r="B16196" i="1"/>
  <c r="C16196" i="1"/>
  <c r="A14089" i="1"/>
  <c r="B14089" i="1"/>
  <c r="C14089" i="1"/>
  <c r="A7670" i="1"/>
  <c r="B7670" i="1"/>
  <c r="C7670" i="1"/>
  <c r="A7671" i="1"/>
  <c r="B7671" i="1"/>
  <c r="C7671" i="1"/>
  <c r="A7672" i="1"/>
  <c r="B7672" i="1"/>
  <c r="C7672" i="1"/>
  <c r="A2120" i="1"/>
  <c r="B2120" i="1"/>
  <c r="C2120" i="1"/>
  <c r="A2114" i="1"/>
  <c r="B2114" i="1"/>
  <c r="C2114" i="1"/>
  <c r="A6027" i="1"/>
  <c r="B6027" i="1"/>
  <c r="C6027" i="1"/>
  <c r="A4864" i="1"/>
  <c r="B4864" i="1"/>
  <c r="C4864" i="1"/>
  <c r="A15614" i="1"/>
  <c r="B15614" i="1"/>
  <c r="C15614" i="1"/>
  <c r="A8005" i="1"/>
  <c r="B8005" i="1"/>
  <c r="C8005" i="1"/>
  <c r="A18304" i="1"/>
  <c r="B18304" i="1"/>
  <c r="C18304" i="1"/>
  <c r="A14738" i="1"/>
  <c r="B14738" i="1"/>
  <c r="C14738" i="1"/>
  <c r="A15671" i="1"/>
  <c r="B15671" i="1"/>
  <c r="C15671" i="1"/>
  <c r="A1909" i="1"/>
  <c r="B1909" i="1"/>
  <c r="C1909" i="1"/>
  <c r="A9063" i="1"/>
  <c r="B9063" i="1"/>
  <c r="C9063" i="1"/>
  <c r="A15321" i="1"/>
  <c r="B15321" i="1"/>
  <c r="C15321" i="1"/>
  <c r="A15807" i="1"/>
  <c r="B15807" i="1"/>
  <c r="C15807" i="1"/>
  <c r="A15795" i="1"/>
  <c r="B15795" i="1"/>
  <c r="C15795" i="1"/>
  <c r="A7606" i="1"/>
  <c r="B7606" i="1"/>
  <c r="C7606" i="1"/>
  <c r="A9085" i="1"/>
  <c r="B9085" i="1"/>
  <c r="C9085" i="1"/>
  <c r="A19919" i="1"/>
  <c r="B19919" i="1"/>
  <c r="C19919" i="1"/>
  <c r="A3045" i="1"/>
  <c r="B3045" i="1"/>
  <c r="C3045" i="1"/>
  <c r="A7103" i="1"/>
  <c r="B7103" i="1"/>
  <c r="C7103" i="1"/>
  <c r="A21388" i="1"/>
  <c r="B21388" i="1"/>
  <c r="C21388" i="1"/>
  <c r="A7342" i="1"/>
  <c r="B7342" i="1"/>
  <c r="C7342" i="1"/>
  <c r="A7335" i="1"/>
  <c r="B7335" i="1"/>
  <c r="C7335" i="1"/>
  <c r="A16004" i="1"/>
  <c r="B16004" i="1"/>
  <c r="C16004" i="1"/>
  <c r="A7350" i="1"/>
  <c r="B7350" i="1"/>
  <c r="C7350" i="1"/>
  <c r="A7341" i="1"/>
  <c r="B7341" i="1"/>
  <c r="C7341" i="1"/>
  <c r="A7351" i="1"/>
  <c r="B7351" i="1"/>
  <c r="C7351" i="1"/>
  <c r="A7348" i="1"/>
  <c r="B7348" i="1"/>
  <c r="C7348" i="1"/>
  <c r="A7358" i="1"/>
  <c r="B7358" i="1"/>
  <c r="C7358" i="1"/>
  <c r="A17780" i="1"/>
  <c r="B17780" i="1"/>
  <c r="C17780" i="1"/>
  <c r="A599" i="1"/>
  <c r="B599" i="1"/>
  <c r="C599" i="1"/>
  <c r="A598" i="1"/>
  <c r="B598" i="1"/>
  <c r="C598" i="1"/>
  <c r="A6120" i="1"/>
  <c r="B6120" i="1"/>
  <c r="C6120" i="1"/>
  <c r="A6121" i="1"/>
  <c r="B6121" i="1"/>
  <c r="C6121" i="1"/>
  <c r="A6122" i="1"/>
  <c r="B6122" i="1"/>
  <c r="C6122" i="1"/>
  <c r="A6119" i="1"/>
  <c r="B6119" i="1"/>
  <c r="C6119" i="1"/>
  <c r="A15451" i="1"/>
  <c r="B15451" i="1"/>
  <c r="C15451" i="1"/>
  <c r="A6407" i="1"/>
  <c r="B6407" i="1"/>
  <c r="C6407" i="1"/>
  <c r="A6408" i="1"/>
  <c r="B6408" i="1"/>
  <c r="C6408" i="1"/>
  <c r="A6405" i="1"/>
  <c r="B6405" i="1"/>
  <c r="C6405" i="1"/>
  <c r="A6406" i="1"/>
  <c r="B6406" i="1"/>
  <c r="C6406" i="1"/>
  <c r="A25751" i="1"/>
  <c r="B25751" i="1"/>
  <c r="C25751" i="1"/>
  <c r="A3007" i="1"/>
  <c r="B3007" i="1"/>
  <c r="C3007" i="1"/>
  <c r="A228" i="1"/>
  <c r="C228" i="1"/>
  <c r="A25410" i="1"/>
  <c r="B25410" i="1"/>
  <c r="C25410" i="1"/>
  <c r="A5620" i="1"/>
  <c r="B5620" i="1"/>
  <c r="C5620" i="1"/>
  <c r="A3888" i="1"/>
  <c r="B3888" i="1"/>
  <c r="C3888" i="1"/>
  <c r="A14854" i="1"/>
  <c r="B14854" i="1"/>
  <c r="C14854" i="1"/>
  <c r="A14855" i="1"/>
  <c r="B14855" i="1"/>
  <c r="C14855" i="1"/>
  <c r="A14853" i="1"/>
  <c r="B14853" i="1"/>
  <c r="C14853" i="1"/>
  <c r="A14856" i="1"/>
  <c r="B14856" i="1"/>
  <c r="C14856" i="1"/>
  <c r="A10730" i="1"/>
  <c r="B10730" i="1"/>
  <c r="C10730" i="1"/>
  <c r="A24059" i="1"/>
  <c r="B24059" i="1"/>
  <c r="C24059" i="1"/>
  <c r="A10729" i="1"/>
  <c r="B10729" i="1"/>
  <c r="C10729" i="1"/>
  <c r="A4158" i="1"/>
  <c r="B4158" i="1"/>
  <c r="C4158" i="1"/>
  <c r="A18204" i="1"/>
  <c r="B18204" i="1"/>
  <c r="C18204" i="1"/>
  <c r="A15525" i="1"/>
  <c r="B15525" i="1"/>
  <c r="C15525" i="1"/>
  <c r="A25092" i="1"/>
  <c r="B25092" i="1"/>
  <c r="C25092" i="1"/>
  <c r="A24524" i="1"/>
  <c r="B24524" i="1"/>
  <c r="C24524" i="1"/>
  <c r="A24926" i="1"/>
  <c r="B24926" i="1"/>
  <c r="C24926" i="1"/>
  <c r="A11485" i="1"/>
  <c r="B11485" i="1"/>
  <c r="C11485" i="1"/>
  <c r="A4091" i="1"/>
  <c r="B4091" i="1"/>
  <c r="C4091" i="1"/>
  <c r="A10897" i="1"/>
  <c r="B10897" i="1"/>
  <c r="C10897" i="1"/>
  <c r="A9781" i="1"/>
  <c r="B9781" i="1"/>
  <c r="C9781" i="1"/>
  <c r="A7433" i="1"/>
  <c r="B7433" i="1"/>
  <c r="C7433" i="1"/>
  <c r="A7434" i="1"/>
  <c r="B7434" i="1"/>
  <c r="C7434" i="1"/>
  <c r="A22838" i="1"/>
  <c r="B22838" i="1"/>
  <c r="C22838" i="1"/>
  <c r="A12340" i="1"/>
  <c r="B12340" i="1"/>
  <c r="C12340" i="1"/>
  <c r="A2910" i="1"/>
  <c r="B2910" i="1"/>
  <c r="C2910" i="1"/>
  <c r="A25067" i="1"/>
  <c r="B25067" i="1"/>
  <c r="C25067" i="1"/>
  <c r="A2748" i="1"/>
  <c r="B2748" i="1"/>
  <c r="C2748" i="1"/>
  <c r="A3870" i="1"/>
  <c r="B3870" i="1"/>
  <c r="C3870" i="1"/>
  <c r="A3869" i="1"/>
  <c r="B3869" i="1"/>
  <c r="C3869" i="1"/>
  <c r="A6250" i="1"/>
  <c r="B6250" i="1"/>
  <c r="C6250" i="1"/>
  <c r="A584" i="1"/>
  <c r="B584" i="1"/>
  <c r="C584" i="1"/>
  <c r="A6255" i="1"/>
  <c r="B6255" i="1"/>
  <c r="C6255" i="1"/>
  <c r="A6373" i="1"/>
  <c r="B6373" i="1"/>
  <c r="C6373" i="1"/>
  <c r="A6374" i="1"/>
  <c r="B6374" i="1"/>
  <c r="C6374" i="1"/>
  <c r="A6372" i="1"/>
  <c r="B6372" i="1"/>
  <c r="C6372" i="1"/>
  <c r="A6375" i="1"/>
  <c r="B6375" i="1"/>
  <c r="C6375" i="1"/>
  <c r="A6371" i="1"/>
  <c r="B6371" i="1"/>
  <c r="C6371" i="1"/>
  <c r="A18361" i="1"/>
  <c r="C18361" i="1"/>
  <c r="A18351" i="1"/>
  <c r="C18351" i="1"/>
  <c r="A18350" i="1"/>
  <c r="C18350" i="1"/>
  <c r="A324" i="1"/>
  <c r="B324" i="1"/>
  <c r="C324" i="1"/>
  <c r="A19834" i="1"/>
  <c r="B19834" i="1"/>
  <c r="C19834" i="1"/>
  <c r="A4452" i="1"/>
  <c r="B4452" i="1"/>
  <c r="C4452" i="1"/>
  <c r="A9122" i="1"/>
  <c r="B9122" i="1"/>
  <c r="C9122" i="1"/>
  <c r="A9121" i="1"/>
  <c r="B9121" i="1"/>
  <c r="C9121" i="1"/>
  <c r="A16741" i="1"/>
  <c r="B16741" i="1"/>
  <c r="C16741" i="1"/>
  <c r="A21593" i="1"/>
  <c r="B21593" i="1"/>
  <c r="C21593" i="1"/>
  <c r="A25550" i="1"/>
  <c r="C25550" i="1"/>
  <c r="A526" i="1"/>
  <c r="B526" i="1"/>
  <c r="C526" i="1"/>
  <c r="A18355" i="1"/>
  <c r="C18355" i="1"/>
  <c r="A18353" i="1"/>
  <c r="C18353" i="1"/>
  <c r="A18354" i="1"/>
  <c r="C18354" i="1"/>
  <c r="A2060" i="1"/>
  <c r="B2060" i="1"/>
  <c r="C2060" i="1"/>
  <c r="A15789" i="1"/>
  <c r="B15789" i="1"/>
  <c r="C15789" i="1"/>
  <c r="A685" i="1"/>
  <c r="B685" i="1"/>
  <c r="C685" i="1"/>
  <c r="A8239" i="1"/>
  <c r="B8239" i="1"/>
  <c r="C8239" i="1"/>
  <c r="A15912" i="1"/>
  <c r="B15912" i="1"/>
  <c r="C15912" i="1"/>
  <c r="A15911" i="1"/>
  <c r="B15911" i="1"/>
  <c r="C15911" i="1"/>
  <c r="A16609" i="1"/>
  <c r="B16609" i="1"/>
  <c r="C16609" i="1"/>
  <c r="A25205" i="1"/>
  <c r="B25205" i="1"/>
  <c r="C25205" i="1"/>
  <c r="A10325" i="1"/>
  <c r="B10325" i="1"/>
  <c r="C10325" i="1"/>
  <c r="A24917" i="1"/>
  <c r="B24917" i="1"/>
  <c r="C24917" i="1"/>
  <c r="A12691" i="1"/>
  <c r="B12691" i="1"/>
  <c r="C12691" i="1"/>
  <c r="A12690" i="1"/>
  <c r="B12690" i="1"/>
  <c r="C12690" i="1"/>
  <c r="A7149" i="1"/>
  <c r="B7149" i="1"/>
  <c r="C7149" i="1"/>
  <c r="A7148" i="1"/>
  <c r="B7148" i="1"/>
  <c r="C7148" i="1"/>
  <c r="A3835" i="1"/>
  <c r="B3835" i="1"/>
  <c r="C3835" i="1"/>
  <c r="A24918" i="1"/>
  <c r="B24918" i="1"/>
  <c r="C24918" i="1"/>
  <c r="A7143" i="1"/>
  <c r="B7143" i="1"/>
  <c r="C7143" i="1"/>
  <c r="A22611" i="1"/>
  <c r="B22611" i="1"/>
  <c r="C22611" i="1"/>
  <c r="A9415" i="1"/>
  <c r="B9415" i="1"/>
  <c r="C9415" i="1"/>
  <c r="A5723" i="1"/>
  <c r="B5723" i="1"/>
  <c r="C5723" i="1"/>
  <c r="A14222" i="1"/>
  <c r="C14222" i="1"/>
  <c r="A19397" i="1"/>
  <c r="B19397" i="1"/>
  <c r="C19397" i="1"/>
  <c r="A3783" i="1"/>
  <c r="B3783" i="1"/>
  <c r="C3783" i="1"/>
  <c r="A20186" i="1"/>
  <c r="B20186" i="1"/>
  <c r="C20186" i="1"/>
  <c r="A18595" i="1"/>
  <c r="B18595" i="1"/>
  <c r="C18595" i="1"/>
  <c r="A5851" i="1"/>
  <c r="B5851" i="1"/>
  <c r="C5851" i="1"/>
  <c r="A21566" i="1"/>
  <c r="B21566" i="1"/>
  <c r="C21566" i="1"/>
  <c r="A11657" i="1"/>
  <c r="B11657" i="1"/>
  <c r="C11657" i="1"/>
  <c r="A3179" i="1"/>
  <c r="B3179" i="1"/>
  <c r="C3179" i="1"/>
  <c r="A7995" i="1"/>
  <c r="B7995" i="1"/>
  <c r="C7995" i="1"/>
  <c r="A19692" i="1"/>
  <c r="B19692" i="1"/>
  <c r="C19692" i="1"/>
  <c r="A15861" i="1"/>
  <c r="B15861" i="1"/>
  <c r="C15861" i="1"/>
  <c r="A15677" i="1"/>
  <c r="B15677" i="1"/>
  <c r="C15677" i="1"/>
  <c r="A15649" i="1"/>
  <c r="B15649" i="1"/>
  <c r="C15649" i="1"/>
  <c r="A23248" i="1"/>
  <c r="B23248" i="1"/>
  <c r="C23248" i="1"/>
  <c r="A23247" i="1"/>
  <c r="B23247" i="1"/>
  <c r="C23247" i="1"/>
  <c r="A22746" i="1"/>
  <c r="B22746" i="1"/>
  <c r="C22746" i="1"/>
  <c r="A8568" i="1"/>
  <c r="B8568" i="1"/>
  <c r="C8568" i="1"/>
  <c r="A5154" i="1"/>
  <c r="B5154" i="1"/>
  <c r="C5154" i="1"/>
  <c r="A5155" i="1"/>
  <c r="B5155" i="1"/>
  <c r="C5155" i="1"/>
  <c r="A13580" i="1"/>
  <c r="B13580" i="1"/>
  <c r="C13580" i="1"/>
  <c r="A18718" i="1"/>
  <c r="B18718" i="1"/>
  <c r="C18718" i="1"/>
  <c r="A10673" i="1"/>
  <c r="B10673" i="1"/>
  <c r="C10673" i="1"/>
  <c r="A10639" i="1"/>
  <c r="B10639" i="1"/>
  <c r="C10639" i="1"/>
  <c r="A319" i="1"/>
  <c r="B319" i="1"/>
  <c r="C319" i="1"/>
  <c r="A338" i="1"/>
  <c r="B338" i="1"/>
  <c r="C338" i="1"/>
  <c r="A19631" i="1"/>
  <c r="B19631" i="1"/>
  <c r="C19631" i="1"/>
  <c r="A8366" i="1"/>
  <c r="B8366" i="1"/>
  <c r="C8366" i="1"/>
  <c r="A15794" i="1"/>
  <c r="B15794" i="1"/>
  <c r="C15794" i="1"/>
  <c r="A2110" i="1"/>
  <c r="B2110" i="1"/>
  <c r="C2110" i="1"/>
  <c r="A6845" i="1"/>
  <c r="B6845" i="1"/>
  <c r="C6845" i="1"/>
  <c r="A10371" i="1"/>
  <c r="B10371" i="1"/>
  <c r="C10371" i="1"/>
  <c r="A8364" i="1"/>
  <c r="B8364" i="1"/>
  <c r="C8364" i="1"/>
  <c r="A24785" i="1"/>
  <c r="B24785" i="1"/>
  <c r="C24785" i="1"/>
  <c r="A18397" i="1"/>
  <c r="B18397" i="1"/>
  <c r="C18397" i="1"/>
  <c r="A10132" i="1"/>
  <c r="B10132" i="1"/>
  <c r="C10132" i="1"/>
  <c r="A20466" i="1"/>
  <c r="B20466" i="1"/>
  <c r="C20466" i="1"/>
  <c r="A8884" i="1"/>
  <c r="B8884" i="1"/>
  <c r="C8884" i="1"/>
  <c r="A15292" i="1"/>
  <c r="B15292" i="1"/>
  <c r="C15292" i="1"/>
  <c r="A14224" i="1"/>
  <c r="B14224" i="1"/>
  <c r="C14224" i="1"/>
  <c r="A5996" i="1"/>
  <c r="B5996" i="1"/>
  <c r="C5996" i="1"/>
  <c r="A14798" i="1"/>
  <c r="B14798" i="1"/>
  <c r="C14798" i="1"/>
  <c r="A13837" i="1"/>
  <c r="B13837" i="1"/>
  <c r="C13837" i="1"/>
  <c r="A17483" i="1"/>
  <c r="B17483" i="1"/>
  <c r="C17483" i="1"/>
  <c r="A23920" i="1"/>
  <c r="B23920" i="1"/>
  <c r="C23920" i="1"/>
  <c r="A2907" i="1"/>
  <c r="C2907" i="1"/>
  <c r="A16053" i="1"/>
  <c r="B16053" i="1"/>
  <c r="C16053" i="1"/>
  <c r="A21690" i="1"/>
  <c r="B21690" i="1"/>
  <c r="C21690" i="1"/>
  <c r="A780" i="1"/>
  <c r="B780" i="1"/>
  <c r="C780" i="1"/>
  <c r="A21761" i="1"/>
  <c r="B21761" i="1"/>
  <c r="C21761" i="1"/>
  <c r="A1052" i="1"/>
  <c r="B1052" i="1"/>
  <c r="C1052" i="1"/>
  <c r="A1051" i="1"/>
  <c r="B1051" i="1"/>
  <c r="C1051" i="1"/>
  <c r="A1070" i="1"/>
  <c r="B1070" i="1"/>
  <c r="C1070" i="1"/>
  <c r="A1040" i="1"/>
  <c r="B1040" i="1"/>
  <c r="C1040" i="1"/>
  <c r="A1041" i="1"/>
  <c r="B1041" i="1"/>
  <c r="C1041" i="1"/>
  <c r="A1046" i="1"/>
  <c r="B1046" i="1"/>
  <c r="C1046" i="1"/>
  <c r="A1043" i="1"/>
  <c r="B1043" i="1"/>
  <c r="C1043" i="1"/>
  <c r="A8973" i="1"/>
  <c r="B8973" i="1"/>
  <c r="C8973" i="1"/>
  <c r="A1053" i="1"/>
  <c r="B1053" i="1"/>
  <c r="C1053" i="1"/>
  <c r="A1054" i="1"/>
  <c r="B1054" i="1"/>
  <c r="C1054" i="1"/>
  <c r="A3828" i="1"/>
  <c r="C3828" i="1"/>
  <c r="A7154" i="1"/>
  <c r="C7154" i="1"/>
  <c r="A7106" i="1"/>
  <c r="C7106" i="1"/>
  <c r="A12689" i="1"/>
  <c r="B12689" i="1"/>
  <c r="C12689" i="1"/>
  <c r="A311" i="1"/>
  <c r="B311" i="1"/>
  <c r="C311" i="1"/>
  <c r="A4174" i="1"/>
  <c r="B4174" i="1"/>
  <c r="C4174" i="1"/>
  <c r="A12476" i="1"/>
  <c r="B12476" i="1"/>
  <c r="C12476" i="1"/>
  <c r="A17440" i="1"/>
  <c r="B17440" i="1"/>
  <c r="C17440" i="1"/>
  <c r="A12642" i="1"/>
  <c r="B12642" i="1"/>
  <c r="C12642" i="1"/>
  <c r="A13804" i="1"/>
  <c r="B13804" i="1"/>
  <c r="C13804" i="1"/>
  <c r="A12562" i="1"/>
  <c r="B12562" i="1"/>
  <c r="C12562" i="1"/>
  <c r="A4576" i="1"/>
  <c r="B4576" i="1"/>
  <c r="C4576" i="1"/>
  <c r="A5030" i="1"/>
  <c r="B5030" i="1"/>
  <c r="C5030" i="1"/>
  <c r="A2756" i="1"/>
  <c r="B2756" i="1"/>
  <c r="C2756" i="1"/>
  <c r="A15202" i="1"/>
  <c r="B15202" i="1"/>
  <c r="C15202" i="1"/>
  <c r="A15199" i="1"/>
  <c r="B15199" i="1"/>
  <c r="C15199" i="1"/>
  <c r="A15195" i="1"/>
  <c r="B15195" i="1"/>
  <c r="C15195" i="1"/>
  <c r="A15207" i="1"/>
  <c r="B15207" i="1"/>
  <c r="C15207" i="1"/>
  <c r="A15197" i="1"/>
  <c r="B15197" i="1"/>
  <c r="C15197" i="1"/>
  <c r="A13390" i="1"/>
  <c r="B13390" i="1"/>
  <c r="C13390" i="1"/>
  <c r="A13425" i="1"/>
  <c r="B13425" i="1"/>
  <c r="C13425" i="1"/>
  <c r="A8010" i="1"/>
  <c r="B8010" i="1"/>
  <c r="C8010" i="1"/>
  <c r="A8011" i="1"/>
  <c r="B8011" i="1"/>
  <c r="C8011" i="1"/>
  <c r="A24726" i="1"/>
  <c r="B24726" i="1"/>
  <c r="C24726" i="1"/>
  <c r="A23228" i="1"/>
  <c r="B23228" i="1"/>
  <c r="C23228" i="1"/>
  <c r="A25222" i="1"/>
  <c r="B25222" i="1"/>
  <c r="C25222" i="1"/>
  <c r="A10682" i="1"/>
  <c r="B10682" i="1"/>
  <c r="C10682" i="1"/>
  <c r="A6410" i="1"/>
  <c r="B6410" i="1"/>
  <c r="C6410" i="1"/>
  <c r="A23229" i="1"/>
  <c r="B23229" i="1"/>
  <c r="C23229" i="1"/>
  <c r="A21911" i="1"/>
  <c r="B21911" i="1"/>
  <c r="C21911" i="1"/>
  <c r="A18303" i="1"/>
  <c r="B18303" i="1"/>
  <c r="C18303" i="1"/>
  <c r="A22596" i="1"/>
  <c r="B22596" i="1"/>
  <c r="C22596" i="1"/>
  <c r="A13185" i="1"/>
  <c r="B13185" i="1"/>
  <c r="C13185" i="1"/>
  <c r="A3817" i="1"/>
  <c r="B3817" i="1"/>
  <c r="C3817" i="1"/>
  <c r="A12128" i="1"/>
  <c r="B12128" i="1"/>
  <c r="C12128" i="1"/>
  <c r="A3883" i="1"/>
  <c r="B3883" i="1"/>
  <c r="C3883" i="1"/>
  <c r="A13917" i="1"/>
  <c r="B13917" i="1"/>
  <c r="C13917" i="1"/>
  <c r="A17753" i="1"/>
  <c r="B17753" i="1"/>
  <c r="C17753" i="1"/>
  <c r="A14400" i="1"/>
  <c r="B14400" i="1"/>
  <c r="C14400" i="1"/>
  <c r="A6264" i="1"/>
  <c r="B6264" i="1"/>
  <c r="C6264" i="1"/>
  <c r="A24434" i="1"/>
  <c r="B24434" i="1"/>
  <c r="C24434" i="1"/>
  <c r="A15555" i="1"/>
  <c r="B15555" i="1"/>
  <c r="C15555" i="1"/>
  <c r="A23623" i="1"/>
  <c r="B23623" i="1"/>
  <c r="C23623" i="1"/>
  <c r="A21693" i="1"/>
  <c r="B21693" i="1"/>
  <c r="C21693" i="1"/>
  <c r="A21708" i="1"/>
  <c r="B21708" i="1"/>
  <c r="C21708" i="1"/>
  <c r="A81" i="1"/>
  <c r="B81" i="1"/>
  <c r="C81" i="1"/>
  <c r="A21694" i="1"/>
  <c r="B21694" i="1"/>
  <c r="C21694" i="1"/>
  <c r="A21699" i="1"/>
  <c r="B21699" i="1"/>
  <c r="C21699" i="1"/>
  <c r="A21697" i="1"/>
  <c r="B21697" i="1"/>
  <c r="C21697" i="1"/>
  <c r="A21696" i="1"/>
  <c r="B21696" i="1"/>
  <c r="C21696" i="1"/>
  <c r="A21692" i="1"/>
  <c r="B21692" i="1"/>
  <c r="C21692" i="1"/>
  <c r="A21698" i="1"/>
  <c r="B21698" i="1"/>
  <c r="C21698" i="1"/>
  <c r="A21700" i="1"/>
  <c r="B21700" i="1"/>
  <c r="C21700" i="1"/>
  <c r="A22293" i="1"/>
  <c r="B22293" i="1"/>
  <c r="C22293" i="1"/>
  <c r="A21617" i="1"/>
  <c r="B21617" i="1"/>
  <c r="C21617" i="1"/>
  <c r="A22269" i="1"/>
  <c r="B22269" i="1"/>
  <c r="C22269" i="1"/>
  <c r="A16626" i="1"/>
  <c r="B16626" i="1"/>
  <c r="C16626" i="1"/>
  <c r="A25416" i="1"/>
  <c r="B25416" i="1"/>
  <c r="C25416" i="1"/>
  <c r="A18811" i="1"/>
  <c r="B18811" i="1"/>
  <c r="C18811" i="1"/>
  <c r="A2849" i="1"/>
  <c r="B2849" i="1"/>
  <c r="C2849" i="1"/>
  <c r="A13402" i="1"/>
  <c r="B13402" i="1"/>
  <c r="C13402" i="1"/>
  <c r="A25374" i="1"/>
  <c r="B25374" i="1"/>
  <c r="C25374" i="1"/>
  <c r="A8798" i="1"/>
  <c r="B8798" i="1"/>
  <c r="C8798" i="1"/>
  <c r="A8799" i="1"/>
  <c r="B8799" i="1"/>
  <c r="C8799" i="1"/>
  <c r="A20187" i="1"/>
  <c r="B20187" i="1"/>
  <c r="C20187" i="1"/>
  <c r="A12322" i="1"/>
  <c r="B12322" i="1"/>
  <c r="C12322" i="1"/>
  <c r="A19735" i="1"/>
  <c r="B19735" i="1"/>
  <c r="C19735" i="1"/>
  <c r="A16447" i="1"/>
  <c r="B16447" i="1"/>
  <c r="C16447" i="1"/>
  <c r="A15660" i="1"/>
  <c r="B15660" i="1"/>
  <c r="C15660" i="1"/>
  <c r="A6025" i="1"/>
  <c r="B6025" i="1"/>
  <c r="C6025" i="1"/>
  <c r="A13862" i="1"/>
  <c r="B13862" i="1"/>
  <c r="C13862" i="1"/>
  <c r="A14123" i="1"/>
  <c r="B14123" i="1"/>
  <c r="C14123" i="1"/>
  <c r="A980" i="1"/>
  <c r="B980" i="1"/>
  <c r="C980" i="1"/>
  <c r="A7089" i="1"/>
  <c r="B7089" i="1"/>
  <c r="C7089" i="1"/>
  <c r="A3027" i="1"/>
  <c r="B3027" i="1"/>
  <c r="C3027" i="1"/>
  <c r="A1666" i="1"/>
  <c r="B1666" i="1"/>
  <c r="C1666" i="1"/>
  <c r="A25214" i="1"/>
  <c r="B25214" i="1"/>
  <c r="C25214" i="1"/>
  <c r="A1332" i="1"/>
  <c r="B1332" i="1"/>
  <c r="C1332" i="1"/>
  <c r="A15398" i="1"/>
  <c r="B15398" i="1"/>
  <c r="C15398" i="1"/>
  <c r="A9477" i="1"/>
  <c r="B9477" i="1"/>
  <c r="C9477" i="1"/>
  <c r="A9485" i="1"/>
  <c r="B9485" i="1"/>
  <c r="C9485" i="1"/>
  <c r="A16258" i="1"/>
  <c r="B16258" i="1"/>
  <c r="C16258" i="1"/>
  <c r="A18582" i="1"/>
  <c r="B18582" i="1"/>
  <c r="C18582" i="1"/>
  <c r="A8309" i="1"/>
  <c r="B8309" i="1"/>
  <c r="C8309" i="1"/>
  <c r="A22140" i="1"/>
  <c r="B22140" i="1"/>
  <c r="C22140" i="1"/>
  <c r="A1979" i="1"/>
  <c r="B1979" i="1"/>
  <c r="C1979" i="1"/>
  <c r="A12628" i="1"/>
  <c r="B12628" i="1"/>
  <c r="C12628" i="1"/>
  <c r="A16629" i="1"/>
  <c r="B16629" i="1"/>
  <c r="C16629" i="1"/>
  <c r="A16286" i="1"/>
  <c r="B16286" i="1"/>
  <c r="C16286" i="1"/>
  <c r="A16311" i="1"/>
  <c r="B16311" i="1"/>
  <c r="C16311" i="1"/>
  <c r="A22376" i="1"/>
  <c r="B22376" i="1"/>
  <c r="C22376" i="1"/>
  <c r="A21615" i="1"/>
  <c r="B21615" i="1"/>
  <c r="C21615" i="1"/>
  <c r="A22514" i="1"/>
  <c r="B22514" i="1"/>
  <c r="C22514" i="1"/>
  <c r="A15120" i="1"/>
  <c r="B15120" i="1"/>
  <c r="C15120" i="1"/>
  <c r="A21360" i="1"/>
  <c r="B21360" i="1"/>
  <c r="C21360" i="1"/>
  <c r="A21361" i="1"/>
  <c r="B21361" i="1"/>
  <c r="C21361" i="1"/>
  <c r="A55" i="1"/>
  <c r="B55" i="1"/>
  <c r="C55" i="1"/>
  <c r="A57" i="1"/>
  <c r="B57" i="1"/>
  <c r="C57" i="1"/>
  <c r="A54" i="1"/>
  <c r="B54" i="1"/>
  <c r="C54" i="1"/>
  <c r="A56" i="1"/>
  <c r="B56" i="1"/>
  <c r="C56" i="1"/>
  <c r="A8006" i="1"/>
  <c r="B8006" i="1"/>
  <c r="C8006" i="1"/>
  <c r="A8008" i="1"/>
  <c r="B8008" i="1"/>
  <c r="C8008" i="1"/>
  <c r="A22266" i="1"/>
  <c r="B22266" i="1"/>
  <c r="C22266" i="1"/>
  <c r="A21618" i="1"/>
  <c r="B21618" i="1"/>
  <c r="C21618" i="1"/>
  <c r="A10731" i="1"/>
  <c r="B10731" i="1"/>
  <c r="C10731" i="1"/>
  <c r="A19611" i="1"/>
  <c r="B19611" i="1"/>
  <c r="C19611" i="1"/>
  <c r="A22485" i="1"/>
  <c r="B22485" i="1"/>
  <c r="C22485" i="1"/>
  <c r="A22488" i="1"/>
  <c r="B22488" i="1"/>
  <c r="C22488" i="1"/>
  <c r="A7602" i="1"/>
  <c r="C7602" i="1"/>
  <c r="A12788" i="1"/>
  <c r="B12788" i="1"/>
  <c r="C12788" i="1"/>
  <c r="A18411" i="1"/>
  <c r="B18411" i="1"/>
  <c r="C18411" i="1"/>
  <c r="A737" i="1"/>
  <c r="B737" i="1"/>
  <c r="C737" i="1"/>
  <c r="A738" i="1"/>
  <c r="B738" i="1"/>
  <c r="C738" i="1"/>
  <c r="A16245" i="1"/>
  <c r="B16245" i="1"/>
  <c r="C16245" i="1"/>
  <c r="A1580" i="1"/>
  <c r="B1580" i="1"/>
  <c r="C1580" i="1"/>
  <c r="A15925" i="1"/>
  <c r="B15925" i="1"/>
  <c r="C15925" i="1"/>
  <c r="A15924" i="1"/>
  <c r="B15924" i="1"/>
  <c r="C15924" i="1"/>
  <c r="A20446" i="1"/>
  <c r="B20446" i="1"/>
  <c r="C20446" i="1"/>
  <c r="A19054" i="1"/>
  <c r="B19054" i="1"/>
  <c r="C19054" i="1"/>
  <c r="A20185" i="1"/>
  <c r="B20185" i="1"/>
  <c r="C20185" i="1"/>
  <c r="A8923" i="1"/>
  <c r="B8923" i="1"/>
  <c r="C8923" i="1"/>
  <c r="A23906" i="1"/>
  <c r="B23906" i="1"/>
  <c r="C23906" i="1"/>
  <c r="A11973" i="1"/>
  <c r="B11973" i="1"/>
  <c r="C11973" i="1"/>
  <c r="A4054" i="1"/>
  <c r="B4054" i="1"/>
  <c r="C4054" i="1"/>
  <c r="A4056" i="1"/>
  <c r="B4056" i="1"/>
  <c r="C4056" i="1"/>
  <c r="A23726" i="1"/>
  <c r="B23726" i="1"/>
  <c r="C23726" i="1"/>
  <c r="A6029" i="1"/>
  <c r="B6029" i="1"/>
  <c r="C6029" i="1"/>
  <c r="A15889" i="1"/>
  <c r="B15889" i="1"/>
  <c r="C15889" i="1"/>
  <c r="A15893" i="1"/>
  <c r="B15893" i="1"/>
  <c r="C15893" i="1"/>
  <c r="A3009" i="1"/>
  <c r="B3009" i="1"/>
  <c r="C3009" i="1"/>
  <c r="A5274" i="1"/>
  <c r="B5274" i="1"/>
  <c r="C5274" i="1"/>
  <c r="A14648" i="1"/>
  <c r="B14648" i="1"/>
  <c r="C14648" i="1"/>
  <c r="A4280" i="1"/>
  <c r="B4280" i="1"/>
  <c r="C4280" i="1"/>
  <c r="A23153" i="1"/>
  <c r="B23153" i="1"/>
  <c r="C23153" i="1"/>
  <c r="A5378" i="1"/>
  <c r="B5378" i="1"/>
  <c r="C5378" i="1"/>
  <c r="A6028" i="1"/>
  <c r="B6028" i="1"/>
  <c r="C6028" i="1"/>
  <c r="A7508" i="1"/>
  <c r="B7508" i="1"/>
  <c r="C7508" i="1"/>
  <c r="A22794" i="1"/>
  <c r="B22794" i="1"/>
  <c r="C22794" i="1"/>
  <c r="A18614" i="1"/>
  <c r="B18614" i="1"/>
  <c r="C18614" i="1"/>
  <c r="A15874" i="1"/>
  <c r="B15874" i="1"/>
  <c r="C15874" i="1"/>
  <c r="A13779" i="1"/>
  <c r="B13779" i="1"/>
  <c r="C13779" i="1"/>
  <c r="A10692" i="1"/>
  <c r="B10692" i="1"/>
  <c r="C10692" i="1"/>
  <c r="A17053" i="1"/>
  <c r="B17053" i="1"/>
  <c r="C17053" i="1"/>
  <c r="A17052" i="1"/>
  <c r="B17052" i="1"/>
  <c r="C17052" i="1"/>
  <c r="A11123" i="1"/>
  <c r="B11123" i="1"/>
  <c r="C11123" i="1"/>
  <c r="A21608" i="1"/>
  <c r="B21608" i="1"/>
  <c r="C21608" i="1"/>
  <c r="A18754" i="1"/>
  <c r="B18754" i="1"/>
  <c r="C18754" i="1"/>
  <c r="A1007" i="1"/>
  <c r="B1007" i="1"/>
  <c r="C1007" i="1"/>
  <c r="A24294" i="1"/>
  <c r="B24294" i="1"/>
  <c r="C24294" i="1"/>
  <c r="A9510" i="1"/>
  <c r="B9510" i="1"/>
  <c r="C9510" i="1"/>
  <c r="A7437" i="1"/>
  <c r="B7437" i="1"/>
  <c r="C7437" i="1"/>
  <c r="A7803" i="1"/>
  <c r="B7803" i="1"/>
  <c r="C7803" i="1"/>
  <c r="A264" i="1"/>
  <c r="B264" i="1"/>
  <c r="C264" i="1"/>
  <c r="A1030" i="1"/>
  <c r="B1030" i="1"/>
  <c r="C1030" i="1"/>
  <c r="A5287" i="1"/>
  <c r="B5287" i="1"/>
  <c r="C5287" i="1"/>
  <c r="A3803" i="1"/>
  <c r="B3803" i="1"/>
  <c r="C3803" i="1"/>
  <c r="A3802" i="1"/>
  <c r="B3802" i="1"/>
  <c r="C3802" i="1"/>
  <c r="A7529" i="1"/>
  <c r="B7529" i="1"/>
  <c r="C7529" i="1"/>
  <c r="A12742" i="1"/>
  <c r="B12742" i="1"/>
  <c r="C12742" i="1"/>
  <c r="A24994" i="1"/>
  <c r="B24994" i="1"/>
  <c r="C24994" i="1"/>
  <c r="A3052" i="1"/>
  <c r="B3052" i="1"/>
  <c r="C3052" i="1"/>
  <c r="A23679" i="1"/>
  <c r="B23679" i="1"/>
  <c r="C23679" i="1"/>
  <c r="A13379" i="1"/>
  <c r="B13379" i="1"/>
  <c r="C13379" i="1"/>
  <c r="A20941" i="1"/>
  <c r="B20941" i="1"/>
  <c r="C20941" i="1"/>
  <c r="A5954" i="1"/>
  <c r="B5954" i="1"/>
  <c r="C5954" i="1"/>
  <c r="A982" i="1"/>
  <c r="B982" i="1"/>
  <c r="C982" i="1"/>
  <c r="A14935" i="1"/>
  <c r="B14935" i="1"/>
  <c r="C14935" i="1"/>
  <c r="A9087" i="1"/>
  <c r="B9087" i="1"/>
  <c r="C9087" i="1"/>
  <c r="A7605" i="1"/>
  <c r="B7605" i="1"/>
  <c r="C7605" i="1"/>
  <c r="A25452" i="1"/>
  <c r="B25452" i="1"/>
  <c r="C25452" i="1"/>
  <c r="A25453" i="1"/>
  <c r="B25453" i="1"/>
  <c r="C25453" i="1"/>
  <c r="A25454" i="1"/>
  <c r="B25454" i="1"/>
  <c r="C25454" i="1"/>
  <c r="A23568" i="1"/>
  <c r="B23568" i="1"/>
  <c r="C23568" i="1"/>
  <c r="A6994" i="1"/>
  <c r="B6994" i="1"/>
  <c r="C6994" i="1"/>
  <c r="A22149" i="1"/>
  <c r="B22149" i="1"/>
  <c r="C22149" i="1"/>
  <c r="A7163" i="1"/>
  <c r="B7163" i="1"/>
  <c r="C7163" i="1"/>
  <c r="A18730" i="1"/>
  <c r="B18730" i="1"/>
  <c r="C18730" i="1"/>
  <c r="A13748" i="1"/>
  <c r="B13748" i="1"/>
  <c r="C13748" i="1"/>
  <c r="A8226" i="1"/>
  <c r="B8226" i="1"/>
  <c r="C8226" i="1"/>
  <c r="A9949" i="1"/>
  <c r="B9949" i="1"/>
  <c r="C9949" i="1"/>
  <c r="A9941" i="1"/>
  <c r="B9941" i="1"/>
  <c r="C9941" i="1"/>
  <c r="A15666" i="1"/>
  <c r="B15666" i="1"/>
  <c r="C15666" i="1"/>
  <c r="A10889" i="1"/>
  <c r="B10889" i="1"/>
  <c r="C10889" i="1"/>
  <c r="A18388" i="1"/>
  <c r="B18388" i="1"/>
  <c r="C18388" i="1"/>
  <c r="A4816" i="1"/>
  <c r="B4816" i="1"/>
  <c r="C4816" i="1"/>
  <c r="A5527" i="1"/>
  <c r="B5527" i="1"/>
  <c r="C5527" i="1"/>
  <c r="A3475" i="1"/>
  <c r="B3475" i="1"/>
  <c r="C3475" i="1"/>
  <c r="A13571" i="1"/>
  <c r="B13571" i="1"/>
  <c r="C13571" i="1"/>
  <c r="A19100" i="1"/>
  <c r="B19100" i="1"/>
  <c r="C19100" i="1"/>
  <c r="A18316" i="1"/>
  <c r="B18316" i="1"/>
  <c r="C18316" i="1"/>
  <c r="A435" i="1"/>
  <c r="B435" i="1"/>
  <c r="C435" i="1"/>
  <c r="A20704" i="1"/>
  <c r="B20704" i="1"/>
  <c r="C20704" i="1"/>
  <c r="A12709" i="1"/>
  <c r="B12709" i="1"/>
  <c r="C12709" i="1"/>
  <c r="A19860" i="1"/>
  <c r="B19860" i="1"/>
  <c r="C19860" i="1"/>
  <c r="A24588" i="1"/>
  <c r="B24588" i="1"/>
  <c r="C24588" i="1"/>
  <c r="A15879" i="1"/>
  <c r="B15879" i="1"/>
  <c r="C15879" i="1"/>
  <c r="A11888" i="1"/>
  <c r="B11888" i="1"/>
  <c r="C11888" i="1"/>
  <c r="A21790" i="1"/>
  <c r="B21790" i="1"/>
  <c r="C21790" i="1"/>
  <c r="A11920" i="1"/>
  <c r="B11920" i="1"/>
  <c r="C11920" i="1"/>
  <c r="A11918" i="1"/>
  <c r="B11918" i="1"/>
  <c r="C11918" i="1"/>
  <c r="A13530" i="1"/>
  <c r="B13530" i="1"/>
  <c r="C13530" i="1"/>
  <c r="A9794" i="1"/>
  <c r="B9794" i="1"/>
  <c r="C9794" i="1"/>
  <c r="A9411" i="1"/>
  <c r="B9411" i="1"/>
  <c r="C9411" i="1"/>
  <c r="A9394" i="1"/>
  <c r="B9394" i="1"/>
  <c r="C9394" i="1"/>
  <c r="A3400" i="1"/>
  <c r="B3400" i="1"/>
  <c r="C3400" i="1"/>
  <c r="A20464" i="1"/>
  <c r="B20464" i="1"/>
  <c r="C20464" i="1"/>
  <c r="A21979" i="1"/>
  <c r="B21979" i="1"/>
  <c r="C21979" i="1"/>
  <c r="A22511" i="1"/>
  <c r="B22511" i="1"/>
  <c r="C22511" i="1"/>
  <c r="A19899" i="1"/>
  <c r="B19899" i="1"/>
  <c r="C19899" i="1"/>
  <c r="A10760" i="1"/>
  <c r="B10760" i="1"/>
  <c r="C10760" i="1"/>
  <c r="A3076" i="1"/>
  <c r="B3076" i="1"/>
  <c r="C3076" i="1"/>
  <c r="A5382" i="1"/>
  <c r="B5382" i="1"/>
  <c r="C5382" i="1"/>
  <c r="A22970" i="1"/>
  <c r="B22970" i="1"/>
  <c r="C22970" i="1"/>
  <c r="A15025" i="1"/>
  <c r="B15025" i="1"/>
  <c r="C15025" i="1"/>
  <c r="A15024" i="1"/>
  <c r="B15024" i="1"/>
  <c r="C15024" i="1"/>
  <c r="A15022" i="1"/>
  <c r="B15022" i="1"/>
  <c r="C15022" i="1"/>
  <c r="A15023" i="1"/>
  <c r="B15023" i="1"/>
  <c r="C15023" i="1"/>
  <c r="A6036" i="1"/>
  <c r="B6036" i="1"/>
  <c r="C6036" i="1"/>
  <c r="A18842" i="1"/>
  <c r="B18842" i="1"/>
  <c r="C18842" i="1"/>
  <c r="A143" i="1"/>
  <c r="B143" i="1"/>
  <c r="C143" i="1"/>
  <c r="A9957" i="1"/>
  <c r="B9957" i="1"/>
  <c r="C9957" i="1"/>
  <c r="A746" i="1"/>
  <c r="B746" i="1"/>
  <c r="C746" i="1"/>
  <c r="A10428" i="1"/>
  <c r="B10428" i="1"/>
  <c r="C10428" i="1"/>
  <c r="A12420" i="1"/>
  <c r="B12420" i="1"/>
  <c r="C12420" i="1"/>
  <c r="A14930" i="1"/>
  <c r="B14930" i="1"/>
  <c r="C14930" i="1"/>
  <c r="A17621" i="1"/>
  <c r="B17621" i="1"/>
  <c r="C17621" i="1"/>
  <c r="A22567" i="1"/>
  <c r="B22567" i="1"/>
  <c r="C22567" i="1"/>
  <c r="A25646" i="1"/>
  <c r="B25646" i="1"/>
  <c r="C25646" i="1"/>
  <c r="A15782" i="1"/>
  <c r="B15782" i="1"/>
  <c r="C15782" i="1"/>
  <c r="A3711" i="1"/>
  <c r="B3711" i="1"/>
  <c r="C3711" i="1"/>
  <c r="A3732" i="1"/>
  <c r="B3732" i="1"/>
  <c r="C3732" i="1"/>
  <c r="A4762" i="1"/>
  <c r="B4762" i="1"/>
  <c r="C4762" i="1"/>
  <c r="A21002" i="1"/>
  <c r="B21002" i="1"/>
  <c r="C21002" i="1"/>
  <c r="A10888" i="1"/>
  <c r="B10888" i="1"/>
  <c r="C10888" i="1"/>
  <c r="A6826" i="1"/>
  <c r="B6826" i="1"/>
  <c r="C6826" i="1"/>
  <c r="A720" i="1"/>
  <c r="B720" i="1"/>
  <c r="C720" i="1"/>
  <c r="A7532" i="1"/>
  <c r="B7532" i="1"/>
  <c r="C7532" i="1"/>
  <c r="A467" i="1"/>
  <c r="B467" i="1"/>
  <c r="C467" i="1"/>
  <c r="A24436" i="1"/>
  <c r="B24436" i="1"/>
  <c r="C24436" i="1"/>
  <c r="A14792" i="1"/>
  <c r="B14792" i="1"/>
  <c r="C14792" i="1"/>
  <c r="A22177" i="1"/>
  <c r="B22177" i="1"/>
  <c r="C22177" i="1"/>
  <c r="A19267" i="1"/>
  <c r="B19267" i="1"/>
  <c r="C19267" i="1"/>
  <c r="A21389" i="1"/>
  <c r="B21389" i="1"/>
  <c r="C21389" i="1"/>
  <c r="A15717" i="1"/>
  <c r="B15717" i="1"/>
  <c r="C15717" i="1"/>
  <c r="A4463" i="1"/>
  <c r="B4463" i="1"/>
  <c r="C4463" i="1"/>
  <c r="A4466" i="1"/>
  <c r="B4466" i="1"/>
  <c r="C4466" i="1"/>
  <c r="A4464" i="1"/>
  <c r="B4464" i="1"/>
  <c r="C4464" i="1"/>
  <c r="A4465" i="1"/>
  <c r="B4465" i="1"/>
  <c r="C4465" i="1"/>
  <c r="A4462" i="1"/>
  <c r="B4462" i="1"/>
  <c r="C4462" i="1"/>
  <c r="A5943" i="1"/>
  <c r="B5943" i="1"/>
  <c r="C5943" i="1"/>
  <c r="A25654" i="1"/>
  <c r="B25654" i="1"/>
  <c r="C25654" i="1"/>
  <c r="A23858" i="1"/>
  <c r="B23858" i="1"/>
  <c r="C23858" i="1"/>
  <c r="A349" i="1"/>
  <c r="B349" i="1"/>
  <c r="C349" i="1"/>
  <c r="A1895" i="1"/>
  <c r="B1895" i="1"/>
  <c r="C1895" i="1"/>
  <c r="A17644" i="1"/>
  <c r="B17644" i="1"/>
  <c r="C17644" i="1"/>
  <c r="A20686" i="1"/>
  <c r="B20686" i="1"/>
  <c r="C20686" i="1"/>
  <c r="A25755" i="1"/>
  <c r="B25755" i="1"/>
  <c r="C25755" i="1"/>
  <c r="A25754" i="1"/>
  <c r="B25754" i="1"/>
  <c r="C25754" i="1"/>
  <c r="A24625" i="1"/>
  <c r="B24625" i="1"/>
  <c r="C24625" i="1"/>
  <c r="A19145" i="1"/>
  <c r="B19145" i="1"/>
  <c r="C19145" i="1"/>
  <c r="A10646" i="1"/>
  <c r="B10646" i="1"/>
  <c r="C10646" i="1"/>
  <c r="A20682" i="1"/>
  <c r="B20682" i="1"/>
  <c r="C20682" i="1"/>
  <c r="A3952" i="1"/>
  <c r="B3952" i="1"/>
  <c r="C3952" i="1"/>
  <c r="A13847" i="1"/>
  <c r="B13847" i="1"/>
  <c r="C13847" i="1"/>
  <c r="A12477" i="1"/>
  <c r="B12477" i="1"/>
  <c r="C12477" i="1"/>
  <c r="A6705" i="1"/>
  <c r="B6705" i="1"/>
  <c r="C6705" i="1"/>
  <c r="A11889" i="1"/>
  <c r="B11889" i="1"/>
  <c r="C11889" i="1"/>
  <c r="A4699" i="1"/>
  <c r="B4699" i="1"/>
  <c r="C4699" i="1"/>
  <c r="A15549" i="1"/>
  <c r="B15549" i="1"/>
  <c r="C15549" i="1"/>
  <c r="A19652" i="1"/>
  <c r="B19652" i="1"/>
  <c r="C19652" i="1"/>
  <c r="A3546" i="1"/>
  <c r="B3546" i="1"/>
  <c r="C3546" i="1"/>
  <c r="A22834" i="1"/>
  <c r="B22834" i="1"/>
  <c r="C22834" i="1"/>
  <c r="A19090" i="1"/>
  <c r="B19090" i="1"/>
  <c r="C19090" i="1"/>
  <c r="A20120" i="1"/>
  <c r="B20120" i="1"/>
  <c r="C20120" i="1"/>
  <c r="A12410" i="1"/>
  <c r="B12410" i="1"/>
  <c r="C12410" i="1"/>
  <c r="A2300" i="1"/>
  <c r="B2300" i="1"/>
  <c r="C2300" i="1"/>
  <c r="A17059" i="1"/>
  <c r="B17059" i="1"/>
  <c r="C17059" i="1"/>
  <c r="A5181" i="1"/>
  <c r="B5181" i="1"/>
  <c r="C5181" i="1"/>
  <c r="A21910" i="1"/>
  <c r="C21910" i="1"/>
  <c r="A7552" i="1"/>
  <c r="B7552" i="1"/>
  <c r="C7552" i="1"/>
  <c r="A4449" i="1"/>
  <c r="B4449" i="1"/>
  <c r="C4449" i="1"/>
  <c r="A7182" i="1"/>
  <c r="B7182" i="1"/>
  <c r="C7182" i="1"/>
  <c r="A7181" i="1"/>
  <c r="B7181" i="1"/>
  <c r="C7181" i="1"/>
  <c r="A20302" i="1"/>
  <c r="B20302" i="1"/>
  <c r="C20302" i="1"/>
  <c r="A15476" i="1"/>
  <c r="B15476" i="1"/>
  <c r="C15476" i="1"/>
  <c r="A14325" i="1"/>
  <c r="B14325" i="1"/>
  <c r="C14325" i="1"/>
  <c r="A11363" i="1"/>
  <c r="C11363" i="1"/>
  <c r="A22781" i="1"/>
  <c r="B22781" i="1"/>
  <c r="C22781" i="1"/>
  <c r="A21079" i="1"/>
  <c r="B21079" i="1"/>
  <c r="C21079" i="1"/>
  <c r="A992" i="1"/>
  <c r="B992" i="1"/>
  <c r="C992" i="1"/>
  <c r="A3899" i="1"/>
  <c r="B3899" i="1"/>
  <c r="C3899" i="1"/>
  <c r="A3898" i="1"/>
  <c r="B3898" i="1"/>
  <c r="C3898" i="1"/>
  <c r="A24000" i="1"/>
  <c r="B24000" i="1"/>
  <c r="C24000" i="1"/>
  <c r="A9854" i="1"/>
  <c r="B9854" i="1"/>
  <c r="C9854" i="1"/>
  <c r="A2302" i="1"/>
  <c r="B2302" i="1"/>
  <c r="C2302" i="1"/>
  <c r="A2286" i="1"/>
  <c r="B2286" i="1"/>
  <c r="C2286" i="1"/>
  <c r="A9376" i="1"/>
  <c r="B9376" i="1"/>
  <c r="C9376" i="1"/>
  <c r="A14550" i="1"/>
  <c r="B14550" i="1"/>
  <c r="C14550" i="1"/>
  <c r="A19659" i="1"/>
  <c r="B19659" i="1"/>
  <c r="C19659" i="1"/>
  <c r="A19171" i="1"/>
  <c r="B19171" i="1"/>
  <c r="C19171" i="1"/>
  <c r="A19172" i="1"/>
  <c r="B19172" i="1"/>
  <c r="C19172" i="1"/>
  <c r="A8557" i="1"/>
  <c r="B8557" i="1"/>
  <c r="C8557" i="1"/>
  <c r="A16585" i="1"/>
  <c r="B16585" i="1"/>
  <c r="C16585" i="1"/>
  <c r="A16592" i="1"/>
  <c r="B16592" i="1"/>
  <c r="C16592" i="1"/>
  <c r="A4678" i="1"/>
  <c r="B4678" i="1"/>
  <c r="C4678" i="1"/>
  <c r="A2261" i="1"/>
  <c r="B2261" i="1"/>
  <c r="C2261" i="1"/>
  <c r="A3564" i="1"/>
  <c r="B3564" i="1"/>
  <c r="C3564" i="1"/>
  <c r="A1090" i="1"/>
  <c r="B1090" i="1"/>
  <c r="C1090" i="1"/>
  <c r="A20652" i="1"/>
  <c r="B20652" i="1"/>
  <c r="C20652" i="1"/>
  <c r="A20815" i="1"/>
  <c r="B20815" i="1"/>
  <c r="C20815" i="1"/>
  <c r="A9431" i="1"/>
  <c r="B9431" i="1"/>
  <c r="C9431" i="1"/>
  <c r="A3532" i="1"/>
  <c r="B3532" i="1"/>
  <c r="C3532" i="1"/>
  <c r="A20751" i="1"/>
  <c r="B20751" i="1"/>
  <c r="C20751" i="1"/>
  <c r="A21356" i="1"/>
  <c r="B21356" i="1"/>
  <c r="C21356" i="1"/>
  <c r="A14479" i="1"/>
  <c r="B14479" i="1"/>
  <c r="C14479" i="1"/>
  <c r="A19861" i="1"/>
  <c r="B19861" i="1"/>
  <c r="C19861" i="1"/>
  <c r="A15240" i="1"/>
  <c r="B15240" i="1"/>
  <c r="C15240" i="1"/>
  <c r="A23300" i="1"/>
  <c r="B23300" i="1"/>
  <c r="C23300" i="1"/>
  <c r="A15167" i="1"/>
  <c r="B15167" i="1"/>
  <c r="C15167" i="1"/>
  <c r="A1865" i="1"/>
  <c r="B1865" i="1"/>
  <c r="C1865" i="1"/>
  <c r="A22358" i="1"/>
  <c r="B22358" i="1"/>
  <c r="C22358" i="1"/>
  <c r="A22357" i="1"/>
  <c r="B22357" i="1"/>
  <c r="C22357" i="1"/>
  <c r="A22359" i="1"/>
  <c r="B22359" i="1"/>
  <c r="C22359" i="1"/>
  <c r="A22356" i="1"/>
  <c r="B22356" i="1"/>
  <c r="C22356" i="1"/>
  <c r="A13864" i="1"/>
  <c r="B13864" i="1"/>
  <c r="C13864" i="1"/>
  <c r="A22077" i="1"/>
  <c r="B22077" i="1"/>
  <c r="C22077" i="1"/>
  <c r="A1974" i="1"/>
  <c r="B1974" i="1"/>
  <c r="C1974" i="1"/>
  <c r="A21504" i="1"/>
  <c r="B21504" i="1"/>
  <c r="C21504" i="1"/>
  <c r="A283" i="1"/>
  <c r="B283" i="1"/>
  <c r="C283" i="1"/>
  <c r="A733" i="1"/>
  <c r="B733" i="1"/>
  <c r="C733" i="1"/>
  <c r="A1432" i="1"/>
  <c r="B1432" i="1"/>
  <c r="C1432" i="1"/>
  <c r="A18732" i="1"/>
  <c r="B18732" i="1"/>
  <c r="C18732" i="1"/>
  <c r="A1568" i="1"/>
  <c r="B1568" i="1"/>
  <c r="C1568" i="1"/>
  <c r="A18737" i="1"/>
  <c r="B18737" i="1"/>
  <c r="C18737" i="1"/>
  <c r="A2002" i="1"/>
  <c r="B2002" i="1"/>
  <c r="C2002" i="1"/>
  <c r="A1564" i="1"/>
  <c r="B1564" i="1"/>
  <c r="C1564" i="1"/>
  <c r="A2003" i="1"/>
  <c r="B2003" i="1"/>
  <c r="C2003" i="1"/>
  <c r="A18736" i="1"/>
  <c r="B18736" i="1"/>
  <c r="C18736" i="1"/>
  <c r="A1566" i="1"/>
  <c r="B1566" i="1"/>
  <c r="C1566" i="1"/>
  <c r="A5311" i="1"/>
  <c r="B5311" i="1"/>
  <c r="C5311" i="1"/>
  <c r="A3618" i="1"/>
  <c r="B3618" i="1"/>
  <c r="C3618" i="1"/>
  <c r="A17351" i="1"/>
  <c r="B17351" i="1"/>
  <c r="C17351" i="1"/>
  <c r="A19459" i="1"/>
  <c r="B19459" i="1"/>
  <c r="C19459" i="1"/>
  <c r="A25675" i="1"/>
  <c r="B25675" i="1"/>
  <c r="C25675" i="1"/>
  <c r="A6476" i="1"/>
  <c r="B6476" i="1"/>
  <c r="C6476" i="1"/>
  <c r="A6477" i="1"/>
  <c r="B6477" i="1"/>
  <c r="C6477" i="1"/>
  <c r="A11779" i="1"/>
  <c r="B11779" i="1"/>
  <c r="C11779" i="1"/>
  <c r="A14504" i="1"/>
  <c r="B14504" i="1"/>
  <c r="C14504" i="1"/>
  <c r="A3411" i="1"/>
  <c r="B3411" i="1"/>
  <c r="C3411" i="1"/>
  <c r="A1987" i="1"/>
  <c r="B1987" i="1"/>
  <c r="C1987" i="1"/>
  <c r="A1986" i="1"/>
  <c r="B1986" i="1"/>
  <c r="C1986" i="1"/>
  <c r="A19811" i="1"/>
  <c r="B19811" i="1"/>
  <c r="C19811" i="1"/>
  <c r="A14071" i="1"/>
  <c r="B14071" i="1"/>
  <c r="C14071" i="1"/>
  <c r="A14072" i="1"/>
  <c r="B14072" i="1"/>
  <c r="C14072" i="1"/>
  <c r="A17640" i="1"/>
  <c r="B17640" i="1"/>
  <c r="C17640" i="1"/>
  <c r="A24683" i="1"/>
  <c r="B24683" i="1"/>
  <c r="C24683" i="1"/>
  <c r="A4275" i="1"/>
  <c r="B4275" i="1"/>
  <c r="C4275" i="1"/>
  <c r="A23307" i="1"/>
  <c r="B23307" i="1"/>
  <c r="C23307" i="1"/>
  <c r="A10915" i="1"/>
  <c r="B10915" i="1"/>
  <c r="C10915" i="1"/>
  <c r="A15708" i="1"/>
  <c r="B15708" i="1"/>
  <c r="C15708" i="1"/>
  <c r="A15709" i="1"/>
  <c r="B15709" i="1"/>
  <c r="C15709" i="1"/>
  <c r="A15710" i="1"/>
  <c r="B15710" i="1"/>
  <c r="C15710" i="1"/>
  <c r="A5316" i="1"/>
  <c r="B5316" i="1"/>
  <c r="C5316" i="1"/>
  <c r="A5956" i="1"/>
  <c r="B5956" i="1"/>
  <c r="C5956" i="1"/>
  <c r="A2273" i="1"/>
  <c r="B2273" i="1"/>
  <c r="C2273" i="1"/>
  <c r="A24355" i="1"/>
  <c r="B24355" i="1"/>
  <c r="C24355" i="1"/>
  <c r="A10775" i="1"/>
  <c r="B10775" i="1"/>
  <c r="C10775" i="1"/>
  <c r="A10774" i="1"/>
  <c r="B10774" i="1"/>
  <c r="C10774" i="1"/>
  <c r="A10036" i="1"/>
  <c r="B10036" i="1"/>
  <c r="C10036" i="1"/>
  <c r="A6507" i="1"/>
  <c r="B6507" i="1"/>
  <c r="C6507" i="1"/>
  <c r="A5440" i="1"/>
  <c r="B5440" i="1"/>
  <c r="C5440" i="1"/>
  <c r="A4674" i="1"/>
  <c r="B4674" i="1"/>
  <c r="C4674" i="1"/>
  <c r="A5530" i="1"/>
  <c r="B5530" i="1"/>
  <c r="C5530" i="1"/>
  <c r="A3133" i="1"/>
  <c r="B3133" i="1"/>
  <c r="C3133" i="1"/>
  <c r="A14795" i="1"/>
  <c r="B14795" i="1"/>
  <c r="C14795" i="1"/>
  <c r="A13310" i="1"/>
  <c r="B13310" i="1"/>
  <c r="C13310" i="1"/>
  <c r="A8804" i="1"/>
  <c r="B8804" i="1"/>
  <c r="C8804" i="1"/>
  <c r="A14885" i="1"/>
  <c r="B14885" i="1"/>
  <c r="C14885" i="1"/>
  <c r="A13882" i="1"/>
  <c r="B13882" i="1"/>
  <c r="C13882" i="1"/>
  <c r="A18401" i="1"/>
  <c r="B18401" i="1"/>
  <c r="C18401" i="1"/>
  <c r="A22461" i="1"/>
  <c r="B22461" i="1"/>
  <c r="C22461" i="1"/>
  <c r="A13723" i="1"/>
  <c r="B13723" i="1"/>
  <c r="C13723" i="1"/>
  <c r="A12304" i="1"/>
  <c r="B12304" i="1"/>
  <c r="C12304" i="1"/>
  <c r="A11844" i="1"/>
  <c r="B11844" i="1"/>
  <c r="C11844" i="1"/>
  <c r="A15163" i="1"/>
  <c r="B15163" i="1"/>
  <c r="C15163" i="1"/>
  <c r="A16091" i="1"/>
  <c r="B16091" i="1"/>
  <c r="C16091" i="1"/>
  <c r="A19310" i="1"/>
  <c r="B19310" i="1"/>
  <c r="C19310" i="1"/>
  <c r="A25745" i="1"/>
  <c r="B25745" i="1"/>
  <c r="C25745" i="1"/>
  <c r="A12557" i="1"/>
  <c r="B12557" i="1"/>
  <c r="C12557" i="1"/>
  <c r="A4136" i="1"/>
  <c r="B4136" i="1"/>
  <c r="C4136" i="1"/>
  <c r="A3983" i="1"/>
  <c r="B3983" i="1"/>
  <c r="C3983" i="1"/>
  <c r="A23718" i="1"/>
  <c r="B23718" i="1"/>
  <c r="C23718" i="1"/>
  <c r="A15444" i="1"/>
  <c r="B15444" i="1"/>
  <c r="C15444" i="1"/>
  <c r="A15462" i="1"/>
  <c r="B15462" i="1"/>
  <c r="C15462" i="1"/>
  <c r="A8360" i="1"/>
  <c r="B8360" i="1"/>
  <c r="C8360" i="1"/>
  <c r="A15945" i="1"/>
  <c r="B15945" i="1"/>
  <c r="C15945" i="1"/>
  <c r="A15947" i="1"/>
  <c r="B15947" i="1"/>
  <c r="C15947" i="1"/>
  <c r="A15956" i="1"/>
  <c r="B15956" i="1"/>
  <c r="C15956" i="1"/>
  <c r="A16916" i="1"/>
  <c r="B16916" i="1"/>
  <c r="C16916" i="1"/>
  <c r="A5852" i="1"/>
  <c r="B5852" i="1"/>
  <c r="C5852" i="1"/>
  <c r="A14888" i="1"/>
  <c r="B14888" i="1"/>
  <c r="C14888" i="1"/>
  <c r="A4123" i="1"/>
  <c r="B4123" i="1"/>
  <c r="C4123" i="1"/>
  <c r="A4163" i="1"/>
  <c r="B4163" i="1"/>
  <c r="C4163" i="1"/>
  <c r="A14328" i="1"/>
  <c r="B14328" i="1"/>
  <c r="C14328" i="1"/>
  <c r="A22936" i="1"/>
  <c r="B22936" i="1"/>
  <c r="C22936" i="1"/>
  <c r="A6703" i="1"/>
  <c r="B6703" i="1"/>
  <c r="C6703" i="1"/>
  <c r="A14364" i="1"/>
  <c r="B14364" i="1"/>
  <c r="C14364" i="1"/>
  <c r="A1663" i="1"/>
  <c r="B1663" i="1"/>
  <c r="C1663" i="1"/>
  <c r="A6411" i="1"/>
  <c r="B6411" i="1"/>
  <c r="C6411" i="1"/>
  <c r="A22450" i="1"/>
  <c r="C22450" i="1"/>
  <c r="A1020" i="1"/>
  <c r="B1020" i="1"/>
  <c r="C1020" i="1"/>
  <c r="A739" i="1"/>
  <c r="C739" i="1"/>
  <c r="A1529" i="1"/>
  <c r="C1529" i="1"/>
  <c r="A14926" i="1"/>
  <c r="C14926" i="1"/>
  <c r="A17916" i="1"/>
  <c r="C17916" i="1"/>
  <c r="A1533" i="1"/>
  <c r="C1533" i="1"/>
  <c r="A18563" i="1"/>
  <c r="B18563" i="1"/>
  <c r="C18563" i="1"/>
  <c r="A9450" i="1"/>
  <c r="B9450" i="1"/>
  <c r="C9450" i="1"/>
  <c r="A23306" i="1"/>
  <c r="B23306" i="1"/>
  <c r="C23306" i="1"/>
  <c r="A1033" i="1"/>
  <c r="C1033" i="1"/>
  <c r="A1032" i="1"/>
  <c r="B1032" i="1"/>
  <c r="C1032" i="1"/>
  <c r="A1039" i="1"/>
  <c r="C1039" i="1"/>
  <c r="A14908" i="1"/>
  <c r="B14908" i="1"/>
  <c r="C14908" i="1"/>
  <c r="A8003" i="1"/>
  <c r="B8003" i="1"/>
  <c r="C8003" i="1"/>
  <c r="A4159" i="1"/>
  <c r="B4159" i="1"/>
  <c r="C4159" i="1"/>
  <c r="A9313" i="1"/>
  <c r="B9313" i="1"/>
  <c r="C9313" i="1"/>
  <c r="A16262" i="1"/>
  <c r="B16262" i="1"/>
  <c r="C16262" i="1"/>
  <c r="A23651" i="1"/>
  <c r="B23651" i="1"/>
  <c r="C23651" i="1"/>
  <c r="A23656" i="1"/>
  <c r="B23656" i="1"/>
  <c r="C23656" i="1"/>
  <c r="A4206" i="1"/>
  <c r="B4206" i="1"/>
  <c r="C4206" i="1"/>
  <c r="A17439" i="1"/>
  <c r="B17439" i="1"/>
  <c r="C17439" i="1"/>
  <c r="A9722" i="1"/>
  <c r="B9722" i="1"/>
  <c r="C9722" i="1"/>
  <c r="A12244" i="1"/>
  <c r="B12244" i="1"/>
  <c r="C12244" i="1"/>
  <c r="A5283" i="1"/>
  <c r="B5283" i="1"/>
  <c r="C5283" i="1"/>
  <c r="A6291" i="1"/>
  <c r="B6291" i="1"/>
  <c r="C6291" i="1"/>
  <c r="A20962" i="1"/>
  <c r="B20962" i="1"/>
  <c r="C20962" i="1"/>
  <c r="A1407" i="1"/>
  <c r="B1407" i="1"/>
  <c r="C1407" i="1"/>
  <c r="A20306" i="1"/>
  <c r="B20306" i="1"/>
  <c r="C20306" i="1"/>
  <c r="A888" i="1"/>
  <c r="B888" i="1"/>
  <c r="C888" i="1"/>
  <c r="A2280" i="1"/>
  <c r="B2280" i="1"/>
  <c r="C2280" i="1"/>
  <c r="A15164" i="1"/>
  <c r="B15164" i="1"/>
  <c r="C15164" i="1"/>
  <c r="A10180" i="1"/>
  <c r="B10180" i="1"/>
  <c r="C10180" i="1"/>
  <c r="A24861" i="1"/>
  <c r="B24861" i="1"/>
  <c r="C24861" i="1"/>
  <c r="A4230" i="1"/>
  <c r="B4230" i="1"/>
  <c r="C4230" i="1"/>
  <c r="A15203" i="1"/>
  <c r="B15203" i="1"/>
  <c r="C15203" i="1"/>
  <c r="A15209" i="1"/>
  <c r="B15209" i="1"/>
  <c r="C15209" i="1"/>
  <c r="A15204" i="1"/>
  <c r="B15204" i="1"/>
  <c r="C15204" i="1"/>
  <c r="A15206" i="1"/>
  <c r="B15206" i="1"/>
  <c r="C15206" i="1"/>
  <c r="A15205" i="1"/>
  <c r="B15205" i="1"/>
  <c r="C15205" i="1"/>
  <c r="A15200" i="1"/>
  <c r="B15200" i="1"/>
  <c r="C15200" i="1"/>
  <c r="A15201" i="1"/>
  <c r="B15201" i="1"/>
  <c r="C15201" i="1"/>
  <c r="A15208" i="1"/>
  <c r="B15208" i="1"/>
  <c r="C15208" i="1"/>
  <c r="A5225" i="1"/>
  <c r="B5225" i="1"/>
  <c r="C5225" i="1"/>
  <c r="A12551" i="1"/>
  <c r="B12551" i="1"/>
  <c r="C12551" i="1"/>
  <c r="A9175" i="1"/>
  <c r="B9175" i="1"/>
  <c r="C9175" i="1"/>
  <c r="A90" i="1"/>
  <c r="B90" i="1"/>
  <c r="C90" i="1"/>
  <c r="A22050" i="1"/>
  <c r="B22050" i="1"/>
  <c r="C22050" i="1"/>
  <c r="A20790" i="1"/>
  <c r="B20790" i="1"/>
  <c r="C20790" i="1"/>
  <c r="A7998" i="1"/>
  <c r="B7998" i="1"/>
  <c r="C7998" i="1"/>
  <c r="A11362" i="1"/>
  <c r="C11362" i="1"/>
  <c r="A12400" i="1"/>
  <c r="B12400" i="1"/>
  <c r="C12400" i="1"/>
  <c r="A16148" i="1"/>
  <c r="B16148" i="1"/>
  <c r="C16148" i="1"/>
  <c r="A14474" i="1"/>
  <c r="B14474" i="1"/>
  <c r="C14474" i="1"/>
  <c r="A22034" i="1"/>
  <c r="B22034" i="1"/>
  <c r="C22034" i="1"/>
  <c r="A17552" i="1"/>
  <c r="B17552" i="1"/>
  <c r="C17552" i="1"/>
  <c r="A10006" i="1"/>
  <c r="B10006" i="1"/>
  <c r="C10006" i="1"/>
  <c r="A1014" i="1"/>
  <c r="B1014" i="1"/>
  <c r="C1014" i="1"/>
  <c r="A15897" i="1"/>
  <c r="B15897" i="1"/>
  <c r="C15897" i="1"/>
  <c r="A5413" i="1"/>
  <c r="B5413" i="1"/>
  <c r="C5413" i="1"/>
  <c r="A8201" i="1"/>
  <c r="B8201" i="1"/>
  <c r="C8201" i="1"/>
  <c r="A10912" i="1"/>
  <c r="B10912" i="1"/>
  <c r="C10912" i="1"/>
  <c r="A25047" i="1"/>
  <c r="B25047" i="1"/>
  <c r="C25047" i="1"/>
  <c r="A12391" i="1"/>
  <c r="B12391" i="1"/>
  <c r="C12391" i="1"/>
  <c r="A8761" i="1"/>
  <c r="B8761" i="1"/>
  <c r="C8761" i="1"/>
  <c r="A5584" i="1"/>
  <c r="B5584" i="1"/>
  <c r="C5584" i="1"/>
  <c r="A5710" i="1"/>
  <c r="B5710" i="1"/>
  <c r="C5710" i="1"/>
  <c r="A10961" i="1"/>
  <c r="B10961" i="1"/>
  <c r="C10961" i="1"/>
  <c r="A15194" i="1"/>
  <c r="B15194" i="1"/>
  <c r="C15194" i="1"/>
  <c r="A5403" i="1"/>
  <c r="B5403" i="1"/>
  <c r="C5403" i="1"/>
  <c r="A8205" i="1"/>
  <c r="B8205" i="1"/>
  <c r="C8205" i="1"/>
  <c r="A16526" i="1"/>
  <c r="B16526" i="1"/>
  <c r="C16526" i="1"/>
  <c r="A8419" i="1"/>
  <c r="B8419" i="1"/>
  <c r="C8419" i="1"/>
  <c r="A22582" i="1"/>
  <c r="B22582" i="1"/>
  <c r="C22582" i="1"/>
  <c r="A431" i="1"/>
  <c r="B431" i="1"/>
  <c r="C431" i="1"/>
  <c r="A6485" i="1"/>
  <c r="C6485" i="1"/>
  <c r="A24007" i="1"/>
  <c r="B24007" i="1"/>
  <c r="C24007" i="1"/>
  <c r="A20708" i="1"/>
  <c r="B20708" i="1"/>
  <c r="C20708" i="1"/>
  <c r="A4222" i="1"/>
  <c r="B4222" i="1"/>
  <c r="C4222" i="1"/>
  <c r="A5285" i="1"/>
  <c r="B5285" i="1"/>
  <c r="C5285" i="1"/>
  <c r="A15690" i="1"/>
  <c r="B15690" i="1"/>
  <c r="C15690" i="1"/>
  <c r="A16736" i="1"/>
  <c r="B16736" i="1"/>
  <c r="C16736" i="1"/>
  <c r="A2236" i="1"/>
  <c r="B2236" i="1"/>
  <c r="C2236" i="1"/>
  <c r="A15873" i="1"/>
  <c r="B15873" i="1"/>
  <c r="C15873" i="1"/>
  <c r="A24292" i="1"/>
  <c r="B24292" i="1"/>
  <c r="C24292" i="1"/>
  <c r="A401" i="1"/>
  <c r="B401" i="1"/>
  <c r="C401" i="1"/>
  <c r="A400" i="1"/>
  <c r="B400" i="1"/>
  <c r="C400" i="1"/>
  <c r="A8492" i="1"/>
  <c r="B8492" i="1"/>
  <c r="C8492" i="1"/>
  <c r="A8491" i="1"/>
  <c r="B8491" i="1"/>
  <c r="C8491" i="1"/>
  <c r="A8493" i="1"/>
  <c r="B8493" i="1"/>
  <c r="C8493" i="1"/>
  <c r="A15236" i="1"/>
  <c r="B15236" i="1"/>
  <c r="C15236" i="1"/>
  <c r="A5661" i="1"/>
  <c r="B5661" i="1"/>
  <c r="C5661" i="1"/>
  <c r="A21623" i="1"/>
  <c r="B21623" i="1"/>
  <c r="C21623" i="1"/>
  <c r="A21691" i="1"/>
  <c r="B21691" i="1"/>
  <c r="C21691" i="1"/>
  <c r="A24672" i="1"/>
  <c r="B24672" i="1"/>
  <c r="C24672" i="1"/>
  <c r="A10914" i="1"/>
  <c r="B10914" i="1"/>
  <c r="C10914" i="1"/>
  <c r="A3865" i="1"/>
  <c r="B3865" i="1"/>
  <c r="C3865" i="1"/>
  <c r="A3866" i="1"/>
  <c r="B3866" i="1"/>
  <c r="C3866" i="1"/>
  <c r="A18870" i="1"/>
  <c r="B18870" i="1"/>
  <c r="C18870" i="1"/>
  <c r="A3288" i="1"/>
  <c r="B3288" i="1"/>
  <c r="C3288" i="1"/>
  <c r="A3289" i="1"/>
  <c r="B3289" i="1"/>
  <c r="C3289" i="1"/>
  <c r="A3290" i="1"/>
  <c r="B3290" i="1"/>
  <c r="C3290" i="1"/>
  <c r="A3291" i="1"/>
  <c r="B3291" i="1"/>
  <c r="C3291" i="1"/>
  <c r="A3292" i="1"/>
  <c r="B3292" i="1"/>
  <c r="C3292" i="1"/>
  <c r="A12686" i="1"/>
  <c r="B12686" i="1"/>
  <c r="C12686" i="1"/>
  <c r="A25100" i="1"/>
  <c r="B25100" i="1"/>
  <c r="C25100" i="1"/>
  <c r="A18117" i="1"/>
  <c r="B18117" i="1"/>
  <c r="C18117" i="1"/>
  <c r="A21078" i="1"/>
  <c r="B21078" i="1"/>
  <c r="C21078" i="1"/>
  <c r="A14391" i="1"/>
  <c r="B14391" i="1"/>
  <c r="C14391" i="1"/>
  <c r="A10796" i="1"/>
  <c r="C10796" i="1"/>
  <c r="A23919" i="1"/>
  <c r="B23919" i="1"/>
  <c r="C23919" i="1"/>
  <c r="A24817" i="1"/>
  <c r="B24817" i="1"/>
  <c r="C24817" i="1"/>
  <c r="A14184" i="1"/>
  <c r="B14184" i="1"/>
  <c r="C14184" i="1"/>
  <c r="A9903" i="1"/>
  <c r="B9903" i="1"/>
  <c r="C9903" i="1"/>
  <c r="A5350" i="1"/>
  <c r="B5350" i="1"/>
  <c r="C5350" i="1"/>
  <c r="A3808" i="1"/>
  <c r="B3808" i="1"/>
  <c r="C3808" i="1"/>
  <c r="A3811" i="1"/>
  <c r="B3811" i="1"/>
  <c r="C3811" i="1"/>
  <c r="A3794" i="1"/>
  <c r="B3794" i="1"/>
  <c r="C3794" i="1"/>
  <c r="A3804" i="1"/>
  <c r="B3804" i="1"/>
  <c r="C3804" i="1"/>
  <c r="A19242" i="1"/>
  <c r="B19242" i="1"/>
  <c r="C19242" i="1"/>
  <c r="A14570" i="1"/>
  <c r="B14570" i="1"/>
  <c r="C14570" i="1"/>
  <c r="A15230" i="1"/>
  <c r="B15230" i="1"/>
  <c r="C15230" i="1"/>
  <c r="A9533" i="1"/>
  <c r="B9533" i="1"/>
  <c r="C9533" i="1"/>
  <c r="A13828" i="1"/>
  <c r="B13828" i="1"/>
  <c r="C13828" i="1"/>
  <c r="A13825" i="1"/>
  <c r="B13825" i="1"/>
  <c r="C13825" i="1"/>
  <c r="A13827" i="1"/>
  <c r="B13827" i="1"/>
  <c r="C13827" i="1"/>
  <c r="A22078" i="1"/>
  <c r="B22078" i="1"/>
  <c r="C22078" i="1"/>
  <c r="A15192" i="1"/>
  <c r="B15192" i="1"/>
  <c r="C15192" i="1"/>
  <c r="A15193" i="1"/>
  <c r="B15193" i="1"/>
  <c r="C15193" i="1"/>
  <c r="A15198" i="1"/>
  <c r="B15198" i="1"/>
  <c r="C15198" i="1"/>
  <c r="A15196" i="1"/>
  <c r="B15196" i="1"/>
  <c r="C15196" i="1"/>
  <c r="A542" i="1"/>
  <c r="B542" i="1"/>
  <c r="C542" i="1"/>
  <c r="A11596" i="1"/>
  <c r="B11596" i="1"/>
  <c r="C11596" i="1"/>
  <c r="A20376" i="1"/>
  <c r="B20376" i="1"/>
  <c r="C20376" i="1"/>
  <c r="A19243" i="1"/>
  <c r="B19243" i="1"/>
  <c r="C19243" i="1"/>
  <c r="A12134" i="1"/>
  <c r="B12134" i="1"/>
  <c r="C12134" i="1"/>
  <c r="A4373" i="1"/>
  <c r="B4373" i="1"/>
  <c r="C4373" i="1"/>
  <c r="A24098" i="1"/>
  <c r="B24098" i="1"/>
  <c r="C24098" i="1"/>
  <c r="A12724" i="1"/>
  <c r="B12724" i="1"/>
  <c r="C12724" i="1"/>
  <c r="A3758" i="1"/>
  <c r="B3758" i="1"/>
  <c r="C3758" i="1"/>
  <c r="A22728" i="1"/>
  <c r="B22728" i="1"/>
  <c r="C22728" i="1"/>
  <c r="A22037" i="1"/>
  <c r="B22037" i="1"/>
  <c r="C22037" i="1"/>
  <c r="A14610" i="1"/>
  <c r="B14610" i="1"/>
  <c r="C14610" i="1"/>
  <c r="A14608" i="1"/>
  <c r="B14608" i="1"/>
  <c r="C14608" i="1"/>
  <c r="A14606" i="1"/>
  <c r="B14606" i="1"/>
  <c r="C14606" i="1"/>
  <c r="A14612" i="1"/>
  <c r="B14612" i="1"/>
  <c r="C14612" i="1"/>
  <c r="A4252" i="1"/>
  <c r="B4252" i="1"/>
  <c r="C4252" i="1"/>
  <c r="A5037" i="1"/>
  <c r="B5037" i="1"/>
  <c r="C5037" i="1"/>
  <c r="A5029" i="1"/>
  <c r="B5029" i="1"/>
  <c r="C5029" i="1"/>
  <c r="A14805" i="1"/>
  <c r="B14805" i="1"/>
  <c r="C14805" i="1"/>
  <c r="A5257" i="1"/>
  <c r="B5257" i="1"/>
  <c r="C5257" i="1"/>
  <c r="A5256" i="1"/>
  <c r="B5256" i="1"/>
  <c r="C5256" i="1"/>
  <c r="A20731" i="1"/>
  <c r="B20731" i="1"/>
  <c r="C20731" i="1"/>
  <c r="A20662" i="1"/>
  <c r="B20662" i="1"/>
  <c r="C20662" i="1"/>
  <c r="A17373" i="1"/>
  <c r="B17373" i="1"/>
  <c r="C17373" i="1"/>
  <c r="A1528" i="1"/>
  <c r="B1528" i="1"/>
  <c r="C1528" i="1"/>
  <c r="A929" i="1"/>
  <c r="B929" i="1"/>
  <c r="C929" i="1"/>
  <c r="A18562" i="1"/>
  <c r="B18562" i="1"/>
  <c r="C18562" i="1"/>
  <c r="A241" i="1"/>
  <c r="B241" i="1"/>
  <c r="C241" i="1"/>
  <c r="A1652" i="1"/>
  <c r="B1652" i="1"/>
  <c r="C1652" i="1"/>
  <c r="A22790" i="1"/>
  <c r="B22790" i="1"/>
  <c r="C22790" i="1"/>
  <c r="A1813" i="1"/>
  <c r="B1813" i="1"/>
  <c r="C1813" i="1"/>
  <c r="A18585" i="1"/>
  <c r="B18585" i="1"/>
  <c r="C18585" i="1"/>
  <c r="A2765" i="1"/>
  <c r="B2765" i="1"/>
  <c r="C2765" i="1"/>
  <c r="A23886" i="1"/>
  <c r="B23886" i="1"/>
  <c r="C23886" i="1"/>
  <c r="A23148" i="1"/>
  <c r="C23148" i="1"/>
  <c r="A16919" i="1"/>
  <c r="C16919" i="1"/>
  <c r="A16802" i="1"/>
  <c r="B16802" i="1"/>
  <c r="C16802" i="1"/>
  <c r="A17458" i="1"/>
  <c r="B17458" i="1"/>
  <c r="C17458" i="1"/>
  <c r="A5773" i="1"/>
  <c r="B5773" i="1"/>
  <c r="C5773" i="1"/>
  <c r="A528" i="1"/>
  <c r="B528" i="1"/>
  <c r="C528" i="1"/>
  <c r="A1363" i="1"/>
  <c r="B1363" i="1"/>
  <c r="C1363" i="1"/>
  <c r="A17355" i="1"/>
  <c r="B17355" i="1"/>
  <c r="C17355" i="1"/>
  <c r="A2817" i="1"/>
  <c r="B2817" i="1"/>
  <c r="C2817" i="1"/>
  <c r="A24189" i="1"/>
  <c r="B24189" i="1"/>
  <c r="C24189" i="1"/>
  <c r="A22327" i="1"/>
  <c r="B22327" i="1"/>
  <c r="C22327" i="1"/>
  <c r="A24113" i="1"/>
  <c r="B24113" i="1"/>
  <c r="C24113" i="1"/>
  <c r="A23696" i="1"/>
  <c r="B23696" i="1"/>
  <c r="C23696" i="1"/>
  <c r="A18434" i="1"/>
  <c r="B18434" i="1"/>
  <c r="C18434" i="1"/>
  <c r="A8181" i="1"/>
  <c r="C8181" i="1"/>
  <c r="A5824" i="1"/>
  <c r="B5824" i="1"/>
  <c r="C5824" i="1"/>
  <c r="A5669" i="1"/>
  <c r="B5669" i="1"/>
  <c r="C5669" i="1"/>
  <c r="A13923" i="1"/>
  <c r="B13923" i="1"/>
  <c r="C13923" i="1"/>
  <c r="A13913" i="1"/>
  <c r="B13913" i="1"/>
  <c r="C13913" i="1"/>
  <c r="A13912" i="1"/>
  <c r="B13912" i="1"/>
  <c r="C13912" i="1"/>
  <c r="A24293" i="1"/>
  <c r="B24293" i="1"/>
  <c r="C24293" i="1"/>
  <c r="A25001" i="1"/>
  <c r="B25001" i="1"/>
  <c r="C25001" i="1"/>
  <c r="A1665" i="1"/>
  <c r="B1665" i="1"/>
  <c r="C1665" i="1"/>
  <c r="A25015" i="1"/>
  <c r="B25015" i="1"/>
  <c r="C25015" i="1"/>
  <c r="A13835" i="1"/>
  <c r="B13835" i="1"/>
  <c r="C13835" i="1"/>
  <c r="A13836" i="1"/>
  <c r="B13836" i="1"/>
  <c r="C13836" i="1"/>
  <c r="A22526" i="1"/>
  <c r="B22526" i="1"/>
  <c r="C22526" i="1"/>
  <c r="A1664" i="1"/>
  <c r="B1664" i="1"/>
  <c r="C1664" i="1"/>
  <c r="A25074" i="1"/>
  <c r="B25074" i="1"/>
  <c r="C25074" i="1"/>
  <c r="A25258" i="1"/>
  <c r="B25258" i="1"/>
  <c r="C25258" i="1"/>
  <c r="A21832" i="1"/>
  <c r="B21832" i="1"/>
  <c r="C21832" i="1"/>
  <c r="A21830" i="1"/>
  <c r="B21830" i="1"/>
  <c r="C21830" i="1"/>
  <c r="A21831" i="1"/>
  <c r="B21831" i="1"/>
  <c r="C21831" i="1"/>
  <c r="A12623" i="1"/>
  <c r="B12623" i="1"/>
  <c r="C12623" i="1"/>
  <c r="A3777" i="1"/>
  <c r="B3777" i="1"/>
  <c r="C3777" i="1"/>
  <c r="A3776" i="1"/>
  <c r="B3776" i="1"/>
  <c r="C3776" i="1"/>
  <c r="A5445" i="1"/>
  <c r="B5445" i="1"/>
  <c r="C5445" i="1"/>
  <c r="A18773" i="1"/>
  <c r="B18773" i="1"/>
  <c r="C18773" i="1"/>
  <c r="A10446" i="1"/>
  <c r="B10446" i="1"/>
  <c r="C10446" i="1"/>
  <c r="A399" i="1"/>
  <c r="B399" i="1"/>
  <c r="C399" i="1"/>
  <c r="A12293" i="1"/>
  <c r="B12293" i="1"/>
  <c r="C12293" i="1"/>
  <c r="A6446" i="1"/>
  <c r="B6446" i="1"/>
  <c r="C6446" i="1"/>
  <c r="A1321" i="1"/>
  <c r="B1321" i="1"/>
  <c r="C1321" i="1"/>
  <c r="A6796" i="1"/>
  <c r="B6796" i="1"/>
  <c r="C6796" i="1"/>
  <c r="A15217" i="1"/>
  <c r="B15217" i="1"/>
  <c r="C15217" i="1"/>
  <c r="A16470" i="1"/>
  <c r="B16470" i="1"/>
  <c r="C16470" i="1"/>
  <c r="A2975" i="1"/>
  <c r="B2975" i="1"/>
  <c r="C2975" i="1"/>
  <c r="A2884" i="1"/>
  <c r="B2884" i="1"/>
  <c r="C2884" i="1"/>
  <c r="A12636" i="1"/>
  <c r="B12636" i="1"/>
  <c r="C12636" i="1"/>
  <c r="A24289" i="1"/>
  <c r="B24289" i="1"/>
  <c r="C24289" i="1"/>
  <c r="A16321" i="1"/>
  <c r="B16321" i="1"/>
  <c r="C16321" i="1"/>
  <c r="A8221" i="1"/>
  <c r="B8221" i="1"/>
  <c r="C8221" i="1"/>
  <c r="A210" i="1"/>
  <c r="B210" i="1"/>
  <c r="C210" i="1"/>
  <c r="A5345" i="1"/>
  <c r="B5345" i="1"/>
  <c r="C5345" i="1"/>
  <c r="A22085" i="1"/>
  <c r="B22085" i="1"/>
  <c r="C22085" i="1"/>
  <c r="A9089" i="1"/>
  <c r="B9089" i="1"/>
  <c r="C9089" i="1"/>
  <c r="A7591" i="1"/>
  <c r="B7591" i="1"/>
  <c r="C7591" i="1"/>
  <c r="A20204" i="1"/>
  <c r="B20204" i="1"/>
  <c r="C20204" i="1"/>
  <c r="A9682" i="1"/>
  <c r="B9682" i="1"/>
  <c r="C9682" i="1"/>
  <c r="A6596" i="1"/>
  <c r="B6596" i="1"/>
  <c r="C6596" i="1"/>
  <c r="A970" i="1"/>
  <c r="B970" i="1"/>
  <c r="C970" i="1"/>
  <c r="A23820" i="1"/>
  <c r="B23820" i="1"/>
  <c r="C23820" i="1"/>
  <c r="A24390" i="1"/>
  <c r="B24390" i="1"/>
  <c r="C24390" i="1"/>
  <c r="A22772" i="1"/>
  <c r="B22772" i="1"/>
  <c r="C22772" i="1"/>
  <c r="A6101" i="1"/>
  <c r="B6101" i="1"/>
  <c r="C6101" i="1"/>
  <c r="A14187" i="1"/>
  <c r="B14187" i="1"/>
  <c r="C14187" i="1"/>
  <c r="A24384" i="1"/>
  <c r="B24384" i="1"/>
  <c r="C24384" i="1"/>
  <c r="A67" i="1"/>
  <c r="B67" i="1"/>
  <c r="C67" i="1"/>
  <c r="A65" i="1"/>
  <c r="B65" i="1"/>
  <c r="C65" i="1"/>
  <c r="A63" i="1"/>
  <c r="B63" i="1"/>
  <c r="C63" i="1"/>
  <c r="A5556" i="1"/>
  <c r="B5556" i="1"/>
  <c r="C5556" i="1"/>
  <c r="A5569" i="1"/>
  <c r="B5569" i="1"/>
  <c r="C5569" i="1"/>
  <c r="A24605" i="1"/>
  <c r="B24605" i="1"/>
  <c r="C24605" i="1"/>
  <c r="A23264" i="1"/>
  <c r="B23264" i="1"/>
  <c r="C23264" i="1"/>
  <c r="A13720" i="1"/>
  <c r="B13720" i="1"/>
  <c r="C13720" i="1"/>
  <c r="A20718" i="1"/>
  <c r="B20718" i="1"/>
  <c r="C20718" i="1"/>
  <c r="A12426" i="1"/>
  <c r="B12426" i="1"/>
  <c r="C12426" i="1"/>
  <c r="A19675" i="1"/>
  <c r="B19675" i="1"/>
  <c r="C19675" i="1"/>
  <c r="A15940" i="1"/>
  <c r="B15940" i="1"/>
  <c r="C15940" i="1"/>
  <c r="A15297" i="1"/>
  <c r="B15297" i="1"/>
  <c r="C15297" i="1"/>
  <c r="A21650" i="1"/>
  <c r="B21650" i="1"/>
  <c r="C21650" i="1"/>
  <c r="A9539" i="1"/>
  <c r="B9539" i="1"/>
  <c r="C9539" i="1"/>
  <c r="A10429" i="1"/>
  <c r="B10429" i="1"/>
  <c r="C10429" i="1"/>
  <c r="A4942" i="1"/>
  <c r="B4942" i="1"/>
  <c r="C4942" i="1"/>
  <c r="A4941" i="1"/>
  <c r="B4941" i="1"/>
  <c r="C4941" i="1"/>
  <c r="A4940" i="1"/>
  <c r="B4940" i="1"/>
  <c r="C4940" i="1"/>
  <c r="A22699" i="1"/>
  <c r="B22699" i="1"/>
  <c r="C22699" i="1"/>
  <c r="A4878" i="1"/>
  <c r="B4878" i="1"/>
  <c r="C4878" i="1"/>
  <c r="A6578" i="1"/>
  <c r="B6578" i="1"/>
  <c r="C6578" i="1"/>
  <c r="A21955" i="1"/>
  <c r="B21955" i="1"/>
  <c r="C21955" i="1"/>
  <c r="A1388" i="1"/>
  <c r="B1388" i="1"/>
  <c r="C1388" i="1"/>
  <c r="A8224" i="1"/>
  <c r="B8224" i="1"/>
  <c r="C8224" i="1"/>
  <c r="A24415" i="1"/>
  <c r="B24415" i="1"/>
  <c r="C24415" i="1"/>
  <c r="A4235" i="1"/>
  <c r="B4235" i="1"/>
  <c r="C4235" i="1"/>
  <c r="A24718" i="1"/>
  <c r="B24718" i="1"/>
  <c r="C24718" i="1"/>
  <c r="A10228" i="1"/>
  <c r="B10228" i="1"/>
  <c r="C10228" i="1"/>
  <c r="A3753" i="1"/>
  <c r="B3753" i="1"/>
  <c r="C3753" i="1"/>
  <c r="A7644" i="1"/>
  <c r="B7644" i="1"/>
  <c r="C7644" i="1"/>
  <c r="A699" i="1"/>
  <c r="B699" i="1"/>
  <c r="C699" i="1"/>
  <c r="A7556" i="1"/>
  <c r="B7556" i="1"/>
  <c r="C7556" i="1"/>
  <c r="A19872" i="1"/>
  <c r="B19872" i="1"/>
  <c r="C19872" i="1"/>
  <c r="A22492" i="1"/>
  <c r="B22492" i="1"/>
  <c r="C22492" i="1"/>
  <c r="A4297" i="1"/>
  <c r="B4297" i="1"/>
  <c r="C4297" i="1"/>
  <c r="A22817" i="1"/>
  <c r="B22817" i="1"/>
  <c r="C22817" i="1"/>
  <c r="A22818" i="1"/>
  <c r="B22818" i="1"/>
  <c r="C22818" i="1"/>
  <c r="A15226" i="1"/>
  <c r="B15226" i="1"/>
  <c r="C15226" i="1"/>
  <c r="A21829" i="1"/>
  <c r="B21829" i="1"/>
  <c r="C21829" i="1"/>
  <c r="A9182" i="1"/>
  <c r="B9182" i="1"/>
  <c r="C9182" i="1"/>
  <c r="A2221" i="1"/>
  <c r="B2221" i="1"/>
  <c r="C2221" i="1"/>
  <c r="A10217" i="1"/>
  <c r="B10217" i="1"/>
  <c r="C10217" i="1"/>
  <c r="A10215" i="1"/>
  <c r="B10215" i="1"/>
  <c r="C10215" i="1"/>
  <c r="A10218" i="1"/>
  <c r="B10218" i="1"/>
  <c r="C10218" i="1"/>
  <c r="A18709" i="1"/>
  <c r="B18709" i="1"/>
  <c r="C18709" i="1"/>
  <c r="A8029" i="1"/>
  <c r="B8029" i="1"/>
  <c r="C8029" i="1"/>
  <c r="A16214" i="1"/>
  <c r="B16214" i="1"/>
  <c r="C16214" i="1"/>
  <c r="A5666" i="1"/>
  <c r="B5666" i="1"/>
  <c r="C5666" i="1"/>
  <c r="A17310" i="1"/>
  <c r="B17310" i="1"/>
  <c r="C17310" i="1"/>
  <c r="A22049" i="1"/>
  <c r="B22049" i="1"/>
  <c r="C22049" i="1"/>
  <c r="A2269" i="1"/>
  <c r="B2269" i="1"/>
  <c r="C2269" i="1"/>
  <c r="A14742" i="1"/>
  <c r="B14742" i="1"/>
  <c r="C14742" i="1"/>
  <c r="A5068" i="1"/>
  <c r="B5068" i="1"/>
  <c r="C5068" i="1"/>
  <c r="A1876" i="1"/>
  <c r="B1876" i="1"/>
  <c r="C1876" i="1"/>
  <c r="A365" i="1"/>
  <c r="B365" i="1"/>
  <c r="C365" i="1"/>
  <c r="A15414" i="1"/>
  <c r="B15414" i="1"/>
  <c r="C15414" i="1"/>
  <c r="A21721" i="1"/>
  <c r="B21721" i="1"/>
  <c r="C21721" i="1"/>
  <c r="A21722" i="1"/>
  <c r="B21722" i="1"/>
  <c r="C21722" i="1"/>
  <c r="A12055" i="1"/>
  <c r="B12055" i="1"/>
  <c r="C12055" i="1"/>
  <c r="A25381" i="1"/>
  <c r="B25381" i="1"/>
  <c r="C25381" i="1"/>
  <c r="A19416" i="1"/>
  <c r="B19416" i="1"/>
  <c r="C19416" i="1"/>
  <c r="A19415" i="1"/>
  <c r="B19415" i="1"/>
  <c r="C19415" i="1"/>
  <c r="A25382" i="1"/>
  <c r="B25382" i="1"/>
  <c r="C25382" i="1"/>
  <c r="A867" i="1"/>
  <c r="B867" i="1"/>
  <c r="C867" i="1"/>
  <c r="A22565" i="1"/>
  <c r="B22565" i="1"/>
  <c r="C22565" i="1"/>
  <c r="A418" i="1"/>
  <c r="B418" i="1"/>
  <c r="C418" i="1"/>
  <c r="A23331" i="1"/>
  <c r="B23331" i="1"/>
  <c r="C23331" i="1"/>
  <c r="A14696" i="1"/>
  <c r="B14696" i="1"/>
  <c r="C14696" i="1"/>
  <c r="A14694" i="1"/>
  <c r="B14694" i="1"/>
  <c r="C14694" i="1"/>
  <c r="A14695" i="1"/>
  <c r="B14695" i="1"/>
  <c r="C14695" i="1"/>
  <c r="A18838" i="1"/>
  <c r="B18838" i="1"/>
  <c r="C18838" i="1"/>
  <c r="A18840" i="1"/>
  <c r="B18840" i="1"/>
  <c r="C18840" i="1"/>
  <c r="A18839" i="1"/>
  <c r="B18839" i="1"/>
  <c r="C18839" i="1"/>
  <c r="A10771" i="1"/>
  <c r="B10771" i="1"/>
  <c r="C10771" i="1"/>
  <c r="A21720" i="1"/>
  <c r="B21720" i="1"/>
  <c r="C21720" i="1"/>
  <c r="A9410" i="1"/>
  <c r="B9410" i="1"/>
  <c r="C9410" i="1"/>
  <c r="A15793" i="1"/>
  <c r="B15793" i="1"/>
  <c r="C15793" i="1"/>
  <c r="A14" i="1"/>
  <c r="B14" i="1"/>
  <c r="C14" i="1"/>
  <c r="A9517" i="1"/>
  <c r="B9517" i="1"/>
  <c r="C9517" i="1"/>
  <c r="A2868" i="1"/>
  <c r="B2868" i="1"/>
  <c r="C2868" i="1"/>
  <c r="A22101" i="1"/>
  <c r="B22101" i="1"/>
  <c r="C22101" i="1"/>
  <c r="A21954" i="1"/>
  <c r="B21954" i="1"/>
  <c r="C21954" i="1"/>
  <c r="A21960" i="1"/>
  <c r="B21960" i="1"/>
  <c r="C21960" i="1"/>
  <c r="A24166" i="1"/>
  <c r="B24166" i="1"/>
  <c r="C24166" i="1"/>
  <c r="A8330" i="1"/>
  <c r="B8330" i="1"/>
  <c r="C8330" i="1"/>
  <c r="A124" i="1"/>
  <c r="B124" i="1"/>
  <c r="C124" i="1"/>
  <c r="A22629" i="1"/>
  <c r="B22629" i="1"/>
  <c r="C22629" i="1"/>
  <c r="A14776" i="1"/>
  <c r="B14776" i="1"/>
  <c r="C14776" i="1"/>
  <c r="A14777" i="1"/>
  <c r="B14777" i="1"/>
  <c r="C14777" i="1"/>
  <c r="A14775" i="1"/>
  <c r="B14775" i="1"/>
  <c r="C14775" i="1"/>
  <c r="A126" i="1"/>
  <c r="B126" i="1"/>
  <c r="C126" i="1"/>
  <c r="A24279" i="1"/>
  <c r="B24279" i="1"/>
  <c r="C24279" i="1"/>
  <c r="A15880" i="1"/>
  <c r="B15880" i="1"/>
  <c r="C15880" i="1"/>
  <c r="A5649" i="1"/>
  <c r="B5649" i="1"/>
  <c r="C5649" i="1"/>
  <c r="A15797" i="1"/>
  <c r="B15797" i="1"/>
  <c r="C15797" i="1"/>
  <c r="A21525" i="1"/>
  <c r="B21525" i="1"/>
  <c r="C21525" i="1"/>
  <c r="A21056" i="1"/>
  <c r="B21056" i="1"/>
  <c r="C21056" i="1"/>
  <c r="A14676" i="1"/>
  <c r="B14676" i="1"/>
  <c r="C14676" i="1"/>
  <c r="A2377" i="1"/>
  <c r="B2377" i="1"/>
  <c r="C2377" i="1"/>
  <c r="A21807" i="1"/>
  <c r="B21807" i="1"/>
  <c r="C21807" i="1"/>
  <c r="A6906" i="1"/>
  <c r="B6906" i="1"/>
  <c r="C6906" i="1"/>
  <c r="A6460" i="1"/>
  <c r="B6460" i="1"/>
  <c r="C6460" i="1"/>
  <c r="A24504" i="1"/>
  <c r="B24504" i="1"/>
  <c r="C24504" i="1"/>
  <c r="A18872" i="1"/>
  <c r="B18872" i="1"/>
  <c r="C18872" i="1"/>
  <c r="A23713" i="1"/>
  <c r="B23713" i="1"/>
  <c r="C23713" i="1"/>
  <c r="A24676" i="1"/>
  <c r="B24676" i="1"/>
  <c r="C24676" i="1"/>
  <c r="A24671" i="1"/>
  <c r="B24671" i="1"/>
  <c r="C24671" i="1"/>
  <c r="A1773" i="1"/>
  <c r="B1773" i="1"/>
  <c r="C1773" i="1"/>
  <c r="A1746" i="1"/>
  <c r="B1746" i="1"/>
  <c r="C1746" i="1"/>
  <c r="A1774" i="1"/>
  <c r="B1774" i="1"/>
  <c r="C1774" i="1"/>
  <c r="A21835" i="1"/>
  <c r="B21835" i="1"/>
  <c r="C21835" i="1"/>
  <c r="A15559" i="1"/>
  <c r="B15559" i="1"/>
  <c r="C15559" i="1"/>
  <c r="A19178" i="1"/>
  <c r="B19178" i="1"/>
  <c r="C19178" i="1"/>
  <c r="A16524" i="1"/>
  <c r="B16524" i="1"/>
  <c r="C16524" i="1"/>
  <c r="A4410" i="1"/>
  <c r="B4410" i="1"/>
  <c r="C4410" i="1"/>
  <c r="A9023" i="1"/>
  <c r="B9023" i="1"/>
  <c r="C9023" i="1"/>
  <c r="A22757" i="1"/>
  <c r="B22757" i="1"/>
  <c r="C22757" i="1"/>
  <c r="A4296" i="1"/>
  <c r="B4296" i="1"/>
  <c r="C4296" i="1"/>
  <c r="A5665" i="1"/>
  <c r="B5665" i="1"/>
  <c r="C5665" i="1"/>
  <c r="A19569" i="1"/>
  <c r="B19569" i="1"/>
  <c r="C19569" i="1"/>
  <c r="A19568" i="1"/>
  <c r="B19568" i="1"/>
  <c r="C19568" i="1"/>
  <c r="A8908" i="1"/>
  <c r="B8908" i="1"/>
  <c r="C8908" i="1"/>
  <c r="A8907" i="1"/>
  <c r="B8907" i="1"/>
  <c r="C8907" i="1"/>
  <c r="A8909" i="1"/>
  <c r="B8909" i="1"/>
  <c r="C8909" i="1"/>
  <c r="A11154" i="1"/>
  <c r="C11154" i="1"/>
  <c r="A1029" i="1"/>
  <c r="B1029" i="1"/>
  <c r="C1029" i="1"/>
  <c r="A1047" i="1"/>
  <c r="B1047" i="1"/>
  <c r="C1047" i="1"/>
  <c r="A5722" i="1"/>
  <c r="B5722" i="1"/>
  <c r="C5722" i="1"/>
  <c r="A17435" i="1"/>
  <c r="B17435" i="1"/>
  <c r="C17435" i="1"/>
  <c r="A3838" i="1"/>
  <c r="B3838" i="1"/>
  <c r="C3838" i="1"/>
  <c r="A1731" i="1"/>
  <c r="B1731" i="1"/>
  <c r="C1731" i="1"/>
  <c r="A11730" i="1"/>
  <c r="B11730" i="1"/>
  <c r="C11730" i="1"/>
  <c r="A9848" i="1"/>
  <c r="B9848" i="1"/>
  <c r="C9848" i="1"/>
  <c r="A2290" i="1"/>
  <c r="B2290" i="1"/>
  <c r="C2290" i="1"/>
  <c r="A6674" i="1"/>
  <c r="B6674" i="1"/>
  <c r="C6674" i="1"/>
  <c r="A15783" i="1"/>
  <c r="C15783" i="1"/>
  <c r="A8187" i="1"/>
  <c r="B8187" i="1"/>
  <c r="C8187" i="1"/>
  <c r="A19868" i="1"/>
  <c r="B19868" i="1"/>
  <c r="C19868" i="1"/>
  <c r="A18606" i="1"/>
  <c r="B18606" i="1"/>
  <c r="C18606" i="1"/>
  <c r="A18610" i="1"/>
  <c r="B18610" i="1"/>
  <c r="C18610" i="1"/>
  <c r="A18607" i="1"/>
  <c r="B18607" i="1"/>
  <c r="C18607" i="1"/>
  <c r="A18608" i="1"/>
  <c r="B18608" i="1"/>
  <c r="C18608" i="1"/>
  <c r="A18609" i="1"/>
  <c r="B18609" i="1"/>
  <c r="C18609" i="1"/>
  <c r="A14459" i="1"/>
  <c r="B14459" i="1"/>
  <c r="C14459" i="1"/>
  <c r="A14460" i="1"/>
  <c r="B14460" i="1"/>
  <c r="C14460" i="1"/>
  <c r="A14461" i="1"/>
  <c r="B14461" i="1"/>
  <c r="C14461" i="1"/>
  <c r="A20222" i="1"/>
  <c r="B20222" i="1"/>
  <c r="C20222" i="1"/>
  <c r="A8368" i="1"/>
  <c r="B8368" i="1"/>
  <c r="C8368" i="1"/>
  <c r="A12830" i="1"/>
  <c r="B12830" i="1"/>
  <c r="C12830" i="1"/>
  <c r="A7167" i="1"/>
  <c r="B7167" i="1"/>
  <c r="C7167" i="1"/>
  <c r="A4394" i="1"/>
  <c r="B4394" i="1"/>
  <c r="C4394" i="1"/>
  <c r="A9547" i="1"/>
  <c r="B9547" i="1"/>
  <c r="C9547" i="1"/>
  <c r="A15536" i="1"/>
  <c r="B15536" i="1"/>
  <c r="C15536" i="1"/>
  <c r="A19167" i="1"/>
  <c r="B19167" i="1"/>
  <c r="C19167" i="1"/>
  <c r="A19164" i="1"/>
  <c r="B19164" i="1"/>
  <c r="C19164" i="1"/>
  <c r="A23207" i="1"/>
  <c r="B23207" i="1"/>
  <c r="C23207" i="1"/>
  <c r="A24099" i="1"/>
  <c r="B24099" i="1"/>
  <c r="C24099" i="1"/>
  <c r="A17469" i="1"/>
  <c r="B17469" i="1"/>
  <c r="C17469" i="1"/>
  <c r="A1416" i="1"/>
  <c r="B1416" i="1"/>
  <c r="C1416" i="1"/>
  <c r="A1417" i="1"/>
  <c r="B1417" i="1"/>
  <c r="C1417" i="1"/>
  <c r="A1425" i="1"/>
  <c r="B1425" i="1"/>
  <c r="C1425" i="1"/>
  <c r="A20823" i="1"/>
  <c r="B20823" i="1"/>
  <c r="C20823" i="1"/>
  <c r="A20607" i="1"/>
  <c r="B20607" i="1"/>
  <c r="C20607" i="1"/>
  <c r="A2233" i="1"/>
  <c r="B2233" i="1"/>
  <c r="C2233" i="1"/>
  <c r="A20225" i="1"/>
  <c r="B20225" i="1"/>
  <c r="C20225" i="1"/>
  <c r="A21074" i="1"/>
  <c r="B21074" i="1"/>
  <c r="C21074" i="1"/>
  <c r="A23673" i="1"/>
  <c r="B23673" i="1"/>
  <c r="C23673" i="1"/>
  <c r="A5430" i="1"/>
  <c r="B5430" i="1"/>
  <c r="C5430" i="1"/>
  <c r="A1082" i="1"/>
  <c r="B1082" i="1"/>
  <c r="C1082" i="1"/>
  <c r="A23676" i="1"/>
  <c r="B23676" i="1"/>
  <c r="C23676" i="1"/>
  <c r="A23675" i="1"/>
  <c r="B23675" i="1"/>
  <c r="C23675" i="1"/>
  <c r="A5431" i="1"/>
  <c r="B5431" i="1"/>
  <c r="C5431" i="1"/>
  <c r="A1083" i="1"/>
  <c r="B1083" i="1"/>
  <c r="C1083" i="1"/>
  <c r="A23677" i="1"/>
  <c r="B23677" i="1"/>
  <c r="C23677" i="1"/>
  <c r="A11938" i="1"/>
  <c r="B11938" i="1"/>
  <c r="C11938" i="1"/>
  <c r="A11937" i="1"/>
  <c r="B11937" i="1"/>
  <c r="C11937" i="1"/>
  <c r="A15184" i="1"/>
  <c r="B15184" i="1"/>
  <c r="C15184" i="1"/>
  <c r="A15181" i="1"/>
  <c r="B15181" i="1"/>
  <c r="C15181" i="1"/>
  <c r="A15185" i="1"/>
  <c r="B15185" i="1"/>
  <c r="C15185" i="1"/>
  <c r="A15188" i="1"/>
  <c r="B15188" i="1"/>
  <c r="C15188" i="1"/>
  <c r="A15183" i="1"/>
  <c r="B15183" i="1"/>
  <c r="C15183" i="1"/>
  <c r="A15186" i="1"/>
  <c r="B15186" i="1"/>
  <c r="C15186" i="1"/>
  <c r="A15191" i="1"/>
  <c r="B15191" i="1"/>
  <c r="C15191" i="1"/>
  <c r="A15190" i="1"/>
  <c r="B15190" i="1"/>
  <c r="C15190" i="1"/>
  <c r="A15187" i="1"/>
  <c r="B15187" i="1"/>
  <c r="C15187" i="1"/>
  <c r="A15180" i="1"/>
  <c r="B15180" i="1"/>
  <c r="C15180" i="1"/>
  <c r="A18415" i="1"/>
  <c r="B18415" i="1"/>
  <c r="C18415" i="1"/>
  <c r="A20634" i="1"/>
  <c r="B20634" i="1"/>
  <c r="C20634" i="1"/>
  <c r="A16275" i="1"/>
  <c r="B16275" i="1"/>
  <c r="C16275" i="1"/>
  <c r="A15189" i="1"/>
  <c r="B15189" i="1"/>
  <c r="C15189" i="1"/>
  <c r="A15182" i="1"/>
  <c r="B15182" i="1"/>
  <c r="C15182" i="1"/>
  <c r="A24702" i="1"/>
  <c r="B24702" i="1"/>
  <c r="C24702" i="1"/>
  <c r="A25566" i="1"/>
  <c r="B25566" i="1"/>
  <c r="C25566" i="1"/>
  <c r="A5664" i="1"/>
  <c r="B5664" i="1"/>
  <c r="C5664" i="1"/>
  <c r="A22708" i="1"/>
  <c r="B22708" i="1"/>
  <c r="C22708" i="1"/>
  <c r="A10766" i="1"/>
  <c r="B10766" i="1"/>
  <c r="C10766" i="1"/>
  <c r="A6046" i="1"/>
  <c r="B6046" i="1"/>
  <c r="C6046" i="1"/>
  <c r="A5885" i="1"/>
  <c r="B5885" i="1"/>
  <c r="C5885" i="1"/>
  <c r="A6004" i="1"/>
  <c r="B6004" i="1"/>
  <c r="C6004" i="1"/>
  <c r="A15080" i="1"/>
  <c r="B15080" i="1"/>
  <c r="C15080" i="1"/>
  <c r="A15082" i="1"/>
  <c r="B15082" i="1"/>
  <c r="C15082" i="1"/>
  <c r="A15090" i="1"/>
  <c r="B15090" i="1"/>
  <c r="C15090" i="1"/>
  <c r="A16264" i="1"/>
  <c r="B16264" i="1"/>
  <c r="C16264" i="1"/>
  <c r="A9498" i="1"/>
  <c r="B9498" i="1"/>
  <c r="C9498" i="1"/>
  <c r="A9499" i="1"/>
  <c r="B9499" i="1"/>
  <c r="C9499" i="1"/>
  <c r="A9548" i="1"/>
  <c r="B9548" i="1"/>
  <c r="C9548" i="1"/>
  <c r="A20184" i="1"/>
  <c r="B20184" i="1"/>
  <c r="C20184" i="1"/>
  <c r="A10023" i="1"/>
  <c r="B10023" i="1"/>
  <c r="C10023" i="1"/>
  <c r="A6617" i="1"/>
  <c r="B6617" i="1"/>
  <c r="C6617" i="1"/>
  <c r="A13730" i="1"/>
  <c r="B13730" i="1"/>
  <c r="C13730" i="1"/>
  <c r="A20119" i="1"/>
  <c r="B20119" i="1"/>
  <c r="C20119" i="1"/>
  <c r="A5671" i="1"/>
  <c r="B5671" i="1"/>
  <c r="C5671" i="1"/>
  <c r="A24452" i="1"/>
  <c r="B24452" i="1"/>
  <c r="C24452" i="1"/>
  <c r="A23166" i="1"/>
  <c r="B23166" i="1"/>
  <c r="C23166" i="1"/>
  <c r="A8469" i="1"/>
  <c r="B8469" i="1"/>
  <c r="C8469" i="1"/>
  <c r="A313" i="1"/>
  <c r="B313" i="1"/>
  <c r="C313" i="1"/>
  <c r="A312" i="1"/>
  <c r="B312" i="1"/>
  <c r="C312" i="1"/>
  <c r="A25036" i="1"/>
  <c r="B25036" i="1"/>
  <c r="C25036" i="1"/>
  <c r="A24762" i="1"/>
  <c r="B24762" i="1"/>
  <c r="C24762" i="1"/>
  <c r="A25257" i="1"/>
  <c r="B25257" i="1"/>
  <c r="C25257" i="1"/>
  <c r="A25244" i="1"/>
  <c r="B25244" i="1"/>
  <c r="C25244" i="1"/>
  <c r="A24797" i="1"/>
  <c r="B24797" i="1"/>
  <c r="C24797" i="1"/>
  <c r="A22650" i="1"/>
  <c r="B22650" i="1"/>
  <c r="C22650" i="1"/>
  <c r="A5002" i="1"/>
  <c r="B5002" i="1"/>
  <c r="C5002" i="1"/>
  <c r="A5000" i="1"/>
  <c r="B5000" i="1"/>
  <c r="C5000" i="1"/>
  <c r="A12457" i="1"/>
  <c r="B12457" i="1"/>
  <c r="C12457" i="1"/>
  <c r="A22195" i="1"/>
  <c r="B22195" i="1"/>
  <c r="C22195" i="1"/>
  <c r="A17743" i="1"/>
  <c r="B17743" i="1"/>
  <c r="C17743" i="1"/>
  <c r="A18038" i="1"/>
  <c r="B18038" i="1"/>
  <c r="C18038" i="1"/>
  <c r="A18039" i="1"/>
  <c r="B18039" i="1"/>
  <c r="C18039" i="1"/>
  <c r="A18040" i="1"/>
  <c r="B18040" i="1"/>
  <c r="C18040" i="1"/>
  <c r="A22518" i="1"/>
  <c r="B22518" i="1"/>
  <c r="C22518" i="1"/>
  <c r="A23674" i="1"/>
  <c r="B23674" i="1"/>
  <c r="C23674" i="1"/>
  <c r="A23672" i="1"/>
  <c r="B23672" i="1"/>
  <c r="C23672" i="1"/>
  <c r="A15117" i="1"/>
  <c r="B15117" i="1"/>
  <c r="C15117" i="1"/>
  <c r="A24581" i="1"/>
  <c r="B24581" i="1"/>
  <c r="C24581" i="1"/>
  <c r="A24439" i="1"/>
  <c r="B24439" i="1"/>
  <c r="C24439" i="1"/>
  <c r="A24441" i="1"/>
  <c r="B24441" i="1"/>
  <c r="C24441" i="1"/>
  <c r="A24440" i="1"/>
  <c r="B24440" i="1"/>
  <c r="C24440" i="1"/>
  <c r="A24438" i="1"/>
  <c r="B24438" i="1"/>
  <c r="C24438" i="1"/>
  <c r="A19777" i="1"/>
  <c r="B19777" i="1"/>
  <c r="C19777" i="1"/>
  <c r="A4331" i="1"/>
  <c r="B4331" i="1"/>
  <c r="C4331" i="1"/>
  <c r="A16256" i="1"/>
  <c r="B16256" i="1"/>
  <c r="C16256" i="1"/>
  <c r="A16894" i="1"/>
  <c r="B16894" i="1"/>
  <c r="C16894" i="1"/>
  <c r="A5292" i="1"/>
  <c r="B5292" i="1"/>
  <c r="C5292" i="1"/>
  <c r="A24375" i="1"/>
  <c r="B24375" i="1"/>
  <c r="C24375" i="1"/>
  <c r="A17650" i="1"/>
  <c r="B17650" i="1"/>
  <c r="C17650" i="1"/>
  <c r="A9665" i="1"/>
  <c r="B9665" i="1"/>
  <c r="C9665" i="1"/>
  <c r="A9666" i="1"/>
  <c r="B9666" i="1"/>
  <c r="C9666" i="1"/>
  <c r="A2004" i="1"/>
  <c r="B2004" i="1"/>
  <c r="C2004" i="1"/>
  <c r="A18042" i="1"/>
  <c r="B18042" i="1"/>
  <c r="C18042" i="1"/>
  <c r="A25087" i="1"/>
  <c r="B25087" i="1"/>
  <c r="C25087" i="1"/>
  <c r="A17830" i="1"/>
  <c r="B17830" i="1"/>
  <c r="C17830" i="1"/>
  <c r="A25021" i="1"/>
  <c r="B25021" i="1"/>
  <c r="C25021" i="1"/>
  <c r="A5597" i="1"/>
  <c r="B5597" i="1"/>
  <c r="C5597" i="1"/>
  <c r="A19372" i="1"/>
  <c r="B19372" i="1"/>
  <c r="C19372" i="1"/>
  <c r="A2574" i="1"/>
  <c r="B2574" i="1"/>
  <c r="C2574" i="1"/>
  <c r="A17752" i="1"/>
  <c r="B17752" i="1"/>
  <c r="C17752" i="1"/>
  <c r="A22339" i="1"/>
  <c r="B22339" i="1"/>
  <c r="C22339" i="1"/>
  <c r="A25338" i="1"/>
  <c r="B25338" i="1"/>
  <c r="C25338" i="1"/>
  <c r="A19857" i="1"/>
  <c r="B19857" i="1"/>
  <c r="C19857" i="1"/>
  <c r="A20322" i="1"/>
  <c r="B20322" i="1"/>
  <c r="C20322" i="1"/>
  <c r="A21055" i="1"/>
  <c r="B21055" i="1"/>
  <c r="C21055" i="1"/>
  <c r="A4249" i="1"/>
  <c r="B4249" i="1"/>
  <c r="C4249" i="1"/>
  <c r="A9904" i="1"/>
  <c r="B9904" i="1"/>
  <c r="C9904" i="1"/>
  <c r="A11253" i="1"/>
  <c r="B11253" i="1"/>
  <c r="C11253" i="1"/>
  <c r="A9026" i="1"/>
  <c r="B9026" i="1"/>
  <c r="C9026" i="1"/>
  <c r="A9294" i="1"/>
  <c r="B9294" i="1"/>
  <c r="C9294" i="1"/>
  <c r="A14646" i="1"/>
  <c r="B14646" i="1"/>
  <c r="C14646" i="1"/>
  <c r="A19871" i="1"/>
  <c r="B19871" i="1"/>
  <c r="C19871" i="1"/>
  <c r="A9341" i="1"/>
  <c r="B9341" i="1"/>
  <c r="C9341" i="1"/>
  <c r="A9337" i="1"/>
  <c r="B9337" i="1"/>
  <c r="C9337" i="1"/>
  <c r="A9340" i="1"/>
  <c r="B9340" i="1"/>
  <c r="C9340" i="1"/>
  <c r="A20744" i="1"/>
  <c r="B20744" i="1"/>
  <c r="C20744" i="1"/>
  <c r="A25350" i="1"/>
  <c r="B25350" i="1"/>
  <c r="C25350" i="1"/>
  <c r="A21889" i="1"/>
  <c r="B21889" i="1"/>
  <c r="C21889" i="1"/>
  <c r="A21888" i="1"/>
  <c r="B21888" i="1"/>
  <c r="C21888" i="1"/>
  <c r="A21887" i="1"/>
  <c r="B21887" i="1"/>
  <c r="C21887" i="1"/>
  <c r="A3882" i="1"/>
  <c r="B3882" i="1"/>
  <c r="C3882" i="1"/>
  <c r="A5601" i="1"/>
  <c r="B5601" i="1"/>
  <c r="C5601" i="1"/>
  <c r="A25444" i="1"/>
  <c r="B25444" i="1"/>
  <c r="C25444" i="1"/>
  <c r="A17126" i="1"/>
  <c r="B17126" i="1"/>
  <c r="C17126" i="1"/>
  <c r="A18748" i="1"/>
  <c r="B18748" i="1"/>
  <c r="C18748" i="1"/>
  <c r="A13211" i="1"/>
  <c r="B13211" i="1"/>
  <c r="C13211" i="1"/>
  <c r="A13210" i="1"/>
  <c r="B13210" i="1"/>
  <c r="C13210" i="1"/>
  <c r="A12330" i="1"/>
  <c r="B12330" i="1"/>
  <c r="C12330" i="1"/>
  <c r="A1055" i="1"/>
  <c r="C1055" i="1"/>
  <c r="A20781" i="1"/>
  <c r="B20781" i="1"/>
  <c r="C20781" i="1"/>
  <c r="A20474" i="1"/>
  <c r="B20474" i="1"/>
  <c r="C20474" i="1"/>
  <c r="A20418" i="1"/>
  <c r="B20418" i="1"/>
  <c r="C20418" i="1"/>
  <c r="A18832" i="1"/>
  <c r="B18832" i="1"/>
  <c r="C18832" i="1"/>
  <c r="A4179" i="1"/>
  <c r="B4179" i="1"/>
  <c r="C4179" i="1"/>
  <c r="A9534" i="1"/>
  <c r="B9534" i="1"/>
  <c r="C9534" i="1"/>
  <c r="A3814" i="1"/>
  <c r="B3814" i="1"/>
  <c r="C3814" i="1"/>
  <c r="A14760" i="1"/>
  <c r="B14760" i="1"/>
  <c r="C14760" i="1"/>
  <c r="A9501" i="1"/>
  <c r="B9501" i="1"/>
  <c r="C9501" i="1"/>
  <c r="A3134" i="1"/>
  <c r="B3134" i="1"/>
  <c r="C3134" i="1"/>
  <c r="A3135" i="1"/>
  <c r="B3135" i="1"/>
  <c r="C3135" i="1"/>
  <c r="A3136" i="1"/>
  <c r="B3136" i="1"/>
  <c r="C3136" i="1"/>
  <c r="A3137" i="1"/>
  <c r="B3137" i="1"/>
  <c r="C3137" i="1"/>
  <c r="A3138" i="1"/>
  <c r="B3138" i="1"/>
  <c r="C3138" i="1"/>
  <c r="A3139" i="1"/>
  <c r="B3139" i="1"/>
  <c r="C3139" i="1"/>
  <c r="A3140" i="1"/>
  <c r="B3140" i="1"/>
  <c r="C3140" i="1"/>
  <c r="A3141" i="1"/>
  <c r="B3141" i="1"/>
  <c r="C3141" i="1"/>
  <c r="A3142" i="1"/>
  <c r="B3142" i="1"/>
  <c r="C3142" i="1"/>
  <c r="A3143" i="1"/>
  <c r="B3143" i="1"/>
  <c r="C3143" i="1"/>
  <c r="A3144" i="1"/>
  <c r="B3144" i="1"/>
  <c r="C3144" i="1"/>
  <c r="A3145" i="1"/>
  <c r="B3145" i="1"/>
  <c r="C3145" i="1"/>
  <c r="A22372" i="1"/>
  <c r="B22372" i="1"/>
  <c r="C22372" i="1"/>
  <c r="A15878" i="1"/>
  <c r="B15878" i="1"/>
  <c r="C15878" i="1"/>
  <c r="A15877" i="1"/>
  <c r="B15877" i="1"/>
  <c r="C15877" i="1"/>
  <c r="A15551" i="1"/>
  <c r="B15551" i="1"/>
  <c r="C15551" i="1"/>
  <c r="A18315" i="1"/>
  <c r="B18315" i="1"/>
  <c r="C18315" i="1"/>
  <c r="A19354" i="1"/>
  <c r="B19354" i="1"/>
  <c r="C19354" i="1"/>
  <c r="A13869" i="1"/>
  <c r="B13869" i="1"/>
  <c r="C13869" i="1"/>
  <c r="A10761" i="1"/>
  <c r="B10761" i="1"/>
  <c r="C10761" i="1"/>
  <c r="A12166" i="1"/>
  <c r="B12166" i="1"/>
  <c r="C12166" i="1"/>
  <c r="A2077" i="1"/>
  <c r="B2077" i="1"/>
  <c r="C2077" i="1"/>
  <c r="A10909" i="1"/>
  <c r="B10909" i="1"/>
  <c r="C10909" i="1"/>
  <c r="A13844" i="1"/>
  <c r="B13844" i="1"/>
  <c r="C13844" i="1"/>
  <c r="A5436" i="1"/>
  <c r="B5436" i="1"/>
  <c r="C5436" i="1"/>
  <c r="A20709" i="1"/>
  <c r="B20709" i="1"/>
  <c r="C20709" i="1"/>
  <c r="A4227" i="1"/>
  <c r="B4227" i="1"/>
  <c r="C4227" i="1"/>
  <c r="A25201" i="1"/>
  <c r="B25201" i="1"/>
  <c r="C25201" i="1"/>
  <c r="A6444" i="1"/>
  <c r="B6444" i="1"/>
  <c r="C6444" i="1"/>
  <c r="A19723" i="1"/>
  <c r="B19723" i="1"/>
  <c r="C19723" i="1"/>
  <c r="A22418" i="1"/>
  <c r="B22418" i="1"/>
  <c r="C22418" i="1"/>
  <c r="A16628" i="1"/>
  <c r="B16628" i="1"/>
  <c r="C16628" i="1"/>
  <c r="A3635" i="1"/>
  <c r="B3635" i="1"/>
  <c r="C3635" i="1"/>
  <c r="A3638" i="1"/>
  <c r="B3638" i="1"/>
  <c r="C3638" i="1"/>
  <c r="A3579" i="1"/>
  <c r="B3579" i="1"/>
  <c r="C3579" i="1"/>
  <c r="A8590" i="1"/>
  <c r="B8590" i="1"/>
  <c r="C8590" i="1"/>
  <c r="A8306" i="1"/>
  <c r="B8306" i="1"/>
  <c r="C8306" i="1"/>
  <c r="A8341" i="1"/>
  <c r="B8341" i="1"/>
  <c r="C8341" i="1"/>
  <c r="A14763" i="1"/>
  <c r="B14763" i="1"/>
  <c r="C14763" i="1"/>
  <c r="A14762" i="1"/>
  <c r="B14762" i="1"/>
  <c r="C14762" i="1"/>
  <c r="A3640" i="1"/>
  <c r="B3640" i="1"/>
  <c r="C3640" i="1"/>
  <c r="A23803" i="1"/>
  <c r="B23803" i="1"/>
  <c r="C23803" i="1"/>
  <c r="A1341" i="1"/>
  <c r="B1341" i="1"/>
  <c r="C1341" i="1"/>
  <c r="A18837" i="1"/>
  <c r="B18837" i="1"/>
  <c r="C18837" i="1"/>
  <c r="A13308" i="1"/>
  <c r="B13308" i="1"/>
  <c r="C13308" i="1"/>
  <c r="A3452" i="1"/>
  <c r="B3452" i="1"/>
  <c r="C3452" i="1"/>
  <c r="A23628" i="1"/>
  <c r="B23628" i="1"/>
  <c r="C23628" i="1"/>
  <c r="A13744" i="1"/>
  <c r="B13744" i="1"/>
  <c r="C13744" i="1"/>
  <c r="A11886" i="1"/>
  <c r="B11886" i="1"/>
  <c r="C11886" i="1"/>
  <c r="A3834" i="1"/>
  <c r="B3834" i="1"/>
  <c r="C3834" i="1"/>
  <c r="A24136" i="1"/>
  <c r="B24136" i="1"/>
  <c r="C24136" i="1"/>
  <c r="A19482" i="1"/>
  <c r="B19482" i="1"/>
  <c r="C19482" i="1"/>
  <c r="A19481" i="1"/>
  <c r="B19481" i="1"/>
  <c r="C19481" i="1"/>
  <c r="A24368" i="1"/>
  <c r="B24368" i="1"/>
  <c r="C24368" i="1"/>
  <c r="A4415" i="1"/>
  <c r="B4415" i="1"/>
  <c r="C4415" i="1"/>
  <c r="A20948" i="1"/>
  <c r="B20948" i="1"/>
  <c r="C20948" i="1"/>
  <c r="A1951" i="1"/>
  <c r="B1951" i="1"/>
  <c r="C1951" i="1"/>
  <c r="A19325" i="1"/>
  <c r="B19325" i="1"/>
  <c r="C19325" i="1"/>
  <c r="A11566" i="1"/>
  <c r="B11566" i="1"/>
  <c r="C11566" i="1"/>
  <c r="A6438" i="1"/>
  <c r="B6438" i="1"/>
  <c r="C6438" i="1"/>
  <c r="A15826" i="1"/>
  <c r="B15826" i="1"/>
  <c r="C15826" i="1"/>
  <c r="A21971" i="1"/>
  <c r="B21971" i="1"/>
  <c r="C21971" i="1"/>
  <c r="A12056" i="1"/>
  <c r="B12056" i="1"/>
  <c r="C12056" i="1"/>
  <c r="A20787" i="1"/>
  <c r="B20787" i="1"/>
  <c r="C20787" i="1"/>
  <c r="A24528" i="1"/>
  <c r="B24528" i="1"/>
  <c r="C24528" i="1"/>
  <c r="A12759" i="1"/>
  <c r="B12759" i="1"/>
  <c r="C12759" i="1"/>
  <c r="A6051" i="1"/>
  <c r="B6051" i="1"/>
  <c r="C6051" i="1"/>
  <c r="A24526" i="1"/>
  <c r="B24526" i="1"/>
  <c r="C24526" i="1"/>
  <c r="A12561" i="1"/>
  <c r="B12561" i="1"/>
  <c r="C12561" i="1"/>
  <c r="A5420" i="1"/>
  <c r="B5420" i="1"/>
  <c r="C5420" i="1"/>
  <c r="A2959" i="1"/>
  <c r="B2959" i="1"/>
  <c r="C2959" i="1"/>
  <c r="A15942" i="1"/>
  <c r="B15942" i="1"/>
  <c r="C15942" i="1"/>
  <c r="A14361" i="1"/>
  <c r="B14361" i="1"/>
  <c r="C14361" i="1"/>
  <c r="A16329" i="1"/>
  <c r="B16329" i="1"/>
  <c r="C16329" i="1"/>
  <c r="A16328" i="1"/>
  <c r="B16328" i="1"/>
  <c r="C16328" i="1"/>
  <c r="A12506" i="1"/>
  <c r="B12506" i="1"/>
  <c r="C12506" i="1"/>
  <c r="A15102" i="1"/>
  <c r="B15102" i="1"/>
  <c r="C15102" i="1"/>
  <c r="A15103" i="1"/>
  <c r="B15103" i="1"/>
  <c r="C15103" i="1"/>
  <c r="A3334" i="1"/>
  <c r="B3334" i="1"/>
  <c r="C3334" i="1"/>
  <c r="A3333" i="1"/>
  <c r="B3333" i="1"/>
  <c r="C3333" i="1"/>
  <c r="A3174" i="1"/>
  <c r="B3174" i="1"/>
  <c r="C3174" i="1"/>
  <c r="A3177" i="1"/>
  <c r="B3177" i="1"/>
  <c r="C3177" i="1"/>
  <c r="A2632" i="1"/>
  <c r="B2632" i="1"/>
  <c r="C2632" i="1"/>
  <c r="A2633" i="1"/>
  <c r="B2633" i="1"/>
  <c r="C2633" i="1"/>
  <c r="A24502" i="1"/>
  <c r="B24502" i="1"/>
  <c r="C24502" i="1"/>
  <c r="A3077" i="1"/>
  <c r="B3077" i="1"/>
  <c r="C3077" i="1"/>
  <c r="A22062" i="1"/>
  <c r="B22062" i="1"/>
  <c r="C22062" i="1"/>
  <c r="A24615" i="1"/>
  <c r="B24615" i="1"/>
  <c r="C24615" i="1"/>
  <c r="A12817" i="1"/>
  <c r="B12817" i="1"/>
  <c r="C12817" i="1"/>
  <c r="A10453" i="1"/>
  <c r="B10453" i="1"/>
  <c r="C10453" i="1"/>
  <c r="A13818" i="1"/>
  <c r="B13818" i="1"/>
  <c r="C13818" i="1"/>
  <c r="A13901" i="1"/>
  <c r="B13901" i="1"/>
  <c r="C13901" i="1"/>
  <c r="A310" i="1"/>
  <c r="B310" i="1"/>
  <c r="C310" i="1"/>
  <c r="A18188" i="1"/>
  <c r="B18188" i="1"/>
  <c r="C18188" i="1"/>
  <c r="A6415" i="1"/>
  <c r="B6415" i="1"/>
  <c r="C6415" i="1"/>
  <c r="A6396" i="1"/>
  <c r="B6396" i="1"/>
  <c r="C6396" i="1"/>
  <c r="A6395" i="1"/>
  <c r="B6395" i="1"/>
  <c r="C6395" i="1"/>
  <c r="A2665" i="1"/>
  <c r="B2665" i="1"/>
  <c r="C2665" i="1"/>
  <c r="A2664" i="1"/>
  <c r="B2664" i="1"/>
  <c r="C2664" i="1"/>
  <c r="A25402" i="1"/>
  <c r="B25402" i="1"/>
  <c r="C25402" i="1"/>
  <c r="A25405" i="1"/>
  <c r="B25405" i="1"/>
  <c r="C25405" i="1"/>
  <c r="A14428" i="1"/>
  <c r="B14428" i="1"/>
  <c r="C14428" i="1"/>
  <c r="A736" i="1"/>
  <c r="B736" i="1"/>
  <c r="C736" i="1"/>
  <c r="A10773" i="1"/>
  <c r="B10773" i="1"/>
  <c r="C10773" i="1"/>
  <c r="A9178" i="1"/>
  <c r="B9178" i="1"/>
  <c r="C9178" i="1"/>
  <c r="A17612" i="1"/>
  <c r="B17612" i="1"/>
  <c r="C17612" i="1"/>
  <c r="A23462" i="1"/>
  <c r="B23462" i="1"/>
  <c r="C23462" i="1"/>
  <c r="A18413" i="1"/>
  <c r="B18413" i="1"/>
  <c r="C18413" i="1"/>
  <c r="A18414" i="1"/>
  <c r="B18414" i="1"/>
  <c r="C18414" i="1"/>
  <c r="A8243" i="1"/>
  <c r="B8243" i="1"/>
  <c r="C8243" i="1"/>
  <c r="A9947" i="1"/>
  <c r="B9947" i="1"/>
  <c r="C9947" i="1"/>
  <c r="A9948" i="1"/>
  <c r="B9948" i="1"/>
  <c r="C9948" i="1"/>
  <c r="A13900" i="1"/>
  <c r="B13900" i="1"/>
  <c r="C13900" i="1"/>
  <c r="A20765" i="1"/>
  <c r="B20765" i="1"/>
  <c r="C20765" i="1"/>
  <c r="A24691" i="1"/>
  <c r="B24691" i="1"/>
  <c r="C24691" i="1"/>
  <c r="A9189" i="1"/>
  <c r="B9189" i="1"/>
  <c r="C9189" i="1"/>
  <c r="A9156" i="1"/>
  <c r="B9156" i="1"/>
  <c r="C9156" i="1"/>
  <c r="A9151" i="1"/>
  <c r="B9151" i="1"/>
  <c r="C9151" i="1"/>
  <c r="A9016" i="1"/>
  <c r="B9016" i="1"/>
  <c r="C9016" i="1"/>
  <c r="A4160" i="1"/>
  <c r="B4160" i="1"/>
  <c r="C4160" i="1"/>
  <c r="A9131" i="1"/>
  <c r="B9131" i="1"/>
  <c r="C9131" i="1"/>
  <c r="A21808" i="1"/>
  <c r="B21808" i="1"/>
  <c r="C21808" i="1"/>
  <c r="A22862" i="1"/>
  <c r="B22862" i="1"/>
  <c r="C22862" i="1"/>
  <c r="A22660" i="1"/>
  <c r="B22660" i="1"/>
  <c r="C22660" i="1"/>
  <c r="A3967" i="1"/>
  <c r="B3967" i="1"/>
  <c r="C3967" i="1"/>
  <c r="A9279" i="1"/>
  <c r="B9279" i="1"/>
  <c r="C9279" i="1"/>
  <c r="A24527" i="1"/>
  <c r="B24527" i="1"/>
  <c r="C24527" i="1"/>
  <c r="A23525" i="1"/>
  <c r="B23525" i="1"/>
  <c r="C23525" i="1"/>
  <c r="A23589" i="1"/>
  <c r="B23589" i="1"/>
  <c r="C23589" i="1"/>
  <c r="A23822" i="1"/>
  <c r="B23822" i="1"/>
  <c r="C23822" i="1"/>
  <c r="A18119" i="1"/>
  <c r="B18119" i="1"/>
  <c r="C18119" i="1"/>
  <c r="A14510" i="1"/>
  <c r="B14510" i="1"/>
  <c r="C14510" i="1"/>
  <c r="A14385" i="1"/>
  <c r="B14385" i="1"/>
  <c r="C14385" i="1"/>
  <c r="A730" i="1"/>
  <c r="B730" i="1"/>
  <c r="C730" i="1"/>
  <c r="A731" i="1"/>
  <c r="B731" i="1"/>
  <c r="C731" i="1"/>
  <c r="A10487" i="1"/>
  <c r="B10487" i="1"/>
  <c r="C10487" i="1"/>
  <c r="A10485" i="1"/>
  <c r="B10485" i="1"/>
  <c r="C10485" i="1"/>
  <c r="A10486" i="1"/>
  <c r="B10486" i="1"/>
  <c r="C10486" i="1"/>
  <c r="A1049" i="1"/>
  <c r="B1049" i="1"/>
  <c r="C1049" i="1"/>
  <c r="A22403" i="1"/>
  <c r="B22403" i="1"/>
  <c r="C22403" i="1"/>
  <c r="A7731" i="1"/>
  <c r="B7731" i="1"/>
  <c r="C7731" i="1"/>
  <c r="A2924" i="1"/>
  <c r="B2924" i="1"/>
  <c r="C2924" i="1"/>
  <c r="A22982" i="1"/>
  <c r="B22982" i="1"/>
  <c r="C22982" i="1"/>
  <c r="A21843" i="1"/>
  <c r="B21843" i="1"/>
  <c r="C21843" i="1"/>
  <c r="A17675" i="1"/>
  <c r="B17675" i="1"/>
  <c r="C17675" i="1"/>
  <c r="A2590" i="1"/>
  <c r="B2590" i="1"/>
  <c r="C2590" i="1"/>
  <c r="A20467" i="1"/>
  <c r="B20467" i="1"/>
  <c r="C20467" i="1"/>
  <c r="A6799" i="1"/>
  <c r="B6799" i="1"/>
  <c r="C6799" i="1"/>
  <c r="A1988" i="1"/>
  <c r="B1988" i="1"/>
  <c r="C1988" i="1"/>
  <c r="A14201" i="1"/>
  <c r="B14201" i="1"/>
  <c r="C14201" i="1"/>
  <c r="A25051" i="1"/>
  <c r="B25051" i="1"/>
  <c r="C25051" i="1"/>
  <c r="A25090" i="1"/>
  <c r="B25090" i="1"/>
  <c r="C25090" i="1"/>
  <c r="A24246" i="1"/>
  <c r="B24246" i="1"/>
  <c r="C24246" i="1"/>
  <c r="A20738" i="1"/>
  <c r="B20738" i="1"/>
  <c r="C20738" i="1"/>
  <c r="A4178" i="1"/>
  <c r="B4178" i="1"/>
  <c r="C4178" i="1"/>
  <c r="A23016" i="1"/>
  <c r="B23016" i="1"/>
  <c r="C23016" i="1"/>
  <c r="A7571" i="1"/>
  <c r="C7571" i="1"/>
  <c r="A8998" i="1"/>
  <c r="B8998" i="1"/>
  <c r="C8998" i="1"/>
  <c r="A6421" i="1"/>
  <c r="B6421" i="1"/>
  <c r="C6421" i="1"/>
  <c r="A12713" i="1"/>
  <c r="B12713" i="1"/>
  <c r="C12713" i="1"/>
  <c r="A62" i="1"/>
  <c r="B62" i="1"/>
  <c r="C62" i="1"/>
  <c r="A6390" i="1"/>
  <c r="B6390" i="1"/>
  <c r="C6390" i="1"/>
  <c r="A16854" i="1"/>
  <c r="B16854" i="1"/>
  <c r="C16854" i="1"/>
  <c r="A20438" i="1"/>
  <c r="B20438" i="1"/>
  <c r="C20438" i="1"/>
  <c r="A19679" i="1"/>
  <c r="B19679" i="1"/>
  <c r="C19679" i="1"/>
  <c r="A7472" i="1"/>
  <c r="B7472" i="1"/>
  <c r="C7472" i="1"/>
  <c r="A7471" i="1"/>
  <c r="B7471" i="1"/>
  <c r="C7471" i="1"/>
  <c r="A2960" i="1"/>
  <c r="B2960" i="1"/>
  <c r="C2960" i="1"/>
  <c r="A23903" i="1"/>
  <c r="B23903" i="1"/>
  <c r="C23903" i="1"/>
  <c r="A18554" i="1"/>
  <c r="B18554" i="1"/>
  <c r="C18554" i="1"/>
  <c r="A5217" i="1"/>
  <c r="B5217" i="1"/>
  <c r="C5217" i="1"/>
  <c r="A22635" i="1"/>
  <c r="B22635" i="1"/>
  <c r="C22635" i="1"/>
  <c r="A18108" i="1"/>
  <c r="B18108" i="1"/>
  <c r="C18108" i="1"/>
  <c r="A13318" i="1"/>
  <c r="B13318" i="1"/>
  <c r="C13318" i="1"/>
  <c r="A21801" i="1"/>
  <c r="B21801" i="1"/>
  <c r="C21801" i="1"/>
  <c r="A14692" i="1"/>
  <c r="B14692" i="1"/>
  <c r="C14692" i="1"/>
  <c r="A25466" i="1"/>
  <c r="B25466" i="1"/>
  <c r="C25466" i="1"/>
  <c r="A757" i="1"/>
  <c r="B757" i="1"/>
  <c r="C757" i="1"/>
  <c r="A2599" i="1"/>
  <c r="B2599" i="1"/>
  <c r="C2599" i="1"/>
  <c r="A11137" i="1"/>
  <c r="B11137" i="1"/>
  <c r="C11137" i="1"/>
  <c r="A5653" i="1"/>
  <c r="B5653" i="1"/>
  <c r="C5653" i="1"/>
  <c r="A977" i="1"/>
  <c r="B977" i="1"/>
  <c r="C977" i="1"/>
  <c r="A10780" i="1"/>
  <c r="B10780" i="1"/>
  <c r="C10780" i="1"/>
  <c r="A13889" i="1"/>
  <c r="B13889" i="1"/>
  <c r="C13889" i="1"/>
  <c r="A18854" i="1"/>
  <c r="B18854" i="1"/>
  <c r="C18854" i="1"/>
  <c r="A13693" i="1"/>
  <c r="B13693" i="1"/>
  <c r="C13693" i="1"/>
  <c r="A17130" i="1"/>
  <c r="B17130" i="1"/>
  <c r="C17130" i="1"/>
  <c r="A24429" i="1"/>
  <c r="C24429" i="1"/>
  <c r="A25455" i="1"/>
  <c r="B25455" i="1"/>
  <c r="C25455" i="1"/>
  <c r="A15094" i="1"/>
  <c r="B15094" i="1"/>
  <c r="C15094" i="1"/>
  <c r="A15095" i="1"/>
  <c r="B15095" i="1"/>
  <c r="C15095" i="1"/>
  <c r="A15091" i="1"/>
  <c r="B15091" i="1"/>
  <c r="C15091" i="1"/>
  <c r="A15558" i="1"/>
  <c r="B15558" i="1"/>
  <c r="C15558" i="1"/>
  <c r="A8217" i="1"/>
  <c r="B8217" i="1"/>
  <c r="C8217" i="1"/>
  <c r="A20736" i="1"/>
  <c r="B20736" i="1"/>
  <c r="C20736" i="1"/>
  <c r="A1894" i="1"/>
  <c r="B1894" i="1"/>
  <c r="C1894" i="1"/>
  <c r="A4877" i="1"/>
  <c r="B4877" i="1"/>
  <c r="C4877" i="1"/>
  <c r="A25091" i="1"/>
  <c r="B25091" i="1"/>
  <c r="C25091" i="1"/>
  <c r="A18028" i="1"/>
  <c r="B18028" i="1"/>
  <c r="C18028" i="1"/>
  <c r="A12066" i="1"/>
  <c r="B12066" i="1"/>
  <c r="C12066" i="1"/>
  <c r="A16900" i="1"/>
  <c r="B16900" i="1"/>
  <c r="C16900" i="1"/>
  <c r="A12067" i="1"/>
  <c r="B12067" i="1"/>
  <c r="C12067" i="1"/>
  <c r="A19409" i="1"/>
  <c r="B19409" i="1"/>
  <c r="C19409" i="1"/>
  <c r="A25476" i="1"/>
  <c r="B25476" i="1"/>
  <c r="C25476" i="1"/>
  <c r="A7788" i="1"/>
  <c r="B7788" i="1"/>
  <c r="C7788" i="1"/>
  <c r="A8001" i="1"/>
  <c r="B8001" i="1"/>
  <c r="C8001" i="1"/>
  <c r="A16987" i="1"/>
  <c r="B16987" i="1"/>
  <c r="C16987" i="1"/>
  <c r="A21534" i="1"/>
  <c r="B21534" i="1"/>
  <c r="C21534" i="1"/>
  <c r="A18262" i="1"/>
  <c r="B18262" i="1"/>
  <c r="C18262" i="1"/>
  <c r="A10392" i="1"/>
  <c r="B10392" i="1"/>
  <c r="C10392" i="1"/>
  <c r="A8019" i="1"/>
  <c r="B8019" i="1"/>
  <c r="C8019" i="1"/>
  <c r="A3919" i="1"/>
  <c r="B3919" i="1"/>
  <c r="C3919" i="1"/>
  <c r="A25642" i="1"/>
  <c r="B25642" i="1"/>
  <c r="C25642" i="1"/>
  <c r="A2559" i="1"/>
  <c r="B2559" i="1"/>
  <c r="C2559" i="1"/>
  <c r="A11121" i="1"/>
  <c r="B11121" i="1"/>
  <c r="C11121" i="1"/>
  <c r="A19074" i="1"/>
  <c r="B19074" i="1"/>
  <c r="C19074" i="1"/>
  <c r="A15417" i="1"/>
  <c r="B15417" i="1"/>
  <c r="C15417" i="1"/>
  <c r="A13697" i="1"/>
  <c r="B13697" i="1"/>
  <c r="C13697" i="1"/>
  <c r="A5551" i="1"/>
  <c r="B5551" i="1"/>
  <c r="C5551" i="1"/>
  <c r="A18192" i="1"/>
  <c r="B18192" i="1"/>
  <c r="C18192" i="1"/>
  <c r="A6894" i="1"/>
  <c r="B6894" i="1"/>
  <c r="C6894" i="1"/>
  <c r="A6898" i="1"/>
  <c r="B6898" i="1"/>
  <c r="C6898" i="1"/>
  <c r="A22710" i="1"/>
  <c r="B22710" i="1"/>
  <c r="C22710" i="1"/>
  <c r="A6893" i="1"/>
  <c r="B6893" i="1"/>
  <c r="C6893" i="1"/>
  <c r="A6897" i="1"/>
  <c r="B6897" i="1"/>
  <c r="C6897" i="1"/>
  <c r="A6895" i="1"/>
  <c r="B6895" i="1"/>
  <c r="C6895" i="1"/>
  <c r="A24719" i="1"/>
  <c r="B24719" i="1"/>
  <c r="C24719" i="1"/>
  <c r="A12468" i="1"/>
  <c r="B12468" i="1"/>
  <c r="C12468" i="1"/>
  <c r="A191" i="1"/>
  <c r="B191" i="1"/>
  <c r="C191" i="1"/>
  <c r="A304" i="1"/>
  <c r="B304" i="1"/>
  <c r="C304" i="1"/>
  <c r="A4804" i="1"/>
  <c r="B4804" i="1"/>
  <c r="C4804" i="1"/>
  <c r="A14062" i="1"/>
  <c r="B14062" i="1"/>
  <c r="C14062" i="1"/>
  <c r="A14061" i="1"/>
  <c r="B14061" i="1"/>
  <c r="C14061" i="1"/>
  <c r="A23214" i="1"/>
  <c r="B23214" i="1"/>
  <c r="C23214" i="1"/>
  <c r="A19764" i="1"/>
  <c r="B19764" i="1"/>
  <c r="C19764" i="1"/>
  <c r="A3682" i="1"/>
  <c r="B3682" i="1"/>
  <c r="C3682" i="1"/>
  <c r="A406" i="1"/>
  <c r="B406" i="1"/>
  <c r="C406" i="1"/>
  <c r="A5387" i="1"/>
  <c r="B5387" i="1"/>
  <c r="C5387" i="1"/>
  <c r="A8474" i="1"/>
  <c r="B8474" i="1"/>
  <c r="C8474" i="1"/>
  <c r="A9515" i="1"/>
  <c r="B9515" i="1"/>
  <c r="C9515" i="1"/>
  <c r="A4854" i="1"/>
  <c r="B4854" i="1"/>
  <c r="C4854" i="1"/>
  <c r="A16546" i="1"/>
  <c r="B16546" i="1"/>
  <c r="C16546" i="1"/>
  <c r="A16545" i="1"/>
  <c r="B16545" i="1"/>
  <c r="C16545" i="1"/>
  <c r="A4859" i="1"/>
  <c r="B4859" i="1"/>
  <c r="C4859" i="1"/>
  <c r="A8938" i="1"/>
  <c r="B8938" i="1"/>
  <c r="C8938" i="1"/>
  <c r="A19423" i="1"/>
  <c r="B19423" i="1"/>
  <c r="C19423" i="1"/>
  <c r="A1854" i="1"/>
  <c r="B1854" i="1"/>
  <c r="C1854" i="1"/>
  <c r="A14581" i="1"/>
  <c r="B14581" i="1"/>
  <c r="C14581" i="1"/>
  <c r="A1969" i="1"/>
  <c r="B1969" i="1"/>
  <c r="C1969" i="1"/>
  <c r="A25718" i="1"/>
  <c r="B25718" i="1"/>
  <c r="C25718" i="1"/>
  <c r="A20214" i="1"/>
  <c r="B20214" i="1"/>
  <c r="C20214" i="1"/>
  <c r="A6972" i="1"/>
  <c r="B6972" i="1"/>
  <c r="C6972" i="1"/>
  <c r="A8473" i="1"/>
  <c r="B8473" i="1"/>
  <c r="C8473" i="1"/>
  <c r="A18376" i="1"/>
  <c r="B18376" i="1"/>
  <c r="C18376" i="1"/>
  <c r="A3634" i="1"/>
  <c r="B3634" i="1"/>
  <c r="C3634" i="1"/>
  <c r="A3633" i="1"/>
  <c r="B3633" i="1"/>
  <c r="C3633" i="1"/>
  <c r="A8505" i="1"/>
  <c r="B8505" i="1"/>
  <c r="C8505" i="1"/>
  <c r="A8458" i="1"/>
  <c r="B8458" i="1"/>
  <c r="C8458" i="1"/>
  <c r="A19238" i="1"/>
  <c r="B19238" i="1"/>
  <c r="C19238" i="1"/>
  <c r="A18101" i="1"/>
  <c r="B18101" i="1"/>
  <c r="C18101" i="1"/>
  <c r="A18214" i="1"/>
  <c r="B18214" i="1"/>
  <c r="C18214" i="1"/>
  <c r="A18172" i="1"/>
  <c r="B18172" i="1"/>
  <c r="C18172" i="1"/>
  <c r="A2069" i="1"/>
  <c r="C2069" i="1"/>
  <c r="A983" i="1"/>
  <c r="B983" i="1"/>
  <c r="C983" i="1"/>
  <c r="A6105" i="1"/>
  <c r="B6105" i="1"/>
  <c r="C6105" i="1"/>
  <c r="A6111" i="1"/>
  <c r="B6111" i="1"/>
  <c r="C6111" i="1"/>
  <c r="A6228" i="1"/>
  <c r="B6228" i="1"/>
  <c r="C6228" i="1"/>
  <c r="A6236" i="1"/>
  <c r="B6236" i="1"/>
  <c r="C6236" i="1"/>
  <c r="A6296" i="1"/>
  <c r="B6296" i="1"/>
  <c r="C6296" i="1"/>
  <c r="A6299" i="1"/>
  <c r="B6299" i="1"/>
  <c r="C6299" i="1"/>
  <c r="A6298" i="1"/>
  <c r="B6298" i="1"/>
  <c r="C6298" i="1"/>
  <c r="A6301" i="1"/>
  <c r="B6301" i="1"/>
  <c r="C6301" i="1"/>
  <c r="A6305" i="1"/>
  <c r="B6305" i="1"/>
  <c r="C6305" i="1"/>
  <c r="A6300" i="1"/>
  <c r="B6300" i="1"/>
  <c r="C6300" i="1"/>
  <c r="A6304" i="1"/>
  <c r="B6304" i="1"/>
  <c r="C6304" i="1"/>
  <c r="A6269" i="1"/>
  <c r="B6269" i="1"/>
  <c r="C6269" i="1"/>
  <c r="A13396" i="1"/>
  <c r="B13396" i="1"/>
  <c r="C13396" i="1"/>
  <c r="A6297" i="1"/>
  <c r="B6297" i="1"/>
  <c r="C6297" i="1"/>
  <c r="A5534" i="1"/>
  <c r="B5534" i="1"/>
  <c r="C5534" i="1"/>
  <c r="A19722" i="1"/>
  <c r="B19722" i="1"/>
  <c r="C19722" i="1"/>
  <c r="A13745" i="1"/>
  <c r="B13745" i="1"/>
  <c r="C13745" i="1"/>
  <c r="A17391" i="1"/>
  <c r="B17391" i="1"/>
  <c r="C17391" i="1"/>
  <c r="A17390" i="1"/>
  <c r="B17390" i="1"/>
  <c r="C17390" i="1"/>
  <c r="A24131" i="1"/>
  <c r="B24131" i="1"/>
  <c r="C24131" i="1"/>
  <c r="A9878" i="1"/>
  <c r="B9878" i="1"/>
  <c r="C9878" i="1"/>
  <c r="A3028" i="1"/>
  <c r="B3028" i="1"/>
  <c r="C3028" i="1"/>
  <c r="A9841" i="1"/>
  <c r="B9841" i="1"/>
  <c r="C9841" i="1"/>
  <c r="A9842" i="1"/>
  <c r="B9842" i="1"/>
  <c r="C9842" i="1"/>
  <c r="A24999" i="1"/>
  <c r="B24999" i="1"/>
  <c r="C24999" i="1"/>
  <c r="A21918" i="1"/>
  <c r="B21918" i="1"/>
  <c r="C21918" i="1"/>
  <c r="A24998" i="1"/>
  <c r="B24998" i="1"/>
  <c r="C24998" i="1"/>
  <c r="A4433" i="1"/>
  <c r="B4433" i="1"/>
  <c r="C4433" i="1"/>
  <c r="A608" i="1"/>
  <c r="B608" i="1"/>
  <c r="C608" i="1"/>
  <c r="A1339" i="1"/>
  <c r="B1339" i="1"/>
  <c r="C1339" i="1"/>
  <c r="A14302" i="1"/>
  <c r="B14302" i="1"/>
  <c r="C14302" i="1"/>
  <c r="A20398" i="1"/>
  <c r="B20398" i="1"/>
  <c r="C20398" i="1"/>
  <c r="A20006" i="1"/>
  <c r="B20006" i="1"/>
  <c r="C20006" i="1"/>
  <c r="A13714" i="1"/>
  <c r="B13714" i="1"/>
  <c r="C13714" i="1"/>
  <c r="A25095" i="1"/>
  <c r="B25095" i="1"/>
  <c r="C25095" i="1"/>
  <c r="A25094" i="1"/>
  <c r="B25094" i="1"/>
  <c r="C25094" i="1"/>
  <c r="A25093" i="1"/>
  <c r="B25093" i="1"/>
  <c r="C25093" i="1"/>
  <c r="A4371" i="1"/>
  <c r="B4371" i="1"/>
  <c r="C4371" i="1"/>
  <c r="A5587" i="1"/>
  <c r="B5587" i="1"/>
  <c r="C5587" i="1"/>
  <c r="A15593" i="1"/>
  <c r="B15593" i="1"/>
  <c r="C15593" i="1"/>
  <c r="A58" i="1"/>
  <c r="B58" i="1"/>
  <c r="C58" i="1"/>
  <c r="A15997" i="1"/>
  <c r="B15997" i="1"/>
  <c r="C15997" i="1"/>
  <c r="A15452" i="1"/>
  <c r="B15452" i="1"/>
  <c r="C15452" i="1"/>
  <c r="A3918" i="1"/>
  <c r="B3918" i="1"/>
  <c r="C3918" i="1"/>
  <c r="A2974" i="1"/>
  <c r="B2974" i="1"/>
  <c r="C2974" i="1"/>
  <c r="A2325" i="1"/>
  <c r="B2325" i="1"/>
  <c r="C2325" i="1"/>
  <c r="A16022" i="1"/>
  <c r="B16022" i="1"/>
  <c r="C16022" i="1"/>
  <c r="A17572" i="1"/>
  <c r="B17572" i="1"/>
  <c r="C17572" i="1"/>
  <c r="A24899" i="1"/>
  <c r="B24899" i="1"/>
  <c r="C24899" i="1"/>
  <c r="A24582" i="1"/>
  <c r="B24582" i="1"/>
  <c r="C24582" i="1"/>
  <c r="A2917" i="1"/>
  <c r="B2917" i="1"/>
  <c r="C2917" i="1"/>
  <c r="A5684" i="1"/>
  <c r="B5684" i="1"/>
  <c r="C5684" i="1"/>
  <c r="A18014" i="1"/>
  <c r="B18014" i="1"/>
  <c r="C18014" i="1"/>
  <c r="A5377" i="1"/>
  <c r="B5377" i="1"/>
  <c r="C5377" i="1"/>
  <c r="A18377" i="1"/>
  <c r="B18377" i="1"/>
  <c r="C18377" i="1"/>
  <c r="A4395" i="1"/>
  <c r="B4395" i="1"/>
  <c r="C4395" i="1"/>
  <c r="A15034" i="1"/>
  <c r="B15034" i="1"/>
  <c r="C15034" i="1"/>
  <c r="A2973" i="1"/>
  <c r="B2973" i="1"/>
  <c r="C2973" i="1"/>
  <c r="A12440" i="1"/>
  <c r="B12440" i="1"/>
  <c r="C12440" i="1"/>
  <c r="A18106" i="1"/>
  <c r="B18106" i="1"/>
  <c r="C18106" i="1"/>
  <c r="A22383" i="1"/>
  <c r="B22383" i="1"/>
  <c r="C22383" i="1"/>
  <c r="A22382" i="1"/>
  <c r="B22382" i="1"/>
  <c r="C22382" i="1"/>
  <c r="A10171" i="1"/>
  <c r="B10171" i="1"/>
  <c r="C10171" i="1"/>
  <c r="A10172" i="1"/>
  <c r="B10172" i="1"/>
  <c r="C10172" i="1"/>
  <c r="A17573" i="1"/>
  <c r="B17573" i="1"/>
  <c r="C17573" i="1"/>
  <c r="A22194" i="1"/>
  <c r="B22194" i="1"/>
  <c r="C22194" i="1"/>
  <c r="A850" i="1"/>
  <c r="B850" i="1"/>
  <c r="C850" i="1"/>
  <c r="A9807" i="1"/>
  <c r="B9807" i="1"/>
  <c r="C9807" i="1"/>
  <c r="A15576" i="1"/>
  <c r="B15576" i="1"/>
  <c r="C15576" i="1"/>
  <c r="A17666" i="1"/>
  <c r="B17666" i="1"/>
  <c r="C17666" i="1"/>
  <c r="A12833" i="1"/>
  <c r="B12833" i="1"/>
  <c r="C12833" i="1"/>
  <c r="A22348" i="1"/>
  <c r="B22348" i="1"/>
  <c r="C22348" i="1"/>
  <c r="A24017" i="1"/>
  <c r="B24017" i="1"/>
  <c r="C24017" i="1"/>
  <c r="A202" i="1"/>
  <c r="B202" i="1"/>
  <c r="C202" i="1"/>
  <c r="A1707" i="1"/>
  <c r="B1707" i="1"/>
  <c r="C1707" i="1"/>
  <c r="A9288" i="1"/>
  <c r="B9288" i="1"/>
  <c r="C9288" i="1"/>
  <c r="A24580" i="1"/>
  <c r="B24580" i="1"/>
  <c r="C24580" i="1"/>
  <c r="A9853" i="1"/>
  <c r="B9853" i="1"/>
  <c r="C9853" i="1"/>
  <c r="A5608" i="1"/>
  <c r="B5608" i="1"/>
  <c r="C5608" i="1"/>
  <c r="A25252" i="1"/>
  <c r="B25252" i="1"/>
  <c r="C25252" i="1"/>
  <c r="A12532" i="1"/>
  <c r="B12532" i="1"/>
  <c r="C12532" i="1"/>
  <c r="A20356" i="1"/>
  <c r="B20356" i="1"/>
  <c r="C20356" i="1"/>
  <c r="A20346" i="1"/>
  <c r="B20346" i="1"/>
  <c r="C20346" i="1"/>
  <c r="A19526" i="1"/>
  <c r="B19526" i="1"/>
  <c r="C19526" i="1"/>
  <c r="A19582" i="1"/>
  <c r="B19582" i="1"/>
  <c r="C19582" i="1"/>
  <c r="A19579" i="1"/>
  <c r="B19579" i="1"/>
  <c r="C19579" i="1"/>
  <c r="A11747" i="1"/>
  <c r="B11747" i="1"/>
  <c r="C11747" i="1"/>
  <c r="A12748" i="1"/>
  <c r="B12748" i="1"/>
  <c r="C12748" i="1"/>
  <c r="A7923" i="1"/>
  <c r="B7923" i="1"/>
  <c r="C7923" i="1"/>
  <c r="A7733" i="1"/>
  <c r="B7733" i="1"/>
  <c r="C7733" i="1"/>
  <c r="A16005" i="1"/>
  <c r="B16005" i="1"/>
  <c r="C16005" i="1"/>
  <c r="A2785" i="1"/>
  <c r="B2785" i="1"/>
  <c r="C2785" i="1"/>
  <c r="A5778" i="1"/>
  <c r="B5778" i="1"/>
  <c r="C5778" i="1"/>
  <c r="A18124" i="1"/>
  <c r="B18124" i="1"/>
  <c r="C18124" i="1"/>
  <c r="A8940" i="1"/>
  <c r="B8940" i="1"/>
  <c r="C8940" i="1"/>
  <c r="A3182" i="1"/>
  <c r="B3182" i="1"/>
  <c r="C3182" i="1"/>
  <c r="A269" i="1"/>
  <c r="B269" i="1"/>
  <c r="C269" i="1"/>
  <c r="A25312" i="1"/>
  <c r="B25312" i="1"/>
  <c r="C25312" i="1"/>
  <c r="A2918" i="1"/>
  <c r="B2918" i="1"/>
  <c r="C2918" i="1"/>
  <c r="A8925" i="1"/>
  <c r="B8925" i="1"/>
  <c r="C8925" i="1"/>
  <c r="A15946" i="1"/>
  <c r="B15946" i="1"/>
  <c r="C15946" i="1"/>
  <c r="A13348" i="1"/>
  <c r="B13348" i="1"/>
  <c r="C13348" i="1"/>
  <c r="A25319" i="1"/>
  <c r="B25319" i="1"/>
  <c r="C25319" i="1"/>
  <c r="A18035" i="1"/>
  <c r="B18035" i="1"/>
  <c r="C18035" i="1"/>
  <c r="A25686" i="1"/>
  <c r="B25686" i="1"/>
  <c r="C25686" i="1"/>
  <c r="A17393" i="1"/>
  <c r="B17393" i="1"/>
  <c r="C17393" i="1"/>
  <c r="A17392" i="1"/>
  <c r="B17392" i="1"/>
  <c r="C17392" i="1"/>
  <c r="A650" i="1"/>
  <c r="B650" i="1"/>
  <c r="C650" i="1"/>
  <c r="A15577" i="1"/>
  <c r="B15577" i="1"/>
  <c r="C15577" i="1"/>
  <c r="A15556" i="1"/>
  <c r="B15556" i="1"/>
  <c r="C15556" i="1"/>
  <c r="A13676" i="1"/>
  <c r="B13676" i="1"/>
  <c r="C13676" i="1"/>
  <c r="A24004" i="1"/>
  <c r="B24004" i="1"/>
  <c r="C24004" i="1"/>
  <c r="A18174" i="1"/>
  <c r="B18174" i="1"/>
  <c r="C18174" i="1"/>
  <c r="A9975" i="1"/>
  <c r="B9975" i="1"/>
  <c r="C9975" i="1"/>
  <c r="A20146" i="1"/>
  <c r="B20146" i="1"/>
  <c r="C20146" i="1"/>
  <c r="A13023" i="1"/>
  <c r="B13023" i="1"/>
  <c r="C13023" i="1"/>
  <c r="A13091" i="1"/>
  <c r="B13091" i="1"/>
  <c r="C13091" i="1"/>
  <c r="A9222" i="1"/>
  <c r="B9222" i="1"/>
  <c r="C9222" i="1"/>
  <c r="A4484" i="1"/>
  <c r="B4484" i="1"/>
  <c r="C4484" i="1"/>
  <c r="A5095" i="1"/>
  <c r="B5095" i="1"/>
  <c r="C5095" i="1"/>
  <c r="A13264" i="1"/>
  <c r="B13264" i="1"/>
  <c r="C13264" i="1"/>
  <c r="A13099" i="1"/>
  <c r="B13099" i="1"/>
  <c r="C13099" i="1"/>
  <c r="A5443" i="1"/>
  <c r="B5443" i="1"/>
  <c r="C5443" i="1"/>
  <c r="A13086" i="1"/>
  <c r="B13086" i="1"/>
  <c r="C13086" i="1"/>
  <c r="A18299" i="1"/>
  <c r="B18299" i="1"/>
  <c r="C18299" i="1"/>
  <c r="A16870" i="1"/>
  <c r="B16870" i="1"/>
  <c r="C16870" i="1"/>
  <c r="A18324" i="1"/>
  <c r="B18324" i="1"/>
  <c r="C18324" i="1"/>
  <c r="A4444" i="1"/>
  <c r="B4444" i="1"/>
  <c r="C4444" i="1"/>
  <c r="A4132" i="1"/>
  <c r="B4132" i="1"/>
  <c r="C4132" i="1"/>
  <c r="A9715" i="1"/>
  <c r="B9715" i="1"/>
  <c r="C9715" i="1"/>
  <c r="A346" i="1"/>
  <c r="B346" i="1"/>
  <c r="C346" i="1"/>
  <c r="A22714" i="1"/>
  <c r="B22714" i="1"/>
  <c r="C22714" i="1"/>
  <c r="A22716" i="1"/>
  <c r="B22716" i="1"/>
  <c r="C22716" i="1"/>
  <c r="A22717" i="1"/>
  <c r="B22717" i="1"/>
  <c r="C22717" i="1"/>
  <c r="A1870" i="1"/>
  <c r="B1870" i="1"/>
  <c r="C1870" i="1"/>
  <c r="A5841" i="1"/>
  <c r="B5841" i="1"/>
  <c r="C5841" i="1"/>
  <c r="A3847" i="1"/>
  <c r="B3847" i="1"/>
  <c r="C3847" i="1"/>
  <c r="A3846" i="1"/>
  <c r="B3846" i="1"/>
  <c r="C3846" i="1"/>
  <c r="A3848" i="1"/>
  <c r="B3848" i="1"/>
  <c r="C3848" i="1"/>
  <c r="A20215" i="1"/>
  <c r="B20215" i="1"/>
  <c r="C20215" i="1"/>
  <c r="A6475" i="1"/>
  <c r="B6475" i="1"/>
  <c r="C6475" i="1"/>
  <c r="A17742" i="1"/>
  <c r="B17742" i="1"/>
  <c r="C17742" i="1"/>
  <c r="A22477" i="1"/>
  <c r="B22477" i="1"/>
  <c r="C22477" i="1"/>
  <c r="A403" i="1"/>
  <c r="B403" i="1"/>
  <c r="C403" i="1"/>
  <c r="A22775" i="1"/>
  <c r="B22775" i="1"/>
  <c r="C22775" i="1"/>
  <c r="A22971" i="1"/>
  <c r="B22971" i="1"/>
  <c r="C22971" i="1"/>
  <c r="A18285" i="1"/>
  <c r="B18285" i="1"/>
  <c r="C18285" i="1"/>
  <c r="A13687" i="1"/>
  <c r="B13687" i="1"/>
  <c r="C13687" i="1"/>
  <c r="A13684" i="1"/>
  <c r="B13684" i="1"/>
  <c r="C13684" i="1"/>
  <c r="A13686" i="1"/>
  <c r="B13686" i="1"/>
  <c r="C13686" i="1"/>
  <c r="A206" i="1"/>
  <c r="B206" i="1"/>
  <c r="C206" i="1"/>
  <c r="A24041" i="1"/>
  <c r="B24041" i="1"/>
  <c r="C24041" i="1"/>
  <c r="A24039" i="1"/>
  <c r="B24039" i="1"/>
  <c r="C24039" i="1"/>
  <c r="A4457" i="1"/>
  <c r="B4457" i="1"/>
  <c r="C4457" i="1"/>
  <c r="A4434" i="1"/>
  <c r="B4434" i="1"/>
  <c r="C4434" i="1"/>
  <c r="A4390" i="1"/>
  <c r="B4390" i="1"/>
  <c r="C4390" i="1"/>
  <c r="A16648" i="1"/>
  <c r="B16648" i="1"/>
  <c r="C16648" i="1"/>
  <c r="A12665" i="1"/>
  <c r="B12665" i="1"/>
  <c r="C12665" i="1"/>
  <c r="A24040" i="1"/>
  <c r="B24040" i="1"/>
  <c r="C24040" i="1"/>
  <c r="A208" i="1"/>
  <c r="B208" i="1"/>
  <c r="C208" i="1"/>
  <c r="A13781" i="1"/>
  <c r="B13781" i="1"/>
  <c r="C13781" i="1"/>
  <c r="A30" i="1"/>
  <c r="B30" i="1"/>
  <c r="C30" i="1"/>
  <c r="A19977" i="1"/>
  <c r="B19977" i="1"/>
  <c r="C19977" i="1"/>
  <c r="A15537" i="1"/>
  <c r="B15537" i="1"/>
  <c r="C15537" i="1"/>
  <c r="A6859" i="1"/>
  <c r="B6859" i="1"/>
  <c r="C6859" i="1"/>
  <c r="A160" i="1"/>
  <c r="B160" i="1"/>
  <c r="C160" i="1"/>
  <c r="A16788" i="1"/>
  <c r="B16788" i="1"/>
  <c r="C16788" i="1"/>
  <c r="A147" i="1"/>
  <c r="B147" i="1"/>
  <c r="C147" i="1"/>
  <c r="A22027" i="1"/>
  <c r="B22027" i="1"/>
  <c r="C22027" i="1"/>
  <c r="A15584" i="1"/>
  <c r="B15584" i="1"/>
  <c r="C15584" i="1"/>
  <c r="A10954" i="1"/>
  <c r="B10954" i="1"/>
  <c r="C10954" i="1"/>
  <c r="A11979" i="1"/>
  <c r="B11979" i="1"/>
  <c r="C11979" i="1"/>
  <c r="A5229" i="1"/>
  <c r="B5229" i="1"/>
  <c r="C5229" i="1"/>
  <c r="A10084" i="1"/>
  <c r="B10084" i="1"/>
  <c r="C10084" i="1"/>
  <c r="A2689" i="1"/>
  <c r="B2689" i="1"/>
  <c r="C2689" i="1"/>
  <c r="A19202" i="1"/>
  <c r="B19202" i="1"/>
  <c r="C19202" i="1"/>
  <c r="A11135" i="1"/>
  <c r="B11135" i="1"/>
  <c r="C11135" i="1"/>
  <c r="A13309" i="1"/>
  <c r="B13309" i="1"/>
  <c r="C13309" i="1"/>
  <c r="A4673" i="1"/>
  <c r="B4673" i="1"/>
  <c r="C4673" i="1"/>
  <c r="A15550" i="1"/>
  <c r="B15550" i="1"/>
  <c r="C15550" i="1"/>
  <c r="A19524" i="1"/>
  <c r="B19524" i="1"/>
  <c r="C19524" i="1"/>
  <c r="A158" i="1"/>
  <c r="B158" i="1"/>
  <c r="C158" i="1"/>
  <c r="A21440" i="1"/>
  <c r="B21440" i="1"/>
  <c r="C21440" i="1"/>
  <c r="A12439" i="1"/>
  <c r="B12439" i="1"/>
  <c r="C12439" i="1"/>
  <c r="A12437" i="1"/>
  <c r="B12437" i="1"/>
  <c r="C12437" i="1"/>
  <c r="A18213" i="1"/>
  <c r="B18213" i="1"/>
  <c r="C18213" i="1"/>
  <c r="A8735" i="1"/>
  <c r="B8735" i="1"/>
  <c r="C8735" i="1"/>
  <c r="A8739" i="1"/>
  <c r="B8739" i="1"/>
  <c r="C8739" i="1"/>
  <c r="A11051" i="1"/>
  <c r="B11051" i="1"/>
  <c r="C11051" i="1"/>
  <c r="A8871" i="1"/>
  <c r="B8871" i="1"/>
  <c r="C8871" i="1"/>
  <c r="A8812" i="1"/>
  <c r="B8812" i="1"/>
  <c r="C8812" i="1"/>
  <c r="A8867" i="1"/>
  <c r="B8867" i="1"/>
  <c r="C8867" i="1"/>
  <c r="A8811" i="1"/>
  <c r="B8811" i="1"/>
  <c r="C8811" i="1"/>
  <c r="A16996" i="1"/>
  <c r="B16996" i="1"/>
  <c r="C16996" i="1"/>
  <c r="A16555" i="1"/>
  <c r="B16555" i="1"/>
  <c r="C16555" i="1"/>
  <c r="A7887" i="1"/>
  <c r="B7887" i="1"/>
  <c r="C7887" i="1"/>
  <c r="A8737" i="1"/>
  <c r="B8737" i="1"/>
  <c r="C8737" i="1"/>
  <c r="A8738" i="1"/>
  <c r="B8738" i="1"/>
  <c r="C8738" i="1"/>
  <c r="A8701" i="1"/>
  <c r="B8701" i="1"/>
  <c r="C8701" i="1"/>
  <c r="A8700" i="1"/>
  <c r="B8700" i="1"/>
  <c r="C8700" i="1"/>
  <c r="A18498" i="1"/>
  <c r="B18498" i="1"/>
  <c r="C18498" i="1"/>
  <c r="A18993" i="1"/>
  <c r="B18993" i="1"/>
  <c r="C18993" i="1"/>
  <c r="A21399" i="1"/>
  <c r="B21399" i="1"/>
  <c r="C21399" i="1"/>
  <c r="A18519" i="1"/>
  <c r="B18519" i="1"/>
  <c r="C18519" i="1"/>
  <c r="A18493" i="1"/>
  <c r="B18493" i="1"/>
  <c r="C18493" i="1"/>
  <c r="A8699" i="1"/>
  <c r="B8699" i="1"/>
  <c r="C8699" i="1"/>
  <c r="A8698" i="1"/>
  <c r="B8698" i="1"/>
  <c r="C8698" i="1"/>
  <c r="A13079" i="1"/>
  <c r="B13079" i="1"/>
  <c r="C13079" i="1"/>
  <c r="A9216" i="1"/>
  <c r="B9216" i="1"/>
  <c r="C9216" i="1"/>
  <c r="A8705" i="1"/>
  <c r="B8705" i="1"/>
  <c r="C8705" i="1"/>
  <c r="A8636" i="1"/>
  <c r="B8636" i="1"/>
  <c r="C8636" i="1"/>
  <c r="A11004" i="1"/>
  <c r="B11004" i="1"/>
  <c r="C11004" i="1"/>
  <c r="A21281" i="1"/>
  <c r="B21281" i="1"/>
  <c r="C21281" i="1"/>
  <c r="A21280" i="1"/>
  <c r="B21280" i="1"/>
  <c r="C21280" i="1"/>
  <c r="A21224" i="1"/>
  <c r="B21224" i="1"/>
  <c r="C21224" i="1"/>
  <c r="A21293" i="1"/>
  <c r="B21293" i="1"/>
  <c r="C21293" i="1"/>
  <c r="A21225" i="1"/>
  <c r="B21225" i="1"/>
  <c r="C21225" i="1"/>
  <c r="A21294" i="1"/>
  <c r="B21294" i="1"/>
  <c r="C21294" i="1"/>
  <c r="A21226" i="1"/>
  <c r="B21226" i="1"/>
  <c r="C21226" i="1"/>
  <c r="A21295" i="1"/>
  <c r="B21295" i="1"/>
  <c r="C21295" i="1"/>
  <c r="A21248" i="1"/>
  <c r="B21248" i="1"/>
  <c r="C21248" i="1"/>
  <c r="A18488" i="1"/>
  <c r="B18488" i="1"/>
  <c r="C18488" i="1"/>
  <c r="A7988" i="1"/>
  <c r="B7988" i="1"/>
  <c r="C7988" i="1"/>
  <c r="A7987" i="1"/>
  <c r="B7987" i="1"/>
  <c r="C7987" i="1"/>
  <c r="A18439" i="1"/>
  <c r="B18439" i="1"/>
  <c r="C18439" i="1"/>
  <c r="A15420" i="1"/>
  <c r="B15420" i="1"/>
  <c r="C15420" i="1"/>
  <c r="A15421" i="1"/>
  <c r="B15421" i="1"/>
  <c r="C15421" i="1"/>
  <c r="A19769" i="1"/>
  <c r="B19769" i="1"/>
  <c r="C19769" i="1"/>
  <c r="A12094" i="1"/>
  <c r="B12094" i="1"/>
  <c r="C12094" i="1"/>
  <c r="A8651" i="1"/>
  <c r="B8651" i="1"/>
  <c r="C8651" i="1"/>
  <c r="A8709" i="1"/>
  <c r="B8709" i="1"/>
  <c r="C8709" i="1"/>
  <c r="A8714" i="1"/>
  <c r="B8714" i="1"/>
  <c r="C8714" i="1"/>
  <c r="A15422" i="1"/>
  <c r="B15422" i="1"/>
  <c r="C15422" i="1"/>
  <c r="A10553" i="1"/>
  <c r="B10553" i="1"/>
  <c r="C10553" i="1"/>
  <c r="A1271" i="1"/>
  <c r="B1271" i="1"/>
  <c r="C1271" i="1"/>
  <c r="A15409" i="1"/>
  <c r="B15409" i="1"/>
  <c r="C15409" i="1"/>
  <c r="A10320" i="1"/>
  <c r="B10320" i="1"/>
  <c r="C10320" i="1"/>
  <c r="A15411" i="1"/>
  <c r="B15411" i="1"/>
  <c r="C15411" i="1"/>
  <c r="A1273" i="1"/>
  <c r="B1273" i="1"/>
  <c r="C1273" i="1"/>
  <c r="A8733" i="1"/>
  <c r="B8733" i="1"/>
  <c r="C8733" i="1"/>
  <c r="A1274" i="1"/>
  <c r="B1274" i="1"/>
  <c r="C1274" i="1"/>
  <c r="A1272" i="1"/>
  <c r="B1272" i="1"/>
  <c r="C1272" i="1"/>
  <c r="A2562" i="1"/>
  <c r="B2562" i="1"/>
  <c r="C2562" i="1"/>
  <c r="A12095" i="1"/>
  <c r="B12095" i="1"/>
  <c r="C12095" i="1"/>
  <c r="A12098" i="1"/>
  <c r="B12098" i="1"/>
  <c r="C12098" i="1"/>
  <c r="A8734" i="1"/>
  <c r="B8734" i="1"/>
  <c r="C8734" i="1"/>
  <c r="A15413" i="1"/>
  <c r="B15413" i="1"/>
  <c r="C15413" i="1"/>
  <c r="A15410" i="1"/>
  <c r="B15410" i="1"/>
  <c r="C15410" i="1"/>
  <c r="A15412" i="1"/>
  <c r="B15412" i="1"/>
  <c r="C15412" i="1"/>
  <c r="A12093" i="1"/>
  <c r="B12093" i="1"/>
  <c r="C12093" i="1"/>
  <c r="A2703" i="1"/>
  <c r="B2703" i="1"/>
  <c r="C2703" i="1"/>
  <c r="A12092" i="1"/>
  <c r="B12092" i="1"/>
  <c r="C12092" i="1"/>
  <c r="A10349" i="1"/>
  <c r="B10349" i="1"/>
  <c r="C10349" i="1"/>
  <c r="A15853" i="1"/>
  <c r="B15853" i="1"/>
  <c r="C15853" i="1"/>
  <c r="A13033" i="1"/>
  <c r="B13033" i="1"/>
  <c r="C13033" i="1"/>
  <c r="A10999" i="1"/>
  <c r="B10999" i="1"/>
  <c r="C10999" i="1"/>
  <c r="A21234" i="1"/>
  <c r="B21234" i="1"/>
  <c r="C21234" i="1"/>
  <c r="A21219" i="1"/>
  <c r="B21219" i="1"/>
  <c r="C21219" i="1"/>
  <c r="A21222" i="1"/>
  <c r="B21222" i="1"/>
  <c r="C21222" i="1"/>
  <c r="A21230" i="1"/>
  <c r="B21230" i="1"/>
  <c r="C21230" i="1"/>
  <c r="A10330" i="1"/>
  <c r="B10330" i="1"/>
  <c r="C10330" i="1"/>
  <c r="A10336" i="1"/>
  <c r="B10336" i="1"/>
  <c r="C10336" i="1"/>
  <c r="A12155" i="1"/>
  <c r="B12155" i="1"/>
  <c r="C12155" i="1"/>
  <c r="A12153" i="1"/>
  <c r="B12153" i="1"/>
  <c r="C12153" i="1"/>
  <c r="A9357" i="1"/>
  <c r="B9357" i="1"/>
  <c r="C9357" i="1"/>
  <c r="A10363" i="1"/>
  <c r="B10363" i="1"/>
  <c r="C10363" i="1"/>
  <c r="A16983" i="1"/>
  <c r="B16983" i="1"/>
  <c r="C16983" i="1"/>
  <c r="A21334" i="1"/>
  <c r="B21334" i="1"/>
  <c r="C21334" i="1"/>
  <c r="A21308" i="1"/>
  <c r="B21308" i="1"/>
  <c r="C21308" i="1"/>
  <c r="A21300" i="1"/>
  <c r="B21300" i="1"/>
  <c r="C21300" i="1"/>
  <c r="A21302" i="1"/>
  <c r="B21302" i="1"/>
  <c r="C21302" i="1"/>
  <c r="A21312" i="1"/>
  <c r="B21312" i="1"/>
  <c r="C21312" i="1"/>
  <c r="A21316" i="1"/>
  <c r="B21316" i="1"/>
  <c r="C21316" i="1"/>
  <c r="A21317" i="1"/>
  <c r="B21317" i="1"/>
  <c r="C21317" i="1"/>
  <c r="A21273" i="1"/>
  <c r="B21273" i="1"/>
  <c r="C21273" i="1"/>
  <c r="A21270" i="1"/>
  <c r="B21270" i="1"/>
  <c r="C21270" i="1"/>
  <c r="A21267" i="1"/>
  <c r="B21267" i="1"/>
  <c r="C21267" i="1"/>
  <c r="A21257" i="1"/>
  <c r="B21257" i="1"/>
  <c r="C21257" i="1"/>
  <c r="A21264" i="1"/>
  <c r="B21264" i="1"/>
  <c r="C21264" i="1"/>
  <c r="A21306" i="1"/>
  <c r="B21306" i="1"/>
  <c r="C21306" i="1"/>
  <c r="A21305" i="1"/>
  <c r="B21305" i="1"/>
  <c r="C21305" i="1"/>
  <c r="A21307" i="1"/>
  <c r="B21307" i="1"/>
  <c r="C21307" i="1"/>
  <c r="A21260" i="1"/>
  <c r="B21260" i="1"/>
  <c r="C21260" i="1"/>
  <c r="A21259" i="1"/>
  <c r="B21259" i="1"/>
  <c r="C21259" i="1"/>
  <c r="A21265" i="1"/>
  <c r="B21265" i="1"/>
  <c r="C21265" i="1"/>
  <c r="A18500" i="1"/>
  <c r="B18500" i="1"/>
  <c r="C18500" i="1"/>
  <c r="A18516" i="1"/>
  <c r="B18516" i="1"/>
  <c r="C18516" i="1"/>
  <c r="A7862" i="1"/>
  <c r="B7862" i="1"/>
  <c r="C7862" i="1"/>
  <c r="A21351" i="1"/>
  <c r="B21351" i="1"/>
  <c r="C21351" i="1"/>
  <c r="A18875" i="1"/>
  <c r="B18875" i="1"/>
  <c r="C18875" i="1"/>
  <c r="A21330" i="1"/>
  <c r="B21330" i="1"/>
  <c r="C21330" i="1"/>
  <c r="A21394" i="1"/>
  <c r="B21394" i="1"/>
  <c r="C21394" i="1"/>
  <c r="A7843" i="1"/>
  <c r="B7843" i="1"/>
  <c r="C7843" i="1"/>
  <c r="A21258" i="1"/>
  <c r="B21258" i="1"/>
  <c r="C21258" i="1"/>
  <c r="A21323" i="1"/>
  <c r="B21323" i="1"/>
  <c r="C21323" i="1"/>
  <c r="A440" i="1"/>
  <c r="B440" i="1"/>
  <c r="C440" i="1"/>
  <c r="A21261" i="1"/>
  <c r="B21261" i="1"/>
  <c r="C21261" i="1"/>
  <c r="A21324" i="1"/>
  <c r="B21324" i="1"/>
  <c r="C21324" i="1"/>
  <c r="A10995" i="1"/>
  <c r="B10995" i="1"/>
  <c r="C10995" i="1"/>
  <c r="A10996" i="1"/>
  <c r="B10996" i="1"/>
  <c r="C10996" i="1"/>
  <c r="A22914" i="1"/>
  <c r="B22914" i="1"/>
  <c r="C22914" i="1"/>
  <c r="A21242" i="1"/>
  <c r="B21242" i="1"/>
  <c r="C21242" i="1"/>
  <c r="A21237" i="1"/>
  <c r="B21237" i="1"/>
  <c r="C21237" i="1"/>
  <c r="A16489" i="1"/>
  <c r="B16489" i="1"/>
  <c r="C16489" i="1"/>
  <c r="A21240" i="1"/>
  <c r="B21240" i="1"/>
  <c r="C21240" i="1"/>
  <c r="A21209" i="1"/>
  <c r="B21209" i="1"/>
  <c r="C21209" i="1"/>
  <c r="A21210" i="1"/>
  <c r="B21210" i="1"/>
  <c r="C21210" i="1"/>
  <c r="A10551" i="1"/>
  <c r="B10551" i="1"/>
  <c r="C10551" i="1"/>
  <c r="A10550" i="1"/>
  <c r="B10550" i="1"/>
  <c r="C10550" i="1"/>
  <c r="A21208" i="1"/>
  <c r="B21208" i="1"/>
  <c r="C21208" i="1"/>
  <c r="A21262" i="1"/>
  <c r="B21262" i="1"/>
  <c r="C21262" i="1"/>
  <c r="A10879" i="1"/>
  <c r="B10879" i="1"/>
  <c r="C10879" i="1"/>
  <c r="A22911" i="1"/>
  <c r="B22911" i="1"/>
  <c r="C22911" i="1"/>
  <c r="A16997" i="1"/>
  <c r="B16997" i="1"/>
  <c r="C16997" i="1"/>
  <c r="A21404" i="1"/>
  <c r="B21404" i="1"/>
  <c r="C21404" i="1"/>
  <c r="A16557" i="1"/>
  <c r="B16557" i="1"/>
  <c r="C16557" i="1"/>
  <c r="A445" i="1"/>
  <c r="B445" i="1"/>
  <c r="C445" i="1"/>
  <c r="A22912" i="1"/>
  <c r="B22912" i="1"/>
  <c r="C22912" i="1"/>
  <c r="A8667" i="1"/>
  <c r="B8667" i="1"/>
  <c r="C8667" i="1"/>
  <c r="A8697" i="1"/>
  <c r="B8697" i="1"/>
  <c r="C8697" i="1"/>
  <c r="A21326" i="1"/>
  <c r="B21326" i="1"/>
  <c r="C21326" i="1"/>
  <c r="A22910" i="1"/>
  <c r="B22910" i="1"/>
  <c r="C22910" i="1"/>
  <c r="A22668" i="1"/>
  <c r="B22668" i="1"/>
  <c r="C22668" i="1"/>
  <c r="A11044" i="1"/>
  <c r="B11044" i="1"/>
  <c r="C11044" i="1"/>
  <c r="A8672" i="1"/>
  <c r="B8672" i="1"/>
  <c r="C8672" i="1"/>
  <c r="A16558" i="1"/>
  <c r="B16558" i="1"/>
  <c r="C16558" i="1"/>
  <c r="A5697" i="1"/>
  <c r="B5697" i="1"/>
  <c r="C5697" i="1"/>
  <c r="A444" i="1"/>
  <c r="B444" i="1"/>
  <c r="C444" i="1"/>
  <c r="A18482" i="1"/>
  <c r="B18482" i="1"/>
  <c r="C18482" i="1"/>
  <c r="A25668" i="1"/>
  <c r="B25668" i="1"/>
  <c r="C25668" i="1"/>
  <c r="A21186" i="1"/>
  <c r="B21186" i="1"/>
  <c r="C21186" i="1"/>
  <c r="A21191" i="1"/>
  <c r="B21191" i="1"/>
  <c r="C21191" i="1"/>
  <c r="A22923" i="1"/>
  <c r="B22923" i="1"/>
  <c r="C22923" i="1"/>
  <c r="A22924" i="1"/>
  <c r="B22924" i="1"/>
  <c r="C22924" i="1"/>
  <c r="A18880" i="1"/>
  <c r="B18880" i="1"/>
  <c r="C18880" i="1"/>
  <c r="A7787" i="1"/>
  <c r="B7787" i="1"/>
  <c r="C7787" i="1"/>
  <c r="A2704" i="1"/>
  <c r="B2704" i="1"/>
  <c r="C2704" i="1"/>
  <c r="A2705" i="1"/>
  <c r="B2705" i="1"/>
  <c r="C2705" i="1"/>
  <c r="A447" i="1"/>
  <c r="B447" i="1"/>
  <c r="C447" i="1"/>
  <c r="A452" i="1"/>
  <c r="B452" i="1"/>
  <c r="C452" i="1"/>
  <c r="A18518" i="1"/>
  <c r="B18518" i="1"/>
  <c r="C18518" i="1"/>
  <c r="A18995" i="1"/>
  <c r="B18995" i="1"/>
  <c r="C18995" i="1"/>
  <c r="A8719" i="1"/>
  <c r="B8719" i="1"/>
  <c r="C8719" i="1"/>
  <c r="A18997" i="1"/>
  <c r="B18997" i="1"/>
  <c r="C18997" i="1"/>
  <c r="A19000" i="1"/>
  <c r="B19000" i="1"/>
  <c r="C19000" i="1"/>
  <c r="A16775" i="1"/>
  <c r="B16775" i="1"/>
  <c r="C16775" i="1"/>
  <c r="A8929" i="1"/>
  <c r="B8929" i="1"/>
  <c r="C8929" i="1"/>
  <c r="A10809" i="1"/>
  <c r="B10809" i="1"/>
  <c r="C10809" i="1"/>
  <c r="A18544" i="1"/>
  <c r="B18544" i="1"/>
  <c r="C18544" i="1"/>
  <c r="A446" i="1"/>
  <c r="B446" i="1"/>
  <c r="C446" i="1"/>
  <c r="A10814" i="1"/>
  <c r="B10814" i="1"/>
  <c r="C10814" i="1"/>
  <c r="A18479" i="1"/>
  <c r="B18479" i="1"/>
  <c r="C18479" i="1"/>
  <c r="A8693" i="1"/>
  <c r="B8693" i="1"/>
  <c r="C8693" i="1"/>
  <c r="A18478" i="1"/>
  <c r="B18478" i="1"/>
  <c r="C18478" i="1"/>
  <c r="A7837" i="1"/>
  <c r="B7837" i="1"/>
  <c r="C7837" i="1"/>
  <c r="A7836" i="1"/>
  <c r="B7836" i="1"/>
  <c r="C7836" i="1"/>
  <c r="A4921" i="1"/>
  <c r="B4921" i="1"/>
  <c r="C4921" i="1"/>
  <c r="A4922" i="1"/>
  <c r="B4922" i="1"/>
  <c r="C4922" i="1"/>
  <c r="A5444" i="1"/>
  <c r="B5444" i="1"/>
  <c r="C5444" i="1"/>
  <c r="A18541" i="1"/>
  <c r="B18541" i="1"/>
  <c r="C18541" i="1"/>
  <c r="A13035" i="1"/>
  <c r="B13035" i="1"/>
  <c r="C13035" i="1"/>
  <c r="A449" i="1"/>
  <c r="B449" i="1"/>
  <c r="C449" i="1"/>
  <c r="A18539" i="1"/>
  <c r="B18539" i="1"/>
  <c r="C18539" i="1"/>
  <c r="A10010" i="1"/>
  <c r="B10010" i="1"/>
  <c r="C10010" i="1"/>
  <c r="A10008" i="1"/>
  <c r="B10008" i="1"/>
  <c r="C10008" i="1"/>
  <c r="A4718" i="1"/>
  <c r="B4718" i="1"/>
  <c r="C4718" i="1"/>
  <c r="A4717" i="1"/>
  <c r="B4717" i="1"/>
  <c r="C4717" i="1"/>
  <c r="A4722" i="1"/>
  <c r="B4722" i="1"/>
  <c r="C4722" i="1"/>
  <c r="A10815" i="1"/>
  <c r="B10815" i="1"/>
  <c r="C10815" i="1"/>
  <c r="A10344" i="1"/>
  <c r="B10344" i="1"/>
  <c r="C10344" i="1"/>
  <c r="A4924" i="1"/>
  <c r="B4924" i="1"/>
  <c r="C4924" i="1"/>
  <c r="A22870" i="1"/>
  <c r="B22870" i="1"/>
  <c r="C22870" i="1"/>
  <c r="A448" i="1"/>
  <c r="B448" i="1"/>
  <c r="C448" i="1"/>
  <c r="A22875" i="1"/>
  <c r="B22875" i="1"/>
  <c r="C22875" i="1"/>
  <c r="A22876" i="1"/>
  <c r="B22876" i="1"/>
  <c r="C22876" i="1"/>
  <c r="A22872" i="1"/>
  <c r="B22872" i="1"/>
  <c r="C22872" i="1"/>
  <c r="A4906" i="1"/>
  <c r="B4906" i="1"/>
  <c r="C4906" i="1"/>
  <c r="A11001" i="1"/>
  <c r="B11001" i="1"/>
  <c r="C11001" i="1"/>
  <c r="A11003" i="1"/>
  <c r="B11003" i="1"/>
  <c r="C11003" i="1"/>
  <c r="A7840" i="1"/>
  <c r="B7840" i="1"/>
  <c r="C7840" i="1"/>
  <c r="A7914" i="1"/>
  <c r="B7914" i="1"/>
  <c r="C7914" i="1"/>
  <c r="A8656" i="1"/>
  <c r="B8656" i="1"/>
  <c r="C8656" i="1"/>
  <c r="A8680" i="1"/>
  <c r="B8680" i="1"/>
  <c r="C8680" i="1"/>
  <c r="A443" i="1"/>
  <c r="B443" i="1"/>
  <c r="C443" i="1"/>
  <c r="A8666" i="1"/>
  <c r="B8666" i="1"/>
  <c r="C8666" i="1"/>
  <c r="A8664" i="1"/>
  <c r="B8664" i="1"/>
  <c r="C8664" i="1"/>
  <c r="A10843" i="1"/>
  <c r="B10843" i="1"/>
  <c r="C10843" i="1"/>
  <c r="A11027" i="1"/>
  <c r="B11027" i="1"/>
  <c r="C11027" i="1"/>
  <c r="A11002" i="1"/>
  <c r="B11002" i="1"/>
  <c r="C11002" i="1"/>
  <c r="A21277" i="1"/>
  <c r="B21277" i="1"/>
  <c r="C21277" i="1"/>
  <c r="A21276" i="1"/>
  <c r="B21276" i="1"/>
  <c r="C21276" i="1"/>
  <c r="A8657" i="1"/>
  <c r="B8657" i="1"/>
  <c r="C8657" i="1"/>
  <c r="A22873" i="1"/>
  <c r="B22873" i="1"/>
  <c r="C22873" i="1"/>
  <c r="A8659" i="1"/>
  <c r="B8659" i="1"/>
  <c r="C8659" i="1"/>
  <c r="A442" i="1"/>
  <c r="B442" i="1"/>
  <c r="C442" i="1"/>
  <c r="A17413" i="1"/>
  <c r="B17413" i="1"/>
  <c r="C17413" i="1"/>
  <c r="A8724" i="1"/>
  <c r="B8724" i="1"/>
  <c r="C8724" i="1"/>
  <c r="A11000" i="1"/>
  <c r="B11000" i="1"/>
  <c r="C11000" i="1"/>
  <c r="A1728" i="1"/>
  <c r="B1728" i="1"/>
  <c r="C1728" i="1"/>
  <c r="A8723" i="1"/>
  <c r="B8723" i="1"/>
  <c r="C8723" i="1"/>
  <c r="A15039" i="1"/>
  <c r="B15039" i="1"/>
  <c r="C15039" i="1"/>
  <c r="A11021" i="1"/>
  <c r="B11021" i="1"/>
  <c r="C11021" i="1"/>
  <c r="A5107" i="1"/>
  <c r="B5107" i="1"/>
  <c r="C5107" i="1"/>
  <c r="A5106" i="1"/>
  <c r="B5106" i="1"/>
  <c r="C5106" i="1"/>
  <c r="A5105" i="1"/>
  <c r="B5105" i="1"/>
  <c r="C5105" i="1"/>
  <c r="A441" i="1"/>
  <c r="B441" i="1"/>
  <c r="C441" i="1"/>
  <c r="A5101" i="1"/>
  <c r="B5101" i="1"/>
  <c r="C5101" i="1"/>
  <c r="A5102" i="1"/>
  <c r="B5102" i="1"/>
  <c r="C5102" i="1"/>
  <c r="A4517" i="1"/>
  <c r="B4517" i="1"/>
  <c r="C4517" i="1"/>
  <c r="A10339" i="1"/>
  <c r="B10339" i="1"/>
  <c r="C10339" i="1"/>
  <c r="A11026" i="1"/>
  <c r="B11026" i="1"/>
  <c r="C11026" i="1"/>
  <c r="A11023" i="1"/>
  <c r="B11023" i="1"/>
  <c r="C11023" i="1"/>
  <c r="A7780" i="1"/>
  <c r="B7780" i="1"/>
  <c r="C7780" i="1"/>
  <c r="A10807" i="1"/>
  <c r="B10807" i="1"/>
  <c r="C10807" i="1"/>
  <c r="A21278" i="1"/>
  <c r="B21278" i="1"/>
  <c r="C21278" i="1"/>
  <c r="A21279" i="1"/>
  <c r="B21279" i="1"/>
  <c r="C21279" i="1"/>
  <c r="A15503" i="1"/>
  <c r="B15503" i="1"/>
  <c r="C15503" i="1"/>
  <c r="A181" i="1"/>
  <c r="B181" i="1"/>
  <c r="C181" i="1"/>
  <c r="A4516" i="1"/>
  <c r="B4516" i="1"/>
  <c r="C4516" i="1"/>
  <c r="A10253" i="1"/>
  <c r="B10253" i="1"/>
  <c r="C10253" i="1"/>
  <c r="A4518" i="1"/>
  <c r="B4518" i="1"/>
  <c r="C4518" i="1"/>
  <c r="A4519" i="1"/>
  <c r="B4519" i="1"/>
  <c r="C4519" i="1"/>
  <c r="A4979" i="1"/>
  <c r="B4979" i="1"/>
  <c r="C4979" i="1"/>
  <c r="A8665" i="1"/>
  <c r="B8665" i="1"/>
  <c r="C8665" i="1"/>
  <c r="A22874" i="1"/>
  <c r="B22874" i="1"/>
  <c r="C22874" i="1"/>
  <c r="A8658" i="1"/>
  <c r="B8658" i="1"/>
  <c r="C8658" i="1"/>
  <c r="A18494" i="1"/>
  <c r="B18494" i="1"/>
  <c r="C18494" i="1"/>
  <c r="A13332" i="1"/>
  <c r="B13332" i="1"/>
  <c r="C13332" i="1"/>
  <c r="A22360" i="1"/>
  <c r="B22360" i="1"/>
  <c r="C22360" i="1"/>
  <c r="A18538" i="1"/>
  <c r="B18538" i="1"/>
  <c r="C18538" i="1"/>
  <c r="A18545" i="1"/>
  <c r="B18545" i="1"/>
  <c r="C18545" i="1"/>
  <c r="A22860" i="1"/>
  <c r="B22860" i="1"/>
  <c r="C22860" i="1"/>
  <c r="A3901" i="1"/>
  <c r="B3901" i="1"/>
  <c r="C3901" i="1"/>
  <c r="A1815" i="1"/>
  <c r="B1815" i="1"/>
  <c r="C1815" i="1"/>
  <c r="A11029" i="1"/>
  <c r="B11029" i="1"/>
  <c r="C11029" i="1"/>
  <c r="A4708" i="1"/>
  <c r="B4708" i="1"/>
  <c r="C4708" i="1"/>
  <c r="A8725" i="1"/>
  <c r="B8725" i="1"/>
  <c r="C8725" i="1"/>
  <c r="A10552" i="1"/>
  <c r="B10552" i="1"/>
  <c r="C10552" i="1"/>
  <c r="A21255" i="1"/>
  <c r="B21255" i="1"/>
  <c r="C21255" i="1"/>
  <c r="A21253" i="1"/>
  <c r="B21253" i="1"/>
  <c r="C21253" i="1"/>
  <c r="A21252" i="1"/>
  <c r="B21252" i="1"/>
  <c r="C21252" i="1"/>
  <c r="A21254" i="1"/>
  <c r="B21254" i="1"/>
  <c r="C21254" i="1"/>
  <c r="A21266" i="1"/>
  <c r="B21266" i="1"/>
  <c r="C21266" i="1"/>
  <c r="A21218" i="1"/>
  <c r="B21218" i="1"/>
  <c r="C21218" i="1"/>
  <c r="A21288" i="1"/>
  <c r="B21288" i="1"/>
  <c r="C21288" i="1"/>
  <c r="A21287" i="1"/>
  <c r="B21287" i="1"/>
  <c r="C21287" i="1"/>
  <c r="A21289" i="1"/>
  <c r="B21289" i="1"/>
  <c r="C21289" i="1"/>
  <c r="A7872" i="1"/>
  <c r="B7872" i="1"/>
  <c r="C7872" i="1"/>
  <c r="A7877" i="1"/>
  <c r="B7877" i="1"/>
  <c r="C7877" i="1"/>
  <c r="A7879" i="1"/>
  <c r="B7879" i="1"/>
  <c r="C7879" i="1"/>
  <c r="A7881" i="1"/>
  <c r="B7881" i="1"/>
  <c r="C7881" i="1"/>
  <c r="A7883" i="1"/>
  <c r="B7883" i="1"/>
  <c r="C7883" i="1"/>
  <c r="A11048" i="1"/>
  <c r="B11048" i="1"/>
  <c r="C11048" i="1"/>
  <c r="A15857" i="1"/>
  <c r="B15857" i="1"/>
  <c r="C15857" i="1"/>
  <c r="A23141" i="1"/>
  <c r="B23141" i="1"/>
  <c r="C23141" i="1"/>
  <c r="A7869" i="1"/>
  <c r="B7869" i="1"/>
  <c r="C7869" i="1"/>
  <c r="A7849" i="1"/>
  <c r="B7849" i="1"/>
  <c r="C7849" i="1"/>
  <c r="A24142" i="1"/>
  <c r="B24142" i="1"/>
  <c r="C24142" i="1"/>
  <c r="A21256" i="1"/>
  <c r="B21256" i="1"/>
  <c r="C21256" i="1"/>
  <c r="A13265" i="1"/>
  <c r="B13265" i="1"/>
  <c r="C13265" i="1"/>
  <c r="A13266" i="1"/>
  <c r="B13266" i="1"/>
  <c r="C13266" i="1"/>
  <c r="A21535" i="1"/>
  <c r="B21535" i="1"/>
  <c r="C21535" i="1"/>
  <c r="A7870" i="1"/>
  <c r="B7870" i="1"/>
  <c r="C7870" i="1"/>
  <c r="A18501" i="1"/>
  <c r="B18501" i="1"/>
  <c r="C18501" i="1"/>
  <c r="A10331" i="1"/>
  <c r="B10331" i="1"/>
  <c r="C10331" i="1"/>
  <c r="A10334" i="1"/>
  <c r="B10334" i="1"/>
  <c r="C10334" i="1"/>
  <c r="A13156" i="1"/>
  <c r="B13156" i="1"/>
  <c r="C13156" i="1"/>
  <c r="A8248" i="1"/>
  <c r="B8248" i="1"/>
  <c r="C8248" i="1"/>
  <c r="A14720" i="1"/>
  <c r="B14720" i="1"/>
  <c r="C14720" i="1"/>
  <c r="A7848" i="1"/>
  <c r="B7848" i="1"/>
  <c r="C7848" i="1"/>
  <c r="A3303" i="1"/>
  <c r="B3303" i="1"/>
  <c r="C3303" i="1"/>
  <c r="A3302" i="1"/>
  <c r="B3302" i="1"/>
  <c r="C3302" i="1"/>
  <c r="A3301" i="1"/>
  <c r="B3301" i="1"/>
  <c r="C3301" i="1"/>
  <c r="A3300" i="1"/>
  <c r="B3300" i="1"/>
  <c r="C3300" i="1"/>
  <c r="A3298" i="1"/>
  <c r="B3298" i="1"/>
  <c r="C3298" i="1"/>
  <c r="A7868" i="1"/>
  <c r="B7868" i="1"/>
  <c r="C7868" i="1"/>
  <c r="A4711" i="1"/>
  <c r="B4711" i="1"/>
  <c r="C4711" i="1"/>
  <c r="A22929" i="1"/>
  <c r="B22929" i="1"/>
  <c r="C22929" i="1"/>
  <c r="A18877" i="1"/>
  <c r="B18877" i="1"/>
  <c r="C18877" i="1"/>
  <c r="A4726" i="1"/>
  <c r="B4726" i="1"/>
  <c r="C4726" i="1"/>
  <c r="A4723" i="1"/>
  <c r="B4723" i="1"/>
  <c r="C4723" i="1"/>
  <c r="A7850" i="1"/>
  <c r="B7850" i="1"/>
  <c r="C7850" i="1"/>
  <c r="A22877" i="1"/>
  <c r="B22877" i="1"/>
  <c r="C22877" i="1"/>
  <c r="A18483" i="1"/>
  <c r="B18483" i="1"/>
  <c r="C18483" i="1"/>
  <c r="A22927" i="1"/>
  <c r="B22927" i="1"/>
  <c r="C22927" i="1"/>
  <c r="A3295" i="1"/>
  <c r="B3295" i="1"/>
  <c r="C3295" i="1"/>
  <c r="A12103" i="1"/>
  <c r="B12103" i="1"/>
  <c r="C12103" i="1"/>
  <c r="A18511" i="1"/>
  <c r="B18511" i="1"/>
  <c r="C18511" i="1"/>
  <c r="A18491" i="1"/>
  <c r="B18491" i="1"/>
  <c r="C18491" i="1"/>
  <c r="A18484" i="1"/>
  <c r="B18484" i="1"/>
  <c r="C18484" i="1"/>
  <c r="A10342" i="1"/>
  <c r="B10342" i="1"/>
  <c r="C10342" i="1"/>
  <c r="A1726" i="1"/>
  <c r="B1726" i="1"/>
  <c r="C1726" i="1"/>
  <c r="A1786" i="1"/>
  <c r="B1786" i="1"/>
  <c r="C1786" i="1"/>
  <c r="A3685" i="1"/>
  <c r="B3685" i="1"/>
  <c r="C3685" i="1"/>
  <c r="A3695" i="1"/>
  <c r="B3695" i="1"/>
  <c r="C3695" i="1"/>
  <c r="A3697" i="1"/>
  <c r="B3697" i="1"/>
  <c r="C3697" i="1"/>
  <c r="A3700" i="1"/>
  <c r="B3700" i="1"/>
  <c r="C3700" i="1"/>
  <c r="A7847" i="1"/>
  <c r="B7847" i="1"/>
  <c r="C7847" i="1"/>
  <c r="A23551" i="1"/>
  <c r="B23551" i="1"/>
  <c r="C23551" i="1"/>
  <c r="A21229" i="1"/>
  <c r="B21229" i="1"/>
  <c r="C21229" i="1"/>
  <c r="A21233" i="1"/>
  <c r="B21233" i="1"/>
  <c r="C21233" i="1"/>
  <c r="A10043" i="1"/>
  <c r="B10043" i="1"/>
  <c r="C10043" i="1"/>
  <c r="A3696" i="1"/>
  <c r="B3696" i="1"/>
  <c r="C3696" i="1"/>
  <c r="A7954" i="1"/>
  <c r="B7954" i="1"/>
  <c r="C7954" i="1"/>
  <c r="A22907" i="1"/>
  <c r="B22907" i="1"/>
  <c r="C22907" i="1"/>
  <c r="A22908" i="1"/>
  <c r="B22908" i="1"/>
  <c r="C22908" i="1"/>
  <c r="A22909" i="1"/>
  <c r="B22909" i="1"/>
  <c r="C22909" i="1"/>
  <c r="A7953" i="1"/>
  <c r="B7953" i="1"/>
  <c r="C7953" i="1"/>
  <c r="A1805" i="1"/>
  <c r="B1805" i="1"/>
  <c r="C1805" i="1"/>
  <c r="A22271" i="1"/>
  <c r="B22271" i="1"/>
  <c r="C22271" i="1"/>
  <c r="A22505" i="1"/>
  <c r="B22505" i="1"/>
  <c r="C22505" i="1"/>
  <c r="A22504" i="1"/>
  <c r="B22504" i="1"/>
  <c r="C22504" i="1"/>
  <c r="A3699" i="1"/>
  <c r="B3699" i="1"/>
  <c r="C3699" i="1"/>
  <c r="A3694" i="1"/>
  <c r="B3694" i="1"/>
  <c r="C3694" i="1"/>
  <c r="A21392" i="1"/>
  <c r="B21392" i="1"/>
  <c r="C21392" i="1"/>
  <c r="A548" i="1"/>
  <c r="B548" i="1"/>
  <c r="C548" i="1"/>
  <c r="A10549" i="1"/>
  <c r="B10549" i="1"/>
  <c r="C10549" i="1"/>
  <c r="A10547" i="1"/>
  <c r="B10547" i="1"/>
  <c r="C10547" i="1"/>
  <c r="A8807" i="1"/>
  <c r="B8807" i="1"/>
  <c r="C8807" i="1"/>
  <c r="A10998" i="1"/>
  <c r="B10998" i="1"/>
  <c r="C10998" i="1"/>
  <c r="A11005" i="1"/>
  <c r="B11005" i="1"/>
  <c r="C11005" i="1"/>
  <c r="A9305" i="1"/>
  <c r="B9305" i="1"/>
  <c r="C9305" i="1"/>
  <c r="A11052" i="1"/>
  <c r="B11052" i="1"/>
  <c r="C11052" i="1"/>
  <c r="A11056" i="1"/>
  <c r="B11056" i="1"/>
  <c r="C11056" i="1"/>
  <c r="A8660" i="1"/>
  <c r="B8660" i="1"/>
  <c r="C8660" i="1"/>
  <c r="A18452" i="1"/>
  <c r="B18452" i="1"/>
  <c r="C18452" i="1"/>
  <c r="A16957" i="1"/>
  <c r="B16957" i="1"/>
  <c r="C16957" i="1"/>
  <c r="A18449" i="1"/>
  <c r="B18449" i="1"/>
  <c r="C18449" i="1"/>
  <c r="A10872" i="1"/>
  <c r="B10872" i="1"/>
  <c r="C10872" i="1"/>
  <c r="A10873" i="1"/>
  <c r="B10873" i="1"/>
  <c r="C10873" i="1"/>
  <c r="A9306" i="1"/>
  <c r="B9306" i="1"/>
  <c r="C9306" i="1"/>
  <c r="A21716" i="1"/>
  <c r="B21716" i="1"/>
  <c r="C21716" i="1"/>
  <c r="A5442" i="1"/>
  <c r="B5442" i="1"/>
  <c r="C5442" i="1"/>
  <c r="A14652" i="1"/>
  <c r="B14652" i="1"/>
  <c r="C14652" i="1"/>
  <c r="A10563" i="1"/>
  <c r="B10563" i="1"/>
  <c r="C10563" i="1"/>
  <c r="A10561" i="1"/>
  <c r="B10561" i="1"/>
  <c r="C10561" i="1"/>
  <c r="A14723" i="1"/>
  <c r="B14723" i="1"/>
  <c r="C14723" i="1"/>
  <c r="A651" i="1"/>
  <c r="B651" i="1"/>
  <c r="C651" i="1"/>
  <c r="A1692" i="1"/>
  <c r="B1692" i="1"/>
  <c r="C1692" i="1"/>
  <c r="A437" i="1"/>
  <c r="B437" i="1"/>
  <c r="C437" i="1"/>
  <c r="A22422" i="1"/>
  <c r="B22422" i="1"/>
  <c r="C22422" i="1"/>
  <c r="A12176" i="1"/>
  <c r="B12176" i="1"/>
  <c r="C12176" i="1"/>
  <c r="A8728" i="1"/>
  <c r="B8728" i="1"/>
  <c r="C8728" i="1"/>
  <c r="A8736" i="1"/>
  <c r="B8736" i="1"/>
  <c r="C8736" i="1"/>
  <c r="A12177" i="1"/>
  <c r="B12177" i="1"/>
  <c r="C12177" i="1"/>
  <c r="A17395" i="1"/>
  <c r="B17395" i="1"/>
  <c r="C17395" i="1"/>
  <c r="A21236" i="1"/>
  <c r="B21236" i="1"/>
  <c r="C21236" i="1"/>
  <c r="A21235" i="1"/>
  <c r="B21235" i="1"/>
  <c r="C21235" i="1"/>
  <c r="A21282" i="1"/>
  <c r="B21282" i="1"/>
  <c r="C21282" i="1"/>
  <c r="A21275" i="1"/>
  <c r="B21275" i="1"/>
  <c r="C21275" i="1"/>
  <c r="A21470" i="1"/>
  <c r="B21470" i="1"/>
  <c r="C21470" i="1"/>
  <c r="A21426" i="1"/>
  <c r="B21426" i="1"/>
  <c r="C21426" i="1"/>
  <c r="A21560" i="1"/>
  <c r="B21560" i="1"/>
  <c r="C21560" i="1"/>
  <c r="A21561" i="1"/>
  <c r="B21561" i="1"/>
  <c r="C21561" i="1"/>
  <c r="A21562" i="1"/>
  <c r="B21562" i="1"/>
  <c r="C21562" i="1"/>
  <c r="A21563" i="1"/>
  <c r="B21563" i="1"/>
  <c r="C21563" i="1"/>
  <c r="A4715" i="1"/>
  <c r="B4715" i="1"/>
  <c r="C4715" i="1"/>
  <c r="A4721" i="1"/>
  <c r="B4721" i="1"/>
  <c r="C4721" i="1"/>
  <c r="A8655" i="1"/>
  <c r="B8655" i="1"/>
  <c r="C8655" i="1"/>
  <c r="A5214" i="1"/>
  <c r="B5214" i="1"/>
  <c r="C5214" i="1"/>
  <c r="A14030" i="1"/>
  <c r="B14030" i="1"/>
  <c r="C14030" i="1"/>
  <c r="A14011" i="1"/>
  <c r="B14011" i="1"/>
  <c r="C14011" i="1"/>
  <c r="A14027" i="1"/>
  <c r="B14027" i="1"/>
  <c r="C14027" i="1"/>
  <c r="A14026" i="1"/>
  <c r="B14026" i="1"/>
  <c r="C14026" i="1"/>
  <c r="A14017" i="1"/>
  <c r="B14017" i="1"/>
  <c r="C14017" i="1"/>
  <c r="A14018" i="1"/>
  <c r="B14018" i="1"/>
  <c r="C14018" i="1"/>
  <c r="A13159" i="1"/>
  <c r="B13159" i="1"/>
  <c r="C13159" i="1"/>
  <c r="A11053" i="1"/>
  <c r="B11053" i="1"/>
  <c r="C11053" i="1"/>
  <c r="A14019" i="1"/>
  <c r="B14019" i="1"/>
  <c r="C14019" i="1"/>
  <c r="A14020" i="1"/>
  <c r="B14020" i="1"/>
  <c r="C14020" i="1"/>
  <c r="A14021" i="1"/>
  <c r="B14021" i="1"/>
  <c r="C14021" i="1"/>
  <c r="A14022" i="1"/>
  <c r="B14022" i="1"/>
  <c r="C14022" i="1"/>
  <c r="A14023" i="1"/>
  <c r="B14023" i="1"/>
  <c r="C14023" i="1"/>
  <c r="A14025" i="1"/>
  <c r="B14025" i="1"/>
  <c r="C14025" i="1"/>
  <c r="A14014" i="1"/>
  <c r="B14014" i="1"/>
  <c r="C14014" i="1"/>
  <c r="A14016" i="1"/>
  <c r="B14016" i="1"/>
  <c r="C14016" i="1"/>
  <c r="A7971" i="1"/>
  <c r="B7971" i="1"/>
  <c r="C7971" i="1"/>
  <c r="A11049" i="1"/>
  <c r="B11049" i="1"/>
  <c r="C11049" i="1"/>
  <c r="A14029" i="1"/>
  <c r="B14029" i="1"/>
  <c r="C14029" i="1"/>
  <c r="A14028" i="1"/>
  <c r="B14028" i="1"/>
  <c r="C14028" i="1"/>
  <c r="A14012" i="1"/>
  <c r="B14012" i="1"/>
  <c r="C14012" i="1"/>
  <c r="A6758" i="1"/>
  <c r="B6758" i="1"/>
  <c r="C6758" i="1"/>
  <c r="A10182" i="1"/>
  <c r="B10182" i="1"/>
  <c r="C10182" i="1"/>
  <c r="A5135" i="1"/>
  <c r="B5135" i="1"/>
  <c r="C5135" i="1"/>
  <c r="A10011" i="1"/>
  <c r="B10011" i="1"/>
  <c r="C10011" i="1"/>
  <c r="A14674" i="1"/>
  <c r="B14674" i="1"/>
  <c r="C14674" i="1"/>
  <c r="A11047" i="1"/>
  <c r="B11047" i="1"/>
  <c r="C11047" i="1"/>
  <c r="A16407" i="1"/>
  <c r="B16407" i="1"/>
  <c r="C16407" i="1"/>
  <c r="A18530" i="1"/>
  <c r="B18530" i="1"/>
  <c r="C18530" i="1"/>
  <c r="A25747" i="1"/>
  <c r="B25747" i="1"/>
  <c r="C25747" i="1"/>
  <c r="A18536" i="1"/>
  <c r="B18536" i="1"/>
  <c r="C18536" i="1"/>
  <c r="A18517" i="1"/>
  <c r="B18517" i="1"/>
  <c r="C18517" i="1"/>
  <c r="A10500" i="1"/>
  <c r="B10500" i="1"/>
  <c r="C10500" i="1"/>
  <c r="A18513" i="1"/>
  <c r="B18513" i="1"/>
  <c r="C18513" i="1"/>
  <c r="A11041" i="1"/>
  <c r="B11041" i="1"/>
  <c r="C11041" i="1"/>
  <c r="A18514" i="1"/>
  <c r="B18514" i="1"/>
  <c r="C18514" i="1"/>
  <c r="A6598" i="1"/>
  <c r="B6598" i="1"/>
  <c r="C6598" i="1"/>
  <c r="A21319" i="1"/>
  <c r="B21319" i="1"/>
  <c r="C21319" i="1"/>
  <c r="A21318" i="1"/>
  <c r="B21318" i="1"/>
  <c r="C21318" i="1"/>
  <c r="A3026" i="1"/>
  <c r="B3026" i="1"/>
  <c r="C3026" i="1"/>
  <c r="A1717" i="1"/>
  <c r="B1717" i="1"/>
  <c r="C1717" i="1"/>
  <c r="A18447" i="1"/>
  <c r="B18447" i="1"/>
  <c r="C18447" i="1"/>
  <c r="A19073" i="1"/>
  <c r="B19073" i="1"/>
  <c r="C19073" i="1"/>
  <c r="A8743" i="1"/>
  <c r="B8743" i="1"/>
  <c r="C8743" i="1"/>
  <c r="A11037" i="1"/>
  <c r="B11037" i="1"/>
  <c r="C11037" i="1"/>
  <c r="A9993" i="1"/>
  <c r="B9993" i="1"/>
  <c r="C9993" i="1"/>
  <c r="A7886" i="1"/>
  <c r="B7886" i="1"/>
  <c r="C7886" i="1"/>
  <c r="A14644" i="1"/>
  <c r="B14644" i="1"/>
  <c r="C14644" i="1"/>
  <c r="A5255" i="1"/>
  <c r="B5255" i="1"/>
  <c r="C5255" i="1"/>
  <c r="A18448" i="1"/>
  <c r="B18448" i="1"/>
  <c r="C18448" i="1"/>
  <c r="A23144" i="1"/>
  <c r="B23144" i="1"/>
  <c r="C23144" i="1"/>
  <c r="A12113" i="1"/>
  <c r="B12113" i="1"/>
  <c r="C12113" i="1"/>
  <c r="A8856" i="1"/>
  <c r="B8856" i="1"/>
  <c r="C8856" i="1"/>
  <c r="A8861" i="1"/>
  <c r="B8861" i="1"/>
  <c r="C8861" i="1"/>
  <c r="A14453" i="1"/>
  <c r="B14453" i="1"/>
  <c r="C14453" i="1"/>
  <c r="A11038" i="1"/>
  <c r="B11038" i="1"/>
  <c r="C11038" i="1"/>
  <c r="A7416" i="1"/>
  <c r="B7416" i="1"/>
  <c r="C7416" i="1"/>
  <c r="A12102" i="1"/>
  <c r="B12102" i="1"/>
  <c r="C12102" i="1"/>
  <c r="A660" i="1"/>
  <c r="B660" i="1"/>
  <c r="C660" i="1"/>
  <c r="A16424" i="1"/>
  <c r="B16424" i="1"/>
  <c r="C16424" i="1"/>
  <c r="A3304" i="1"/>
  <c r="B3304" i="1"/>
  <c r="C3304" i="1"/>
  <c r="A21546" i="1"/>
  <c r="B21546" i="1"/>
  <c r="C21546" i="1"/>
  <c r="A21547" i="1"/>
  <c r="B21547" i="1"/>
  <c r="C21547" i="1"/>
  <c r="A21548" i="1"/>
  <c r="B21548" i="1"/>
  <c r="C21548" i="1"/>
  <c r="A21549" i="1"/>
  <c r="B21549" i="1"/>
  <c r="C21549" i="1"/>
  <c r="A11036" i="1"/>
  <c r="B11036" i="1"/>
  <c r="C11036" i="1"/>
  <c r="A21550" i="1"/>
  <c r="B21550" i="1"/>
  <c r="C21550" i="1"/>
  <c r="A21551" i="1"/>
  <c r="B21551" i="1"/>
  <c r="C21551" i="1"/>
  <c r="A21552" i="1"/>
  <c r="B21552" i="1"/>
  <c r="C21552" i="1"/>
  <c r="A21553" i="1"/>
  <c r="B21553" i="1"/>
  <c r="C21553" i="1"/>
  <c r="A3244" i="1"/>
  <c r="B3244" i="1"/>
  <c r="C3244" i="1"/>
  <c r="A3245" i="1"/>
  <c r="B3245" i="1"/>
  <c r="C3245" i="1"/>
  <c r="A3246" i="1"/>
  <c r="B3246" i="1"/>
  <c r="C3246" i="1"/>
  <c r="A3247" i="1"/>
  <c r="B3247" i="1"/>
  <c r="C3247" i="1"/>
  <c r="A3248" i="1"/>
  <c r="B3248" i="1"/>
  <c r="C3248" i="1"/>
  <c r="A3249" i="1"/>
  <c r="B3249" i="1"/>
  <c r="C3249" i="1"/>
  <c r="A11035" i="1"/>
  <c r="B11035" i="1"/>
  <c r="C11035" i="1"/>
  <c r="A3250" i="1"/>
  <c r="B3250" i="1"/>
  <c r="C3250" i="1"/>
  <c r="A3251" i="1"/>
  <c r="B3251" i="1"/>
  <c r="C3251" i="1"/>
  <c r="A3305" i="1"/>
  <c r="B3305" i="1"/>
  <c r="C3305" i="1"/>
  <c r="A10099" i="1"/>
  <c r="B10099" i="1"/>
  <c r="C10099" i="1"/>
  <c r="A21571" i="1"/>
  <c r="B21571" i="1"/>
  <c r="C21571" i="1"/>
  <c r="A454" i="1"/>
  <c r="B454" i="1"/>
  <c r="C454" i="1"/>
  <c r="A21436" i="1"/>
  <c r="B21436" i="1"/>
  <c r="C21436" i="1"/>
  <c r="A18937" i="1"/>
  <c r="B18937" i="1"/>
  <c r="C18937" i="1"/>
  <c r="A18936" i="1"/>
  <c r="B18936" i="1"/>
  <c r="C18936" i="1"/>
  <c r="A8753" i="1"/>
  <c r="B8753" i="1"/>
  <c r="C8753" i="1"/>
  <c r="A1699" i="1"/>
  <c r="B1699" i="1"/>
  <c r="C1699" i="1"/>
  <c r="A21437" i="1"/>
  <c r="B21437" i="1"/>
  <c r="C21437" i="1"/>
  <c r="A12471" i="1"/>
  <c r="B12471" i="1"/>
  <c r="C12471" i="1"/>
  <c r="A12469" i="1"/>
  <c r="B12469" i="1"/>
  <c r="C12469" i="1"/>
  <c r="A8854" i="1"/>
  <c r="B8854" i="1"/>
  <c r="C8854" i="1"/>
  <c r="A18935" i="1"/>
  <c r="B18935" i="1"/>
  <c r="C18935" i="1"/>
  <c r="A3299" i="1"/>
  <c r="B3299" i="1"/>
  <c r="C3299" i="1"/>
  <c r="A7853" i="1"/>
  <c r="B7853" i="1"/>
  <c r="C7853" i="1"/>
  <c r="A7857" i="1"/>
  <c r="B7857" i="1"/>
  <c r="C7857" i="1"/>
  <c r="A7855" i="1"/>
  <c r="B7855" i="1"/>
  <c r="C7855" i="1"/>
  <c r="A21350" i="1"/>
  <c r="B21350" i="1"/>
  <c r="C21350" i="1"/>
  <c r="A15578" i="1"/>
  <c r="B15578" i="1"/>
  <c r="C15578" i="1"/>
  <c r="A19712" i="1"/>
  <c r="B19712" i="1"/>
  <c r="C19712" i="1"/>
  <c r="A17738" i="1"/>
  <c r="B17738" i="1"/>
  <c r="C17738" i="1"/>
  <c r="A8639" i="1"/>
  <c r="B8639" i="1"/>
  <c r="C8639" i="1"/>
  <c r="A8642" i="1"/>
  <c r="B8642" i="1"/>
  <c r="C8642" i="1"/>
  <c r="A8644" i="1"/>
  <c r="B8644" i="1"/>
  <c r="C8644" i="1"/>
  <c r="A8638" i="1"/>
  <c r="B8638" i="1"/>
  <c r="C8638" i="1"/>
  <c r="A21271" i="1"/>
  <c r="B21271" i="1"/>
  <c r="C21271" i="1"/>
  <c r="A21268" i="1"/>
  <c r="B21268" i="1"/>
  <c r="C21268" i="1"/>
  <c r="A21274" i="1"/>
  <c r="B21274" i="1"/>
  <c r="C21274" i="1"/>
  <c r="A17705" i="1"/>
  <c r="B17705" i="1"/>
  <c r="C17705" i="1"/>
  <c r="A11030" i="1"/>
  <c r="B11030" i="1"/>
  <c r="C11030" i="1"/>
  <c r="A21269" i="1"/>
  <c r="B21269" i="1"/>
  <c r="C21269" i="1"/>
  <c r="A17739" i="1"/>
  <c r="B17739" i="1"/>
  <c r="C17739" i="1"/>
  <c r="A21331" i="1"/>
  <c r="B21331" i="1"/>
  <c r="C21331" i="1"/>
  <c r="A21321" i="1"/>
  <c r="B21321" i="1"/>
  <c r="C21321" i="1"/>
  <c r="A21337" i="1"/>
  <c r="B21337" i="1"/>
  <c r="C21337" i="1"/>
  <c r="A21325" i="1"/>
  <c r="B21325" i="1"/>
  <c r="C21325" i="1"/>
  <c r="A8855" i="1"/>
  <c r="B8855" i="1"/>
  <c r="C8855" i="1"/>
  <c r="A8801" i="1"/>
  <c r="B8801" i="1"/>
  <c r="C8801" i="1"/>
  <c r="A8640" i="1"/>
  <c r="B8640" i="1"/>
  <c r="C8640" i="1"/>
  <c r="A22938" i="1"/>
  <c r="B22938" i="1"/>
  <c r="C22938" i="1"/>
  <c r="A17533" i="1"/>
  <c r="B17533" i="1"/>
  <c r="C17533" i="1"/>
  <c r="A9999" i="1"/>
  <c r="B9999" i="1"/>
  <c r="C9999" i="1"/>
  <c r="A15571" i="1"/>
  <c r="B15571" i="1"/>
  <c r="C15571" i="1"/>
  <c r="A5699" i="1"/>
  <c r="B5699" i="1"/>
  <c r="C5699" i="1"/>
  <c r="A5683" i="1"/>
  <c r="B5683" i="1"/>
  <c r="C5683" i="1"/>
  <c r="A7856" i="1"/>
  <c r="B7856" i="1"/>
  <c r="C7856" i="1"/>
  <c r="A7854" i="1"/>
  <c r="B7854" i="1"/>
  <c r="C7854" i="1"/>
  <c r="A22810" i="1"/>
  <c r="B22810" i="1"/>
  <c r="C22810" i="1"/>
  <c r="A21667" i="1"/>
  <c r="B21667" i="1"/>
  <c r="C21667" i="1"/>
  <c r="A7873" i="1"/>
  <c r="B7873" i="1"/>
  <c r="C7873" i="1"/>
  <c r="A21285" i="1"/>
  <c r="B21285" i="1"/>
  <c r="C21285" i="1"/>
  <c r="A7878" i="1"/>
  <c r="B7878" i="1"/>
  <c r="C7878" i="1"/>
  <c r="A7880" i="1"/>
  <c r="B7880" i="1"/>
  <c r="C7880" i="1"/>
  <c r="A14194" i="1"/>
  <c r="B14194" i="1"/>
  <c r="C14194" i="1"/>
  <c r="A5243" i="1"/>
  <c r="B5243" i="1"/>
  <c r="C5243" i="1"/>
  <c r="A19682" i="1"/>
  <c r="B19682" i="1"/>
  <c r="C19682" i="1"/>
  <c r="A23812" i="1"/>
  <c r="B23812" i="1"/>
  <c r="C23812" i="1"/>
  <c r="A7882" i="1"/>
  <c r="B7882" i="1"/>
  <c r="C7882" i="1"/>
  <c r="A5251" i="1"/>
  <c r="B5251" i="1"/>
  <c r="C5251" i="1"/>
  <c r="A12999" i="1"/>
  <c r="B12999" i="1"/>
  <c r="C12999" i="1"/>
  <c r="A17404" i="1"/>
  <c r="B17404" i="1"/>
  <c r="C17404" i="1"/>
  <c r="A9996" i="1"/>
  <c r="B9996" i="1"/>
  <c r="C9996" i="1"/>
  <c r="A17424" i="1"/>
  <c r="B17424" i="1"/>
  <c r="C17424" i="1"/>
  <c r="A16992" i="1"/>
  <c r="B16992" i="1"/>
  <c r="C16992" i="1"/>
  <c r="A17419" i="1"/>
  <c r="B17419" i="1"/>
  <c r="C17419" i="1"/>
  <c r="A24115" i="1"/>
  <c r="B24115" i="1"/>
  <c r="C24115" i="1"/>
  <c r="A24116" i="1"/>
  <c r="B24116" i="1"/>
  <c r="C24116" i="1"/>
  <c r="A10823" i="1"/>
  <c r="B10823" i="1"/>
  <c r="C10823" i="1"/>
  <c r="A10824" i="1"/>
  <c r="B10824" i="1"/>
  <c r="C10824" i="1"/>
  <c r="A16993" i="1"/>
  <c r="B16993" i="1"/>
  <c r="C16993" i="1"/>
  <c r="A24206" i="1"/>
  <c r="B24206" i="1"/>
  <c r="C24206" i="1"/>
  <c r="A13983" i="1"/>
  <c r="B13983" i="1"/>
  <c r="C13983" i="1"/>
  <c r="A13995" i="1"/>
  <c r="B13995" i="1"/>
  <c r="C13995" i="1"/>
  <c r="A13991" i="1"/>
  <c r="B13991" i="1"/>
  <c r="C13991" i="1"/>
  <c r="A22486" i="1"/>
  <c r="B22486" i="1"/>
  <c r="C22486" i="1"/>
  <c r="A12189" i="1"/>
  <c r="B12189" i="1"/>
  <c r="C12189" i="1"/>
  <c r="A15035" i="1"/>
  <c r="B15035" i="1"/>
  <c r="C15035" i="1"/>
  <c r="A8649" i="1"/>
  <c r="B8649" i="1"/>
  <c r="C8649" i="1"/>
  <c r="A11028" i="1"/>
  <c r="B11028" i="1"/>
  <c r="C11028" i="1"/>
  <c r="A11024" i="1"/>
  <c r="B11024" i="1"/>
  <c r="C11024" i="1"/>
  <c r="A13992" i="1"/>
  <c r="B13992" i="1"/>
  <c r="C13992" i="1"/>
  <c r="A21286" i="1"/>
  <c r="B21286" i="1"/>
  <c r="C21286" i="1"/>
  <c r="A10327" i="1"/>
  <c r="B10327" i="1"/>
  <c r="C10327" i="1"/>
  <c r="A10328" i="1"/>
  <c r="B10328" i="1"/>
  <c r="C10328" i="1"/>
  <c r="A24148" i="1"/>
  <c r="B24148" i="1"/>
  <c r="C24148" i="1"/>
  <c r="A24108" i="1"/>
  <c r="B24108" i="1"/>
  <c r="C24108" i="1"/>
  <c r="A24149" i="1"/>
  <c r="B24149" i="1"/>
  <c r="C24149" i="1"/>
  <c r="A5254" i="1"/>
  <c r="B5254" i="1"/>
  <c r="C5254" i="1"/>
  <c r="A5252" i="1"/>
  <c r="B5252" i="1"/>
  <c r="C5252" i="1"/>
  <c r="A14755" i="1"/>
  <c r="B14755" i="1"/>
  <c r="C14755" i="1"/>
  <c r="A18546" i="1"/>
  <c r="B18546" i="1"/>
  <c r="C18546" i="1"/>
  <c r="A21215" i="1"/>
  <c r="B21215" i="1"/>
  <c r="C21215" i="1"/>
  <c r="A18542" i="1"/>
  <c r="B18542" i="1"/>
  <c r="C18542" i="1"/>
  <c r="A13319" i="1"/>
  <c r="B13319" i="1"/>
  <c r="C13319" i="1"/>
  <c r="A13317" i="1"/>
  <c r="B13317" i="1"/>
  <c r="C13317" i="1"/>
  <c r="A4702" i="1"/>
  <c r="B4702" i="1"/>
  <c r="C4702" i="1"/>
  <c r="A4703" i="1"/>
  <c r="B4703" i="1"/>
  <c r="C4703" i="1"/>
  <c r="A24208" i="1"/>
  <c r="B24208" i="1"/>
  <c r="C24208" i="1"/>
  <c r="A24143" i="1"/>
  <c r="B24143" i="1"/>
  <c r="C24143" i="1"/>
  <c r="A14031" i="1"/>
  <c r="B14031" i="1"/>
  <c r="C14031" i="1"/>
  <c r="A14013" i="1"/>
  <c r="B14013" i="1"/>
  <c r="C14013" i="1"/>
  <c r="A21217" i="1"/>
  <c r="B21217" i="1"/>
  <c r="C21217" i="1"/>
  <c r="A14015" i="1"/>
  <c r="B14015" i="1"/>
  <c r="C14015" i="1"/>
  <c r="A1306" i="1"/>
  <c r="B1306" i="1"/>
  <c r="C1306" i="1"/>
  <c r="A19771" i="1"/>
  <c r="B19771" i="1"/>
  <c r="C19771" i="1"/>
  <c r="A18509" i="1"/>
  <c r="B18509" i="1"/>
  <c r="C18509" i="1"/>
  <c r="A18535" i="1"/>
  <c r="B18535" i="1"/>
  <c r="C18535" i="1"/>
  <c r="A18529" i="1"/>
  <c r="B18529" i="1"/>
  <c r="C18529" i="1"/>
  <c r="A18495" i="1"/>
  <c r="B18495" i="1"/>
  <c r="C18495" i="1"/>
  <c r="A6452" i="1"/>
  <c r="B6452" i="1"/>
  <c r="C6452" i="1"/>
  <c r="A21462" i="1"/>
  <c r="B21462" i="1"/>
  <c r="C21462" i="1"/>
  <c r="A21216" i="1"/>
  <c r="B21216" i="1"/>
  <c r="C21216" i="1"/>
  <c r="A18450" i="1"/>
  <c r="B18450" i="1"/>
  <c r="C18450" i="1"/>
  <c r="A7783" i="1"/>
  <c r="B7783" i="1"/>
  <c r="C7783" i="1"/>
  <c r="A21459" i="1"/>
  <c r="B21459" i="1"/>
  <c r="C21459" i="1"/>
  <c r="A22345" i="1"/>
  <c r="B22345" i="1"/>
  <c r="C22345" i="1"/>
  <c r="A22346" i="1"/>
  <c r="B22346" i="1"/>
  <c r="C22346" i="1"/>
  <c r="A22343" i="1"/>
  <c r="B22343" i="1"/>
  <c r="C22343" i="1"/>
  <c r="A21467" i="1"/>
  <c r="B21467" i="1"/>
  <c r="C21467" i="1"/>
  <c r="A21468" i="1"/>
  <c r="B21468" i="1"/>
  <c r="C21468" i="1"/>
  <c r="A21460" i="1"/>
  <c r="B21460" i="1"/>
  <c r="C21460" i="1"/>
  <c r="A21214" i="1"/>
  <c r="B21214" i="1"/>
  <c r="C21214" i="1"/>
  <c r="A5514" i="1"/>
  <c r="B5514" i="1"/>
  <c r="C5514" i="1"/>
  <c r="A12472" i="1"/>
  <c r="B12472" i="1"/>
  <c r="C12472" i="1"/>
  <c r="A12470" i="1"/>
  <c r="B12470" i="1"/>
  <c r="C12470" i="1"/>
  <c r="A3315" i="1"/>
  <c r="B3315" i="1"/>
  <c r="C3315" i="1"/>
  <c r="A3316" i="1"/>
  <c r="B3316" i="1"/>
  <c r="C3316" i="1"/>
  <c r="A3317" i="1"/>
  <c r="B3317" i="1"/>
  <c r="C3317" i="1"/>
  <c r="A3318" i="1"/>
  <c r="B3318" i="1"/>
  <c r="C3318" i="1"/>
  <c r="A3319" i="1"/>
  <c r="B3319" i="1"/>
  <c r="C3319" i="1"/>
  <c r="A2356" i="1"/>
  <c r="B2356" i="1"/>
  <c r="C2356" i="1"/>
  <c r="A7895" i="1"/>
  <c r="B7895" i="1"/>
  <c r="C7895" i="1"/>
  <c r="A3320" i="1"/>
  <c r="B3320" i="1"/>
  <c r="C3320" i="1"/>
  <c r="A21558" i="1"/>
  <c r="B21558" i="1"/>
  <c r="C21558" i="1"/>
  <c r="A21559" i="1"/>
  <c r="B21559" i="1"/>
  <c r="C21559" i="1"/>
  <c r="A18540" i="1"/>
  <c r="B18540" i="1"/>
  <c r="C18540" i="1"/>
  <c r="A18543" i="1"/>
  <c r="B18543" i="1"/>
  <c r="C18543" i="1"/>
  <c r="A18549" i="1"/>
  <c r="B18549" i="1"/>
  <c r="C18549" i="1"/>
  <c r="A18481" i="1"/>
  <c r="B18481" i="1"/>
  <c r="C18481" i="1"/>
  <c r="A7894" i="1"/>
  <c r="B7894" i="1"/>
  <c r="C7894" i="1"/>
  <c r="A23985" i="1"/>
  <c r="B23985" i="1"/>
  <c r="C23985" i="1"/>
  <c r="A7831" i="1"/>
  <c r="B7831" i="1"/>
  <c r="C7831" i="1"/>
  <c r="A7841" i="1"/>
  <c r="B7841" i="1"/>
  <c r="C7841" i="1"/>
  <c r="A11014" i="1"/>
  <c r="B11014" i="1"/>
  <c r="C11014" i="1"/>
  <c r="A7842" i="1"/>
  <c r="B7842" i="1"/>
  <c r="C7842" i="1"/>
  <c r="A22273" i="1"/>
  <c r="B22273" i="1"/>
  <c r="C22273" i="1"/>
  <c r="A21213" i="1"/>
  <c r="B21213" i="1"/>
  <c r="C21213" i="1"/>
  <c r="A21212" i="1"/>
  <c r="B21212" i="1"/>
  <c r="C21212" i="1"/>
  <c r="A17535" i="1"/>
  <c r="B17535" i="1"/>
  <c r="C17535" i="1"/>
  <c r="A21347" i="1"/>
  <c r="B21347" i="1"/>
  <c r="C21347" i="1"/>
  <c r="A10991" i="1"/>
  <c r="B10991" i="1"/>
  <c r="C10991" i="1"/>
  <c r="A3106" i="1"/>
  <c r="B3106" i="1"/>
  <c r="C3106" i="1"/>
  <c r="A11040" i="1"/>
  <c r="B11040" i="1"/>
  <c r="C11040" i="1"/>
  <c r="A21272" i="1"/>
  <c r="B21272" i="1"/>
  <c r="C21272" i="1"/>
  <c r="A21333" i="1"/>
  <c r="B21333" i="1"/>
  <c r="C21333" i="1"/>
  <c r="A4630" i="1"/>
  <c r="B4630" i="1"/>
  <c r="C4630" i="1"/>
  <c r="A10841" i="1"/>
  <c r="B10841" i="1"/>
  <c r="C10841" i="1"/>
  <c r="A11039" i="1"/>
  <c r="B11039" i="1"/>
  <c r="C11039" i="1"/>
  <c r="A13020" i="1"/>
  <c r="B13020" i="1"/>
  <c r="C13020" i="1"/>
  <c r="A21200" i="1"/>
  <c r="B21200" i="1"/>
  <c r="C21200" i="1"/>
  <c r="A21199" i="1"/>
  <c r="B21199" i="1"/>
  <c r="C21199" i="1"/>
  <c r="A21198" i="1"/>
  <c r="B21198" i="1"/>
  <c r="C21198" i="1"/>
  <c r="A21345" i="1"/>
  <c r="B21345" i="1"/>
  <c r="C21345" i="1"/>
  <c r="A11669" i="1"/>
  <c r="B11669" i="1"/>
  <c r="C11669" i="1"/>
  <c r="A14053" i="1"/>
  <c r="B14053" i="1"/>
  <c r="C14053" i="1"/>
  <c r="A14039" i="1"/>
  <c r="B14039" i="1"/>
  <c r="C14039" i="1"/>
  <c r="A14049" i="1"/>
  <c r="B14049" i="1"/>
  <c r="C14049" i="1"/>
  <c r="A21352" i="1"/>
  <c r="B21352" i="1"/>
  <c r="C21352" i="1"/>
  <c r="A14043" i="1"/>
  <c r="B14043" i="1"/>
  <c r="C14043" i="1"/>
  <c r="A14047" i="1"/>
  <c r="B14047" i="1"/>
  <c r="C14047" i="1"/>
  <c r="A14059" i="1"/>
  <c r="B14059" i="1"/>
  <c r="C14059" i="1"/>
  <c r="A14033" i="1"/>
  <c r="B14033" i="1"/>
  <c r="C14033" i="1"/>
  <c r="A14035" i="1"/>
  <c r="B14035" i="1"/>
  <c r="C14035" i="1"/>
  <c r="A14057" i="1"/>
  <c r="B14057" i="1"/>
  <c r="C14057" i="1"/>
  <c r="A9232" i="1"/>
  <c r="B9232" i="1"/>
  <c r="C9232" i="1"/>
  <c r="A8633" i="1"/>
  <c r="B8633" i="1"/>
  <c r="C8633" i="1"/>
  <c r="A668" i="1"/>
  <c r="B668" i="1"/>
  <c r="C668" i="1"/>
  <c r="A21250" i="1"/>
  <c r="B21250" i="1"/>
  <c r="C21250" i="1"/>
  <c r="A12097" i="1"/>
  <c r="B12097" i="1"/>
  <c r="C12097" i="1"/>
  <c r="A12120" i="1"/>
  <c r="B12120" i="1"/>
  <c r="C12120" i="1"/>
  <c r="A12309" i="1"/>
  <c r="B12309" i="1"/>
  <c r="C12309" i="1"/>
  <c r="A10842" i="1"/>
  <c r="B10842" i="1"/>
  <c r="C10842" i="1"/>
  <c r="A659" i="1"/>
  <c r="B659" i="1"/>
  <c r="C659" i="1"/>
  <c r="A18973" i="1"/>
  <c r="B18973" i="1"/>
  <c r="C18973" i="1"/>
  <c r="A18975" i="1"/>
  <c r="B18975" i="1"/>
  <c r="C18975" i="1"/>
  <c r="A18981" i="1"/>
  <c r="B18981" i="1"/>
  <c r="C18981" i="1"/>
  <c r="A187" i="1"/>
  <c r="B187" i="1"/>
  <c r="C187" i="1"/>
  <c r="A21322" i="1"/>
  <c r="B21322" i="1"/>
  <c r="C21322" i="1"/>
  <c r="A22413" i="1"/>
  <c r="B22413" i="1"/>
  <c r="C22413" i="1"/>
  <c r="A1455" i="1"/>
  <c r="B1455" i="1"/>
  <c r="C1455" i="1"/>
  <c r="A1435" i="1"/>
  <c r="B1435" i="1"/>
  <c r="C1435" i="1"/>
  <c r="A1441" i="1"/>
  <c r="B1441" i="1"/>
  <c r="C1441" i="1"/>
  <c r="A1443" i="1"/>
  <c r="B1443" i="1"/>
  <c r="C1443" i="1"/>
  <c r="A1449" i="1"/>
  <c r="B1449" i="1"/>
  <c r="C1449" i="1"/>
  <c r="A1457" i="1"/>
  <c r="B1457" i="1"/>
  <c r="C1457" i="1"/>
  <c r="A1451" i="1"/>
  <c r="B1451" i="1"/>
  <c r="C1451" i="1"/>
  <c r="A1439" i="1"/>
  <c r="B1439" i="1"/>
  <c r="C1439" i="1"/>
  <c r="A1437" i="1"/>
  <c r="B1437" i="1"/>
  <c r="C1437" i="1"/>
  <c r="A21327" i="1"/>
  <c r="B21327" i="1"/>
  <c r="C21327" i="1"/>
  <c r="A1453" i="1"/>
  <c r="B1453" i="1"/>
  <c r="C1453" i="1"/>
  <c r="A18979" i="1"/>
  <c r="B18979" i="1"/>
  <c r="C18979" i="1"/>
  <c r="A14203" i="1"/>
  <c r="B14203" i="1"/>
  <c r="C14203" i="1"/>
  <c r="A14204" i="1"/>
  <c r="B14204" i="1"/>
  <c r="C14204" i="1"/>
  <c r="A14202" i="1"/>
  <c r="B14202" i="1"/>
  <c r="C14202" i="1"/>
  <c r="A7839" i="1"/>
  <c r="B7839" i="1"/>
  <c r="C7839" i="1"/>
  <c r="A21336" i="1"/>
  <c r="B21336" i="1"/>
  <c r="C21336" i="1"/>
  <c r="A11614" i="1"/>
  <c r="B11614" i="1"/>
  <c r="C11614" i="1"/>
  <c r="A12386" i="1"/>
  <c r="B12386" i="1"/>
  <c r="C12386" i="1"/>
  <c r="A7958" i="1"/>
  <c r="B7958" i="1"/>
  <c r="C7958" i="1"/>
  <c r="A7966" i="1"/>
  <c r="B7966" i="1"/>
  <c r="C7966" i="1"/>
  <c r="A7960" i="1"/>
  <c r="B7960" i="1"/>
  <c r="C7960" i="1"/>
  <c r="A7965" i="1"/>
  <c r="B7965" i="1"/>
  <c r="C7965" i="1"/>
  <c r="A7961" i="1"/>
  <c r="B7961" i="1"/>
  <c r="C7961" i="1"/>
  <c r="A9261" i="1"/>
  <c r="B9261" i="1"/>
  <c r="C9261" i="1"/>
  <c r="A7962" i="1"/>
  <c r="B7962" i="1"/>
  <c r="C7962" i="1"/>
  <c r="A7963" i="1"/>
  <c r="B7963" i="1"/>
  <c r="C7963" i="1"/>
  <c r="A21283" i="1"/>
  <c r="B21283" i="1"/>
  <c r="C21283" i="1"/>
  <c r="A7956" i="1"/>
  <c r="B7956" i="1"/>
  <c r="C7956" i="1"/>
  <c r="A7959" i="1"/>
  <c r="B7959" i="1"/>
  <c r="C7959" i="1"/>
  <c r="A7957" i="1"/>
  <c r="B7957" i="1"/>
  <c r="C7957" i="1"/>
  <c r="A3314" i="1"/>
  <c r="B3314" i="1"/>
  <c r="C3314" i="1"/>
  <c r="A3313" i="1"/>
  <c r="B3313" i="1"/>
  <c r="C3313" i="1"/>
  <c r="A13021" i="1"/>
  <c r="B13021" i="1"/>
  <c r="C13021" i="1"/>
  <c r="A21344" i="1"/>
  <c r="B21344" i="1"/>
  <c r="C21344" i="1"/>
  <c r="A4696" i="1"/>
  <c r="B4696" i="1"/>
  <c r="C4696" i="1"/>
  <c r="A4695" i="1"/>
  <c r="B4695" i="1"/>
  <c r="C4695" i="1"/>
  <c r="A3354" i="1"/>
  <c r="B3354" i="1"/>
  <c r="C3354" i="1"/>
  <c r="A10597" i="1"/>
  <c r="B10597" i="1"/>
  <c r="C10597" i="1"/>
  <c r="A10691" i="1"/>
  <c r="B10691" i="1"/>
  <c r="C10691" i="1"/>
  <c r="A10595" i="1"/>
  <c r="B10595" i="1"/>
  <c r="C10595" i="1"/>
  <c r="A10593" i="1"/>
  <c r="B10593" i="1"/>
  <c r="C10593" i="1"/>
  <c r="A10589" i="1"/>
  <c r="B10589" i="1"/>
  <c r="C10589" i="1"/>
  <c r="A14456" i="1"/>
  <c r="B14456" i="1"/>
  <c r="C14456" i="1"/>
  <c r="A1694" i="1"/>
  <c r="B1694" i="1"/>
  <c r="C1694" i="1"/>
  <c r="A12144" i="1"/>
  <c r="B12144" i="1"/>
  <c r="C12144" i="1"/>
  <c r="A10976" i="1"/>
  <c r="B10976" i="1"/>
  <c r="C10976" i="1"/>
  <c r="A7776" i="1"/>
  <c r="B7776" i="1"/>
  <c r="C7776" i="1"/>
  <c r="A5749" i="1"/>
  <c r="B5749" i="1"/>
  <c r="C5749" i="1"/>
  <c r="A7948" i="1"/>
  <c r="B7948" i="1"/>
  <c r="C7948" i="1"/>
  <c r="A7947" i="1"/>
  <c r="B7947" i="1"/>
  <c r="C7947" i="1"/>
  <c r="A7828" i="1"/>
  <c r="B7828" i="1"/>
  <c r="C7828" i="1"/>
  <c r="A7821" i="1"/>
  <c r="B7821" i="1"/>
  <c r="C7821" i="1"/>
  <c r="A7826" i="1"/>
  <c r="B7826" i="1"/>
  <c r="C7826" i="1"/>
  <c r="A7943" i="1"/>
  <c r="B7943" i="1"/>
  <c r="C7943" i="1"/>
  <c r="A7946" i="1"/>
  <c r="B7946" i="1"/>
  <c r="C7946" i="1"/>
  <c r="A7945" i="1"/>
  <c r="B7945" i="1"/>
  <c r="C7945" i="1"/>
  <c r="A7942" i="1"/>
  <c r="B7942" i="1"/>
  <c r="C7942" i="1"/>
  <c r="A7944" i="1"/>
  <c r="B7944" i="1"/>
  <c r="C7944" i="1"/>
  <c r="A7940" i="1"/>
  <c r="B7940" i="1"/>
  <c r="C7940" i="1"/>
  <c r="A7941" i="1"/>
  <c r="B7941" i="1"/>
  <c r="C7941" i="1"/>
  <c r="A7939" i="1"/>
  <c r="B7939" i="1"/>
  <c r="C7939" i="1"/>
  <c r="A4697" i="1"/>
  <c r="B4697" i="1"/>
  <c r="C4697" i="1"/>
  <c r="A7825" i="1"/>
  <c r="B7825" i="1"/>
  <c r="C7825" i="1"/>
  <c r="A7829" i="1"/>
  <c r="B7829" i="1"/>
  <c r="C7829" i="1"/>
  <c r="A7822" i="1"/>
  <c r="B7822" i="1"/>
  <c r="C7822" i="1"/>
  <c r="A7827" i="1"/>
  <c r="B7827" i="1"/>
  <c r="C7827" i="1"/>
  <c r="A21432" i="1"/>
  <c r="B21432" i="1"/>
  <c r="C21432" i="1"/>
  <c r="A14024" i="1"/>
  <c r="B14024" i="1"/>
  <c r="C14024" i="1"/>
  <c r="A17539" i="1"/>
  <c r="B17539" i="1"/>
  <c r="C17539" i="1"/>
  <c r="A10600" i="1"/>
  <c r="B10600" i="1"/>
  <c r="C10600" i="1"/>
  <c r="A18938" i="1"/>
  <c r="B18938" i="1"/>
  <c r="C18938" i="1"/>
  <c r="A4403" i="1"/>
  <c r="B4403" i="1"/>
  <c r="C4403" i="1"/>
  <c r="A12192" i="1"/>
  <c r="B12192" i="1"/>
  <c r="C12192" i="1"/>
  <c r="A12220" i="1"/>
  <c r="B12220" i="1"/>
  <c r="C12220" i="1"/>
  <c r="A12221" i="1"/>
  <c r="B12221" i="1"/>
  <c r="C12221" i="1"/>
  <c r="A12222" i="1"/>
  <c r="B12222" i="1"/>
  <c r="C12222" i="1"/>
  <c r="A12223" i="1"/>
  <c r="B12223" i="1"/>
  <c r="C12223" i="1"/>
  <c r="A5532" i="1"/>
  <c r="B5532" i="1"/>
  <c r="C5532" i="1"/>
  <c r="A17662" i="1"/>
  <c r="B17662" i="1"/>
  <c r="C17662" i="1"/>
  <c r="A10836" i="1"/>
  <c r="B10836" i="1"/>
  <c r="C10836" i="1"/>
  <c r="A5237" i="1"/>
  <c r="B5237" i="1"/>
  <c r="C5237" i="1"/>
  <c r="A9304" i="1"/>
  <c r="B9304" i="1"/>
  <c r="C9304" i="1"/>
  <c r="A5531" i="1"/>
  <c r="B5531" i="1"/>
  <c r="C5531" i="1"/>
  <c r="A4635" i="1"/>
  <c r="B4635" i="1"/>
  <c r="C4635" i="1"/>
  <c r="A4634" i="1"/>
  <c r="B4634" i="1"/>
  <c r="C4634" i="1"/>
  <c r="A4632" i="1"/>
  <c r="B4632" i="1"/>
  <c r="C4632" i="1"/>
  <c r="A4633" i="1"/>
  <c r="B4633" i="1"/>
  <c r="C4633" i="1"/>
  <c r="A21231" i="1"/>
  <c r="B21231" i="1"/>
  <c r="C21231" i="1"/>
  <c r="A21220" i="1"/>
  <c r="B21220" i="1"/>
  <c r="C21220" i="1"/>
  <c r="A21221" i="1"/>
  <c r="B21221" i="1"/>
  <c r="C21221" i="1"/>
  <c r="A21232" i="1"/>
  <c r="B21232" i="1"/>
  <c r="C21232" i="1"/>
  <c r="A21223" i="1"/>
  <c r="B21223" i="1"/>
  <c r="C21223" i="1"/>
  <c r="A21309" i="1"/>
  <c r="B21309" i="1"/>
  <c r="C21309" i="1"/>
  <c r="A21301" i="1"/>
  <c r="B21301" i="1"/>
  <c r="C21301" i="1"/>
  <c r="A21303" i="1"/>
  <c r="B21303" i="1"/>
  <c r="C21303" i="1"/>
  <c r="A21311" i="1"/>
  <c r="B21311" i="1"/>
  <c r="C21311" i="1"/>
  <c r="A21304" i="1"/>
  <c r="B21304" i="1"/>
  <c r="C21304" i="1"/>
  <c r="A7964" i="1"/>
  <c r="B7964" i="1"/>
  <c r="C7964" i="1"/>
  <c r="A16491" i="1"/>
  <c r="B16491" i="1"/>
  <c r="C16491" i="1"/>
  <c r="A1295" i="1"/>
  <c r="B1295" i="1"/>
  <c r="C1295" i="1"/>
  <c r="A22643" i="1"/>
  <c r="B22643" i="1"/>
  <c r="C22643" i="1"/>
  <c r="A15825" i="1"/>
  <c r="B15825" i="1"/>
  <c r="C15825" i="1"/>
  <c r="A9303" i="1"/>
  <c r="B9303" i="1"/>
  <c r="C9303" i="1"/>
  <c r="A22642" i="1"/>
  <c r="B22642" i="1"/>
  <c r="C22642" i="1"/>
  <c r="A7934" i="1"/>
  <c r="B7934" i="1"/>
  <c r="C7934" i="1"/>
  <c r="A4631" i="1"/>
  <c r="B4631" i="1"/>
  <c r="C4631" i="1"/>
  <c r="A189" i="1"/>
  <c r="B189" i="1"/>
  <c r="C189" i="1"/>
  <c r="A17489" i="1"/>
  <c r="B17489" i="1"/>
  <c r="C17489" i="1"/>
  <c r="A10839" i="1"/>
  <c r="B10839" i="1"/>
  <c r="C10839" i="1"/>
  <c r="A10837" i="1"/>
  <c r="B10837" i="1"/>
  <c r="C10837" i="1"/>
  <c r="A188" i="1"/>
  <c r="B188" i="1"/>
  <c r="C188" i="1"/>
  <c r="A5236" i="1"/>
  <c r="B5236" i="1"/>
  <c r="C5236" i="1"/>
  <c r="A1333" i="1"/>
  <c r="B1333" i="1"/>
  <c r="C1333" i="1"/>
  <c r="A24107" i="1"/>
  <c r="B24107" i="1"/>
  <c r="C24107" i="1"/>
  <c r="A10868" i="1"/>
  <c r="B10868" i="1"/>
  <c r="C10868" i="1"/>
  <c r="A10869" i="1"/>
  <c r="B10869" i="1"/>
  <c r="C10869" i="1"/>
  <c r="A10867" i="1"/>
  <c r="B10867" i="1"/>
  <c r="C10867" i="1"/>
  <c r="A10840" i="1"/>
  <c r="B10840" i="1"/>
  <c r="C10840" i="1"/>
  <c r="A10838" i="1"/>
  <c r="B10838" i="1"/>
  <c r="C10838" i="1"/>
  <c r="A10009" i="1"/>
  <c r="B10009" i="1"/>
  <c r="C10009" i="1"/>
  <c r="A24138" i="1"/>
  <c r="B24138" i="1"/>
  <c r="C24138" i="1"/>
  <c r="A24132" i="1"/>
  <c r="B24132" i="1"/>
  <c r="C24132" i="1"/>
  <c r="A10827" i="1"/>
  <c r="B10827" i="1"/>
  <c r="C10827" i="1"/>
  <c r="A7011" i="1"/>
  <c r="B7011" i="1"/>
  <c r="C7011" i="1"/>
  <c r="A7005" i="1"/>
  <c r="B7005" i="1"/>
  <c r="C7005" i="1"/>
  <c r="A2399" i="1"/>
  <c r="B2399" i="1"/>
  <c r="C2399" i="1"/>
  <c r="A12132" i="1"/>
  <c r="B12132" i="1"/>
  <c r="C12132" i="1"/>
  <c r="A14458" i="1"/>
  <c r="B14458" i="1"/>
  <c r="C14458" i="1"/>
  <c r="A10876" i="1"/>
  <c r="B10876" i="1"/>
  <c r="C10876" i="1"/>
  <c r="A4649" i="1"/>
  <c r="B4649" i="1"/>
  <c r="C4649" i="1"/>
  <c r="A2740" i="1"/>
  <c r="B2740" i="1"/>
  <c r="C2740" i="1"/>
  <c r="A2583" i="1"/>
  <c r="B2583" i="1"/>
  <c r="C2583" i="1"/>
  <c r="A10819" i="1"/>
  <c r="B10819" i="1"/>
  <c r="C10819" i="1"/>
  <c r="A10829" i="1"/>
  <c r="B10829" i="1"/>
  <c r="C10829" i="1"/>
  <c r="A10830" i="1"/>
  <c r="B10830" i="1"/>
  <c r="C10830" i="1"/>
  <c r="A4636" i="1"/>
  <c r="B4636" i="1"/>
  <c r="C4636" i="1"/>
  <c r="A10825" i="1"/>
  <c r="B10825" i="1"/>
  <c r="C10825" i="1"/>
  <c r="A21201" i="1"/>
  <c r="B21201" i="1"/>
  <c r="C21201" i="1"/>
  <c r="A21202" i="1"/>
  <c r="B21202" i="1"/>
  <c r="C21202" i="1"/>
  <c r="A10343" i="1"/>
  <c r="B10343" i="1"/>
  <c r="C10343" i="1"/>
  <c r="A11694" i="1"/>
  <c r="B11694" i="1"/>
  <c r="C11694" i="1"/>
  <c r="A11686" i="1"/>
  <c r="B11686" i="1"/>
  <c r="C11686" i="1"/>
  <c r="A11690" i="1"/>
  <c r="B11690" i="1"/>
  <c r="C11690" i="1"/>
  <c r="A11693" i="1"/>
  <c r="B11693" i="1"/>
  <c r="C11693" i="1"/>
  <c r="A11692" i="1"/>
  <c r="B11692" i="1"/>
  <c r="C11692" i="1"/>
  <c r="A11689" i="1"/>
  <c r="B11689" i="1"/>
  <c r="C11689" i="1"/>
  <c r="A1838" i="1"/>
  <c r="B1838" i="1"/>
  <c r="C1838" i="1"/>
  <c r="A11688" i="1"/>
  <c r="B11688" i="1"/>
  <c r="C11688" i="1"/>
  <c r="A11691" i="1"/>
  <c r="B11691" i="1"/>
  <c r="C11691" i="1"/>
  <c r="A11668" i="1"/>
  <c r="B11668" i="1"/>
  <c r="C11668" i="1"/>
  <c r="A8645" i="1"/>
  <c r="B8645" i="1"/>
  <c r="C8645" i="1"/>
  <c r="A8715" i="1"/>
  <c r="B8715" i="1"/>
  <c r="C8715" i="1"/>
  <c r="A17531" i="1"/>
  <c r="B17531" i="1"/>
  <c r="C17531" i="1"/>
  <c r="A657" i="1"/>
  <c r="B657" i="1"/>
  <c r="C657" i="1"/>
  <c r="A8643" i="1"/>
  <c r="B8643" i="1"/>
  <c r="C8643" i="1"/>
  <c r="A8721" i="1"/>
  <c r="B8721" i="1"/>
  <c r="C8721" i="1"/>
  <c r="A10857" i="1"/>
  <c r="B10857" i="1"/>
  <c r="C10857" i="1"/>
  <c r="A3328" i="1"/>
  <c r="B3328" i="1"/>
  <c r="C3328" i="1"/>
  <c r="A8716" i="1"/>
  <c r="B8716" i="1"/>
  <c r="C8716" i="1"/>
  <c r="A4332" i="1"/>
  <c r="B4332" i="1"/>
  <c r="C4332" i="1"/>
  <c r="A11687" i="1"/>
  <c r="B11687" i="1"/>
  <c r="C11687" i="1"/>
  <c r="A8717" i="1"/>
  <c r="B8717" i="1"/>
  <c r="C8717" i="1"/>
  <c r="A13994" i="1"/>
  <c r="B13994" i="1"/>
  <c r="C13994" i="1"/>
  <c r="A8702" i="1"/>
  <c r="B8702" i="1"/>
  <c r="C8702" i="1"/>
  <c r="A10565" i="1"/>
  <c r="B10565" i="1"/>
  <c r="C10565" i="1"/>
  <c r="A8673" i="1"/>
  <c r="B8673" i="1"/>
  <c r="C8673" i="1"/>
  <c r="A8692" i="1"/>
  <c r="B8692" i="1"/>
  <c r="C8692" i="1"/>
  <c r="A4282" i="1"/>
  <c r="B4282" i="1"/>
  <c r="C4282" i="1"/>
  <c r="A21314" i="1"/>
  <c r="B21314" i="1"/>
  <c r="C21314" i="1"/>
  <c r="A21315" i="1"/>
  <c r="B21315" i="1"/>
  <c r="C21315" i="1"/>
  <c r="A11017" i="1"/>
  <c r="B11017" i="1"/>
  <c r="C11017" i="1"/>
  <c r="A7876" i="1"/>
  <c r="B7876" i="1"/>
  <c r="C7876" i="1"/>
  <c r="A7874" i="1"/>
  <c r="B7874" i="1"/>
  <c r="C7874" i="1"/>
  <c r="A7875" i="1"/>
  <c r="B7875" i="1"/>
  <c r="C7875" i="1"/>
  <c r="A11013" i="1"/>
  <c r="B11013" i="1"/>
  <c r="C11013" i="1"/>
  <c r="A21241" i="1"/>
  <c r="B21241" i="1"/>
  <c r="C21241" i="1"/>
  <c r="A21244" i="1"/>
  <c r="B21244" i="1"/>
  <c r="C21244" i="1"/>
  <c r="A21247" i="1"/>
  <c r="B21247" i="1"/>
  <c r="C21247" i="1"/>
  <c r="A21328" i="1"/>
  <c r="B21328" i="1"/>
  <c r="C21328" i="1"/>
  <c r="A21329" i="1"/>
  <c r="B21329" i="1"/>
  <c r="C21329" i="1"/>
  <c r="A21335" i="1"/>
  <c r="B21335" i="1"/>
  <c r="C21335" i="1"/>
  <c r="A21320" i="1"/>
  <c r="B21320" i="1"/>
  <c r="C21320" i="1"/>
  <c r="A21238" i="1"/>
  <c r="B21238" i="1"/>
  <c r="C21238" i="1"/>
  <c r="A21340" i="1"/>
  <c r="B21340" i="1"/>
  <c r="C21340" i="1"/>
  <c r="A21343" i="1"/>
  <c r="B21343" i="1"/>
  <c r="C21343" i="1"/>
  <c r="A21338" i="1"/>
  <c r="B21338" i="1"/>
  <c r="C21338" i="1"/>
  <c r="A21341" i="1"/>
  <c r="B21341" i="1"/>
  <c r="C21341" i="1"/>
  <c r="A21339" i="1"/>
  <c r="B21339" i="1"/>
  <c r="C21339" i="1"/>
  <c r="A21342" i="1"/>
  <c r="B21342" i="1"/>
  <c r="C21342" i="1"/>
  <c r="A11018" i="1"/>
  <c r="B11018" i="1"/>
  <c r="C11018" i="1"/>
  <c r="A10546" i="1"/>
  <c r="B10546" i="1"/>
  <c r="C10546" i="1"/>
  <c r="A21332" i="1"/>
  <c r="B21332" i="1"/>
  <c r="C21332" i="1"/>
  <c r="A7871" i="1"/>
  <c r="B7871" i="1"/>
  <c r="C7871" i="1"/>
  <c r="A7867" i="1"/>
  <c r="B7867" i="1"/>
  <c r="C7867" i="1"/>
  <c r="A10548" i="1"/>
  <c r="B10548" i="1"/>
  <c r="C10548" i="1"/>
  <c r="A10861" i="1"/>
  <c r="B10861" i="1"/>
  <c r="C10861" i="1"/>
  <c r="A1447" i="1"/>
  <c r="B1447" i="1"/>
  <c r="C1447" i="1"/>
  <c r="A1445" i="1"/>
  <c r="B1445" i="1"/>
  <c r="C1445" i="1"/>
  <c r="A18977" i="1"/>
  <c r="B18977" i="1"/>
  <c r="C18977" i="1"/>
  <c r="A10591" i="1"/>
  <c r="B10591" i="1"/>
  <c r="C10591" i="1"/>
  <c r="A8720" i="1"/>
  <c r="B8720" i="1"/>
  <c r="C8720" i="1"/>
  <c r="A8722" i="1"/>
  <c r="B8722" i="1"/>
  <c r="C8722" i="1"/>
  <c r="A8708" i="1"/>
  <c r="B8708" i="1"/>
  <c r="C8708" i="1"/>
  <c r="A8740" i="1"/>
  <c r="B8740" i="1"/>
  <c r="C8740" i="1"/>
  <c r="A8654" i="1"/>
  <c r="B8654" i="1"/>
  <c r="C8654" i="1"/>
  <c r="A22916" i="1"/>
  <c r="B22916" i="1"/>
  <c r="C22916" i="1"/>
  <c r="A14045" i="1"/>
  <c r="B14045" i="1"/>
  <c r="C14045" i="1"/>
  <c r="A8647" i="1"/>
  <c r="B8647" i="1"/>
  <c r="C8647" i="1"/>
  <c r="A16769" i="1"/>
  <c r="B16769" i="1"/>
  <c r="C16769" i="1"/>
  <c r="A3252" i="1"/>
  <c r="B3252" i="1"/>
  <c r="C3252" i="1"/>
  <c r="A8707" i="1"/>
  <c r="B8707" i="1"/>
  <c r="C8707" i="1"/>
  <c r="A14449" i="1"/>
  <c r="B14449" i="1"/>
  <c r="C14449" i="1"/>
  <c r="A3494" i="1"/>
  <c r="B3494" i="1"/>
  <c r="C3494" i="1"/>
  <c r="A8675" i="1"/>
  <c r="B8675" i="1"/>
  <c r="C8675" i="1"/>
  <c r="A396" i="1"/>
  <c r="B396" i="1"/>
  <c r="C396" i="1"/>
  <c r="A10813" i="1"/>
  <c r="B10813" i="1"/>
  <c r="C10813" i="1"/>
  <c r="A14680" i="1"/>
  <c r="B14680" i="1"/>
  <c r="C14680" i="1"/>
  <c r="A13262" i="1"/>
  <c r="B13262" i="1"/>
  <c r="C13262" i="1"/>
  <c r="A6654" i="1"/>
  <c r="B6654" i="1"/>
  <c r="C6654" i="1"/>
  <c r="A13261" i="1"/>
  <c r="B13261" i="1"/>
  <c r="C13261" i="1"/>
  <c r="A13259" i="1"/>
  <c r="B13259" i="1"/>
  <c r="C13259" i="1"/>
  <c r="A13268" i="1"/>
  <c r="B13268" i="1"/>
  <c r="C13268" i="1"/>
  <c r="A13269" i="1"/>
  <c r="B13269" i="1"/>
  <c r="C13269" i="1"/>
  <c r="A13270" i="1"/>
  <c r="B13270" i="1"/>
  <c r="C13270" i="1"/>
  <c r="A13267" i="1"/>
  <c r="B13267" i="1"/>
  <c r="C13267" i="1"/>
  <c r="A13256" i="1"/>
  <c r="B13256" i="1"/>
  <c r="C13256" i="1"/>
  <c r="A13258" i="1"/>
  <c r="B13258" i="1"/>
  <c r="C13258" i="1"/>
  <c r="A13257" i="1"/>
  <c r="B13257" i="1"/>
  <c r="C13257" i="1"/>
  <c r="A13255" i="1"/>
  <c r="B13255" i="1"/>
  <c r="C13255" i="1"/>
  <c r="A2401" i="1"/>
  <c r="B2401" i="1"/>
  <c r="C2401" i="1"/>
  <c r="A8744" i="1"/>
  <c r="B8744" i="1"/>
  <c r="C8744" i="1"/>
  <c r="A13252" i="1"/>
  <c r="B13252" i="1"/>
  <c r="C13252" i="1"/>
  <c r="A11348" i="1"/>
  <c r="B11348" i="1"/>
  <c r="C11348" i="1"/>
  <c r="A497" i="1"/>
  <c r="B497" i="1"/>
  <c r="C497" i="1"/>
  <c r="A11007" i="1"/>
  <c r="B11007" i="1"/>
  <c r="C11007" i="1"/>
  <c r="A10555" i="1"/>
  <c r="B10555" i="1"/>
  <c r="C10555" i="1"/>
  <c r="A10556" i="1"/>
  <c r="B10556" i="1"/>
  <c r="C10556" i="1"/>
  <c r="A11009" i="1"/>
  <c r="B11009" i="1"/>
  <c r="C11009" i="1"/>
  <c r="A11010" i="1"/>
  <c r="B11010" i="1"/>
  <c r="C11010" i="1"/>
  <c r="A21284" i="1"/>
  <c r="B21284" i="1"/>
  <c r="C21284" i="1"/>
  <c r="A21211" i="1"/>
  <c r="B21211" i="1"/>
  <c r="C21211" i="1"/>
  <c r="A8641" i="1"/>
  <c r="B8641" i="1"/>
  <c r="C8641" i="1"/>
  <c r="A21348" i="1"/>
  <c r="B21348" i="1"/>
  <c r="C21348" i="1"/>
  <c r="A21175" i="1"/>
  <c r="B21175" i="1"/>
  <c r="C21175" i="1"/>
  <c r="A21179" i="1"/>
  <c r="B21179" i="1"/>
  <c r="C21179" i="1"/>
  <c r="A21181" i="1"/>
  <c r="B21181" i="1"/>
  <c r="C21181" i="1"/>
  <c r="A486" i="1"/>
  <c r="B486" i="1"/>
  <c r="C486" i="1"/>
  <c r="A487" i="1"/>
  <c r="B487" i="1"/>
  <c r="C487" i="1"/>
  <c r="A17537" i="1"/>
  <c r="B17537" i="1"/>
  <c r="C17537" i="1"/>
  <c r="A21353" i="1"/>
  <c r="B21353" i="1"/>
  <c r="C21353" i="1"/>
  <c r="A13260" i="1"/>
  <c r="B13260" i="1"/>
  <c r="C13260" i="1"/>
  <c r="A18473" i="1"/>
  <c r="B18473" i="1"/>
  <c r="C18473" i="1"/>
  <c r="A18463" i="1"/>
  <c r="B18463" i="1"/>
  <c r="C18463" i="1"/>
  <c r="A18461" i="1"/>
  <c r="B18461" i="1"/>
  <c r="C18461" i="1"/>
  <c r="A18465" i="1"/>
  <c r="B18465" i="1"/>
  <c r="C18465" i="1"/>
  <c r="A18467" i="1"/>
  <c r="B18467" i="1"/>
  <c r="C18467" i="1"/>
  <c r="A18468" i="1"/>
  <c r="B18468" i="1"/>
  <c r="C18468" i="1"/>
  <c r="A18475" i="1"/>
  <c r="B18475" i="1"/>
  <c r="C18475" i="1"/>
  <c r="A18476" i="1"/>
  <c r="B18476" i="1"/>
  <c r="C18476" i="1"/>
  <c r="A18469" i="1"/>
  <c r="B18469" i="1"/>
  <c r="C18469" i="1"/>
  <c r="A16772" i="1"/>
  <c r="B16772" i="1"/>
  <c r="C16772" i="1"/>
  <c r="A13659" i="1"/>
  <c r="B13659" i="1"/>
  <c r="C13659" i="1"/>
  <c r="A13658" i="1"/>
  <c r="B13658" i="1"/>
  <c r="C13658" i="1"/>
  <c r="A13664" i="1"/>
  <c r="B13664" i="1"/>
  <c r="C13664" i="1"/>
  <c r="A18464" i="1"/>
  <c r="B18464" i="1"/>
  <c r="C18464" i="1"/>
  <c r="A18472" i="1"/>
  <c r="B18472" i="1"/>
  <c r="C18472" i="1"/>
  <c r="A18471" i="1"/>
  <c r="B18471" i="1"/>
  <c r="C18471" i="1"/>
  <c r="A18470" i="1"/>
  <c r="B18470" i="1"/>
  <c r="C18470" i="1"/>
  <c r="A18515" i="1"/>
  <c r="B18515" i="1"/>
  <c r="C18515" i="1"/>
  <c r="A18548" i="1"/>
  <c r="B18548" i="1"/>
  <c r="C18548" i="1"/>
  <c r="A4712" i="1"/>
  <c r="B4712" i="1"/>
  <c r="C4712" i="1"/>
  <c r="A4719" i="1"/>
  <c r="B4719" i="1"/>
  <c r="C4719" i="1"/>
  <c r="A4720" i="1"/>
  <c r="B4720" i="1"/>
  <c r="C4720" i="1"/>
  <c r="A4714" i="1"/>
  <c r="B4714" i="1"/>
  <c r="C4714" i="1"/>
  <c r="A6766" i="1"/>
  <c r="B6766" i="1"/>
  <c r="C6766" i="1"/>
  <c r="A6765" i="1"/>
  <c r="B6765" i="1"/>
  <c r="C6765" i="1"/>
  <c r="A18965" i="1"/>
  <c r="B18965" i="1"/>
  <c r="C18965" i="1"/>
  <c r="A18968" i="1"/>
  <c r="B18968" i="1"/>
  <c r="C18968" i="1"/>
  <c r="A18966" i="1"/>
  <c r="B18966" i="1"/>
  <c r="C18966" i="1"/>
  <c r="A6770" i="1"/>
  <c r="B6770" i="1"/>
  <c r="C6770" i="1"/>
  <c r="A4709" i="1"/>
  <c r="B4709" i="1"/>
  <c r="C4709" i="1"/>
  <c r="A4710" i="1"/>
  <c r="B4710" i="1"/>
  <c r="C4710" i="1"/>
  <c r="A6768" i="1"/>
  <c r="B6768" i="1"/>
  <c r="C6768" i="1"/>
  <c r="A18878" i="1"/>
  <c r="B18878" i="1"/>
  <c r="C18878" i="1"/>
  <c r="A21587" i="1"/>
  <c r="B21587" i="1"/>
  <c r="C21587" i="1"/>
  <c r="A8637" i="1"/>
  <c r="B8637" i="1"/>
  <c r="C8637" i="1"/>
  <c r="A8685" i="1"/>
  <c r="B8685" i="1"/>
  <c r="C8685" i="1"/>
  <c r="A9228" i="1"/>
  <c r="B9228" i="1"/>
  <c r="C9228" i="1"/>
  <c r="A8662" i="1"/>
  <c r="B8662" i="1"/>
  <c r="C8662" i="1"/>
  <c r="A9221" i="1"/>
  <c r="B9221" i="1"/>
  <c r="C9221" i="1"/>
  <c r="A18967" i="1"/>
  <c r="B18967" i="1"/>
  <c r="C18967" i="1"/>
  <c r="A488" i="1"/>
  <c r="B488" i="1"/>
  <c r="C488" i="1"/>
  <c r="A18466" i="1"/>
  <c r="B18466" i="1"/>
  <c r="C18466" i="1"/>
  <c r="A18547" i="1"/>
  <c r="B18547" i="1"/>
  <c r="C18547" i="1"/>
  <c r="A498" i="1"/>
  <c r="B498" i="1"/>
  <c r="C498" i="1"/>
  <c r="A489" i="1"/>
  <c r="B489" i="1"/>
  <c r="C489" i="1"/>
  <c r="A16773" i="1"/>
  <c r="B16773" i="1"/>
  <c r="C16773" i="1"/>
  <c r="A18462" i="1"/>
  <c r="B18462" i="1"/>
  <c r="C18462" i="1"/>
  <c r="A18474" i="1"/>
  <c r="B18474" i="1"/>
  <c r="C18474" i="1"/>
  <c r="A21544" i="1"/>
  <c r="B21544" i="1"/>
  <c r="C21544" i="1"/>
  <c r="A21545" i="1"/>
  <c r="B21545" i="1"/>
  <c r="C21545" i="1"/>
  <c r="A21556" i="1"/>
  <c r="B21556" i="1"/>
  <c r="C21556" i="1"/>
  <c r="A18982" i="1"/>
  <c r="B18982" i="1"/>
  <c r="C18982" i="1"/>
  <c r="A5020" i="1"/>
  <c r="B5020" i="1"/>
  <c r="C5020" i="1"/>
  <c r="A5019" i="1"/>
  <c r="B5019" i="1"/>
  <c r="C5019" i="1"/>
  <c r="A5021" i="1"/>
  <c r="B5021" i="1"/>
  <c r="C5021" i="1"/>
  <c r="A5022" i="1"/>
  <c r="B5022" i="1"/>
  <c r="C5022" i="1"/>
  <c r="A5016" i="1"/>
  <c r="B5016" i="1"/>
  <c r="C5016" i="1"/>
  <c r="A5015" i="1"/>
  <c r="B5015" i="1"/>
  <c r="C5015" i="1"/>
  <c r="A5017" i="1"/>
  <c r="B5017" i="1"/>
  <c r="C5017" i="1"/>
  <c r="A5018" i="1"/>
  <c r="B5018" i="1"/>
  <c r="C5018" i="1"/>
  <c r="A5008" i="1"/>
  <c r="B5008" i="1"/>
  <c r="C5008" i="1"/>
  <c r="A5007" i="1"/>
  <c r="B5007" i="1"/>
  <c r="C5007" i="1"/>
  <c r="A5009" i="1"/>
  <c r="B5009" i="1"/>
  <c r="C5009" i="1"/>
  <c r="A5010" i="1"/>
  <c r="B5010" i="1"/>
  <c r="C5010" i="1"/>
  <c r="A4567" i="1"/>
  <c r="B4567" i="1"/>
  <c r="C4567" i="1"/>
  <c r="A4566" i="1"/>
  <c r="B4566" i="1"/>
  <c r="C4566" i="1"/>
  <c r="A2402" i="1"/>
  <c r="B2402" i="1"/>
  <c r="C2402" i="1"/>
  <c r="A4568" i="1"/>
  <c r="B4568" i="1"/>
  <c r="C4568" i="1"/>
  <c r="A4569" i="1"/>
  <c r="B4569" i="1"/>
  <c r="C4569" i="1"/>
  <c r="A4559" i="1"/>
  <c r="B4559" i="1"/>
  <c r="C4559" i="1"/>
  <c r="A4558" i="1"/>
  <c r="B4558" i="1"/>
  <c r="C4558" i="1"/>
  <c r="A4560" i="1"/>
  <c r="B4560" i="1"/>
  <c r="C4560" i="1"/>
  <c r="A4561" i="1"/>
  <c r="B4561" i="1"/>
  <c r="C4561" i="1"/>
  <c r="A4539" i="1"/>
  <c r="B4539" i="1"/>
  <c r="C4539" i="1"/>
  <c r="A4538" i="1"/>
  <c r="B4538" i="1"/>
  <c r="C4538" i="1"/>
  <c r="A4540" i="1"/>
  <c r="B4540" i="1"/>
  <c r="C4540" i="1"/>
  <c r="A4541" i="1"/>
  <c r="B4541" i="1"/>
  <c r="C4541" i="1"/>
  <c r="A6908" i="1"/>
  <c r="B6908" i="1"/>
  <c r="C6908" i="1"/>
  <c r="A4617" i="1"/>
  <c r="B4617" i="1"/>
  <c r="C4617" i="1"/>
  <c r="A4618" i="1"/>
  <c r="B4618" i="1"/>
  <c r="C4618" i="1"/>
  <c r="A4619" i="1"/>
  <c r="B4619" i="1"/>
  <c r="C4619" i="1"/>
  <c r="A4620" i="1"/>
  <c r="B4620" i="1"/>
  <c r="C4620" i="1"/>
  <c r="A13254" i="1"/>
  <c r="B13254" i="1"/>
  <c r="C13254" i="1"/>
  <c r="A13253" i="1"/>
  <c r="B13253" i="1"/>
  <c r="C13253" i="1"/>
  <c r="A13251" i="1"/>
  <c r="B13251" i="1"/>
  <c r="C13251" i="1"/>
  <c r="A6995" i="1"/>
  <c r="B6995" i="1"/>
  <c r="C6995" i="1"/>
  <c r="A4591" i="1"/>
  <c r="B4591" i="1"/>
  <c r="C4591" i="1"/>
  <c r="A4590" i="1"/>
  <c r="B4590" i="1"/>
  <c r="C4590" i="1"/>
  <c r="A4589" i="1"/>
  <c r="B4589" i="1"/>
  <c r="C4589" i="1"/>
  <c r="A4588" i="1"/>
  <c r="B4588" i="1"/>
  <c r="C4588" i="1"/>
  <c r="A4587" i="1"/>
  <c r="B4587" i="1"/>
  <c r="C4587" i="1"/>
  <c r="A4586" i="1"/>
  <c r="B4586" i="1"/>
  <c r="C4586" i="1"/>
  <c r="A4585" i="1"/>
  <c r="B4585" i="1"/>
  <c r="C4585" i="1"/>
  <c r="A4584" i="1"/>
  <c r="B4584" i="1"/>
  <c r="C4584" i="1"/>
  <c r="A4595" i="1"/>
  <c r="B4595" i="1"/>
  <c r="C4595" i="1"/>
  <c r="A4594" i="1"/>
  <c r="B4594" i="1"/>
  <c r="C4594" i="1"/>
  <c r="A4593" i="1"/>
  <c r="B4593" i="1"/>
  <c r="C4593" i="1"/>
  <c r="A4592" i="1"/>
  <c r="B4592" i="1"/>
  <c r="C4592" i="1"/>
  <c r="A4599" i="1"/>
  <c r="B4599" i="1"/>
  <c r="C4599" i="1"/>
  <c r="A4598" i="1"/>
  <c r="B4598" i="1"/>
  <c r="C4598" i="1"/>
  <c r="A4597" i="1"/>
  <c r="B4597" i="1"/>
  <c r="C4597" i="1"/>
  <c r="A4596" i="1"/>
  <c r="B4596" i="1"/>
  <c r="C4596" i="1"/>
  <c r="A4510" i="1"/>
  <c r="B4510" i="1"/>
  <c r="C4510" i="1"/>
  <c r="A4509" i="1"/>
  <c r="B4509" i="1"/>
  <c r="C4509" i="1"/>
  <c r="A4508" i="1"/>
  <c r="B4508" i="1"/>
  <c r="C4508" i="1"/>
  <c r="A4507" i="1"/>
  <c r="B4507" i="1"/>
  <c r="C4507" i="1"/>
  <c r="A4506" i="1"/>
  <c r="B4506" i="1"/>
  <c r="C4506" i="1"/>
  <c r="A4505" i="1"/>
  <c r="B4505" i="1"/>
  <c r="C4505" i="1"/>
  <c r="A4504" i="1"/>
  <c r="B4504" i="1"/>
  <c r="C4504" i="1"/>
  <c r="A4503" i="1"/>
  <c r="B4503" i="1"/>
  <c r="C4503" i="1"/>
  <c r="A4514" i="1"/>
  <c r="B4514" i="1"/>
  <c r="C4514" i="1"/>
  <c r="A4513" i="1"/>
  <c r="B4513" i="1"/>
  <c r="C4513" i="1"/>
  <c r="A4512" i="1"/>
  <c r="B4512" i="1"/>
  <c r="C4512" i="1"/>
  <c r="A4511" i="1"/>
  <c r="B4511" i="1"/>
  <c r="C4511" i="1"/>
  <c r="A4601" i="1"/>
  <c r="B4601" i="1"/>
  <c r="C4601" i="1"/>
  <c r="A4603" i="1"/>
  <c r="B4603" i="1"/>
  <c r="C4603" i="1"/>
  <c r="A4989" i="1"/>
  <c r="B4989" i="1"/>
  <c r="C4989" i="1"/>
  <c r="A4988" i="1"/>
  <c r="B4988" i="1"/>
  <c r="C4988" i="1"/>
  <c r="A4987" i="1"/>
  <c r="B4987" i="1"/>
  <c r="C4987" i="1"/>
  <c r="A4986" i="1"/>
  <c r="B4986" i="1"/>
  <c r="C4986" i="1"/>
  <c r="A4985" i="1"/>
  <c r="B4985" i="1"/>
  <c r="C4985" i="1"/>
  <c r="A4984" i="1"/>
  <c r="B4984" i="1"/>
  <c r="C4984" i="1"/>
  <c r="A4983" i="1"/>
  <c r="B4983" i="1"/>
  <c r="C4983" i="1"/>
  <c r="A4982" i="1"/>
  <c r="B4982" i="1"/>
  <c r="C4982" i="1"/>
  <c r="A4993" i="1"/>
  <c r="B4993" i="1"/>
  <c r="C4993" i="1"/>
  <c r="A4992" i="1"/>
  <c r="B4992" i="1"/>
  <c r="C4992" i="1"/>
  <c r="A4991" i="1"/>
  <c r="B4991" i="1"/>
  <c r="C4991" i="1"/>
  <c r="A4990" i="1"/>
  <c r="B4990" i="1"/>
  <c r="C4990" i="1"/>
  <c r="A4997" i="1"/>
  <c r="B4997" i="1"/>
  <c r="C4997" i="1"/>
  <c r="A4996" i="1"/>
  <c r="B4996" i="1"/>
  <c r="C4996" i="1"/>
  <c r="A4995" i="1"/>
  <c r="B4995" i="1"/>
  <c r="C4995" i="1"/>
  <c r="A4994" i="1"/>
  <c r="B4994" i="1"/>
  <c r="C4994" i="1"/>
  <c r="A4973" i="1"/>
  <c r="B4973" i="1"/>
  <c r="C4973" i="1"/>
  <c r="A4972" i="1"/>
  <c r="B4972" i="1"/>
  <c r="C4972" i="1"/>
  <c r="A4971" i="1"/>
  <c r="B4971" i="1"/>
  <c r="C4971" i="1"/>
  <c r="A4970" i="1"/>
  <c r="B4970" i="1"/>
  <c r="C4970" i="1"/>
  <c r="A4969" i="1"/>
  <c r="B4969" i="1"/>
  <c r="C4969" i="1"/>
  <c r="A4968" i="1"/>
  <c r="B4968" i="1"/>
  <c r="C4968" i="1"/>
  <c r="A4967" i="1"/>
  <c r="B4967" i="1"/>
  <c r="C4967" i="1"/>
  <c r="A4966" i="1"/>
  <c r="B4966" i="1"/>
  <c r="C4966" i="1"/>
  <c r="A4977" i="1"/>
  <c r="B4977" i="1"/>
  <c r="C4977" i="1"/>
  <c r="A4976" i="1"/>
  <c r="B4976" i="1"/>
  <c r="C4976" i="1"/>
  <c r="A4975" i="1"/>
  <c r="B4975" i="1"/>
  <c r="C4975" i="1"/>
  <c r="A4974" i="1"/>
  <c r="B4974" i="1"/>
  <c r="C4974" i="1"/>
  <c r="A5040" i="1"/>
  <c r="B5040" i="1"/>
  <c r="C5040" i="1"/>
  <c r="A5042" i="1"/>
  <c r="B5042" i="1"/>
  <c r="C5042" i="1"/>
  <c r="A6996" i="1"/>
  <c r="B6996" i="1"/>
  <c r="C6996" i="1"/>
  <c r="A10878" i="1"/>
  <c r="B10878" i="1"/>
  <c r="C10878" i="1"/>
  <c r="A10833" i="1"/>
  <c r="B10833" i="1"/>
  <c r="C10833" i="1"/>
  <c r="A11079" i="1"/>
  <c r="B11079" i="1"/>
  <c r="C11079" i="1"/>
  <c r="A11080" i="1"/>
  <c r="B11080" i="1"/>
  <c r="C11080" i="1"/>
  <c r="A17532" i="1"/>
  <c r="B17532" i="1"/>
  <c r="C17532" i="1"/>
  <c r="A4548" i="1"/>
  <c r="B4548" i="1"/>
  <c r="C4548" i="1"/>
  <c r="A4549" i="1"/>
  <c r="B4549" i="1"/>
  <c r="C4549" i="1"/>
  <c r="A4547" i="1"/>
  <c r="B4547" i="1"/>
  <c r="C4547" i="1"/>
  <c r="A4550" i="1"/>
  <c r="B4550" i="1"/>
  <c r="C4550" i="1"/>
  <c r="A5012" i="1"/>
  <c r="B5012" i="1"/>
  <c r="C5012" i="1"/>
  <c r="A5013" i="1"/>
  <c r="B5013" i="1"/>
  <c r="C5013" i="1"/>
  <c r="A5011" i="1"/>
  <c r="B5011" i="1"/>
  <c r="C5011" i="1"/>
  <c r="A5014" i="1"/>
  <c r="B5014" i="1"/>
  <c r="C5014" i="1"/>
  <c r="A10828" i="1"/>
  <c r="B10828" i="1"/>
  <c r="C10828" i="1"/>
  <c r="A2400" i="1"/>
  <c r="B2400" i="1"/>
  <c r="C2400" i="1"/>
  <c r="A19119" i="1"/>
  <c r="B19119" i="1"/>
  <c r="C19119" i="1"/>
  <c r="A22928" i="1"/>
  <c r="B22928" i="1"/>
  <c r="C22928" i="1"/>
  <c r="A11342" i="1"/>
  <c r="B11342" i="1"/>
  <c r="C11342" i="1"/>
  <c r="A10845" i="1"/>
  <c r="B10845" i="1"/>
  <c r="C10845" i="1"/>
  <c r="A10850" i="1"/>
  <c r="B10850" i="1"/>
  <c r="C10850" i="1"/>
  <c r="A10854" i="1"/>
  <c r="B10854" i="1"/>
  <c r="C10854" i="1"/>
  <c r="A11666" i="1"/>
  <c r="B11666" i="1"/>
  <c r="C11666" i="1"/>
  <c r="A10852" i="1"/>
  <c r="B10852" i="1"/>
  <c r="C10852" i="1"/>
  <c r="A10848" i="1"/>
  <c r="B10848" i="1"/>
  <c r="C10848" i="1"/>
  <c r="A10847" i="1"/>
  <c r="B10847" i="1"/>
  <c r="C10847" i="1"/>
  <c r="A18440" i="1"/>
  <c r="B18440" i="1"/>
  <c r="C18440" i="1"/>
  <c r="A18442" i="1"/>
  <c r="B18442" i="1"/>
  <c r="C18442" i="1"/>
  <c r="A23968" i="1"/>
  <c r="B23968" i="1"/>
  <c r="C23968" i="1"/>
  <c r="A8918" i="1"/>
  <c r="B8918" i="1"/>
  <c r="C8918" i="1"/>
  <c r="A10849" i="1"/>
  <c r="B10849" i="1"/>
  <c r="C10849" i="1"/>
  <c r="A13721" i="1"/>
  <c r="B13721" i="1"/>
  <c r="C13721" i="1"/>
  <c r="A13727" i="1"/>
  <c r="B13727" i="1"/>
  <c r="C13727" i="1"/>
  <c r="A21048" i="1"/>
  <c r="B21048" i="1"/>
  <c r="C21048" i="1"/>
  <c r="A11063" i="1"/>
  <c r="B11063" i="1"/>
  <c r="C11063" i="1"/>
  <c r="A11062" i="1"/>
  <c r="B11062" i="1"/>
  <c r="C11062" i="1"/>
  <c r="A11069" i="1"/>
  <c r="B11069" i="1"/>
  <c r="C11069" i="1"/>
  <c r="A11067" i="1"/>
  <c r="B11067" i="1"/>
  <c r="C11067" i="1"/>
  <c r="A11068" i="1"/>
  <c r="B11068" i="1"/>
  <c r="C11068" i="1"/>
  <c r="A11066" i="1"/>
  <c r="B11066" i="1"/>
  <c r="C11066" i="1"/>
  <c r="A11064" i="1"/>
  <c r="B11064" i="1"/>
  <c r="C11064" i="1"/>
  <c r="A11065" i="1"/>
  <c r="B11065" i="1"/>
  <c r="C11065" i="1"/>
  <c r="A11058" i="1"/>
  <c r="B11058" i="1"/>
  <c r="C11058" i="1"/>
  <c r="A11060" i="1"/>
  <c r="B11060" i="1"/>
  <c r="C11060" i="1"/>
  <c r="A21042" i="1"/>
  <c r="B21042" i="1"/>
  <c r="C21042" i="1"/>
  <c r="A11059" i="1"/>
  <c r="B11059" i="1"/>
  <c r="C11059" i="1"/>
  <c r="A485" i="1"/>
  <c r="B485" i="1"/>
  <c r="C485" i="1"/>
  <c r="A11061" i="1"/>
  <c r="B11061" i="1"/>
  <c r="C11061" i="1"/>
  <c r="A21249" i="1"/>
  <c r="B21249" i="1"/>
  <c r="C21249" i="1"/>
  <c r="A10973" i="1"/>
  <c r="B10973" i="1"/>
  <c r="C10973" i="1"/>
  <c r="A21047" i="1"/>
  <c r="B21047" i="1"/>
  <c r="C21047" i="1"/>
  <c r="A17490" i="1"/>
  <c r="B17490" i="1"/>
  <c r="C17490" i="1"/>
  <c r="A10821" i="1"/>
  <c r="B10821" i="1"/>
  <c r="C10821" i="1"/>
  <c r="A10820" i="1"/>
  <c r="B10820" i="1"/>
  <c r="C10820" i="1"/>
  <c r="A10822" i="1"/>
  <c r="B10822" i="1"/>
  <c r="C10822" i="1"/>
  <c r="A21044" i="1"/>
  <c r="B21044" i="1"/>
  <c r="C21044" i="1"/>
  <c r="A4705" i="1"/>
  <c r="B4705" i="1"/>
  <c r="C4705" i="1"/>
  <c r="A4706" i="1"/>
  <c r="B4706" i="1"/>
  <c r="C4706" i="1"/>
  <c r="A4707" i="1"/>
  <c r="B4707" i="1"/>
  <c r="C4707" i="1"/>
  <c r="A2396" i="1"/>
  <c r="B2396" i="1"/>
  <c r="C2396" i="1"/>
  <c r="A11674" i="1"/>
  <c r="B11674" i="1"/>
  <c r="C11674" i="1"/>
  <c r="A10835" i="1"/>
  <c r="B10835" i="1"/>
  <c r="C10835" i="1"/>
  <c r="A11012" i="1"/>
  <c r="B11012" i="1"/>
  <c r="C11012" i="1"/>
  <c r="A19120" i="1"/>
  <c r="B19120" i="1"/>
  <c r="C19120" i="1"/>
  <c r="A21043" i="1"/>
  <c r="B21043" i="1"/>
  <c r="C21043" i="1"/>
  <c r="A12152" i="1"/>
  <c r="B12152" i="1"/>
  <c r="C12152" i="1"/>
  <c r="A494" i="1"/>
  <c r="B494" i="1"/>
  <c r="C494" i="1"/>
  <c r="A496" i="1"/>
  <c r="B496" i="1"/>
  <c r="C496" i="1"/>
  <c r="A491" i="1"/>
  <c r="B491" i="1"/>
  <c r="C491" i="1"/>
  <c r="A492" i="1"/>
  <c r="B492" i="1"/>
  <c r="C492" i="1"/>
  <c r="A501" i="1"/>
  <c r="B501" i="1"/>
  <c r="C501" i="1"/>
  <c r="A12154" i="1"/>
  <c r="B12154" i="1"/>
  <c r="C12154" i="1"/>
  <c r="A510" i="1"/>
  <c r="B510" i="1"/>
  <c r="C510" i="1"/>
  <c r="A511" i="1"/>
  <c r="B511" i="1"/>
  <c r="C511" i="1"/>
  <c r="A512" i="1"/>
  <c r="B512" i="1"/>
  <c r="C512" i="1"/>
  <c r="A509" i="1"/>
  <c r="B509" i="1"/>
  <c r="C509" i="1"/>
  <c r="A21045" i="1"/>
  <c r="B21045" i="1"/>
  <c r="C21045" i="1"/>
  <c r="A506" i="1"/>
  <c r="B506" i="1"/>
  <c r="C506" i="1"/>
  <c r="A508" i="1"/>
  <c r="B508" i="1"/>
  <c r="C508" i="1"/>
  <c r="A507" i="1"/>
  <c r="B507" i="1"/>
  <c r="C507" i="1"/>
  <c r="A16762" i="1"/>
  <c r="B16762" i="1"/>
  <c r="C16762" i="1"/>
  <c r="A12156" i="1"/>
  <c r="B12156" i="1"/>
  <c r="C12156" i="1"/>
  <c r="A22416" i="1"/>
  <c r="B22416" i="1"/>
  <c r="C22416" i="1"/>
  <c r="A4236" i="1"/>
  <c r="B4236" i="1"/>
  <c r="C4236" i="1"/>
  <c r="A10337" i="1"/>
  <c r="B10337" i="1"/>
  <c r="C10337" i="1"/>
  <c r="A16771" i="1"/>
  <c r="B16771" i="1"/>
  <c r="C16771" i="1"/>
  <c r="A8661" i="1"/>
  <c r="B8661" i="1"/>
  <c r="C8661" i="1"/>
  <c r="A21046" i="1"/>
  <c r="B21046" i="1"/>
  <c r="C21046" i="1"/>
  <c r="A21401" i="1"/>
  <c r="B21401" i="1"/>
  <c r="C21401" i="1"/>
  <c r="A10974" i="1"/>
  <c r="B10974" i="1"/>
  <c r="C10974" i="1"/>
  <c r="A10978" i="1"/>
  <c r="B10978" i="1"/>
  <c r="C10978" i="1"/>
  <c r="A10650" i="1"/>
  <c r="B10650" i="1"/>
  <c r="C10650" i="1"/>
  <c r="A15839" i="1"/>
  <c r="B15839" i="1"/>
  <c r="C15839" i="1"/>
  <c r="A2347" i="1"/>
  <c r="B2347" i="1"/>
  <c r="C2347" i="1"/>
  <c r="A505" i="1"/>
  <c r="B505" i="1"/>
  <c r="C505" i="1"/>
  <c r="A503" i="1"/>
  <c r="B503" i="1"/>
  <c r="C503" i="1"/>
  <c r="A504" i="1"/>
  <c r="B504" i="1"/>
  <c r="C504" i="1"/>
  <c r="A13986" i="1"/>
  <c r="B13986" i="1"/>
  <c r="C13986" i="1"/>
  <c r="A10979" i="1"/>
  <c r="B10979" i="1"/>
  <c r="C10979" i="1"/>
  <c r="A2339" i="1"/>
  <c r="B2339" i="1"/>
  <c r="C2339" i="1"/>
  <c r="A15840" i="1"/>
  <c r="B15840" i="1"/>
  <c r="C15840" i="1"/>
  <c r="A669" i="1"/>
  <c r="B669" i="1"/>
  <c r="C669" i="1"/>
  <c r="A482" i="1"/>
  <c r="B482" i="1"/>
  <c r="C482" i="1"/>
  <c r="A479" i="1"/>
  <c r="B479" i="1"/>
  <c r="C479" i="1"/>
  <c r="A481" i="1"/>
  <c r="B481" i="1"/>
  <c r="C481" i="1"/>
  <c r="A484" i="1"/>
  <c r="B484" i="1"/>
  <c r="C484" i="1"/>
  <c r="A478" i="1"/>
  <c r="B478" i="1"/>
  <c r="C478" i="1"/>
  <c r="A477" i="1"/>
  <c r="B477" i="1"/>
  <c r="C477" i="1"/>
  <c r="A24016" i="1"/>
  <c r="B24016" i="1"/>
  <c r="C24016" i="1"/>
  <c r="A22767" i="1"/>
  <c r="C22767" i="1"/>
  <c r="A16776" i="1"/>
  <c r="B16776" i="1"/>
  <c r="C16776" i="1"/>
  <c r="A16768" i="1"/>
  <c r="B16768" i="1"/>
  <c r="C16768" i="1"/>
  <c r="A16770" i="1"/>
  <c r="B16770" i="1"/>
  <c r="C16770" i="1"/>
  <c r="A480" i="1"/>
  <c r="B480" i="1"/>
  <c r="C480" i="1"/>
  <c r="A483" i="1"/>
  <c r="B483" i="1"/>
  <c r="C483" i="1"/>
  <c r="A475" i="1"/>
  <c r="B475" i="1"/>
  <c r="C475" i="1"/>
  <c r="A476" i="1"/>
  <c r="B476" i="1"/>
  <c r="C476" i="1"/>
  <c r="A7838" i="1"/>
  <c r="B7838" i="1"/>
  <c r="C7838" i="1"/>
  <c r="A7844" i="1"/>
  <c r="B7844" i="1"/>
  <c r="C7844" i="1"/>
  <c r="A18512" i="1"/>
  <c r="B18512" i="1"/>
  <c r="C18512" i="1"/>
  <c r="A22765" i="1"/>
  <c r="C22765" i="1"/>
  <c r="A10980" i="1"/>
  <c r="B10980" i="1"/>
  <c r="C10980" i="1"/>
  <c r="A10972" i="1"/>
  <c r="B10972" i="1"/>
  <c r="C10972" i="1"/>
  <c r="A18999" i="1"/>
  <c r="B18999" i="1"/>
  <c r="C18999" i="1"/>
  <c r="A19002" i="1"/>
  <c r="B19002" i="1"/>
  <c r="C19002" i="1"/>
  <c r="A18531" i="1"/>
  <c r="B18531" i="1"/>
  <c r="C18531" i="1"/>
  <c r="A2454" i="1"/>
  <c r="B2454" i="1"/>
  <c r="C2454" i="1"/>
  <c r="A18507" i="1"/>
  <c r="B18507" i="1"/>
  <c r="C18507" i="1"/>
  <c r="A18523" i="1"/>
  <c r="B18523" i="1"/>
  <c r="C18523" i="1"/>
  <c r="A10361" i="1"/>
  <c r="B10361" i="1"/>
  <c r="C10361" i="1"/>
  <c r="A21148" i="1"/>
  <c r="B21148" i="1"/>
  <c r="C21148" i="1"/>
  <c r="A21144" i="1"/>
  <c r="B21144" i="1"/>
  <c r="C21144" i="1"/>
  <c r="A21166" i="1"/>
  <c r="B21166" i="1"/>
  <c r="C21166" i="1"/>
  <c r="A21162" i="1"/>
  <c r="B21162" i="1"/>
  <c r="C21162" i="1"/>
  <c r="A21194" i="1"/>
  <c r="B21194" i="1"/>
  <c r="C21194" i="1"/>
  <c r="A21197" i="1"/>
  <c r="B21197" i="1"/>
  <c r="C21197" i="1"/>
  <c r="A21195" i="1"/>
  <c r="B21195" i="1"/>
  <c r="C21195" i="1"/>
  <c r="A13164" i="1"/>
  <c r="B13164" i="1"/>
  <c r="C13164" i="1"/>
  <c r="A21196" i="1"/>
  <c r="B21196" i="1"/>
  <c r="C21196" i="1"/>
  <c r="A21168" i="1"/>
  <c r="B21168" i="1"/>
  <c r="C21168" i="1"/>
  <c r="A18528" i="1"/>
  <c r="B18528" i="1"/>
  <c r="C18528" i="1"/>
  <c r="A18506" i="1"/>
  <c r="B18506" i="1"/>
  <c r="C18506" i="1"/>
  <c r="A18524" i="1"/>
  <c r="B18524" i="1"/>
  <c r="C18524" i="1"/>
  <c r="A12110" i="1"/>
  <c r="B12110" i="1"/>
  <c r="C12110" i="1"/>
  <c r="A18496" i="1"/>
  <c r="B18496" i="1"/>
  <c r="C18496" i="1"/>
  <c r="A18497" i="1"/>
  <c r="B18497" i="1"/>
  <c r="C18497" i="1"/>
  <c r="A18504" i="1"/>
  <c r="B18504" i="1"/>
  <c r="C18504" i="1"/>
  <c r="A18499" i="1"/>
  <c r="B18499" i="1"/>
  <c r="C18499" i="1"/>
  <c r="A13166" i="1"/>
  <c r="B13166" i="1"/>
  <c r="C13166" i="1"/>
  <c r="A10345" i="1"/>
  <c r="B10345" i="1"/>
  <c r="C10345" i="1"/>
  <c r="A15838" i="1"/>
  <c r="B15838" i="1"/>
  <c r="C15838" i="1"/>
  <c r="A10335" i="1"/>
  <c r="B10335" i="1"/>
  <c r="C10335" i="1"/>
  <c r="A21137" i="1"/>
  <c r="B21137" i="1"/>
  <c r="C21137" i="1"/>
  <c r="A12112" i="1"/>
  <c r="B12112" i="1"/>
  <c r="C12112" i="1"/>
  <c r="A2429" i="1"/>
  <c r="B2429" i="1"/>
  <c r="C2429" i="1"/>
  <c r="A2430" i="1"/>
  <c r="B2430" i="1"/>
  <c r="C2430" i="1"/>
  <c r="A2428" i="1"/>
  <c r="B2428" i="1"/>
  <c r="C2428" i="1"/>
  <c r="A2427" i="1"/>
  <c r="B2427" i="1"/>
  <c r="C2427" i="1"/>
  <c r="A2426" i="1"/>
  <c r="B2426" i="1"/>
  <c r="C2426" i="1"/>
  <c r="A12109" i="1"/>
  <c r="B12109" i="1"/>
  <c r="C12109" i="1"/>
  <c r="A18998" i="1"/>
  <c r="B18998" i="1"/>
  <c r="C18998" i="1"/>
  <c r="A10364" i="1"/>
  <c r="B10364" i="1"/>
  <c r="C10364" i="1"/>
  <c r="A18503" i="1"/>
  <c r="B18503" i="1"/>
  <c r="C18503" i="1"/>
  <c r="A12994" i="1"/>
  <c r="B12994" i="1"/>
  <c r="C12994" i="1"/>
  <c r="A13168" i="1"/>
  <c r="B13168" i="1"/>
  <c r="C13168" i="1"/>
  <c r="A21145" i="1"/>
  <c r="B21145" i="1"/>
  <c r="C21145" i="1"/>
  <c r="A18520" i="1"/>
  <c r="B18520" i="1"/>
  <c r="C18520" i="1"/>
  <c r="A18522" i="1"/>
  <c r="B18522" i="1"/>
  <c r="C18522" i="1"/>
  <c r="A18533" i="1"/>
  <c r="B18533" i="1"/>
  <c r="C18533" i="1"/>
  <c r="A21310" i="1"/>
  <c r="B21310" i="1"/>
  <c r="C21310" i="1"/>
  <c r="A13169" i="1"/>
  <c r="B13169" i="1"/>
  <c r="C13169" i="1"/>
  <c r="A19150" i="1"/>
  <c r="B19150" i="1"/>
  <c r="C19150" i="1"/>
  <c r="A22370" i="1"/>
  <c r="B22370" i="1"/>
  <c r="C22370" i="1"/>
  <c r="A180" i="1"/>
  <c r="B180" i="1"/>
  <c r="C180" i="1"/>
  <c r="A19131" i="1"/>
  <c r="B19131" i="1"/>
  <c r="C19131" i="1"/>
  <c r="A13170" i="1"/>
  <c r="B13170" i="1"/>
  <c r="C13170" i="1"/>
  <c r="A14244" i="1"/>
  <c r="B14244" i="1"/>
  <c r="C14244" i="1"/>
  <c r="A7898" i="1"/>
  <c r="B7898" i="1"/>
  <c r="C7898" i="1"/>
  <c r="A7955" i="1"/>
  <c r="B7955" i="1"/>
  <c r="C7955" i="1"/>
  <c r="A7891" i="1"/>
  <c r="B7891" i="1"/>
  <c r="C7891" i="1"/>
  <c r="A9356" i="1"/>
  <c r="B9356" i="1"/>
  <c r="C9356" i="1"/>
  <c r="A7897" i="1"/>
  <c r="B7897" i="1"/>
  <c r="C7897" i="1"/>
  <c r="A7896" i="1"/>
  <c r="B7896" i="1"/>
  <c r="C7896" i="1"/>
  <c r="A7892" i="1"/>
  <c r="B7892" i="1"/>
  <c r="C7892" i="1"/>
  <c r="A13167" i="1"/>
  <c r="B13167" i="1"/>
  <c r="C13167" i="1"/>
  <c r="A7893" i="1"/>
  <c r="B7893" i="1"/>
  <c r="C7893" i="1"/>
  <c r="A11045" i="1"/>
  <c r="B11045" i="1"/>
  <c r="C11045" i="1"/>
  <c r="A11042" i="1"/>
  <c r="B11042" i="1"/>
  <c r="C11042" i="1"/>
  <c r="A10544" i="1"/>
  <c r="B10544" i="1"/>
  <c r="C10544" i="1"/>
  <c r="A10562" i="1"/>
  <c r="B10562" i="1"/>
  <c r="C10562" i="1"/>
  <c r="A8669" i="1"/>
  <c r="B8669" i="1"/>
  <c r="C8669" i="1"/>
  <c r="A8668" i="1"/>
  <c r="B8668" i="1"/>
  <c r="C8668" i="1"/>
  <c r="A8681" i="1"/>
  <c r="B8681" i="1"/>
  <c r="C8681" i="1"/>
  <c r="A13104" i="1"/>
  <c r="B13104" i="1"/>
  <c r="C13104" i="1"/>
  <c r="A12836" i="1"/>
  <c r="B12836" i="1"/>
  <c r="C12836" i="1"/>
  <c r="A12837" i="1"/>
  <c r="B12837" i="1"/>
  <c r="C12837" i="1"/>
  <c r="A19303" i="1"/>
  <c r="B19303" i="1"/>
  <c r="C19303" i="1"/>
  <c r="A21051" i="1"/>
  <c r="B21051" i="1"/>
  <c r="C21051" i="1"/>
  <c r="A13018" i="1"/>
  <c r="B13018" i="1"/>
  <c r="C13018" i="1"/>
  <c r="A21052" i="1"/>
  <c r="B21052" i="1"/>
  <c r="C21052" i="1"/>
  <c r="A21053" i="1"/>
  <c r="B21053" i="1"/>
  <c r="C21053" i="1"/>
  <c r="A13987" i="1"/>
  <c r="B13987" i="1"/>
  <c r="C13987" i="1"/>
  <c r="A13985" i="1"/>
  <c r="B13985" i="1"/>
  <c r="C13985" i="1"/>
  <c r="A13984" i="1"/>
  <c r="B13984" i="1"/>
  <c r="C13984" i="1"/>
  <c r="A10359" i="1"/>
  <c r="B10359" i="1"/>
  <c r="C10359" i="1"/>
  <c r="A10360" i="1"/>
  <c r="B10360" i="1"/>
  <c r="C10360" i="1"/>
  <c r="A13122" i="1"/>
  <c r="B13122" i="1"/>
  <c r="C13122" i="1"/>
  <c r="A11092" i="1"/>
  <c r="B11092" i="1"/>
  <c r="C11092" i="1"/>
  <c r="A11305" i="1"/>
  <c r="B11305" i="1"/>
  <c r="C11305" i="1"/>
  <c r="A22869" i="1"/>
  <c r="B22869" i="1"/>
  <c r="C22869" i="1"/>
  <c r="A11093" i="1"/>
  <c r="B11093" i="1"/>
  <c r="C11093" i="1"/>
  <c r="A11090" i="1"/>
  <c r="B11090" i="1"/>
  <c r="C11090" i="1"/>
  <c r="A9750" i="1"/>
  <c r="B9750" i="1"/>
  <c r="C9750" i="1"/>
  <c r="A14269" i="1"/>
  <c r="B14269" i="1"/>
  <c r="C14269" i="1"/>
  <c r="A8704" i="1"/>
  <c r="B8704" i="1"/>
  <c r="C8704" i="1"/>
  <c r="A5354" i="1"/>
  <c r="B5354" i="1"/>
  <c r="C5354" i="1"/>
  <c r="A10340" i="1"/>
  <c r="B10340" i="1"/>
  <c r="C10340" i="1"/>
  <c r="A11091" i="1"/>
  <c r="B11091" i="1"/>
  <c r="C11091" i="1"/>
  <c r="A10329" i="1"/>
  <c r="B10329" i="1"/>
  <c r="C10329" i="1"/>
  <c r="A11088" i="1"/>
  <c r="B11088" i="1"/>
  <c r="C11088" i="1"/>
  <c r="A10350" i="1"/>
  <c r="B10350" i="1"/>
  <c r="C10350" i="1"/>
  <c r="A16975" i="1"/>
  <c r="B16975" i="1"/>
  <c r="C16975" i="1"/>
  <c r="A16974" i="1"/>
  <c r="B16974" i="1"/>
  <c r="C16974" i="1"/>
  <c r="A11386" i="1"/>
  <c r="B11386" i="1"/>
  <c r="C11386" i="1"/>
  <c r="A7913" i="1"/>
  <c r="B7913" i="1"/>
  <c r="C7913" i="1"/>
  <c r="A7915" i="1"/>
  <c r="B7915" i="1"/>
  <c r="C7915" i="1"/>
  <c r="A2482" i="1"/>
  <c r="B2482" i="1"/>
  <c r="C2482" i="1"/>
  <c r="A5353" i="1"/>
  <c r="B5353" i="1"/>
  <c r="C5353" i="1"/>
  <c r="A7912" i="1"/>
  <c r="B7912" i="1"/>
  <c r="C7912" i="1"/>
  <c r="A7916" i="1"/>
  <c r="B7916" i="1"/>
  <c r="C7916" i="1"/>
  <c r="A7911" i="1"/>
  <c r="B7911" i="1"/>
  <c r="C7911" i="1"/>
  <c r="A7919" i="1"/>
  <c r="B7919" i="1"/>
  <c r="C7919" i="1"/>
  <c r="A7921" i="1"/>
  <c r="B7921" i="1"/>
  <c r="C7921" i="1"/>
  <c r="A10981" i="1"/>
  <c r="B10981" i="1"/>
  <c r="C10981" i="1"/>
  <c r="A10997" i="1"/>
  <c r="B10997" i="1"/>
  <c r="C10997" i="1"/>
  <c r="A10982" i="1"/>
  <c r="B10982" i="1"/>
  <c r="C10982" i="1"/>
  <c r="A4644" i="1"/>
  <c r="B4644" i="1"/>
  <c r="C4644" i="1"/>
  <c r="A2434" i="1"/>
  <c r="B2434" i="1"/>
  <c r="C2434" i="1"/>
  <c r="A662" i="1"/>
  <c r="B662" i="1"/>
  <c r="C662" i="1"/>
  <c r="A19115" i="1"/>
  <c r="B19115" i="1"/>
  <c r="C19115" i="1"/>
  <c r="A663" i="1"/>
  <c r="B663" i="1"/>
  <c r="C663" i="1"/>
  <c r="A671" i="1"/>
  <c r="B671" i="1"/>
  <c r="C671" i="1"/>
  <c r="A13077" i="1"/>
  <c r="B13077" i="1"/>
  <c r="C13077" i="1"/>
  <c r="A683" i="1"/>
  <c r="B683" i="1"/>
  <c r="C683" i="1"/>
  <c r="A684" i="1"/>
  <c r="B684" i="1"/>
  <c r="C684" i="1"/>
  <c r="A22353" i="1"/>
  <c r="B22353" i="1"/>
  <c r="C22353" i="1"/>
  <c r="A664" i="1"/>
  <c r="B664" i="1"/>
  <c r="C664" i="1"/>
  <c r="A681" i="1"/>
  <c r="B681" i="1"/>
  <c r="C681" i="1"/>
  <c r="A682" i="1"/>
  <c r="B682" i="1"/>
  <c r="C682" i="1"/>
  <c r="A672" i="1"/>
  <c r="B672" i="1"/>
  <c r="C672" i="1"/>
  <c r="A670" i="1"/>
  <c r="B670" i="1"/>
  <c r="C670" i="1"/>
  <c r="A19117" i="1"/>
  <c r="B19117" i="1"/>
  <c r="C19117" i="1"/>
  <c r="A13162" i="1"/>
  <c r="B13162" i="1"/>
  <c r="C13162" i="1"/>
  <c r="A19116" i="1"/>
  <c r="B19116" i="1"/>
  <c r="C19116" i="1"/>
  <c r="A19113" i="1"/>
  <c r="B19113" i="1"/>
  <c r="C19113" i="1"/>
  <c r="A19112" i="1"/>
  <c r="B19112" i="1"/>
  <c r="C19112" i="1"/>
  <c r="A2481" i="1"/>
  <c r="B2481" i="1"/>
  <c r="C2481" i="1"/>
  <c r="A10355" i="1"/>
  <c r="B10355" i="1"/>
  <c r="C10355" i="1"/>
  <c r="A21672" i="1"/>
  <c r="B21672" i="1"/>
  <c r="C21672" i="1"/>
  <c r="A21671" i="1"/>
  <c r="B21671" i="1"/>
  <c r="C21671" i="1"/>
  <c r="A21669" i="1"/>
  <c r="B21669" i="1"/>
  <c r="C21669" i="1"/>
  <c r="A21670" i="1"/>
  <c r="B21670" i="1"/>
  <c r="C21670" i="1"/>
  <c r="A21673" i="1"/>
  <c r="B21673" i="1"/>
  <c r="C21673" i="1"/>
  <c r="A21666" i="1"/>
  <c r="B21666" i="1"/>
  <c r="C21666" i="1"/>
  <c r="A21664" i="1"/>
  <c r="B21664" i="1"/>
  <c r="C21664" i="1"/>
  <c r="A21665" i="1"/>
  <c r="B21665" i="1"/>
  <c r="C21665" i="1"/>
  <c r="A21659" i="1"/>
  <c r="B21659" i="1"/>
  <c r="C21659" i="1"/>
  <c r="A13045" i="1"/>
  <c r="B13045" i="1"/>
  <c r="C13045" i="1"/>
  <c r="A21655" i="1"/>
  <c r="B21655" i="1"/>
  <c r="C21655" i="1"/>
  <c r="A7950" i="1"/>
  <c r="B7950" i="1"/>
  <c r="C7950" i="1"/>
  <c r="A7949" i="1"/>
  <c r="B7949" i="1"/>
  <c r="C7949" i="1"/>
  <c r="A7938" i="1"/>
  <c r="B7938" i="1"/>
  <c r="C7938" i="1"/>
  <c r="A7937" i="1"/>
  <c r="B7937" i="1"/>
  <c r="C7937" i="1"/>
  <c r="A7951" i="1"/>
  <c r="B7951" i="1"/>
  <c r="C7951" i="1"/>
  <c r="A7952" i="1"/>
  <c r="B7952" i="1"/>
  <c r="C7952" i="1"/>
  <c r="A21657" i="1"/>
  <c r="B21657" i="1"/>
  <c r="C21657" i="1"/>
  <c r="A21656" i="1"/>
  <c r="B21656" i="1"/>
  <c r="C21656" i="1"/>
  <c r="A21658" i="1"/>
  <c r="B21658" i="1"/>
  <c r="C21658" i="1"/>
  <c r="A21653" i="1"/>
  <c r="B21653" i="1"/>
  <c r="C21653" i="1"/>
  <c r="A21654" i="1"/>
  <c r="B21654" i="1"/>
  <c r="C21654" i="1"/>
  <c r="A21662" i="1"/>
  <c r="B21662" i="1"/>
  <c r="C21662" i="1"/>
  <c r="A21663" i="1"/>
  <c r="B21663" i="1"/>
  <c r="C21663" i="1"/>
  <c r="A13171" i="1"/>
  <c r="B13171" i="1"/>
  <c r="C13171" i="1"/>
  <c r="A13960" i="1"/>
  <c r="B13960" i="1"/>
  <c r="C13960" i="1"/>
  <c r="A9263" i="1"/>
  <c r="B9263" i="1"/>
  <c r="C9263" i="1"/>
  <c r="A9217" i="1"/>
  <c r="B9217" i="1"/>
  <c r="C9217" i="1"/>
  <c r="A9219" i="1"/>
  <c r="B9219" i="1"/>
  <c r="C9219" i="1"/>
  <c r="A10882" i="1"/>
  <c r="B10882" i="1"/>
  <c r="C10882" i="1"/>
  <c r="A10883" i="1"/>
  <c r="B10883" i="1"/>
  <c r="C10883" i="1"/>
  <c r="A10884" i="1"/>
  <c r="B10884" i="1"/>
  <c r="C10884" i="1"/>
  <c r="A10880" i="1"/>
  <c r="B10880" i="1"/>
  <c r="C10880" i="1"/>
  <c r="A10858" i="1"/>
  <c r="B10858" i="1"/>
  <c r="C10858" i="1"/>
  <c r="A9220" i="1"/>
  <c r="B9220" i="1"/>
  <c r="C9220" i="1"/>
  <c r="A665" i="1"/>
  <c r="B665" i="1"/>
  <c r="C665" i="1"/>
  <c r="A10817" i="1"/>
  <c r="B10817" i="1"/>
  <c r="C10817" i="1"/>
  <c r="A8676" i="1"/>
  <c r="B8676" i="1"/>
  <c r="C8676" i="1"/>
  <c r="A24118" i="1"/>
  <c r="B24118" i="1"/>
  <c r="C24118" i="1"/>
  <c r="A8682" i="1"/>
  <c r="B8682" i="1"/>
  <c r="C8682" i="1"/>
  <c r="A8711" i="1"/>
  <c r="B8711" i="1"/>
  <c r="C8711" i="1"/>
  <c r="A8689" i="1"/>
  <c r="B8689" i="1"/>
  <c r="C8689" i="1"/>
  <c r="A8741" i="1"/>
  <c r="B8741" i="1"/>
  <c r="C8741" i="1"/>
  <c r="A13165" i="1"/>
  <c r="B13165" i="1"/>
  <c r="C13165" i="1"/>
  <c r="A23142" i="1"/>
  <c r="B23142" i="1"/>
  <c r="C23142" i="1"/>
  <c r="A8696" i="1"/>
  <c r="B8696" i="1"/>
  <c r="C8696" i="1"/>
  <c r="A8695" i="1"/>
  <c r="B8695" i="1"/>
  <c r="C8695" i="1"/>
  <c r="A8688" i="1"/>
  <c r="B8688" i="1"/>
  <c r="C8688" i="1"/>
  <c r="A8683" i="1"/>
  <c r="B8683" i="1"/>
  <c r="C8683" i="1"/>
  <c r="A8670" i="1"/>
  <c r="B8670" i="1"/>
  <c r="C8670" i="1"/>
  <c r="A8710" i="1"/>
  <c r="B8710" i="1"/>
  <c r="C8710" i="1"/>
  <c r="A8684" i="1"/>
  <c r="B8684" i="1"/>
  <c r="C8684" i="1"/>
  <c r="A9225" i="1"/>
  <c r="B9225" i="1"/>
  <c r="C9225" i="1"/>
  <c r="A8677" i="1"/>
  <c r="B8677" i="1"/>
  <c r="C8677" i="1"/>
  <c r="A2398" i="1"/>
  <c r="B2398" i="1"/>
  <c r="C2398" i="1"/>
  <c r="A8678" i="1"/>
  <c r="B8678" i="1"/>
  <c r="C8678" i="1"/>
  <c r="A8652" i="1"/>
  <c r="B8652" i="1"/>
  <c r="C8652" i="1"/>
  <c r="A8653" i="1"/>
  <c r="B8653" i="1"/>
  <c r="C8653" i="1"/>
  <c r="A8686" i="1"/>
  <c r="B8686" i="1"/>
  <c r="C8686" i="1"/>
  <c r="A18521" i="1"/>
  <c r="B18521" i="1"/>
  <c r="C18521" i="1"/>
  <c r="A18532" i="1"/>
  <c r="B18532" i="1"/>
  <c r="C18532" i="1"/>
  <c r="A13032" i="1"/>
  <c r="B13032" i="1"/>
  <c r="C13032" i="1"/>
  <c r="A18490" i="1"/>
  <c r="B18490" i="1"/>
  <c r="C18490" i="1"/>
  <c r="A21041" i="1"/>
  <c r="B21041" i="1"/>
  <c r="C21041" i="1"/>
  <c r="A17538" i="1"/>
  <c r="B17538" i="1"/>
  <c r="C17538" i="1"/>
  <c r="A21349" i="1"/>
  <c r="B21349" i="1"/>
  <c r="C21349" i="1"/>
  <c r="A15846" i="1"/>
  <c r="B15846" i="1"/>
  <c r="C15846" i="1"/>
  <c r="A7980" i="1"/>
  <c r="B7980" i="1"/>
  <c r="C7980" i="1"/>
  <c r="A7979" i="1"/>
  <c r="B7979" i="1"/>
  <c r="C7979" i="1"/>
  <c r="A21407" i="1"/>
  <c r="B21407" i="1"/>
  <c r="C21407" i="1"/>
  <c r="A21206" i="1"/>
  <c r="B21206" i="1"/>
  <c r="C21206" i="1"/>
  <c r="A10859" i="1"/>
  <c r="B10859" i="1"/>
  <c r="C10859" i="1"/>
  <c r="A10818" i="1"/>
  <c r="B10818" i="1"/>
  <c r="C10818" i="1"/>
  <c r="A7835" i="1"/>
  <c r="B7835" i="1"/>
  <c r="C7835" i="1"/>
  <c r="A7890" i="1"/>
  <c r="B7890" i="1"/>
  <c r="C7890" i="1"/>
  <c r="A10992" i="1"/>
  <c r="B10992" i="1"/>
  <c r="C10992" i="1"/>
  <c r="A17536" i="1"/>
  <c r="B17536" i="1"/>
  <c r="C17536" i="1"/>
  <c r="A10362" i="1"/>
  <c r="B10362" i="1"/>
  <c r="C10362" i="1"/>
  <c r="A24250" i="1"/>
  <c r="B24250" i="1"/>
  <c r="C24250" i="1"/>
  <c r="A12258" i="1"/>
  <c r="B12258" i="1"/>
  <c r="C12258" i="1"/>
  <c r="A22502" i="1"/>
  <c r="B22502" i="1"/>
  <c r="C22502" i="1"/>
  <c r="A17704" i="1"/>
  <c r="B17704" i="1"/>
  <c r="C17704" i="1"/>
  <c r="A22272" i="1"/>
  <c r="B22272" i="1"/>
  <c r="C22272" i="1"/>
  <c r="A10348" i="1"/>
  <c r="B10348" i="1"/>
  <c r="C10348" i="1"/>
  <c r="A8679" i="1"/>
  <c r="B8679" i="1"/>
  <c r="C8679" i="1"/>
  <c r="A21040" i="1"/>
  <c r="B21040" i="1"/>
  <c r="C21040" i="1"/>
  <c r="A21037" i="1"/>
  <c r="B21037" i="1"/>
  <c r="C21037" i="1"/>
  <c r="A21050" i="1"/>
  <c r="B21050" i="1"/>
  <c r="C21050" i="1"/>
  <c r="A21049" i="1"/>
  <c r="B21049" i="1"/>
  <c r="C21049" i="1"/>
  <c r="A21039" i="1"/>
  <c r="B21039" i="1"/>
  <c r="C21039" i="1"/>
  <c r="A21038" i="1"/>
  <c r="B21038" i="1"/>
  <c r="C21038" i="1"/>
  <c r="A8663" i="1"/>
  <c r="B8663" i="1"/>
  <c r="C8663" i="1"/>
  <c r="A19070" i="1"/>
  <c r="B19070" i="1"/>
  <c r="C19070" i="1"/>
  <c r="A9320" i="1"/>
  <c r="B9320" i="1"/>
  <c r="C9320" i="1"/>
  <c r="A11715" i="1"/>
  <c r="B11715" i="1"/>
  <c r="C11715" i="1"/>
  <c r="A14782" i="1"/>
  <c r="B14782" i="1"/>
  <c r="C14782" i="1"/>
  <c r="A15841" i="1"/>
  <c r="B15841" i="1"/>
  <c r="C15841" i="1"/>
  <c r="A15480" i="1"/>
  <c r="B15480" i="1"/>
  <c r="C15480" i="1"/>
  <c r="A4727" i="1"/>
  <c r="B4727" i="1"/>
  <c r="C4727" i="1"/>
  <c r="A4713" i="1"/>
  <c r="B4713" i="1"/>
  <c r="C4713" i="1"/>
  <c r="A18508" i="1"/>
  <c r="B18508" i="1"/>
  <c r="C18508" i="1"/>
  <c r="A12106" i="1"/>
  <c r="B12106" i="1"/>
  <c r="C12106" i="1"/>
  <c r="A12108" i="1"/>
  <c r="B12108" i="1"/>
  <c r="C12108" i="1"/>
  <c r="A18994" i="1"/>
  <c r="B18994" i="1"/>
  <c r="C18994" i="1"/>
  <c r="A18987" i="1"/>
  <c r="B18987" i="1"/>
  <c r="C18987" i="1"/>
  <c r="A12107" i="1"/>
  <c r="B12107" i="1"/>
  <c r="C12107" i="1"/>
  <c r="A10851" i="1"/>
  <c r="B10851" i="1"/>
  <c r="C10851" i="1"/>
  <c r="A7986" i="1"/>
  <c r="B7986" i="1"/>
  <c r="C7986" i="1"/>
  <c r="A10356" i="1"/>
  <c r="B10356" i="1"/>
  <c r="C10356" i="1"/>
  <c r="A12099" i="1"/>
  <c r="B12099" i="1"/>
  <c r="C12099" i="1"/>
  <c r="A678" i="1"/>
  <c r="B678" i="1"/>
  <c r="C678" i="1"/>
  <c r="A21502" i="1"/>
  <c r="B21502" i="1"/>
  <c r="C21502" i="1"/>
  <c r="A18441" i="1"/>
  <c r="B18441" i="1"/>
  <c r="C18441" i="1"/>
  <c r="A12085" i="1"/>
  <c r="B12085" i="1"/>
  <c r="C12085" i="1"/>
  <c r="A10621" i="1"/>
  <c r="B10621" i="1"/>
  <c r="C10621" i="1"/>
  <c r="A11086" i="1"/>
  <c r="B11086" i="1"/>
  <c r="C11086" i="1"/>
  <c r="A15520" i="1"/>
  <c r="B15520" i="1"/>
  <c r="C15520" i="1"/>
  <c r="A10613" i="1"/>
  <c r="B10613" i="1"/>
  <c r="C10613" i="1"/>
  <c r="A11033" i="1"/>
  <c r="B11033" i="1"/>
  <c r="C11033" i="1"/>
  <c r="A22926" i="1"/>
  <c r="B22926" i="1"/>
  <c r="C22926" i="1"/>
  <c r="A11361" i="1"/>
  <c r="B11361" i="1"/>
  <c r="C11361" i="1"/>
  <c r="A1298" i="1"/>
  <c r="B1298" i="1"/>
  <c r="C1298" i="1"/>
  <c r="A1299" i="1"/>
  <c r="B1299" i="1"/>
  <c r="C1299" i="1"/>
  <c r="A1653" i="1"/>
  <c r="B1653" i="1"/>
  <c r="C1653" i="1"/>
  <c r="A1655" i="1"/>
  <c r="B1655" i="1"/>
  <c r="C1655" i="1"/>
  <c r="A1654" i="1"/>
  <c r="B1654" i="1"/>
  <c r="C1654" i="1"/>
  <c r="A19071" i="1"/>
  <c r="B19071" i="1"/>
  <c r="C19071" i="1"/>
  <c r="A18459" i="1"/>
  <c r="B18459" i="1"/>
  <c r="C18459" i="1"/>
  <c r="A18988" i="1"/>
  <c r="B18988" i="1"/>
  <c r="C18988" i="1"/>
  <c r="A10966" i="1"/>
  <c r="B10966" i="1"/>
  <c r="C10966" i="1"/>
  <c r="A21430" i="1"/>
  <c r="B21430" i="1"/>
  <c r="C21430" i="1"/>
  <c r="A4412" i="1"/>
  <c r="B4412" i="1"/>
  <c r="C4412" i="1"/>
  <c r="A8947" i="1"/>
  <c r="B8947" i="1"/>
  <c r="C8947" i="1"/>
  <c r="A5277" i="1"/>
  <c r="B5277" i="1"/>
  <c r="C5277" i="1"/>
  <c r="A16920" i="1"/>
  <c r="B16920" i="1"/>
  <c r="C16920" i="1"/>
  <c r="A17063" i="1"/>
  <c r="B17063" i="1"/>
  <c r="C17063" i="1"/>
  <c r="A18620" i="1"/>
  <c r="B18620" i="1"/>
  <c r="C18620" i="1"/>
  <c r="A2001" i="1"/>
  <c r="B2001" i="1"/>
  <c r="C2001" i="1"/>
  <c r="A1484" i="1"/>
  <c r="B1484" i="1"/>
  <c r="C1484" i="1"/>
  <c r="A3381" i="1"/>
  <c r="B3381" i="1"/>
  <c r="C3381" i="1"/>
  <c r="A12740" i="1"/>
  <c r="B12740" i="1"/>
  <c r="C12740" i="1"/>
  <c r="A6912" i="1"/>
  <c r="B6912" i="1"/>
  <c r="C6912" i="1"/>
  <c r="A8756" i="1"/>
  <c r="B8756" i="1"/>
  <c r="C8756" i="1"/>
  <c r="A22026" i="1"/>
  <c r="B22026" i="1"/>
  <c r="C22026" i="1"/>
  <c r="A16789" i="1"/>
  <c r="B16789" i="1"/>
  <c r="C16789" i="1"/>
  <c r="A17491" i="1"/>
  <c r="B17491" i="1"/>
  <c r="C17491" i="1"/>
  <c r="A17492" i="1"/>
  <c r="B17492" i="1"/>
  <c r="C17492" i="1"/>
  <c r="A17493" i="1"/>
  <c r="B17493" i="1"/>
  <c r="C17493" i="1"/>
  <c r="A17494" i="1"/>
  <c r="B17494" i="1"/>
  <c r="C17494" i="1"/>
  <c r="A17495" i="1"/>
  <c r="B17495" i="1"/>
  <c r="C17495" i="1"/>
  <c r="A17496" i="1"/>
  <c r="B17496" i="1"/>
  <c r="C17496" i="1"/>
  <c r="A1345" i="1"/>
  <c r="B1345" i="1"/>
  <c r="C1345" i="1"/>
  <c r="A22025" i="1"/>
  <c r="B22025" i="1"/>
  <c r="C22025" i="1"/>
</calcChain>
</file>

<file path=xl/sharedStrings.xml><?xml version="1.0" encoding="utf-8"?>
<sst xmlns="http://schemas.openxmlformats.org/spreadsheetml/2006/main" count="26277" uniqueCount="520">
  <si>
    <t xml:space="preserve">Item: </t>
  </si>
  <si>
    <t xml:space="preserve">c-final: </t>
  </si>
  <si>
    <t xml:space="preserve">Ordenar por: </t>
  </si>
  <si>
    <t>Item</t>
  </si>
  <si>
    <t>Descrição</t>
  </si>
  <si>
    <t>Un</t>
  </si>
  <si>
    <t>Família</t>
  </si>
  <si>
    <t>GE</t>
  </si>
  <si>
    <t>COALHO LIQUIDO F:10 (COALHOPAR)</t>
  </si>
  <si>
    <t>TABULEIRO ER13L MED:1.000X800</t>
  </si>
  <si>
    <t>TABULEIRO REQUEIJÃO 400GR MED:1.000X800</t>
  </si>
  <si>
    <t>LAMPADA FLUORESCENTE TL-D 15W/75-650 COD:288301 00</t>
  </si>
  <si>
    <t>JOGO BROCA AÇO RAP. 1 A 13MM 25PÇ  DORMER REF:A29025BR</t>
  </si>
  <si>
    <t>VALVULA CORTE INOX/TFL COD:133226 COPO</t>
  </si>
  <si>
    <t>HASTE VALVULA CORTE COD:122876 COPO</t>
  </si>
  <si>
    <t>MAÇO DE VELA N: 4</t>
  </si>
  <si>
    <t>JOGO TARACHA C/ COSSINETE: M4-M5-M6-M8</t>
  </si>
  <si>
    <t>ANEL VED. ATX COLARINHO COD:300145008110</t>
  </si>
  <si>
    <t>SAPATA PRENDEDORA 75 D43842 COD:19915503</t>
  </si>
  <si>
    <t>CONDICIONADOR DO COMPRESSOR GA132 SERIE:BQD105306</t>
  </si>
  <si>
    <t>MOLA DA ROSQUEADEIRA COD:001243</t>
  </si>
  <si>
    <t>ESCOVA CIRCULAR ONDULADA REF:566162-0008</t>
  </si>
  <si>
    <t>CASTANHA DE ROSQUEAMENTO COD:02-50-08-04-05-101 COD:075006</t>
  </si>
  <si>
    <t>QUADRO DE DISJUNTOR REF:SCV5PT</t>
  </si>
  <si>
    <t>ENGRENAGEM 880 Z10 DF 25MM C/CHAVETA COD: 2201PBI</t>
  </si>
  <si>
    <t>ANEL DE VEDAÇAO EPDM 50 X 5MM (BRASKOP REQUEIJÃO) REF:2785</t>
  </si>
  <si>
    <t>ESCOVA P/ PROVETA 500ML (REF:310)</t>
  </si>
  <si>
    <t>ESCOVA P/ PROVETA 1000ML (REF:340)</t>
  </si>
  <si>
    <t>ANEL QUAD. VEDAÇAO EPDM 49,6 X 42,8 X 2MM (SERAC) REF:2779</t>
  </si>
  <si>
    <t>ANEL DE VEDAÇAO EPDM 15 X 3MM (SAQUINHO) REF:1143</t>
  </si>
  <si>
    <t>VALVULA ALAVANCA VHER-P-H-B43C-B-G14 COD: 3515601</t>
  </si>
  <si>
    <t>ROTOR B NM031 01 L 06 AISI-304 UM60 MASIÇO COD : NDB4962123</t>
  </si>
  <si>
    <t>ANEL DE VEDAÇAO MEIA CANA EPDM 86X3MM(PRIMO AT5000) REF:2786</t>
  </si>
  <si>
    <t>ANEL DE VEDAÇAO VITON 7 X 2MM (PETIT) REF:1467</t>
  </si>
  <si>
    <t>FURADEIRA MAKITA MOD:6300-4  220V</t>
  </si>
  <si>
    <t>CILINDRO ADVU 20-25-P-A REF: 166518B414</t>
  </si>
  <si>
    <t>GRAXA TRIBOTEC WHITE 2 COD: 801770-91550 SERAC</t>
  </si>
  <si>
    <t>EXAUSTOR AXIAL VENTSILVA TIPO:E30M6 127/220V 1/7 HP</t>
  </si>
  <si>
    <t>ANEL DE VEDAÇAO EPDM 82 X 3,5MM (BRASKOP REQUEIJÃO) REF:2772</t>
  </si>
  <si>
    <t>ANEL DE VEDAÇAO EPDM 67,5 X 4MM (BRASKOP REQUEIJÃO) REF:2775</t>
  </si>
  <si>
    <t>DISPENSER TOALHA EM ROLO MECANICO (GLOBAL) REF: 7079</t>
  </si>
  <si>
    <t>ANEL DE VEDAÇAO EPDM 46,5 X 3,8MM (PRIMO AT5000) REF:2778</t>
  </si>
  <si>
    <t>BUCHA DE NYLON COD:03-20-00-24 - CONFORME COD:043305</t>
  </si>
  <si>
    <t>COROA NORMAL K60 1:20 15060606007020</t>
  </si>
  <si>
    <t>BOMBA CENTRIFUGA SANITARIA MOD:BL50 CONTRUIDO AÇO INOX AISI</t>
  </si>
  <si>
    <t>LAMPADA LED 240CM 40W 3240LMS BIVOLT 6400K OUROLUX COD:03234</t>
  </si>
  <si>
    <t>MOTOR DE PASSO MOD: AK34/100F8FN1.8-ID</t>
  </si>
  <si>
    <t>EMBALADORA AUTOMATICA SERIE: 005-0306</t>
  </si>
  <si>
    <t>EMBALADORA AUTOMATICA SERIE: 2400</t>
  </si>
  <si>
    <t>EMBALADORA AUTOMATICA SERIE: 013-0706</t>
  </si>
  <si>
    <t>EMBALADORA AUTOMATICA SERIE: 010-0606</t>
  </si>
  <si>
    <t>EMBALADORA AUTOMATICA SERIE: MAQDE13</t>
  </si>
  <si>
    <t>EMBALADORA AUTOMATICA SERIE: 016-0906</t>
  </si>
  <si>
    <t>ENCARTUCHADEIRA AUTOMATICA SERIE: 07-2003</t>
  </si>
  <si>
    <t>ENCARTUCHADEIRA AUTOMATICA SERIE: 2006-05</t>
  </si>
  <si>
    <t>ENCARTUCHADEIRA AUTOMATICA SERIE: 2003-03</t>
  </si>
  <si>
    <t>ENCARTUCHADEIRA AUTOMATICA SERIE: 2003</t>
  </si>
  <si>
    <t>ENVASADORA AUTOMATICA SERIE: 4121</t>
  </si>
  <si>
    <t>ENVASADORA AUTOMATICA SERIE: 2321</t>
  </si>
  <si>
    <t>ENVASADORA AUTOMATICA SERIE: 2406</t>
  </si>
  <si>
    <t>ENVASADORA AUTOMATICA SERIE: 2322</t>
  </si>
  <si>
    <t>ENVASADORA AUTOMATICA Nº SERIE: 4058</t>
  </si>
  <si>
    <t>ENVASADORA AUTOMATICA SERIE: 024-0107</t>
  </si>
  <si>
    <t>IMPRESSORA AUTOMATICA SERIE: 3150876A</t>
  </si>
  <si>
    <t>IMPRESSORA AUTOMATICA MARCA IMAGE SERIE: 4190164A</t>
  </si>
  <si>
    <t>IMPRESSORA AUTOMATICA MARCA IMAGE SERIE: 6150072U</t>
  </si>
  <si>
    <t>IMPRESSORA AUTOMATICA MARCA IMAGE SERIE: 3150877A</t>
  </si>
  <si>
    <t>IMPRESSORA AUTOMATICA SERIE: 3150881A</t>
  </si>
  <si>
    <t>IMPRESSORA AUTOMATICA MARCA IMAJE SERIE: 2500324A</t>
  </si>
  <si>
    <t>IMPRESSORA AUTOMATICA Nº SERIE: 1315 0876</t>
  </si>
  <si>
    <t>IMPRESSORA AUTOMATICANº DE SERIE: 315088/A</t>
  </si>
  <si>
    <t>PISTOLA P/ PINTURA REF:SG-31 WESTERN</t>
  </si>
  <si>
    <t>ALCOÔMETRO GAY LUSSAC 0/100:1 GL (CALIBRADO)</t>
  </si>
  <si>
    <t>TRANSFORMADOR MONOFASICO COD:11-13-474-0972</t>
  </si>
  <si>
    <t>REDUTOR PLANETARIO RED. 1:10 P/ SERVO 750W</t>
  </si>
  <si>
    <t>COLA 20GRS CÓD: 02887B</t>
  </si>
  <si>
    <t>CHAPA INOX  MED: 800 X 800 X #1,2MM</t>
  </si>
  <si>
    <t>REDUTOR LINHA M 04 - RED:1:40 EIXO ENT. VAZADO</t>
  </si>
  <si>
    <t>ANEL DE VEDAÇAO EPDM 68 X 4MM (PETIT) REF:2774</t>
  </si>
  <si>
    <t>REDUTOR LINHA M 04 - RED:1:30 EIXO ENT. VAZADO</t>
  </si>
  <si>
    <t>MOTORREDUTOR .SEW 77DZ100LS4 2,5KW 1700RPM 220/380V FS:1,10</t>
  </si>
  <si>
    <t>ANEL DE VEDAÇAO VITON 11,7X1,2MM(BRASKOP REQUEIJÃO) REF:2787</t>
  </si>
  <si>
    <t>ANEL DE VEDAÇAO VITON 10 X 1,8MM (DMAX) REF:2782</t>
  </si>
  <si>
    <t>REDUTOR DE VELOCIDADE TIPO AS-1 RELAÇÃO 1:1</t>
  </si>
  <si>
    <t>BOLSA TERMICA AZUL ROYAL MED: A17 X L27 X P19</t>
  </si>
  <si>
    <t>BOLSA TERMICA AZUL MARINHO MED: A30 X L30 X P30</t>
  </si>
  <si>
    <t>BOMBA MOD. WHS 32 S:6915058111</t>
  </si>
  <si>
    <t>BOMBA MOD. WHS 32 S:6915059110</t>
  </si>
  <si>
    <t>ANEL DE VEDAÇAO EPDM 63 X 3MM (BRASKOP REQUEIJÃO) REF:2777</t>
  </si>
  <si>
    <t>ANEL DE VEDAÇAO EPDM 78 X 4MM (PRIMO AT5000) REF:2784</t>
  </si>
  <si>
    <t>GRAXA LAGERMASTER CXI 2 MS COD:706710-99970</t>
  </si>
  <si>
    <t>CILINDRO ADVU 20-25-APA COD: 156604D1214</t>
  </si>
  <si>
    <t>MOTOREDUTOR M07 RED1:40 C/ MOTOFREIO 2CV 4P M0713203NOEAW1</t>
  </si>
  <si>
    <t>CILINDRO ADVU 32-10 A-PA COD: 156617H514</t>
  </si>
  <si>
    <t>ANEL DE VEDAÇAO EPDM 33 X 40MM (PRIMO AT5000) REF: 2780</t>
  </si>
  <si>
    <t>CORTINA AR 1,20MT DUGOLD C/CONTROLE COD:DG1200-ST/Y</t>
  </si>
  <si>
    <t>ANEL DE VEDAÇAO EPDM 59,5 X 3,5MM (PRIMO AT5000) REF:2789</t>
  </si>
  <si>
    <t>REDUTOR LINHA M05 RED 1:40 EIXO ENT. VAZADO</t>
  </si>
  <si>
    <t>ANEL O'RING INT:155MM EXPESSURA:3,5MM</t>
  </si>
  <si>
    <t>ANEL O'RING INT:15,5MM EXPESSURA:4MM</t>
  </si>
  <si>
    <t>EIXO PISTÃO IMSB COD: 03-20-00-013</t>
  </si>
  <si>
    <t>FONTE DE ALIMENTAÇÃO LINEAR MOD:0630BL 127/220V 6V</t>
  </si>
  <si>
    <t>ANEL O'RING INT:17,5MM EXPESSURA:4MM</t>
  </si>
  <si>
    <t>CILINDRO DSNU 32-12 PPV-A-MQ COD: 193992</t>
  </si>
  <si>
    <t>VIGA G 3 CHAPA:13 AÇO CARBONO</t>
  </si>
  <si>
    <t>PN:7914EPU - X 3550 M4 2.0GHZ 20 16/3002X30SYS</t>
  </si>
  <si>
    <t>PN:46W2837 - INTXPRE5-2620V26C21G15M160M80W SYS</t>
  </si>
  <si>
    <t>PN:46W0672 - 16GPC3L - 12800DDR31600MHLPRDIMM ME</t>
  </si>
  <si>
    <t>PN:2072 - 24C - V3700 SFF DUAL CONTROL SYS</t>
  </si>
  <si>
    <t>ESCOVA P/ PROVETA 250ML (REF:310)</t>
  </si>
  <si>
    <t>ANEL DE VEDAÇAO EPDM 41 X 3,5MM (PRIMO AT5000) REF:2773</t>
  </si>
  <si>
    <t>TANQUE POLIETILENO CIL. VERT. FUNDO PLANO 15000 LT REF: 2830</t>
  </si>
  <si>
    <t>BUCHA DA JUNTA DE VEDAÇAO COD: 2909181-3 GEIGER</t>
  </si>
  <si>
    <t>TOMADA FORÇA MULT (1:1,35) - ACOPLADA TQ902411 CARGO1723</t>
  </si>
  <si>
    <t>FECHO C/ LINGUETA PROTEÇÃO P/ CADEADO TASCO COD:30934055</t>
  </si>
  <si>
    <t>MOLA INOX DI:5MM FIO:2MM PASSO:3MM COMP:40MM</t>
  </si>
  <si>
    <t>MOLA DI:10MM FIO:3,5MM PASSO:6MM COMP:25MM</t>
  </si>
  <si>
    <t>MOLA DI:10MM FIO:2,5X3,5MM PASSO:5MM COMP:39MM RETANGULAR</t>
  </si>
  <si>
    <t>MOLA DI:18MM FIO:3MM PASSO:7MM COMP:195MM REDONDO</t>
  </si>
  <si>
    <t>MOLA DI:10MM FIO:1,5MM PASSO:4MM COMP:35MM</t>
  </si>
  <si>
    <t>EIXO IMSB 900ML COD:078019 - CONFORME COD:03-20-00-C05</t>
  </si>
  <si>
    <t>KIT ROSCA POSTIÇA M5 A M12  REF: .M-MASTER ROCAST 95.0016</t>
  </si>
  <si>
    <t>SENSOR DE NIVEL SITRON Nº 530829 MOD: SC4046TRTL950N17 24V</t>
  </si>
  <si>
    <t>PORCA DO CARROSSEL BRASKOP COD:185542-3</t>
  </si>
  <si>
    <t>ENGRENAGEM CONICA TRANSMISSAO BRASKOP COD:362153-3</t>
  </si>
  <si>
    <t>ABRACADEIRA P/ CABO DE ACO TAM:20</t>
  </si>
  <si>
    <t>MOLA DI:10MM FIO:2X4MM RETANGULAR PASSO:5MM COMPRIMENTO:39MM</t>
  </si>
  <si>
    <t>MOLA INOX DI:5MM FIO:2MM PASSO:3MM COMPRIMENTO:40MM</t>
  </si>
  <si>
    <t>MOLA DI:10MM FIO:4MM QUADRADA PASSO:6MM COMPRIMENTO:25MM</t>
  </si>
  <si>
    <t>MOLA DI:18MM FIO:3MM REDODNDO PASSO:7MM COMPRIMENTO:195MM</t>
  </si>
  <si>
    <t>SUPORTE VARANDA POLIAM. DF 12,7 COD:4101 ASTERBELT</t>
  </si>
  <si>
    <t>MANIPULO + ILHOS POLIAM. M10 COD:4105 ASTERBELT</t>
  </si>
  <si>
    <t>FOTOCELULA ABERTA POLIAM. DF12MM COD:4401 ASTERBELT</t>
  </si>
  <si>
    <t>SERVO MOTOR PANASONIC MOD: MSMD082J1U</t>
  </si>
  <si>
    <t>DRIVER DE SERVO MOTOR MOD: MCDJT3220 220V PANASONIC</t>
  </si>
  <si>
    <t>BOMBA DOSADORA 220V 1A VITON SERIE:0213EX0507A30732 EXATTA</t>
  </si>
  <si>
    <t>MOLA HELICOIDAL COD: 15472103 TREPKO</t>
  </si>
  <si>
    <t>RESISTENCIA COD: 20689403 TREPKO</t>
  </si>
  <si>
    <t>TERMOPAR J M8 GLR 90G D65838 COD: 18763103 TREPKO</t>
  </si>
  <si>
    <t>MOLA INOX DE:10MM FIO:0,7MM PASSO:4MM COMPRIMENTO:35MM</t>
  </si>
  <si>
    <t>TERMOELEMENTO J 1/4 NPT GIR D67418 COD:21074203 TREPKO</t>
  </si>
  <si>
    <t>CORREIA 50X1600MM COM GUIA CENTRAL 6X4MM FECHADA COD:BLRB12A</t>
  </si>
  <si>
    <t>CORREIA 50X2000MM COM GUIA CENTRAL 6X4MM FECHADA COD:BLRB12A</t>
  </si>
  <si>
    <t>PAINEL ELETRONICO GER. 5 TOUCH SCREEN COD:1EAA0203</t>
  </si>
  <si>
    <t>VALVULA SOLENOIDE VMPA2-M1H-M-PH COD:537952</t>
  </si>
  <si>
    <t>VALVULA SOLENOIDE VMPA1-M1H-M-PL COD:533342</t>
  </si>
  <si>
    <t>REPARO CILINDRO DSM-25-270-P COD:384306</t>
  </si>
  <si>
    <t>REPARO CILINDRO DSM-32-270-P COD:384307</t>
  </si>
  <si>
    <t>ELEMENTO FILTRANTE COD:646298</t>
  </si>
  <si>
    <t>COPO DO DRENO AUTOMATICO COD:1546649</t>
  </si>
  <si>
    <t>VALVULA DE FLUIDOS VZQA-C-M22U-15-S5S5-V4V4E-4 COD:3022833</t>
  </si>
  <si>
    <t>ENGRENAGEM SINCRONIZADA COD:02-50-24-12-01-166 COD:006088</t>
  </si>
  <si>
    <t>ENGRENAGEM SINCRONIZADA COD:02-50-24-12-01-079 COD:006086</t>
  </si>
  <si>
    <t>ENGRENAGEM SINCRONIZADA COD:02-50-12-06-02-206 COD:023307</t>
  </si>
  <si>
    <t>CONECTOR ROTATIVO MOD:630 COD:001798</t>
  </si>
  <si>
    <t>FILTRO DANFOSS COD:023Z5045</t>
  </si>
  <si>
    <t>LAMPADA LED 120CM 18W 1850LMS BIVOLT 6400K OUROLUX COD:20245</t>
  </si>
  <si>
    <t>LAMPADA LED 60CM 9W 900LMS BIVOLT 6500K ECP COD:F400191</t>
  </si>
  <si>
    <t>CORPO DE BOMBA NM038-H-12-304 2 1/2 SMS COD:NDB4962893</t>
  </si>
  <si>
    <t>KIT ELEMENTO FILTRO DD360 COD: 2901 2003 19</t>
  </si>
  <si>
    <t>KIT ELEMENTO FILTRO PD360 COD: 2901 2003 19</t>
  </si>
  <si>
    <t>SOFT START WEG MOD:SSW040012T2246PPZ</t>
  </si>
  <si>
    <t>ISOLANTE ISOPOR INTERNO: 100MM EXTERNO: 180MM</t>
  </si>
  <si>
    <t>ESTEIRA DO TUNEL PASSO 1/2 PAKMATIC COD: ZWAVALD130</t>
  </si>
  <si>
    <t>NUCLEO VIODEOJET MOD: 1510</t>
  </si>
  <si>
    <t>SERVO MOTOR AKIYAMA MOD:AK85H/6-1.8</t>
  </si>
  <si>
    <t>FONTE SCHNEIDER ENT-85/264VCA S-24VCC 4,2A 100W COD:18580172</t>
  </si>
  <si>
    <t>TERM. ANGULAR DIAM:10,8COM TEMP:0 A150°C ROSCA:3,4"ASTE:25CM</t>
  </si>
  <si>
    <t>TERM. ANG. DIAM.10,8 TEMP.0 A 100ºC ROSCA:3,4" ASTE:25CM</t>
  </si>
  <si>
    <t>TERM. ANG. DIAM.8,0 TEMP.0 A 300ºC ROSCA:3,4" ASTE:15CM</t>
  </si>
  <si>
    <t>TERM. ANG. DIAM.10,8 TEMP.0 A 100ºC ROSCA:3,4" ASTE:15CM</t>
  </si>
  <si>
    <t>BOMBA FAMAC MOD: F9A-BL 7,5CV 2 ½ X 2? TRIFASICA 220/380V</t>
  </si>
  <si>
    <t>KIT REPARO COMPLETO JACTO MOD: JP42A</t>
  </si>
  <si>
    <t>CINTA DE FREIO DA BOBINA COD: ZWAEST383</t>
  </si>
  <si>
    <t>PORTA ESCOVA COD:900G880012</t>
  </si>
  <si>
    <t>ESCOVA COD:9000880003</t>
  </si>
  <si>
    <t>BARREIRA INFRAVERMELHA MOD: SFT-632</t>
  </si>
  <si>
    <t>BLOCO EM BORRACHA NORMA ALÉRGICOS COD: 01873B</t>
  </si>
  <si>
    <t>MANTA PARA COLAR NA PLACA COD: 0263B</t>
  </si>
  <si>
    <t>GRADE P/ FREEZER E REFRIGERADOR COD:002452</t>
  </si>
  <si>
    <t>SUPORTE P/ FREEZER E REFRIGERADOR COD:006324.01</t>
  </si>
  <si>
    <t>CONTROLADOR DE NIVEL 1" FPS - 1 UN. OP. -NEMA 1 COD: EM-0101</t>
  </si>
  <si>
    <t>VALVULA SOLEN. 1" FPS-FO.FO.-220V TEFLON COD:101-25BA33DT1X</t>
  </si>
  <si>
    <t>VALVULA REG. PRES. 3" FPS C/ 1PPCM E 1 PSM-3 COD:RV-6244</t>
  </si>
  <si>
    <t>REFRATOMETRO 0-90% DIV: 1% BRIX-RT-250</t>
  </si>
  <si>
    <t>PN:Y2430 RMKT 600GB 10K 2,5 HDD INTSAS P/ V3700 E V35</t>
  </si>
  <si>
    <t>COMPUNIDOR LATÃO NORMA ALERGENICOS: CONTEM LEITE E DERIVADOS</t>
  </si>
  <si>
    <t>CONJ EMP PIAL PLUS PL. 2X4 MOD:H COD:618505</t>
  </si>
  <si>
    <t>CONJ EMP PIAL PLUS SUPORTE 2X4 HOTIZ. COD:612122</t>
  </si>
  <si>
    <t>CONJ EMP PIAL PLUS SUPORTE 4X4 COD:612124</t>
  </si>
  <si>
    <t>SENSOR DE NIVEL LA32NP NCM: 9026.10.29</t>
  </si>
  <si>
    <t>PN:KA094-LENOVO SYSTEM 550WACPOWESUYSYSTESSTMSPECIFC POWER S</t>
  </si>
  <si>
    <t>BOMBA SCHNEIDER MOD: ME-BR 2340 4T 60 4CV TRIFASICA</t>
  </si>
  <si>
    <t>FILTRO DE AR DESCARTAVEL P/ FLUXO LAMINAR COD:5FAB0050</t>
  </si>
  <si>
    <t>REDUTOR LINHA M 04 - RE:1:40 EIXO ENT. VAZADO</t>
  </si>
  <si>
    <t>ROSCA S/ FIM COMPACTA M-04 1:40</t>
  </si>
  <si>
    <t>PAINEL PROTEÇAO MONTADO COMPLETO: RELE SEPAN 10A42E</t>
  </si>
  <si>
    <t>CABO PN:MJ178 - 1,5M SAS (MSAS HD) STOR AGECABLDEVICE</t>
  </si>
  <si>
    <t>ANEL DE VEDAÇAO EPDM 62 X 5MM (BRASKOP REQUEIJÃO) REF:2783</t>
  </si>
  <si>
    <t>SENSOR DE NIVEL IFM COD: LMT100</t>
  </si>
  <si>
    <t>CABO C/ CONECTOR P/ SENSOR IFM COD: EVT004</t>
  </si>
  <si>
    <t>ADAPTADOR P/ SENSOR IFM COD: E33401</t>
  </si>
  <si>
    <t>RELE DE SEGURANÇA SICK 6024915 UE48-20S2D2 COD: D-79183</t>
  </si>
  <si>
    <t>LCD PARA GRUPO APLICADOR PALA PL030 COD: LC-030-468</t>
  </si>
  <si>
    <t>SELO MECANICO GRATT COD: 1482</t>
  </si>
  <si>
    <t>CORRENTE P/ FLOTADOR GRATT 05/2015 MOD:GFAD501 NS:F50113A</t>
  </si>
  <si>
    <t>LAMPADA LED BA15D 220VCA/CC BC COD:20/LED220WN EATON F.L</t>
  </si>
  <si>
    <t>TERMÔMETRO DIG PROVA D'AGUA -50+300:1C,H=150MM (CALIBRADO)</t>
  </si>
  <si>
    <t>CILINDRO COMPACTO ADVU-25-60-A-P-A COD: 156043</t>
  </si>
  <si>
    <t>FILTRO DE AR DESCARTAVEL P/ FLUXO LAMINAR COD:5FAB4802</t>
  </si>
  <si>
    <t>FILTRO DE AR ABSOLUTO HEPA 3 P/ FLUXO LAMINAR COD:5FAY6803</t>
  </si>
  <si>
    <t>FILTRO DE AR ABSOLUTO HEPA 3 P/ FLUXO LAMINAR COD:5FAY6802</t>
  </si>
  <si>
    <t>FILTRO DE AR DESCARTAVEL P/ FLUXO LAMINAR COD:5FAB0311</t>
  </si>
  <si>
    <t>FILTRO DE AR ABSOLUTO HEPA 3 P/ FLUXO LAMINAR COD:5FAY6804</t>
  </si>
  <si>
    <t>FILTRO DE AR DESCARTAVEL P/ FLUXO LAMINAR COD:5FAB0840</t>
  </si>
  <si>
    <t>FILTRO DE AR ABSOLUTO HEPA 3 P/ FLUXO LAMINAR COD:5FAY6805</t>
  </si>
  <si>
    <t>FILTRO DE AR DESCARTAVEL P/ FLUXO LAMINAR COD:5FAB0040</t>
  </si>
  <si>
    <t>FILTRO DE AR ABSOLUTO HEPA 3 P/ FLUXO LAMINAR COD:5FAY6693</t>
  </si>
  <si>
    <t>ENGRENAGEM S50 Z10 MM PARA S-500 QF 38,1 COD:2713CI</t>
  </si>
  <si>
    <t>ESTEIRA MODULAR SERIE 500 SL TI80 5X5 L 396X324 COD: 2714CI</t>
  </si>
  <si>
    <t>VALVULA ASSENTO SIMP. SANIT. MAN.  ALFA LAVAL MOD:SSV</t>
  </si>
  <si>
    <t>MANGUEIRA NATUR PLN-6X1-NT COD: 193404</t>
  </si>
  <si>
    <t>MANGUEIRA NATUR PLN-8X1,5-NT COD: 193405</t>
  </si>
  <si>
    <t>ATUADOR C/ ALETA DSM-25-270-P-A-B COD: 547578</t>
  </si>
  <si>
    <t>ATUADOR C/ ALETA DSM-32-270-P-A-B COD: 547582</t>
  </si>
  <si>
    <t>FREIO ENBREAGEM A MOLAS MOD: CB6-1STOP-24VDC COD: ZWVALD045</t>
  </si>
  <si>
    <t>CILINDRO PNEUMATICO 2X5MM C/ HASTE COD: ZWAVALD240</t>
  </si>
  <si>
    <t>EMGRENAGEM CB6 Z32 MOD: 2 COD: LVD684A</t>
  </si>
  <si>
    <t>CILINDRO COMPAC ADVU-80-110-A-P-A COD:156048</t>
  </si>
  <si>
    <t>EMBOLO VULCANIZADO DOSADOR DE FRUTAS (DINI/GREGO) REF:2435</t>
  </si>
  <si>
    <t>SEDE DE VALVULA BORBOLETA C/ DEGRAU VITON REF: CSB1944-V</t>
  </si>
  <si>
    <t>BASE BLOCK COD: 176N000300 (SERAC)</t>
  </si>
  <si>
    <t>MOLA APLICADOR CAPSULAS COD: 868R001500 (SERAC)</t>
  </si>
  <si>
    <t>MOLA APLICADOR CAPSULAS COD: 868R001600 (SERAC)</t>
  </si>
  <si>
    <t>REGISTRO CAP. D28,5X6 D-E COD: 899R000700 (SERAC)</t>
  </si>
  <si>
    <t>DEDO DO REGISTRO CAP. D28,5X6 D-E COD: 899R000800 (SERAC)</t>
  </si>
  <si>
    <t>VALVULA SOLENOINE VUVS-L20-M52-AD-G18-F7 COD: 575249</t>
  </si>
  <si>
    <t>BOBINA ELETROM. VACS-C-C1-1 COD: 8025330</t>
  </si>
  <si>
    <t>SOQUETE MSSD-EB COD: 151687</t>
  </si>
  <si>
    <t>MANOMETRO - G46-4-02-C COD: 1064905</t>
  </si>
  <si>
    <t>REGULADOR DE PRESSÃO - ARP30-02 COD: 641186</t>
  </si>
  <si>
    <t>FILTRO DE AR ABSOLUTO HEPA 3 P/ FLUXO LAMINAR COD:5FAY6123</t>
  </si>
  <si>
    <t>FILTRO DE AR DESCARTAVEL P/ FLUXO LAMINAR COD:5FAB0020</t>
  </si>
  <si>
    <t>GRAXA TRIBOTEC WHITE 2 BD18KG COD: 966010-92610</t>
  </si>
  <si>
    <t>GRAXA FM GREASE HD 2 BD19KG COD: 974100-92400</t>
  </si>
  <si>
    <t>LUBRIFICANTE TRIBOTEC FN 220 BD20LT COD: 800870-93130</t>
  </si>
  <si>
    <t>LUBRIFICANTE TRIBOTEC FN 320 BD20LT COD: 803460-93130</t>
  </si>
  <si>
    <t>AQUEÇEDOR INDUTIVO JAMO COD: JM-6.0 SLIM</t>
  </si>
  <si>
    <t>KIT DE EXTRATOR HIDRAULICO SKF COD: THMC 110E</t>
  </si>
  <si>
    <t>TELHA TRAPEZIO RT 40/980 #0,43MM 2,60MT PINTURA EXT: AZUL</t>
  </si>
  <si>
    <t>TELHA TRAPEZIO RT 40/980 #0,43MM 1,50MT PINTURA EXT: AZUL</t>
  </si>
  <si>
    <t>TELHA TRAPEZIO RT 40/980 #0,43MM 1,40MT PINTURA EXT: AZUL</t>
  </si>
  <si>
    <t>TELHA TRAPEZIO RT 40/980 #0,43MM 1,30MT PINTURA EXT: AZUL</t>
  </si>
  <si>
    <t>TELHA TRAPEZIO RT 40/980 #0,43MM 1,00MT PINTURA EXT: AZUL</t>
  </si>
  <si>
    <t>TELHA TRAPEZIO RT 40/980 #0,43MM 0,80MT PINTURA EXT: AZUL</t>
  </si>
  <si>
    <t>TELHA TRAPEZIO RT 40/980 #0,43MM 3,70MT PINTURA EXT: AZUL</t>
  </si>
  <si>
    <t>TELHA TRAPEZIO RT 40/980 #0,43MM 3,80MT PINTURA EXT: AZUL</t>
  </si>
  <si>
    <t>TELHA TRAPEZIO RT 40/980 #0,43MM 3,90MT PINTURA EXT: AZUL</t>
  </si>
  <si>
    <t>TELHA TRAPEZIO RT 40/980 #0,43MM 4,10MT PINTURA EXT: AZUL</t>
  </si>
  <si>
    <t>TELHA TRAPEZIO RT 40/980 #0,43MM 4,30MT PINTURA EXT: AZUL</t>
  </si>
  <si>
    <t>TELHA TRAPEZIO RT 40/980 #0,43MM 4,50MT PINTURA EXT: AZUL</t>
  </si>
  <si>
    <t>TELHA TRAPEZIO RT 40/980 #0,65MM 4,90MT PINTURA EXT: AZUL</t>
  </si>
  <si>
    <t>TELHA TRAPEZIO RT 40/980 #0,43MM 5,20MT PINTURA EXT: AZUL</t>
  </si>
  <si>
    <t>TELHA TRAPEZIO RT 40/980 #0,65MM 6,0MT PINTURA EXT: AZUL</t>
  </si>
  <si>
    <t>TELHA TRAPEZIO RT 40/980 #0,43MM 0,70MT PINTURA EXT: AZUL</t>
  </si>
  <si>
    <t>TELHA TRAPEZIO RT 40/980 #0,43MM 6,50MT PINTURA EXT: AZUL</t>
  </si>
  <si>
    <t>TELHA TRAPEZIO RT 40/980 #0,43MM 1,70MT PINTURA EXT: AZUL</t>
  </si>
  <si>
    <t>TELHA TRAPEZIO RT 40/980 #0,43MM 4,20MT PINTURA EXT: AZUL</t>
  </si>
  <si>
    <t>IHM COLOR RESISTIVA 5.7 C/ PROG ECCT18.8/04NS1009 COD:130970</t>
  </si>
  <si>
    <t>ADAPTADOR PARA QUADRO DE COMANDO. COD: 140775</t>
  </si>
  <si>
    <t>TRANSDUTOR DE PRESSAO - 172 A 172 MBAR COD: 1089962518-K</t>
  </si>
  <si>
    <t>CONTROLADOR LOGICO PROMAVAVEL COD: 014167</t>
  </si>
  <si>
    <t>JOGO DE REPARO DFPB-45-090 COD: 737039</t>
  </si>
  <si>
    <t>CARRETEL DE REENVIO Z23 DF30MM INJ BIP COD: 2607MBI</t>
  </si>
  <si>
    <t>CORRENTE CURVA PLASTICA 880 325 TAB LF COD: 1201</t>
  </si>
  <si>
    <t>CORRENTE RETA PLASTICA 820 325 TAB LF COD: 1101</t>
  </si>
  <si>
    <t>ENGRENAGEM 820 Z23 DF30MM C/C COD: 2112PBI</t>
  </si>
  <si>
    <t>ENGRENAGEM 880 Z12 DF30MM C/C COD: 2211PBI</t>
  </si>
  <si>
    <t>ENGRENAGEM 880 Z12 DF30MM S/C COD: 2216PBI</t>
  </si>
  <si>
    <t>MANCAL PLASTICO BRANCO DF25MM UCF205 COD:6005B</t>
  </si>
  <si>
    <t>PERFIL AZUL PEAD PG 45X28 EM BARRA C/ 3 METROS COD: 9663A</t>
  </si>
  <si>
    <t>PERFIL AZUL PEAD PZC 20X10 EM ROLO C/ 25 METROS COD: 9557A</t>
  </si>
  <si>
    <t>PERFIL DE INOX 430 M-38 COD: 9402</t>
  </si>
  <si>
    <t>LUBRIFICANTE CASSIDA GL 220 BD22LT COD: 972620-92410</t>
  </si>
  <si>
    <t>REDUTOR LINHA M05 RED 1:80 EIXO ENT. VAZADO</t>
  </si>
  <si>
    <t>MANTA FILTRANTE P85 COD: 1028877429-I</t>
  </si>
  <si>
    <t>KIT FILTRO DE AR+OLEO COD:1028889312-A</t>
  </si>
  <si>
    <t>VALVULA SOLENOIDE COD: 1089038449-J</t>
  </si>
  <si>
    <t>KIT DE SERVIÇO TERMOSTATICO 75°C COD:1028889321-A</t>
  </si>
  <si>
    <t>KIT SEPARADOR DE OLEO COD:2906095500-A</t>
  </si>
  <si>
    <t>KIT EWD 50HZ GA90/160 COD:2906096400-J</t>
  </si>
  <si>
    <t>ANEL O 104,65X3,05 COD:0663211839-I</t>
  </si>
  <si>
    <t>REGULADOR PRESSÃO LRP-1/4-2,5 REF:162834</t>
  </si>
  <si>
    <t>GUIA FIXA COD:690P049900</t>
  </si>
  <si>
    <t>SUPORTE METAL GIR. 45 PASTA  A4R BASE 5PÉ  REF: SMG1-045+H4</t>
  </si>
  <si>
    <t>PASTA EVOLUTION AZUL EM 99 A4R SOLDADA REF: ESAA4R-AZ</t>
  </si>
  <si>
    <t>FILTRO DE AR ABSOLUTO HEPA 3 P/ FLUXO LAMINAR COD:5FAY0992</t>
  </si>
  <si>
    <t>VALVULA AB E FE MS6-EM1-1/2-R-SA COD:571429</t>
  </si>
  <si>
    <t>TELA MALHA 4X4" FIO 4,2MM (REF: GERDAU Q138)</t>
  </si>
  <si>
    <t>FONTE CHAVEADA CHUB 0540 ENT: 100-240VAC 50/60HZ SAI:SVDC 4A</t>
  </si>
  <si>
    <t>FILTRO DE AR ABSOLUTO HEPA 3 P/ FLUXO LAMINAR COD:5FAY6673</t>
  </si>
  <si>
    <t>FILTRO DE AR ABSOLUTO HEPA 3 P/ FLUXO LAMINAR COD:5FAY0669</t>
  </si>
  <si>
    <t>ENCODER COD: 15164903 TREPKO</t>
  </si>
  <si>
    <t>ENGRENAGEM COD: 16846903 TREPKO</t>
  </si>
  <si>
    <t>ENGRENAGEM COD: 36215303 TREPKO</t>
  </si>
  <si>
    <t>CILINDRO FESTO DSBC 63-62 PPVA S2 COD: SAB63914010151E5-14</t>
  </si>
  <si>
    <t>CILINDRO FESTO DSBC 40-55-PPVA COD: 163336E414</t>
  </si>
  <si>
    <t>CILINDRO FESTO DSBC 32-55-PPVA COD: 163304E414</t>
  </si>
  <si>
    <t>MOLA INOX 001243 COD: 01-24-00-012</t>
  </si>
  <si>
    <t>EXTRATOR 0075005 CONFORME COD: 02-50-08-04-05-100</t>
  </si>
  <si>
    <t>DISCO MAGNETICO 00405 CONFORME COD: 03-29-00-001</t>
  </si>
  <si>
    <t>MANCAL DO CABEÇOTE 004002 CONFORME COD: 03-29-00-003</t>
  </si>
  <si>
    <t>EIXO DO CABEÇOTE ROSQUEADOR 004227 CONFORME COD:03-29-00-004</t>
  </si>
  <si>
    <t>SUPORTE DE BOCAL 004000 CONFORME COD: 03-29-00-005</t>
  </si>
  <si>
    <t>ANEL ORING 2152 VITON COD: 001228 82MM INT.X2,7MM ESPESSURA</t>
  </si>
  <si>
    <t>ALAVANCA DA VALVULA 058710 CONFORME COD: 02-50-08-01-133</t>
  </si>
  <si>
    <t>ACIONAMENTO DA VALVULA 060842 CONFORMECOD:02-50-24-12-02-108</t>
  </si>
  <si>
    <t>ANEL ORING 2125 VITON COD: 001222</t>
  </si>
  <si>
    <t>ANEL ORING 2114 SILICONE COD:004807</t>
  </si>
  <si>
    <t>DRIVER DE SERVO MOTOR MOD: MHMJ082P1U 220V PANASONIC</t>
  </si>
  <si>
    <t>CHAVE CONTATO MAGNETICA LID CABECOTE VJ510/VJ1210 COD:223266</t>
  </si>
  <si>
    <t>CAPA PERFURADA DO CABEÇOTE CIJ 1520/1610/1620 COD:SP399355</t>
  </si>
  <si>
    <t>VALVULA OU OS- 1/8-B REF:6681</t>
  </si>
  <si>
    <t>VALVULA ESFERA 2" SMS INOX 316L COD: 4762851</t>
  </si>
  <si>
    <t>ARMARIO DE FERRAMENTAS 5 GAVETAS GEDORE MOD:1401L</t>
  </si>
  <si>
    <t>PRENSA HID. 30T BONEVAU MOD:P30.000</t>
  </si>
  <si>
    <t>MOTOR ELETRICO TGM2 24/32V 15N 5A IP42 MD:TGM2-2A-21200-2000</t>
  </si>
  <si>
    <t>GARFO SG-M10 X 1,25 COD:6144</t>
  </si>
  <si>
    <t>CILINDRO DNSU-25-250-PPVA CDD:19252</t>
  </si>
  <si>
    <t>CHUVEIRO E LAVA OLHOS AVLIS COD:CL001</t>
  </si>
  <si>
    <t>RESISTENCIA DN 1 750W/220V 50/60Hz COD:103758002</t>
  </si>
  <si>
    <t>LINER FRONTAL POLIAMIDA MASOSINE EC-25 COD:E25-1250-50</t>
  </si>
  <si>
    <t>LINER TRASEIRO POLIAMIDA MASOSINE EC-25 COD:E25-1200-50</t>
  </si>
  <si>
    <t>SEPARADOR WRP MASOSINE EC-25 COD:E25-0400-49</t>
  </si>
  <si>
    <t>KIT VALVULA DE PRESSAO MINIMA COD:2906095900</t>
  </si>
  <si>
    <t>KIT VALVULA DE RETENÇÃO DE OLEO COD:2906066100</t>
  </si>
  <si>
    <t>DETECTOR MULTIGASES GAS ALERT MAX XT II COD:XTXWHMYBR</t>
  </si>
  <si>
    <t>CILINDRO DE CALIBRAÇÃO H2S, CO, CH4, O2-CO-100PPM COD:CGQ344</t>
  </si>
  <si>
    <t>VALVULA REGULADORA DE VAZÃO COD:CEBREG-5</t>
  </si>
  <si>
    <t>ANALISADOR MONOGAS MOD:GAS ALERT EXTREME COD: GAXTXDL2</t>
  </si>
  <si>
    <t>CARACOL KSB P/ BOMBA MEGOBLOC MOD:32-200 R</t>
  </si>
  <si>
    <t>CABO COMUNICAÇÃO SERIAL CLP X IHM 3MTS COD:KC-COM60-3</t>
  </si>
  <si>
    <t>IHM KVIEW TOUCH COLORIDA 7" 800X480 24V USB COD:KT-700-L</t>
  </si>
  <si>
    <t>CARTELA TRANSMISSÃO REF: 9110000008</t>
  </si>
  <si>
    <t>ANEL LIMPADOR 25X35,7X10,5 FESTO COD: 232938</t>
  </si>
  <si>
    <t>ANEL LIMPADOR 20X30X10,5 FESTO COD: 229860</t>
  </si>
  <si>
    <t>JUNTA CAIXA ENG. LODESTAR V2 REF:C29002</t>
  </si>
  <si>
    <t>GUIA CORRENTE LODESTAR V2 REF:C35018</t>
  </si>
  <si>
    <t>NÓZ CARGA LODESTAR CL V2 REF: C35421</t>
  </si>
  <si>
    <t>CORRENTE DE CARGA 5/16 LODESTR V2 REF: C85949</t>
  </si>
  <si>
    <t>ANCORA SUSPENSÃO LODESTAR V2  1 A 2T REF: C35066</t>
  </si>
  <si>
    <t>ENGRENAGEM S300 Z11 FQ 38,1MM REF:2561BII</t>
  </si>
  <si>
    <t>ESTEIRA MODULAR S-300 VAZADA POLIPROPILENO BRANCA LARG:50MM</t>
  </si>
  <si>
    <t>ESTEIRA MODULAR S-300 VAZADA POLIPROPILENO BRANCA LARG:100MM</t>
  </si>
  <si>
    <t>BANDEIJA PLASTICA CAKE COZA BRANCA 40 X 30CM REF:25296</t>
  </si>
  <si>
    <t>CONJ. EMB. PIAL SILENTOQUE S/ PLACA 1S REF:1000</t>
  </si>
  <si>
    <t>CONJ. EMB. PIAL SILENTOQUE S/ PLACA 2S REF:2000</t>
  </si>
  <si>
    <t>JOGO DE BROCAS AÇO RAP. MM C/ 25PÇS IRWIN COD: 1865315</t>
  </si>
  <si>
    <t>PLACA CONEXÃO MS6-AGE 3/4 COD:526083</t>
  </si>
  <si>
    <t>FILTRO REGULADOR MS6-LFR-1/2-D7-CRM-AS COD:529184</t>
  </si>
  <si>
    <t>FILTRO COALES MS6-LFM-1/2-ARM COD:529655</t>
  </si>
  <si>
    <t>FILTRO FINO MS6-LFM-1/2-BRM COD:529659</t>
  </si>
  <si>
    <t>FIXACAO MS6-MV COD:532799</t>
  </si>
  <si>
    <t>VALVULA RETENÇÃO HGL-1/8-B COD:530030</t>
  </si>
  <si>
    <t>LUMINÁRIA IND. 400W POLICARB C/CX C/LENTE E40 COD:LI41212</t>
  </si>
  <si>
    <t>LAMPADA LED A120 50W BIVOLT 6.400K E40 COD:AL50364</t>
  </si>
  <si>
    <t>BOLSA TERMICA AZUL ROYAL MED: A20 X L30 X P21</t>
  </si>
  <si>
    <t>UNIDADE COMB MSB6-1/2-FRC5:J1M1 530244</t>
  </si>
  <si>
    <t>DQO REAGENTE TNT+ 13MM 200-15000MG/6 25UN. COD:HX0001-02197</t>
  </si>
  <si>
    <t>KITAZATO SAIDA SUPERIOR TUBO 1L COD: HX0004-00702</t>
  </si>
  <si>
    <t>DISPENSER TOALHA EM ROLO ELETRONICO HIBRIDO 1X1 REF:70740</t>
  </si>
  <si>
    <t>PN:7X06100NBR - THINKSYSTEM SR650</t>
  </si>
  <si>
    <t>PN:7X77A01304 - THINKSYSTEM 32GB TRUDDR4 2666</t>
  </si>
  <si>
    <t>TRANSMISSOR DE PRESSAO -1 A 10 KGF/CM2, MOD:M1-COD:58426897</t>
  </si>
  <si>
    <t>TRANSMISSOR DE PRESSAO -1 A 30 KGF/CM2, MOD:M2-COD:58426899</t>
  </si>
  <si>
    <t>REDUTOR VELOCIDADE ROSCA SEM FIM 7,5-1 COD:RD25-7,5-1</t>
  </si>
  <si>
    <t>FILTRO DE AR DESCARTAVEL P/ FLUXO LAMINAR COD:5FAB0110</t>
  </si>
  <si>
    <t>SELO MEC. NM015 COD:NDB684211</t>
  </si>
  <si>
    <t>JUNTA DE EXPANSÃO PARA VAPOR Ø 3"   REF:JEAVFT</t>
  </si>
  <si>
    <t>KIT MEDIDOR MULTIPARAMETRO COD: HX0001-05581</t>
  </si>
  <si>
    <t>SONDA LDO ROBUSTA INTELLICAL CABO 10M COD: HX0001-03412</t>
  </si>
  <si>
    <t>MEDIDOR MULTIPARAMETRO BANCADA DIG.2 CANAL COD: HX0001-03815</t>
  </si>
  <si>
    <t>ELETRODO PH DIGITAL INTELLICAL CABO 1M COD: HX0001-02295</t>
  </si>
  <si>
    <t>ELETRODO CONDUTIVIDADE INTELLICAL CABO 1M COD: HX0001-02328</t>
  </si>
  <si>
    <t>ELETRODO LDO INTELLICAL CABO 1M COD: HX0001-02329</t>
  </si>
  <si>
    <t>COLORIMETRO DM-COR PORTATIL COD:HX0079-00063</t>
  </si>
  <si>
    <t>REATOR DQO DRB200 15 TUBOSX16MM BI-VOLT COD: HX0001-01780</t>
  </si>
  <si>
    <t>ADAPT. RED. TUBO 16MM P/ 13MM PCT C/5UN. COD: HX0001-02319</t>
  </si>
  <si>
    <t>ESPECTROFOTOMETRO DR3900 VISIVEL BI VOLT COD: HX0001-03973</t>
  </si>
  <si>
    <t>DQO REAGENTE TNT+ 13MM 20-1500MG/6 25UN. COD:HX0001-02196</t>
  </si>
  <si>
    <t>DQO REAGENTE TNT+ 13MM 20-15000MG/6 25UN. COD:HX0001-02197</t>
  </si>
  <si>
    <t>MICROPIPETA FINNPIPETTE F1 VOL. 0,5-5ML COD:HX0156-00300</t>
  </si>
  <si>
    <t>BOMBA VACUO/COMPRESSOR 110V COD: HX0016-00076</t>
  </si>
  <si>
    <t>FORNO MUFLA 15 X15 X 30 CM MOD F2DM COD: HX0017-00002</t>
  </si>
  <si>
    <t>DESSECADOR 250MM POLICARBONATO TRANSP. COD: HX0007-00631</t>
  </si>
  <si>
    <t>KITAZATO SAIDA SUPERIOR TUBO 2L COD: HX0004-00705</t>
  </si>
  <si>
    <t>PIPETA VOLUMETRICA 25ML CERTIFICADO LOTE COD: HX0004-01043</t>
  </si>
  <si>
    <t>PIPETA VOLUMETRICA 50ML CERTIFICADO LOTE COD: HX0004-01525</t>
  </si>
  <si>
    <t>PIPETA VOLUMETRICA 5ML CERTIFICADO LOTE COD: HX0004-01044</t>
  </si>
  <si>
    <t>PIPETA VOLUMETRICA 10ML CERTIFICADO LOTE COD: HX0004-01040</t>
  </si>
  <si>
    <t>PIPETADOR BORRACHA 3 VIAS AZUL COD: HX0045-0001</t>
  </si>
  <si>
    <t>ESCOVA LIMPEZA VIDRARIA 1UN COD: HX0001-01721</t>
  </si>
  <si>
    <t>ERLENMEYER BOCA ESTREITA VIDRO BORO 1L COD: HX0004-00621</t>
  </si>
  <si>
    <t>APARELHO JAR TEST COD: JT-102/3</t>
  </si>
  <si>
    <t>S2CBH07220PVTS170UA810S0PT COD:1082065</t>
  </si>
  <si>
    <t>SENSOR PH PHEX 112 SE COD:305096</t>
  </si>
  <si>
    <t>ALOJAMENTO SENSOR DLG III B 1/2 COD:914956</t>
  </si>
  <si>
    <t>VALVULA INJECAO DN25 1 1/2 PVT COD:1029479</t>
  </si>
  <si>
    <t>CABO DE CONTROLE UNIVERSAL COD:1001302</t>
  </si>
  <si>
    <t>PUXADOR BRONZE BRONZE COD:1629</t>
  </si>
  <si>
    <t>MOTOREDUTOR 5CV V04221GCA0GAW0AKBA 1:3,5</t>
  </si>
  <si>
    <t>BOMBA CENTRIFUGA SANITARIA MOD:BL60 CONTRUIDO AÇO INOX AISI</t>
  </si>
  <si>
    <t>CONEXÃO RAPIDA PASSA MURO NPQH-HQ10-E-P10 COD:578302</t>
  </si>
  <si>
    <t>PINHÃO DENTADO CONICO COD: 627-022</t>
  </si>
  <si>
    <t>COROA DENTADO CONICO COD: 627-019</t>
  </si>
  <si>
    <t>BOMBA D'AGUA 3,0CV/60Hz (147x54) C-3 COD:545080200</t>
  </si>
  <si>
    <t>BOMBA D'AGUA 1,0CV/60Hz (100x10) C-1 COD:545030600</t>
  </si>
  <si>
    <t>MÁSCARA AUT. BD 2100 COD:218383</t>
  </si>
  <si>
    <t>ESTOJO P/ TRANSP. E ABRIGO DO EQUIP. AUTONOMO COD: 10049021</t>
  </si>
  <si>
    <t>ABRIGO P/ MÁSCARA AUT. MED. 760X480X350 MSA COD: 297334</t>
  </si>
  <si>
    <t>REGULADOR DE FLUXO PARA CILINDRO BW; 0,5 L/MIN. COD:REG05</t>
  </si>
  <si>
    <t>REGULADOR DE FLUXO DEMANDA PARA CILINDRO BW COD: REGDF1</t>
  </si>
  <si>
    <t>BOLSA TERMICA AZUL ROYAL MED: A15 X L20 X P15</t>
  </si>
  <si>
    <t>CONTATOR SCHNEIDER 24VCA COD: LC1D09</t>
  </si>
  <si>
    <t>BLOCO DE CONTATO SCHNEIDER COD:LADN11</t>
  </si>
  <si>
    <t>CONTROLADOR LOGICO PROGRAM. ECCT18.08/04 NS 1009 COD:006312</t>
  </si>
  <si>
    <t>TERMINAL TIPO MOLA REF:XIOCTERM18T COD:6316</t>
  </si>
  <si>
    <t>FLOCULADOR MECANICO 02 CAMARAS V: 2,5M3 POR CAMARA</t>
  </si>
  <si>
    <t>FLOTADOR GFAD 75I V: 30,0M3/H</t>
  </si>
  <si>
    <t>ESTEIRA 62MMX1575MM COD: ZWAEST372X</t>
  </si>
  <si>
    <t>ROTOR TURBINA HORARIO COD:ZWAEST203</t>
  </si>
  <si>
    <t>ROTOR TURBINA ANTI-HORARIO COD:ZWAEST204</t>
  </si>
  <si>
    <t>PLACA SINALIZADORA LAGOA: 01 ANAERÓBICA 50CM LARG. 30CM ALT.</t>
  </si>
  <si>
    <t>PLACA SINALIZADORA LAGOA: 02 AERADA 50CM LARG. 30CM ALT.</t>
  </si>
  <si>
    <t>PLACA SINALIZADORA LAGOA: 03 FACULTATIVA 50CM LARG.30CM ALT.</t>
  </si>
  <si>
    <t>ENGRENAGEM CENTRAL DO ROSQUEADOR COD: 009766</t>
  </si>
  <si>
    <t>ENGRENAGEM CENTRAL DO ROSQUEADOR COD: 030164</t>
  </si>
  <si>
    <t>BLOCO DE CONT. LATERAL SCHNEIDER COD:GVAN11</t>
  </si>
  <si>
    <t>EIXO DSM-32-270P COD: 342606</t>
  </si>
  <si>
    <t>EIXO DSM-25-270P COD: 256909</t>
  </si>
  <si>
    <t>ANEL COD: B021050100</t>
  </si>
  <si>
    <t>ANEL COD: B020010300</t>
  </si>
  <si>
    <t>FLEXIVEL H=180MM DN 227 X 174MM REF: ZFE000186</t>
  </si>
  <si>
    <t>ABRAÇADEIRA DN 5.7/8" X 6.3/8" REF:217044</t>
  </si>
  <si>
    <t>KIT DE VEDAÇÕES P/ PENEIRA VIBRATORIA REF: ZAT170351479K</t>
  </si>
  <si>
    <t>BUCHA JSM - 3038 - 40 IGUS COD:033818</t>
  </si>
  <si>
    <t>FILTRO AR MINEPLEAT GEL H14 P42 762LX610AX80P COD:5FAY7106</t>
  </si>
  <si>
    <t>FILTRO AR MINEPLEAT GEL H14 P42 610LX610AX80P COD:5FAY7107</t>
  </si>
  <si>
    <t>FILTRO AR MINEPLEAT GEL H14 P42 762LX457AX80P COD:5FAY7108</t>
  </si>
  <si>
    <t>FILTRO AR MINEPLEAT GEL H14 P42 610LX457AX80P COD:5FAY7109</t>
  </si>
  <si>
    <t>MANGUEIRA TUBLUESTREAM LATTERIA 3/4" COD:77745</t>
  </si>
  <si>
    <t>DIAFRAG. TEFLON 72L/H MOD: MS1B108A31C400 - SEKO</t>
  </si>
  <si>
    <t>VALV. RET. SUCÇÃO 72 L/H MOD: MS1B108A31C4000 - SEKO</t>
  </si>
  <si>
    <t>VALV. RET. ENVIO 72 L/H MOD: MS1B108A31C4000 - SEKO</t>
  </si>
  <si>
    <t>KIT DE REPARO RA0250/0302 D S COD:0993516590</t>
  </si>
  <si>
    <t>PLACA ELETRONICA P/ CONT. VEL. DIFUSOR COD: 1EPE250 VECOFLOW</t>
  </si>
  <si>
    <t>SERVO MOTOR PANASONIC MOD: NEO MSMD042J1U 400W 3000/5000RPM</t>
  </si>
  <si>
    <t>BOMBA DE LOBULOS TLP-0300 COD:12915</t>
  </si>
  <si>
    <t>MANOMETRO 350KGF ROSCA 1/4 C/ ADAP. 1/2 BSP COD:HT 372-05</t>
  </si>
  <si>
    <t>025 F268J+ PLUG PTFE 316 EP Classif. Fiscal: 85437099</t>
  </si>
  <si>
    <t>025/040 F267J+ PLUG PTFE 316 EP Classif. Fiscal: 85437099</t>
  </si>
  <si>
    <t>050 F267J PLUG RND PTFE Classif. Fiscal: 85437099</t>
  </si>
  <si>
    <t>065 F267J PLUG RND PTFE Classif. Fiscal: 85437099</t>
  </si>
  <si>
    <t>SK_F264J_1.0"-1.5_PS_VFEP-FDA Classif. Fiscal: 40169300</t>
  </si>
  <si>
    <t>SK_F250/1_6.0"/150_PS_FKM-FDA Classif. Fiscal: 40169300</t>
  </si>
  <si>
    <t>SK_F250_1.0"_PS_FKM-V3-FDA Classif. Fiscal: 40169300</t>
  </si>
  <si>
    <t>SK_F250_1.5"_PS_FKM-V3-FDA Classif. Fiscal: 40169300</t>
  </si>
  <si>
    <t>SK_F250_2.0"_PS_FKM-V3-FDA Classif. Fiscal: 40169300</t>
  </si>
  <si>
    <t>SK_F250_3.0"_PS_FKM-V3-FDA Classif. Fiscal: 40169300</t>
  </si>
  <si>
    <t>SK_F250_4.0"_PS_FKM-V3-FDA Classif. Fiscal: 40169300</t>
  </si>
  <si>
    <t>PN: 9EM-006522 - WINSVRSTDCORE 2019 SNGL</t>
  </si>
  <si>
    <t>PN: 6VC-03748 - WINRMTDSKTPSRVCSCAL 2019 SNGL</t>
  </si>
  <si>
    <t>PN: R18-057688 - WINSVRCAL 2019 SNGL OLP NL</t>
  </si>
  <si>
    <t>TELA AÇO INOX 304 M- 8 AB 2,36MM FIO: 0,8MM COM LG 120 CM</t>
  </si>
  <si>
    <t>AÇO INOX M-8 FIO:0,8MM NA DIM 1,00X1,00MT</t>
  </si>
  <si>
    <t>PN:4XB7A14105 - SSD 800GB 2,5 3DWD - SYST2U24 P/ LENOVO</t>
  </si>
  <si>
    <t>PN: 4XB7A 14112 - HDD 1,2TB 10K 2,5 INT2U24 P/ LENOVO</t>
  </si>
  <si>
    <t>PN: 00YL848 - CA EXT MINISAS 8644 - 8644 1M A DAPSTORAGE CAB</t>
  </si>
  <si>
    <t>VIDEOJET-INK JET 1580 COD:C1001205 N° SÉRIE: 18239009C54ZH</t>
  </si>
  <si>
    <t>PN: 7Y711008BR - LENOVO, DUAL CONTROLL</t>
  </si>
  <si>
    <t>PN: 7XB7A00025 - THINKSYSTEM, 600GB</t>
  </si>
  <si>
    <t>PN: 7Y37A01090 - THINKSYSTEM430</t>
  </si>
  <si>
    <t>LAVADORA ALTA PRESSÃO KARCHER 1200W 220V MOD: K2 PORTATIL</t>
  </si>
  <si>
    <t>BOMBA DE CANALETA P/ IMPRESSORA  VJ 1000 - COD:399171</t>
  </si>
  <si>
    <t>CABO AS-i AMARELO EPR 100MT COD:E74000</t>
  </si>
  <si>
    <t>CONECTOR JUNPER M12 4 FIOS CDO:EVT048</t>
  </si>
  <si>
    <t>CONECTOR AS-i COD:E70096</t>
  </si>
  <si>
    <t>CONTATOR SCHNEIDER 250AM 3F COD: LC 1D115</t>
  </si>
  <si>
    <t>SENSOR WEG SC5-18G1LPA PNP SN:1858755</t>
  </si>
  <si>
    <t>FITA DE ANCORAGEM 75 CM MARCA: ALTISEG</t>
  </si>
  <si>
    <t>SPRAY NANOPROTECH ELETRICO  INDUSTRIA 150ML  COD:6C7DCBC</t>
  </si>
  <si>
    <t>ANEL ACIONADOR DO EXTATOR COD:4214 IMSB</t>
  </si>
  <si>
    <t>ARRUELA DO EXTATOR DE TAMPAS COD:4213 IMSB</t>
  </si>
  <si>
    <t>MANCAL MAIOR PISTÃO ROSQUEADOR COD:43305 IMSB</t>
  </si>
  <si>
    <t>PINO SUPORTE DA ROLDANA DO ROSQUEADOR COD:35739 IMSB</t>
  </si>
  <si>
    <t>ARRUELA ENCOSTO MOLA COD:4017 IMSB</t>
  </si>
  <si>
    <t>ANEL ORING 176,5X4,00 REF:2824 VITON</t>
  </si>
  <si>
    <t>ANEL ORING 23,2 X5,33 REF:2826 VITON</t>
  </si>
  <si>
    <t>FITA DE ANCORAGEM 120 CM MARCA: ALTISEG</t>
  </si>
  <si>
    <t>CHUVEIRO E LAVA OLHOS EMER. INOX DUPLO ACIONAMENTO M:CL001l</t>
  </si>
  <si>
    <t>FECHO PADRAO COM CHAVE ARMARIO NILKO COD:0320221</t>
  </si>
  <si>
    <t>TECLADO 6211990 PARA BALANÇA TOLEDO M:2003/10-2090</t>
  </si>
  <si>
    <t>PAINEL/ TECLADO 6211736 P/ BALANÇA TOLEDO M:2003/20-2090</t>
  </si>
  <si>
    <t>CORREIA POLYCHAIN 1792 8MGT 36 COD:7039</t>
  </si>
  <si>
    <t>FILTRO DE AR ABSOLUTO HEPA 3 P/ FLUXO LAMINAR COD:5FAY7724</t>
  </si>
  <si>
    <t>MICROVENTILADOR AXIAL VENTSILVA 256X85MM TIPO:RAX2 127/220V</t>
  </si>
  <si>
    <t>ANEL O'RING INT:145MM EXPESSURA:3,5MM</t>
  </si>
  <si>
    <t>CONTATOR AC3:12A 1NA 24V 50/60HZ</t>
  </si>
  <si>
    <t>TROCADOR DE CALOR GAXETADO MODELO: TS6-MFG</t>
  </si>
  <si>
    <t>BARRAMENTO SUPERIOR E INFERIOR TS6M - LC: 500MM</t>
  </si>
  <si>
    <t>TABULEIRO PL GREGO MED:1.000X800</t>
  </si>
  <si>
    <t>TABULEIRO DISPLAY DIA% MED:1.000X800</t>
  </si>
  <si>
    <t>vermelho</t>
  </si>
  <si>
    <t>verde</t>
  </si>
  <si>
    <t>amarelo</t>
  </si>
  <si>
    <t>azul</t>
  </si>
  <si>
    <t xml:space="preserve">azul </t>
  </si>
  <si>
    <t>Colour_G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</si>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</sst>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0"/>
    <numFmt numFmtId="165" formatCode="#####00000"/>
    <numFmt numFmtId="166" formatCode="[hh]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6AAB73"/>
      <name val="Courier New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11" xfId="0" applyBorder="1"/>
    <xf numFmtId="0" fontId="0" fillId="0" borderId="12" xfId="0" applyBorder="1"/>
    <xf numFmtId="164" fontId="0" fillId="0" borderId="12" xfId="0" applyNumberFormat="1" applyBorder="1" applyAlignment="1">
      <alignment horizontal="right"/>
    </xf>
    <xf numFmtId="0" fontId="0" fillId="0" borderId="15" xfId="0" applyBorder="1"/>
    <xf numFmtId="0" fontId="0" fillId="0" borderId="16" xfId="0" applyBorder="1"/>
    <xf numFmtId="164" fontId="0" fillId="0" borderId="16" xfId="0" applyNumberFormat="1" applyBorder="1" applyAlignment="1">
      <alignment horizontal="right"/>
    </xf>
    <xf numFmtId="165" fontId="0" fillId="0" borderId="12" xfId="0" applyNumberFormat="1" applyBorder="1"/>
    <xf numFmtId="166" fontId="0" fillId="0" borderId="12" xfId="0" applyNumberFormat="1" applyBorder="1"/>
    <xf numFmtId="165" fontId="0" fillId="0" borderId="16" xfId="0" applyNumberFormat="1" applyBorder="1"/>
    <xf numFmtId="0" fontId="16" fillId="34" borderId="11" xfId="0" applyFont="1" applyFill="1" applyBorder="1"/>
    <xf numFmtId="0" fontId="16" fillId="33" borderId="10" xfId="0" applyFont="1" applyFill="1" applyBorder="1"/>
    <xf numFmtId="0" fontId="16" fillId="33" borderId="13" xfId="0" applyFont="1" applyFill="1" applyBorder="1"/>
    <xf numFmtId="0" fontId="16" fillId="33" borderId="11" xfId="0" applyFont="1" applyFill="1" applyBorder="1"/>
    <xf numFmtId="0" fontId="16" fillId="34" borderId="12" xfId="0" applyFont="1" applyFill="1" applyBorder="1"/>
    <xf numFmtId="0" fontId="0" fillId="33" borderId="17" xfId="0" applyFill="1" applyBorder="1" applyAlignment="1">
      <alignment horizontal="left"/>
    </xf>
    <xf numFmtId="0" fontId="0" fillId="33" borderId="14" xfId="0" applyFill="1" applyBorder="1" applyAlignment="1">
      <alignment horizontal="left"/>
    </xf>
    <xf numFmtId="0" fontId="0" fillId="33" borderId="12" xfId="0" applyFill="1" applyBorder="1" applyAlignment="1">
      <alignment horizontal="left"/>
    </xf>
    <xf numFmtId="166" fontId="0" fillId="0" borderId="16" xfId="0" applyNumberFormat="1" applyBorder="1"/>
    <xf numFmtId="0" fontId="0" fillId="33" borderId="17" xfId="0" applyFill="1" applyBorder="1"/>
    <xf numFmtId="0" fontId="0" fillId="33" borderId="14" xfId="0" applyFill="1" applyBorder="1"/>
    <xf numFmtId="0" fontId="0" fillId="33" borderId="12" xfId="0" applyFill="1" applyBorder="1"/>
    <xf numFmtId="0" fontId="16" fillId="34" borderId="12" xfId="0" applyFont="1" applyFill="1" applyBorder="1" applyAlignment="1">
      <alignment horizontal="right"/>
    </xf>
    <xf numFmtId="0" fontId="18" fillId="0" borderId="0" xfId="0" applyFont="1" applyAlignment="1">
      <alignment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761"/>
  <sheetViews>
    <sheetView tabSelected="1" workbookViewId="0">
      <selection activeCell="G1" sqref="G1"/>
    </sheetView>
  </sheetViews>
  <sheetFormatPr defaultRowHeight="15" x14ac:dyDescent="0.25"/>
  <cols>
    <col min="1" max="1" width="18.85546875" bestFit="1" customWidth="1"/>
    <col min="2" max="2" width="70.7109375" bestFit="1" customWidth="1"/>
    <col min="3" max="3" width="3.7109375" bestFit="1" customWidth="1"/>
    <col min="4" max="4" width="7.28515625" bestFit="1" customWidth="1"/>
    <col min="5" max="6" width="12" bestFit="1" customWidth="1"/>
    <col min="7" max="7" width="11.5703125" bestFit="1" customWidth="1"/>
  </cols>
  <sheetData>
    <row r="1" spans="1:7" ht="15.75" thickBot="1" x14ac:dyDescent="0.3">
      <c r="A1" s="11" t="s">
        <v>0</v>
      </c>
      <c r="B1" s="15" t="str">
        <f>""</f>
        <v/>
      </c>
      <c r="C1" s="19"/>
      <c r="D1" s="19"/>
      <c r="E1" s="23" t="s">
        <v>518</v>
      </c>
      <c r="F1" s="23" t="s">
        <v>519</v>
      </c>
      <c r="G1" s="23" t="s">
        <v>517</v>
      </c>
    </row>
    <row r="2" spans="1:7" x14ac:dyDescent="0.25">
      <c r="A2" s="4" t="str">
        <f>"526216"</f>
        <v>526216</v>
      </c>
      <c r="B2" s="18" t="s">
        <v>459</v>
      </c>
      <c r="C2" s="5" t="str">
        <f>"PC"</f>
        <v>PC</v>
      </c>
      <c r="D2" s="9">
        <v>918</v>
      </c>
      <c r="E2" s="6">
        <v>11</v>
      </c>
      <c r="F2" s="5">
        <v>5</v>
      </c>
      <c r="G2" t="s">
        <v>512</v>
      </c>
    </row>
    <row r="3" spans="1:7" x14ac:dyDescent="0.25">
      <c r="A3" s="1" t="str">
        <f>"526217"</f>
        <v>526217</v>
      </c>
      <c r="B3" s="8" t="s">
        <v>460</v>
      </c>
      <c r="C3" s="2" t="str">
        <f>"PC"</f>
        <v>PC</v>
      </c>
      <c r="D3" s="7">
        <v>918</v>
      </c>
      <c r="E3" s="3">
        <v>11</v>
      </c>
      <c r="F3" s="2">
        <v>3</v>
      </c>
      <c r="G3" t="s">
        <v>513</v>
      </c>
    </row>
    <row r="4" spans="1:7" x14ac:dyDescent="0.25">
      <c r="A4" s="1" t="str">
        <f>"526218"</f>
        <v>526218</v>
      </c>
      <c r="B4" s="8" t="s">
        <v>461</v>
      </c>
      <c r="C4" s="2" t="str">
        <f>"PC"</f>
        <v>PC</v>
      </c>
      <c r="D4" s="7">
        <v>918</v>
      </c>
      <c r="E4" s="3">
        <v>11</v>
      </c>
      <c r="F4" s="2">
        <v>8</v>
      </c>
      <c r="G4" t="s">
        <v>514</v>
      </c>
    </row>
    <row r="5" spans="1:7" x14ac:dyDescent="0.25">
      <c r="A5" s="1" t="str">
        <f>"526219"</f>
        <v>526219</v>
      </c>
      <c r="B5" s="8" t="s">
        <v>462</v>
      </c>
      <c r="C5" s="2" t="str">
        <f>"PC"</f>
        <v>PC</v>
      </c>
      <c r="D5" s="7">
        <v>918</v>
      </c>
      <c r="E5" s="3">
        <v>11</v>
      </c>
      <c r="F5" s="2">
        <v>6</v>
      </c>
      <c r="G5" t="s">
        <v>514</v>
      </c>
    </row>
    <row r="6" spans="1:7" x14ac:dyDescent="0.25">
      <c r="A6" s="1" t="str">
        <f>"515066"</f>
        <v>515066</v>
      </c>
      <c r="B6" s="2" t="str">
        <f>"10 SALVA VIDAS"</f>
        <v>10 SALVA VIDAS</v>
      </c>
      <c r="C6" s="2" t="str">
        <f>"UN"</f>
        <v>UN</v>
      </c>
      <c r="D6" s="7">
        <v>812</v>
      </c>
      <c r="E6" s="3">
        <v>11</v>
      </c>
      <c r="F6" s="2">
        <v>4</v>
      </c>
      <c r="G6" t="s">
        <v>514</v>
      </c>
    </row>
    <row r="7" spans="1:7" x14ac:dyDescent="0.25">
      <c r="A7" s="1" t="str">
        <f>"520874"</f>
        <v>520874</v>
      </c>
      <c r="B7" s="2" t="str">
        <f>"16GB(2RX4 1,2V) PC4-17000CL 15PROSYSTPRIETARY MEMOR"</f>
        <v>16GB(2RX4 1,2V) PC4-17000CL 15PROSYSTPRIETARY MEMOR</v>
      </c>
      <c r="C7" s="2" t="str">
        <f>"UN"</f>
        <v>UN</v>
      </c>
      <c r="D7" s="7">
        <v>401</v>
      </c>
      <c r="E7" s="3">
        <v>4</v>
      </c>
      <c r="F7" s="2">
        <v>1</v>
      </c>
      <c r="G7" t="s">
        <v>513</v>
      </c>
    </row>
    <row r="8" spans="1:7" x14ac:dyDescent="0.25">
      <c r="A8" s="1" t="str">
        <f>"520876"</f>
        <v>520876</v>
      </c>
      <c r="B8" s="2" t="str">
        <f>"300GB106GBPSSAS25G3HSHDD PWRRD DRIVE STORAGE D"</f>
        <v>300GB106GBPSSAS25G3HSHDD PWRRD DRIVE STORAGE D</v>
      </c>
      <c r="C8" s="2" t="str">
        <f>"UN"</f>
        <v>UN</v>
      </c>
      <c r="D8" s="7">
        <v>401</v>
      </c>
      <c r="E8" s="3">
        <v>4</v>
      </c>
      <c r="F8" s="2">
        <v>2</v>
      </c>
      <c r="G8" t="s">
        <v>513</v>
      </c>
    </row>
    <row r="9" spans="1:7" x14ac:dyDescent="0.25">
      <c r="A9" s="1" t="str">
        <f>"520993"</f>
        <v>520993</v>
      </c>
      <c r="B9" s="2" t="str">
        <f>"320 C.H. 90º R= 320MM"</f>
        <v>320 C.H. 90º R= 320MM</v>
      </c>
      <c r="C9" s="2" t="str">
        <f>"UN"</f>
        <v>UN</v>
      </c>
      <c r="D9" s="7">
        <v>811</v>
      </c>
      <c r="E9" s="3">
        <v>8</v>
      </c>
      <c r="F9" s="2">
        <v>7</v>
      </c>
      <c r="G9" t="s">
        <v>513</v>
      </c>
    </row>
    <row r="10" spans="1:7" x14ac:dyDescent="0.25">
      <c r="A10" s="1" t="str">
        <f>"526360"</f>
        <v>526360</v>
      </c>
      <c r="B10" s="2" t="str">
        <f>"3D TRASAR 3D424 25 LITROS"</f>
        <v>3D TRASAR 3D424 25 LITROS</v>
      </c>
      <c r="C10" s="2" t="str">
        <f>"PC"</f>
        <v>PC</v>
      </c>
      <c r="D10" s="7">
        <v>99999</v>
      </c>
      <c r="E10" s="3">
        <v>99</v>
      </c>
      <c r="F10" s="2">
        <v>9</v>
      </c>
      <c r="G10" t="s">
        <v>512</v>
      </c>
    </row>
    <row r="11" spans="1:7" x14ac:dyDescent="0.25">
      <c r="A11" s="1" t="str">
        <f>"521313"</f>
        <v>521313</v>
      </c>
      <c r="B11" s="2" t="str">
        <f>"3M CLEAN TRACE NG LUMINOMETRO"</f>
        <v>3M CLEAN TRACE NG LUMINOMETRO</v>
      </c>
      <c r="C11" s="2" t="str">
        <f t="shared" ref="C11:C46" si="0">"UN"</f>
        <v>UN</v>
      </c>
      <c r="D11" s="7">
        <v>1300</v>
      </c>
      <c r="E11" s="3">
        <v>13</v>
      </c>
      <c r="F11" s="2">
        <v>0</v>
      </c>
      <c r="G11" t="s">
        <v>513</v>
      </c>
    </row>
    <row r="12" spans="1:7" x14ac:dyDescent="0.25">
      <c r="A12" s="1" t="str">
        <f>"521314"</f>
        <v>521314</v>
      </c>
      <c r="B12" s="2" t="str">
        <f>"3M CLEAN TRACE SURFACE ATP"</f>
        <v>3M CLEAN TRACE SURFACE ATP</v>
      </c>
      <c r="C12" s="2" t="str">
        <f t="shared" si="0"/>
        <v>UN</v>
      </c>
      <c r="D12" s="7">
        <v>1300</v>
      </c>
      <c r="E12" s="3">
        <v>13</v>
      </c>
      <c r="F12" s="2">
        <v>0</v>
      </c>
      <c r="G12" t="s">
        <v>514</v>
      </c>
    </row>
    <row r="13" spans="1:7" x14ac:dyDescent="0.25">
      <c r="A13" s="1" t="str">
        <f>"521315"</f>
        <v>521315</v>
      </c>
      <c r="B13" s="2" t="str">
        <f>"3M CLEAN TRACE WATER PLUS ATP"</f>
        <v>3M CLEAN TRACE WATER PLUS ATP</v>
      </c>
      <c r="C13" s="2" t="str">
        <f t="shared" si="0"/>
        <v>UN</v>
      </c>
      <c r="D13" s="7">
        <v>1300</v>
      </c>
      <c r="E13" s="3">
        <v>13</v>
      </c>
      <c r="F13" s="2">
        <v>2</v>
      </c>
      <c r="G13" t="s">
        <v>515</v>
      </c>
    </row>
    <row r="14" spans="1:7" x14ac:dyDescent="0.25">
      <c r="A14" s="1" t="str">
        <f>"527576"</f>
        <v>527576</v>
      </c>
      <c r="B14" s="2" t="str">
        <f>"3M SWAB SAMPLER LETHEEN 5ML - CX 100"</f>
        <v>3M SWAB SAMPLER LETHEEN 5ML - CX 100</v>
      </c>
      <c r="C14" s="2" t="str">
        <f t="shared" si="0"/>
        <v>UN</v>
      </c>
      <c r="D14" s="7">
        <v>406</v>
      </c>
      <c r="E14" s="3">
        <v>4</v>
      </c>
      <c r="F14" s="2">
        <v>5</v>
      </c>
      <c r="G14" t="s">
        <v>512</v>
      </c>
    </row>
    <row r="15" spans="1:7" x14ac:dyDescent="0.25">
      <c r="A15" s="1" t="str">
        <f>"518197"</f>
        <v>518197</v>
      </c>
      <c r="B15" s="2" t="str">
        <f>"4 PGS 4 CORES WIRW O"</f>
        <v>4 PGS 4 CORES WIRW O</v>
      </c>
      <c r="C15" s="2" t="str">
        <f t="shared" si="0"/>
        <v>UN</v>
      </c>
      <c r="D15" s="7">
        <v>401</v>
      </c>
      <c r="E15" s="3">
        <v>4</v>
      </c>
      <c r="F15" s="2">
        <v>6</v>
      </c>
      <c r="G15" t="s">
        <v>516</v>
      </c>
    </row>
    <row r="16" spans="1:7" x14ac:dyDescent="0.25">
      <c r="A16" s="1" t="str">
        <f>"517122"</f>
        <v>517122</v>
      </c>
      <c r="B16" s="2" t="str">
        <f>"420 RE 36X88X104 (2PÇS) M 2584"</f>
        <v>420 RE 36X88X104 (2PÇS) M 2584</v>
      </c>
      <c r="C16" s="2" t="str">
        <f t="shared" si="0"/>
        <v>UN</v>
      </c>
      <c r="D16" s="7">
        <v>918</v>
      </c>
      <c r="E16" s="3">
        <v>11</v>
      </c>
      <c r="F16" s="2">
        <v>9</v>
      </c>
      <c r="G16" t="s">
        <v>515</v>
      </c>
    </row>
    <row r="17" spans="1:7" x14ac:dyDescent="0.25">
      <c r="A17" s="1" t="str">
        <f>"517130"</f>
        <v>517130</v>
      </c>
      <c r="B17" s="2" t="str">
        <f>"420 RED 50.8X96 (30PÇS)"</f>
        <v>420 RED 50.8X96 (30PÇS)</v>
      </c>
      <c r="C17" s="2" t="str">
        <f t="shared" si="0"/>
        <v>UN</v>
      </c>
      <c r="D17" s="7">
        <v>918</v>
      </c>
      <c r="E17" s="3">
        <v>11</v>
      </c>
      <c r="F17" s="2">
        <v>5</v>
      </c>
      <c r="G17" t="s">
        <v>514</v>
      </c>
    </row>
    <row r="18" spans="1:7" x14ac:dyDescent="0.25">
      <c r="A18" s="1" t="str">
        <f>"517132"</f>
        <v>517132</v>
      </c>
      <c r="B18" s="2" t="str">
        <f>"420 RED. 19X1000 (3PÇS)"</f>
        <v>420 RED. 19X1000 (3PÇS)</v>
      </c>
      <c r="C18" s="2" t="str">
        <f t="shared" si="0"/>
        <v>UN</v>
      </c>
      <c r="D18" s="7">
        <v>918</v>
      </c>
      <c r="E18" s="3">
        <v>11</v>
      </c>
      <c r="F18" s="2">
        <v>3</v>
      </c>
      <c r="G18" t="s">
        <v>512</v>
      </c>
    </row>
    <row r="19" spans="1:7" x14ac:dyDescent="0.25">
      <c r="A19" s="1" t="str">
        <f>"517126"</f>
        <v>517126</v>
      </c>
      <c r="B19" s="2" t="str">
        <f>"420 RED. 76X35 (6PÇS) M.2590"</f>
        <v>420 RED. 76X35 (6PÇS) M.2590</v>
      </c>
      <c r="C19" s="2" t="str">
        <f t="shared" si="0"/>
        <v>UN</v>
      </c>
      <c r="D19" s="7">
        <v>918</v>
      </c>
      <c r="E19" s="3">
        <v>11</v>
      </c>
      <c r="F19" s="2">
        <v>3</v>
      </c>
      <c r="G19" t="s">
        <v>513</v>
      </c>
    </row>
    <row r="20" spans="1:7" x14ac:dyDescent="0.25">
      <c r="A20" s="1" t="str">
        <f>"517181"</f>
        <v>517181</v>
      </c>
      <c r="B20" s="2" t="str">
        <f>"420 RET 44X83X343 (4PÇS) M.2591 - JE"</f>
        <v>420 RET 44X83X343 (4PÇS) M.2591 - JE</v>
      </c>
      <c r="C20" s="2" t="str">
        <f t="shared" si="0"/>
        <v>UN</v>
      </c>
      <c r="D20" s="7">
        <v>918</v>
      </c>
      <c r="E20" s="3">
        <v>11</v>
      </c>
      <c r="F20" s="2">
        <v>2</v>
      </c>
      <c r="G20" t="s">
        <v>514</v>
      </c>
    </row>
    <row r="21" spans="1:7" x14ac:dyDescent="0.25">
      <c r="A21" s="1" t="str">
        <f>"517125"</f>
        <v>517125</v>
      </c>
      <c r="B21" s="2" t="str">
        <f>"420 RET 52X86X663 (1PÇ) M 2590"</f>
        <v>420 RET 52X86X663 (1PÇ) M 2590</v>
      </c>
      <c r="C21" s="2" t="str">
        <f t="shared" si="0"/>
        <v>UN</v>
      </c>
      <c r="D21" s="7">
        <v>918</v>
      </c>
      <c r="E21" s="3">
        <v>11</v>
      </c>
      <c r="F21" s="2">
        <v>1</v>
      </c>
      <c r="G21" t="s">
        <v>514</v>
      </c>
    </row>
    <row r="22" spans="1:7" x14ac:dyDescent="0.25">
      <c r="A22" s="1" t="str">
        <f>"517178"</f>
        <v>517178</v>
      </c>
      <c r="B22" s="2" t="str">
        <f>"420 RET. 100X150X460 (2PÇS) M.2588-JE"</f>
        <v>420 RET. 100X150X460 (2PÇS) M.2588-JE</v>
      </c>
      <c r="C22" s="2" t="str">
        <f t="shared" si="0"/>
        <v>UN</v>
      </c>
      <c r="D22" s="7">
        <v>918</v>
      </c>
      <c r="E22" s="3">
        <v>11</v>
      </c>
      <c r="F22" s="2">
        <v>4</v>
      </c>
      <c r="G22" t="s">
        <v>512</v>
      </c>
    </row>
    <row r="23" spans="1:7" x14ac:dyDescent="0.25">
      <c r="A23" s="1" t="str">
        <f>"517124"</f>
        <v>517124</v>
      </c>
      <c r="B23" s="2" t="str">
        <f>"420 RET. 13X13X500 (6PÇS) M2586"</f>
        <v>420 RET. 13X13X500 (6PÇS) M2586</v>
      </c>
      <c r="C23" s="2" t="str">
        <f t="shared" si="0"/>
        <v>UN</v>
      </c>
      <c r="D23" s="7">
        <v>918</v>
      </c>
      <c r="E23" s="3">
        <v>11</v>
      </c>
      <c r="F23" s="2">
        <v>6</v>
      </c>
      <c r="G23" t="s">
        <v>513</v>
      </c>
    </row>
    <row r="24" spans="1:7" x14ac:dyDescent="0.25">
      <c r="A24" s="1" t="str">
        <f>"517121"</f>
        <v>517121</v>
      </c>
      <c r="B24" s="2" t="str">
        <f>"420 RET. 23X88X103 (2PÇS) M 2584"</f>
        <v>420 RET. 23X88X103 (2PÇS) M 2584</v>
      </c>
      <c r="C24" s="2" t="str">
        <f t="shared" si="0"/>
        <v>UN</v>
      </c>
      <c r="D24" s="7">
        <v>918</v>
      </c>
      <c r="E24" s="3">
        <v>11</v>
      </c>
      <c r="F24" s="2">
        <v>8</v>
      </c>
      <c r="G24" t="s">
        <v>514</v>
      </c>
    </row>
    <row r="25" spans="1:7" x14ac:dyDescent="0.25">
      <c r="A25" s="1" t="str">
        <f>"517182"</f>
        <v>517182</v>
      </c>
      <c r="B25" s="2" t="str">
        <f>"420 RET. 33X77X368 (2PÇS) M.1750 - JE"</f>
        <v>420 RET. 33X77X368 (2PÇS) M.1750 - JE</v>
      </c>
      <c r="C25" s="2" t="str">
        <f t="shared" si="0"/>
        <v>UN</v>
      </c>
      <c r="D25" s="7">
        <v>918</v>
      </c>
      <c r="E25" s="3">
        <v>11</v>
      </c>
      <c r="F25" s="2">
        <v>7</v>
      </c>
      <c r="G25" t="s">
        <v>514</v>
      </c>
    </row>
    <row r="26" spans="1:7" x14ac:dyDescent="0.25">
      <c r="A26" s="1" t="str">
        <f>"517179"</f>
        <v>517179</v>
      </c>
      <c r="B26" s="2" t="str">
        <f>"420 RET. 33X83X343 (4PÇS) M.2588 - JE"</f>
        <v>420 RET. 33X83X343 (4PÇS) M.2588 - JE</v>
      </c>
      <c r="C26" s="2" t="str">
        <f t="shared" si="0"/>
        <v>UN</v>
      </c>
      <c r="D26" s="7">
        <v>918</v>
      </c>
      <c r="E26" s="3">
        <v>11</v>
      </c>
      <c r="F26" s="2">
        <v>6</v>
      </c>
      <c r="G26" t="s">
        <v>514</v>
      </c>
    </row>
    <row r="27" spans="1:7" x14ac:dyDescent="0.25">
      <c r="A27" s="1" t="str">
        <f>"517184"</f>
        <v>517184</v>
      </c>
      <c r="B27" s="2" t="str">
        <f>"420 RET. 35X103X136 (2PÇS) M. 2577 - JE"</f>
        <v>420 RET. 35X103X136 (2PÇS) M. 2577 - JE</v>
      </c>
      <c r="C27" s="2" t="str">
        <f t="shared" si="0"/>
        <v>UN</v>
      </c>
      <c r="D27" s="7">
        <v>918</v>
      </c>
      <c r="E27" s="3">
        <v>11</v>
      </c>
      <c r="F27" s="2">
        <v>6</v>
      </c>
      <c r="G27" t="s">
        <v>513</v>
      </c>
    </row>
    <row r="28" spans="1:7" x14ac:dyDescent="0.25">
      <c r="A28" s="1" t="str">
        <f>"517127"</f>
        <v>517127</v>
      </c>
      <c r="B28" s="2" t="str">
        <f>"420 RET. 35X63X236 (2PÇS)"</f>
        <v>420 RET. 35X63X236 (2PÇS)</v>
      </c>
      <c r="C28" s="2" t="str">
        <f t="shared" si="0"/>
        <v>UN</v>
      </c>
      <c r="D28" s="7">
        <v>918</v>
      </c>
      <c r="E28" s="3">
        <v>11</v>
      </c>
      <c r="F28" s="2">
        <v>2</v>
      </c>
      <c r="G28" t="s">
        <v>512</v>
      </c>
    </row>
    <row r="29" spans="1:7" x14ac:dyDescent="0.25">
      <c r="A29" s="1" t="str">
        <f>"517120"</f>
        <v>517120</v>
      </c>
      <c r="B29" s="2" t="str">
        <f>"420 RET. 38X93X452 (1PÇ) M 2587"</f>
        <v>420 RET. 38X93X452 (1PÇ) M 2587</v>
      </c>
      <c r="C29" s="2" t="str">
        <f t="shared" si="0"/>
        <v>UN</v>
      </c>
      <c r="D29" s="7">
        <v>918</v>
      </c>
      <c r="E29" s="3">
        <v>11</v>
      </c>
      <c r="F29" s="2">
        <v>1</v>
      </c>
      <c r="G29" t="s">
        <v>513</v>
      </c>
    </row>
    <row r="30" spans="1:7" x14ac:dyDescent="0.25">
      <c r="A30" s="1" t="str">
        <f>"573813"</f>
        <v>573813</v>
      </c>
      <c r="B30" s="2" t="str">
        <f>"456 HL/S PROX ACURA/BIOM.II/S IP (6000 TEMPL.)"</f>
        <v>456 HL/S PROX ACURA/BIOM.II/S IP (6000 TEMPL.)</v>
      </c>
      <c r="C30" s="2" t="str">
        <f t="shared" si="0"/>
        <v>UN</v>
      </c>
      <c r="D30" s="7">
        <v>99999</v>
      </c>
      <c r="E30" s="3">
        <v>99</v>
      </c>
      <c r="F30" s="2">
        <v>0</v>
      </c>
      <c r="G30" t="s">
        <v>514</v>
      </c>
    </row>
    <row r="31" spans="1:7" x14ac:dyDescent="0.25">
      <c r="A31" s="1" t="str">
        <f>"524441"</f>
        <v>524441</v>
      </c>
      <c r="B31" s="2" t="str">
        <f>"5 LINHA DE VIDA P/ BARRACÃO DE RECPÇÃO DE LEITE"</f>
        <v>5 LINHA DE VIDA P/ BARRACÃO DE RECPÇÃO DE LEITE</v>
      </c>
      <c r="C31" s="2" t="str">
        <f t="shared" si="0"/>
        <v>UN</v>
      </c>
      <c r="D31" s="7">
        <v>99999</v>
      </c>
      <c r="E31" s="3">
        <v>99</v>
      </c>
      <c r="F31" s="2">
        <v>0</v>
      </c>
      <c r="G31" t="s">
        <v>514</v>
      </c>
    </row>
    <row r="32" spans="1:7" x14ac:dyDescent="0.25">
      <c r="A32" s="1" t="str">
        <f>"523326"</f>
        <v>523326</v>
      </c>
      <c r="B32" s="2" t="str">
        <f>"6 SET OR INDIVIDUAL NON CERTIFIED"</f>
        <v>6 SET OR INDIVIDUAL NON CERTIFIED</v>
      </c>
      <c r="C32" s="2" t="str">
        <f t="shared" si="0"/>
        <v>UN</v>
      </c>
      <c r="D32" s="7">
        <v>1300</v>
      </c>
      <c r="E32" s="3">
        <v>10</v>
      </c>
      <c r="F32" s="2">
        <v>0</v>
      </c>
      <c r="G32" t="s">
        <v>514</v>
      </c>
    </row>
    <row r="33" spans="1:7" x14ac:dyDescent="0.25">
      <c r="A33" s="1" t="str">
        <f>"522510"</f>
        <v>522510</v>
      </c>
      <c r="B33" s="2" t="str">
        <f>"8 RACK 768 PONT. UNIV 1000UL ART THERMO SCIENTIFIC SAN DIEGO"</f>
        <v>8 RACK 768 PONT. UNIV 1000UL ART THERMO SCIENTIFIC SAN DIEGO</v>
      </c>
      <c r="C33" s="2" t="str">
        <f t="shared" si="0"/>
        <v>UN</v>
      </c>
      <c r="D33" s="7">
        <v>406</v>
      </c>
      <c r="E33" s="3">
        <v>4</v>
      </c>
      <c r="F33" s="2">
        <v>3</v>
      </c>
      <c r="G33" t="s">
        <v>513</v>
      </c>
    </row>
    <row r="34" spans="1:7" x14ac:dyDescent="0.25">
      <c r="A34" s="1" t="str">
        <f>"524807"</f>
        <v>524807</v>
      </c>
      <c r="B34" s="2" t="str">
        <f>"8701146154A ROTOR 162MM PARA BPI-22R 10,0CV"</f>
        <v>8701146154A ROTOR 162MM PARA BPI-22R 10,0CV</v>
      </c>
      <c r="C34" s="2" t="str">
        <f t="shared" si="0"/>
        <v>UN</v>
      </c>
      <c r="D34" s="7">
        <v>813</v>
      </c>
      <c r="E34" s="3">
        <v>10</v>
      </c>
      <c r="F34" s="5">
        <v>5</v>
      </c>
      <c r="G34" t="s">
        <v>513</v>
      </c>
    </row>
    <row r="35" spans="1:7" x14ac:dyDescent="0.25">
      <c r="A35" s="1" t="str">
        <f>"524808"</f>
        <v>524808</v>
      </c>
      <c r="B35" s="2" t="str">
        <f>"8701258162A ROTOR 190MM PARA BPI-22R 20,0CV"</f>
        <v>8701258162A ROTOR 190MM PARA BPI-22R 20,0CV</v>
      </c>
      <c r="C35" s="2" t="str">
        <f t="shared" si="0"/>
        <v>UN</v>
      </c>
      <c r="D35" s="7">
        <v>813</v>
      </c>
      <c r="E35" s="3">
        <v>10</v>
      </c>
      <c r="F35" s="2">
        <v>3</v>
      </c>
      <c r="G35" t="s">
        <v>513</v>
      </c>
    </row>
    <row r="36" spans="1:7" x14ac:dyDescent="0.25">
      <c r="A36" s="1" t="str">
        <f>"523381"</f>
        <v>523381</v>
      </c>
      <c r="B36" s="2" t="str">
        <f>"8796 PRINTP III V2 BARRAS ACURA BIOSG 1000TPL"</f>
        <v>8796 PRINTP III V2 BARRAS ACURA BIOSG 1000TPL</v>
      </c>
      <c r="C36" s="2" t="str">
        <f t="shared" si="0"/>
        <v>UN</v>
      </c>
      <c r="D36" s="7">
        <v>99999</v>
      </c>
      <c r="E36" s="3">
        <v>99</v>
      </c>
      <c r="F36" s="2">
        <v>8</v>
      </c>
      <c r="G36" t="s">
        <v>512</v>
      </c>
    </row>
    <row r="37" spans="1:7" x14ac:dyDescent="0.25">
      <c r="A37" s="1" t="str">
        <f>"515236"</f>
        <v>515236</v>
      </c>
      <c r="B37" s="2" t="str">
        <f>"ABACAXI PEROLA"</f>
        <v>ABACAXI PEROLA</v>
      </c>
      <c r="C37" s="2" t="str">
        <f t="shared" si="0"/>
        <v>UN</v>
      </c>
      <c r="D37" s="7">
        <v>401</v>
      </c>
      <c r="E37" s="3">
        <v>4</v>
      </c>
      <c r="F37" s="2">
        <v>6</v>
      </c>
      <c r="G37" t="s">
        <v>513</v>
      </c>
    </row>
    <row r="38" spans="1:7" x14ac:dyDescent="0.25">
      <c r="A38" s="1" t="str">
        <f>"517081"</f>
        <v>517081</v>
      </c>
      <c r="B38" s="2" t="str">
        <f>"ABADORA DE SUPERFICIE 36 GAS - WACKER CT-36"</f>
        <v>ABADORA DE SUPERFICIE 36 GAS - WACKER CT-36</v>
      </c>
      <c r="C38" s="2" t="str">
        <f t="shared" si="0"/>
        <v>UN</v>
      </c>
      <c r="D38" s="7">
        <v>1300</v>
      </c>
      <c r="E38" s="3">
        <v>13</v>
      </c>
      <c r="F38" s="2">
        <v>4</v>
      </c>
      <c r="G38" t="s">
        <v>514</v>
      </c>
    </row>
    <row r="39" spans="1:7" x14ac:dyDescent="0.25">
      <c r="A39" s="1" t="str">
        <f>"522202"</f>
        <v>522202</v>
      </c>
      <c r="B39" s="2" t="str">
        <f>"ABAFADOR ESCAPAMENTO"</f>
        <v>ABAFADOR ESCAPAMENTO</v>
      </c>
      <c r="C39" s="2" t="str">
        <f t="shared" si="0"/>
        <v>UN</v>
      </c>
      <c r="D39" s="7">
        <v>704</v>
      </c>
      <c r="E39" s="3">
        <v>9</v>
      </c>
      <c r="F39" s="2">
        <v>1</v>
      </c>
      <c r="G39" t="s">
        <v>515</v>
      </c>
    </row>
    <row r="40" spans="1:7" x14ac:dyDescent="0.25">
      <c r="A40" s="1" t="str">
        <f>"524894"</f>
        <v>524894</v>
      </c>
      <c r="B40" s="2" t="str">
        <f>"ABAIXADOR DE LINGUA C/ 100 THEOTO"</f>
        <v>ABAIXADOR DE LINGUA C/ 100 THEOTO</v>
      </c>
      <c r="C40" s="2" t="str">
        <f t="shared" si="0"/>
        <v>UN</v>
      </c>
      <c r="D40" s="7">
        <v>99999</v>
      </c>
      <c r="E40" s="3">
        <v>99</v>
      </c>
      <c r="F40" s="2">
        <v>2</v>
      </c>
      <c r="G40" t="s">
        <v>512</v>
      </c>
    </row>
    <row r="41" spans="1:7" x14ac:dyDescent="0.25">
      <c r="A41" s="1" t="str">
        <f>"514543"</f>
        <v>514543</v>
      </c>
      <c r="B41" s="2" t="str">
        <f>"ABIFLAM 50MG"</f>
        <v>ABIFLAM 50MG</v>
      </c>
      <c r="C41" s="2" t="str">
        <f t="shared" si="0"/>
        <v>UN</v>
      </c>
      <c r="D41" s="7">
        <v>406</v>
      </c>
      <c r="E41" s="3">
        <v>4</v>
      </c>
      <c r="F41" s="2">
        <v>7</v>
      </c>
      <c r="G41" t="s">
        <v>516</v>
      </c>
    </row>
    <row r="42" spans="1:7" x14ac:dyDescent="0.25">
      <c r="A42" s="1" t="str">
        <f>"525428"</f>
        <v>525428</v>
      </c>
      <c r="B42" s="2" t="str">
        <f>"ABRAÇ. REFORÇADA TIPOT 80X85"</f>
        <v>ABRAÇ. REFORÇADA TIPOT 80X85</v>
      </c>
      <c r="C42" s="2" t="str">
        <f t="shared" si="0"/>
        <v>UN</v>
      </c>
      <c r="D42" s="7">
        <v>402</v>
      </c>
      <c r="E42" s="3">
        <v>4</v>
      </c>
      <c r="F42" s="2">
        <v>9</v>
      </c>
      <c r="G42" t="s">
        <v>515</v>
      </c>
    </row>
    <row r="43" spans="1:7" x14ac:dyDescent="0.25">
      <c r="A43" s="1" t="str">
        <f>"513791"</f>
        <v>513791</v>
      </c>
      <c r="B43" s="2" t="str">
        <f>"ABRACADEIRA"</f>
        <v>ABRACADEIRA</v>
      </c>
      <c r="C43" s="2" t="str">
        <f t="shared" si="0"/>
        <v>UN</v>
      </c>
      <c r="D43" s="7">
        <v>704</v>
      </c>
      <c r="E43" s="3">
        <v>9</v>
      </c>
      <c r="F43" s="2">
        <v>0</v>
      </c>
      <c r="G43" t="s">
        <v>514</v>
      </c>
    </row>
    <row r="44" spans="1:7" x14ac:dyDescent="0.25">
      <c r="A44" s="1" t="str">
        <f>"519634"</f>
        <v>519634</v>
      </c>
      <c r="B44" s="2" t="str">
        <f>"ABRAÇADEIRA 3 POL"</f>
        <v>ABRAÇADEIRA 3 POL</v>
      </c>
      <c r="C44" s="2" t="str">
        <f t="shared" si="0"/>
        <v>UN</v>
      </c>
      <c r="D44" s="7">
        <v>704</v>
      </c>
      <c r="E44" s="3">
        <v>9</v>
      </c>
      <c r="F44" s="2">
        <v>0</v>
      </c>
      <c r="G44" t="s">
        <v>512</v>
      </c>
    </row>
    <row r="45" spans="1:7" x14ac:dyDescent="0.25">
      <c r="A45" s="1" t="str">
        <f>"525045"</f>
        <v>525045</v>
      </c>
      <c r="B45" s="2" t="str">
        <f>"ABRAÇADEIRA AÇO CARBONO MSA FITA 32MM 73 A 81MM"</f>
        <v>ABRAÇADEIRA AÇO CARBONO MSA FITA 32MM 73 A 81MM</v>
      </c>
      <c r="C45" s="2" t="str">
        <f t="shared" si="0"/>
        <v>UN</v>
      </c>
      <c r="D45" s="7">
        <v>99999</v>
      </c>
      <c r="E45" s="3">
        <v>10</v>
      </c>
      <c r="F45" s="2">
        <v>2</v>
      </c>
      <c r="G45" t="s">
        <v>513</v>
      </c>
    </row>
    <row r="46" spans="1:7" x14ac:dyDescent="0.25">
      <c r="A46" s="1" t="str">
        <f>"517939"</f>
        <v>517939</v>
      </c>
      <c r="B46" s="2" t="str">
        <f>"ABRAÇADEIRA ALTA PRESSÃO P/ MANGUEIRA 1 1/2"""</f>
        <v>ABRAÇADEIRA ALTA PRESSÃO P/ MANGUEIRA 1 1/2"</v>
      </c>
      <c r="C46" s="2" t="str">
        <f t="shared" si="0"/>
        <v>UN</v>
      </c>
      <c r="D46" s="7">
        <v>918</v>
      </c>
      <c r="E46" s="3">
        <v>10</v>
      </c>
      <c r="F46" s="2">
        <v>5</v>
      </c>
      <c r="G46" t="s">
        <v>514</v>
      </c>
    </row>
    <row r="47" spans="1:7" x14ac:dyDescent="0.25">
      <c r="A47" s="1" t="str">
        <f>"512540"</f>
        <v>512540</v>
      </c>
      <c r="B47" s="2" t="str">
        <f>"ABRAÇADEIRA ALTA PRESSAO P/ MANGUEIRA 1/2"""</f>
        <v>ABRAÇADEIRA ALTA PRESSAO P/ MANGUEIRA 1/2"</v>
      </c>
      <c r="C47" s="2" t="str">
        <f>"BR"</f>
        <v>BR</v>
      </c>
      <c r="D47" s="7">
        <v>808</v>
      </c>
      <c r="E47" s="3">
        <v>10</v>
      </c>
      <c r="F47" s="2">
        <v>6</v>
      </c>
      <c r="G47" t="s">
        <v>514</v>
      </c>
    </row>
    <row r="48" spans="1:7" x14ac:dyDescent="0.25">
      <c r="A48" s="1" t="str">
        <f>"517940"</f>
        <v>517940</v>
      </c>
      <c r="B48" s="2" t="str">
        <f>"ABRAÇADEIRA ALTA PRESSÃO P/ MANGUEIRA 2"""</f>
        <v>ABRAÇADEIRA ALTA PRESSÃO P/ MANGUEIRA 2"</v>
      </c>
      <c r="C48" s="2" t="str">
        <f>"UN"</f>
        <v>UN</v>
      </c>
      <c r="D48" s="7">
        <v>918</v>
      </c>
      <c r="E48" s="3">
        <v>10</v>
      </c>
      <c r="F48" s="2">
        <v>9</v>
      </c>
      <c r="G48" t="s">
        <v>512</v>
      </c>
    </row>
    <row r="49" spans="1:7" x14ac:dyDescent="0.25">
      <c r="A49" s="1" t="str">
        <f>"519314"</f>
        <v>519314</v>
      </c>
      <c r="B49" s="2" t="str">
        <f>"ABRAÇADEIRA ALTA PRESSAO P/ MANGUEIRA 3/4"""</f>
        <v>ABRAÇADEIRA ALTA PRESSAO P/ MANGUEIRA 3/4"</v>
      </c>
      <c r="C49" s="2" t="str">
        <f>"BR"</f>
        <v>BR</v>
      </c>
      <c r="D49" s="7">
        <v>808</v>
      </c>
      <c r="E49" s="3">
        <v>10</v>
      </c>
      <c r="F49" s="2">
        <v>5</v>
      </c>
      <c r="G49" t="s">
        <v>513</v>
      </c>
    </row>
    <row r="50" spans="1:7" x14ac:dyDescent="0.25">
      <c r="A50" s="1" t="str">
        <f>"520712"</f>
        <v>520712</v>
      </c>
      <c r="B50" s="2" t="str">
        <f>"ABRACADEIRA D 4 PRENSAL/SIMILAR"</f>
        <v>ABRACADEIRA D 4 PRENSAL/SIMILAR</v>
      </c>
      <c r="C50" s="2" t="str">
        <f t="shared" ref="C50:C57" si="1">"UN"</f>
        <v>UN</v>
      </c>
      <c r="D50" s="7">
        <v>918</v>
      </c>
      <c r="E50" s="3">
        <v>10</v>
      </c>
      <c r="F50" s="2">
        <v>3</v>
      </c>
      <c r="G50" t="s">
        <v>514</v>
      </c>
    </row>
    <row r="51" spans="1:7" x14ac:dyDescent="0.25">
      <c r="A51" s="1" t="str">
        <f>"524512"</f>
        <v>524512</v>
      </c>
      <c r="B51" s="2" t="str">
        <f>"ABRAÇADEIRA DE NYLON 400MM X 10MM"</f>
        <v>ABRAÇADEIRA DE NYLON 400MM X 10MM</v>
      </c>
      <c r="C51" s="2" t="str">
        <f t="shared" si="1"/>
        <v>UN</v>
      </c>
      <c r="D51" s="7">
        <v>811</v>
      </c>
      <c r="E51" s="3">
        <v>10</v>
      </c>
      <c r="F51" s="2">
        <v>3</v>
      </c>
      <c r="G51" t="s">
        <v>514</v>
      </c>
    </row>
    <row r="52" spans="1:7" x14ac:dyDescent="0.25">
      <c r="A52" s="1" t="str">
        <f>"525207"</f>
        <v>525207</v>
      </c>
      <c r="B52" s="8" t="s">
        <v>443</v>
      </c>
      <c r="C52" s="2" t="str">
        <f t="shared" si="1"/>
        <v>UN</v>
      </c>
      <c r="D52" s="7">
        <v>913</v>
      </c>
      <c r="E52" s="3">
        <v>11</v>
      </c>
      <c r="F52" s="2">
        <v>2</v>
      </c>
      <c r="G52" t="s">
        <v>514</v>
      </c>
    </row>
    <row r="53" spans="1:7" x14ac:dyDescent="0.25">
      <c r="A53" s="1" t="str">
        <f>"523769"</f>
        <v>523769</v>
      </c>
      <c r="B53" s="2" t="str">
        <f>"ABRAÇADEIRA GIRATÓRIA AÇO MOLA"</f>
        <v>ABRAÇADEIRA GIRATÓRIA AÇO MOLA</v>
      </c>
      <c r="C53" s="2" t="str">
        <f t="shared" si="1"/>
        <v>UN</v>
      </c>
      <c r="D53" s="7">
        <v>99999</v>
      </c>
      <c r="E53" s="3">
        <v>99</v>
      </c>
      <c r="F53" s="2">
        <v>1</v>
      </c>
      <c r="G53" t="s">
        <v>513</v>
      </c>
    </row>
    <row r="54" spans="1:7" x14ac:dyDescent="0.25">
      <c r="A54" s="1" t="str">
        <f>"526925"</f>
        <v>526925</v>
      </c>
      <c r="B54" s="2" t="str">
        <f>"ABRACADEIRA INOX 16X27X9MM"</f>
        <v>ABRACADEIRA INOX 16X27X9MM</v>
      </c>
      <c r="C54" s="2" t="str">
        <f t="shared" si="1"/>
        <v>UN</v>
      </c>
      <c r="D54" s="7">
        <v>99999</v>
      </c>
      <c r="E54" s="3">
        <v>10</v>
      </c>
      <c r="F54" s="2">
        <v>4</v>
      </c>
      <c r="G54" t="s">
        <v>512</v>
      </c>
    </row>
    <row r="55" spans="1:7" x14ac:dyDescent="0.25">
      <c r="A55" s="1" t="str">
        <f>"526923"</f>
        <v>526923</v>
      </c>
      <c r="B55" s="2" t="str">
        <f>"ABRACADEIRA INOX 19X27MM"</f>
        <v>ABRACADEIRA INOX 19X27MM</v>
      </c>
      <c r="C55" s="2" t="str">
        <f t="shared" si="1"/>
        <v>UN</v>
      </c>
      <c r="D55" s="7">
        <v>402</v>
      </c>
      <c r="E55" s="3">
        <v>4</v>
      </c>
      <c r="F55" s="2">
        <v>1</v>
      </c>
      <c r="G55" t="s">
        <v>513</v>
      </c>
    </row>
    <row r="56" spans="1:7" x14ac:dyDescent="0.25">
      <c r="A56" s="1" t="str">
        <f>"526926"</f>
        <v>526926</v>
      </c>
      <c r="B56" s="2" t="str">
        <f>"ABRACADEIRA INOX 20X32X9MM"</f>
        <v>ABRACADEIRA INOX 20X32X9MM</v>
      </c>
      <c r="C56" s="2" t="str">
        <f t="shared" si="1"/>
        <v>UN</v>
      </c>
      <c r="D56" s="7">
        <v>99999</v>
      </c>
      <c r="E56" s="3">
        <v>10</v>
      </c>
      <c r="F56" s="2">
        <v>2</v>
      </c>
      <c r="G56" t="s">
        <v>514</v>
      </c>
    </row>
    <row r="57" spans="1:7" x14ac:dyDescent="0.25">
      <c r="A57" s="1" t="str">
        <f>"526924"</f>
        <v>526924</v>
      </c>
      <c r="B57" s="2" t="str">
        <f>"ABRACADEIRA INOX 22X32MM"</f>
        <v>ABRACADEIRA INOX 22X32MM</v>
      </c>
      <c r="C57" s="2" t="str">
        <f t="shared" si="1"/>
        <v>UN</v>
      </c>
      <c r="D57" s="7">
        <v>99999</v>
      </c>
      <c r="E57" s="3">
        <v>10</v>
      </c>
      <c r="F57" s="2">
        <v>7</v>
      </c>
      <c r="G57" t="s">
        <v>514</v>
      </c>
    </row>
    <row r="58" spans="1:7" x14ac:dyDescent="0.25">
      <c r="A58" s="1" t="str">
        <f>"528100"</f>
        <v>528100</v>
      </c>
      <c r="B58" s="2" t="str">
        <f>"ABRACADEIRA INOX MANG. 7MM-90MM P/ PONTA DIFUSOR 90X1000MM"</f>
        <v>ABRACADEIRA INOX MANG. 7MM-90MM P/ PONTA DIFUSOR 90X1000MM</v>
      </c>
      <c r="C58" s="2" t="str">
        <f>"PC"</f>
        <v>PC</v>
      </c>
      <c r="D58" s="7">
        <v>918</v>
      </c>
      <c r="E58" s="3">
        <v>11</v>
      </c>
      <c r="F58" s="2">
        <v>9</v>
      </c>
      <c r="G58" t="s">
        <v>514</v>
      </c>
    </row>
    <row r="59" spans="1:7" x14ac:dyDescent="0.25">
      <c r="A59" s="1" t="str">
        <f>"519635"</f>
        <v>519635</v>
      </c>
      <c r="B59" s="2" t="str">
        <f>"ABRAÇADEIRA INTERCULER"</f>
        <v>ABRAÇADEIRA INTERCULER</v>
      </c>
      <c r="C59" s="2" t="str">
        <f t="shared" ref="C59:C90" si="2">"UN"</f>
        <v>UN</v>
      </c>
      <c r="D59" s="7">
        <v>704</v>
      </c>
      <c r="E59" s="3">
        <v>9</v>
      </c>
      <c r="F59" s="2">
        <v>0</v>
      </c>
      <c r="G59" t="s">
        <v>513</v>
      </c>
    </row>
    <row r="60" spans="1:7" x14ac:dyDescent="0.25">
      <c r="A60" s="1" t="str">
        <f>"506777"</f>
        <v>506777</v>
      </c>
      <c r="B60" s="2" t="str">
        <f>"ABRAÇADEIRA LAMPADA FLUORECENTE HO 110W"</f>
        <v>ABRAÇADEIRA LAMPADA FLUORECENTE HO 110W</v>
      </c>
      <c r="C60" s="2" t="str">
        <f t="shared" si="2"/>
        <v>UN</v>
      </c>
      <c r="D60" s="7">
        <v>601</v>
      </c>
      <c r="E60" s="3">
        <v>8</v>
      </c>
      <c r="F60" s="2">
        <v>0</v>
      </c>
      <c r="G60" t="s">
        <v>513</v>
      </c>
    </row>
    <row r="61" spans="1:7" x14ac:dyDescent="0.25">
      <c r="A61" s="1" t="str">
        <f>"501406"</f>
        <v>501406</v>
      </c>
      <c r="B61" s="2" t="str">
        <f>"ABRACADEIRA NYLON 2,5X100MM"</f>
        <v>ABRACADEIRA NYLON 2,5X100MM</v>
      </c>
      <c r="C61" s="2" t="str">
        <f t="shared" si="2"/>
        <v>UN</v>
      </c>
      <c r="D61" s="7">
        <v>601</v>
      </c>
      <c r="E61" s="3">
        <v>8</v>
      </c>
      <c r="F61" s="2">
        <v>4</v>
      </c>
      <c r="G61" t="s">
        <v>513</v>
      </c>
    </row>
    <row r="62" spans="1:7" x14ac:dyDescent="0.25">
      <c r="A62" s="1" t="str">
        <f>"527956"</f>
        <v>527956</v>
      </c>
      <c r="B62" s="2" t="str">
        <f>"ABRACADEIRA NYLON 2,5X200MM"</f>
        <v>ABRACADEIRA NYLON 2,5X200MM</v>
      </c>
      <c r="C62" s="2" t="str">
        <f t="shared" si="2"/>
        <v>UN</v>
      </c>
      <c r="D62" s="7">
        <v>600</v>
      </c>
      <c r="E62" s="3">
        <v>8</v>
      </c>
      <c r="F62" s="2">
        <v>1</v>
      </c>
      <c r="G62" t="s">
        <v>512</v>
      </c>
    </row>
    <row r="63" spans="1:7" x14ac:dyDescent="0.25">
      <c r="A63" s="1" t="str">
        <f>"527500"</f>
        <v>527500</v>
      </c>
      <c r="B63" s="2" t="str">
        <f>"ABRACADEIRA NYLON 3,6X250MM"</f>
        <v>ABRACADEIRA NYLON 3,6X250MM</v>
      </c>
      <c r="C63" s="2" t="str">
        <f t="shared" si="2"/>
        <v>UN</v>
      </c>
      <c r="D63" s="7">
        <v>601</v>
      </c>
      <c r="E63" s="3">
        <v>8</v>
      </c>
      <c r="F63" s="2">
        <v>2</v>
      </c>
      <c r="G63" t="s">
        <v>513</v>
      </c>
    </row>
    <row r="64" spans="1:7" x14ac:dyDescent="0.25">
      <c r="A64" s="1" t="str">
        <f>"514672"</f>
        <v>514672</v>
      </c>
      <c r="B64" s="2" t="str">
        <f>"ABRAÇADEIRA NYLON 300MM"</f>
        <v>ABRAÇADEIRA NYLON 300MM</v>
      </c>
      <c r="C64" s="2" t="str">
        <f t="shared" si="2"/>
        <v>UN</v>
      </c>
      <c r="D64" s="7">
        <v>601</v>
      </c>
      <c r="E64" s="3">
        <v>8</v>
      </c>
      <c r="F64" s="2">
        <v>7</v>
      </c>
      <c r="G64" t="s">
        <v>514</v>
      </c>
    </row>
    <row r="65" spans="1:7" x14ac:dyDescent="0.25">
      <c r="A65" s="1" t="str">
        <f>"527499"</f>
        <v>527499</v>
      </c>
      <c r="B65" s="2" t="str">
        <f>"ABRACADEIRA NYLON 4,8X180MM"</f>
        <v>ABRACADEIRA NYLON 4,8X180MM</v>
      </c>
      <c r="C65" s="2" t="str">
        <f t="shared" si="2"/>
        <v>UN</v>
      </c>
      <c r="D65" s="7">
        <v>601</v>
      </c>
      <c r="E65" s="3">
        <v>8</v>
      </c>
      <c r="F65" s="2">
        <v>9</v>
      </c>
      <c r="G65" t="s">
        <v>515</v>
      </c>
    </row>
    <row r="66" spans="1:7" x14ac:dyDescent="0.25">
      <c r="A66" s="1" t="str">
        <f>"501425"</f>
        <v>501425</v>
      </c>
      <c r="B66" s="2" t="str">
        <f>"ABRACADEIRA NYLON 4,8X200MM"</f>
        <v>ABRACADEIRA NYLON 4,8X200MM</v>
      </c>
      <c r="C66" s="2" t="str">
        <f t="shared" si="2"/>
        <v>UN</v>
      </c>
      <c r="D66" s="7">
        <v>601</v>
      </c>
      <c r="E66" s="3">
        <v>8</v>
      </c>
      <c r="F66" s="2">
        <v>0</v>
      </c>
      <c r="G66" t="s">
        <v>512</v>
      </c>
    </row>
    <row r="67" spans="1:7" x14ac:dyDescent="0.25">
      <c r="A67" s="1" t="str">
        <f>"527498"</f>
        <v>527498</v>
      </c>
      <c r="B67" s="2" t="str">
        <f>"ABRACADEIRA NYLON 4,8X250MM"</f>
        <v>ABRACADEIRA NYLON 4,8X250MM</v>
      </c>
      <c r="C67" s="2" t="str">
        <f t="shared" si="2"/>
        <v>UN</v>
      </c>
      <c r="D67" s="7">
        <v>601</v>
      </c>
      <c r="E67" s="3">
        <v>8</v>
      </c>
      <c r="F67" s="2">
        <v>0</v>
      </c>
      <c r="G67" t="s">
        <v>516</v>
      </c>
    </row>
    <row r="68" spans="1:7" x14ac:dyDescent="0.25">
      <c r="A68" s="1" t="str">
        <f>"503350"</f>
        <v>503350</v>
      </c>
      <c r="B68" s="2" t="str">
        <f>"ABRACADEIRA NYLON 7,6X390MM"</f>
        <v>ABRACADEIRA NYLON 7,6X390MM</v>
      </c>
      <c r="C68" s="2" t="str">
        <f t="shared" si="2"/>
        <v>UN</v>
      </c>
      <c r="D68" s="7">
        <v>601</v>
      </c>
      <c r="E68" s="3">
        <v>8</v>
      </c>
      <c r="F68" s="2">
        <v>2</v>
      </c>
      <c r="G68" t="s">
        <v>515</v>
      </c>
    </row>
    <row r="69" spans="1:7" x14ac:dyDescent="0.25">
      <c r="A69" s="1" t="str">
        <f>"520291"</f>
        <v>520291</v>
      </c>
      <c r="B69" s="2" t="str">
        <f>"ABRACADEIRA P/ CABO DE ACO 1/2"</f>
        <v>ABRACADEIRA P/ CABO DE ACO 1/2</v>
      </c>
      <c r="C69" s="2" t="str">
        <f t="shared" si="2"/>
        <v>UN</v>
      </c>
      <c r="D69" s="7">
        <v>915</v>
      </c>
      <c r="E69" s="3">
        <v>11</v>
      </c>
      <c r="F69" s="2">
        <v>5</v>
      </c>
      <c r="G69" t="s">
        <v>514</v>
      </c>
    </row>
    <row r="70" spans="1:7" x14ac:dyDescent="0.25">
      <c r="A70" s="1" t="str">
        <f>"520292"</f>
        <v>520292</v>
      </c>
      <c r="B70" s="2" t="str">
        <f>"ABRACADEIRA P/ CABO DE ACO 1/4"</f>
        <v>ABRACADEIRA P/ CABO DE ACO 1/4</v>
      </c>
      <c r="C70" s="2" t="str">
        <f t="shared" si="2"/>
        <v>UN</v>
      </c>
      <c r="D70" s="7">
        <v>915</v>
      </c>
      <c r="E70" s="3">
        <v>11</v>
      </c>
      <c r="F70" s="2">
        <v>0</v>
      </c>
      <c r="G70" t="s">
        <v>512</v>
      </c>
    </row>
    <row r="71" spans="1:7" x14ac:dyDescent="0.25">
      <c r="A71" s="1" t="str">
        <f>"526629"</f>
        <v>526629</v>
      </c>
      <c r="B71" s="2" t="str">
        <f>"ABRAÇADEIRA P/ CABO DE AÇO 3/16"""</f>
        <v>ABRAÇADEIRA P/ CABO DE AÇO 3/16"</v>
      </c>
      <c r="C71" s="2" t="str">
        <f t="shared" si="2"/>
        <v>UN</v>
      </c>
      <c r="D71" s="7">
        <v>816</v>
      </c>
      <c r="E71" s="3">
        <v>11</v>
      </c>
      <c r="F71" s="2">
        <v>2</v>
      </c>
      <c r="G71" t="s">
        <v>513</v>
      </c>
    </row>
    <row r="72" spans="1:7" x14ac:dyDescent="0.25">
      <c r="A72" s="1" t="str">
        <f>"522770"</f>
        <v>522770</v>
      </c>
      <c r="B72" s="2" t="str">
        <f>"ABRACADEIRA P/ CABO DE ACO 3/8"</f>
        <v>ABRACADEIRA P/ CABO DE ACO 3/8</v>
      </c>
      <c r="C72" s="2" t="str">
        <f t="shared" si="2"/>
        <v>UN</v>
      </c>
      <c r="D72" s="7">
        <v>915</v>
      </c>
      <c r="E72" s="3">
        <v>11</v>
      </c>
      <c r="F72" s="2">
        <v>5</v>
      </c>
      <c r="G72" t="s">
        <v>514</v>
      </c>
    </row>
    <row r="73" spans="1:7" x14ac:dyDescent="0.25">
      <c r="A73" s="1" t="str">
        <f>"524453"</f>
        <v>524453</v>
      </c>
      <c r="B73" s="2" t="str">
        <f>"ABRAÇADEIRA P/ CABO DE AÇO 5/16"</f>
        <v>ABRAÇADEIRA P/ CABO DE AÇO 5/16</v>
      </c>
      <c r="C73" s="2" t="str">
        <f t="shared" si="2"/>
        <v>UN</v>
      </c>
      <c r="D73" s="7">
        <v>805</v>
      </c>
      <c r="E73" s="3">
        <v>10</v>
      </c>
      <c r="F73" s="5">
        <v>5</v>
      </c>
      <c r="G73" t="s">
        <v>514</v>
      </c>
    </row>
    <row r="74" spans="1:7" x14ac:dyDescent="0.25">
      <c r="A74" s="1" t="str">
        <f>"520290"</f>
        <v>520290</v>
      </c>
      <c r="B74" s="2" t="str">
        <f>"ABRACADEIRA P/ CABO DE ACO 5/8"</f>
        <v>ABRACADEIRA P/ CABO DE ACO 5/8</v>
      </c>
      <c r="C74" s="2" t="str">
        <f t="shared" si="2"/>
        <v>UN</v>
      </c>
      <c r="D74" s="7">
        <v>915</v>
      </c>
      <c r="E74" s="3">
        <v>11</v>
      </c>
      <c r="F74" s="2">
        <v>3</v>
      </c>
      <c r="G74" t="s">
        <v>512</v>
      </c>
    </row>
    <row r="75" spans="1:7" x14ac:dyDescent="0.25">
      <c r="A75" s="1" t="str">
        <f>"521491"</f>
        <v>521491</v>
      </c>
      <c r="B75" s="2" t="str">
        <f>"ABRAÇADEIRA P/ CABO DE AÇO 8MM"</f>
        <v>ABRAÇADEIRA P/ CABO DE AÇO 8MM</v>
      </c>
      <c r="C75" s="2" t="str">
        <f t="shared" si="2"/>
        <v>UN</v>
      </c>
      <c r="D75" s="7">
        <v>402</v>
      </c>
      <c r="E75" s="3">
        <v>4</v>
      </c>
      <c r="F75" s="2">
        <v>8</v>
      </c>
      <c r="G75" t="s">
        <v>513</v>
      </c>
    </row>
    <row r="76" spans="1:7" x14ac:dyDescent="0.25">
      <c r="A76" s="1" t="str">
        <f>"520293"</f>
        <v>520293</v>
      </c>
      <c r="B76" s="8" t="s">
        <v>125</v>
      </c>
      <c r="C76" s="2" t="str">
        <f t="shared" si="2"/>
        <v>UN</v>
      </c>
      <c r="D76" s="7">
        <v>915</v>
      </c>
      <c r="E76" s="3">
        <v>11</v>
      </c>
      <c r="F76" s="2">
        <v>6</v>
      </c>
      <c r="G76" t="s">
        <v>514</v>
      </c>
    </row>
    <row r="77" spans="1:7" x14ac:dyDescent="0.25">
      <c r="A77" s="1" t="str">
        <f>"525976"</f>
        <v>525976</v>
      </c>
      <c r="B77" s="2" t="str">
        <f>"ABRAÇADEIRA P/ CANO PVC 1/2"</f>
        <v>ABRAÇADEIRA P/ CANO PVC 1/2</v>
      </c>
      <c r="C77" s="2" t="str">
        <f t="shared" si="2"/>
        <v>UN</v>
      </c>
      <c r="D77" s="7">
        <v>917</v>
      </c>
      <c r="E77" s="3">
        <v>10</v>
      </c>
      <c r="F77" s="2">
        <v>4</v>
      </c>
      <c r="G77" t="s">
        <v>514</v>
      </c>
    </row>
    <row r="78" spans="1:7" x14ac:dyDescent="0.25">
      <c r="A78" s="1" t="str">
        <f>"525977"</f>
        <v>525977</v>
      </c>
      <c r="B78" s="2" t="str">
        <f>"ABRAÇADEIRA P/ CANO PVC 3/4"</f>
        <v>ABRAÇADEIRA P/ CANO PVC 3/4</v>
      </c>
      <c r="C78" s="2" t="str">
        <f t="shared" si="2"/>
        <v>UN</v>
      </c>
      <c r="D78" s="7">
        <v>917</v>
      </c>
      <c r="E78" s="3">
        <v>10</v>
      </c>
      <c r="F78" s="2">
        <v>1</v>
      </c>
      <c r="G78" t="s">
        <v>514</v>
      </c>
    </row>
    <row r="79" spans="1:7" x14ac:dyDescent="0.25">
      <c r="A79" s="1" t="str">
        <f>"521604"</f>
        <v>521604</v>
      </c>
      <c r="B79" s="2" t="str">
        <f>"ABRAÇADEIRA P/ ETIQUETA 4X23MM (CAIXA 200 PEÇAS)"</f>
        <v>ABRAÇADEIRA P/ ETIQUETA 4X23MM (CAIXA 200 PEÇAS)</v>
      </c>
      <c r="C79" s="2" t="str">
        <f t="shared" si="2"/>
        <v>UN</v>
      </c>
      <c r="D79" s="7">
        <v>811</v>
      </c>
      <c r="E79" s="3">
        <v>13</v>
      </c>
      <c r="F79" s="2">
        <v>2</v>
      </c>
      <c r="G79" t="s">
        <v>513</v>
      </c>
    </row>
    <row r="80" spans="1:7" x14ac:dyDescent="0.25">
      <c r="A80" s="1" t="str">
        <f>"521046"</f>
        <v>521046</v>
      </c>
      <c r="B80" s="2" t="str">
        <f>"ABRAÇADEIRA PARA LAMPADA FLUORESCENTE"</f>
        <v>ABRAÇADEIRA PARA LAMPADA FLUORESCENTE</v>
      </c>
      <c r="C80" s="2" t="str">
        <f t="shared" si="2"/>
        <v>UN</v>
      </c>
      <c r="D80" s="7">
        <v>811</v>
      </c>
      <c r="E80" s="3">
        <v>4</v>
      </c>
      <c r="F80" s="2">
        <v>7</v>
      </c>
      <c r="G80" t="s">
        <v>512</v>
      </c>
    </row>
    <row r="81" spans="1:7" x14ac:dyDescent="0.25">
      <c r="A81" s="1" t="str">
        <f>"526872"</f>
        <v>526872</v>
      </c>
      <c r="B81" s="2" t="str">
        <f>"ABRAÇADEIRA REFORÇA 130X136MM"</f>
        <v>ABRAÇADEIRA REFORÇA 130X136MM</v>
      </c>
      <c r="C81" s="2" t="str">
        <f t="shared" si="2"/>
        <v>UN</v>
      </c>
      <c r="D81" s="7">
        <v>402</v>
      </c>
      <c r="E81" s="3">
        <v>4</v>
      </c>
      <c r="F81" s="2">
        <v>9</v>
      </c>
      <c r="G81" t="s">
        <v>513</v>
      </c>
    </row>
    <row r="82" spans="1:7" x14ac:dyDescent="0.25">
      <c r="A82" s="1" t="str">
        <f>"520506"</f>
        <v>520506</v>
      </c>
      <c r="B82" s="2" t="str">
        <f>"ABRAÇADEIRA REFORÇADA 105X117"</f>
        <v>ABRAÇADEIRA REFORÇADA 105X117</v>
      </c>
      <c r="C82" s="2" t="str">
        <f t="shared" si="2"/>
        <v>UN</v>
      </c>
      <c r="D82" s="7">
        <v>402</v>
      </c>
      <c r="E82" s="3">
        <v>4</v>
      </c>
      <c r="F82" s="2">
        <v>0</v>
      </c>
      <c r="G82" t="s">
        <v>514</v>
      </c>
    </row>
    <row r="83" spans="1:7" x14ac:dyDescent="0.25">
      <c r="A83" s="1" t="str">
        <f>"513459"</f>
        <v>513459</v>
      </c>
      <c r="B83" s="2" t="str">
        <f>"ABRACADEIRA REFORCADA 105X117MM"</f>
        <v>ABRACADEIRA REFORCADA 105X117MM</v>
      </c>
      <c r="C83" s="2" t="str">
        <f t="shared" si="2"/>
        <v>UN</v>
      </c>
      <c r="D83" s="7">
        <v>402</v>
      </c>
      <c r="E83" s="3">
        <v>4</v>
      </c>
      <c r="F83" s="2">
        <v>0</v>
      </c>
      <c r="G83" t="s">
        <v>514</v>
      </c>
    </row>
    <row r="84" spans="1:7" x14ac:dyDescent="0.25">
      <c r="A84" s="1" t="str">
        <f>"520189"</f>
        <v>520189</v>
      </c>
      <c r="B84" s="2" t="str">
        <f>"ABRACADEIRA REFORCADA 35X40MM"</f>
        <v>ABRACADEIRA REFORCADA 35X40MM</v>
      </c>
      <c r="C84" s="2" t="str">
        <f t="shared" si="2"/>
        <v>UN</v>
      </c>
      <c r="D84" s="7">
        <v>402</v>
      </c>
      <c r="E84" s="3">
        <v>4</v>
      </c>
      <c r="F84" s="2">
        <v>2</v>
      </c>
      <c r="G84" t="s">
        <v>514</v>
      </c>
    </row>
    <row r="85" spans="1:7" x14ac:dyDescent="0.25">
      <c r="A85" s="1" t="str">
        <f>"520190"</f>
        <v>520190</v>
      </c>
      <c r="B85" s="2" t="str">
        <f>"ABRACADEIRA REFORCADA 39X47MM"</f>
        <v>ABRACADEIRA REFORCADA 39X47MM</v>
      </c>
      <c r="C85" s="2" t="str">
        <f t="shared" si="2"/>
        <v>UN</v>
      </c>
      <c r="D85" s="7">
        <v>402</v>
      </c>
      <c r="E85" s="3">
        <v>4</v>
      </c>
      <c r="F85" s="2">
        <v>5</v>
      </c>
      <c r="G85" t="s">
        <v>513</v>
      </c>
    </row>
    <row r="86" spans="1:7" x14ac:dyDescent="0.25">
      <c r="A86" s="1" t="str">
        <f>"520191"</f>
        <v>520191</v>
      </c>
      <c r="B86" s="2" t="str">
        <f>"ABRACADEIRA REFORCADA 43X51MM"</f>
        <v>ABRACADEIRA REFORCADA 43X51MM</v>
      </c>
      <c r="C86" s="2" t="str">
        <f t="shared" si="2"/>
        <v>UN</v>
      </c>
      <c r="D86" s="7">
        <v>402</v>
      </c>
      <c r="E86" s="3">
        <v>4</v>
      </c>
      <c r="F86" s="2">
        <v>6</v>
      </c>
      <c r="G86" t="s">
        <v>513</v>
      </c>
    </row>
    <row r="87" spans="1:7" x14ac:dyDescent="0.25">
      <c r="A87" s="1" t="str">
        <f>"520192"</f>
        <v>520192</v>
      </c>
      <c r="B87" s="2" t="str">
        <f>"ABRACADEIRA REFORCADA 48X56MM"</f>
        <v>ABRACADEIRA REFORCADA 48X56MM</v>
      </c>
      <c r="C87" s="2" t="str">
        <f t="shared" si="2"/>
        <v>UN</v>
      </c>
      <c r="D87" s="7">
        <v>402</v>
      </c>
      <c r="E87" s="3">
        <v>4</v>
      </c>
      <c r="F87" s="2">
        <v>9</v>
      </c>
      <c r="G87" t="s">
        <v>513</v>
      </c>
    </row>
    <row r="88" spans="1:7" x14ac:dyDescent="0.25">
      <c r="A88" s="1" t="str">
        <f>"520193"</f>
        <v>520193</v>
      </c>
      <c r="B88" s="2" t="str">
        <f>"ABRACADEIRA REFORCADA 54X62MM"</f>
        <v>ABRACADEIRA REFORCADA 54X62MM</v>
      </c>
      <c r="C88" s="2" t="str">
        <f t="shared" si="2"/>
        <v>UN</v>
      </c>
      <c r="D88" s="7">
        <v>402</v>
      </c>
      <c r="E88" s="3">
        <v>4</v>
      </c>
      <c r="F88" s="2">
        <v>5</v>
      </c>
      <c r="G88" t="s">
        <v>512</v>
      </c>
    </row>
    <row r="89" spans="1:7" x14ac:dyDescent="0.25">
      <c r="A89" s="1" t="str">
        <f>"512533"</f>
        <v>512533</v>
      </c>
      <c r="B89" s="2" t="str">
        <f>"ABRAÇADEIRA REFORÇADA 79X87MM"</f>
        <v>ABRAÇADEIRA REFORÇADA 79X87MM</v>
      </c>
      <c r="C89" s="2" t="str">
        <f t="shared" si="2"/>
        <v>UN</v>
      </c>
      <c r="D89" s="7">
        <v>402</v>
      </c>
      <c r="E89" s="3">
        <v>4</v>
      </c>
      <c r="F89" s="2">
        <v>3</v>
      </c>
      <c r="G89" t="s">
        <v>513</v>
      </c>
    </row>
    <row r="90" spans="1:7" x14ac:dyDescent="0.25">
      <c r="A90" s="1" t="str">
        <f>"527285"</f>
        <v>527285</v>
      </c>
      <c r="B90" s="2" t="str">
        <f>"ABRAÇADEIRA REFORÇADA 86X94MM"</f>
        <v>ABRAÇADEIRA REFORÇADA 86X94MM</v>
      </c>
      <c r="C90" s="2" t="str">
        <f t="shared" si="2"/>
        <v>UN</v>
      </c>
      <c r="D90" s="7">
        <v>402</v>
      </c>
      <c r="E90" s="3">
        <v>4</v>
      </c>
      <c r="F90" s="2">
        <v>3</v>
      </c>
      <c r="G90" t="s">
        <v>514</v>
      </c>
    </row>
    <row r="91" spans="1:7" x14ac:dyDescent="0.25">
      <c r="A91" s="1" t="str">
        <f>"520788"</f>
        <v>520788</v>
      </c>
      <c r="B91" s="2" t="str">
        <f>"ABRAÇADEIRA S/ GRAMPO TIPO GOTA ECONOMICA 3"""</f>
        <v>ABRAÇADEIRA S/ GRAMPO TIPO GOTA ECONOMICA 3"</v>
      </c>
      <c r="C91" s="2" t="str">
        <f t="shared" ref="C91:C109" si="3">"UN"</f>
        <v>UN</v>
      </c>
      <c r="D91" s="7">
        <v>601</v>
      </c>
      <c r="E91" s="3">
        <v>8</v>
      </c>
      <c r="F91" s="2">
        <v>2</v>
      </c>
      <c r="G91" t="s">
        <v>515</v>
      </c>
    </row>
    <row r="92" spans="1:7" x14ac:dyDescent="0.25">
      <c r="A92" s="1" t="str">
        <f>"520787"</f>
        <v>520787</v>
      </c>
      <c r="B92" s="2" t="str">
        <f>"ABRAÇADEIRA S/ GRAMPO TIPO GOTA ECONOMICA 4"""</f>
        <v>ABRAÇADEIRA S/ GRAMPO TIPO GOTA ECONOMICA 4"</v>
      </c>
      <c r="C92" s="2" t="str">
        <f t="shared" si="3"/>
        <v>UN</v>
      </c>
      <c r="D92" s="7">
        <v>601</v>
      </c>
      <c r="E92" s="3">
        <v>8</v>
      </c>
      <c r="F92" s="2">
        <v>1</v>
      </c>
      <c r="G92" t="s">
        <v>512</v>
      </c>
    </row>
    <row r="93" spans="1:7" x14ac:dyDescent="0.25">
      <c r="A93" s="1" t="str">
        <f>"524410"</f>
        <v>524410</v>
      </c>
      <c r="B93" s="2" t="str">
        <f>"ABRACADEIRA SEM HASTE INOX 304 DIAM. 114,30MM"</f>
        <v>ABRACADEIRA SEM HASTE INOX 304 DIAM. 114,30MM</v>
      </c>
      <c r="C93" s="2" t="str">
        <f t="shared" si="3"/>
        <v>UN</v>
      </c>
      <c r="D93" s="7">
        <v>402</v>
      </c>
      <c r="E93" s="3">
        <v>4</v>
      </c>
      <c r="F93" s="2">
        <v>4</v>
      </c>
      <c r="G93" t="s">
        <v>516</v>
      </c>
    </row>
    <row r="94" spans="1:7" x14ac:dyDescent="0.25">
      <c r="A94" s="1" t="str">
        <f>"524411"</f>
        <v>524411</v>
      </c>
      <c r="B94" s="2" t="str">
        <f>"ABRACADEIRA SEM HASTE INOX 304 DIAM.168,28MM"</f>
        <v>ABRACADEIRA SEM HASTE INOX 304 DIAM.168,28MM</v>
      </c>
      <c r="C94" s="2" t="str">
        <f t="shared" si="3"/>
        <v>UN</v>
      </c>
      <c r="D94" s="7">
        <v>402</v>
      </c>
      <c r="E94" s="3">
        <v>4</v>
      </c>
      <c r="F94" s="2">
        <v>6</v>
      </c>
      <c r="G94" t="s">
        <v>515</v>
      </c>
    </row>
    <row r="95" spans="1:7" x14ac:dyDescent="0.25">
      <c r="A95" s="1" t="str">
        <f>"524414"</f>
        <v>524414</v>
      </c>
      <c r="B95" s="2" t="str">
        <f>"ABRACADEIRA SEM HASTE INOX 304 DIAM.33,40MM"</f>
        <v>ABRACADEIRA SEM HASTE INOX 304 DIAM.33,40MM</v>
      </c>
      <c r="C95" s="2" t="str">
        <f t="shared" si="3"/>
        <v>UN</v>
      </c>
      <c r="D95" s="7">
        <v>402</v>
      </c>
      <c r="E95" s="3">
        <v>4</v>
      </c>
      <c r="F95" s="2">
        <v>8</v>
      </c>
      <c r="G95" t="s">
        <v>514</v>
      </c>
    </row>
    <row r="96" spans="1:7" x14ac:dyDescent="0.25">
      <c r="A96" s="1" t="str">
        <f>"524412"</f>
        <v>524412</v>
      </c>
      <c r="B96" s="2" t="str">
        <f>"ABRACADEIRA SEM HASTE INOX 304 DIAM.42,16MM"</f>
        <v>ABRACADEIRA SEM HASTE INOX 304 DIAM.42,16MM</v>
      </c>
      <c r="C96" s="2" t="str">
        <f t="shared" si="3"/>
        <v>UN</v>
      </c>
      <c r="D96" s="7">
        <v>402</v>
      </c>
      <c r="E96" s="3">
        <v>4</v>
      </c>
      <c r="F96" s="2">
        <v>7</v>
      </c>
      <c r="G96" t="s">
        <v>512</v>
      </c>
    </row>
    <row r="97" spans="1:7" x14ac:dyDescent="0.25">
      <c r="A97" s="1" t="str">
        <f>"524415"</f>
        <v>524415</v>
      </c>
      <c r="B97" s="2" t="str">
        <f>"ABRACADEIRA SEM HASTE INOX 304 DIAM.60,33MM"</f>
        <v>ABRACADEIRA SEM HASTE INOX 304 DIAM.60,33MM</v>
      </c>
      <c r="C97" s="2" t="str">
        <f t="shared" si="3"/>
        <v>UN</v>
      </c>
      <c r="D97" s="7">
        <v>402</v>
      </c>
      <c r="E97" s="3">
        <v>4</v>
      </c>
      <c r="F97" s="2">
        <v>6</v>
      </c>
      <c r="G97" t="s">
        <v>513</v>
      </c>
    </row>
    <row r="98" spans="1:7" x14ac:dyDescent="0.25">
      <c r="A98" s="1" t="str">
        <f>"524413"</f>
        <v>524413</v>
      </c>
      <c r="B98" s="2" t="str">
        <f>"ABRACADEIRA SEM HASTE INOX 304 DIAM.88,90MM"</f>
        <v>ABRACADEIRA SEM HASTE INOX 304 DIAM.88,90MM</v>
      </c>
      <c r="C98" s="2" t="str">
        <f t="shared" si="3"/>
        <v>UN</v>
      </c>
      <c r="D98" s="7">
        <v>402</v>
      </c>
      <c r="E98" s="3">
        <v>4</v>
      </c>
      <c r="F98" s="2">
        <v>6</v>
      </c>
      <c r="G98" t="s">
        <v>514</v>
      </c>
    </row>
    <row r="99" spans="1:7" x14ac:dyDescent="0.25">
      <c r="A99" s="1" t="str">
        <f>"516115"</f>
        <v>516115</v>
      </c>
      <c r="B99" s="2" t="str">
        <f>"ABRACADEIRA SUPORTE TUBO 304 1 1/2"""</f>
        <v>ABRACADEIRA SUPORTE TUBO 304 1 1/2"</v>
      </c>
      <c r="C99" s="2" t="str">
        <f t="shared" si="3"/>
        <v>UN</v>
      </c>
      <c r="D99" s="7">
        <v>807</v>
      </c>
      <c r="E99" s="3">
        <v>10</v>
      </c>
      <c r="F99" s="2">
        <v>2</v>
      </c>
      <c r="G99" t="s">
        <v>514</v>
      </c>
    </row>
    <row r="100" spans="1:7" x14ac:dyDescent="0.25">
      <c r="A100" s="1" t="str">
        <f>"504079"</f>
        <v>504079</v>
      </c>
      <c r="B100" s="2" t="str">
        <f>"ABRACADEIRA SUPORTE TUBO 304 1"""</f>
        <v>ABRACADEIRA SUPORTE TUBO 304 1"</v>
      </c>
      <c r="C100" s="2" t="str">
        <f t="shared" si="3"/>
        <v>UN</v>
      </c>
      <c r="D100" s="7">
        <v>402</v>
      </c>
      <c r="E100" s="3">
        <v>4</v>
      </c>
      <c r="F100" s="2">
        <v>1</v>
      </c>
      <c r="G100" t="s">
        <v>512</v>
      </c>
    </row>
    <row r="101" spans="1:7" x14ac:dyDescent="0.25">
      <c r="A101" s="1" t="str">
        <f>"524779"</f>
        <v>524779</v>
      </c>
      <c r="B101" s="2" t="str">
        <f>"ABRACADEIRA SUPORTE TUBO 304 1/2"""</f>
        <v>ABRACADEIRA SUPORTE TUBO 304 1/2"</v>
      </c>
      <c r="C101" s="2" t="str">
        <f t="shared" si="3"/>
        <v>UN</v>
      </c>
      <c r="D101" s="7">
        <v>807</v>
      </c>
      <c r="E101" s="3">
        <v>10</v>
      </c>
      <c r="F101" s="2">
        <v>0</v>
      </c>
      <c r="G101" t="s">
        <v>513</v>
      </c>
    </row>
    <row r="102" spans="1:7" x14ac:dyDescent="0.25">
      <c r="A102" s="1" t="str">
        <f>"509716"</f>
        <v>509716</v>
      </c>
      <c r="B102" s="2" t="str">
        <f>"ABRACADEIRA SUPORTE TUBO 304 2"""</f>
        <v>ABRACADEIRA SUPORTE TUBO 304 2"</v>
      </c>
      <c r="C102" s="2" t="str">
        <f t="shared" si="3"/>
        <v>UN</v>
      </c>
      <c r="D102" s="7">
        <v>915</v>
      </c>
      <c r="E102" s="3">
        <v>11</v>
      </c>
      <c r="F102" s="2">
        <v>0</v>
      </c>
      <c r="G102" t="s">
        <v>514</v>
      </c>
    </row>
    <row r="103" spans="1:7" x14ac:dyDescent="0.25">
      <c r="A103" s="1" t="str">
        <f>"509717"</f>
        <v>509717</v>
      </c>
      <c r="B103" s="2" t="str">
        <f>"ABRACADEIRA SUPORTE TUBO 304 2.1/2"""</f>
        <v>ABRACADEIRA SUPORTE TUBO 304 2.1/2"</v>
      </c>
      <c r="C103" s="2" t="str">
        <f t="shared" si="3"/>
        <v>UN</v>
      </c>
      <c r="D103" s="7">
        <v>915</v>
      </c>
      <c r="E103" s="3">
        <v>11</v>
      </c>
      <c r="F103" s="2">
        <v>0</v>
      </c>
      <c r="G103" t="s">
        <v>514</v>
      </c>
    </row>
    <row r="104" spans="1:7" x14ac:dyDescent="0.25">
      <c r="A104" s="1" t="str">
        <f>"503326"</f>
        <v>503326</v>
      </c>
      <c r="B104" s="2" t="str">
        <f>"ABRACADEIRA SUPORTE TUBO 304 3"""</f>
        <v>ABRACADEIRA SUPORTE TUBO 304 3"</v>
      </c>
      <c r="C104" s="2" t="str">
        <f t="shared" si="3"/>
        <v>UN</v>
      </c>
      <c r="D104" s="7">
        <v>402</v>
      </c>
      <c r="E104" s="3">
        <v>4</v>
      </c>
      <c r="F104" s="2">
        <v>3</v>
      </c>
      <c r="G104" t="s">
        <v>514</v>
      </c>
    </row>
    <row r="105" spans="1:7" x14ac:dyDescent="0.25">
      <c r="A105" s="1" t="str">
        <f>"502233"</f>
        <v>502233</v>
      </c>
      <c r="B105" s="2" t="str">
        <f>"ABRACADEIRA SUPORTE TUBO 304 4"""</f>
        <v>ABRACADEIRA SUPORTE TUBO 304 4"</v>
      </c>
      <c r="C105" s="2" t="str">
        <f t="shared" si="3"/>
        <v>UN</v>
      </c>
      <c r="D105" s="7">
        <v>402</v>
      </c>
      <c r="E105" s="3">
        <v>4</v>
      </c>
      <c r="F105" s="5">
        <v>5</v>
      </c>
      <c r="G105" t="s">
        <v>513</v>
      </c>
    </row>
    <row r="106" spans="1:7" x14ac:dyDescent="0.25">
      <c r="A106" s="1" t="str">
        <f>"523308"</f>
        <v>523308</v>
      </c>
      <c r="B106" s="2" t="str">
        <f>"ABRACADEIRA SUPORTE TUBO C/ LUVA  304 2"""</f>
        <v>ABRACADEIRA SUPORTE TUBO C/ LUVA  304 2"</v>
      </c>
      <c r="C106" s="2" t="str">
        <f t="shared" si="3"/>
        <v>UN</v>
      </c>
      <c r="D106" s="7">
        <v>402</v>
      </c>
      <c r="E106" s="3">
        <v>4</v>
      </c>
      <c r="F106" s="2">
        <v>3</v>
      </c>
      <c r="G106" t="s">
        <v>512</v>
      </c>
    </row>
    <row r="107" spans="1:7" x14ac:dyDescent="0.25">
      <c r="A107" s="1" t="str">
        <f>"523307"</f>
        <v>523307</v>
      </c>
      <c r="B107" s="2" t="str">
        <f>"ABRACADEIRA SUPORTE TUBO C/ LUVA  304 4"""</f>
        <v>ABRACADEIRA SUPORTE TUBO C/ LUVA  304 4"</v>
      </c>
      <c r="C107" s="2" t="str">
        <f t="shared" si="3"/>
        <v>UN</v>
      </c>
      <c r="D107" s="7">
        <v>402</v>
      </c>
      <c r="E107" s="3">
        <v>4</v>
      </c>
      <c r="F107" s="2">
        <v>8</v>
      </c>
      <c r="G107" t="s">
        <v>513</v>
      </c>
    </row>
    <row r="108" spans="1:7" x14ac:dyDescent="0.25">
      <c r="A108" s="1" t="str">
        <f>"523306"</f>
        <v>523306</v>
      </c>
      <c r="B108" s="2" t="str">
        <f>"ABRACADEIRA SUPORTE TUBO C/ LUVA  304 6"""</f>
        <v>ABRACADEIRA SUPORTE TUBO C/ LUVA  304 6"</v>
      </c>
      <c r="C108" s="2" t="str">
        <f t="shared" si="3"/>
        <v>UN</v>
      </c>
      <c r="D108" s="7">
        <v>402</v>
      </c>
      <c r="E108" s="3">
        <v>4</v>
      </c>
      <c r="F108" s="2">
        <v>6</v>
      </c>
      <c r="G108" t="s">
        <v>514</v>
      </c>
    </row>
    <row r="109" spans="1:7" x14ac:dyDescent="0.25">
      <c r="A109" s="1" t="str">
        <f>"517728"</f>
        <v>517728</v>
      </c>
      <c r="B109" s="2" t="str">
        <f>"ABRAÇADEIRA TANQUE 300LTS PLASTICO"</f>
        <v>ABRAÇADEIRA TANQUE 300LTS PLASTICO</v>
      </c>
      <c r="C109" s="2" t="str">
        <f t="shared" si="3"/>
        <v>UN</v>
      </c>
      <c r="D109" s="7">
        <v>704</v>
      </c>
      <c r="E109" s="3">
        <v>16</v>
      </c>
      <c r="F109" s="2">
        <v>4</v>
      </c>
      <c r="G109" t="s">
        <v>514</v>
      </c>
    </row>
    <row r="110" spans="1:7" x14ac:dyDescent="0.25">
      <c r="A110" s="1" t="str">
        <f>"523395"</f>
        <v>523395</v>
      </c>
      <c r="B110" s="2" t="str">
        <f>"ABRAÇADEIRA TC 1 A 1 1/2"" INOX 304"</f>
        <v>ABRAÇADEIRA TC 1 A 1 1/2" INOX 304</v>
      </c>
      <c r="C110" s="2" t="str">
        <f>"BR"</f>
        <v>BR</v>
      </c>
      <c r="D110" s="7">
        <v>807</v>
      </c>
      <c r="E110" s="3">
        <v>10</v>
      </c>
      <c r="F110" s="2">
        <v>1</v>
      </c>
      <c r="G110" t="s">
        <v>514</v>
      </c>
    </row>
    <row r="111" spans="1:7" x14ac:dyDescent="0.25">
      <c r="A111" s="1" t="str">
        <f>"523394"</f>
        <v>523394</v>
      </c>
      <c r="B111" s="2" t="str">
        <f>"ABRAÇADEIRA TC 3"" INOX 304"</f>
        <v>ABRAÇADEIRA TC 3" INOX 304</v>
      </c>
      <c r="C111" s="2" t="str">
        <f>"BR"</f>
        <v>BR</v>
      </c>
      <c r="D111" s="7">
        <v>807</v>
      </c>
      <c r="E111" s="3">
        <v>10</v>
      </c>
      <c r="F111" s="2">
        <v>2</v>
      </c>
      <c r="G111" t="s">
        <v>513</v>
      </c>
    </row>
    <row r="112" spans="1:7" x14ac:dyDescent="0.25">
      <c r="A112" s="1" t="str">
        <f>"523429"</f>
        <v>523429</v>
      </c>
      <c r="B112" s="2" t="str">
        <f>"ABRAÇADEIRA TC 4"" INOX 304"</f>
        <v>ABRAÇADEIRA TC 4" INOX 304</v>
      </c>
      <c r="C112" s="2" t="str">
        <f>"BR"</f>
        <v>BR</v>
      </c>
      <c r="D112" s="7">
        <v>807</v>
      </c>
      <c r="E112" s="3">
        <v>10</v>
      </c>
      <c r="F112" s="2">
        <v>7</v>
      </c>
      <c r="G112" t="s">
        <v>513</v>
      </c>
    </row>
    <row r="113" spans="1:7" x14ac:dyDescent="0.25">
      <c r="A113" s="1" t="str">
        <f>"523225"</f>
        <v>523225</v>
      </c>
      <c r="B113" s="2" t="str">
        <f>"ABRAÇADEIRA TIPO ""D"" 3/4 INOX"</f>
        <v>ABRAÇADEIRA TIPO "D" 3/4 INOX</v>
      </c>
      <c r="C113" s="2" t="str">
        <f>"PC"</f>
        <v>PC</v>
      </c>
      <c r="D113" s="7">
        <v>806</v>
      </c>
      <c r="E113" s="3">
        <v>10</v>
      </c>
      <c r="F113" s="2">
        <v>9</v>
      </c>
      <c r="G113" t="s">
        <v>513</v>
      </c>
    </row>
    <row r="114" spans="1:7" x14ac:dyDescent="0.25">
      <c r="A114" s="1" t="str">
        <f>"509840"</f>
        <v>509840</v>
      </c>
      <c r="B114" s="2" t="str">
        <f>"ABRAÇADEIRA TIPO D 1 1/2"" C/ TRAVA"</f>
        <v>ABRAÇADEIRA TIPO D 1 1/2" C/ TRAVA</v>
      </c>
      <c r="C114" s="2" t="str">
        <f t="shared" ref="C114:C145" si="4">"UN"</f>
        <v>UN</v>
      </c>
      <c r="D114" s="7">
        <v>601</v>
      </c>
      <c r="E114" s="3">
        <v>8</v>
      </c>
      <c r="F114" s="2">
        <v>0</v>
      </c>
      <c r="G114" t="s">
        <v>512</v>
      </c>
    </row>
    <row r="115" spans="1:7" x14ac:dyDescent="0.25">
      <c r="A115" s="1" t="str">
        <f>"506964"</f>
        <v>506964</v>
      </c>
      <c r="B115" s="2" t="str">
        <f>"ABRAÇADEIRA TIPO D 1""     C/ TRAVA GF"</f>
        <v>ABRAÇADEIRA TIPO D 1"     C/ TRAVA GF</v>
      </c>
      <c r="C115" s="2" t="str">
        <f t="shared" si="4"/>
        <v>UN</v>
      </c>
      <c r="D115" s="7">
        <v>917</v>
      </c>
      <c r="E115" s="3">
        <v>11</v>
      </c>
      <c r="F115" s="2">
        <v>0</v>
      </c>
      <c r="G115" t="s">
        <v>513</v>
      </c>
    </row>
    <row r="116" spans="1:7" x14ac:dyDescent="0.25">
      <c r="A116" s="1" t="str">
        <f>"512826"</f>
        <v>512826</v>
      </c>
      <c r="B116" s="2" t="str">
        <f>"ABRACADEIRA TIPO D 1"" C/ FECHO P/ PARAFUSO"</f>
        <v>ABRACADEIRA TIPO D 1" C/ FECHO P/ PARAFUSO</v>
      </c>
      <c r="C116" s="2" t="str">
        <f t="shared" si="4"/>
        <v>UN</v>
      </c>
      <c r="D116" s="7">
        <v>811</v>
      </c>
      <c r="E116" s="3">
        <v>8</v>
      </c>
      <c r="F116" s="2">
        <v>2</v>
      </c>
      <c r="G116" t="s">
        <v>514</v>
      </c>
    </row>
    <row r="117" spans="1:7" x14ac:dyDescent="0.25">
      <c r="A117" s="1" t="str">
        <f>"509459"</f>
        <v>509459</v>
      </c>
      <c r="B117" s="2" t="str">
        <f>"ABRAÇADEIRA TIPO D 1/2""   C/ TRAVA"</f>
        <v>ABRAÇADEIRA TIPO D 1/2"   C/ TRAVA</v>
      </c>
      <c r="C117" s="2" t="str">
        <f t="shared" si="4"/>
        <v>UN</v>
      </c>
      <c r="D117" s="7">
        <v>601</v>
      </c>
      <c r="E117" s="3">
        <v>8</v>
      </c>
      <c r="F117" s="2">
        <v>5</v>
      </c>
      <c r="G117" t="s">
        <v>515</v>
      </c>
    </row>
    <row r="118" spans="1:7" x14ac:dyDescent="0.25">
      <c r="A118" s="1" t="str">
        <f>"509850"</f>
        <v>509850</v>
      </c>
      <c r="B118" s="2" t="str">
        <f>"ABRAÇADEIRA TIPO D 2 1/2"" C/ TRAVA"</f>
        <v>ABRAÇADEIRA TIPO D 2 1/2" C/ TRAVA</v>
      </c>
      <c r="C118" s="2" t="str">
        <f t="shared" si="4"/>
        <v>UN</v>
      </c>
      <c r="D118" s="7">
        <v>601</v>
      </c>
      <c r="E118" s="3">
        <v>8</v>
      </c>
      <c r="F118" s="2">
        <v>6</v>
      </c>
      <c r="G118" t="s">
        <v>512</v>
      </c>
    </row>
    <row r="119" spans="1:7" x14ac:dyDescent="0.25">
      <c r="A119" s="1" t="str">
        <f>"506965"</f>
        <v>506965</v>
      </c>
      <c r="B119" s="2" t="str">
        <f>"ABRAÇADEIRA TIPO D 2""     C/ TRAVA"</f>
        <v>ABRAÇADEIRA TIPO D 2"     C/ TRAVA</v>
      </c>
      <c r="C119" s="2" t="str">
        <f t="shared" si="4"/>
        <v>UN</v>
      </c>
      <c r="D119" s="7">
        <v>917</v>
      </c>
      <c r="E119" s="3">
        <v>11</v>
      </c>
      <c r="F119" s="2">
        <v>9</v>
      </c>
      <c r="G119" t="s">
        <v>516</v>
      </c>
    </row>
    <row r="120" spans="1:7" x14ac:dyDescent="0.25">
      <c r="A120" s="1" t="str">
        <f>"510854"</f>
        <v>510854</v>
      </c>
      <c r="B120" s="2" t="str">
        <f>"ABRAÇADEIRA TIPO D 3""  C/ FECHO PARAFUSO 3"""</f>
        <v>ABRAÇADEIRA TIPO D 3"  C/ FECHO PARAFUSO 3"</v>
      </c>
      <c r="C120" s="2" t="str">
        <f t="shared" si="4"/>
        <v>UN</v>
      </c>
      <c r="D120" s="7">
        <v>601</v>
      </c>
      <c r="E120" s="3">
        <v>8</v>
      </c>
      <c r="F120" s="2">
        <v>5</v>
      </c>
      <c r="G120" t="s">
        <v>515</v>
      </c>
    </row>
    <row r="121" spans="1:7" x14ac:dyDescent="0.25">
      <c r="A121" s="1" t="str">
        <f>"521537"</f>
        <v>521537</v>
      </c>
      <c r="B121" s="2" t="str">
        <f>"ABRAÇADEIRA TIPO D 3/4""   C/ FECHO PARAFUSO"</f>
        <v>ABRAÇADEIRA TIPO D 3/4"   C/ FECHO PARAFUSO</v>
      </c>
      <c r="C121" s="2" t="str">
        <f t="shared" si="4"/>
        <v>UN</v>
      </c>
      <c r="D121" s="7">
        <v>917</v>
      </c>
      <c r="E121" s="3">
        <v>11</v>
      </c>
      <c r="F121" s="2">
        <v>3</v>
      </c>
      <c r="G121" t="s">
        <v>514</v>
      </c>
    </row>
    <row r="122" spans="1:7" x14ac:dyDescent="0.25">
      <c r="A122" s="1" t="str">
        <f>"510286"</f>
        <v>510286</v>
      </c>
      <c r="B122" s="2" t="str">
        <f>"ABRAÇADEIRA TIPO D 3/4""   C/ TRAVA"</f>
        <v>ABRAÇADEIRA TIPO D 3/4"   C/ TRAVA</v>
      </c>
      <c r="C122" s="2" t="str">
        <f t="shared" si="4"/>
        <v>UN</v>
      </c>
      <c r="D122" s="7">
        <v>917</v>
      </c>
      <c r="E122" s="3">
        <v>11</v>
      </c>
      <c r="F122" s="2">
        <v>3</v>
      </c>
      <c r="G122" t="s">
        <v>512</v>
      </c>
    </row>
    <row r="123" spans="1:7" x14ac:dyDescent="0.25">
      <c r="A123" s="1" t="str">
        <f>"510395"</f>
        <v>510395</v>
      </c>
      <c r="B123" s="2" t="str">
        <f>"ABRAÇADEIRA TIPO D 4""     C/ TRAVA"</f>
        <v>ABRAÇADEIRA TIPO D 4"     C/ TRAVA</v>
      </c>
      <c r="C123" s="2" t="str">
        <f t="shared" si="4"/>
        <v>UN</v>
      </c>
      <c r="D123" s="7">
        <v>601</v>
      </c>
      <c r="E123" s="3">
        <v>8</v>
      </c>
      <c r="F123" s="2">
        <v>2</v>
      </c>
      <c r="G123" t="s">
        <v>513</v>
      </c>
    </row>
    <row r="124" spans="1:7" x14ac:dyDescent="0.25">
      <c r="A124" s="1" t="str">
        <f>"527584"</f>
        <v>527584</v>
      </c>
      <c r="B124" s="2" t="str">
        <f>"ABRAÇADEIRA TIPO U 1.1/2"</f>
        <v>ABRAÇADEIRA TIPO U 1.1/2</v>
      </c>
      <c r="C124" s="2" t="str">
        <f t="shared" si="4"/>
        <v>UN</v>
      </c>
      <c r="D124" s="7">
        <v>601</v>
      </c>
      <c r="E124" s="3">
        <v>8</v>
      </c>
      <c r="F124" s="2">
        <v>1</v>
      </c>
      <c r="G124" t="s">
        <v>514</v>
      </c>
    </row>
    <row r="125" spans="1:7" x14ac:dyDescent="0.25">
      <c r="A125" s="1" t="str">
        <f>"524311"</f>
        <v>524311</v>
      </c>
      <c r="B125" s="2" t="str">
        <f>"ABRAÇADEIRA TIPO U 1/2"""</f>
        <v>ABRAÇADEIRA TIPO U 1/2"</v>
      </c>
      <c r="C125" s="2" t="str">
        <f t="shared" si="4"/>
        <v>UN</v>
      </c>
      <c r="D125" s="7">
        <v>601</v>
      </c>
      <c r="E125" s="3">
        <v>8</v>
      </c>
      <c r="F125" s="2">
        <v>4</v>
      </c>
      <c r="G125" t="s">
        <v>514</v>
      </c>
    </row>
    <row r="126" spans="1:7" x14ac:dyDescent="0.25">
      <c r="A126" s="1" t="str">
        <f>"527589"</f>
        <v>527589</v>
      </c>
      <c r="B126" s="2" t="str">
        <f>"ABRAÇADEIRA TIPO U 3/4"""</f>
        <v>ABRAÇADEIRA TIPO U 3/4"</v>
      </c>
      <c r="C126" s="2" t="str">
        <f t="shared" si="4"/>
        <v>UN</v>
      </c>
      <c r="D126" s="7">
        <v>601</v>
      </c>
      <c r="E126" s="3">
        <v>8</v>
      </c>
      <c r="F126" s="2">
        <v>1</v>
      </c>
      <c r="G126" t="s">
        <v>512</v>
      </c>
    </row>
    <row r="127" spans="1:7" x14ac:dyDescent="0.25">
      <c r="A127" s="1" t="str">
        <f>"521763"</f>
        <v>521763</v>
      </c>
      <c r="B127" s="2" t="str">
        <f>"ABRACADEIRA U 1""X5/16"" GF"</f>
        <v>ABRACADEIRA U 1"X5/16" GF</v>
      </c>
      <c r="C127" s="2" t="str">
        <f t="shared" si="4"/>
        <v>UN</v>
      </c>
      <c r="D127" s="7">
        <v>918</v>
      </c>
      <c r="E127" s="3">
        <v>10</v>
      </c>
      <c r="F127" s="2">
        <v>2</v>
      </c>
      <c r="G127" t="s">
        <v>513</v>
      </c>
    </row>
    <row r="128" spans="1:7" x14ac:dyDescent="0.25">
      <c r="A128" s="1" t="str">
        <f>"520713"</f>
        <v>520713</v>
      </c>
      <c r="B128" s="2" t="str">
        <f>"ABRACADEIRA U 4 PRENSAL/SIMILAR"</f>
        <v>ABRACADEIRA U 4 PRENSAL/SIMILAR</v>
      </c>
      <c r="C128" s="2" t="str">
        <f t="shared" si="4"/>
        <v>UN</v>
      </c>
      <c r="D128" s="7">
        <v>918</v>
      </c>
      <c r="E128" s="3">
        <v>10</v>
      </c>
      <c r="F128" s="2">
        <v>7</v>
      </c>
      <c r="G128" t="s">
        <v>514</v>
      </c>
    </row>
    <row r="129" spans="1:7" x14ac:dyDescent="0.25">
      <c r="A129" s="1" t="str">
        <f>"507657"</f>
        <v>507657</v>
      </c>
      <c r="B129" s="2" t="str">
        <f>"ABRACADEIRA ZN AMARELA 09X13MM"</f>
        <v>ABRACADEIRA ZN AMARELA 09X13MM</v>
      </c>
      <c r="C129" s="2" t="str">
        <f t="shared" si="4"/>
        <v>UN</v>
      </c>
      <c r="D129" s="7">
        <v>805</v>
      </c>
      <c r="E129" s="3">
        <v>10</v>
      </c>
      <c r="F129" s="2">
        <v>9</v>
      </c>
      <c r="G129" t="s">
        <v>514</v>
      </c>
    </row>
    <row r="130" spans="1:7" x14ac:dyDescent="0.25">
      <c r="A130" s="1" t="str">
        <f>"507479"</f>
        <v>507479</v>
      </c>
      <c r="B130" s="2" t="str">
        <f>"ABRACADEIRA ZN AMARELA 12X16MM"</f>
        <v>ABRACADEIRA ZN AMARELA 12X16MM</v>
      </c>
      <c r="C130" s="2" t="str">
        <f t="shared" si="4"/>
        <v>UN</v>
      </c>
      <c r="D130" s="7">
        <v>99999</v>
      </c>
      <c r="E130" s="3">
        <v>10</v>
      </c>
      <c r="F130" s="2">
        <v>0</v>
      </c>
      <c r="G130" t="s">
        <v>514</v>
      </c>
    </row>
    <row r="131" spans="1:7" x14ac:dyDescent="0.25">
      <c r="A131" s="1" t="str">
        <f>"507658"</f>
        <v>507658</v>
      </c>
      <c r="B131" s="2" t="str">
        <f>"ABRACADEIRA ZN AMARELA 14X22MM"</f>
        <v>ABRACADEIRA ZN AMARELA 14X22MM</v>
      </c>
      <c r="C131" s="2" t="str">
        <f t="shared" si="4"/>
        <v>UN</v>
      </c>
      <c r="D131" s="7">
        <v>99999</v>
      </c>
      <c r="E131" s="3">
        <v>10</v>
      </c>
      <c r="F131" s="2">
        <v>0</v>
      </c>
      <c r="G131" t="s">
        <v>513</v>
      </c>
    </row>
    <row r="132" spans="1:7" x14ac:dyDescent="0.25">
      <c r="A132" s="1" t="str">
        <f>"504301"</f>
        <v>504301</v>
      </c>
      <c r="B132" s="2" t="str">
        <f>"ABRACADEIRA ZN AMARELA 19X27MM"</f>
        <v>ABRACADEIRA ZN AMARELA 19X27MM</v>
      </c>
      <c r="C132" s="2" t="str">
        <f t="shared" si="4"/>
        <v>UN</v>
      </c>
      <c r="D132" s="7">
        <v>402</v>
      </c>
      <c r="E132" s="3">
        <v>4</v>
      </c>
      <c r="F132" s="2">
        <v>4</v>
      </c>
      <c r="G132" t="s">
        <v>512</v>
      </c>
    </row>
    <row r="133" spans="1:7" x14ac:dyDescent="0.25">
      <c r="A133" s="1" t="str">
        <f>"507478"</f>
        <v>507478</v>
      </c>
      <c r="B133" s="2" t="str">
        <f>"ABRACADEIRA ZN AMARELA 22X32MM"</f>
        <v>ABRACADEIRA ZN AMARELA 22X32MM</v>
      </c>
      <c r="C133" s="2" t="str">
        <f t="shared" si="4"/>
        <v>UN</v>
      </c>
      <c r="D133" s="7">
        <v>99999</v>
      </c>
      <c r="E133" s="3">
        <v>10</v>
      </c>
      <c r="F133" s="2">
        <v>1</v>
      </c>
      <c r="G133" t="s">
        <v>513</v>
      </c>
    </row>
    <row r="134" spans="1:7" x14ac:dyDescent="0.25">
      <c r="A134" s="1" t="str">
        <f>"517369"</f>
        <v>517369</v>
      </c>
      <c r="B134" s="2" t="str">
        <f>"ABRACADEIRA ZN AMARELA 25X38MM"</f>
        <v>ABRACADEIRA ZN AMARELA 25X38MM</v>
      </c>
      <c r="C134" s="2" t="str">
        <f t="shared" si="4"/>
        <v>UN</v>
      </c>
      <c r="D134" s="7">
        <v>912</v>
      </c>
      <c r="E134" s="3">
        <v>4</v>
      </c>
      <c r="F134" s="2">
        <v>2</v>
      </c>
      <c r="G134" t="s">
        <v>514</v>
      </c>
    </row>
    <row r="135" spans="1:7" x14ac:dyDescent="0.25">
      <c r="A135" s="1" t="str">
        <f>"511695"</f>
        <v>511695</v>
      </c>
      <c r="B135" s="2" t="str">
        <f>"ABRACADEIRA ZN AMARELA 32X44MM"</f>
        <v>ABRACADEIRA ZN AMARELA 32X44MM</v>
      </c>
      <c r="C135" s="2" t="str">
        <f t="shared" si="4"/>
        <v>UN</v>
      </c>
      <c r="D135" s="7">
        <v>805</v>
      </c>
      <c r="E135" s="3">
        <v>10</v>
      </c>
      <c r="F135" s="2">
        <v>7</v>
      </c>
      <c r="G135" t="s">
        <v>514</v>
      </c>
    </row>
    <row r="136" spans="1:7" x14ac:dyDescent="0.25">
      <c r="A136" s="1" t="str">
        <f>"511694"</f>
        <v>511694</v>
      </c>
      <c r="B136" s="2" t="str">
        <f>"ABRACADEIRA ZN AMARELA 38X51MM"</f>
        <v>ABRACADEIRA ZN AMARELA 38X51MM</v>
      </c>
      <c r="C136" s="2" t="str">
        <f t="shared" si="4"/>
        <v>UN</v>
      </c>
      <c r="D136" s="7">
        <v>805</v>
      </c>
      <c r="E136" s="3">
        <v>10</v>
      </c>
      <c r="F136" s="2">
        <v>9</v>
      </c>
      <c r="G136" t="s">
        <v>514</v>
      </c>
    </row>
    <row r="137" spans="1:7" x14ac:dyDescent="0.25">
      <c r="A137" s="1" t="str">
        <f>"508970"</f>
        <v>508970</v>
      </c>
      <c r="B137" s="2" t="str">
        <f>"ABRACADEIRA ZN AMARELA 51X64MM"</f>
        <v>ABRACADEIRA ZN AMARELA 51X64MM</v>
      </c>
      <c r="C137" s="2" t="str">
        <f t="shared" si="4"/>
        <v>UN</v>
      </c>
      <c r="D137" s="7">
        <v>805</v>
      </c>
      <c r="E137" s="3">
        <v>10</v>
      </c>
      <c r="F137" s="5">
        <v>5</v>
      </c>
      <c r="G137" t="s">
        <v>513</v>
      </c>
    </row>
    <row r="138" spans="1:7" x14ac:dyDescent="0.25">
      <c r="A138" s="1" t="str">
        <f>"508831"</f>
        <v>508831</v>
      </c>
      <c r="B138" s="2" t="str">
        <f>"ABRACADEIRA ZN AMARELA 57X76MM"</f>
        <v>ABRACADEIRA ZN AMARELA 57X76MM</v>
      </c>
      <c r="C138" s="2" t="str">
        <f t="shared" si="4"/>
        <v>UN</v>
      </c>
      <c r="D138" s="7">
        <v>805</v>
      </c>
      <c r="E138" s="3">
        <v>10</v>
      </c>
      <c r="F138" s="2">
        <v>3</v>
      </c>
      <c r="G138" t="s">
        <v>513</v>
      </c>
    </row>
    <row r="139" spans="1:7" x14ac:dyDescent="0.25">
      <c r="A139" s="1" t="str">
        <f>"520166"</f>
        <v>520166</v>
      </c>
      <c r="B139" s="2" t="str">
        <f>"ABRACADEIRA ZN AMARELA 70X89MM"</f>
        <v>ABRACADEIRA ZN AMARELA 70X89MM</v>
      </c>
      <c r="C139" s="2" t="str">
        <f t="shared" si="4"/>
        <v>UN</v>
      </c>
      <c r="D139" s="7">
        <v>805</v>
      </c>
      <c r="E139" s="3">
        <v>10</v>
      </c>
      <c r="F139" s="2">
        <v>8</v>
      </c>
      <c r="G139" t="s">
        <v>513</v>
      </c>
    </row>
    <row r="140" spans="1:7" x14ac:dyDescent="0.25">
      <c r="A140" s="1" t="str">
        <f>"520167"</f>
        <v>520167</v>
      </c>
      <c r="B140" s="2" t="str">
        <f>"ABRACADEIRA ZN AMARELA 89X108MM"</f>
        <v>ABRACADEIRA ZN AMARELA 89X108MM</v>
      </c>
      <c r="C140" s="2" t="str">
        <f t="shared" si="4"/>
        <v>UN</v>
      </c>
      <c r="D140" s="7">
        <v>805</v>
      </c>
      <c r="E140" s="3">
        <v>10</v>
      </c>
      <c r="F140" s="2">
        <v>6</v>
      </c>
      <c r="G140" t="s">
        <v>512</v>
      </c>
    </row>
    <row r="141" spans="1:7" x14ac:dyDescent="0.25">
      <c r="A141" s="1" t="str">
        <f>"518174"</f>
        <v>518174</v>
      </c>
      <c r="B141" s="2" t="str">
        <f>"ABRIDOR COMBINADO"</f>
        <v>ABRIDOR COMBINADO</v>
      </c>
      <c r="C141" s="2" t="str">
        <f t="shared" si="4"/>
        <v>UN</v>
      </c>
      <c r="D141" s="7">
        <v>812</v>
      </c>
      <c r="E141" s="3">
        <v>4</v>
      </c>
      <c r="F141" s="2">
        <v>4</v>
      </c>
      <c r="G141" t="s">
        <v>513</v>
      </c>
    </row>
    <row r="142" spans="1:7" x14ac:dyDescent="0.25">
      <c r="A142" s="1" t="str">
        <f>"524122"</f>
        <v>524122</v>
      </c>
      <c r="B142" s="2" t="str">
        <f>"ABRIDOR GARRAFA PERSONALIZADO KPZ10"</f>
        <v>ABRIDOR GARRAFA PERSONALIZADO KPZ10</v>
      </c>
      <c r="C142" s="2" t="str">
        <f t="shared" si="4"/>
        <v>UN</v>
      </c>
      <c r="D142" s="7">
        <v>99999</v>
      </c>
      <c r="E142" s="3">
        <v>99</v>
      </c>
      <c r="F142" s="2">
        <v>1</v>
      </c>
      <c r="G142" t="s">
        <v>514</v>
      </c>
    </row>
    <row r="143" spans="1:7" x14ac:dyDescent="0.25">
      <c r="A143" s="1" t="str">
        <f>"527047"</f>
        <v>527047</v>
      </c>
      <c r="B143" s="2" t="str">
        <f>"ABRIGO DE DOCA (DOCK SHELTER) 3400X3500 COR PRETO"</f>
        <v>ABRIGO DE DOCA (DOCK SHELTER) 3400X3500 COR PRETO</v>
      </c>
      <c r="C143" s="2" t="str">
        <f t="shared" si="4"/>
        <v>UN</v>
      </c>
      <c r="D143" s="7">
        <v>917</v>
      </c>
      <c r="E143" s="3">
        <v>10</v>
      </c>
      <c r="F143" s="2">
        <v>2</v>
      </c>
      <c r="G143" t="s">
        <v>515</v>
      </c>
    </row>
    <row r="144" spans="1:7" x14ac:dyDescent="0.25">
      <c r="A144" s="1" t="str">
        <f>"520917"</f>
        <v>520917</v>
      </c>
      <c r="B144" s="2" t="str">
        <f>"ABRIGO DE DOCA 3400 X 3500 COR PRETO"</f>
        <v>ABRIGO DE DOCA 3400 X 3500 COR PRETO</v>
      </c>
      <c r="C144" s="2" t="str">
        <f t="shared" si="4"/>
        <v>UN</v>
      </c>
      <c r="D144" s="7">
        <v>914</v>
      </c>
      <c r="E144" s="3">
        <v>10</v>
      </c>
      <c r="F144" s="2">
        <v>7</v>
      </c>
      <c r="G144" t="s">
        <v>512</v>
      </c>
    </row>
    <row r="145" spans="1:7" x14ac:dyDescent="0.25">
      <c r="A145" s="1" t="str">
        <f>"524804"</f>
        <v>524804</v>
      </c>
      <c r="B145" s="8" t="s">
        <v>419</v>
      </c>
      <c r="C145" s="2" t="str">
        <f t="shared" si="4"/>
        <v>UN</v>
      </c>
      <c r="D145" s="7">
        <v>501</v>
      </c>
      <c r="E145" s="3">
        <v>10</v>
      </c>
      <c r="F145" s="2">
        <v>9</v>
      </c>
      <c r="G145" t="s">
        <v>516</v>
      </c>
    </row>
    <row r="146" spans="1:7" x14ac:dyDescent="0.25">
      <c r="A146" s="1" t="str">
        <f>"4112"</f>
        <v>4112</v>
      </c>
      <c r="B146" s="2" t="str">
        <f>"ABRILHANTADOR DE INOX MUND LGL - BB 50"</f>
        <v>ABRILHANTADOR DE INOX MUND LGL - BB 50</v>
      </c>
      <c r="C146" s="2" t="str">
        <f>"KG"</f>
        <v>KG</v>
      </c>
      <c r="D146" s="7">
        <v>400</v>
      </c>
      <c r="E146" s="3">
        <v>4</v>
      </c>
      <c r="F146" s="2">
        <v>0</v>
      </c>
      <c r="G146" t="s">
        <v>515</v>
      </c>
    </row>
    <row r="147" spans="1:7" x14ac:dyDescent="0.25">
      <c r="A147" s="1" t="str">
        <f>"573820"</f>
        <v>573820</v>
      </c>
      <c r="B147" s="2" t="str">
        <f>"ABSORVENTE  - PACOTE COM 10 UNIDADES"</f>
        <v>ABSORVENTE  - PACOTE COM 10 UNIDADES</v>
      </c>
      <c r="C147" s="2" t="str">
        <f>"UN"</f>
        <v>UN</v>
      </c>
      <c r="D147" s="7">
        <v>406</v>
      </c>
      <c r="E147" s="3">
        <v>4</v>
      </c>
      <c r="F147" s="2">
        <v>0</v>
      </c>
      <c r="G147" t="s">
        <v>514</v>
      </c>
    </row>
    <row r="148" spans="1:7" x14ac:dyDescent="0.25">
      <c r="A148" s="1" t="str">
        <f>"522947"</f>
        <v>522947</v>
      </c>
      <c r="B148" s="2" t="str">
        <f>"ABV40Si2 1""1/2 150#RF PR BVAX083S/10 SOL3/2 MFL - VALV. ESF."</f>
        <v>ABV40Si2 1"1/2 150#RF PR BVAX083S/10 SOL3/2 MFL - VALV. ESF.</v>
      </c>
      <c r="C148" s="2" t="str">
        <f>"UN"</f>
        <v>UN</v>
      </c>
      <c r="D148" s="7">
        <v>912</v>
      </c>
      <c r="E148" s="3">
        <v>10</v>
      </c>
      <c r="F148" s="2">
        <v>2</v>
      </c>
      <c r="G148" t="s">
        <v>512</v>
      </c>
    </row>
    <row r="149" spans="1:7" x14ac:dyDescent="0.25">
      <c r="A149" s="1" t="str">
        <f>"522946"</f>
        <v>522946</v>
      </c>
      <c r="B149" s="2" t="str">
        <f>"ABV40Si2 2"" 150#RF BVAX092S/10 SOL3/2 MFL - VALV. ESF.DESC."</f>
        <v>ABV40Si2 2" 150#RF BVAX092S/10 SOL3/2 MFL - VALV. ESF.DESC.</v>
      </c>
      <c r="C149" s="2" t="str">
        <f>"UN"</f>
        <v>UN</v>
      </c>
      <c r="D149" s="7">
        <v>912</v>
      </c>
      <c r="E149" s="3">
        <v>10</v>
      </c>
      <c r="F149" s="2">
        <v>5</v>
      </c>
      <c r="G149" t="s">
        <v>513</v>
      </c>
    </row>
    <row r="150" spans="1:7" x14ac:dyDescent="0.25">
      <c r="A150" s="1" t="str">
        <f>"196"</f>
        <v>196</v>
      </c>
      <c r="B150" s="2" t="str">
        <f>"AC 101 BB 50L- (75KG) - CÓD.52346 (ECOLAB)"</f>
        <v>AC 101 BB 50L- (75KG) - CÓD.52346 (ECOLAB)</v>
      </c>
      <c r="C150" s="2" t="str">
        <f>"KG"</f>
        <v>KG</v>
      </c>
      <c r="D150" s="7">
        <v>400</v>
      </c>
      <c r="E150" s="3">
        <v>4</v>
      </c>
      <c r="F150" s="2">
        <v>6</v>
      </c>
      <c r="G150" t="s">
        <v>514</v>
      </c>
    </row>
    <row r="151" spans="1:7" x14ac:dyDescent="0.25">
      <c r="A151" s="1" t="str">
        <f>"178"</f>
        <v>178</v>
      </c>
      <c r="B151" s="2" t="str">
        <f>"AC 101 CARRO TANQUE - CÓD.52310 (ECOLAB)D-1.4444"</f>
        <v>AC 101 CARRO TANQUE - CÓD.52310 (ECOLAB)D-1.4444</v>
      </c>
      <c r="C151" s="2" t="str">
        <f>"KG"</f>
        <v>KG</v>
      </c>
      <c r="D151" s="7">
        <v>400</v>
      </c>
      <c r="E151" s="3">
        <v>4</v>
      </c>
      <c r="F151" s="2">
        <v>9</v>
      </c>
      <c r="G151" t="s">
        <v>514</v>
      </c>
    </row>
    <row r="152" spans="1:7" x14ac:dyDescent="0.25">
      <c r="A152" s="1" t="str">
        <f>"517591"</f>
        <v>517591</v>
      </c>
      <c r="B152" s="2" t="str">
        <f>"ACABADORA SUPERFICIE 36"" GAS-WACKER CT-36"</f>
        <v>ACABADORA SUPERFICIE 36" GAS-WACKER CT-36</v>
      </c>
      <c r="C152" s="2" t="str">
        <f>"UN"</f>
        <v>UN</v>
      </c>
      <c r="D152" s="7">
        <v>918</v>
      </c>
      <c r="E152" s="3">
        <v>11</v>
      </c>
      <c r="F152" s="2">
        <v>5</v>
      </c>
      <c r="G152" t="s">
        <v>512</v>
      </c>
    </row>
    <row r="153" spans="1:7" x14ac:dyDescent="0.25">
      <c r="A153" s="1" t="str">
        <f>"514410"</f>
        <v>514410</v>
      </c>
      <c r="B153" s="2" t="str">
        <f>"ACABAMENTO"</f>
        <v>ACABAMENTO</v>
      </c>
      <c r="C153" s="2" t="str">
        <f>"UN"</f>
        <v>UN</v>
      </c>
      <c r="D153" s="7">
        <v>803</v>
      </c>
      <c r="E153" s="3">
        <v>4</v>
      </c>
      <c r="F153" s="2">
        <v>3</v>
      </c>
      <c r="G153" t="s">
        <v>513</v>
      </c>
    </row>
    <row r="154" spans="1:7" x14ac:dyDescent="0.25">
      <c r="A154" s="1" t="str">
        <f>"518556"</f>
        <v>518556</v>
      </c>
      <c r="B154" s="2" t="str">
        <f>"ACABAMENTO 4900 C35 3/4 DECA"</f>
        <v>ACABAMENTO 4900 C35 3/4 DECA</v>
      </c>
      <c r="C154" s="2" t="str">
        <f>"UN"</f>
        <v>UN</v>
      </c>
      <c r="D154" s="7">
        <v>803</v>
      </c>
      <c r="E154" s="3">
        <v>4</v>
      </c>
      <c r="F154" s="2">
        <v>3</v>
      </c>
      <c r="G154" t="s">
        <v>514</v>
      </c>
    </row>
    <row r="155" spans="1:7" x14ac:dyDescent="0.25">
      <c r="A155" s="1" t="str">
        <f>"518555"</f>
        <v>518555</v>
      </c>
      <c r="B155" s="2" t="str">
        <f>"ACABAMENTO HIDRAMAX COR"</f>
        <v>ACABAMENTO HIDRAMAX COR</v>
      </c>
      <c r="C155" s="2" t="str">
        <f>"UN"</f>
        <v>UN</v>
      </c>
      <c r="D155" s="7">
        <v>803</v>
      </c>
      <c r="E155" s="3">
        <v>4</v>
      </c>
      <c r="F155" s="2">
        <v>2</v>
      </c>
      <c r="G155" t="s">
        <v>514</v>
      </c>
    </row>
    <row r="156" spans="1:7" x14ac:dyDescent="0.25">
      <c r="A156" s="1" t="str">
        <f>"512971"</f>
        <v>512971</v>
      </c>
      <c r="B156" s="2" t="str">
        <f>"ACABAMENTO VALVULA HIDRA"</f>
        <v>ACABAMENTO VALVULA HIDRA</v>
      </c>
      <c r="C156" s="2" t="str">
        <f>"UN"</f>
        <v>UN</v>
      </c>
      <c r="D156" s="7">
        <v>803</v>
      </c>
      <c r="E156" s="3">
        <v>4</v>
      </c>
      <c r="F156" s="2">
        <v>1</v>
      </c>
      <c r="G156" t="s">
        <v>514</v>
      </c>
    </row>
    <row r="157" spans="1:7" x14ac:dyDescent="0.25">
      <c r="A157" s="1" t="str">
        <f>"523097"</f>
        <v>523097</v>
      </c>
      <c r="B157" s="2" t="str">
        <f>"ACCEPTOR GAMMA 7.1 (GENÉTICA)"</f>
        <v>ACCEPTOR GAMMA 7.1 (GENÉTICA)</v>
      </c>
      <c r="C157" s="2" t="str">
        <f>"LT"</f>
        <v>LT</v>
      </c>
      <c r="D157" s="7">
        <v>400</v>
      </c>
      <c r="E157" s="3">
        <v>10</v>
      </c>
      <c r="F157" s="2">
        <v>4</v>
      </c>
      <c r="G157" t="s">
        <v>513</v>
      </c>
    </row>
    <row r="158" spans="1:7" x14ac:dyDescent="0.25">
      <c r="A158" s="1" t="str">
        <f>"573834"</f>
        <v>573834</v>
      </c>
      <c r="B158" s="2" t="str">
        <f>"ACCEPTOR GAMMA 700 I - (BOMB 25KG) CÓD.12488 (GENÉTICA)"</f>
        <v>ACCEPTOR GAMMA 700 I - (BOMB 25KG) CÓD.12488 (GENÉTICA)</v>
      </c>
      <c r="C158" s="2" t="str">
        <f>"KG"</f>
        <v>KG</v>
      </c>
      <c r="D158" s="7">
        <v>400</v>
      </c>
      <c r="E158" s="3">
        <v>10</v>
      </c>
      <c r="F158" s="2">
        <v>6</v>
      </c>
      <c r="G158" t="s">
        <v>512</v>
      </c>
    </row>
    <row r="159" spans="1:7" x14ac:dyDescent="0.25">
      <c r="A159" s="1" t="str">
        <f>"524840"</f>
        <v>524840</v>
      </c>
      <c r="B159" s="2" t="str">
        <f>"ACCEPTOR GAMMA 7000i Up (GENÉTICA)"</f>
        <v>ACCEPTOR GAMMA 7000i Up (GENÉTICA)</v>
      </c>
      <c r="C159" s="2" t="str">
        <f>"LT"</f>
        <v>LT</v>
      </c>
      <c r="D159" s="7">
        <v>400</v>
      </c>
      <c r="E159" s="3">
        <v>10</v>
      </c>
      <c r="F159" s="2">
        <v>8</v>
      </c>
      <c r="G159" t="s">
        <v>513</v>
      </c>
    </row>
    <row r="160" spans="1:7" x14ac:dyDescent="0.25">
      <c r="A160" s="1" t="str">
        <f>"573817"</f>
        <v>573817</v>
      </c>
      <c r="B160" s="2" t="str">
        <f>"ACCEPTOR GAMMA 70i (GENÉTICA)"</f>
        <v>ACCEPTOR GAMMA 70i (GENÉTICA)</v>
      </c>
      <c r="C160" s="2" t="str">
        <f>"LT"</f>
        <v>LT</v>
      </c>
      <c r="D160" s="7">
        <v>400</v>
      </c>
      <c r="E160" s="3">
        <v>10</v>
      </c>
      <c r="F160" s="2">
        <v>7</v>
      </c>
      <c r="G160" t="s">
        <v>514</v>
      </c>
    </row>
    <row r="161" spans="1:7" x14ac:dyDescent="0.25">
      <c r="A161" s="1" t="str">
        <f>"518242"</f>
        <v>518242</v>
      </c>
      <c r="B161" s="2" t="str">
        <f>"ACCU-CHEK ACTIVE APAR. + 10 TIRAS (APARELHO MEDIR DIABETES)"</f>
        <v>ACCU-CHEK ACTIVE APAR. + 10 TIRAS (APARELHO MEDIR DIABETES)</v>
      </c>
      <c r="C161" s="2" t="str">
        <f t="shared" ref="C161:C180" si="5">"UN"</f>
        <v>UN</v>
      </c>
      <c r="D161" s="7">
        <v>401</v>
      </c>
      <c r="E161" s="3">
        <v>4</v>
      </c>
      <c r="F161" s="2">
        <v>6</v>
      </c>
      <c r="G161" t="s">
        <v>514</v>
      </c>
    </row>
    <row r="162" spans="1:7" x14ac:dyDescent="0.25">
      <c r="A162" s="1" t="str">
        <f>"518241"</f>
        <v>518241</v>
      </c>
      <c r="B162" s="2" t="str">
        <f>"ACCU-CHEK ACTIVE C/ 50 TIRAS"</f>
        <v>ACCU-CHEK ACTIVE C/ 50 TIRAS</v>
      </c>
      <c r="C162" s="2" t="str">
        <f t="shared" si="5"/>
        <v>UN</v>
      </c>
      <c r="D162" s="7">
        <v>501</v>
      </c>
      <c r="E162" s="3">
        <v>4</v>
      </c>
      <c r="F162" s="2">
        <v>6</v>
      </c>
      <c r="G162" t="s">
        <v>514</v>
      </c>
    </row>
    <row r="163" spans="1:7" x14ac:dyDescent="0.25">
      <c r="A163" s="1" t="str">
        <f>"518193"</f>
        <v>518193</v>
      </c>
      <c r="B163" s="2" t="str">
        <f>"ACECLOFENACO 100MG CX 24 COMPRIMIDOS"</f>
        <v>ACECLOFENACO 100MG CX 24 COMPRIMIDOS</v>
      </c>
      <c r="C163" s="2" t="str">
        <f t="shared" si="5"/>
        <v>UN</v>
      </c>
      <c r="D163" s="7">
        <v>406</v>
      </c>
      <c r="E163" s="3">
        <v>4</v>
      </c>
      <c r="F163" s="2">
        <v>2</v>
      </c>
      <c r="G163" t="s">
        <v>513</v>
      </c>
    </row>
    <row r="164" spans="1:7" x14ac:dyDescent="0.25">
      <c r="A164" s="1" t="str">
        <f>"504897"</f>
        <v>504897</v>
      </c>
      <c r="B164" s="2" t="str">
        <f>"ACELERADOR (EMPILHADEIRA)"</f>
        <v>ACELERADOR (EMPILHADEIRA)</v>
      </c>
      <c r="C164" s="2" t="str">
        <f t="shared" si="5"/>
        <v>UN</v>
      </c>
      <c r="D164" s="7">
        <v>918</v>
      </c>
      <c r="E164" s="3">
        <v>11</v>
      </c>
      <c r="F164" s="2">
        <v>1</v>
      </c>
      <c r="G164" t="s">
        <v>513</v>
      </c>
    </row>
    <row r="165" spans="1:7" x14ac:dyDescent="0.25">
      <c r="A165" s="1" t="str">
        <f>"509860"</f>
        <v>509860</v>
      </c>
      <c r="B165" s="2" t="str">
        <f>"ACENDEDOR FOGÃO"</f>
        <v>ACENDEDOR FOGÃO</v>
      </c>
      <c r="C165" s="2" t="str">
        <f t="shared" si="5"/>
        <v>UN</v>
      </c>
      <c r="D165" s="7">
        <v>402</v>
      </c>
      <c r="E165" s="3">
        <v>4</v>
      </c>
      <c r="F165" s="2">
        <v>0</v>
      </c>
      <c r="G165" t="s">
        <v>513</v>
      </c>
    </row>
    <row r="166" spans="1:7" x14ac:dyDescent="0.25">
      <c r="A166" s="1" t="str">
        <f>"509306"</f>
        <v>509306</v>
      </c>
      <c r="B166" s="2" t="str">
        <f>"ACENTO P/ PRIVADA OVAL"</f>
        <v>ACENTO P/ PRIVADA OVAL</v>
      </c>
      <c r="C166" s="2" t="str">
        <f t="shared" si="5"/>
        <v>UN</v>
      </c>
      <c r="D166" s="7">
        <v>403</v>
      </c>
      <c r="E166" s="3">
        <v>4</v>
      </c>
      <c r="F166" s="2">
        <v>0</v>
      </c>
      <c r="G166" t="s">
        <v>512</v>
      </c>
    </row>
    <row r="167" spans="1:7" x14ac:dyDescent="0.25">
      <c r="A167" s="1" t="str">
        <f>"514460"</f>
        <v>514460</v>
      </c>
      <c r="B167" s="2" t="str">
        <f>"ACESSORIO"</f>
        <v>ACESSORIO</v>
      </c>
      <c r="C167" s="2" t="str">
        <f t="shared" si="5"/>
        <v>UN</v>
      </c>
      <c r="D167" s="7">
        <v>401</v>
      </c>
      <c r="E167" s="3">
        <v>4</v>
      </c>
      <c r="F167" s="2">
        <v>0</v>
      </c>
      <c r="G167" t="s">
        <v>513</v>
      </c>
    </row>
    <row r="168" spans="1:7" x14ac:dyDescent="0.25">
      <c r="A168" s="1" t="str">
        <f>"512556"</f>
        <v>512556</v>
      </c>
      <c r="B168" s="2" t="str">
        <f>"ACESSORIO APOIO CAIXA FERRAMENTA"</f>
        <v>ACESSORIO APOIO CAIXA FERRAMENTA</v>
      </c>
      <c r="C168" s="2" t="str">
        <f t="shared" si="5"/>
        <v>UN</v>
      </c>
      <c r="D168" s="7">
        <v>402</v>
      </c>
      <c r="E168" s="3">
        <v>4</v>
      </c>
      <c r="F168" s="2">
        <v>3</v>
      </c>
      <c r="G168" t="s">
        <v>514</v>
      </c>
    </row>
    <row r="169" spans="1:7" x14ac:dyDescent="0.25">
      <c r="A169" s="1" t="str">
        <f>"512554"</f>
        <v>512554</v>
      </c>
      <c r="B169" s="2" t="str">
        <f>"ACESSORIO APOIO CONTRA PESO 10 TON"</f>
        <v>ACESSORIO APOIO CONTRA PESO 10 TON</v>
      </c>
      <c r="C169" s="2" t="str">
        <f t="shared" si="5"/>
        <v>UN</v>
      </c>
      <c r="D169" s="7">
        <v>402</v>
      </c>
      <c r="E169" s="3">
        <v>4</v>
      </c>
      <c r="F169" s="5">
        <v>5</v>
      </c>
      <c r="G169" t="s">
        <v>515</v>
      </c>
    </row>
    <row r="170" spans="1:7" x14ac:dyDescent="0.25">
      <c r="A170" s="1" t="str">
        <f>"512555"</f>
        <v>512555</v>
      </c>
      <c r="B170" s="2" t="str">
        <f>"ACESSORIO APOIO CONTRA PESO 12 TON"</f>
        <v>ACESSORIO APOIO CONTRA PESO 12 TON</v>
      </c>
      <c r="C170" s="2" t="str">
        <f t="shared" si="5"/>
        <v>UN</v>
      </c>
      <c r="D170" s="7">
        <v>402</v>
      </c>
      <c r="E170" s="3">
        <v>4</v>
      </c>
      <c r="F170" s="2">
        <v>3</v>
      </c>
      <c r="G170" t="s">
        <v>512</v>
      </c>
    </row>
    <row r="171" spans="1:7" x14ac:dyDescent="0.25">
      <c r="A171" s="1" t="str">
        <f>"500667"</f>
        <v>500667</v>
      </c>
      <c r="B171" s="2" t="str">
        <f>"ACESSORIO FILTRO DE AR"</f>
        <v>ACESSORIO FILTRO DE AR</v>
      </c>
      <c r="C171" s="2" t="str">
        <f t="shared" si="5"/>
        <v>UN</v>
      </c>
      <c r="D171" s="7">
        <v>701</v>
      </c>
      <c r="E171" s="3">
        <v>9</v>
      </c>
      <c r="F171" s="2">
        <v>8</v>
      </c>
      <c r="G171" t="s">
        <v>516</v>
      </c>
    </row>
    <row r="172" spans="1:7" x14ac:dyDescent="0.25">
      <c r="A172" s="1" t="str">
        <f>"517157"</f>
        <v>517157</v>
      </c>
      <c r="B172" s="2" t="str">
        <f>"ACESSORIO MONTAGEM DARK-K-50-F04-S11-R1"</f>
        <v>ACESSORIO MONTAGEM DARK-K-50-F04-S11-R1</v>
      </c>
      <c r="C172" s="2" t="str">
        <f t="shared" si="5"/>
        <v>UN</v>
      </c>
      <c r="D172" s="7">
        <v>918</v>
      </c>
      <c r="E172" s="3">
        <v>11</v>
      </c>
      <c r="F172" s="2">
        <v>6</v>
      </c>
      <c r="G172" t="s">
        <v>515</v>
      </c>
    </row>
    <row r="173" spans="1:7" x14ac:dyDescent="0.25">
      <c r="A173" s="1" t="str">
        <f>"524997"</f>
        <v>524997</v>
      </c>
      <c r="B173" s="2" t="str">
        <f>"ACESSÓRIOS P/ ACABAMENTO"</f>
        <v>ACESSÓRIOS P/ ACABAMENTO</v>
      </c>
      <c r="C173" s="2" t="str">
        <f t="shared" si="5"/>
        <v>UN</v>
      </c>
      <c r="D173" s="7">
        <v>916</v>
      </c>
      <c r="E173" s="3">
        <v>10</v>
      </c>
      <c r="F173" s="2">
        <v>4</v>
      </c>
      <c r="G173" t="s">
        <v>514</v>
      </c>
    </row>
    <row r="174" spans="1:7" x14ac:dyDescent="0.25">
      <c r="A174" s="1" t="str">
        <f>"523229"</f>
        <v>523229</v>
      </c>
      <c r="B174" s="2" t="str">
        <f>"ACESSORIOS P/ MONTAGEM DE PAINEIS"</f>
        <v>ACESSORIOS P/ MONTAGEM DE PAINEIS</v>
      </c>
      <c r="C174" s="2" t="str">
        <f t="shared" si="5"/>
        <v>UN</v>
      </c>
      <c r="D174" s="7">
        <v>803</v>
      </c>
      <c r="E174" s="3">
        <v>10</v>
      </c>
      <c r="F174" s="2">
        <v>1</v>
      </c>
      <c r="G174" t="s">
        <v>512</v>
      </c>
    </row>
    <row r="175" spans="1:7" x14ac:dyDescent="0.25">
      <c r="A175" s="1" t="str">
        <f>"508610"</f>
        <v>508610</v>
      </c>
      <c r="B175" s="2" t="str">
        <f>"ACESSORIOS PARA ELETROCALHAS"</f>
        <v>ACESSORIOS PARA ELETROCALHAS</v>
      </c>
      <c r="C175" s="2" t="str">
        <f t="shared" si="5"/>
        <v>UN</v>
      </c>
      <c r="D175" s="7">
        <v>917</v>
      </c>
      <c r="E175" s="3">
        <v>11</v>
      </c>
      <c r="F175" s="2">
        <v>2</v>
      </c>
      <c r="G175" t="s">
        <v>513</v>
      </c>
    </row>
    <row r="176" spans="1:7" x14ac:dyDescent="0.25">
      <c r="A176" s="1" t="str">
        <f>"519145"</f>
        <v>519145</v>
      </c>
      <c r="B176" s="2" t="str">
        <f>"ACESSORIOS TOCHA DE PLASMA"</f>
        <v>ACESSORIOS TOCHA DE PLASMA</v>
      </c>
      <c r="C176" s="2" t="str">
        <f t="shared" si="5"/>
        <v>UN</v>
      </c>
      <c r="D176" s="7">
        <v>811</v>
      </c>
      <c r="E176" s="3">
        <v>11</v>
      </c>
      <c r="F176" s="2">
        <v>7</v>
      </c>
      <c r="G176" t="s">
        <v>514</v>
      </c>
    </row>
    <row r="177" spans="1:7" x14ac:dyDescent="0.25">
      <c r="A177" s="1" t="str">
        <f>"515011"</f>
        <v>515011</v>
      </c>
      <c r="B177" s="2" t="str">
        <f>"ACHOC. LIQ. ALPINO"</f>
        <v>ACHOC. LIQ. ALPINO</v>
      </c>
      <c r="C177" s="2" t="str">
        <f t="shared" si="5"/>
        <v>UN</v>
      </c>
      <c r="D177" s="7">
        <v>401</v>
      </c>
      <c r="E177" s="3">
        <v>4</v>
      </c>
      <c r="F177" s="2">
        <v>9</v>
      </c>
      <c r="G177" t="s">
        <v>514</v>
      </c>
    </row>
    <row r="178" spans="1:7" x14ac:dyDescent="0.25">
      <c r="A178" s="1" t="str">
        <f>"515012"</f>
        <v>515012</v>
      </c>
      <c r="B178" s="2" t="str">
        <f>"ACHOC. LIQ. NESCAL"</f>
        <v>ACHOC. LIQ. NESCAL</v>
      </c>
      <c r="C178" s="2" t="str">
        <f t="shared" si="5"/>
        <v>UN</v>
      </c>
      <c r="D178" s="7">
        <v>401</v>
      </c>
      <c r="E178" s="3">
        <v>4</v>
      </c>
      <c r="F178" s="2">
        <v>0</v>
      </c>
      <c r="G178" t="s">
        <v>512</v>
      </c>
    </row>
    <row r="179" spans="1:7" x14ac:dyDescent="0.25">
      <c r="A179" s="1" t="str">
        <f>"510872"</f>
        <v>510872</v>
      </c>
      <c r="B179" s="2" t="str">
        <f>"ACHOCOLATADO 800GR"</f>
        <v>ACHOCOLATADO 800GR</v>
      </c>
      <c r="C179" s="2" t="str">
        <f t="shared" si="5"/>
        <v>UN</v>
      </c>
      <c r="D179" s="7">
        <v>401</v>
      </c>
      <c r="E179" s="3">
        <v>4</v>
      </c>
      <c r="F179" s="2">
        <v>0</v>
      </c>
      <c r="G179" t="s">
        <v>513</v>
      </c>
    </row>
    <row r="180" spans="1:7" x14ac:dyDescent="0.25">
      <c r="A180" s="1" t="str">
        <f>"776"</f>
        <v>776</v>
      </c>
      <c r="B180" s="2" t="str">
        <f>"ACIDIMETRO DE SALUT (ALIZAROL)"</f>
        <v>ACIDIMETRO DE SALUT (ALIZAROL)</v>
      </c>
      <c r="C180" s="2" t="str">
        <f t="shared" si="5"/>
        <v>UN</v>
      </c>
      <c r="D180" s="7">
        <v>303</v>
      </c>
      <c r="E180" s="3">
        <v>3</v>
      </c>
      <c r="F180" s="2">
        <v>2</v>
      </c>
      <c r="G180" t="s">
        <v>514</v>
      </c>
    </row>
    <row r="181" spans="1:7" x14ac:dyDescent="0.25">
      <c r="A181" s="1" t="str">
        <f>"6051"</f>
        <v>6051</v>
      </c>
      <c r="B181" s="2" t="str">
        <f>"ACIDIMETRO DORNIC 0-100 °D C/ FRASCO (CALIBRADO)"</f>
        <v>ACIDIMETRO DORNIC 0-100 °D C/ FRASCO (CALIBRADO)</v>
      </c>
      <c r="C181" s="2" t="str">
        <f>"PC"</f>
        <v>PC</v>
      </c>
      <c r="D181" s="7">
        <v>406</v>
      </c>
      <c r="E181" s="3">
        <v>4</v>
      </c>
      <c r="F181" s="2">
        <v>5</v>
      </c>
      <c r="G181" t="s">
        <v>514</v>
      </c>
    </row>
    <row r="182" spans="1:7" x14ac:dyDescent="0.25">
      <c r="A182" s="1" t="str">
        <f>"520750"</f>
        <v>520750</v>
      </c>
      <c r="B182" s="2" t="str">
        <f>"ACIDIMETRO DORNIC 0-40 °D C/ FRASCO (CALIBRADO)"</f>
        <v>ACIDIMETRO DORNIC 0-40 °D C/ FRASCO (CALIBRADO)</v>
      </c>
      <c r="C182" s="2" t="str">
        <f>"PC"</f>
        <v>PC</v>
      </c>
      <c r="D182" s="7">
        <v>406</v>
      </c>
      <c r="E182" s="3">
        <v>4</v>
      </c>
      <c r="F182" s="2">
        <v>6</v>
      </c>
      <c r="G182" t="s">
        <v>514</v>
      </c>
    </row>
    <row r="183" spans="1:7" x14ac:dyDescent="0.25">
      <c r="A183" s="1" t="str">
        <f>"507958"</f>
        <v>507958</v>
      </c>
      <c r="B183" s="2" t="str">
        <f>"ACIDIMETRO SALUT ACO INOX"</f>
        <v>ACIDIMETRO SALUT ACO INOX</v>
      </c>
      <c r="C183" s="2" t="str">
        <f>"UN"</f>
        <v>UN</v>
      </c>
      <c r="D183" s="7">
        <v>402</v>
      </c>
      <c r="E183" s="3">
        <v>4</v>
      </c>
      <c r="F183" s="2">
        <v>9</v>
      </c>
      <c r="G183" t="s">
        <v>513</v>
      </c>
    </row>
    <row r="184" spans="1:7" x14ac:dyDescent="0.25">
      <c r="A184" s="1" t="str">
        <f>"523611"</f>
        <v>523611</v>
      </c>
      <c r="B184" s="2" t="str">
        <f>"ÁCIDO  CLORÍDRICO 15%  - DENS. 1,16KG (POLITEC)"</f>
        <v>ÁCIDO  CLORÍDRICO 15%  - DENS. 1,16KG (POLITEC)</v>
      </c>
      <c r="C184" s="2" t="str">
        <f>"KG"</f>
        <v>KG</v>
      </c>
      <c r="D184" s="7">
        <v>99999</v>
      </c>
      <c r="E184" s="3">
        <v>99</v>
      </c>
      <c r="F184" s="2">
        <v>5</v>
      </c>
      <c r="G184" t="s">
        <v>512</v>
      </c>
    </row>
    <row r="185" spans="1:7" x14ac:dyDescent="0.25">
      <c r="A185" s="1" t="str">
        <f>"236"</f>
        <v>236</v>
      </c>
      <c r="B185" s="2" t="str">
        <f>"ACIDO ACETICO"</f>
        <v>ACIDO ACETICO</v>
      </c>
      <c r="C185" s="2" t="str">
        <f>"LT"</f>
        <v>LT</v>
      </c>
      <c r="D185" s="7">
        <v>302</v>
      </c>
      <c r="E185" s="3">
        <v>3</v>
      </c>
      <c r="F185" s="2">
        <v>3</v>
      </c>
      <c r="G185" t="s">
        <v>513</v>
      </c>
    </row>
    <row r="186" spans="1:7" x14ac:dyDescent="0.25">
      <c r="A186" s="1" t="str">
        <f>"514389"</f>
        <v>514389</v>
      </c>
      <c r="B186" s="2" t="str">
        <f>"ACIDO CITRICO - QUALA"</f>
        <v>ACIDO CITRICO - QUALA</v>
      </c>
      <c r="C186" s="2" t="str">
        <f>"KG"</f>
        <v>KG</v>
      </c>
      <c r="D186" s="7">
        <v>208</v>
      </c>
      <c r="E186" s="3">
        <v>2</v>
      </c>
      <c r="F186" s="2">
        <v>3</v>
      </c>
      <c r="G186" t="s">
        <v>514</v>
      </c>
    </row>
    <row r="187" spans="1:7" x14ac:dyDescent="0.25">
      <c r="A187" s="1" t="str">
        <f>"6559"</f>
        <v>6559</v>
      </c>
      <c r="B187" s="2" t="str">
        <f>"ACIDO CITRICO - QUALA"</f>
        <v>ACIDO CITRICO - QUALA</v>
      </c>
      <c r="C187" s="2" t="str">
        <f>"KG"</f>
        <v>KG</v>
      </c>
      <c r="D187" s="7">
        <v>208</v>
      </c>
      <c r="E187" s="3">
        <v>2</v>
      </c>
      <c r="F187" s="2">
        <v>2</v>
      </c>
      <c r="G187" t="s">
        <v>514</v>
      </c>
    </row>
    <row r="188" spans="1:7" x14ac:dyDescent="0.25">
      <c r="A188" s="1" t="str">
        <f>"6685"</f>
        <v>6685</v>
      </c>
      <c r="B188" s="2" t="str">
        <f>"ÁCIDO CÍTRICO SOLUÇÃO (BOMBONA 20 LTS)"</f>
        <v>ÁCIDO CÍTRICO SOLUÇÃO (BOMBONA 20 LTS)</v>
      </c>
      <c r="C188" s="2" t="str">
        <f>"LT"</f>
        <v>LT</v>
      </c>
      <c r="D188" s="7">
        <v>302</v>
      </c>
      <c r="E188" s="3">
        <v>3</v>
      </c>
      <c r="F188" s="2">
        <v>1</v>
      </c>
      <c r="G188" t="s">
        <v>514</v>
      </c>
    </row>
    <row r="189" spans="1:7" x14ac:dyDescent="0.25">
      <c r="A189" s="1" t="str">
        <f>"6681"</f>
        <v>6681</v>
      </c>
      <c r="B189" s="2" t="str">
        <f>"ACIDO CITRICO-50 KG"</f>
        <v>ACIDO CITRICO-50 KG</v>
      </c>
      <c r="C189" s="2" t="str">
        <f>"KG"</f>
        <v>KG</v>
      </c>
      <c r="D189" s="7">
        <v>208</v>
      </c>
      <c r="E189" s="3">
        <v>2</v>
      </c>
      <c r="F189" s="2">
        <v>4</v>
      </c>
      <c r="G189" t="s">
        <v>513</v>
      </c>
    </row>
    <row r="190" spans="1:7" x14ac:dyDescent="0.25">
      <c r="A190" s="1" t="str">
        <f>"514284"</f>
        <v>514284</v>
      </c>
      <c r="B190" s="2" t="str">
        <f>"ACIDO CLORIDRICO 0,1N"</f>
        <v>ACIDO CLORIDRICO 0,1N</v>
      </c>
      <c r="C190" s="2" t="str">
        <f>"UN"</f>
        <v>UN</v>
      </c>
      <c r="D190" s="7">
        <v>406</v>
      </c>
      <c r="E190" s="3">
        <v>4</v>
      </c>
      <c r="F190" s="2">
        <v>1</v>
      </c>
      <c r="G190" t="s">
        <v>513</v>
      </c>
    </row>
    <row r="191" spans="1:7" x14ac:dyDescent="0.25">
      <c r="A191" s="1" t="str">
        <f>"528024"</f>
        <v>528024</v>
      </c>
      <c r="B191" s="2" t="str">
        <f>"ACIDO CLORIDRICO 1N (1 L) - CAP-LAB- 8 UN"</f>
        <v>ACIDO CLORIDRICO 1N (1 L) - CAP-LAB- 8 UN</v>
      </c>
      <c r="C191" s="2" t="str">
        <f>"UN"</f>
        <v>UN</v>
      </c>
      <c r="D191" s="7">
        <v>406</v>
      </c>
      <c r="E191" s="3">
        <v>4</v>
      </c>
      <c r="F191" s="2">
        <v>2</v>
      </c>
      <c r="G191" t="s">
        <v>513</v>
      </c>
    </row>
    <row r="192" spans="1:7" x14ac:dyDescent="0.25">
      <c r="A192" s="1" t="str">
        <f>"3153"</f>
        <v>3153</v>
      </c>
      <c r="B192" s="2" t="str">
        <f>"ACIDO FOSFORICO INDUSTRIAL 54% DENS. 1LITRO = 1,7KG"</f>
        <v>ACIDO FOSFORICO INDUSTRIAL 54% DENS. 1LITRO = 1,7KG</v>
      </c>
      <c r="C192" s="2" t="str">
        <f>"KG"</f>
        <v>KG</v>
      </c>
      <c r="D192" s="7">
        <v>400</v>
      </c>
      <c r="E192" s="3">
        <v>10</v>
      </c>
      <c r="F192" s="2">
        <v>7</v>
      </c>
      <c r="G192" t="s">
        <v>512</v>
      </c>
    </row>
    <row r="193" spans="1:7" x14ac:dyDescent="0.25">
      <c r="A193" s="1" t="str">
        <f>"520680"</f>
        <v>520680</v>
      </c>
      <c r="B193" s="2" t="str">
        <f>"ACIDO LACTICO 88% COD 157  FRSC 1.000 GR"</f>
        <v>ACIDO LACTICO 88% COD 157  FRSC 1.000 GR</v>
      </c>
      <c r="C193" s="2" t="str">
        <f>"UN"</f>
        <v>UN</v>
      </c>
      <c r="D193" s="7">
        <v>406</v>
      </c>
      <c r="E193" s="3">
        <v>4</v>
      </c>
      <c r="F193" s="2">
        <v>9</v>
      </c>
      <c r="G193" t="s">
        <v>513</v>
      </c>
    </row>
    <row r="194" spans="1:7" x14ac:dyDescent="0.25">
      <c r="A194" s="1" t="str">
        <f>"2479"</f>
        <v>2479</v>
      </c>
      <c r="B194" s="2" t="str">
        <f>"ACIDO LATICO"</f>
        <v>ACIDO LATICO</v>
      </c>
      <c r="C194" s="2" t="str">
        <f>"LT"</f>
        <v>LT</v>
      </c>
      <c r="D194" s="7">
        <v>407</v>
      </c>
      <c r="E194" s="3">
        <v>4</v>
      </c>
      <c r="F194" s="2">
        <v>0</v>
      </c>
      <c r="G194" t="s">
        <v>514</v>
      </c>
    </row>
    <row r="195" spans="1:7" x14ac:dyDescent="0.25">
      <c r="A195" s="1" t="str">
        <f>"253"</f>
        <v>253</v>
      </c>
      <c r="B195" s="2" t="str">
        <f>"ÁCIDO LÁTICO"</f>
        <v>ÁCIDO LÁTICO</v>
      </c>
      <c r="C195" s="2" t="str">
        <f>"KG"</f>
        <v>KG</v>
      </c>
      <c r="D195" s="7">
        <v>209</v>
      </c>
      <c r="E195" s="3">
        <v>2</v>
      </c>
      <c r="F195" s="2">
        <v>0</v>
      </c>
      <c r="G195" t="s">
        <v>515</v>
      </c>
    </row>
    <row r="196" spans="1:7" x14ac:dyDescent="0.25">
      <c r="A196" s="1" t="str">
        <f>"114"</f>
        <v>114</v>
      </c>
      <c r="B196" s="2" t="str">
        <f>"ACIDO NITRICO (220-A) - (100 AL-35)"</f>
        <v>ACIDO NITRICO (220-A) - (100 AL-35)</v>
      </c>
      <c r="C196" s="2" t="str">
        <f>"KG"</f>
        <v>KG</v>
      </c>
      <c r="D196" s="7">
        <v>302</v>
      </c>
      <c r="E196" s="3">
        <v>3</v>
      </c>
      <c r="F196" s="2">
        <v>4</v>
      </c>
      <c r="G196" t="s">
        <v>512</v>
      </c>
    </row>
    <row r="197" spans="1:7" x14ac:dyDescent="0.25">
      <c r="A197" s="1" t="str">
        <f>"113"</f>
        <v>113</v>
      </c>
      <c r="B197" s="2" t="str">
        <f>"ACIDO NITRICO (220-A) (100 AL-35)"</f>
        <v>ACIDO NITRICO (220-A) (100 AL-35)</v>
      </c>
      <c r="C197" s="2" t="str">
        <f>"LT"</f>
        <v>LT</v>
      </c>
      <c r="D197" s="7">
        <v>302</v>
      </c>
      <c r="E197" s="3">
        <v>3</v>
      </c>
      <c r="F197" s="2">
        <v>1</v>
      </c>
      <c r="G197" t="s">
        <v>516</v>
      </c>
    </row>
    <row r="198" spans="1:7" x14ac:dyDescent="0.25">
      <c r="A198" s="1" t="str">
        <f>"4106"</f>
        <v>4106</v>
      </c>
      <c r="B198" s="2" t="str">
        <f>"ACIDO PERAC MUNDCLEAN APA - BB 35"</f>
        <v>ACIDO PERAC MUNDCLEAN APA - BB 35</v>
      </c>
      <c r="C198" s="2" t="str">
        <f>"KG"</f>
        <v>KG</v>
      </c>
      <c r="D198" s="7">
        <v>400</v>
      </c>
      <c r="E198" s="3">
        <v>4</v>
      </c>
      <c r="F198" s="2">
        <v>2</v>
      </c>
      <c r="G198" t="s">
        <v>515</v>
      </c>
    </row>
    <row r="199" spans="1:7" x14ac:dyDescent="0.25">
      <c r="A199" s="1" t="str">
        <f>"3143"</f>
        <v>3143</v>
      </c>
      <c r="B199" s="2" t="str">
        <f>"ACIDO PERACETICO 100 AL 45"</f>
        <v>ACIDO PERACETICO 100 AL 45</v>
      </c>
      <c r="C199" s="2" t="str">
        <f>"LT"</f>
        <v>LT</v>
      </c>
      <c r="D199" s="7">
        <v>302</v>
      </c>
      <c r="E199" s="3">
        <v>3</v>
      </c>
      <c r="F199" s="2">
        <v>7</v>
      </c>
      <c r="G199" t="s">
        <v>514</v>
      </c>
    </row>
    <row r="200" spans="1:7" x14ac:dyDescent="0.25">
      <c r="A200" s="1" t="str">
        <f>"514418"</f>
        <v>514418</v>
      </c>
      <c r="B200" s="2" t="str">
        <f>"ACIDO ROSOLICO 1%"</f>
        <v>ACIDO ROSOLICO 1%</v>
      </c>
      <c r="C200" s="2" t="str">
        <f t="shared" ref="C200:C209" si="6">"UN"</f>
        <v>UN</v>
      </c>
      <c r="D200" s="7">
        <v>406</v>
      </c>
      <c r="E200" s="3">
        <v>4</v>
      </c>
      <c r="F200" s="2">
        <v>9</v>
      </c>
      <c r="G200" t="s">
        <v>512</v>
      </c>
    </row>
    <row r="201" spans="1:7" x14ac:dyDescent="0.25">
      <c r="A201" s="1" t="str">
        <f>"518860"</f>
        <v>518860</v>
      </c>
      <c r="B201" s="2" t="str">
        <f>"ACIDO ROSOLICO 2% 500ML"</f>
        <v>ACIDO ROSOLICO 2% 500ML</v>
      </c>
      <c r="C201" s="2" t="str">
        <f t="shared" si="6"/>
        <v>UN</v>
      </c>
      <c r="D201" s="7">
        <v>406</v>
      </c>
      <c r="E201" s="3">
        <v>4</v>
      </c>
      <c r="F201" s="5">
        <v>5</v>
      </c>
      <c r="G201" t="s">
        <v>513</v>
      </c>
    </row>
    <row r="202" spans="1:7" x14ac:dyDescent="0.25">
      <c r="A202" s="1" t="str">
        <f>"528133"</f>
        <v>528133</v>
      </c>
      <c r="B202" s="2" t="str">
        <f>"ACIDO SULFURICO 1/1 SOLUCAO"</f>
        <v>ACIDO SULFURICO 1/1 SOLUCAO</v>
      </c>
      <c r="C202" s="2" t="str">
        <f t="shared" si="6"/>
        <v>UN</v>
      </c>
      <c r="D202" s="7">
        <v>406</v>
      </c>
      <c r="E202" s="3">
        <v>4</v>
      </c>
      <c r="F202" s="2">
        <v>3</v>
      </c>
      <c r="G202" t="s">
        <v>514</v>
      </c>
    </row>
    <row r="203" spans="1:7" x14ac:dyDescent="0.25">
      <c r="A203" s="1" t="str">
        <f>"519597"</f>
        <v>519597</v>
      </c>
      <c r="B203" s="2" t="str">
        <f>"ACIDO SULFURICO 50%"</f>
        <v>ACIDO SULFURICO 50%</v>
      </c>
      <c r="C203" s="2" t="str">
        <f t="shared" si="6"/>
        <v>UN</v>
      </c>
      <c r="D203" s="7">
        <v>406</v>
      </c>
      <c r="E203" s="3">
        <v>4</v>
      </c>
      <c r="F203" s="2">
        <v>8</v>
      </c>
      <c r="G203" t="s">
        <v>514</v>
      </c>
    </row>
    <row r="204" spans="1:7" x14ac:dyDescent="0.25">
      <c r="A204" s="1" t="str">
        <f>"513878"</f>
        <v>513878</v>
      </c>
      <c r="B204" s="2" t="str">
        <f>"ACIDO SULFURICO PA LEITE 1,825"</f>
        <v>ACIDO SULFURICO PA LEITE 1,825</v>
      </c>
      <c r="C204" s="2" t="str">
        <f t="shared" si="6"/>
        <v>UN</v>
      </c>
      <c r="D204" s="7">
        <v>406</v>
      </c>
      <c r="E204" s="3">
        <v>4</v>
      </c>
      <c r="F204" s="2">
        <v>6</v>
      </c>
      <c r="G204" t="s">
        <v>512</v>
      </c>
    </row>
    <row r="205" spans="1:7" x14ac:dyDescent="0.25">
      <c r="A205" s="1" t="str">
        <f>"513154"</f>
        <v>513154</v>
      </c>
      <c r="B205" s="2" t="str">
        <f>"ACIDO TARTARICO PA"</f>
        <v>ACIDO TARTARICO PA</v>
      </c>
      <c r="C205" s="2" t="str">
        <f t="shared" si="6"/>
        <v>UN</v>
      </c>
      <c r="D205" s="7">
        <v>406</v>
      </c>
      <c r="E205" s="3">
        <v>4</v>
      </c>
      <c r="F205" s="2">
        <v>4</v>
      </c>
      <c r="G205" t="s">
        <v>513</v>
      </c>
    </row>
    <row r="206" spans="1:7" x14ac:dyDescent="0.25">
      <c r="A206" s="1" t="str">
        <f>"573802"</f>
        <v>573802</v>
      </c>
      <c r="B206" s="2" t="str">
        <f>"ACIDO TITULANTE 1 /001"</f>
        <v>ACIDO TITULANTE 1 /001</v>
      </c>
      <c r="C206" s="2" t="str">
        <f t="shared" si="6"/>
        <v>UN</v>
      </c>
      <c r="D206" s="7">
        <v>99999</v>
      </c>
      <c r="E206" s="3">
        <v>99</v>
      </c>
      <c r="F206" s="2">
        <v>1</v>
      </c>
      <c r="G206" t="s">
        <v>514</v>
      </c>
    </row>
    <row r="207" spans="1:7" x14ac:dyDescent="0.25">
      <c r="A207" s="1" t="str">
        <f>"524376"</f>
        <v>524376</v>
      </c>
      <c r="B207" s="2" t="str">
        <f>"ACIDO TITULANTE 2 / 086"</f>
        <v>ACIDO TITULANTE 2 / 086</v>
      </c>
      <c r="C207" s="2" t="str">
        <f t="shared" si="6"/>
        <v>UN</v>
      </c>
      <c r="D207" s="7">
        <v>99999</v>
      </c>
      <c r="E207" s="3">
        <v>99</v>
      </c>
      <c r="F207" s="2">
        <v>2</v>
      </c>
      <c r="G207" t="s">
        <v>514</v>
      </c>
    </row>
    <row r="208" spans="1:7" x14ac:dyDescent="0.25">
      <c r="A208" s="1" t="str">
        <f>"573811"</f>
        <v>573811</v>
      </c>
      <c r="B208" s="2" t="str">
        <f>"ACIDO TITULANTE 2 /086"</f>
        <v>ACIDO TITULANTE 2 /086</v>
      </c>
      <c r="C208" s="2" t="str">
        <f t="shared" si="6"/>
        <v>UN</v>
      </c>
      <c r="D208" s="7">
        <v>99999</v>
      </c>
      <c r="E208" s="3">
        <v>99</v>
      </c>
      <c r="F208" s="2">
        <v>7</v>
      </c>
      <c r="G208" t="s">
        <v>514</v>
      </c>
    </row>
    <row r="209" spans="1:7" x14ac:dyDescent="0.25">
      <c r="A209" s="1" t="str">
        <f>"514972"</f>
        <v>514972</v>
      </c>
      <c r="B209" s="2" t="str">
        <f>"ACIDO TRICLOROACETICO 20%"</f>
        <v>ACIDO TRICLOROACETICO 20%</v>
      </c>
      <c r="C209" s="2" t="str">
        <f t="shared" si="6"/>
        <v>UN</v>
      </c>
      <c r="D209" s="7">
        <v>406</v>
      </c>
      <c r="E209" s="3">
        <v>4</v>
      </c>
      <c r="F209" s="2">
        <v>9</v>
      </c>
      <c r="G209" t="s">
        <v>513</v>
      </c>
    </row>
    <row r="210" spans="1:7" x14ac:dyDescent="0.25">
      <c r="A210" s="1" t="str">
        <f>"527483"</f>
        <v>527483</v>
      </c>
      <c r="B210" s="2" t="str">
        <f>"ACIDPURE - ONU 1789 - RISCO 80"</f>
        <v>ACIDPURE - ONU 1789 - RISCO 80</v>
      </c>
      <c r="C210" s="2" t="str">
        <f>"PC"</f>
        <v>PC</v>
      </c>
      <c r="D210" s="7">
        <v>1300</v>
      </c>
      <c r="E210" s="3">
        <v>13</v>
      </c>
      <c r="F210" s="2">
        <v>0</v>
      </c>
      <c r="G210" t="s">
        <v>512</v>
      </c>
    </row>
    <row r="211" spans="1:7" x14ac:dyDescent="0.25">
      <c r="A211" s="1" t="str">
        <f>"517582"</f>
        <v>517582</v>
      </c>
      <c r="B211" s="2" t="str">
        <f>"ACIONADOR ATUADOR 1"" A 2"" (ADA/ASR-20-40)"</f>
        <v>ACIONADOR ATUADOR 1" A 2" (ADA/ASR-20-40)</v>
      </c>
      <c r="C211" s="2" t="str">
        <f t="shared" ref="C211:C242" si="7">"UN"</f>
        <v>UN</v>
      </c>
      <c r="D211" s="7">
        <v>918</v>
      </c>
      <c r="E211" s="3">
        <v>11</v>
      </c>
      <c r="F211" s="2">
        <v>0</v>
      </c>
      <c r="G211" t="s">
        <v>513</v>
      </c>
    </row>
    <row r="212" spans="1:7" x14ac:dyDescent="0.25">
      <c r="A212" s="1" t="str">
        <f>"500587"</f>
        <v>500587</v>
      </c>
      <c r="B212" s="2" t="str">
        <f>"ACIONADOR ATUADOR FESTO"</f>
        <v>ACIONADOR ATUADOR FESTO</v>
      </c>
      <c r="C212" s="2" t="str">
        <f t="shared" si="7"/>
        <v>UN</v>
      </c>
      <c r="D212" s="7">
        <v>918</v>
      </c>
      <c r="E212" s="3">
        <v>11</v>
      </c>
      <c r="F212" s="2">
        <v>2</v>
      </c>
      <c r="G212" t="s">
        <v>514</v>
      </c>
    </row>
    <row r="213" spans="1:7" x14ac:dyDescent="0.25">
      <c r="A213" s="1" t="str">
        <f>"515105"</f>
        <v>515105</v>
      </c>
      <c r="B213" s="2" t="str">
        <f>"ACIONADOR FREIO AUTOMATICO"</f>
        <v>ACIONADOR FREIO AUTOMATICO</v>
      </c>
      <c r="C213" s="2" t="str">
        <f t="shared" si="7"/>
        <v>UN</v>
      </c>
      <c r="D213" s="7">
        <v>704</v>
      </c>
      <c r="E213" s="3">
        <v>9</v>
      </c>
      <c r="F213" s="2">
        <v>5</v>
      </c>
      <c r="G213" t="s">
        <v>514</v>
      </c>
    </row>
    <row r="214" spans="1:7" x14ac:dyDescent="0.25">
      <c r="A214" s="1" t="str">
        <f>"515892"</f>
        <v>515892</v>
      </c>
      <c r="B214" s="2" t="str">
        <f>"ACIONADOR GIRATORIO DFPD-40-90-RS60-F0507 8047624"</f>
        <v>ACIONADOR GIRATORIO DFPD-40-90-RS60-F0507 8047624</v>
      </c>
      <c r="C214" s="2" t="str">
        <f t="shared" si="7"/>
        <v>UN</v>
      </c>
      <c r="D214" s="7">
        <v>913</v>
      </c>
      <c r="E214" s="3">
        <v>11</v>
      </c>
      <c r="F214" s="2">
        <v>6</v>
      </c>
      <c r="G214" t="s">
        <v>514</v>
      </c>
    </row>
    <row r="215" spans="1:7" x14ac:dyDescent="0.25">
      <c r="A215" s="1" t="str">
        <f>"516309"</f>
        <v>516309</v>
      </c>
      <c r="B215" s="2" t="str">
        <f>"ACIONADOR MARGIRIUS MG2600 20A"</f>
        <v>ACIONADOR MARGIRIUS MG2600 20A</v>
      </c>
      <c r="C215" s="2" t="str">
        <f t="shared" si="7"/>
        <v>UN</v>
      </c>
      <c r="D215" s="7">
        <v>900</v>
      </c>
      <c r="E215" s="3">
        <v>10</v>
      </c>
      <c r="F215" s="2">
        <v>9</v>
      </c>
      <c r="G215" t="s">
        <v>513</v>
      </c>
    </row>
    <row r="216" spans="1:7" x14ac:dyDescent="0.25">
      <c r="A216" s="1" t="str">
        <f>"513494"</f>
        <v>513494</v>
      </c>
      <c r="B216" s="2" t="str">
        <f>"ACIONADOR MECANICO P/ TORNEIRA APM2"</f>
        <v>ACIONADOR MECANICO P/ TORNEIRA APM2</v>
      </c>
      <c r="C216" s="2" t="str">
        <f t="shared" si="7"/>
        <v>UN</v>
      </c>
      <c r="D216" s="7">
        <v>912</v>
      </c>
      <c r="E216" s="3">
        <v>10</v>
      </c>
      <c r="F216" s="2">
        <v>5</v>
      </c>
      <c r="G216" t="s">
        <v>513</v>
      </c>
    </row>
    <row r="217" spans="1:7" x14ac:dyDescent="0.25">
      <c r="A217" s="1" t="str">
        <f>"517556"</f>
        <v>517556</v>
      </c>
      <c r="B217" s="2" t="str">
        <f>"ACIONADOR P/ CAIXA METALICA 3SE5000-0AH00"</f>
        <v>ACIONADOR P/ CAIXA METALICA 3SE5000-0AH00</v>
      </c>
      <c r="C217" s="2" t="str">
        <f t="shared" si="7"/>
        <v>UN</v>
      </c>
      <c r="D217" s="7">
        <v>811</v>
      </c>
      <c r="E217" s="3">
        <v>8</v>
      </c>
      <c r="F217" s="2">
        <v>3</v>
      </c>
      <c r="G217" t="s">
        <v>513</v>
      </c>
    </row>
    <row r="218" spans="1:7" x14ac:dyDescent="0.25">
      <c r="A218" s="1" t="str">
        <f>"520939"</f>
        <v>520939</v>
      </c>
      <c r="B218" s="2" t="str">
        <f>"ACIONADOR PARA FIM DE CURSO 3SE52320IC05-Z"</f>
        <v>ACIONADOR PARA FIM DE CURSO 3SE52320IC05-Z</v>
      </c>
      <c r="C218" s="2" t="str">
        <f t="shared" si="7"/>
        <v>UN</v>
      </c>
      <c r="D218" s="7">
        <v>803</v>
      </c>
      <c r="E218" s="3">
        <v>10</v>
      </c>
      <c r="F218" s="2">
        <v>3</v>
      </c>
      <c r="G218" t="s">
        <v>512</v>
      </c>
    </row>
    <row r="219" spans="1:7" x14ac:dyDescent="0.25">
      <c r="A219" s="1" t="str">
        <f>"523834"</f>
        <v>523834</v>
      </c>
      <c r="B219" s="2" t="str">
        <f>"ACIONADOR SISTEMA ESPUMA"</f>
        <v>ACIONADOR SISTEMA ESPUMA</v>
      </c>
      <c r="C219" s="2" t="str">
        <f t="shared" si="7"/>
        <v>UN</v>
      </c>
      <c r="D219" s="7">
        <v>400</v>
      </c>
      <c r="E219" s="3">
        <v>4</v>
      </c>
      <c r="F219" s="2">
        <v>2</v>
      </c>
      <c r="G219" t="s">
        <v>513</v>
      </c>
    </row>
    <row r="220" spans="1:7" x14ac:dyDescent="0.25">
      <c r="A220" s="1" t="str">
        <f>"524577"</f>
        <v>524577</v>
      </c>
      <c r="B220" s="2" t="str">
        <f>"ACIONAMENTO CAD.32/100A 5TW0064-0"</f>
        <v>ACIONAMENTO CAD.32/100A 5TW0064-0</v>
      </c>
      <c r="C220" s="2" t="str">
        <f t="shared" si="7"/>
        <v>UN</v>
      </c>
      <c r="D220" s="7">
        <v>811</v>
      </c>
      <c r="E220" s="3">
        <v>11</v>
      </c>
      <c r="F220" s="2">
        <v>1</v>
      </c>
      <c r="G220" t="s">
        <v>514</v>
      </c>
    </row>
    <row r="221" spans="1:7" x14ac:dyDescent="0.25">
      <c r="A221" s="1" t="str">
        <f>"522540"</f>
        <v>522540</v>
      </c>
      <c r="B221" s="8" t="s">
        <v>316</v>
      </c>
      <c r="C221" s="2" t="str">
        <f t="shared" si="7"/>
        <v>UN</v>
      </c>
      <c r="D221" s="7">
        <v>918</v>
      </c>
      <c r="E221" s="3">
        <v>11</v>
      </c>
      <c r="F221" s="2">
        <v>4</v>
      </c>
      <c r="G221" t="s">
        <v>515</v>
      </c>
    </row>
    <row r="222" spans="1:7" x14ac:dyDescent="0.25">
      <c r="A222" s="1" t="str">
        <f>"523876"</f>
        <v>523876</v>
      </c>
      <c r="B222" s="2" t="str">
        <f>"ACIONAMENTO DESCARGA CX ACOPLADA"</f>
        <v>ACIONAMENTO DESCARGA CX ACOPLADA</v>
      </c>
      <c r="C222" s="2" t="str">
        <f t="shared" si="7"/>
        <v>UN</v>
      </c>
      <c r="D222" s="7">
        <v>99999</v>
      </c>
      <c r="E222" s="3">
        <v>99</v>
      </c>
      <c r="F222" s="2">
        <v>6</v>
      </c>
      <c r="G222" t="s">
        <v>512</v>
      </c>
    </row>
    <row r="223" spans="1:7" x14ac:dyDescent="0.25">
      <c r="A223" s="1" t="str">
        <f>"515553"</f>
        <v>515553</v>
      </c>
      <c r="B223" s="2" t="str">
        <f>"ACIONAMENTO ROTATIVO"</f>
        <v>ACIONAMENTO ROTATIVO</v>
      </c>
      <c r="C223" s="2" t="str">
        <f t="shared" si="7"/>
        <v>UN</v>
      </c>
      <c r="D223" s="7">
        <v>811</v>
      </c>
      <c r="E223" s="3">
        <v>8</v>
      </c>
      <c r="F223" s="2">
        <v>8</v>
      </c>
      <c r="G223" t="s">
        <v>516</v>
      </c>
    </row>
    <row r="224" spans="1:7" x14ac:dyDescent="0.25">
      <c r="A224" s="1" t="str">
        <f>"520976"</f>
        <v>520976</v>
      </c>
      <c r="B224" s="2" t="str">
        <f>"ACIONAMENTO ROTATIVO EXT. IP66 3VT9300-3HG20"</f>
        <v>ACIONAMENTO ROTATIVO EXT. IP66 3VT9300-3HG20</v>
      </c>
      <c r="C224" s="2" t="str">
        <f t="shared" si="7"/>
        <v>UN</v>
      </c>
      <c r="D224" s="7">
        <v>900</v>
      </c>
      <c r="E224" s="3">
        <v>8</v>
      </c>
      <c r="F224" s="2">
        <v>7</v>
      </c>
      <c r="G224" t="s">
        <v>515</v>
      </c>
    </row>
    <row r="225" spans="1:7" x14ac:dyDescent="0.25">
      <c r="A225" s="1" t="str">
        <f>"518281"</f>
        <v>518281</v>
      </c>
      <c r="B225" s="2" t="str">
        <f>"AÇO 1045 CHATO 1 1/2 X 5/8 X 6000MM"</f>
        <v>AÇO 1045 CHATO 1 1/2 X 5/8 X 6000MM</v>
      </c>
      <c r="C225" s="2" t="str">
        <f t="shared" si="7"/>
        <v>UN</v>
      </c>
      <c r="D225" s="7">
        <v>918</v>
      </c>
      <c r="E225" s="3">
        <v>10</v>
      </c>
      <c r="F225" s="2">
        <v>6</v>
      </c>
      <c r="G225" t="s">
        <v>514</v>
      </c>
    </row>
    <row r="226" spans="1:7" x14ac:dyDescent="0.25">
      <c r="A226" s="1" t="str">
        <f>"518282"</f>
        <v>518282</v>
      </c>
      <c r="B226" s="2" t="str">
        <f>"AÇO 1045 QUADRADO 1 1/2 X 1 1/2 X 6000MM"</f>
        <v>AÇO 1045 QUADRADO 1 1/2 X 1 1/2 X 6000MM</v>
      </c>
      <c r="C226" s="2" t="str">
        <f t="shared" si="7"/>
        <v>UN</v>
      </c>
      <c r="D226" s="7">
        <v>918</v>
      </c>
      <c r="E226" s="3">
        <v>10</v>
      </c>
      <c r="F226" s="2">
        <v>6</v>
      </c>
      <c r="G226" t="s">
        <v>512</v>
      </c>
    </row>
    <row r="227" spans="1:7" x14ac:dyDescent="0.25">
      <c r="A227" s="1" t="str">
        <f>"518095"</f>
        <v>518095</v>
      </c>
      <c r="B227" s="2" t="str">
        <f>"AÇO CA60 ADICIONAL P/ VIGAS"</f>
        <v>AÇO CA60 ADICIONAL P/ VIGAS</v>
      </c>
      <c r="C227" s="2" t="str">
        <f t="shared" si="7"/>
        <v>UN</v>
      </c>
      <c r="D227" s="7">
        <v>917</v>
      </c>
      <c r="E227" s="3">
        <v>10</v>
      </c>
      <c r="F227" s="2">
        <v>2</v>
      </c>
      <c r="G227" t="s">
        <v>513</v>
      </c>
    </row>
    <row r="228" spans="1:7" x14ac:dyDescent="0.25">
      <c r="A228" s="1" t="str">
        <f>"526693"</f>
        <v>526693</v>
      </c>
      <c r="B228" s="8" t="s">
        <v>474</v>
      </c>
      <c r="C228" s="2" t="str">
        <f t="shared" si="7"/>
        <v>UN</v>
      </c>
      <c r="D228" s="7">
        <v>915</v>
      </c>
      <c r="E228" s="3">
        <v>11</v>
      </c>
      <c r="F228" s="2">
        <v>1</v>
      </c>
      <c r="G228" t="s">
        <v>514</v>
      </c>
    </row>
    <row r="229" spans="1:7" x14ac:dyDescent="0.25">
      <c r="A229" s="1" t="str">
        <f>"502794"</f>
        <v>502794</v>
      </c>
      <c r="B229" s="2" t="str">
        <f>"AÇO INOXIDAVEL (PEÇAS)"</f>
        <v>AÇO INOXIDAVEL (PEÇAS)</v>
      </c>
      <c r="C229" s="2" t="str">
        <f t="shared" si="7"/>
        <v>UN</v>
      </c>
      <c r="D229" s="7">
        <v>1700</v>
      </c>
      <c r="E229" s="3">
        <v>10</v>
      </c>
      <c r="F229" s="2">
        <v>0</v>
      </c>
      <c r="G229" t="s">
        <v>514</v>
      </c>
    </row>
    <row r="230" spans="1:7" x14ac:dyDescent="0.25">
      <c r="A230" s="1" t="str">
        <f>"518399"</f>
        <v>518399</v>
      </c>
      <c r="B230" s="2" t="str">
        <f>"AÇO LAMINADO SAE 8640"</f>
        <v>AÇO LAMINADO SAE 8640</v>
      </c>
      <c r="C230" s="2" t="str">
        <f t="shared" si="7"/>
        <v>UN</v>
      </c>
      <c r="D230" s="7">
        <v>812</v>
      </c>
      <c r="E230" s="3">
        <v>11</v>
      </c>
      <c r="F230" s="2">
        <v>0</v>
      </c>
      <c r="G230" t="s">
        <v>512</v>
      </c>
    </row>
    <row r="231" spans="1:7" x14ac:dyDescent="0.25">
      <c r="A231" s="1" t="str">
        <f>"502793"</f>
        <v>502793</v>
      </c>
      <c r="B231" s="2" t="str">
        <f>"ACOPLADOR"</f>
        <v>ACOPLADOR</v>
      </c>
      <c r="C231" s="2" t="str">
        <f t="shared" si="7"/>
        <v>UN</v>
      </c>
      <c r="D231" s="7">
        <v>704</v>
      </c>
      <c r="E231" s="3">
        <v>9</v>
      </c>
      <c r="F231" s="2">
        <v>0</v>
      </c>
      <c r="G231" t="s">
        <v>513</v>
      </c>
    </row>
    <row r="232" spans="1:7" x14ac:dyDescent="0.25">
      <c r="A232" s="1" t="str">
        <f>"512530"</f>
        <v>512530</v>
      </c>
      <c r="B232" s="2" t="str">
        <f>"ACOPLADOR HIDRAULICO 4 GARRAS GRAXA SEX"</f>
        <v>ACOPLADOR HIDRAULICO 4 GARRAS GRAXA SEX</v>
      </c>
      <c r="C232" s="2" t="str">
        <f t="shared" si="7"/>
        <v>UN</v>
      </c>
      <c r="D232" s="7">
        <v>402</v>
      </c>
      <c r="E232" s="3">
        <v>4</v>
      </c>
      <c r="F232" s="2">
        <v>3</v>
      </c>
      <c r="G232" t="s">
        <v>514</v>
      </c>
    </row>
    <row r="233" spans="1:7" x14ac:dyDescent="0.25">
      <c r="A233" s="1" t="str">
        <f>"520469"</f>
        <v>520469</v>
      </c>
      <c r="B233" s="2" t="str">
        <f>"ACOPLADOR MINIATURA 110VCA P/ BORNE RELE"</f>
        <v>ACOPLADOR MINIATURA 110VCA P/ BORNE RELE</v>
      </c>
      <c r="C233" s="2" t="str">
        <f t="shared" si="7"/>
        <v>UN</v>
      </c>
      <c r="D233" s="7">
        <v>600</v>
      </c>
      <c r="E233" s="3">
        <v>8</v>
      </c>
      <c r="F233" s="5">
        <v>5</v>
      </c>
      <c r="G233" t="s">
        <v>514</v>
      </c>
    </row>
    <row r="234" spans="1:7" x14ac:dyDescent="0.25">
      <c r="A234" s="1" t="str">
        <f>"512359"</f>
        <v>512359</v>
      </c>
      <c r="B234" s="2" t="str">
        <f>"ACOPLADOR MINIATURA 24VDC P/ BORNE RELE"</f>
        <v>ACOPLADOR MINIATURA 24VDC P/ BORNE RELE</v>
      </c>
      <c r="C234" s="2" t="str">
        <f t="shared" si="7"/>
        <v>UN</v>
      </c>
      <c r="D234" s="7">
        <v>600</v>
      </c>
      <c r="E234" s="3">
        <v>8</v>
      </c>
      <c r="F234" s="2">
        <v>3</v>
      </c>
      <c r="G234" t="s">
        <v>514</v>
      </c>
    </row>
    <row r="235" spans="1:7" x14ac:dyDescent="0.25">
      <c r="A235" s="1" t="str">
        <f>"516507"</f>
        <v>516507</v>
      </c>
      <c r="B235" s="2" t="str">
        <f>"ACOPLADOR RELE 1 CONTATO REVERSIVEL 24VDC PHOENIX CONTACT"</f>
        <v>ACOPLADOR RELE 1 CONTATO REVERSIVEL 24VDC PHOENIX CONTACT</v>
      </c>
      <c r="C235" s="2" t="str">
        <f t="shared" si="7"/>
        <v>UN</v>
      </c>
      <c r="D235" s="7">
        <v>811</v>
      </c>
      <c r="E235" s="3">
        <v>8</v>
      </c>
      <c r="F235" s="2">
        <v>8</v>
      </c>
      <c r="G235" t="s">
        <v>513</v>
      </c>
    </row>
    <row r="236" spans="1:7" x14ac:dyDescent="0.25">
      <c r="A236" s="1" t="str">
        <f>"516508"</f>
        <v>516508</v>
      </c>
      <c r="B236" s="2" t="str">
        <f>"ACOPLADOR RELE 2 CONTATOS REVERSIVEL 24VDC"</f>
        <v>ACOPLADOR RELE 2 CONTATOS REVERSIVEL 24VDC</v>
      </c>
      <c r="C236" s="2" t="str">
        <f t="shared" si="7"/>
        <v>UN</v>
      </c>
      <c r="D236" s="7">
        <v>811</v>
      </c>
      <c r="E236" s="3">
        <v>8</v>
      </c>
      <c r="F236" s="2">
        <v>6</v>
      </c>
      <c r="G236" t="s">
        <v>512</v>
      </c>
    </row>
    <row r="237" spans="1:7" x14ac:dyDescent="0.25">
      <c r="A237" s="1" t="str">
        <f>"515780"</f>
        <v>515780</v>
      </c>
      <c r="B237" s="2" t="str">
        <f>"ACOPLADOR RELE 220VAC PLC-RSC-230UC/21"</f>
        <v>ACOPLADOR RELE 220VAC PLC-RSC-230UC/21</v>
      </c>
      <c r="C237" s="2" t="str">
        <f t="shared" si="7"/>
        <v>UN</v>
      </c>
      <c r="D237" s="7">
        <v>811</v>
      </c>
      <c r="E237" s="3">
        <v>8</v>
      </c>
      <c r="F237" s="2">
        <v>4</v>
      </c>
      <c r="G237" t="s">
        <v>513</v>
      </c>
    </row>
    <row r="238" spans="1:7" x14ac:dyDescent="0.25">
      <c r="A238" s="1" t="str">
        <f>"515969"</f>
        <v>515969</v>
      </c>
      <c r="B238" s="2" t="str">
        <f>"ACOPLADOR RELE JRA50 24VCC JNG"</f>
        <v>ACOPLADOR RELE JRA50 24VCC JNG</v>
      </c>
      <c r="C238" s="2" t="str">
        <f t="shared" si="7"/>
        <v>UN</v>
      </c>
      <c r="D238" s="7">
        <v>99999</v>
      </c>
      <c r="E238" s="3">
        <v>99</v>
      </c>
      <c r="F238" s="2">
        <v>1</v>
      </c>
      <c r="G238" t="s">
        <v>514</v>
      </c>
    </row>
    <row r="239" spans="1:7" x14ac:dyDescent="0.25">
      <c r="A239" s="1" t="str">
        <f>"520944"</f>
        <v>520944</v>
      </c>
      <c r="B239" s="2" t="str">
        <f>"ACOPLADOR RELE PLC-RSC 24DC/21 2966171"</f>
        <v>ACOPLADOR RELE PLC-RSC 24DC/21 2966171</v>
      </c>
      <c r="C239" s="2" t="str">
        <f t="shared" si="7"/>
        <v>UN</v>
      </c>
      <c r="D239" s="7">
        <v>811</v>
      </c>
      <c r="E239" s="3">
        <v>8</v>
      </c>
      <c r="F239" s="2">
        <v>2</v>
      </c>
      <c r="G239" t="s">
        <v>514</v>
      </c>
    </row>
    <row r="240" spans="1:7" x14ac:dyDescent="0.25">
      <c r="A240" s="1" t="str">
        <f>"515905"</f>
        <v>515905</v>
      </c>
      <c r="B240" s="2" t="str">
        <f>"ACOPLADOR RELE PLC-RSC-12DC/21"</f>
        <v>ACOPLADOR RELE PLC-RSC-12DC/21</v>
      </c>
      <c r="C240" s="2" t="str">
        <f t="shared" si="7"/>
        <v>UN</v>
      </c>
      <c r="D240" s="7">
        <v>99999</v>
      </c>
      <c r="E240" s="3">
        <v>99</v>
      </c>
      <c r="F240" s="2">
        <v>7</v>
      </c>
      <c r="G240" t="s">
        <v>514</v>
      </c>
    </row>
    <row r="241" spans="1:7" x14ac:dyDescent="0.25">
      <c r="A241" s="1" t="str">
        <f>"527424"</f>
        <v>527424</v>
      </c>
      <c r="B241" s="2" t="str">
        <f>"ACOPLAMENTO"</f>
        <v>ACOPLAMENTO</v>
      </c>
      <c r="C241" s="2" t="str">
        <f t="shared" si="7"/>
        <v>UN</v>
      </c>
      <c r="D241" s="7">
        <v>99999</v>
      </c>
      <c r="E241" s="3">
        <v>99</v>
      </c>
      <c r="F241" s="2">
        <v>9</v>
      </c>
      <c r="G241" t="s">
        <v>513</v>
      </c>
    </row>
    <row r="242" spans="1:7" x14ac:dyDescent="0.25">
      <c r="A242" s="1" t="str">
        <f>"500739"</f>
        <v>500739</v>
      </c>
      <c r="B242" s="2" t="str">
        <f>"ACOPLAMENTO 16A 220V 3P+T 9H STECK"</f>
        <v>ACOPLAMENTO 16A 220V 3P+T 9H STECK</v>
      </c>
      <c r="C242" s="2" t="str">
        <f t="shared" si="7"/>
        <v>UN</v>
      </c>
      <c r="D242" s="7">
        <v>600</v>
      </c>
      <c r="E242" s="3">
        <v>8</v>
      </c>
      <c r="F242" s="2">
        <v>0</v>
      </c>
      <c r="G242" t="s">
        <v>513</v>
      </c>
    </row>
    <row r="243" spans="1:7" x14ac:dyDescent="0.25">
      <c r="A243" s="1" t="str">
        <f>"504026"</f>
        <v>504026</v>
      </c>
      <c r="B243" s="2" t="str">
        <f>"ACOPLAMENTO A/C 42 HDA B.HIDRAULICA PAC1"</f>
        <v>ACOPLAMENTO A/C 42 HDA B.HIDRAULICA PAC1</v>
      </c>
      <c r="C243" s="2" t="str">
        <f t="shared" ref="C243:C279" si="8">"UN"</f>
        <v>UN</v>
      </c>
      <c r="D243" s="7">
        <v>812</v>
      </c>
      <c r="E243" s="3">
        <v>10</v>
      </c>
      <c r="F243" s="2">
        <v>0</v>
      </c>
      <c r="G243" t="s">
        <v>513</v>
      </c>
    </row>
    <row r="244" spans="1:7" x14ac:dyDescent="0.25">
      <c r="A244" s="1" t="str">
        <f>"508288"</f>
        <v>508288</v>
      </c>
      <c r="B244" s="2" t="str">
        <f>"ACOPLAMENTO ALAVANCA CAMBIO AXOR"</f>
        <v>ACOPLAMENTO ALAVANCA CAMBIO AXOR</v>
      </c>
      <c r="C244" s="2" t="str">
        <f t="shared" si="8"/>
        <v>UN</v>
      </c>
      <c r="D244" s="7">
        <v>704</v>
      </c>
      <c r="E244" s="3">
        <v>9</v>
      </c>
      <c r="F244" s="2">
        <v>2</v>
      </c>
      <c r="G244" t="s">
        <v>512</v>
      </c>
    </row>
    <row r="245" spans="1:7" x14ac:dyDescent="0.25">
      <c r="A245" s="1" t="str">
        <f>"513442"</f>
        <v>513442</v>
      </c>
      <c r="B245" s="2" t="str">
        <f>"ACOPLAMENTO AP-35"</f>
        <v>ACOPLAMENTO AP-35</v>
      </c>
      <c r="C245" s="2" t="str">
        <f t="shared" si="8"/>
        <v>UN</v>
      </c>
      <c r="D245" s="7">
        <v>918</v>
      </c>
      <c r="E245" s="3">
        <v>11</v>
      </c>
      <c r="F245" s="2">
        <v>5</v>
      </c>
      <c r="G245" t="s">
        <v>513</v>
      </c>
    </row>
    <row r="246" spans="1:7" x14ac:dyDescent="0.25">
      <c r="A246" s="1" t="str">
        <f>"512879"</f>
        <v>512879</v>
      </c>
      <c r="B246" s="2" t="str">
        <f>"ACOPLAMENTO AP-70"</f>
        <v>ACOPLAMENTO AP-70</v>
      </c>
      <c r="C246" s="2" t="str">
        <f t="shared" si="8"/>
        <v>UN</v>
      </c>
      <c r="D246" s="7">
        <v>918</v>
      </c>
      <c r="E246" s="3">
        <v>11</v>
      </c>
      <c r="F246" s="2">
        <v>6</v>
      </c>
      <c r="G246" t="s">
        <v>514</v>
      </c>
    </row>
    <row r="247" spans="1:7" x14ac:dyDescent="0.25">
      <c r="A247" s="1" t="str">
        <f>"505856"</f>
        <v>505856</v>
      </c>
      <c r="B247" s="2" t="str">
        <f>"ACOPLAMENTO BOWEX M-38"</f>
        <v>ACOPLAMENTO BOWEX M-38</v>
      </c>
      <c r="C247" s="2" t="str">
        <f t="shared" si="8"/>
        <v>UN</v>
      </c>
      <c r="D247" s="7">
        <v>918</v>
      </c>
      <c r="E247" s="3">
        <v>11</v>
      </c>
      <c r="F247" s="2">
        <v>9</v>
      </c>
      <c r="G247" t="s">
        <v>515</v>
      </c>
    </row>
    <row r="248" spans="1:7" x14ac:dyDescent="0.25">
      <c r="A248" s="1" t="str">
        <f>"511773"</f>
        <v>511773</v>
      </c>
      <c r="B248" s="2" t="str">
        <f>"ACOPLAMENTO CILINDRO IGE 00142"</f>
        <v>ACOPLAMENTO CILINDRO IGE 00142</v>
      </c>
      <c r="C248" s="2" t="str">
        <f t="shared" si="8"/>
        <v>UN</v>
      </c>
      <c r="D248" s="7">
        <v>918</v>
      </c>
      <c r="E248" s="3">
        <v>11</v>
      </c>
      <c r="F248" s="2">
        <v>5</v>
      </c>
      <c r="G248" t="s">
        <v>512</v>
      </c>
    </row>
    <row r="249" spans="1:7" x14ac:dyDescent="0.25">
      <c r="A249" s="1" t="str">
        <f>"523423"</f>
        <v>523423</v>
      </c>
      <c r="B249" s="2" t="str">
        <f>"ACOPLAMENTO COMPLETO ZM4"</f>
        <v>ACOPLAMENTO COMPLETO ZM4</v>
      </c>
      <c r="C249" s="2" t="str">
        <f t="shared" si="8"/>
        <v>UN</v>
      </c>
      <c r="D249" s="7">
        <v>402</v>
      </c>
      <c r="E249" s="3">
        <v>4</v>
      </c>
      <c r="F249" s="2">
        <v>3</v>
      </c>
      <c r="G249" t="s">
        <v>516</v>
      </c>
    </row>
    <row r="250" spans="1:7" x14ac:dyDescent="0.25">
      <c r="A250" s="1" t="str">
        <f>"519035"</f>
        <v>519035</v>
      </c>
      <c r="B250" s="2" t="str">
        <f>"ACOPLAMENTO DAGROSS 100MM"</f>
        <v>ACOPLAMENTO DAGROSS 100MM</v>
      </c>
      <c r="C250" s="2" t="str">
        <f t="shared" si="8"/>
        <v>UN</v>
      </c>
      <c r="D250" s="7">
        <v>918</v>
      </c>
      <c r="E250" s="3">
        <v>11</v>
      </c>
      <c r="F250" s="2">
        <v>3</v>
      </c>
      <c r="G250" t="s">
        <v>515</v>
      </c>
    </row>
    <row r="251" spans="1:7" x14ac:dyDescent="0.25">
      <c r="A251" s="1" t="str">
        <f>"505629"</f>
        <v>505629</v>
      </c>
      <c r="B251" s="2" t="str">
        <f>"ACOPLAMENTO DIRETO"</f>
        <v>ACOPLAMENTO DIRETO</v>
      </c>
      <c r="C251" s="2" t="str">
        <f t="shared" si="8"/>
        <v>UN</v>
      </c>
      <c r="D251" s="7">
        <v>704</v>
      </c>
      <c r="E251" s="3">
        <v>9</v>
      </c>
      <c r="F251" s="2">
        <v>2</v>
      </c>
      <c r="G251" t="s">
        <v>514</v>
      </c>
    </row>
    <row r="252" spans="1:7" x14ac:dyDescent="0.25">
      <c r="A252" s="1" t="str">
        <f>"521176"</f>
        <v>521176</v>
      </c>
      <c r="B252" s="2" t="str">
        <f>"ACOPLAMENTO E-67"</f>
        <v>ACOPLAMENTO E-67</v>
      </c>
      <c r="C252" s="2" t="str">
        <f t="shared" si="8"/>
        <v>UN</v>
      </c>
      <c r="D252" s="7">
        <v>918</v>
      </c>
      <c r="E252" s="3">
        <v>11</v>
      </c>
      <c r="F252" s="2">
        <v>1</v>
      </c>
      <c r="G252" t="s">
        <v>512</v>
      </c>
    </row>
    <row r="253" spans="1:7" x14ac:dyDescent="0.25">
      <c r="A253" s="1" t="str">
        <f>"519426"</f>
        <v>519426</v>
      </c>
      <c r="B253" s="2" t="str">
        <f>"ACOPLAMENTO E-97"</f>
        <v>ACOPLAMENTO E-97</v>
      </c>
      <c r="C253" s="2" t="str">
        <f t="shared" si="8"/>
        <v>UN</v>
      </c>
      <c r="D253" s="7">
        <v>918</v>
      </c>
      <c r="E253" s="3">
        <v>11</v>
      </c>
      <c r="F253" s="2">
        <v>4</v>
      </c>
      <c r="G253" t="s">
        <v>513</v>
      </c>
    </row>
    <row r="254" spans="1:7" x14ac:dyDescent="0.25">
      <c r="A254" s="1" t="str">
        <f>"517642"</f>
        <v>517642</v>
      </c>
      <c r="B254" s="2" t="str">
        <f>"ACOPLAMENTO EKL-010A-6"</f>
        <v>ACOPLAMENTO EKL-010A-6</v>
      </c>
      <c r="C254" s="2" t="str">
        <f t="shared" si="8"/>
        <v>UN</v>
      </c>
      <c r="D254" s="7">
        <v>918</v>
      </c>
      <c r="E254" s="3">
        <v>11</v>
      </c>
      <c r="F254" s="2">
        <v>1</v>
      </c>
      <c r="G254" t="s">
        <v>514</v>
      </c>
    </row>
    <row r="255" spans="1:7" x14ac:dyDescent="0.25">
      <c r="A255" s="1" t="str">
        <f>"524402"</f>
        <v>524402</v>
      </c>
      <c r="B255" s="2" t="str">
        <f>"ACOPLAMENTO EKL-10 D1 9H7 12H7 - EKL-10"</f>
        <v>ACOPLAMENTO EKL-10 D1 9H7 12H7 - EKL-10</v>
      </c>
      <c r="C255" s="2" t="str">
        <f t="shared" si="8"/>
        <v>UN</v>
      </c>
      <c r="D255" s="7">
        <v>811</v>
      </c>
      <c r="E255" s="3">
        <v>11</v>
      </c>
      <c r="F255" s="2">
        <v>2</v>
      </c>
      <c r="G255" t="s">
        <v>514</v>
      </c>
    </row>
    <row r="256" spans="1:7" x14ac:dyDescent="0.25">
      <c r="A256" s="1" t="str">
        <f>"511942"</f>
        <v>511942</v>
      </c>
      <c r="B256" s="2" t="str">
        <f>"ACOPLAMENTO ELETROCALHA PERFILADO 38X38"</f>
        <v>ACOPLAMENTO ELETROCALHA PERFILADO 38X38</v>
      </c>
      <c r="C256" s="2" t="str">
        <f t="shared" si="8"/>
        <v>UN</v>
      </c>
      <c r="D256" s="7">
        <v>812</v>
      </c>
      <c r="E256" s="3">
        <v>10</v>
      </c>
      <c r="F256" s="2">
        <v>7</v>
      </c>
      <c r="G256" t="s">
        <v>512</v>
      </c>
    </row>
    <row r="257" spans="1:7" x14ac:dyDescent="0.25">
      <c r="A257" s="1" t="str">
        <f>"504196"</f>
        <v>504196</v>
      </c>
      <c r="B257" s="2" t="str">
        <f>"ACOPLAMENTO FIX CIL PLACA INF FORMAGEM"</f>
        <v>ACOPLAMENTO FIX CIL PLACA INF FORMAGEM</v>
      </c>
      <c r="C257" s="2" t="str">
        <f t="shared" si="8"/>
        <v>UN</v>
      </c>
      <c r="D257" s="7">
        <v>918</v>
      </c>
      <c r="E257" s="3">
        <v>11</v>
      </c>
      <c r="F257" s="2">
        <v>9</v>
      </c>
      <c r="G257" t="s">
        <v>513</v>
      </c>
    </row>
    <row r="258" spans="1:7" x14ac:dyDescent="0.25">
      <c r="A258" s="1" t="str">
        <f>"510519"</f>
        <v>510519</v>
      </c>
      <c r="B258" s="2" t="str">
        <f>"ACOPLAMENTO FIXO"</f>
        <v>ACOPLAMENTO FIXO</v>
      </c>
      <c r="C258" s="2" t="str">
        <f t="shared" si="8"/>
        <v>UN</v>
      </c>
      <c r="D258" s="7">
        <v>918</v>
      </c>
      <c r="E258" s="3">
        <v>11</v>
      </c>
      <c r="F258" s="2">
        <v>0</v>
      </c>
      <c r="G258" t="s">
        <v>514</v>
      </c>
    </row>
    <row r="259" spans="1:7" x14ac:dyDescent="0.25">
      <c r="A259" s="1" t="str">
        <f>"520978"</f>
        <v>520978</v>
      </c>
      <c r="B259" s="2" t="str">
        <f>"ACOPLAMENTO FRONTAL 3VT9300-3HA10"</f>
        <v>ACOPLAMENTO FRONTAL 3VT9300-3HA10</v>
      </c>
      <c r="C259" s="2" t="str">
        <f t="shared" si="8"/>
        <v>UN</v>
      </c>
      <c r="D259" s="7">
        <v>900</v>
      </c>
      <c r="E259" s="3">
        <v>8</v>
      </c>
      <c r="F259" s="2">
        <v>0</v>
      </c>
      <c r="G259" t="s">
        <v>514</v>
      </c>
    </row>
    <row r="260" spans="1:7" x14ac:dyDescent="0.25">
      <c r="A260" s="1" t="str">
        <f>"512136"</f>
        <v>512136</v>
      </c>
      <c r="B260" s="2" t="str">
        <f>"ACOPLAMENTO GARRA E112"</f>
        <v>ACOPLAMENTO GARRA E112</v>
      </c>
      <c r="C260" s="2" t="str">
        <f t="shared" si="8"/>
        <v>UN</v>
      </c>
      <c r="D260" s="7">
        <v>918</v>
      </c>
      <c r="E260" s="3">
        <v>11</v>
      </c>
      <c r="F260" s="2">
        <v>4</v>
      </c>
      <c r="G260" t="s">
        <v>514</v>
      </c>
    </row>
    <row r="261" spans="1:7" x14ac:dyDescent="0.25">
      <c r="A261" s="1" t="str">
        <f>"518822"</f>
        <v>518822</v>
      </c>
      <c r="B261" s="2" t="str">
        <f>"ACOPLAMENTO KTR ROTEX GS 19 ALUMINIO"</f>
        <v>ACOPLAMENTO KTR ROTEX GS 19 ALUMINIO</v>
      </c>
      <c r="C261" s="2" t="str">
        <f t="shared" si="8"/>
        <v>UN</v>
      </c>
      <c r="D261" s="7">
        <v>918</v>
      </c>
      <c r="E261" s="3">
        <v>11</v>
      </c>
      <c r="F261" s="2">
        <v>1</v>
      </c>
      <c r="G261" t="s">
        <v>513</v>
      </c>
    </row>
    <row r="262" spans="1:7" x14ac:dyDescent="0.25">
      <c r="A262" s="1" t="str">
        <f>"509994"</f>
        <v>509994</v>
      </c>
      <c r="B262" s="2" t="str">
        <f>"ACOPLAMENTO M-42"</f>
        <v>ACOPLAMENTO M-42</v>
      </c>
      <c r="C262" s="2" t="str">
        <f t="shared" si="8"/>
        <v>UN</v>
      </c>
      <c r="D262" s="7">
        <v>918</v>
      </c>
      <c r="E262" s="3">
        <v>11</v>
      </c>
      <c r="F262" s="2">
        <v>2</v>
      </c>
      <c r="G262" t="s">
        <v>512</v>
      </c>
    </row>
    <row r="263" spans="1:7" x14ac:dyDescent="0.25">
      <c r="A263" s="1" t="str">
        <f>"520207"</f>
        <v>520207</v>
      </c>
      <c r="B263" s="2" t="str">
        <f>"ACOPLAMENTO MOTOR CHICAGO PXO439102.002-2"</f>
        <v>ACOPLAMENTO MOTOR CHICAGO PXO439102.002-2</v>
      </c>
      <c r="C263" s="2" t="str">
        <f t="shared" si="8"/>
        <v>UN</v>
      </c>
      <c r="D263" s="7">
        <v>918</v>
      </c>
      <c r="E263" s="3">
        <v>11</v>
      </c>
      <c r="F263" s="2">
        <v>7</v>
      </c>
      <c r="G263" t="s">
        <v>513</v>
      </c>
    </row>
    <row r="264" spans="1:7" x14ac:dyDescent="0.25">
      <c r="A264" s="1" t="str">
        <f>"526980"</f>
        <v>526980</v>
      </c>
      <c r="B264" s="2" t="str">
        <f>"ACOPLAMENTO PARA BOMBA 148"</f>
        <v>ACOPLAMENTO PARA BOMBA 148</v>
      </c>
      <c r="C264" s="2" t="str">
        <f t="shared" si="8"/>
        <v>UN</v>
      </c>
      <c r="D264" s="7">
        <v>918</v>
      </c>
      <c r="E264" s="3">
        <v>11</v>
      </c>
      <c r="F264" s="2">
        <v>9</v>
      </c>
      <c r="G264" t="s">
        <v>514</v>
      </c>
    </row>
    <row r="265" spans="1:7" x14ac:dyDescent="0.25">
      <c r="A265" s="1" t="str">
        <f>"516465"</f>
        <v>516465</v>
      </c>
      <c r="B265" s="2" t="str">
        <f>"ACOPLAMENTO RELE 1 CONTATO REVERSIVEL 12VDC"</f>
        <v>ACOPLAMENTO RELE 1 CONTATO REVERSIVEL 12VDC</v>
      </c>
      <c r="C265" s="2" t="str">
        <f t="shared" si="8"/>
        <v>UN</v>
      </c>
      <c r="D265" s="7">
        <v>811</v>
      </c>
      <c r="E265" s="3">
        <v>8</v>
      </c>
      <c r="F265" s="2">
        <v>0</v>
      </c>
      <c r="G265" t="s">
        <v>514</v>
      </c>
    </row>
    <row r="266" spans="1:7" x14ac:dyDescent="0.25">
      <c r="A266" s="1" t="str">
        <f>"515551"</f>
        <v>515551</v>
      </c>
      <c r="B266" s="2" t="str">
        <f>"ACOPLAMENTO ROTATIVO"</f>
        <v>ACOPLAMENTO ROTATIVO</v>
      </c>
      <c r="C266" s="2" t="str">
        <f t="shared" si="8"/>
        <v>UN</v>
      </c>
      <c r="D266" s="7">
        <v>811</v>
      </c>
      <c r="E266" s="3">
        <v>8</v>
      </c>
      <c r="F266" s="2">
        <v>0</v>
      </c>
      <c r="G266" t="s">
        <v>514</v>
      </c>
    </row>
    <row r="267" spans="1:7" x14ac:dyDescent="0.25">
      <c r="A267" s="1" t="str">
        <f>"503996"</f>
        <v>503996</v>
      </c>
      <c r="B267" s="2" t="str">
        <f>"ACOPLAMENTO ROTEX GS-14"</f>
        <v>ACOPLAMENTO ROTEX GS-14</v>
      </c>
      <c r="C267" s="2" t="str">
        <f t="shared" si="8"/>
        <v>UN</v>
      </c>
      <c r="D267" s="7">
        <v>812</v>
      </c>
      <c r="E267" s="3">
        <v>11</v>
      </c>
      <c r="F267" s="2">
        <v>2</v>
      </c>
      <c r="G267" t="s">
        <v>513</v>
      </c>
    </row>
    <row r="268" spans="1:7" x14ac:dyDescent="0.25">
      <c r="A268" s="1" t="str">
        <f>"520208"</f>
        <v>520208</v>
      </c>
      <c r="B268" s="2" t="str">
        <f>"ACOPLAMENTO ROTEX GS-19"</f>
        <v>ACOPLAMENTO ROTEX GS-19</v>
      </c>
      <c r="C268" s="2" t="str">
        <f t="shared" si="8"/>
        <v>UN</v>
      </c>
      <c r="D268" s="7">
        <v>812</v>
      </c>
      <c r="E268" s="3">
        <v>11</v>
      </c>
      <c r="F268" s="2">
        <v>5</v>
      </c>
      <c r="G268" t="s">
        <v>513</v>
      </c>
    </row>
    <row r="269" spans="1:7" x14ac:dyDescent="0.25">
      <c r="A269" s="1" t="str">
        <f>"528156"</f>
        <v>528156</v>
      </c>
      <c r="B269" s="2" t="str">
        <f>"ACQUA SYSTEM"</f>
        <v>ACQUA SYSTEM</v>
      </c>
      <c r="C269" s="2" t="str">
        <f t="shared" si="8"/>
        <v>UN</v>
      </c>
      <c r="D269" s="7">
        <v>99999</v>
      </c>
      <c r="E269" s="3">
        <v>4</v>
      </c>
      <c r="F269" s="2">
        <v>0</v>
      </c>
      <c r="G269" t="s">
        <v>513</v>
      </c>
    </row>
    <row r="270" spans="1:7" x14ac:dyDescent="0.25">
      <c r="A270" s="1" t="str">
        <f>"510637"</f>
        <v>510637</v>
      </c>
      <c r="B270" s="2" t="str">
        <f>"ACRCIMO FINANCEIRO"</f>
        <v>ACRCIMO FINANCEIRO</v>
      </c>
      <c r="C270" s="2" t="str">
        <f t="shared" si="8"/>
        <v>UN</v>
      </c>
      <c r="D270" s="7">
        <v>401</v>
      </c>
      <c r="E270" s="3">
        <v>4</v>
      </c>
      <c r="F270" s="2">
        <v>2</v>
      </c>
      <c r="G270" t="s">
        <v>512</v>
      </c>
    </row>
    <row r="271" spans="1:7" x14ac:dyDescent="0.25">
      <c r="A271" s="1" t="str">
        <f>"513148"</f>
        <v>513148</v>
      </c>
      <c r="B271" s="2" t="str">
        <f>"ACRILICO"</f>
        <v>ACRILICO</v>
      </c>
      <c r="C271" s="2" t="str">
        <f t="shared" si="8"/>
        <v>UN</v>
      </c>
      <c r="D271" s="7">
        <v>917</v>
      </c>
      <c r="E271" s="3">
        <v>11</v>
      </c>
      <c r="F271" s="2">
        <v>5</v>
      </c>
      <c r="G271" t="s">
        <v>513</v>
      </c>
    </row>
    <row r="272" spans="1:7" x14ac:dyDescent="0.25">
      <c r="A272" s="1" t="str">
        <f>"511264"</f>
        <v>511264</v>
      </c>
      <c r="B272" s="2" t="str">
        <f>"ACRILICO 1100X400X4MM"</f>
        <v>ACRILICO 1100X400X4MM</v>
      </c>
      <c r="C272" s="2" t="str">
        <f t="shared" si="8"/>
        <v>UN</v>
      </c>
      <c r="D272" s="7">
        <v>601</v>
      </c>
      <c r="E272" s="3">
        <v>8</v>
      </c>
      <c r="F272" s="5">
        <v>5</v>
      </c>
      <c r="G272" t="s">
        <v>514</v>
      </c>
    </row>
    <row r="273" spans="1:7" x14ac:dyDescent="0.25">
      <c r="A273" s="1" t="str">
        <f>"510510"</f>
        <v>510510</v>
      </c>
      <c r="B273" s="2" t="str">
        <f>"ACRILICO P/ LUMINARIA 2X110W HO"</f>
        <v>ACRILICO P/ LUMINARIA 2X110W HO</v>
      </c>
      <c r="C273" s="2" t="str">
        <f t="shared" si="8"/>
        <v>UN</v>
      </c>
      <c r="D273" s="7">
        <v>601</v>
      </c>
      <c r="E273" s="3">
        <v>8</v>
      </c>
      <c r="F273" s="2">
        <v>3</v>
      </c>
      <c r="G273" t="s">
        <v>515</v>
      </c>
    </row>
    <row r="274" spans="1:7" x14ac:dyDescent="0.25">
      <c r="A274" s="1" t="str">
        <f>"516132"</f>
        <v>516132</v>
      </c>
      <c r="B274" s="2" t="str">
        <f>"ACRILICO PREMIUM FOSCO P-175 - 8677"</f>
        <v>ACRILICO PREMIUM FOSCO P-175 - 8677</v>
      </c>
      <c r="C274" s="2" t="str">
        <f t="shared" si="8"/>
        <v>UN</v>
      </c>
      <c r="D274" s="7">
        <v>917</v>
      </c>
      <c r="E274" s="3">
        <v>10</v>
      </c>
      <c r="F274" s="2">
        <v>8</v>
      </c>
      <c r="G274" t="s">
        <v>512</v>
      </c>
    </row>
    <row r="275" spans="1:7" x14ac:dyDescent="0.25">
      <c r="A275" s="1" t="str">
        <f>"509976"</f>
        <v>509976</v>
      </c>
      <c r="B275" s="2" t="str">
        <f>"ACRILICO TRANSP. P/ PROTEÇAO DE PAINEL"</f>
        <v>ACRILICO TRANSP. P/ PROTEÇAO DE PAINEL</v>
      </c>
      <c r="C275" s="2" t="str">
        <f t="shared" si="8"/>
        <v>UN</v>
      </c>
      <c r="D275" s="7">
        <v>917</v>
      </c>
      <c r="E275" s="3">
        <v>11</v>
      </c>
      <c r="F275" s="2">
        <v>6</v>
      </c>
      <c r="G275" t="s">
        <v>516</v>
      </c>
    </row>
    <row r="276" spans="1:7" x14ac:dyDescent="0.25">
      <c r="A276" s="1" t="str">
        <f>"507767"</f>
        <v>507767</v>
      </c>
      <c r="B276" s="2" t="str">
        <f>"ACRILICO TRANSPARENTE 2000X1000X08MM"</f>
        <v>ACRILICO TRANSPARENTE 2000X1000X08MM</v>
      </c>
      <c r="C276" s="2" t="str">
        <f t="shared" si="8"/>
        <v>UN</v>
      </c>
      <c r="D276" s="7">
        <v>402</v>
      </c>
      <c r="E276" s="3">
        <v>4</v>
      </c>
      <c r="F276" s="2">
        <v>4</v>
      </c>
      <c r="G276" t="s">
        <v>515</v>
      </c>
    </row>
    <row r="277" spans="1:7" x14ac:dyDescent="0.25">
      <c r="A277" s="1" t="str">
        <f>"512936"</f>
        <v>512936</v>
      </c>
      <c r="B277" s="2" t="str">
        <f>"AÇUCAR CERTANO 1KG"</f>
        <v>AÇUCAR CERTANO 1KG</v>
      </c>
      <c r="C277" s="2" t="str">
        <f t="shared" si="8"/>
        <v>UN</v>
      </c>
      <c r="D277" s="7">
        <v>401</v>
      </c>
      <c r="E277" s="3">
        <v>4</v>
      </c>
      <c r="F277" s="2">
        <v>1</v>
      </c>
      <c r="G277" t="s">
        <v>514</v>
      </c>
    </row>
    <row r="278" spans="1:7" x14ac:dyDescent="0.25">
      <c r="A278" s="1" t="str">
        <f>"513597"</f>
        <v>513597</v>
      </c>
      <c r="B278" s="2" t="str">
        <f>"AÇUCAR CERTANO 2KG"</f>
        <v>AÇUCAR CERTANO 2KG</v>
      </c>
      <c r="C278" s="2" t="str">
        <f t="shared" si="8"/>
        <v>UN</v>
      </c>
      <c r="D278" s="7">
        <v>401</v>
      </c>
      <c r="E278" s="3">
        <v>4</v>
      </c>
      <c r="F278" s="2">
        <v>2</v>
      </c>
      <c r="G278" t="s">
        <v>512</v>
      </c>
    </row>
    <row r="279" spans="1:7" x14ac:dyDescent="0.25">
      <c r="A279" s="1" t="str">
        <f>"514601"</f>
        <v>514601</v>
      </c>
      <c r="B279" s="2" t="str">
        <f>"AÇUCAR CERTANO 5KG"</f>
        <v>AÇUCAR CERTANO 5KG</v>
      </c>
      <c r="C279" s="2" t="str">
        <f t="shared" si="8"/>
        <v>UN</v>
      </c>
      <c r="D279" s="7">
        <v>401</v>
      </c>
      <c r="E279" s="3">
        <v>4</v>
      </c>
      <c r="F279" s="2">
        <v>7</v>
      </c>
      <c r="G279" t="s">
        <v>513</v>
      </c>
    </row>
    <row r="280" spans="1:7" x14ac:dyDescent="0.25">
      <c r="A280" s="1" t="str">
        <f>"22"</f>
        <v>22</v>
      </c>
      <c r="B280" s="2" t="str">
        <f>"ACUCAR CRISTAL T2 BAG 1200KG"</f>
        <v>ACUCAR CRISTAL T2 BAG 1200KG</v>
      </c>
      <c r="C280" s="2" t="str">
        <f>"KG"</f>
        <v>KG</v>
      </c>
      <c r="D280" s="7">
        <v>201</v>
      </c>
      <c r="E280" s="3">
        <v>2</v>
      </c>
      <c r="F280" s="2">
        <v>9</v>
      </c>
      <c r="G280" t="s">
        <v>514</v>
      </c>
    </row>
    <row r="281" spans="1:7" x14ac:dyDescent="0.25">
      <c r="A281" s="1" t="str">
        <f>"522518"</f>
        <v>522518</v>
      </c>
      <c r="B281" s="2" t="str">
        <f>"AÇUCAR REFINADO 1KG"</f>
        <v>AÇUCAR REFINADO 1KG</v>
      </c>
      <c r="C281" s="2" t="str">
        <f t="shared" ref="C281:C292" si="9">"UN"</f>
        <v>UN</v>
      </c>
      <c r="D281" s="7">
        <v>401</v>
      </c>
      <c r="E281" s="3">
        <v>4</v>
      </c>
      <c r="F281" s="2">
        <v>0</v>
      </c>
      <c r="G281" t="s">
        <v>514</v>
      </c>
    </row>
    <row r="282" spans="1:7" x14ac:dyDescent="0.25">
      <c r="A282" s="1" t="str">
        <f>"524028"</f>
        <v>524028</v>
      </c>
      <c r="B282" s="2" t="str">
        <f>"AÇUCAR REFINADO 5KG"</f>
        <v>AÇUCAR REFINADO 5KG</v>
      </c>
      <c r="C282" s="2" t="str">
        <f t="shared" si="9"/>
        <v>UN</v>
      </c>
      <c r="D282" s="7">
        <v>401</v>
      </c>
      <c r="E282" s="3">
        <v>4</v>
      </c>
      <c r="F282" s="2">
        <v>0</v>
      </c>
      <c r="G282" t="s">
        <v>512</v>
      </c>
    </row>
    <row r="283" spans="1:7" x14ac:dyDescent="0.25">
      <c r="A283" s="1" t="str">
        <f>"527157"</f>
        <v>527157</v>
      </c>
      <c r="B283" s="2" t="str">
        <f>"AÇÚCAR SACHÊ CX C/400 UN"</f>
        <v>AÇÚCAR SACHÊ CX C/400 UN</v>
      </c>
      <c r="C283" s="2" t="str">
        <f t="shared" si="9"/>
        <v>UN</v>
      </c>
      <c r="D283" s="7">
        <v>99999</v>
      </c>
      <c r="E283" s="3">
        <v>99</v>
      </c>
      <c r="F283" s="2">
        <v>2</v>
      </c>
      <c r="G283" t="s">
        <v>513</v>
      </c>
    </row>
    <row r="284" spans="1:7" x14ac:dyDescent="0.25">
      <c r="A284" s="1" t="str">
        <f>"517363"</f>
        <v>517363</v>
      </c>
      <c r="B284" s="2" t="str">
        <f>"AÇUCAREIRO AÇO INÓX C/PA TRAMONTINA"</f>
        <v>AÇUCAREIRO AÇO INÓX C/PA TRAMONTINA</v>
      </c>
      <c r="C284" s="2" t="str">
        <f t="shared" si="9"/>
        <v>UN</v>
      </c>
      <c r="D284" s="7">
        <v>410</v>
      </c>
      <c r="E284" s="3">
        <v>4</v>
      </c>
      <c r="F284" s="2">
        <v>5</v>
      </c>
      <c r="G284" t="s">
        <v>514</v>
      </c>
    </row>
    <row r="285" spans="1:7" x14ac:dyDescent="0.25">
      <c r="A285" s="1" t="str">
        <f>"514978"</f>
        <v>514978</v>
      </c>
      <c r="B285" s="2" t="str">
        <f>"ACULAR LS FR"</f>
        <v>ACULAR LS FR</v>
      </c>
      <c r="C285" s="2" t="str">
        <f t="shared" si="9"/>
        <v>UN</v>
      </c>
      <c r="D285" s="7">
        <v>406</v>
      </c>
      <c r="E285" s="3">
        <v>4</v>
      </c>
      <c r="F285" s="2">
        <v>6</v>
      </c>
      <c r="G285" t="s">
        <v>514</v>
      </c>
    </row>
    <row r="286" spans="1:7" x14ac:dyDescent="0.25">
      <c r="A286" s="1" t="str">
        <f>"515588"</f>
        <v>515588</v>
      </c>
      <c r="B286" s="2" t="str">
        <f>"ACUMULADOR DE ELETRICIDADE"</f>
        <v>ACUMULADOR DE ELETRICIDADE</v>
      </c>
      <c r="C286" s="2" t="str">
        <f t="shared" si="9"/>
        <v>UN</v>
      </c>
      <c r="D286" s="7">
        <v>704</v>
      </c>
      <c r="E286" s="3">
        <v>9</v>
      </c>
      <c r="F286" s="2">
        <v>9</v>
      </c>
      <c r="G286" t="s">
        <v>514</v>
      </c>
    </row>
    <row r="287" spans="1:7" x14ac:dyDescent="0.25">
      <c r="A287" s="1" t="str">
        <f>"518382"</f>
        <v>518382</v>
      </c>
      <c r="B287" s="2" t="str">
        <f>"AD. DIARIAS MOTORISTAS"</f>
        <v>AD. DIARIAS MOTORISTAS</v>
      </c>
      <c r="C287" s="2" t="str">
        <f t="shared" si="9"/>
        <v>UN</v>
      </c>
      <c r="D287" s="7">
        <v>99999</v>
      </c>
      <c r="E287" s="3">
        <v>99</v>
      </c>
      <c r="F287" s="2">
        <v>5</v>
      </c>
      <c r="G287" t="s">
        <v>513</v>
      </c>
    </row>
    <row r="288" spans="1:7" x14ac:dyDescent="0.25">
      <c r="A288" s="1" t="str">
        <f>"525391"</f>
        <v>525391</v>
      </c>
      <c r="B288" s="2" t="str">
        <f>"ADAP. P/ CARREG. DE HT BIVOLT AUTO. P/ DEP450-PRO"</f>
        <v>ADAP. P/ CARREG. DE HT BIVOLT AUTO. P/ DEP450-PRO</v>
      </c>
      <c r="C288" s="2" t="str">
        <f t="shared" si="9"/>
        <v>UN</v>
      </c>
      <c r="D288" s="7">
        <v>99999</v>
      </c>
      <c r="E288" s="3">
        <v>99</v>
      </c>
      <c r="F288" s="2">
        <v>3</v>
      </c>
      <c r="G288" t="s">
        <v>512</v>
      </c>
    </row>
    <row r="289" spans="1:7" x14ac:dyDescent="0.25">
      <c r="A289" s="1" t="str">
        <f>"524610"</f>
        <v>524610</v>
      </c>
      <c r="B289" s="8" t="s">
        <v>387</v>
      </c>
      <c r="C289" s="2" t="str">
        <f t="shared" si="9"/>
        <v>UN</v>
      </c>
      <c r="D289" s="7">
        <v>406</v>
      </c>
      <c r="E289" s="3">
        <v>13</v>
      </c>
      <c r="F289" s="2">
        <v>3</v>
      </c>
      <c r="G289" t="s">
        <v>513</v>
      </c>
    </row>
    <row r="290" spans="1:7" x14ac:dyDescent="0.25">
      <c r="A290" s="1" t="str">
        <f>"511787"</f>
        <v>511787</v>
      </c>
      <c r="B290" s="2" t="str">
        <f>"ADAPT. TOMADA SMS 1MT PADRAO B1 64120"</f>
        <v>ADAPT. TOMADA SMS 1MT PADRAO B1 64120</v>
      </c>
      <c r="C290" s="2" t="str">
        <f t="shared" si="9"/>
        <v>UN</v>
      </c>
      <c r="D290" s="7">
        <v>601</v>
      </c>
      <c r="E290" s="3">
        <v>8</v>
      </c>
      <c r="F290" s="2">
        <v>2</v>
      </c>
      <c r="G290" t="s">
        <v>514</v>
      </c>
    </row>
    <row r="291" spans="1:7" x14ac:dyDescent="0.25">
      <c r="A291" s="1" t="str">
        <f>"522794"</f>
        <v>522794</v>
      </c>
      <c r="B291" s="2" t="str">
        <f>"ADAPTADOR"</f>
        <v>ADAPTADOR</v>
      </c>
      <c r="C291" s="2" t="str">
        <f t="shared" si="9"/>
        <v>UN</v>
      </c>
      <c r="D291" s="7">
        <v>704</v>
      </c>
      <c r="E291" s="3">
        <v>9</v>
      </c>
      <c r="F291" s="2">
        <v>1</v>
      </c>
      <c r="G291" t="s">
        <v>514</v>
      </c>
    </row>
    <row r="292" spans="1:7" x14ac:dyDescent="0.25">
      <c r="A292" s="1" t="str">
        <f>"519920"</f>
        <v>519920</v>
      </c>
      <c r="B292" s="2" t="str">
        <f>"ADAPTADOR 110X4"" COLA/ROSCA - PVC"</f>
        <v>ADAPTADOR 110X4" COLA/ROSCA - PVC</v>
      </c>
      <c r="C292" s="2" t="str">
        <f t="shared" si="9"/>
        <v>UN</v>
      </c>
      <c r="D292" s="7">
        <v>808</v>
      </c>
      <c r="E292" s="3">
        <v>10</v>
      </c>
      <c r="F292" s="2">
        <v>4</v>
      </c>
      <c r="G292" t="s">
        <v>514</v>
      </c>
    </row>
    <row r="293" spans="1:7" x14ac:dyDescent="0.25">
      <c r="A293" s="1" t="str">
        <f>"523397"</f>
        <v>523397</v>
      </c>
      <c r="B293" s="2" t="str">
        <f>"ADAPTADOR 304 TIPO N MACHO SMS 1 1/2"" X BSP"</f>
        <v>ADAPTADOR 304 TIPO N MACHO SMS 1 1/2" X BSP</v>
      </c>
      <c r="C293" s="2" t="str">
        <f>"BR"</f>
        <v>BR</v>
      </c>
      <c r="D293" s="7">
        <v>807</v>
      </c>
      <c r="E293" s="3">
        <v>10</v>
      </c>
      <c r="F293" s="2">
        <v>6</v>
      </c>
      <c r="G293" t="s">
        <v>513</v>
      </c>
    </row>
    <row r="294" spans="1:7" x14ac:dyDescent="0.25">
      <c r="A294" s="1" t="str">
        <f>"519922"</f>
        <v>519922</v>
      </c>
      <c r="B294" s="2" t="str">
        <f>"ADAPTADOR 60X2"" COLA/ROSCA - PVC"</f>
        <v>ADAPTADOR 60X2" COLA/ROSCA - PVC</v>
      </c>
      <c r="C294" s="2" t="str">
        <f>"UN"</f>
        <v>UN</v>
      </c>
      <c r="D294" s="7">
        <v>808</v>
      </c>
      <c r="E294" s="3">
        <v>10</v>
      </c>
      <c r="F294" s="2">
        <v>8</v>
      </c>
      <c r="G294" t="s">
        <v>513</v>
      </c>
    </row>
    <row r="295" spans="1:7" x14ac:dyDescent="0.25">
      <c r="A295" s="1" t="str">
        <f>"519921"</f>
        <v>519921</v>
      </c>
      <c r="B295" s="2" t="str">
        <f>"ADAPTADOR 85X3"" COLA/ROSCA - PVC"</f>
        <v>ADAPTADOR 85X3" COLA/ROSCA - PVC</v>
      </c>
      <c r="C295" s="2" t="str">
        <f>"UN"</f>
        <v>UN</v>
      </c>
      <c r="D295" s="7">
        <v>808</v>
      </c>
      <c r="E295" s="3">
        <v>10</v>
      </c>
      <c r="F295" s="2">
        <v>7</v>
      </c>
      <c r="G295" t="s">
        <v>513</v>
      </c>
    </row>
    <row r="296" spans="1:7" x14ac:dyDescent="0.25">
      <c r="A296" s="1" t="str">
        <f>"523609"</f>
        <v>523609</v>
      </c>
      <c r="B296" s="2" t="str">
        <f>"ADAPTADOR COLA ROSCA 100MM X 4"""</f>
        <v>ADAPTADOR COLA ROSCA 100MM X 4"</v>
      </c>
      <c r="C296" s="2" t="str">
        <f>"PÇ"</f>
        <v>PÇ</v>
      </c>
      <c r="D296" s="7">
        <v>808</v>
      </c>
      <c r="E296" s="3">
        <v>10</v>
      </c>
      <c r="F296" s="2">
        <v>6</v>
      </c>
      <c r="G296" t="s">
        <v>512</v>
      </c>
    </row>
    <row r="297" spans="1:7" x14ac:dyDescent="0.25">
      <c r="A297" s="1" t="str">
        <f>"509545"</f>
        <v>509545</v>
      </c>
      <c r="B297" s="2" t="str">
        <f>"ADAPTADOR CONDULETE 1"""</f>
        <v>ADAPTADOR CONDULETE 1"</v>
      </c>
      <c r="C297" s="2" t="str">
        <f t="shared" ref="C297:C318" si="10">"UN"</f>
        <v>UN</v>
      </c>
      <c r="D297" s="7">
        <v>601</v>
      </c>
      <c r="E297" s="3">
        <v>8</v>
      </c>
      <c r="F297" s="2">
        <v>6</v>
      </c>
      <c r="G297" t="s">
        <v>513</v>
      </c>
    </row>
    <row r="298" spans="1:7" x14ac:dyDescent="0.25">
      <c r="A298" s="1" t="str">
        <f>"509594"</f>
        <v>509594</v>
      </c>
      <c r="B298" s="2" t="str">
        <f>"ADAPTADOR CONDULETE 3/4"""</f>
        <v>ADAPTADOR CONDULETE 3/4"</v>
      </c>
      <c r="C298" s="2" t="str">
        <f t="shared" si="10"/>
        <v>UN</v>
      </c>
      <c r="D298" s="7">
        <v>601</v>
      </c>
      <c r="E298" s="3">
        <v>8</v>
      </c>
      <c r="F298" s="2">
        <v>2</v>
      </c>
      <c r="G298" t="s">
        <v>514</v>
      </c>
    </row>
    <row r="299" spans="1:7" x14ac:dyDescent="0.25">
      <c r="A299" s="1" t="str">
        <f>"505020"</f>
        <v>505020</v>
      </c>
      <c r="B299" s="2" t="str">
        <f>"ADAPTADOR COTOVELO NORGREN REF.150430018"</f>
        <v>ADAPTADOR COTOVELO NORGREN REF.150430018</v>
      </c>
      <c r="C299" s="2" t="str">
        <f t="shared" si="10"/>
        <v>UN</v>
      </c>
      <c r="D299" s="7">
        <v>913</v>
      </c>
      <c r="E299" s="3">
        <v>11</v>
      </c>
      <c r="F299" s="2">
        <v>1</v>
      </c>
      <c r="G299" t="s">
        <v>515</v>
      </c>
    </row>
    <row r="300" spans="1:7" x14ac:dyDescent="0.25">
      <c r="A300" s="1" t="str">
        <f>"504946"</f>
        <v>504946</v>
      </c>
      <c r="B300" s="2" t="str">
        <f>"ADAPTADOR COTOVELO NORGREN REF.150430028"</f>
        <v>ADAPTADOR COTOVELO NORGREN REF.150430028</v>
      </c>
      <c r="C300" s="2" t="str">
        <f t="shared" si="10"/>
        <v>UN</v>
      </c>
      <c r="D300" s="7">
        <v>913</v>
      </c>
      <c r="E300" s="3">
        <v>11</v>
      </c>
      <c r="F300" s="2">
        <v>0</v>
      </c>
      <c r="G300" t="s">
        <v>512</v>
      </c>
    </row>
    <row r="301" spans="1:7" x14ac:dyDescent="0.25">
      <c r="A301" s="1" t="str">
        <f>"524823"</f>
        <v>524823</v>
      </c>
      <c r="B301" s="2" t="str">
        <f>"ADAPTADOR CURTO PVC SOLD P/REG 85MMX3"</f>
        <v>ADAPTADOR CURTO PVC SOLD P/REG 85MMX3</v>
      </c>
      <c r="C301" s="2" t="str">
        <f t="shared" si="10"/>
        <v>UN</v>
      </c>
      <c r="D301" s="7">
        <v>808</v>
      </c>
      <c r="E301" s="3">
        <v>10</v>
      </c>
      <c r="F301" s="2">
        <v>0</v>
      </c>
      <c r="G301" t="s">
        <v>516</v>
      </c>
    </row>
    <row r="302" spans="1:7" x14ac:dyDescent="0.25">
      <c r="A302" s="1" t="str">
        <f>"521863"</f>
        <v>521863</v>
      </c>
      <c r="B302" s="2" t="str">
        <f>"ADAPTADOR DE ANEL PROGRESSIVO E30047 6MM-G"</f>
        <v>ADAPTADOR DE ANEL PROGRESSIVO E30047 6MM-G</v>
      </c>
      <c r="C302" s="2" t="str">
        <f t="shared" si="10"/>
        <v>UN</v>
      </c>
      <c r="D302" s="7">
        <v>913</v>
      </c>
      <c r="E302" s="3">
        <v>10</v>
      </c>
      <c r="F302" s="2">
        <v>0</v>
      </c>
      <c r="G302" t="s">
        <v>515</v>
      </c>
    </row>
    <row r="303" spans="1:7" x14ac:dyDescent="0.25">
      <c r="A303" s="1" t="str">
        <f>"524360"</f>
        <v>524360</v>
      </c>
      <c r="B303" s="2" t="str">
        <f>"ADAPTADOR DE CALIBRAÇÃO PN HONSPXCLCAL"</f>
        <v>ADAPTADOR DE CALIBRAÇÃO PN HONSPXCLCAL</v>
      </c>
      <c r="C303" s="2" t="str">
        <f t="shared" si="10"/>
        <v>UN</v>
      </c>
      <c r="D303" s="7">
        <v>900</v>
      </c>
      <c r="E303" s="3">
        <v>11</v>
      </c>
      <c r="F303" s="2">
        <v>3</v>
      </c>
      <c r="G303" t="s">
        <v>514</v>
      </c>
    </row>
    <row r="304" spans="1:7" x14ac:dyDescent="0.25">
      <c r="A304" s="1" t="str">
        <f>"528025"</f>
        <v>528025</v>
      </c>
      <c r="B304" s="2" t="str">
        <f>"ADAPTADOR DE REDE USB- RJ45"</f>
        <v>ADAPTADOR DE REDE USB- RJ45</v>
      </c>
      <c r="C304" s="2" t="str">
        <f t="shared" si="10"/>
        <v>UN</v>
      </c>
      <c r="D304" s="7">
        <v>817</v>
      </c>
      <c r="E304" s="3">
        <v>4</v>
      </c>
      <c r="F304" s="5">
        <v>5</v>
      </c>
      <c r="G304" t="s">
        <v>512</v>
      </c>
    </row>
    <row r="305" spans="1:7" x14ac:dyDescent="0.25">
      <c r="A305" s="1" t="str">
        <f>"522848"</f>
        <v>522848</v>
      </c>
      <c r="B305" s="2" t="str">
        <f>"ADAPTADOR DPONT X HDMI"</f>
        <v>ADAPTADOR DPONT X HDMI</v>
      </c>
      <c r="C305" s="2" t="str">
        <f t="shared" si="10"/>
        <v>UN</v>
      </c>
      <c r="D305" s="7">
        <v>99999</v>
      </c>
      <c r="E305" s="3">
        <v>99</v>
      </c>
      <c r="F305" s="2">
        <v>3</v>
      </c>
      <c r="G305" t="s">
        <v>513</v>
      </c>
    </row>
    <row r="306" spans="1:7" x14ac:dyDescent="0.25">
      <c r="A306" s="1" t="str">
        <f>"521200"</f>
        <v>521200</v>
      </c>
      <c r="B306" s="2" t="str">
        <f>"ADAPTADOR E33401"</f>
        <v>ADAPTADOR E33401</v>
      </c>
      <c r="C306" s="2" t="str">
        <f t="shared" si="10"/>
        <v>UN</v>
      </c>
      <c r="D306" s="7">
        <v>811</v>
      </c>
      <c r="E306" s="3">
        <v>8</v>
      </c>
      <c r="F306" s="2">
        <v>8</v>
      </c>
      <c r="G306" t="s">
        <v>514</v>
      </c>
    </row>
    <row r="307" spans="1:7" x14ac:dyDescent="0.25">
      <c r="A307" s="1" t="str">
        <f>"526537"</f>
        <v>526537</v>
      </c>
      <c r="B307" s="2" t="str">
        <f>"ADAPTADOR E33702"</f>
        <v>ADAPTADOR E33702</v>
      </c>
      <c r="C307" s="2" t="str">
        <f t="shared" si="10"/>
        <v>UN</v>
      </c>
      <c r="D307" s="7">
        <v>811</v>
      </c>
      <c r="E307" s="3">
        <v>8</v>
      </c>
      <c r="F307" s="2">
        <v>6</v>
      </c>
      <c r="G307" t="s">
        <v>514</v>
      </c>
    </row>
    <row r="308" spans="1:7" x14ac:dyDescent="0.25">
      <c r="A308" s="1" t="str">
        <f>"524979"</f>
        <v>524979</v>
      </c>
      <c r="B308" s="2" t="str">
        <f>"ADAPTADOR E-62443"</f>
        <v>ADAPTADOR E-62443</v>
      </c>
      <c r="C308" s="2" t="str">
        <f t="shared" si="10"/>
        <v>UN</v>
      </c>
      <c r="D308" s="7">
        <v>811</v>
      </c>
      <c r="E308" s="3">
        <v>11</v>
      </c>
      <c r="F308" s="2">
        <v>4</v>
      </c>
      <c r="G308" t="s">
        <v>512</v>
      </c>
    </row>
    <row r="309" spans="1:7" x14ac:dyDescent="0.25">
      <c r="A309" s="1" t="str">
        <f>"517613"</f>
        <v>517613</v>
      </c>
      <c r="B309" s="2" t="str">
        <f>"ADAPTADOR FERA002"</f>
        <v>ADAPTADOR FERA002</v>
      </c>
      <c r="C309" s="2" t="str">
        <f t="shared" si="10"/>
        <v>UN</v>
      </c>
      <c r="D309" s="7">
        <v>918</v>
      </c>
      <c r="E309" s="3">
        <v>11</v>
      </c>
      <c r="F309" s="2">
        <v>1</v>
      </c>
      <c r="G309" t="s">
        <v>513</v>
      </c>
    </row>
    <row r="310" spans="1:7" x14ac:dyDescent="0.25">
      <c r="A310" s="1" t="str">
        <f>"527888"</f>
        <v>527888</v>
      </c>
      <c r="B310" s="2" t="str">
        <f>"ADAPTADOR HDMI/VGA"</f>
        <v>ADAPTADOR HDMI/VGA</v>
      </c>
      <c r="C310" s="2" t="str">
        <f t="shared" si="10"/>
        <v>UN</v>
      </c>
      <c r="D310" s="7">
        <v>811</v>
      </c>
      <c r="E310" s="3">
        <v>8</v>
      </c>
      <c r="F310" s="2">
        <v>2</v>
      </c>
      <c r="G310" t="s">
        <v>514</v>
      </c>
    </row>
    <row r="311" spans="1:7" x14ac:dyDescent="0.25">
      <c r="A311" s="1" t="str">
        <f>"526830"</f>
        <v>526830</v>
      </c>
      <c r="B311" s="2" t="str">
        <f>"ADAPTADOR INTERFACE USB11A 8248311"</f>
        <v>ADAPTADOR INTERFACE USB11A 8248311</v>
      </c>
      <c r="C311" s="2" t="str">
        <f t="shared" si="10"/>
        <v>UN</v>
      </c>
      <c r="D311" s="7">
        <v>811</v>
      </c>
      <c r="E311" s="3">
        <v>8</v>
      </c>
      <c r="F311" s="2">
        <v>7</v>
      </c>
      <c r="G311" t="s">
        <v>514</v>
      </c>
    </row>
    <row r="312" spans="1:7" x14ac:dyDescent="0.25">
      <c r="A312" s="1" t="str">
        <f>"527715"</f>
        <v>527715</v>
      </c>
      <c r="B312" s="2" t="str">
        <f>"ADAPTADOR NPT 1/2"" X SWAGELOK 3/8"</f>
        <v>ADAPTADOR NPT 1/2" X SWAGELOK 3/8</v>
      </c>
      <c r="C312" s="2" t="str">
        <f t="shared" si="10"/>
        <v>UN</v>
      </c>
      <c r="D312" s="7">
        <v>807</v>
      </c>
      <c r="E312" s="3">
        <v>10</v>
      </c>
      <c r="F312" s="2">
        <v>9</v>
      </c>
      <c r="G312" t="s">
        <v>514</v>
      </c>
    </row>
    <row r="313" spans="1:7" x14ac:dyDescent="0.25">
      <c r="A313" s="1" t="str">
        <f>"527714"</f>
        <v>527714</v>
      </c>
      <c r="B313" s="2" t="str">
        <f>"ADAPTADOR NPT 1/4"" X SWAGELOK 3/8"""</f>
        <v>ADAPTADOR NPT 1/4" X SWAGELOK 3/8"</v>
      </c>
      <c r="C313" s="2" t="str">
        <f t="shared" si="10"/>
        <v>UN</v>
      </c>
      <c r="D313" s="7">
        <v>807</v>
      </c>
      <c r="E313" s="3">
        <v>10</v>
      </c>
      <c r="F313" s="2">
        <v>0</v>
      </c>
      <c r="G313" t="s">
        <v>513</v>
      </c>
    </row>
    <row r="314" spans="1:7" x14ac:dyDescent="0.25">
      <c r="A314" s="1" t="str">
        <f>"521394"</f>
        <v>521394</v>
      </c>
      <c r="B314" s="8" t="s">
        <v>201</v>
      </c>
      <c r="C314" s="2" t="str">
        <f t="shared" si="10"/>
        <v>UN</v>
      </c>
      <c r="D314" s="7">
        <v>600</v>
      </c>
      <c r="E314" s="3">
        <v>8</v>
      </c>
      <c r="F314" s="2">
        <v>0</v>
      </c>
      <c r="G314" t="s">
        <v>512</v>
      </c>
    </row>
    <row r="315" spans="1:7" x14ac:dyDescent="0.25">
      <c r="A315" s="1" t="str">
        <f>"522103"</f>
        <v>522103</v>
      </c>
      <c r="B315" s="2" t="str">
        <f>"ADAPTADOR P/ SOLDA G1/2"" 45MM"</f>
        <v>ADAPTADOR P/ SOLDA G1/2" 45MM</v>
      </c>
      <c r="C315" s="2" t="str">
        <f t="shared" si="10"/>
        <v>UN</v>
      </c>
      <c r="D315" s="7">
        <v>913</v>
      </c>
      <c r="E315" s="3">
        <v>10</v>
      </c>
      <c r="F315" s="2">
        <v>2</v>
      </c>
      <c r="G315" t="s">
        <v>513</v>
      </c>
    </row>
    <row r="316" spans="1:7" x14ac:dyDescent="0.25">
      <c r="A316" s="1" t="str">
        <f>"521864"</f>
        <v>521864</v>
      </c>
      <c r="B316" s="2" t="str">
        <f>"ADAPTADOR P/ SOLDA G12"" 45MM"</f>
        <v>ADAPTADOR P/ SOLDA G12" 45MM</v>
      </c>
      <c r="C316" s="2" t="str">
        <f t="shared" si="10"/>
        <v>UN</v>
      </c>
      <c r="D316" s="7">
        <v>913</v>
      </c>
      <c r="E316" s="3">
        <v>10</v>
      </c>
      <c r="F316" s="2">
        <v>5</v>
      </c>
      <c r="G316" t="s">
        <v>514</v>
      </c>
    </row>
    <row r="317" spans="1:7" x14ac:dyDescent="0.25">
      <c r="A317" s="1" t="str">
        <f>"521865"</f>
        <v>521865</v>
      </c>
      <c r="B317" s="2" t="str">
        <f>"ADAPTADOR P/ SOLDAGEM 50MM CONEXÃO PROCESSO"</f>
        <v>ADAPTADOR P/ SOLDAGEM 50MM CONEXÃO PROCESSO</v>
      </c>
      <c r="C317" s="2" t="str">
        <f t="shared" si="10"/>
        <v>UN</v>
      </c>
      <c r="D317" s="7">
        <v>913</v>
      </c>
      <c r="E317" s="3">
        <v>10</v>
      </c>
      <c r="F317" s="2">
        <v>6</v>
      </c>
      <c r="G317" t="s">
        <v>514</v>
      </c>
    </row>
    <row r="318" spans="1:7" x14ac:dyDescent="0.25">
      <c r="A318" s="1" t="str">
        <f>"521967"</f>
        <v>521967</v>
      </c>
      <c r="B318" s="8" t="s">
        <v>269</v>
      </c>
      <c r="C318" s="2" t="str">
        <f t="shared" si="10"/>
        <v>UN</v>
      </c>
      <c r="D318" s="7">
        <v>811</v>
      </c>
      <c r="E318" s="3">
        <v>11</v>
      </c>
      <c r="F318" s="2">
        <v>9</v>
      </c>
      <c r="G318" t="s">
        <v>514</v>
      </c>
    </row>
    <row r="319" spans="1:7" x14ac:dyDescent="0.25">
      <c r="A319" s="1" t="str">
        <f>"526790"</f>
        <v>526790</v>
      </c>
      <c r="B319" s="2" t="str">
        <f>"ADAPTADOR PVC 3"" P/ CABEÇOTE DG 40000 LISO"</f>
        <v>ADAPTADOR PVC 3" P/ CABEÇOTE DG 40000 LISO</v>
      </c>
      <c r="C319" s="2" t="str">
        <f>"BR"</f>
        <v>BR</v>
      </c>
      <c r="D319" s="7">
        <v>808</v>
      </c>
      <c r="E319" s="3">
        <v>10</v>
      </c>
      <c r="F319" s="2">
        <v>5</v>
      </c>
      <c r="G319" t="s">
        <v>513</v>
      </c>
    </row>
    <row r="320" spans="1:7" x14ac:dyDescent="0.25">
      <c r="A320" s="1" t="str">
        <f>"513594"</f>
        <v>513594</v>
      </c>
      <c r="B320" s="2" t="str">
        <f>"ADAPTADOR PVC 40MM"</f>
        <v>ADAPTADOR PVC 40MM</v>
      </c>
      <c r="C320" s="2" t="str">
        <f>"BR"</f>
        <v>BR</v>
      </c>
      <c r="D320" s="7">
        <v>808</v>
      </c>
      <c r="E320" s="3">
        <v>10</v>
      </c>
      <c r="F320" s="2">
        <v>3</v>
      </c>
      <c r="G320" t="s">
        <v>513</v>
      </c>
    </row>
    <row r="321" spans="1:7" x14ac:dyDescent="0.25">
      <c r="A321" s="1" t="str">
        <f>"500050"</f>
        <v>500050</v>
      </c>
      <c r="B321" s="2" t="str">
        <f>"ADAPTADOR PVC AZUL   1"" COLA/ROSCA"</f>
        <v>ADAPTADOR PVC AZUL   1" COLA/ROSCA</v>
      </c>
      <c r="C321" s="2" t="str">
        <f>"PC"</f>
        <v>PC</v>
      </c>
      <c r="D321" s="7">
        <v>808</v>
      </c>
      <c r="E321" s="3">
        <v>10</v>
      </c>
      <c r="F321" s="2">
        <v>3</v>
      </c>
      <c r="G321" t="s">
        <v>513</v>
      </c>
    </row>
    <row r="322" spans="1:7" x14ac:dyDescent="0.25">
      <c r="A322" s="1" t="str">
        <f>"510505"</f>
        <v>510505</v>
      </c>
      <c r="B322" s="2" t="str">
        <f>"ADAPTADOR PVC AZUL 1/2"" COLA/ROSCA"</f>
        <v>ADAPTADOR PVC AZUL 1/2" COLA/ROSCA</v>
      </c>
      <c r="C322" s="2" t="str">
        <f>"BR"</f>
        <v>BR</v>
      </c>
      <c r="D322" s="7">
        <v>808</v>
      </c>
      <c r="E322" s="3">
        <v>10</v>
      </c>
      <c r="F322" s="2">
        <v>2</v>
      </c>
      <c r="G322" t="s">
        <v>512</v>
      </c>
    </row>
    <row r="323" spans="1:7" x14ac:dyDescent="0.25">
      <c r="A323" s="1" t="str">
        <f>"510810"</f>
        <v>510810</v>
      </c>
      <c r="B323" s="2" t="str">
        <f>"ADAPTADOR PVC AZUL 3/4"" COLA/ROSCA"</f>
        <v>ADAPTADOR PVC AZUL 3/4" COLA/ROSCA</v>
      </c>
      <c r="C323" s="2" t="str">
        <f>"UN"</f>
        <v>UN</v>
      </c>
      <c r="D323" s="7">
        <v>912</v>
      </c>
      <c r="E323" s="3">
        <v>11</v>
      </c>
      <c r="F323" s="2">
        <v>1</v>
      </c>
      <c r="G323" t="s">
        <v>513</v>
      </c>
    </row>
    <row r="324" spans="1:7" x14ac:dyDescent="0.25">
      <c r="A324" s="1" t="str">
        <f>"526734"</f>
        <v>526734</v>
      </c>
      <c r="B324" s="2" t="str">
        <f>"ADAPTADOR PVC BRANCO 50MM X 1 1/2    COLA/ROSCA"</f>
        <v>ADAPTADOR PVC BRANCO 50MM X 1 1/2    COLA/ROSCA</v>
      </c>
      <c r="C324" s="2" t="str">
        <f>"BR"</f>
        <v>BR</v>
      </c>
      <c r="D324" s="7">
        <v>808</v>
      </c>
      <c r="E324" s="3">
        <v>10</v>
      </c>
      <c r="F324" s="2">
        <v>4</v>
      </c>
      <c r="G324" t="s">
        <v>514</v>
      </c>
    </row>
    <row r="325" spans="1:7" x14ac:dyDescent="0.25">
      <c r="A325" s="1" t="str">
        <f>"500055"</f>
        <v>500055</v>
      </c>
      <c r="B325" s="2" t="str">
        <f>"ADAPTADOR PVC MARRON 1 1/4"" COLA/ROSCA"</f>
        <v>ADAPTADOR PVC MARRON 1 1/4" COLA/ROSCA</v>
      </c>
      <c r="C325" s="2" t="str">
        <f>"PC"</f>
        <v>PC</v>
      </c>
      <c r="D325" s="7">
        <v>808</v>
      </c>
      <c r="E325" s="3">
        <v>10</v>
      </c>
      <c r="F325" s="2">
        <v>1</v>
      </c>
      <c r="G325" t="s">
        <v>515</v>
      </c>
    </row>
    <row r="326" spans="1:7" x14ac:dyDescent="0.25">
      <c r="A326" s="1" t="str">
        <f>"500077"</f>
        <v>500077</v>
      </c>
      <c r="B326" s="2" t="str">
        <f>"ADAPTADOR PVC MARRON 1""     COLA/ROSCA"</f>
        <v>ADAPTADOR PVC MARRON 1"     COLA/ROSCA</v>
      </c>
      <c r="C326" s="2" t="str">
        <f>"BR"</f>
        <v>BR</v>
      </c>
      <c r="D326" s="7">
        <v>808</v>
      </c>
      <c r="E326" s="3">
        <v>10</v>
      </c>
      <c r="F326" s="2">
        <v>2</v>
      </c>
      <c r="G326" t="s">
        <v>512</v>
      </c>
    </row>
    <row r="327" spans="1:7" x14ac:dyDescent="0.25">
      <c r="A327" s="1" t="str">
        <f>"502780"</f>
        <v>502780</v>
      </c>
      <c r="B327" s="2" t="str">
        <f>"ADAPTADOR PVC MARRON 1/2""   COLA/ROSCA"</f>
        <v>ADAPTADOR PVC MARRON 1/2"   COLA/ROSCA</v>
      </c>
      <c r="C327" s="2" t="str">
        <f>"BR"</f>
        <v>BR</v>
      </c>
      <c r="D327" s="7">
        <v>808</v>
      </c>
      <c r="E327" s="3">
        <v>10</v>
      </c>
      <c r="F327" s="2">
        <v>7</v>
      </c>
      <c r="G327" t="s">
        <v>516</v>
      </c>
    </row>
    <row r="328" spans="1:7" x14ac:dyDescent="0.25">
      <c r="A328" s="1" t="str">
        <f>"509212"</f>
        <v>509212</v>
      </c>
      <c r="B328" s="2" t="str">
        <f>"ADAPTADOR PVC MARRON 3""     COLA/ROSCA"</f>
        <v>ADAPTADOR PVC MARRON 3"     COLA/ROSCA</v>
      </c>
      <c r="C328" s="2" t="str">
        <f>"UN"</f>
        <v>UN</v>
      </c>
      <c r="D328" s="7">
        <v>912</v>
      </c>
      <c r="E328" s="3">
        <v>11</v>
      </c>
      <c r="F328" s="2">
        <v>9</v>
      </c>
      <c r="G328" t="s">
        <v>515</v>
      </c>
    </row>
    <row r="329" spans="1:7" x14ac:dyDescent="0.25">
      <c r="A329" s="1" t="str">
        <f>"502626"</f>
        <v>502626</v>
      </c>
      <c r="B329" s="2" t="str">
        <f>"ADAPTADOR PVC MARRON 3/4""   COLA/ROSCA"</f>
        <v>ADAPTADOR PVC MARRON 3/4"   COLA/ROSCA</v>
      </c>
      <c r="C329" s="2" t="str">
        <f t="shared" ref="C329:C335" si="11">"BR"</f>
        <v>BR</v>
      </c>
      <c r="D329" s="7">
        <v>808</v>
      </c>
      <c r="E329" s="3">
        <v>10</v>
      </c>
      <c r="F329" s="2">
        <v>0</v>
      </c>
      <c r="G329" t="s">
        <v>514</v>
      </c>
    </row>
    <row r="330" spans="1:7" x14ac:dyDescent="0.25">
      <c r="A330" s="1" t="str">
        <f>"525282"</f>
        <v>525282</v>
      </c>
      <c r="B330" s="2" t="str">
        <f>"ADAPTADOR PVC MARRON 50MM COLA/ROSCA"</f>
        <v>ADAPTADOR PVC MARRON 50MM COLA/ROSCA</v>
      </c>
      <c r="C330" s="2" t="str">
        <f t="shared" si="11"/>
        <v>BR</v>
      </c>
      <c r="D330" s="7">
        <v>808</v>
      </c>
      <c r="E330" s="3">
        <v>10</v>
      </c>
      <c r="F330" s="2">
        <v>0</v>
      </c>
      <c r="G330" t="s">
        <v>512</v>
      </c>
    </row>
    <row r="331" spans="1:7" x14ac:dyDescent="0.25">
      <c r="A331" s="1" t="str">
        <f>"512760"</f>
        <v>512760</v>
      </c>
      <c r="B331" s="2" t="str">
        <f>"ADAPTADOR PVC MARRON 50MM X 1 1/2    COLA/ROSCA"</f>
        <v>ADAPTADOR PVC MARRON 50MM X 1 1/2    COLA/ROSCA</v>
      </c>
      <c r="C331" s="2" t="str">
        <f t="shared" si="11"/>
        <v>BR</v>
      </c>
      <c r="D331" s="7">
        <v>808</v>
      </c>
      <c r="E331" s="3">
        <v>10</v>
      </c>
      <c r="F331" s="2">
        <v>4</v>
      </c>
      <c r="G331" t="s">
        <v>513</v>
      </c>
    </row>
    <row r="332" spans="1:7" x14ac:dyDescent="0.25">
      <c r="A332" s="1" t="str">
        <f>"507378"</f>
        <v>507378</v>
      </c>
      <c r="B332" s="2" t="str">
        <f>"ADAPTADOR PVC MARRON 50x1""1/2  COLA/ROSCA C/ FLANGE"</f>
        <v>ADAPTADOR PVC MARRON 50x1"1/2  COLA/ROSCA C/ FLANGE</v>
      </c>
      <c r="C332" s="2" t="str">
        <f t="shared" si="11"/>
        <v>BR</v>
      </c>
      <c r="D332" s="7">
        <v>808</v>
      </c>
      <c r="E332" s="3">
        <v>10</v>
      </c>
      <c r="F332" s="2">
        <v>1</v>
      </c>
      <c r="G332" t="s">
        <v>514</v>
      </c>
    </row>
    <row r="333" spans="1:7" x14ac:dyDescent="0.25">
      <c r="A333" s="1" t="str">
        <f>"508346"</f>
        <v>508346</v>
      </c>
      <c r="B333" s="2" t="str">
        <f>"ADAPTADOR PVC MARRON 60MM   COLA/ROSCA"</f>
        <v>ADAPTADOR PVC MARRON 60MM   COLA/ROSCA</v>
      </c>
      <c r="C333" s="2" t="str">
        <f t="shared" si="11"/>
        <v>BR</v>
      </c>
      <c r="D333" s="7">
        <v>808</v>
      </c>
      <c r="E333" s="3">
        <v>10</v>
      </c>
      <c r="F333" s="2">
        <v>2</v>
      </c>
      <c r="G333" t="s">
        <v>514</v>
      </c>
    </row>
    <row r="334" spans="1:7" x14ac:dyDescent="0.25">
      <c r="A334" s="1" t="str">
        <f>"512759"</f>
        <v>512759</v>
      </c>
      <c r="B334" s="2" t="str">
        <f>"ADAPTADOR PVC MARRON 60MM X 2    COLA/ROSCA"</f>
        <v>ADAPTADOR PVC MARRON 60MM X 2    COLA/ROSCA</v>
      </c>
      <c r="C334" s="2" t="str">
        <f t="shared" si="11"/>
        <v>BR</v>
      </c>
      <c r="D334" s="7">
        <v>808</v>
      </c>
      <c r="E334" s="3">
        <v>10</v>
      </c>
      <c r="F334" s="2">
        <v>7</v>
      </c>
      <c r="G334" t="s">
        <v>512</v>
      </c>
    </row>
    <row r="335" spans="1:7" x14ac:dyDescent="0.25">
      <c r="A335" s="1" t="str">
        <f>"512757"</f>
        <v>512757</v>
      </c>
      <c r="B335" s="2" t="str">
        <f>"ADAPTADOR PVC MARRON 75 X 2 1/2   COLA/ROSCA"</f>
        <v>ADAPTADOR PVC MARRON 75 X 2 1/2   COLA/ROSCA</v>
      </c>
      <c r="C335" s="2" t="str">
        <f t="shared" si="11"/>
        <v>BR</v>
      </c>
      <c r="D335" s="7">
        <v>808</v>
      </c>
      <c r="E335" s="3">
        <v>10</v>
      </c>
      <c r="F335" s="2">
        <v>9</v>
      </c>
      <c r="G335" t="s">
        <v>513</v>
      </c>
    </row>
    <row r="336" spans="1:7" x14ac:dyDescent="0.25">
      <c r="A336" s="1" t="str">
        <f>"522505"</f>
        <v>522505</v>
      </c>
      <c r="B336" s="2" t="str">
        <f>"ADAPTADOR PVC MARRON 85 X 2 1/2 COLA/ROSCA"</f>
        <v>ADAPTADOR PVC MARRON 85 X 2 1/2 COLA/ROSCA</v>
      </c>
      <c r="C336" s="2" t="str">
        <f>"UN"</f>
        <v>UN</v>
      </c>
      <c r="D336" s="7">
        <v>807</v>
      </c>
      <c r="E336" s="3">
        <v>10</v>
      </c>
      <c r="F336" s="5">
        <v>5</v>
      </c>
      <c r="G336" t="s">
        <v>514</v>
      </c>
    </row>
    <row r="337" spans="1:7" x14ac:dyDescent="0.25">
      <c r="A337" s="1" t="str">
        <f>"512758"</f>
        <v>512758</v>
      </c>
      <c r="B337" s="2" t="str">
        <f>"ADAPTADOR PVC MARRON 85MM X 3    COLA/ROSCA"</f>
        <v>ADAPTADOR PVC MARRON 85MM X 3    COLA/ROSCA</v>
      </c>
      <c r="C337" s="2" t="str">
        <f>"BR"</f>
        <v>BR</v>
      </c>
      <c r="D337" s="7">
        <v>808</v>
      </c>
      <c r="E337" s="3">
        <v>10</v>
      </c>
      <c r="F337" s="2">
        <v>3</v>
      </c>
      <c r="G337" t="s">
        <v>514</v>
      </c>
    </row>
    <row r="338" spans="1:7" x14ac:dyDescent="0.25">
      <c r="A338" s="1" t="str">
        <f>"526791"</f>
        <v>526791</v>
      </c>
      <c r="B338" s="2" t="str">
        <f>"ADAPTADOR PVC SCH80 3 POL X 75MM"</f>
        <v>ADAPTADOR PVC SCH80 3 POL X 75MM</v>
      </c>
      <c r="C338" s="2" t="str">
        <f>"BR"</f>
        <v>BR</v>
      </c>
      <c r="D338" s="7">
        <v>808</v>
      </c>
      <c r="E338" s="3">
        <v>10</v>
      </c>
      <c r="F338" s="2">
        <v>8</v>
      </c>
      <c r="G338" t="s">
        <v>514</v>
      </c>
    </row>
    <row r="339" spans="1:7" x14ac:dyDescent="0.25">
      <c r="A339" s="1" t="str">
        <f>"521748"</f>
        <v>521748</v>
      </c>
      <c r="B339" s="2" t="str">
        <f>"ADAPTADOR ROSCA ROSCA INTERNA 3/4 X 1/2"""</f>
        <v>ADAPTADOR ROSCA ROSCA INTERNA 3/4 X 1/2"</v>
      </c>
      <c r="C339" s="2" t="str">
        <f t="shared" ref="C339:C344" si="12">"UN"</f>
        <v>UN</v>
      </c>
      <c r="D339" s="7">
        <v>99999</v>
      </c>
      <c r="E339" s="3">
        <v>99</v>
      </c>
      <c r="F339" s="2">
        <v>6</v>
      </c>
      <c r="G339" t="s">
        <v>513</v>
      </c>
    </row>
    <row r="340" spans="1:7" x14ac:dyDescent="0.25">
      <c r="A340" s="1" t="str">
        <f>"512344"</f>
        <v>512344</v>
      </c>
      <c r="B340" s="2" t="str">
        <f>"ADAPTADOR SEALTUBO 1"""</f>
        <v>ADAPTADOR SEALTUBO 1"</v>
      </c>
      <c r="C340" s="2" t="str">
        <f t="shared" si="12"/>
        <v>UN</v>
      </c>
      <c r="D340" s="7">
        <v>601</v>
      </c>
      <c r="E340" s="3">
        <v>8</v>
      </c>
      <c r="F340" s="2">
        <v>4</v>
      </c>
      <c r="G340" t="s">
        <v>512</v>
      </c>
    </row>
    <row r="341" spans="1:7" x14ac:dyDescent="0.25">
      <c r="A341" s="1" t="str">
        <f>"511732"</f>
        <v>511732</v>
      </c>
      <c r="B341" s="2" t="str">
        <f>"ADAPTADOR SEALTUBO 3/4"""</f>
        <v>ADAPTADOR SEALTUBO 3/4"</v>
      </c>
      <c r="C341" s="2" t="str">
        <f t="shared" si="12"/>
        <v>UN</v>
      </c>
      <c r="D341" s="7">
        <v>601</v>
      </c>
      <c r="E341" s="3">
        <v>8</v>
      </c>
      <c r="F341" s="2">
        <v>1</v>
      </c>
      <c r="G341" t="s">
        <v>513</v>
      </c>
    </row>
    <row r="342" spans="1:7" x14ac:dyDescent="0.25">
      <c r="A342" s="1" t="str">
        <f>"519402"</f>
        <v>519402</v>
      </c>
      <c r="B342" s="2" t="str">
        <f>"ADAPTADOR SENSOR SICK T CIL. RED. BEF-KHZ-RT-1-25 5 311 171"</f>
        <v>ADAPTADOR SENSOR SICK T CIL. RED. BEF-KHZ-RT-1-25 5 311 171</v>
      </c>
      <c r="C342" s="2" t="str">
        <f t="shared" si="12"/>
        <v>UN</v>
      </c>
      <c r="D342" s="7">
        <v>811</v>
      </c>
      <c r="E342" s="3">
        <v>8</v>
      </c>
      <c r="F342" s="2">
        <v>2</v>
      </c>
      <c r="G342" t="s">
        <v>514</v>
      </c>
    </row>
    <row r="343" spans="1:7" x14ac:dyDescent="0.25">
      <c r="A343" s="1" t="str">
        <f>"519987"</f>
        <v>519987</v>
      </c>
      <c r="B343" s="2" t="str">
        <f>"ADAPTADOR SMS 304 3"" C/ ROSCA BSP"</f>
        <v>ADAPTADOR SMS 304 3" C/ ROSCA BSP</v>
      </c>
      <c r="C343" s="2" t="str">
        <f t="shared" si="12"/>
        <v>UN</v>
      </c>
      <c r="D343" s="7">
        <v>807</v>
      </c>
      <c r="E343" s="3">
        <v>10</v>
      </c>
      <c r="F343" s="2">
        <v>7</v>
      </c>
      <c r="G343" t="s">
        <v>514</v>
      </c>
    </row>
    <row r="344" spans="1:7" x14ac:dyDescent="0.25">
      <c r="A344" s="1" t="str">
        <f>"519986"</f>
        <v>519986</v>
      </c>
      <c r="B344" s="2" t="str">
        <f>"ADAPTADOR SMS 304 4"" C/ ROSCA BSP"</f>
        <v>ADAPTADOR SMS 304 4" C/ ROSCA BSP</v>
      </c>
      <c r="C344" s="2" t="str">
        <f t="shared" si="12"/>
        <v>UN</v>
      </c>
      <c r="D344" s="7">
        <v>807</v>
      </c>
      <c r="E344" s="3">
        <v>10</v>
      </c>
      <c r="F344" s="2">
        <v>9</v>
      </c>
      <c r="G344" t="s">
        <v>514</v>
      </c>
    </row>
    <row r="345" spans="1:7" x14ac:dyDescent="0.25">
      <c r="A345" s="1" t="str">
        <f>"513581"</f>
        <v>513581</v>
      </c>
      <c r="B345" s="2" t="str">
        <f>"ADAPTADOR STOR 2.1/2"</f>
        <v>ADAPTADOR STOR 2.1/2</v>
      </c>
      <c r="C345" s="2" t="str">
        <f>"BR"</f>
        <v>BR</v>
      </c>
      <c r="D345" s="7">
        <v>808</v>
      </c>
      <c r="E345" s="3">
        <v>10</v>
      </c>
      <c r="F345" s="2">
        <v>0</v>
      </c>
      <c r="G345" t="s">
        <v>513</v>
      </c>
    </row>
    <row r="346" spans="1:7" x14ac:dyDescent="0.25">
      <c r="A346" s="1" t="str">
        <f>"573782"</f>
        <v>573782</v>
      </c>
      <c r="B346" s="2" t="str">
        <f>"ADAPTADOR STORAGE CABLE"</f>
        <v>ADAPTADOR STORAGE CABLE</v>
      </c>
      <c r="C346" s="2" t="str">
        <f>"UN"</f>
        <v>UN</v>
      </c>
      <c r="D346" s="7">
        <v>811</v>
      </c>
      <c r="E346" s="3">
        <v>8</v>
      </c>
      <c r="F346" s="2">
        <v>0</v>
      </c>
      <c r="G346" t="s">
        <v>513</v>
      </c>
    </row>
    <row r="347" spans="1:7" x14ac:dyDescent="0.25">
      <c r="A347" s="1" t="str">
        <f>"504027"</f>
        <v>504027</v>
      </c>
      <c r="B347" s="2" t="str">
        <f>"ADAPTADOR TERMO-ELEMENTO COD.310019-03"</f>
        <v>ADAPTADOR TERMO-ELEMENTO COD.310019-03</v>
      </c>
      <c r="C347" s="2" t="str">
        <f>"PC"</f>
        <v>PC</v>
      </c>
      <c r="D347" s="7">
        <v>908</v>
      </c>
      <c r="E347" s="3">
        <v>11</v>
      </c>
      <c r="F347" s="2">
        <v>2</v>
      </c>
      <c r="G347" t="s">
        <v>513</v>
      </c>
    </row>
    <row r="348" spans="1:7" x14ac:dyDescent="0.25">
      <c r="A348" s="1" t="str">
        <f>"513860"</f>
        <v>513860</v>
      </c>
      <c r="B348" s="2" t="str">
        <f>"ADAPTADOR TOMADA"</f>
        <v>ADAPTADOR TOMADA</v>
      </c>
      <c r="C348" s="2" t="str">
        <f t="shared" ref="C348:C392" si="13">"UN"</f>
        <v>UN</v>
      </c>
      <c r="D348" s="7">
        <v>99999</v>
      </c>
      <c r="E348" s="3">
        <v>10</v>
      </c>
      <c r="F348" s="2">
        <v>5</v>
      </c>
      <c r="G348" t="s">
        <v>512</v>
      </c>
    </row>
    <row r="349" spans="1:7" x14ac:dyDescent="0.25">
      <c r="A349" s="1" t="str">
        <f>"527081"</f>
        <v>527081</v>
      </c>
      <c r="B349" s="2" t="str">
        <f>"ADAPTADOR TOMADA 20A - 10A"</f>
        <v>ADAPTADOR TOMADA 20A - 10A</v>
      </c>
      <c r="C349" s="2" t="str">
        <f t="shared" si="13"/>
        <v>UN</v>
      </c>
      <c r="D349" s="7">
        <v>99999</v>
      </c>
      <c r="E349" s="3">
        <v>10</v>
      </c>
      <c r="F349" s="2">
        <v>6</v>
      </c>
      <c r="G349" t="s">
        <v>513</v>
      </c>
    </row>
    <row r="350" spans="1:7" x14ac:dyDescent="0.25">
      <c r="A350" s="1" t="str">
        <f>"511437"</f>
        <v>511437</v>
      </c>
      <c r="B350" s="2" t="str">
        <f>"ADAPTADOR TOMADA MOD. NOVO X MOD. VELHO"</f>
        <v>ADAPTADOR TOMADA MOD. NOVO X MOD. VELHO</v>
      </c>
      <c r="C350" s="2" t="str">
        <f t="shared" si="13"/>
        <v>UN</v>
      </c>
      <c r="D350" s="7">
        <v>601</v>
      </c>
      <c r="E350" s="3">
        <v>8</v>
      </c>
      <c r="F350" s="2">
        <v>9</v>
      </c>
      <c r="G350" t="s">
        <v>514</v>
      </c>
    </row>
    <row r="351" spans="1:7" x14ac:dyDescent="0.25">
      <c r="A351" s="1" t="str">
        <f>"513598"</f>
        <v>513598</v>
      </c>
      <c r="B351" s="2" t="str">
        <f>"ADAPTADOR VOIP TELEFONE ANALOGICO ATA GKM 2210T INTELBRAS"</f>
        <v>ADAPTADOR VOIP TELEFONE ANALOGICO ATA GKM 2210T INTELBRAS</v>
      </c>
      <c r="C351" s="2" t="str">
        <f t="shared" si="13"/>
        <v>UN</v>
      </c>
      <c r="D351" s="7">
        <v>811</v>
      </c>
      <c r="E351" s="3">
        <v>8</v>
      </c>
      <c r="F351" s="2">
        <v>5</v>
      </c>
      <c r="G351" t="s">
        <v>515</v>
      </c>
    </row>
    <row r="352" spans="1:7" x14ac:dyDescent="0.25">
      <c r="A352" s="1" t="str">
        <f>"514723"</f>
        <v>514723</v>
      </c>
      <c r="B352" s="2" t="str">
        <f>"ADEDERME"</f>
        <v>ADEDERME</v>
      </c>
      <c r="C352" s="2" t="str">
        <f t="shared" si="13"/>
        <v>UN</v>
      </c>
      <c r="D352" s="7">
        <v>401</v>
      </c>
      <c r="E352" s="3">
        <v>4</v>
      </c>
      <c r="F352" s="2">
        <v>3</v>
      </c>
      <c r="G352" t="s">
        <v>512</v>
      </c>
    </row>
    <row r="353" spans="1:7" x14ac:dyDescent="0.25">
      <c r="A353" s="1" t="str">
        <f>"506402"</f>
        <v>506402</v>
      </c>
      <c r="B353" s="2" t="str">
        <f>"ADEESIVO UNIVERSAL LIQ. 225ML"</f>
        <v>ADEESIVO UNIVERSAL LIQ. 225ML</v>
      </c>
      <c r="C353" s="2" t="str">
        <f t="shared" si="13"/>
        <v>UN</v>
      </c>
      <c r="D353" s="7">
        <v>918</v>
      </c>
      <c r="E353" s="3">
        <v>11</v>
      </c>
      <c r="F353" s="2">
        <v>3</v>
      </c>
      <c r="G353" t="s">
        <v>516</v>
      </c>
    </row>
    <row r="354" spans="1:7" x14ac:dyDescent="0.25">
      <c r="A354" s="1" t="str">
        <f>"513888"</f>
        <v>513888</v>
      </c>
      <c r="B354" s="2" t="str">
        <f>"ADESIVO"</f>
        <v>ADESIVO</v>
      </c>
      <c r="C354" s="2" t="str">
        <f t="shared" si="13"/>
        <v>UN</v>
      </c>
      <c r="D354" s="7">
        <v>99999</v>
      </c>
      <c r="E354" s="3">
        <v>99</v>
      </c>
      <c r="F354" s="2">
        <v>2</v>
      </c>
      <c r="G354" t="s">
        <v>515</v>
      </c>
    </row>
    <row r="355" spans="1:7" x14ac:dyDescent="0.25">
      <c r="A355" s="1" t="str">
        <f>"511618"</f>
        <v>511618</v>
      </c>
      <c r="B355" s="2" t="str">
        <f>"ADESIVO 20CM X 25CM"</f>
        <v>ADESIVO 20CM X 25CM</v>
      </c>
      <c r="C355" s="2" t="str">
        <f t="shared" si="13"/>
        <v>UN</v>
      </c>
      <c r="D355" s="7">
        <v>803</v>
      </c>
      <c r="E355" s="3">
        <v>10</v>
      </c>
      <c r="F355" s="2">
        <v>1</v>
      </c>
      <c r="G355" t="s">
        <v>514</v>
      </c>
    </row>
    <row r="356" spans="1:7" x14ac:dyDescent="0.25">
      <c r="A356" s="1" t="str">
        <f>"511617"</f>
        <v>511617</v>
      </c>
      <c r="B356" s="2" t="str">
        <f>"ADESIVO 30CM X 20CM"</f>
        <v>ADESIVO 30CM X 20CM</v>
      </c>
      <c r="C356" s="2" t="str">
        <f t="shared" si="13"/>
        <v>UN</v>
      </c>
      <c r="D356" s="7">
        <v>803</v>
      </c>
      <c r="E356" s="3">
        <v>10</v>
      </c>
      <c r="F356" s="2">
        <v>4</v>
      </c>
      <c r="G356" t="s">
        <v>512</v>
      </c>
    </row>
    <row r="357" spans="1:7" x14ac:dyDescent="0.25">
      <c r="A357" s="1" t="str">
        <f>"509261"</f>
        <v>509261</v>
      </c>
      <c r="B357" s="2" t="str">
        <f>"ADESIVO BOTA 10X08CM"</f>
        <v>ADESIVO BOTA 10X08CM</v>
      </c>
      <c r="C357" s="2" t="str">
        <f t="shared" si="13"/>
        <v>UN</v>
      </c>
      <c r="D357" s="7">
        <v>918</v>
      </c>
      <c r="E357" s="3">
        <v>11</v>
      </c>
      <c r="F357" s="2">
        <v>6</v>
      </c>
      <c r="G357" t="s">
        <v>513</v>
      </c>
    </row>
    <row r="358" spans="1:7" x14ac:dyDescent="0.25">
      <c r="A358" s="1" t="str">
        <f>"511394"</f>
        <v>511394</v>
      </c>
      <c r="B358" s="2" t="str">
        <f>"ADESIVO CIANOACRILATO W096 20G"</f>
        <v>ADESIVO CIANOACRILATO W096 20G</v>
      </c>
      <c r="C358" s="2" t="str">
        <f t="shared" si="13"/>
        <v>UN</v>
      </c>
      <c r="D358" s="7">
        <v>812</v>
      </c>
      <c r="E358" s="3">
        <v>10</v>
      </c>
      <c r="F358" s="2">
        <v>8</v>
      </c>
      <c r="G358" t="s">
        <v>514</v>
      </c>
    </row>
    <row r="359" spans="1:7" x14ac:dyDescent="0.25">
      <c r="A359" s="1" t="str">
        <f>"510114"</f>
        <v>510114</v>
      </c>
      <c r="B359" s="2" t="str">
        <f>"ADESIVO COMEMORATIVO 40 ANOS"</f>
        <v>ADESIVO COMEMORATIVO 40 ANOS</v>
      </c>
      <c r="C359" s="2" t="str">
        <f t="shared" si="13"/>
        <v>UN</v>
      </c>
      <c r="D359" s="7">
        <v>401</v>
      </c>
      <c r="E359" s="3">
        <v>4</v>
      </c>
      <c r="F359" s="2">
        <v>7</v>
      </c>
      <c r="G359" t="s">
        <v>514</v>
      </c>
    </row>
    <row r="360" spans="1:7" x14ac:dyDescent="0.25">
      <c r="A360" s="1" t="str">
        <f>"504548"</f>
        <v>504548</v>
      </c>
      <c r="B360" s="2" t="str">
        <f>"ADESIVO CONTATO SPRAY 340GR"</f>
        <v>ADESIVO CONTATO SPRAY 340GR</v>
      </c>
      <c r="C360" s="2" t="str">
        <f t="shared" si="13"/>
        <v>UN</v>
      </c>
      <c r="D360" s="7">
        <v>918</v>
      </c>
      <c r="E360" s="3">
        <v>4</v>
      </c>
      <c r="F360" s="2">
        <v>6</v>
      </c>
      <c r="G360" t="s">
        <v>512</v>
      </c>
    </row>
    <row r="361" spans="1:7" x14ac:dyDescent="0.25">
      <c r="A361" s="1" t="str">
        <f>"509176"</f>
        <v>509176</v>
      </c>
      <c r="B361" s="2" t="str">
        <f>"ADESIVO DE SILICONE 310GR SIKAFLEX"</f>
        <v>ADESIVO DE SILICONE 310GR SIKAFLEX</v>
      </c>
      <c r="C361" s="2" t="str">
        <f t="shared" si="13"/>
        <v>UN</v>
      </c>
      <c r="D361" s="7">
        <v>918</v>
      </c>
      <c r="E361" s="3">
        <v>11</v>
      </c>
      <c r="F361" s="2">
        <v>6</v>
      </c>
      <c r="G361" t="s">
        <v>513</v>
      </c>
    </row>
    <row r="362" spans="1:7" x14ac:dyDescent="0.25">
      <c r="A362" s="1" t="str">
        <f>"510931"</f>
        <v>510931</v>
      </c>
      <c r="B362" s="2" t="str">
        <f>"ADESIVO EPOX ESR-05"</f>
        <v>ADESIVO EPOX ESR-05</v>
      </c>
      <c r="C362" s="2" t="str">
        <f t="shared" si="13"/>
        <v>UN</v>
      </c>
      <c r="D362" s="7">
        <v>99999</v>
      </c>
      <c r="E362" s="3">
        <v>99</v>
      </c>
      <c r="F362" s="2">
        <v>2</v>
      </c>
      <c r="G362" t="s">
        <v>514</v>
      </c>
    </row>
    <row r="363" spans="1:7" x14ac:dyDescent="0.25">
      <c r="A363" s="1" t="str">
        <f>"514124"</f>
        <v>514124</v>
      </c>
      <c r="B363" s="2" t="str">
        <f>"ADESIVO EPOX ESR12 16GR"</f>
        <v>ADESIVO EPOX ESR12 16GR</v>
      </c>
      <c r="C363" s="2" t="str">
        <f t="shared" si="13"/>
        <v>UN</v>
      </c>
      <c r="D363" s="7">
        <v>812</v>
      </c>
      <c r="E363" s="3">
        <v>10</v>
      </c>
      <c r="F363" s="2">
        <v>1</v>
      </c>
      <c r="G363" t="s">
        <v>514</v>
      </c>
    </row>
    <row r="364" spans="1:7" x14ac:dyDescent="0.25">
      <c r="A364" s="1" t="str">
        <f>"514469"</f>
        <v>514469</v>
      </c>
      <c r="B364" s="2" t="str">
        <f>"ADESIVO ESPELHO RETROVISOR"</f>
        <v>ADESIVO ESPELHO RETROVISOR</v>
      </c>
      <c r="C364" s="2" t="str">
        <f t="shared" si="13"/>
        <v>UN</v>
      </c>
      <c r="D364" s="7">
        <v>704</v>
      </c>
      <c r="E364" s="3">
        <v>9</v>
      </c>
      <c r="F364" s="2">
        <v>0</v>
      </c>
      <c r="G364" t="s">
        <v>514</v>
      </c>
    </row>
    <row r="365" spans="1:7" x14ac:dyDescent="0.25">
      <c r="A365" s="1" t="str">
        <f>"527553"</f>
        <v>527553</v>
      </c>
      <c r="B365" s="2" t="str">
        <f>"ADESIVO FOSCO COM IMPRESSÃO DIGITAL 0.100 x 3.000"</f>
        <v>ADESIVO FOSCO COM IMPRESSÃO DIGITAL 0.100 x 3.000</v>
      </c>
      <c r="C365" s="2" t="str">
        <f t="shared" si="13"/>
        <v>UN</v>
      </c>
      <c r="D365" s="7">
        <v>402</v>
      </c>
      <c r="E365" s="3">
        <v>4</v>
      </c>
      <c r="F365" s="2">
        <v>0</v>
      </c>
      <c r="G365" t="s">
        <v>513</v>
      </c>
    </row>
    <row r="366" spans="1:7" x14ac:dyDescent="0.25">
      <c r="A366" s="1" t="str">
        <f>"524601"</f>
        <v>524601</v>
      </c>
      <c r="B366" s="2" t="str">
        <f>"ADESIVO INDUSTRIAL 900ML"</f>
        <v>ADESIVO INDUSTRIAL 900ML</v>
      </c>
      <c r="C366" s="2" t="str">
        <f t="shared" si="13"/>
        <v>UN</v>
      </c>
      <c r="D366" s="7">
        <v>99999</v>
      </c>
      <c r="E366" s="3">
        <v>99</v>
      </c>
      <c r="F366" s="2">
        <v>0</v>
      </c>
      <c r="G366" t="s">
        <v>512</v>
      </c>
    </row>
    <row r="367" spans="1:7" x14ac:dyDescent="0.25">
      <c r="A367" s="1" t="str">
        <f>"509646"</f>
        <v>509646</v>
      </c>
      <c r="B367" s="2" t="str">
        <f>"ADESIVO INDUSTRIAL AC-1099"</f>
        <v>ADESIVO INDUSTRIAL AC-1099</v>
      </c>
      <c r="C367" s="2" t="str">
        <f t="shared" si="13"/>
        <v>UN</v>
      </c>
      <c r="D367" s="7">
        <v>402</v>
      </c>
      <c r="E367" s="3">
        <v>4</v>
      </c>
      <c r="F367" s="2">
        <v>3</v>
      </c>
      <c r="G367" t="s">
        <v>513</v>
      </c>
    </row>
    <row r="368" spans="1:7" x14ac:dyDescent="0.25">
      <c r="A368" s="1" t="str">
        <f>"512504"</f>
        <v>512504</v>
      </c>
      <c r="B368" s="2" t="str">
        <f>"ADESIVO LAMINAÇAO MAXI RUBBER 900ML"</f>
        <v>ADESIVO LAMINAÇAO MAXI RUBBER 900ML</v>
      </c>
      <c r="C368" s="2" t="str">
        <f t="shared" si="13"/>
        <v>UN</v>
      </c>
      <c r="D368" s="7">
        <v>803</v>
      </c>
      <c r="E368" s="3">
        <v>10</v>
      </c>
      <c r="F368" s="5">
        <v>5</v>
      </c>
      <c r="G368" t="s">
        <v>514</v>
      </c>
    </row>
    <row r="369" spans="1:7" x14ac:dyDescent="0.25">
      <c r="A369" s="1" t="str">
        <f>"505467"</f>
        <v>505467</v>
      </c>
      <c r="B369" s="2" t="str">
        <f>"ADESIVO LOCTITE TRAVANTE PF WU"</f>
        <v>ADESIVO LOCTITE TRAVANTE PF WU</v>
      </c>
      <c r="C369" s="2" t="str">
        <f t="shared" si="13"/>
        <v>UN</v>
      </c>
      <c r="D369" s="7">
        <v>704</v>
      </c>
      <c r="E369" s="3">
        <v>9</v>
      </c>
      <c r="F369" s="2">
        <v>3</v>
      </c>
      <c r="G369" t="s">
        <v>514</v>
      </c>
    </row>
    <row r="370" spans="1:7" x14ac:dyDescent="0.25">
      <c r="A370" s="1" t="str">
        <f>"511392"</f>
        <v>511392</v>
      </c>
      <c r="B370" s="2" t="str">
        <f>"ADESIVO P/ JUNTA DE MOTORES 75GR"</f>
        <v>ADESIVO P/ JUNTA DE MOTORES 75GR</v>
      </c>
      <c r="C370" s="2" t="str">
        <f t="shared" si="13"/>
        <v>UN</v>
      </c>
      <c r="D370" s="7">
        <v>99999</v>
      </c>
      <c r="E370" s="3">
        <v>10</v>
      </c>
      <c r="F370" s="2">
        <v>8</v>
      </c>
      <c r="G370" t="s">
        <v>514</v>
      </c>
    </row>
    <row r="371" spans="1:7" x14ac:dyDescent="0.25">
      <c r="A371" s="1" t="str">
        <f>"522491"</f>
        <v>522491</v>
      </c>
      <c r="B371" s="2" t="str">
        <f>"ADESIVO PLASTICO 495GR"</f>
        <v>ADESIVO PLASTICO 495GR</v>
      </c>
      <c r="C371" s="2" t="str">
        <f t="shared" si="13"/>
        <v>UN</v>
      </c>
      <c r="D371" s="7">
        <v>812</v>
      </c>
      <c r="E371" s="3">
        <v>10</v>
      </c>
      <c r="F371" s="2">
        <v>6</v>
      </c>
      <c r="G371" t="s">
        <v>513</v>
      </c>
    </row>
    <row r="372" spans="1:7" x14ac:dyDescent="0.25">
      <c r="A372" s="1" t="str">
        <f>"504551"</f>
        <v>504551</v>
      </c>
      <c r="B372" s="2" t="str">
        <f>"ADESIVO REFLETIVO PARACHOQUE TRASEIRO"</f>
        <v>ADESIVO REFLETIVO PARACHOQUE TRASEIRO</v>
      </c>
      <c r="C372" s="2" t="str">
        <f t="shared" si="13"/>
        <v>UN</v>
      </c>
      <c r="D372" s="7">
        <v>704</v>
      </c>
      <c r="E372" s="3">
        <v>9</v>
      </c>
      <c r="F372" s="2">
        <v>4</v>
      </c>
      <c r="G372" t="s">
        <v>513</v>
      </c>
    </row>
    <row r="373" spans="1:7" x14ac:dyDescent="0.25">
      <c r="A373" s="1" t="str">
        <f>"510230"</f>
        <v>510230</v>
      </c>
      <c r="B373" s="2" t="str">
        <f>"ADESIVO TAM. 0,17X0,17MT"</f>
        <v>ADESIVO TAM. 0,17X0,17MT</v>
      </c>
      <c r="C373" s="2" t="str">
        <f t="shared" si="13"/>
        <v>UN</v>
      </c>
      <c r="D373" s="7">
        <v>402</v>
      </c>
      <c r="E373" s="3">
        <v>4</v>
      </c>
      <c r="F373" s="2">
        <v>1</v>
      </c>
      <c r="G373" t="s">
        <v>513</v>
      </c>
    </row>
    <row r="374" spans="1:7" x14ac:dyDescent="0.25">
      <c r="A374" s="1" t="str">
        <f>"510932"</f>
        <v>510932</v>
      </c>
      <c r="B374" s="2" t="str">
        <f>"ADESIVO TAM. 0,18X0,18MT"</f>
        <v>ADESIVO TAM. 0,18X0,18MT</v>
      </c>
      <c r="C374" s="2" t="str">
        <f t="shared" si="13"/>
        <v>UN</v>
      </c>
      <c r="D374" s="7">
        <v>402</v>
      </c>
      <c r="E374" s="3">
        <v>4</v>
      </c>
      <c r="F374" s="2">
        <v>2</v>
      </c>
      <c r="G374" t="s">
        <v>512</v>
      </c>
    </row>
    <row r="375" spans="1:7" x14ac:dyDescent="0.25">
      <c r="A375" s="1" t="str">
        <f>"509935"</f>
        <v>509935</v>
      </c>
      <c r="B375" s="2" t="str">
        <f>"ADESIVO TAM. 0,48X0,47MT"</f>
        <v>ADESIVO TAM. 0,48X0,47MT</v>
      </c>
      <c r="C375" s="2" t="str">
        <f t="shared" si="13"/>
        <v>UN</v>
      </c>
      <c r="D375" s="7">
        <v>402</v>
      </c>
      <c r="E375" s="3">
        <v>4</v>
      </c>
      <c r="F375" s="2">
        <v>7</v>
      </c>
      <c r="G375" t="s">
        <v>513</v>
      </c>
    </row>
    <row r="376" spans="1:7" x14ac:dyDescent="0.25">
      <c r="A376" s="1" t="str">
        <f>"510133"</f>
        <v>510133</v>
      </c>
      <c r="B376" s="2" t="str">
        <f>"ADESIVO TAM. 0,50X2,11MT"</f>
        <v>ADESIVO TAM. 0,50X2,11MT</v>
      </c>
      <c r="C376" s="2" t="str">
        <f t="shared" si="13"/>
        <v>UN</v>
      </c>
      <c r="D376" s="7">
        <v>402</v>
      </c>
      <c r="E376" s="3">
        <v>4</v>
      </c>
      <c r="F376" s="2">
        <v>9</v>
      </c>
      <c r="G376" t="s">
        <v>514</v>
      </c>
    </row>
    <row r="377" spans="1:7" x14ac:dyDescent="0.25">
      <c r="A377" s="1" t="str">
        <f>"509934"</f>
        <v>509934</v>
      </c>
      <c r="B377" s="2" t="str">
        <f>"ADESIVO TAM. 0,68X0,47MT"</f>
        <v>ADESIVO TAM. 0,68X0,47MT</v>
      </c>
      <c r="C377" s="2" t="str">
        <f t="shared" si="13"/>
        <v>UN</v>
      </c>
      <c r="D377" s="7">
        <v>402</v>
      </c>
      <c r="E377" s="3">
        <v>4</v>
      </c>
      <c r="F377" s="2">
        <v>0</v>
      </c>
      <c r="G377" t="s">
        <v>515</v>
      </c>
    </row>
    <row r="378" spans="1:7" x14ac:dyDescent="0.25">
      <c r="A378" s="1" t="str">
        <f>"510131"</f>
        <v>510131</v>
      </c>
      <c r="B378" s="2" t="str">
        <f>"ADESIVO TAM. 0,80X0,47MT"</f>
        <v>ADESIVO TAM. 0,80X0,47MT</v>
      </c>
      <c r="C378" s="2" t="str">
        <f t="shared" si="13"/>
        <v>UN</v>
      </c>
      <c r="D378" s="7">
        <v>402</v>
      </c>
      <c r="E378" s="3">
        <v>4</v>
      </c>
      <c r="F378" s="2">
        <v>0</v>
      </c>
      <c r="G378" t="s">
        <v>512</v>
      </c>
    </row>
    <row r="379" spans="1:7" x14ac:dyDescent="0.25">
      <c r="A379" s="1" t="str">
        <f>"509937"</f>
        <v>509937</v>
      </c>
      <c r="B379" s="2" t="str">
        <f>"ADESIVO TAM. 0,98X0,47MT"</f>
        <v>ADESIVO TAM. 0,98X0,47MT</v>
      </c>
      <c r="C379" s="2" t="str">
        <f t="shared" si="13"/>
        <v>UN</v>
      </c>
      <c r="D379" s="7">
        <v>402</v>
      </c>
      <c r="E379" s="3">
        <v>4</v>
      </c>
      <c r="F379" s="2">
        <v>2</v>
      </c>
      <c r="G379" t="s">
        <v>516</v>
      </c>
    </row>
    <row r="380" spans="1:7" x14ac:dyDescent="0.25">
      <c r="A380" s="1" t="str">
        <f>"510136"</f>
        <v>510136</v>
      </c>
      <c r="B380" s="2" t="str">
        <f>"ADESIVO TAM. 1,55X0,47MT"</f>
        <v>ADESIVO TAM. 1,55X0,47MT</v>
      </c>
      <c r="C380" s="2" t="str">
        <f t="shared" si="13"/>
        <v>UN</v>
      </c>
      <c r="D380" s="7">
        <v>402</v>
      </c>
      <c r="E380" s="3">
        <v>4</v>
      </c>
      <c r="F380" s="2">
        <v>5</v>
      </c>
      <c r="G380" t="s">
        <v>515</v>
      </c>
    </row>
    <row r="381" spans="1:7" x14ac:dyDescent="0.25">
      <c r="A381" s="1" t="str">
        <f>"510138"</f>
        <v>510138</v>
      </c>
      <c r="B381" s="2" t="str">
        <f>"ADESIVO TAM. 1,57X0,98MT"</f>
        <v>ADESIVO TAM. 1,57X0,98MT</v>
      </c>
      <c r="C381" s="2" t="str">
        <f t="shared" si="13"/>
        <v>UN</v>
      </c>
      <c r="D381" s="7">
        <v>402</v>
      </c>
      <c r="E381" s="3">
        <v>4</v>
      </c>
      <c r="F381" s="2">
        <v>6</v>
      </c>
      <c r="G381" t="s">
        <v>514</v>
      </c>
    </row>
    <row r="382" spans="1:7" x14ac:dyDescent="0.25">
      <c r="A382" s="1" t="str">
        <f>"510139"</f>
        <v>510139</v>
      </c>
      <c r="B382" s="2" t="str">
        <f>"ADESIVO TAM. 1,57X1,47MT"</f>
        <v>ADESIVO TAM. 1,57X1,47MT</v>
      </c>
      <c r="C382" s="2" t="str">
        <f t="shared" si="13"/>
        <v>UN</v>
      </c>
      <c r="D382" s="7">
        <v>402</v>
      </c>
      <c r="E382" s="3">
        <v>4</v>
      </c>
      <c r="F382" s="2">
        <v>9</v>
      </c>
      <c r="G382" t="s">
        <v>512</v>
      </c>
    </row>
    <row r="383" spans="1:7" x14ac:dyDescent="0.25">
      <c r="A383" s="1" t="str">
        <f>"509936"</f>
        <v>509936</v>
      </c>
      <c r="B383" s="2" t="str">
        <f>"ADESIVO TAM. 1,64X1,00MT"</f>
        <v>ADESIVO TAM. 1,64X1,00MT</v>
      </c>
      <c r="C383" s="2" t="str">
        <f t="shared" si="13"/>
        <v>UN</v>
      </c>
      <c r="D383" s="7">
        <v>402</v>
      </c>
      <c r="E383" s="3">
        <v>4</v>
      </c>
      <c r="F383" s="2">
        <v>5</v>
      </c>
      <c r="G383" t="s">
        <v>513</v>
      </c>
    </row>
    <row r="384" spans="1:7" x14ac:dyDescent="0.25">
      <c r="A384" s="1" t="str">
        <f>"509932"</f>
        <v>509932</v>
      </c>
      <c r="B384" s="2" t="str">
        <f>"ADESIVO TAM. 2,00X0,47MT"</f>
        <v>ADESIVO TAM. 2,00X0,47MT</v>
      </c>
      <c r="C384" s="2" t="str">
        <f t="shared" si="13"/>
        <v>UN</v>
      </c>
      <c r="D384" s="7">
        <v>402</v>
      </c>
      <c r="E384" s="3">
        <v>4</v>
      </c>
      <c r="F384" s="2">
        <v>3</v>
      </c>
      <c r="G384" t="s">
        <v>514</v>
      </c>
    </row>
    <row r="385" spans="1:7" x14ac:dyDescent="0.25">
      <c r="A385" s="1" t="str">
        <f>"510135"</f>
        <v>510135</v>
      </c>
      <c r="B385" s="2" t="str">
        <f>"ADESIVO TAM. 2,00X2,50MT"</f>
        <v>ADESIVO TAM. 2,00X2,50MT</v>
      </c>
      <c r="C385" s="2" t="str">
        <f t="shared" si="13"/>
        <v>UN</v>
      </c>
      <c r="D385" s="7">
        <v>402</v>
      </c>
      <c r="E385" s="3">
        <v>4</v>
      </c>
      <c r="F385" s="2">
        <v>3</v>
      </c>
      <c r="G385" t="s">
        <v>514</v>
      </c>
    </row>
    <row r="386" spans="1:7" x14ac:dyDescent="0.25">
      <c r="A386" s="1" t="str">
        <f>"510140"</f>
        <v>510140</v>
      </c>
      <c r="B386" s="2" t="str">
        <f>"ADESIVO TAM. 2,01X0,50MT"</f>
        <v>ADESIVO TAM. 2,01X0,50MT</v>
      </c>
      <c r="C386" s="2" t="str">
        <f t="shared" si="13"/>
        <v>UN</v>
      </c>
      <c r="D386" s="7">
        <v>402</v>
      </c>
      <c r="E386" s="3">
        <v>4</v>
      </c>
      <c r="F386" s="2">
        <v>2</v>
      </c>
      <c r="G386" t="s">
        <v>512</v>
      </c>
    </row>
    <row r="387" spans="1:7" x14ac:dyDescent="0.25">
      <c r="A387" s="1" t="str">
        <f>"510137"</f>
        <v>510137</v>
      </c>
      <c r="B387" s="2" t="str">
        <f>"ADESIVO TAM. 2,02X0,47MT"</f>
        <v>ADESIVO TAM. 2,02X0,47MT</v>
      </c>
      <c r="C387" s="2" t="str">
        <f t="shared" si="13"/>
        <v>UN</v>
      </c>
      <c r="D387" s="7">
        <v>402</v>
      </c>
      <c r="E387" s="3">
        <v>4</v>
      </c>
      <c r="F387" s="2">
        <v>1</v>
      </c>
      <c r="G387" t="s">
        <v>513</v>
      </c>
    </row>
    <row r="388" spans="1:7" x14ac:dyDescent="0.25">
      <c r="A388" s="1" t="str">
        <f>"509930"</f>
        <v>509930</v>
      </c>
      <c r="B388" s="2" t="str">
        <f>"ADESIVO TAM. 2,05X2,10MT"</f>
        <v>ADESIVO TAM. 2,05X2,10MT</v>
      </c>
      <c r="C388" s="2" t="str">
        <f t="shared" si="13"/>
        <v>UN</v>
      </c>
      <c r="D388" s="7">
        <v>402</v>
      </c>
      <c r="E388" s="3">
        <v>4</v>
      </c>
      <c r="F388" s="2">
        <v>4</v>
      </c>
      <c r="G388" t="s">
        <v>514</v>
      </c>
    </row>
    <row r="389" spans="1:7" x14ac:dyDescent="0.25">
      <c r="A389" s="1" t="str">
        <f>"510134"</f>
        <v>510134</v>
      </c>
      <c r="B389" s="2" t="str">
        <f>"ADESIVO TAM. 7,00X2,50MT"</f>
        <v>ADESIVO TAM. 7,00X2,50MT</v>
      </c>
      <c r="C389" s="2" t="str">
        <f t="shared" si="13"/>
        <v>UN</v>
      </c>
      <c r="D389" s="7">
        <v>402</v>
      </c>
      <c r="E389" s="3">
        <v>4</v>
      </c>
      <c r="F389" s="2">
        <v>1</v>
      </c>
      <c r="G389" t="s">
        <v>514</v>
      </c>
    </row>
    <row r="390" spans="1:7" x14ac:dyDescent="0.25">
      <c r="A390" s="1" t="str">
        <f>"519064"</f>
        <v>519064</v>
      </c>
      <c r="B390" s="2" t="str">
        <f>"ADESIVO TERMOPLASTICO TETRA"</f>
        <v>ADESIVO TERMOPLASTICO TETRA</v>
      </c>
      <c r="C390" s="2" t="str">
        <f t="shared" si="13"/>
        <v>UN</v>
      </c>
      <c r="D390" s="7">
        <v>105</v>
      </c>
      <c r="E390" s="3">
        <v>1</v>
      </c>
      <c r="F390" s="2">
        <v>2</v>
      </c>
      <c r="G390" t="s">
        <v>514</v>
      </c>
    </row>
    <row r="391" spans="1:7" x14ac:dyDescent="0.25">
      <c r="A391" s="1" t="str">
        <f>"518415"</f>
        <v>518415</v>
      </c>
      <c r="B391" s="2" t="str">
        <f>"ADESIVO UNIVERSAL SPRAY 500ML"</f>
        <v>ADESIVO UNIVERSAL SPRAY 500ML</v>
      </c>
      <c r="C391" s="2" t="str">
        <f t="shared" si="13"/>
        <v>UN</v>
      </c>
      <c r="D391" s="7">
        <v>918</v>
      </c>
      <c r="E391" s="3">
        <v>4</v>
      </c>
      <c r="F391" s="2">
        <v>7</v>
      </c>
      <c r="G391" t="s">
        <v>513</v>
      </c>
    </row>
    <row r="392" spans="1:7" x14ac:dyDescent="0.25">
      <c r="A392" s="1" t="str">
        <f>"513912"</f>
        <v>513912</v>
      </c>
      <c r="B392" s="2" t="str">
        <f>"ADITIVO"</f>
        <v>ADITIVO</v>
      </c>
      <c r="C392" s="2" t="str">
        <f t="shared" si="13"/>
        <v>UN</v>
      </c>
      <c r="D392" s="7">
        <v>704</v>
      </c>
      <c r="E392" s="3">
        <v>9</v>
      </c>
      <c r="F392" s="2">
        <v>9</v>
      </c>
      <c r="G392" t="s">
        <v>512</v>
      </c>
    </row>
    <row r="393" spans="1:7" x14ac:dyDescent="0.25">
      <c r="A393" s="1" t="str">
        <f>"510010"</f>
        <v>510010</v>
      </c>
      <c r="B393" s="2" t="str">
        <f>"ADITIVO BASE ALCOOL 1000ML 5200"</f>
        <v>ADITIVO BASE ALCOOL 1000ML 5200</v>
      </c>
      <c r="C393" s="2" t="str">
        <f>"LT"</f>
        <v>LT</v>
      </c>
      <c r="D393" s="7">
        <v>402</v>
      </c>
      <c r="E393" s="3">
        <v>4</v>
      </c>
      <c r="F393" s="2">
        <v>0</v>
      </c>
      <c r="G393" t="s">
        <v>513</v>
      </c>
    </row>
    <row r="394" spans="1:7" x14ac:dyDescent="0.25">
      <c r="A394" s="1" t="str">
        <f>"522816"</f>
        <v>522816</v>
      </c>
      <c r="B394" s="2" t="str">
        <f>"ADITIVO DE ORÇ. CASINHA BARRACÃO REC. DE MATERIA PRIMA"</f>
        <v>ADITIVO DE ORÇ. CASINHA BARRACÃO REC. DE MATERIA PRIMA</v>
      </c>
      <c r="C394" s="2" t="str">
        <f>"UN"</f>
        <v>UN</v>
      </c>
      <c r="D394" s="7">
        <v>99999</v>
      </c>
      <c r="E394" s="3">
        <v>99</v>
      </c>
      <c r="F394" s="2">
        <v>0</v>
      </c>
      <c r="G394" t="s">
        <v>514</v>
      </c>
    </row>
    <row r="395" spans="1:7" x14ac:dyDescent="0.25">
      <c r="A395" s="1" t="str">
        <f>"518622"</f>
        <v>518622</v>
      </c>
      <c r="B395" s="2" t="str">
        <f>"ADITIVO P/ RADIADOR DEITON COOL 20LT"</f>
        <v>ADITIVO P/ RADIADOR DEITON COOL 20LT</v>
      </c>
      <c r="C395" s="2" t="str">
        <f>"GL"</f>
        <v>GL</v>
      </c>
      <c r="D395" s="7">
        <v>903</v>
      </c>
      <c r="E395" s="3">
        <v>9</v>
      </c>
      <c r="F395" s="2">
        <v>4</v>
      </c>
      <c r="G395" t="s">
        <v>514</v>
      </c>
    </row>
    <row r="396" spans="1:7" x14ac:dyDescent="0.25">
      <c r="A396" s="1" t="str">
        <f>"6786"</f>
        <v>6786</v>
      </c>
      <c r="B396" s="2" t="str">
        <f>"ADITIVO PARA SODA CAUSTICA - AL 125"</f>
        <v>ADITIVO PARA SODA CAUSTICA - AL 125</v>
      </c>
      <c r="C396" s="2" t="str">
        <f>"KG"</f>
        <v>KG</v>
      </c>
      <c r="D396" s="7">
        <v>302</v>
      </c>
      <c r="E396" s="3">
        <v>3</v>
      </c>
      <c r="F396" s="2">
        <v>1</v>
      </c>
      <c r="G396" t="s">
        <v>514</v>
      </c>
    </row>
    <row r="397" spans="1:7" x14ac:dyDescent="0.25">
      <c r="A397" s="1" t="str">
        <f>"510011"</f>
        <v>510011</v>
      </c>
      <c r="B397" s="2" t="str">
        <f>"ADITIVO ROSA BASE MEK 1000ML 51913"</f>
        <v>ADITIVO ROSA BASE MEK 1000ML 51913</v>
      </c>
      <c r="C397" s="2" t="str">
        <f>"LT"</f>
        <v>LT</v>
      </c>
      <c r="D397" s="7">
        <v>402</v>
      </c>
      <c r="E397" s="3">
        <v>4</v>
      </c>
      <c r="F397" s="2">
        <v>2</v>
      </c>
      <c r="G397" t="s">
        <v>513</v>
      </c>
    </row>
    <row r="398" spans="1:7" x14ac:dyDescent="0.25">
      <c r="A398" s="1" t="str">
        <f>"515707"</f>
        <v>515707</v>
      </c>
      <c r="B398" s="2" t="str">
        <f>"ADOÇANTE"</f>
        <v>ADOÇANTE</v>
      </c>
      <c r="C398" s="2" t="str">
        <f t="shared" ref="C398:C436" si="14">"UN"</f>
        <v>UN</v>
      </c>
      <c r="D398" s="7">
        <v>401</v>
      </c>
      <c r="E398" s="3">
        <v>4</v>
      </c>
      <c r="F398" s="2">
        <v>7</v>
      </c>
      <c r="G398" t="s">
        <v>513</v>
      </c>
    </row>
    <row r="399" spans="1:7" x14ac:dyDescent="0.25">
      <c r="A399" s="1" t="str">
        <f>"527470"</f>
        <v>527470</v>
      </c>
      <c r="B399" s="2" t="str">
        <f>"ADPTADOR P/ FILTRO DE AGUA TIPO T ROSCA 1/2X1/2 SAIDA 6MM"</f>
        <v>ADPTADOR P/ FILTRO DE AGUA TIPO T ROSCA 1/2X1/2 SAIDA 6MM</v>
      </c>
      <c r="C399" s="2" t="str">
        <f t="shared" si="14"/>
        <v>UN</v>
      </c>
      <c r="D399" s="7">
        <v>807</v>
      </c>
      <c r="E399" s="3">
        <v>10</v>
      </c>
      <c r="F399" s="2">
        <v>9</v>
      </c>
      <c r="G399" t="s">
        <v>513</v>
      </c>
    </row>
    <row r="400" spans="1:7" x14ac:dyDescent="0.25">
      <c r="A400" s="1" t="str">
        <f>"527325"</f>
        <v>527325</v>
      </c>
      <c r="B400" s="2" t="str">
        <f>"ADPTADORE IFM COD. E3373 2AB"</f>
        <v>ADPTADORE IFM COD. E3373 2AB</v>
      </c>
      <c r="C400" s="2" t="str">
        <f t="shared" si="14"/>
        <v>UN</v>
      </c>
      <c r="D400" s="7">
        <v>811</v>
      </c>
      <c r="E400" s="3">
        <v>11</v>
      </c>
      <c r="F400" s="5">
        <v>5</v>
      </c>
      <c r="G400" t="s">
        <v>512</v>
      </c>
    </row>
    <row r="401" spans="1:7" x14ac:dyDescent="0.25">
      <c r="A401" s="1" t="str">
        <f>"527324"</f>
        <v>527324</v>
      </c>
      <c r="B401" s="2" t="str">
        <f>"ADPTADORE IFM TRI-CLAMP DE 1,5 COD. E33208"</f>
        <v>ADPTADORE IFM TRI-CLAMP DE 1,5 COD. E33208</v>
      </c>
      <c r="C401" s="2" t="str">
        <f t="shared" si="14"/>
        <v>UN</v>
      </c>
      <c r="D401" s="7">
        <v>811</v>
      </c>
      <c r="E401" s="3">
        <v>11</v>
      </c>
      <c r="F401" s="2">
        <v>3</v>
      </c>
      <c r="G401" t="s">
        <v>513</v>
      </c>
    </row>
    <row r="402" spans="1:7" x14ac:dyDescent="0.25">
      <c r="A402" s="1" t="str">
        <f>"515506"</f>
        <v>515506</v>
      </c>
      <c r="B402" s="2" t="str">
        <f>"ADUBO"</f>
        <v>ADUBO</v>
      </c>
      <c r="C402" s="2" t="str">
        <f t="shared" si="14"/>
        <v>UN</v>
      </c>
      <c r="D402" s="7">
        <v>401</v>
      </c>
      <c r="E402" s="3">
        <v>4</v>
      </c>
      <c r="F402" s="2">
        <v>8</v>
      </c>
      <c r="G402" t="s">
        <v>514</v>
      </c>
    </row>
    <row r="403" spans="1:7" x14ac:dyDescent="0.25">
      <c r="A403" s="1" t="str">
        <f>"573795"</f>
        <v>573795</v>
      </c>
      <c r="B403" s="2" t="str">
        <f>"AER.S.SP.GET-106 380V CB+RL S P/LIQ. SANITARIO (HIDROSUL)"</f>
        <v>AER.S.SP.GET-106 380V CB+RL S P/LIQ. SANITARIO (HIDROSUL)</v>
      </c>
      <c r="C403" s="2" t="str">
        <f t="shared" si="14"/>
        <v>UN</v>
      </c>
      <c r="D403" s="7">
        <v>811</v>
      </c>
      <c r="E403" s="3">
        <v>10</v>
      </c>
      <c r="F403" s="2">
        <v>6</v>
      </c>
      <c r="G403" t="s">
        <v>515</v>
      </c>
    </row>
    <row r="404" spans="1:7" x14ac:dyDescent="0.25">
      <c r="A404" s="1" t="str">
        <f>"520633"</f>
        <v>520633</v>
      </c>
      <c r="B404" s="2" t="str">
        <f>"AERADOR AERO WATER 360 TRIF. 1,5CV 380V C/ CABO PAINEL TRIF."</f>
        <v>AERADOR AERO WATER 360 TRIF. 1,5CV 380V C/ CABO PAINEL TRIF.</v>
      </c>
      <c r="C404" s="2" t="str">
        <f t="shared" si="14"/>
        <v>UN</v>
      </c>
      <c r="D404" s="7">
        <v>914</v>
      </c>
      <c r="E404" s="3">
        <v>13</v>
      </c>
      <c r="F404" s="2">
        <v>4</v>
      </c>
      <c r="G404" t="s">
        <v>512</v>
      </c>
    </row>
    <row r="405" spans="1:7" x14ac:dyDescent="0.25">
      <c r="A405" s="1" t="str">
        <f>"524519"</f>
        <v>524519</v>
      </c>
      <c r="B405" s="2" t="str">
        <f>"AERADOR SUBMERSIVEL SPIDER JET SPJ 156 - 15HP INOX 304"</f>
        <v>AERADOR SUBMERSIVEL SPIDER JET SPJ 156 - 15HP INOX 304</v>
      </c>
      <c r="C405" s="2" t="str">
        <f t="shared" si="14"/>
        <v>UN</v>
      </c>
      <c r="D405" s="7">
        <v>1400</v>
      </c>
      <c r="E405" s="3">
        <v>13</v>
      </c>
      <c r="F405" s="2">
        <v>1</v>
      </c>
      <c r="G405" t="s">
        <v>516</v>
      </c>
    </row>
    <row r="406" spans="1:7" x14ac:dyDescent="0.25">
      <c r="A406" s="1" t="str">
        <f>"528032"</f>
        <v>528032</v>
      </c>
      <c r="B406" s="2" t="str">
        <f>"AERADOR SUPERFICIAL"</f>
        <v>AERADOR SUPERFICIAL</v>
      </c>
      <c r="C406" s="2" t="str">
        <f t="shared" si="14"/>
        <v>UN</v>
      </c>
      <c r="D406" s="7">
        <v>99999</v>
      </c>
      <c r="E406" s="3">
        <v>99</v>
      </c>
      <c r="F406" s="2">
        <v>2</v>
      </c>
      <c r="G406" t="s">
        <v>515</v>
      </c>
    </row>
    <row r="407" spans="1:7" x14ac:dyDescent="0.25">
      <c r="A407" s="1" t="str">
        <f>"511307"</f>
        <v>511307</v>
      </c>
      <c r="B407" s="2" t="str">
        <f>"AEROFOLEO COLUNA VW CONSTELATION"</f>
        <v>AEROFOLEO COLUNA VW CONSTELATION</v>
      </c>
      <c r="C407" s="2" t="str">
        <f t="shared" si="14"/>
        <v>UN</v>
      </c>
      <c r="D407" s="7">
        <v>704</v>
      </c>
      <c r="E407" s="3">
        <v>9</v>
      </c>
      <c r="F407" s="2">
        <v>7</v>
      </c>
      <c r="G407" t="s">
        <v>514</v>
      </c>
    </row>
    <row r="408" spans="1:7" x14ac:dyDescent="0.25">
      <c r="A408" s="1" t="str">
        <f>"513084"</f>
        <v>513084</v>
      </c>
      <c r="B408" s="2" t="str">
        <f>"AEROFOLEO COMPLETO FORD CARGO EXTRA PESADO 2014"</f>
        <v>AEROFOLEO COMPLETO FORD CARGO EXTRA PESADO 2014</v>
      </c>
      <c r="C408" s="2" t="str">
        <f t="shared" si="14"/>
        <v>UN</v>
      </c>
      <c r="D408" s="7">
        <v>704</v>
      </c>
      <c r="E408" s="3">
        <v>9</v>
      </c>
      <c r="F408" s="2">
        <v>9</v>
      </c>
      <c r="G408" t="s">
        <v>512</v>
      </c>
    </row>
    <row r="409" spans="1:7" x14ac:dyDescent="0.25">
      <c r="A409" s="1" t="str">
        <f>"512867"</f>
        <v>512867</v>
      </c>
      <c r="B409" s="2" t="str">
        <f>"AEROFOLEO COMPLETO MAN TGX"</f>
        <v>AEROFOLEO COMPLETO MAN TGX</v>
      </c>
      <c r="C409" s="2" t="str">
        <f t="shared" si="14"/>
        <v>UN</v>
      </c>
      <c r="D409" s="7">
        <v>704</v>
      </c>
      <c r="E409" s="3">
        <v>9</v>
      </c>
      <c r="F409" s="2">
        <v>0</v>
      </c>
      <c r="G409" t="s">
        <v>513</v>
      </c>
    </row>
    <row r="410" spans="1:7" x14ac:dyDescent="0.25">
      <c r="A410" s="1" t="str">
        <f>"513398"</f>
        <v>513398</v>
      </c>
      <c r="B410" s="2" t="str">
        <f>"AEROFOLIO COMPLETO"</f>
        <v>AEROFOLIO COMPLETO</v>
      </c>
      <c r="C410" s="2" t="str">
        <f t="shared" si="14"/>
        <v>UN</v>
      </c>
      <c r="D410" s="7">
        <v>704</v>
      </c>
      <c r="E410" s="3">
        <v>9</v>
      </c>
      <c r="F410" s="2">
        <v>0</v>
      </c>
      <c r="G410" t="s">
        <v>514</v>
      </c>
    </row>
    <row r="411" spans="1:7" x14ac:dyDescent="0.25">
      <c r="A411" s="1" t="str">
        <f>"515024"</f>
        <v>515024</v>
      </c>
      <c r="B411" s="2" t="str">
        <f>"AFERIDOR DE 20LTS PARA COMBUSTIVEL"</f>
        <v>AFERIDOR DE 20LTS PARA COMBUSTIVEL</v>
      </c>
      <c r="C411" s="2" t="str">
        <f t="shared" si="14"/>
        <v>UN</v>
      </c>
      <c r="D411" s="7">
        <v>817</v>
      </c>
      <c r="E411" s="3">
        <v>11</v>
      </c>
      <c r="F411" s="2">
        <v>2</v>
      </c>
      <c r="G411" t="s">
        <v>514</v>
      </c>
    </row>
    <row r="412" spans="1:7" x14ac:dyDescent="0.25">
      <c r="A412" s="1" t="str">
        <f>"513874"</f>
        <v>513874</v>
      </c>
      <c r="B412" s="2" t="str">
        <f>"AGAR BATATA DEXTROSE 500G (ABG)"</f>
        <v>AGAR BATATA DEXTROSE 500G (ABG)</v>
      </c>
      <c r="C412" s="2" t="str">
        <f t="shared" si="14"/>
        <v>UN</v>
      </c>
      <c r="D412" s="7">
        <v>406</v>
      </c>
      <c r="E412" s="3">
        <v>4</v>
      </c>
      <c r="F412" s="2">
        <v>5</v>
      </c>
      <c r="G412" t="s">
        <v>512</v>
      </c>
    </row>
    <row r="413" spans="1:7" x14ac:dyDescent="0.25">
      <c r="A413" s="1" t="str">
        <f>"513364"</f>
        <v>513364</v>
      </c>
      <c r="B413" s="2" t="str">
        <f>"AGAR M17 (MAC  CONKEI AGAR BASE) 500G"</f>
        <v>AGAR M17 (MAC  CONKEI AGAR BASE) 500G</v>
      </c>
      <c r="C413" s="2" t="str">
        <f t="shared" si="14"/>
        <v>UN</v>
      </c>
      <c r="D413" s="7">
        <v>406</v>
      </c>
      <c r="E413" s="3">
        <v>4</v>
      </c>
      <c r="F413" s="2">
        <v>6</v>
      </c>
      <c r="G413" t="s">
        <v>513</v>
      </c>
    </row>
    <row r="414" spans="1:7" x14ac:dyDescent="0.25">
      <c r="A414" s="1" t="str">
        <f>"511652"</f>
        <v>511652</v>
      </c>
      <c r="B414" s="2" t="str">
        <f>"AGAR MRS LACTOBACILLUS 500G"</f>
        <v>AGAR MRS LACTOBACILLUS 500G</v>
      </c>
      <c r="C414" s="2" t="str">
        <f t="shared" si="14"/>
        <v>UN</v>
      </c>
      <c r="D414" s="7">
        <v>406</v>
      </c>
      <c r="E414" s="3">
        <v>4</v>
      </c>
      <c r="F414" s="2">
        <v>9</v>
      </c>
      <c r="G414" t="s">
        <v>514</v>
      </c>
    </row>
    <row r="415" spans="1:7" x14ac:dyDescent="0.25">
      <c r="A415" s="1" t="str">
        <f>"512926"</f>
        <v>512926</v>
      </c>
      <c r="B415" s="2" t="str">
        <f>"AGAR MRS MERCK"</f>
        <v>AGAR MRS MERCK</v>
      </c>
      <c r="C415" s="2" t="str">
        <f t="shared" si="14"/>
        <v>UN</v>
      </c>
      <c r="D415" s="7">
        <v>406</v>
      </c>
      <c r="E415" s="3">
        <v>4</v>
      </c>
      <c r="F415" s="2">
        <v>5</v>
      </c>
      <c r="G415" t="s">
        <v>514</v>
      </c>
    </row>
    <row r="416" spans="1:7" x14ac:dyDescent="0.25">
      <c r="A416" s="1" t="str">
        <f>"513373"</f>
        <v>513373</v>
      </c>
      <c r="B416" s="2" t="str">
        <f>"AGAR PADRÃO 500G"</f>
        <v>AGAR PADRÃO 500G</v>
      </c>
      <c r="C416" s="2" t="str">
        <f t="shared" si="14"/>
        <v>UN</v>
      </c>
      <c r="D416" s="7">
        <v>406</v>
      </c>
      <c r="E416" s="3">
        <v>4</v>
      </c>
      <c r="F416" s="2">
        <v>3</v>
      </c>
      <c r="G416" t="s">
        <v>514</v>
      </c>
    </row>
    <row r="417" spans="1:7" x14ac:dyDescent="0.25">
      <c r="A417" s="1" t="str">
        <f>"513875"</f>
        <v>513875</v>
      </c>
      <c r="B417" s="2" t="str">
        <f>"AGAR VIOLET RED BILE 500G (RED)"</f>
        <v>AGAR VIOLET RED BILE 500G (RED)</v>
      </c>
      <c r="C417" s="2" t="str">
        <f t="shared" si="14"/>
        <v>UN</v>
      </c>
      <c r="D417" s="7">
        <v>406</v>
      </c>
      <c r="E417" s="3">
        <v>4</v>
      </c>
      <c r="F417" s="2">
        <v>3</v>
      </c>
      <c r="G417" t="s">
        <v>513</v>
      </c>
    </row>
    <row r="418" spans="1:7" x14ac:dyDescent="0.25">
      <c r="A418" s="1" t="str">
        <f>"527564"</f>
        <v>527564</v>
      </c>
      <c r="B418" s="2" t="str">
        <f>"AGAR YGC - YEAST EXTRACT GLUCOSE CHLORAMPHENICOL 500G"</f>
        <v>AGAR YGC - YEAST EXTRACT GLUCOSE CHLORAMPHENICOL 500G</v>
      </c>
      <c r="C418" s="2" t="str">
        <f t="shared" si="14"/>
        <v>UN</v>
      </c>
      <c r="D418" s="7">
        <v>406</v>
      </c>
      <c r="E418" s="3">
        <v>4</v>
      </c>
      <c r="F418" s="2">
        <v>2</v>
      </c>
      <c r="G418" t="s">
        <v>512</v>
      </c>
    </row>
    <row r="419" spans="1:7" x14ac:dyDescent="0.25">
      <c r="A419" s="1" t="str">
        <f>"510947"</f>
        <v>510947</v>
      </c>
      <c r="B419" s="2" t="str">
        <f>"AGENDA"</f>
        <v>AGENDA</v>
      </c>
      <c r="C419" s="2" t="str">
        <f t="shared" si="14"/>
        <v>UN</v>
      </c>
      <c r="D419" s="7">
        <v>401</v>
      </c>
      <c r="E419" s="3">
        <v>4</v>
      </c>
      <c r="F419" s="2">
        <v>1</v>
      </c>
      <c r="G419" t="s">
        <v>513</v>
      </c>
    </row>
    <row r="420" spans="1:7" x14ac:dyDescent="0.25">
      <c r="A420" s="1" t="str">
        <f>"514627"</f>
        <v>514627</v>
      </c>
      <c r="B420" s="2" t="str">
        <f>"AGENDA DIARIA KENYA AZUL ESCURO 14,1 X 20,5CM"</f>
        <v>AGENDA DIARIA KENYA AZUL ESCURO 14,1 X 20,5CM</v>
      </c>
      <c r="C420" s="2" t="str">
        <f t="shared" si="14"/>
        <v>UN</v>
      </c>
      <c r="D420" s="7">
        <v>401</v>
      </c>
      <c r="E420" s="3">
        <v>4</v>
      </c>
      <c r="F420" s="2">
        <v>4</v>
      </c>
      <c r="G420" t="s">
        <v>514</v>
      </c>
    </row>
    <row r="421" spans="1:7" x14ac:dyDescent="0.25">
      <c r="A421" s="1" t="str">
        <f>"510946"</f>
        <v>510946</v>
      </c>
      <c r="B421" s="2" t="str">
        <f>"AGENDA MASTER BOLSA FORONI"</f>
        <v>AGENDA MASTER BOLSA FORONI</v>
      </c>
      <c r="C421" s="2" t="str">
        <f t="shared" si="14"/>
        <v>UN</v>
      </c>
      <c r="D421" s="7">
        <v>401</v>
      </c>
      <c r="E421" s="3">
        <v>4</v>
      </c>
      <c r="F421" s="2">
        <v>6</v>
      </c>
      <c r="G421" t="s">
        <v>514</v>
      </c>
    </row>
    <row r="422" spans="1:7" x14ac:dyDescent="0.25">
      <c r="A422" s="1" t="str">
        <f>"505227"</f>
        <v>505227</v>
      </c>
      <c r="B422" s="2" t="str">
        <f>"AGENTE EPOXI 720ML"</f>
        <v>AGENTE EPOXI 720ML</v>
      </c>
      <c r="C422" s="2" t="str">
        <f t="shared" si="14"/>
        <v>UN</v>
      </c>
      <c r="D422" s="7">
        <v>812</v>
      </c>
      <c r="E422" s="3">
        <v>10</v>
      </c>
      <c r="F422" s="2">
        <v>8</v>
      </c>
      <c r="G422" t="s">
        <v>514</v>
      </c>
    </row>
    <row r="423" spans="1:7" x14ac:dyDescent="0.25">
      <c r="A423" s="1" t="str">
        <f>"525287"</f>
        <v>525287</v>
      </c>
      <c r="B423" s="2" t="str">
        <f>"AGENTE FLOCULANTE"</f>
        <v>AGENTE FLOCULANTE</v>
      </c>
      <c r="C423" s="2" t="str">
        <f t="shared" si="14"/>
        <v>UN</v>
      </c>
      <c r="D423" s="7">
        <v>99999</v>
      </c>
      <c r="E423" s="3">
        <v>99</v>
      </c>
      <c r="F423" s="2">
        <v>7</v>
      </c>
      <c r="G423" t="s">
        <v>513</v>
      </c>
    </row>
    <row r="424" spans="1:7" x14ac:dyDescent="0.25">
      <c r="A424" s="1" t="str">
        <f>"521737"</f>
        <v>521737</v>
      </c>
      <c r="B424" s="2" t="str">
        <f>"AGENTE LIMPEZA DESINCRUSTRANTE DESCALER 60070869"</f>
        <v>AGENTE LIMPEZA DESINCRUSTRANTE DESCALER 60070869</v>
      </c>
      <c r="C424" s="2" t="str">
        <f t="shared" si="14"/>
        <v>UN</v>
      </c>
      <c r="D424" s="7">
        <v>1300</v>
      </c>
      <c r="E424" s="3">
        <v>13</v>
      </c>
      <c r="F424" s="2">
        <v>6</v>
      </c>
      <c r="G424" t="s">
        <v>513</v>
      </c>
    </row>
    <row r="425" spans="1:7" x14ac:dyDescent="0.25">
      <c r="A425" s="1" t="str">
        <f>"514338"</f>
        <v>514338</v>
      </c>
      <c r="B425" s="2" t="str">
        <f>"AGENTE REDUTOR"</f>
        <v>AGENTE REDUTOR</v>
      </c>
      <c r="C425" s="2" t="str">
        <f t="shared" si="14"/>
        <v>UN</v>
      </c>
      <c r="D425" s="7">
        <v>704</v>
      </c>
      <c r="E425" s="3">
        <v>9</v>
      </c>
      <c r="F425" s="2">
        <v>6</v>
      </c>
      <c r="G425" t="s">
        <v>513</v>
      </c>
    </row>
    <row r="426" spans="1:7" x14ac:dyDescent="0.25">
      <c r="A426" s="1" t="str">
        <f>"518024"</f>
        <v>518024</v>
      </c>
      <c r="B426" s="2" t="str">
        <f>"AGITADOR AGUA GELADA"</f>
        <v>AGITADOR AGUA GELADA</v>
      </c>
      <c r="C426" s="2" t="str">
        <f t="shared" si="14"/>
        <v>UN</v>
      </c>
      <c r="D426" s="7">
        <v>811</v>
      </c>
      <c r="E426" s="3">
        <v>8</v>
      </c>
      <c r="F426" s="2">
        <v>2</v>
      </c>
      <c r="G426" t="s">
        <v>512</v>
      </c>
    </row>
    <row r="427" spans="1:7" x14ac:dyDescent="0.25">
      <c r="A427" s="1" t="str">
        <f>"510800"</f>
        <v>510800</v>
      </c>
      <c r="B427" s="2" t="str">
        <f>"AGITADOR AGUA MOTOR 7,5CV FLANGEADO"</f>
        <v>AGITADOR AGUA MOTOR 7,5CV FLANGEADO</v>
      </c>
      <c r="C427" s="2" t="str">
        <f t="shared" si="14"/>
        <v>UN</v>
      </c>
      <c r="D427" s="7">
        <v>918</v>
      </c>
      <c r="E427" s="3">
        <v>11</v>
      </c>
      <c r="F427" s="2">
        <v>1</v>
      </c>
      <c r="G427" t="s">
        <v>513</v>
      </c>
    </row>
    <row r="428" spans="1:7" x14ac:dyDescent="0.25">
      <c r="A428" s="1" t="str">
        <f>"515130"</f>
        <v>515130</v>
      </c>
      <c r="B428" s="2" t="str">
        <f>"AGITADOR DE TUBOS - VTX-F 220V"</f>
        <v>AGITADOR DE TUBOS - VTX-F 220V</v>
      </c>
      <c r="C428" s="2" t="str">
        <f t="shared" si="14"/>
        <v>UN</v>
      </c>
      <c r="D428" s="7">
        <v>406</v>
      </c>
      <c r="E428" s="3">
        <v>4</v>
      </c>
      <c r="F428" s="2">
        <v>0</v>
      </c>
      <c r="G428" t="s">
        <v>514</v>
      </c>
    </row>
    <row r="429" spans="1:7" x14ac:dyDescent="0.25">
      <c r="A429" s="1" t="str">
        <f>"521847"</f>
        <v>521847</v>
      </c>
      <c r="B429" s="2" t="str">
        <f>"AGITADOR INOX P TANQUE 1,60M X 26CM"</f>
        <v>AGITADOR INOX P TANQUE 1,60M X 26CM</v>
      </c>
      <c r="C429" s="2" t="str">
        <f t="shared" si="14"/>
        <v>UN</v>
      </c>
      <c r="D429" s="7">
        <v>99999</v>
      </c>
      <c r="E429" s="3">
        <v>99</v>
      </c>
      <c r="F429" s="2">
        <v>0</v>
      </c>
      <c r="G429" t="s">
        <v>515</v>
      </c>
    </row>
    <row r="430" spans="1:7" x14ac:dyDescent="0.25">
      <c r="A430" s="1" t="str">
        <f>"514621"</f>
        <v>514621</v>
      </c>
      <c r="B430" s="2" t="str">
        <f>"AGITADOR RAPIDO 1000L 1,5CV"</f>
        <v>AGITADOR RAPIDO 1000L 1,5CV</v>
      </c>
      <c r="C430" s="2" t="str">
        <f t="shared" si="14"/>
        <v>UN</v>
      </c>
      <c r="D430" s="7">
        <v>1300</v>
      </c>
      <c r="E430" s="3">
        <v>13</v>
      </c>
      <c r="F430" s="2">
        <v>0</v>
      </c>
      <c r="G430" t="s">
        <v>512</v>
      </c>
    </row>
    <row r="431" spans="1:7" x14ac:dyDescent="0.25">
      <c r="A431" s="1" t="str">
        <f>"527313"</f>
        <v>527313</v>
      </c>
      <c r="B431" s="2" t="str">
        <f>"AGUA 06L"</f>
        <v>AGUA 06L</v>
      </c>
      <c r="C431" s="2" t="str">
        <f t="shared" si="14"/>
        <v>UN</v>
      </c>
      <c r="D431" s="7">
        <v>99999</v>
      </c>
      <c r="E431" s="3">
        <v>99</v>
      </c>
      <c r="F431" s="2">
        <v>3</v>
      </c>
      <c r="G431" t="s">
        <v>516</v>
      </c>
    </row>
    <row r="432" spans="1:7" x14ac:dyDescent="0.25">
      <c r="A432" s="1" t="str">
        <f>"522776"</f>
        <v>522776</v>
      </c>
      <c r="B432" s="2" t="str">
        <f>"AGUA 10L"</f>
        <v>AGUA 10L</v>
      </c>
      <c r="C432" s="2" t="str">
        <f t="shared" si="14"/>
        <v>UN</v>
      </c>
      <c r="D432" s="7">
        <v>99999</v>
      </c>
      <c r="E432" s="3">
        <v>99</v>
      </c>
      <c r="F432" s="5">
        <v>5</v>
      </c>
      <c r="G432" t="s">
        <v>515</v>
      </c>
    </row>
    <row r="433" spans="1:7" x14ac:dyDescent="0.25">
      <c r="A433" s="1" t="str">
        <f>"513855"</f>
        <v>513855</v>
      </c>
      <c r="B433" s="2" t="str">
        <f>"AGUA 20L"</f>
        <v>AGUA 20L</v>
      </c>
      <c r="C433" s="2" t="str">
        <f t="shared" si="14"/>
        <v>UN</v>
      </c>
      <c r="D433" s="7">
        <v>99999</v>
      </c>
      <c r="E433" s="3">
        <v>99</v>
      </c>
      <c r="F433" s="2">
        <v>3</v>
      </c>
      <c r="G433" t="s">
        <v>514</v>
      </c>
    </row>
    <row r="434" spans="1:7" x14ac:dyDescent="0.25">
      <c r="A434" s="1" t="str">
        <f>"522500"</f>
        <v>522500</v>
      </c>
      <c r="B434" s="2" t="str">
        <f>"AGUA 500ML"</f>
        <v>AGUA 500ML</v>
      </c>
      <c r="C434" s="2" t="str">
        <f t="shared" si="14"/>
        <v>UN</v>
      </c>
      <c r="D434" s="7">
        <v>99999</v>
      </c>
      <c r="E434" s="3">
        <v>99</v>
      </c>
      <c r="F434" s="2">
        <v>8</v>
      </c>
      <c r="G434" t="s">
        <v>512</v>
      </c>
    </row>
    <row r="435" spans="1:7" x14ac:dyDescent="0.25">
      <c r="A435" s="1" t="str">
        <f>"527018"</f>
        <v>527018</v>
      </c>
      <c r="B435" s="2" t="str">
        <f>"AGUA DE BATERIA"</f>
        <v>AGUA DE BATERIA</v>
      </c>
      <c r="C435" s="2" t="str">
        <f t="shared" si="14"/>
        <v>UN</v>
      </c>
      <c r="D435" s="7">
        <v>402</v>
      </c>
      <c r="E435" s="3">
        <v>4</v>
      </c>
      <c r="F435" s="2">
        <v>6</v>
      </c>
      <c r="G435" t="s">
        <v>513</v>
      </c>
    </row>
    <row r="436" spans="1:7" x14ac:dyDescent="0.25">
      <c r="A436" s="1" t="str">
        <f>"518411"</f>
        <v>518411</v>
      </c>
      <c r="B436" s="2" t="str">
        <f>"AGUA DE COCO"</f>
        <v>AGUA DE COCO</v>
      </c>
      <c r="C436" s="2" t="str">
        <f t="shared" si="14"/>
        <v>UN</v>
      </c>
      <c r="D436" s="7">
        <v>99999</v>
      </c>
      <c r="E436" s="3">
        <v>99</v>
      </c>
      <c r="F436" s="2">
        <v>4</v>
      </c>
      <c r="G436" t="s">
        <v>514</v>
      </c>
    </row>
    <row r="437" spans="1:7" x14ac:dyDescent="0.25">
      <c r="A437" s="1" t="str">
        <f>"6171"</f>
        <v>6171</v>
      </c>
      <c r="B437" s="2" t="str">
        <f>"AGUA DE PEPTONA TAMPONADA - MERK"</f>
        <v>AGUA DE PEPTONA TAMPONADA - MERK</v>
      </c>
      <c r="C437" s="2" t="str">
        <f>"FR"</f>
        <v>FR</v>
      </c>
      <c r="D437" s="7">
        <v>303</v>
      </c>
      <c r="E437" s="3">
        <v>3</v>
      </c>
      <c r="F437" s="2">
        <v>1</v>
      </c>
      <c r="G437" t="s">
        <v>514</v>
      </c>
    </row>
    <row r="438" spans="1:7" x14ac:dyDescent="0.25">
      <c r="A438" s="1" t="str">
        <f>"508520"</f>
        <v>508520</v>
      </c>
      <c r="B438" s="2" t="str">
        <f>"AGUA DESTILADA"</f>
        <v>AGUA DESTILADA</v>
      </c>
      <c r="C438" s="2" t="str">
        <f>"LT"</f>
        <v>LT</v>
      </c>
      <c r="D438" s="7">
        <v>702</v>
      </c>
      <c r="E438" s="3">
        <v>9</v>
      </c>
      <c r="F438" s="2">
        <v>2</v>
      </c>
      <c r="G438" t="s">
        <v>512</v>
      </c>
    </row>
    <row r="439" spans="1:7" x14ac:dyDescent="0.25">
      <c r="A439" s="1" t="str">
        <f>"518308"</f>
        <v>518308</v>
      </c>
      <c r="B439" s="2" t="str">
        <f>"AGUA E ESGOTO"</f>
        <v>AGUA E ESGOTO</v>
      </c>
      <c r="C439" s="2" t="str">
        <f t="shared" ref="C439:C467" si="15">"UN"</f>
        <v>UN</v>
      </c>
      <c r="D439" s="7">
        <v>99999</v>
      </c>
      <c r="E439" s="3">
        <v>99</v>
      </c>
      <c r="F439" s="2">
        <v>7</v>
      </c>
      <c r="G439" t="s">
        <v>513</v>
      </c>
    </row>
    <row r="440" spans="1:7" x14ac:dyDescent="0.25">
      <c r="A440" s="1" t="str">
        <f>"594"</f>
        <v>594</v>
      </c>
      <c r="B440" s="2" t="str">
        <f>"AGUA MINERAL SFERRIE - COPO 200 ML"</f>
        <v>AGUA MINERAL SFERRIE - COPO 200 ML</v>
      </c>
      <c r="C440" s="2" t="str">
        <f t="shared" si="15"/>
        <v>UN</v>
      </c>
      <c r="D440" s="7">
        <v>56</v>
      </c>
      <c r="E440" s="3">
        <v>6</v>
      </c>
      <c r="F440" s="2">
        <v>9</v>
      </c>
      <c r="G440" t="s">
        <v>514</v>
      </c>
    </row>
    <row r="441" spans="1:7" x14ac:dyDescent="0.25">
      <c r="A441" s="1" t="str">
        <f>"604"</f>
        <v>604</v>
      </c>
      <c r="B441" s="2" t="str">
        <f>"AGUA MINERAL SFERRIE - GALAO 5 L"</f>
        <v>AGUA MINERAL SFERRIE - GALAO 5 L</v>
      </c>
      <c r="C441" s="2" t="str">
        <f t="shared" si="15"/>
        <v>UN</v>
      </c>
      <c r="D441" s="7">
        <v>61</v>
      </c>
      <c r="E441" s="3">
        <v>6</v>
      </c>
      <c r="F441" s="2">
        <v>0</v>
      </c>
      <c r="G441" t="s">
        <v>514</v>
      </c>
    </row>
    <row r="442" spans="1:7" x14ac:dyDescent="0.25">
      <c r="A442" s="1" t="str">
        <f>"603"</f>
        <v>603</v>
      </c>
      <c r="B442" s="2" t="str">
        <f>"AGUA MINERAL SFERRIE - PET 1,5ML - COM GAS"</f>
        <v>AGUA MINERAL SFERRIE - PET 1,5ML - COM GAS</v>
      </c>
      <c r="C442" s="2" t="str">
        <f t="shared" si="15"/>
        <v>UN</v>
      </c>
      <c r="D442" s="7">
        <v>60</v>
      </c>
      <c r="E442" s="3">
        <v>6</v>
      </c>
      <c r="F442" s="2">
        <v>0</v>
      </c>
      <c r="G442" t="s">
        <v>514</v>
      </c>
    </row>
    <row r="443" spans="1:7" x14ac:dyDescent="0.25">
      <c r="A443" s="1" t="str">
        <f>"602"</f>
        <v>602</v>
      </c>
      <c r="B443" s="2" t="str">
        <f>"AGUA MINERAL SFERRIE - PET 1,5ML - SEM GAS"</f>
        <v>AGUA MINERAL SFERRIE - PET 1,5ML - SEM GAS</v>
      </c>
      <c r="C443" s="2" t="str">
        <f t="shared" si="15"/>
        <v>UN</v>
      </c>
      <c r="D443" s="7">
        <v>60</v>
      </c>
      <c r="E443" s="3">
        <v>6</v>
      </c>
      <c r="F443" s="2">
        <v>2</v>
      </c>
      <c r="G443" t="s">
        <v>513</v>
      </c>
    </row>
    <row r="444" spans="1:7" x14ac:dyDescent="0.25">
      <c r="A444" s="1" t="str">
        <f>"597"</f>
        <v>597</v>
      </c>
      <c r="B444" s="2" t="str">
        <f>"AGUA MINERAL SFERRIE - PET 310ML - COM GAS"</f>
        <v>AGUA MINERAL SFERRIE - PET 310ML - COM GAS</v>
      </c>
      <c r="C444" s="2" t="str">
        <f t="shared" si="15"/>
        <v>UN</v>
      </c>
      <c r="D444" s="7">
        <v>57</v>
      </c>
      <c r="E444" s="3">
        <v>6</v>
      </c>
      <c r="F444" s="2">
        <v>5</v>
      </c>
      <c r="G444" t="s">
        <v>512</v>
      </c>
    </row>
    <row r="445" spans="1:7" x14ac:dyDescent="0.25">
      <c r="A445" s="1" t="str">
        <f>"596"</f>
        <v>596</v>
      </c>
      <c r="B445" s="2" t="str">
        <f>"AGUA MINERAL SFERRIE - PET 310ML - SEM GAS"</f>
        <v>AGUA MINERAL SFERRIE - PET 310ML - SEM GAS</v>
      </c>
      <c r="C445" s="2" t="str">
        <f t="shared" si="15"/>
        <v>UN</v>
      </c>
      <c r="D445" s="7">
        <v>57</v>
      </c>
      <c r="E445" s="3">
        <v>6</v>
      </c>
      <c r="F445" s="2">
        <v>6</v>
      </c>
      <c r="G445" t="s">
        <v>513</v>
      </c>
    </row>
    <row r="446" spans="1:7" x14ac:dyDescent="0.25">
      <c r="A446" s="1" t="str">
        <f>"599"</f>
        <v>599</v>
      </c>
      <c r="B446" s="2" t="str">
        <f>"AGUA MINERAL SFERRIE - PET 410ML - COM GAS PREMIUM"</f>
        <v>AGUA MINERAL SFERRIE - PET 410ML - COM GAS PREMIUM</v>
      </c>
      <c r="C446" s="2" t="str">
        <f t="shared" si="15"/>
        <v>UN</v>
      </c>
      <c r="D446" s="7">
        <v>58</v>
      </c>
      <c r="E446" s="3">
        <v>6</v>
      </c>
      <c r="F446" s="2">
        <v>9</v>
      </c>
      <c r="G446" t="s">
        <v>514</v>
      </c>
    </row>
    <row r="447" spans="1:7" x14ac:dyDescent="0.25">
      <c r="A447" s="1" t="str">
        <f>"598"</f>
        <v>598</v>
      </c>
      <c r="B447" s="2" t="str">
        <f>"AGUA MINERAL SFERRIE - PET 410ML - SEM GAS PREMIUM"</f>
        <v>AGUA MINERAL SFERRIE - PET 410ML - SEM GAS PREMIUM</v>
      </c>
      <c r="C447" s="2" t="str">
        <f t="shared" si="15"/>
        <v>UN</v>
      </c>
      <c r="D447" s="7">
        <v>58</v>
      </c>
      <c r="E447" s="3">
        <v>6</v>
      </c>
      <c r="F447" s="2">
        <v>5</v>
      </c>
      <c r="G447" t="s">
        <v>514</v>
      </c>
    </row>
    <row r="448" spans="1:7" x14ac:dyDescent="0.25">
      <c r="A448" s="1" t="str">
        <f>"601"</f>
        <v>601</v>
      </c>
      <c r="B448" s="2" t="str">
        <f>"AGUA MINERAL SFERRIE - PET 510ML - COM GAS"</f>
        <v>AGUA MINERAL SFERRIE - PET 510ML - COM GAS</v>
      </c>
      <c r="C448" s="2" t="str">
        <f t="shared" si="15"/>
        <v>UN</v>
      </c>
      <c r="D448" s="7">
        <v>59</v>
      </c>
      <c r="E448" s="3">
        <v>6</v>
      </c>
      <c r="F448" s="2">
        <v>3</v>
      </c>
      <c r="G448" t="s">
        <v>514</v>
      </c>
    </row>
    <row r="449" spans="1:7" x14ac:dyDescent="0.25">
      <c r="A449" s="1" t="str">
        <f>"600"</f>
        <v>600</v>
      </c>
      <c r="B449" s="2" t="str">
        <f>"AGUA MINERAL SFERRIE - PET 510ML - SEM GAS"</f>
        <v>AGUA MINERAL SFERRIE - PET 510ML - SEM GAS</v>
      </c>
      <c r="C449" s="2" t="str">
        <f t="shared" si="15"/>
        <v>UN</v>
      </c>
      <c r="D449" s="7">
        <v>59</v>
      </c>
      <c r="E449" s="3">
        <v>6</v>
      </c>
      <c r="F449" s="2">
        <v>3</v>
      </c>
      <c r="G449" t="s">
        <v>513</v>
      </c>
    </row>
    <row r="450" spans="1:7" x14ac:dyDescent="0.25">
      <c r="A450" s="1" t="str">
        <f>"518656"</f>
        <v>518656</v>
      </c>
      <c r="B450" s="2" t="str">
        <f>"AGUA OXIGENADA"</f>
        <v>AGUA OXIGENADA</v>
      </c>
      <c r="C450" s="2" t="str">
        <f t="shared" si="15"/>
        <v>UN</v>
      </c>
      <c r="D450" s="7">
        <v>400</v>
      </c>
      <c r="E450" s="3">
        <v>4</v>
      </c>
      <c r="F450" s="2">
        <v>2</v>
      </c>
      <c r="G450" t="s">
        <v>513</v>
      </c>
    </row>
    <row r="451" spans="1:7" x14ac:dyDescent="0.25">
      <c r="A451" s="1" t="str">
        <f>"518858"</f>
        <v>518858</v>
      </c>
      <c r="B451" s="2" t="str">
        <f>"AGUA OXIGENADA 20 VOLUMES"</f>
        <v>AGUA OXIGENADA 20 VOLUMES</v>
      </c>
      <c r="C451" s="2" t="str">
        <f t="shared" si="15"/>
        <v>UN</v>
      </c>
      <c r="D451" s="7">
        <v>406</v>
      </c>
      <c r="E451" s="3">
        <v>4</v>
      </c>
      <c r="F451" s="2">
        <v>1</v>
      </c>
      <c r="G451" t="s">
        <v>513</v>
      </c>
    </row>
    <row r="452" spans="1:7" x14ac:dyDescent="0.25">
      <c r="A452" s="1" t="str">
        <f>"5980"</f>
        <v>5980</v>
      </c>
      <c r="B452" s="2" t="str">
        <f>"AGUA OXIGENADA 200 VOLUMES"</f>
        <v>AGUA OXIGENADA 200 VOLUMES</v>
      </c>
      <c r="C452" s="2" t="str">
        <f t="shared" si="15"/>
        <v>UN</v>
      </c>
      <c r="D452" s="7">
        <v>400</v>
      </c>
      <c r="E452" s="3">
        <v>4</v>
      </c>
      <c r="F452" s="2">
        <v>4</v>
      </c>
      <c r="G452" t="s">
        <v>512</v>
      </c>
    </row>
    <row r="453" spans="1:7" x14ac:dyDescent="0.25">
      <c r="A453" s="1" t="str">
        <f>"513873"</f>
        <v>513873</v>
      </c>
      <c r="B453" s="2" t="str">
        <f>"AGUA PEPTONADA TAMPONADA 500GR"</f>
        <v>AGUA PEPTONADA TAMPONADA 500GR</v>
      </c>
      <c r="C453" s="2" t="str">
        <f t="shared" si="15"/>
        <v>UN</v>
      </c>
      <c r="D453" s="7">
        <v>406</v>
      </c>
      <c r="E453" s="3">
        <v>4</v>
      </c>
      <c r="F453" s="2">
        <v>1</v>
      </c>
      <c r="G453" t="s">
        <v>513</v>
      </c>
    </row>
    <row r="454" spans="1:7" x14ac:dyDescent="0.25">
      <c r="A454" s="1" t="str">
        <f>"6275"</f>
        <v>6275</v>
      </c>
      <c r="B454" s="2" t="str">
        <f>"AGUA PEPTONADA TAMPONADA 500GR ACUMEDIA"</f>
        <v>AGUA PEPTONADA TAMPONADA 500GR ACUMEDIA</v>
      </c>
      <c r="C454" s="2" t="str">
        <f t="shared" si="15"/>
        <v>UN</v>
      </c>
      <c r="D454" s="7">
        <v>303</v>
      </c>
      <c r="E454" s="3">
        <v>3</v>
      </c>
      <c r="F454" s="2">
        <v>2</v>
      </c>
      <c r="G454" t="s">
        <v>514</v>
      </c>
    </row>
    <row r="455" spans="1:7" x14ac:dyDescent="0.25">
      <c r="A455" s="1" t="str">
        <f>"519222"</f>
        <v>519222</v>
      </c>
      <c r="B455" s="2" t="str">
        <f>"AGUA RAZ 0,900ML"</f>
        <v>AGUA RAZ 0,900ML</v>
      </c>
      <c r="C455" s="2" t="str">
        <f t="shared" si="15"/>
        <v>UN</v>
      </c>
      <c r="D455" s="7">
        <v>403</v>
      </c>
      <c r="E455" s="3">
        <v>4</v>
      </c>
      <c r="F455" s="2">
        <v>7</v>
      </c>
      <c r="G455" t="s">
        <v>515</v>
      </c>
    </row>
    <row r="456" spans="1:7" x14ac:dyDescent="0.25">
      <c r="A456" s="1" t="str">
        <f>"500100"</f>
        <v>500100</v>
      </c>
      <c r="B456" s="2" t="str">
        <f>"AGUA RAZ 5L"</f>
        <v>AGUA RAZ 5L</v>
      </c>
      <c r="C456" s="2" t="str">
        <f t="shared" si="15"/>
        <v>UN</v>
      </c>
      <c r="D456" s="7">
        <v>403</v>
      </c>
      <c r="E456" s="3">
        <v>4</v>
      </c>
      <c r="F456" s="2">
        <v>9</v>
      </c>
      <c r="G456" t="s">
        <v>512</v>
      </c>
    </row>
    <row r="457" spans="1:7" x14ac:dyDescent="0.25">
      <c r="A457" s="1" t="str">
        <f>"514529"</f>
        <v>514529</v>
      </c>
      <c r="B457" s="2" t="str">
        <f>"AGUA SANITARIA"</f>
        <v>AGUA SANITARIA</v>
      </c>
      <c r="C457" s="2" t="str">
        <f t="shared" si="15"/>
        <v>UN</v>
      </c>
      <c r="D457" s="7">
        <v>401</v>
      </c>
      <c r="E457" s="3">
        <v>4</v>
      </c>
      <c r="F457" s="2">
        <v>0</v>
      </c>
      <c r="G457" t="s">
        <v>516</v>
      </c>
    </row>
    <row r="458" spans="1:7" x14ac:dyDescent="0.25">
      <c r="A458" s="1" t="str">
        <f>"514521"</f>
        <v>514521</v>
      </c>
      <c r="B458" s="2" t="str">
        <f>"AGUATONICA"</f>
        <v>AGUATONICA</v>
      </c>
      <c r="C458" s="2" t="str">
        <f t="shared" si="15"/>
        <v>UN</v>
      </c>
      <c r="D458" s="7">
        <v>401</v>
      </c>
      <c r="E458" s="3">
        <v>4</v>
      </c>
      <c r="F458" s="2">
        <v>0</v>
      </c>
      <c r="G458" t="s">
        <v>515</v>
      </c>
    </row>
    <row r="459" spans="1:7" x14ac:dyDescent="0.25">
      <c r="A459" s="1" t="str">
        <f>"514721"</f>
        <v>514721</v>
      </c>
      <c r="B459" s="2" t="str">
        <f>"AGULHA"</f>
        <v>AGULHA</v>
      </c>
      <c r="C459" s="2" t="str">
        <f t="shared" si="15"/>
        <v>UN</v>
      </c>
      <c r="D459" s="7">
        <v>401</v>
      </c>
      <c r="E459" s="3">
        <v>4</v>
      </c>
      <c r="F459" s="2">
        <v>4</v>
      </c>
      <c r="G459" t="s">
        <v>514</v>
      </c>
    </row>
    <row r="460" spans="1:7" x14ac:dyDescent="0.25">
      <c r="A460" s="1" t="str">
        <f>"510325"</f>
        <v>510325</v>
      </c>
      <c r="B460" s="2" t="str">
        <f>"AGULHA CONICA 003000039"</f>
        <v>AGULHA CONICA 003000039</v>
      </c>
      <c r="C460" s="2" t="str">
        <f t="shared" si="15"/>
        <v>UN</v>
      </c>
      <c r="D460" s="7">
        <v>918</v>
      </c>
      <c r="E460" s="3">
        <v>11</v>
      </c>
      <c r="F460" s="2">
        <v>1</v>
      </c>
      <c r="G460" t="s">
        <v>512</v>
      </c>
    </row>
    <row r="461" spans="1:7" x14ac:dyDescent="0.25">
      <c r="A461" s="1" t="str">
        <f>"500107"</f>
        <v>500107</v>
      </c>
      <c r="B461" s="2" t="str">
        <f>"AGULHA ROSQUEAVEL DE 1/2"""</f>
        <v>AGULHA ROSQUEAVEL DE 1/2"</v>
      </c>
      <c r="C461" s="2" t="str">
        <f t="shared" si="15"/>
        <v>UN</v>
      </c>
      <c r="D461" s="7">
        <v>601</v>
      </c>
      <c r="E461" s="3">
        <v>8</v>
      </c>
      <c r="F461" s="2">
        <v>2</v>
      </c>
      <c r="G461" t="s">
        <v>513</v>
      </c>
    </row>
    <row r="462" spans="1:7" x14ac:dyDescent="0.25">
      <c r="A462" s="1" t="str">
        <f>"500108"</f>
        <v>500108</v>
      </c>
      <c r="B462" s="2" t="str">
        <f>"AGULHA ROSQUEAVEL DE 3/8"""</f>
        <v>AGULHA ROSQUEAVEL DE 3/8"</v>
      </c>
      <c r="C462" s="2" t="str">
        <f t="shared" si="15"/>
        <v>UN</v>
      </c>
      <c r="D462" s="7">
        <v>601</v>
      </c>
      <c r="E462" s="3">
        <v>8</v>
      </c>
      <c r="F462" s="2">
        <v>7</v>
      </c>
      <c r="G462" t="s">
        <v>514</v>
      </c>
    </row>
    <row r="463" spans="1:7" x14ac:dyDescent="0.25">
      <c r="A463" s="1" t="str">
        <f>"516094"</f>
        <v>516094</v>
      </c>
      <c r="B463" s="2" t="str">
        <f>"AGULHEIRO P/ LIMPEZA BICOS SOLDA/CORTE"</f>
        <v>AGULHEIRO P/ LIMPEZA BICOS SOLDA/CORTE</v>
      </c>
      <c r="C463" s="2" t="str">
        <f t="shared" si="15"/>
        <v>UN</v>
      </c>
      <c r="D463" s="7">
        <v>918</v>
      </c>
      <c r="E463" s="3">
        <v>4</v>
      </c>
      <c r="F463" s="2">
        <v>9</v>
      </c>
      <c r="G463" t="s">
        <v>514</v>
      </c>
    </row>
    <row r="464" spans="1:7" x14ac:dyDescent="0.25">
      <c r="A464" s="1" t="str">
        <f>"526015"</f>
        <v>526015</v>
      </c>
      <c r="B464" s="2" t="str">
        <f>"AIR BAG PAINEL"</f>
        <v>AIR BAG PAINEL</v>
      </c>
      <c r="C464" s="2" t="str">
        <f t="shared" si="15"/>
        <v>UN</v>
      </c>
      <c r="D464" s="7">
        <v>704</v>
      </c>
      <c r="E464" s="3">
        <v>9</v>
      </c>
      <c r="F464" s="2">
        <v>0</v>
      </c>
      <c r="G464" t="s">
        <v>512</v>
      </c>
    </row>
    <row r="465" spans="1:7" x14ac:dyDescent="0.25">
      <c r="A465" s="1" t="str">
        <f>"514268"</f>
        <v>514268</v>
      </c>
      <c r="B465" s="2" t="str">
        <f>"AIR LIVE CAMERA"</f>
        <v>AIR LIVE CAMERA</v>
      </c>
      <c r="C465" s="2" t="str">
        <f t="shared" si="15"/>
        <v>UN</v>
      </c>
      <c r="D465" s="7">
        <v>1300</v>
      </c>
      <c r="E465" s="3">
        <v>13</v>
      </c>
      <c r="F465" s="2">
        <v>0</v>
      </c>
      <c r="G465" t="s">
        <v>513</v>
      </c>
    </row>
    <row r="466" spans="1:7" x14ac:dyDescent="0.25">
      <c r="A466" s="1" t="str">
        <f>"519883"</f>
        <v>519883</v>
      </c>
      <c r="B466" s="2" t="str">
        <f>"AIR TRUCK FLOWERS 500ML"</f>
        <v>AIR TRUCK FLOWERS 500ML</v>
      </c>
      <c r="C466" s="2" t="str">
        <f t="shared" si="15"/>
        <v>UN</v>
      </c>
      <c r="D466" s="7">
        <v>99999</v>
      </c>
      <c r="E466" s="3">
        <v>99</v>
      </c>
      <c r="F466" s="2">
        <v>2</v>
      </c>
      <c r="G466" t="s">
        <v>514</v>
      </c>
    </row>
    <row r="467" spans="1:7" x14ac:dyDescent="0.25">
      <c r="A467" s="1" t="str">
        <f>"527066"</f>
        <v>527066</v>
      </c>
      <c r="B467" s="2" t="str">
        <f>"AK530 MEDIDOR DE COR PARA AGUA"</f>
        <v>AK530 MEDIDOR DE COR PARA AGUA</v>
      </c>
      <c r="C467" s="2" t="str">
        <f t="shared" si="15"/>
        <v>UN</v>
      </c>
      <c r="D467" s="7">
        <v>1500</v>
      </c>
      <c r="E467" s="3">
        <v>13</v>
      </c>
      <c r="F467" s="2">
        <v>5</v>
      </c>
      <c r="G467" t="s">
        <v>514</v>
      </c>
    </row>
    <row r="468" spans="1:7" x14ac:dyDescent="0.25">
      <c r="A468" s="1" t="str">
        <f>"515577"</f>
        <v>515577</v>
      </c>
      <c r="B468" s="2" t="str">
        <f>"AL 215 - ALCALINO"</f>
        <v>AL 215 - ALCALINO</v>
      </c>
      <c r="C468" s="2" t="str">
        <f>"LT"</f>
        <v>LT</v>
      </c>
      <c r="D468" s="7">
        <v>400</v>
      </c>
      <c r="E468" s="3">
        <v>4</v>
      </c>
      <c r="F468" s="2">
        <v>0</v>
      </c>
      <c r="G468" t="s">
        <v>514</v>
      </c>
    </row>
    <row r="469" spans="1:7" x14ac:dyDescent="0.25">
      <c r="A469" s="1" t="str">
        <f>"4095"</f>
        <v>4095</v>
      </c>
      <c r="B469" s="2" t="str">
        <f>"AL.BAND. 90GR GREGO BANANA C/ ACAI  DINI"</f>
        <v>AL.BAND. 90GR GREGO BANANA C/ ACAI  DINI</v>
      </c>
      <c r="C469" s="2" t="str">
        <f t="shared" ref="C469:C489" si="16">"KG"</f>
        <v>KG</v>
      </c>
      <c r="D469" s="7">
        <v>100</v>
      </c>
      <c r="E469" s="3">
        <v>1</v>
      </c>
      <c r="F469" s="2">
        <v>2</v>
      </c>
      <c r="G469" t="s">
        <v>513</v>
      </c>
    </row>
    <row r="470" spans="1:7" x14ac:dyDescent="0.25">
      <c r="A470" s="1" t="str">
        <f>"4094"</f>
        <v>4094</v>
      </c>
      <c r="B470" s="2" t="str">
        <f>"AL.BAND. 90GR GREGO FLOCOS DINI"</f>
        <v>AL.BAND. 90GR GREGO FLOCOS DINI</v>
      </c>
      <c r="C470" s="2" t="str">
        <f t="shared" si="16"/>
        <v>KG</v>
      </c>
      <c r="D470" s="7">
        <v>100</v>
      </c>
      <c r="E470" s="3">
        <v>1</v>
      </c>
      <c r="F470" s="2">
        <v>5</v>
      </c>
      <c r="G470" t="s">
        <v>512</v>
      </c>
    </row>
    <row r="471" spans="1:7" x14ac:dyDescent="0.25">
      <c r="A471" s="1" t="str">
        <f>"4093"</f>
        <v>4093</v>
      </c>
      <c r="B471" s="2" t="str">
        <f>"AL.BAND. 90GR GREGO FRUTAS VERMELHAS DINI"</f>
        <v>AL.BAND. 90GR GREGO FRUTAS VERMELHAS DINI</v>
      </c>
      <c r="C471" s="2" t="str">
        <f t="shared" si="16"/>
        <v>KG</v>
      </c>
      <c r="D471" s="7">
        <v>100</v>
      </c>
      <c r="E471" s="3">
        <v>1</v>
      </c>
      <c r="F471" s="5">
        <v>5</v>
      </c>
      <c r="G471" t="s">
        <v>513</v>
      </c>
    </row>
    <row r="472" spans="1:7" x14ac:dyDescent="0.25">
      <c r="A472" s="1" t="str">
        <f>"4092"</f>
        <v>4092</v>
      </c>
      <c r="B472" s="2" t="str">
        <f>"AL.BAND. 90GR GREGO MARCUJA DINI"</f>
        <v>AL.BAND. 90GR GREGO MARCUJA DINI</v>
      </c>
      <c r="C472" s="2" t="str">
        <f t="shared" si="16"/>
        <v>KG</v>
      </c>
      <c r="D472" s="7">
        <v>100</v>
      </c>
      <c r="E472" s="3">
        <v>1</v>
      </c>
      <c r="F472" s="2">
        <v>3</v>
      </c>
      <c r="G472" t="s">
        <v>514</v>
      </c>
    </row>
    <row r="473" spans="1:7" x14ac:dyDescent="0.25">
      <c r="A473" s="1" t="str">
        <f>"4091"</f>
        <v>4091</v>
      </c>
      <c r="B473" s="2" t="str">
        <f>"AL.BAND. 90GR GREGO MORANGO DIN"</f>
        <v>AL.BAND. 90GR GREGO MORANGO DIN</v>
      </c>
      <c r="C473" s="2" t="str">
        <f t="shared" si="16"/>
        <v>KG</v>
      </c>
      <c r="D473" s="7">
        <v>100</v>
      </c>
      <c r="E473" s="3">
        <v>1</v>
      </c>
      <c r="F473" s="2">
        <v>8</v>
      </c>
      <c r="G473" t="s">
        <v>514</v>
      </c>
    </row>
    <row r="474" spans="1:7" x14ac:dyDescent="0.25">
      <c r="A474" s="1" t="str">
        <f>"4090"</f>
        <v>4090</v>
      </c>
      <c r="B474" s="2" t="str">
        <f>"AL.BAND. 90GR GREGO TRADICIONAL DINI"</f>
        <v>AL.BAND. 90GR GREGO TRADICIONAL DINI</v>
      </c>
      <c r="C474" s="2" t="str">
        <f t="shared" si="16"/>
        <v>KG</v>
      </c>
      <c r="D474" s="7">
        <v>100</v>
      </c>
      <c r="E474" s="3">
        <v>1</v>
      </c>
      <c r="F474" s="2">
        <v>6</v>
      </c>
      <c r="G474" t="s">
        <v>514</v>
      </c>
    </row>
    <row r="475" spans="1:7" x14ac:dyDescent="0.25">
      <c r="A475" s="1" t="str">
        <f>"7156"</f>
        <v>7156</v>
      </c>
      <c r="B475" s="2" t="str">
        <f>"AL.BAND.100GR C/PREPARADO TORTA DE LIMÃO (GREGO) DINI 300"</f>
        <v>AL.BAND.100GR C/PREPARADO TORTA DE LIMÃO (GREGO) DINI 300</v>
      </c>
      <c r="C475" s="2" t="str">
        <f t="shared" si="16"/>
        <v>KG</v>
      </c>
      <c r="D475" s="7">
        <v>100</v>
      </c>
      <c r="E475" s="3">
        <v>1</v>
      </c>
      <c r="F475" s="2">
        <v>4</v>
      </c>
      <c r="G475" t="s">
        <v>513</v>
      </c>
    </row>
    <row r="476" spans="1:7" x14ac:dyDescent="0.25">
      <c r="A476" s="1" t="str">
        <f>"7157"</f>
        <v>7157</v>
      </c>
      <c r="B476" s="2" t="str">
        <f>"AL.BAND.100GR C/PREPARADO TORTA DE MAÇÃ/CANELA (GREGO) DINI"</f>
        <v>AL.BAND.100GR C/PREPARADO TORTA DE MAÇÃ/CANELA (GREGO) DINI</v>
      </c>
      <c r="C476" s="2" t="str">
        <f t="shared" si="16"/>
        <v>KG</v>
      </c>
      <c r="D476" s="7">
        <v>100</v>
      </c>
      <c r="E476" s="3">
        <v>1</v>
      </c>
      <c r="F476" s="2">
        <v>1</v>
      </c>
      <c r="G476" t="s">
        <v>513</v>
      </c>
    </row>
    <row r="477" spans="1:7" x14ac:dyDescent="0.25">
      <c r="A477" s="1" t="str">
        <f>"7149"</f>
        <v>7149</v>
      </c>
      <c r="B477" s="2" t="str">
        <f>"AL.BAND.100GR CHOCOLATE COM BANANA (GREGO) DINI 300M"</f>
        <v>AL.BAND.100GR CHOCOLATE COM BANANA (GREGO) DINI 300M</v>
      </c>
      <c r="C477" s="2" t="str">
        <f t="shared" si="16"/>
        <v>KG</v>
      </c>
      <c r="D477" s="7">
        <v>100</v>
      </c>
      <c r="E477" s="3">
        <v>1</v>
      </c>
      <c r="F477" s="2">
        <v>2</v>
      </c>
      <c r="G477" t="s">
        <v>513</v>
      </c>
    </row>
    <row r="478" spans="1:7" x14ac:dyDescent="0.25">
      <c r="A478" s="1" t="str">
        <f>"7148"</f>
        <v>7148</v>
      </c>
      <c r="B478" s="2" t="str">
        <f>"AL.BAND.100GR FRUTAS AMARELAS (GREGO) DINI 300M"</f>
        <v>AL.BAND.100GR FRUTAS AMARELAS (GREGO) DINI 300M</v>
      </c>
      <c r="C478" s="2" t="str">
        <f t="shared" si="16"/>
        <v>KG</v>
      </c>
      <c r="D478" s="7">
        <v>100</v>
      </c>
      <c r="E478" s="3">
        <v>1</v>
      </c>
      <c r="F478" s="2">
        <v>7</v>
      </c>
      <c r="G478" t="s">
        <v>512</v>
      </c>
    </row>
    <row r="479" spans="1:7" x14ac:dyDescent="0.25">
      <c r="A479" s="1" t="str">
        <f>"7145"</f>
        <v>7145</v>
      </c>
      <c r="B479" s="2" t="str">
        <f>"AL.BAND.100GR FRUTAS VERMELHAS (GREGO) DINI 300M"</f>
        <v>AL.BAND.100GR FRUTAS VERMELHAS (GREGO) DINI 300M</v>
      </c>
      <c r="C479" s="2" t="str">
        <f t="shared" si="16"/>
        <v>KG</v>
      </c>
      <c r="D479" s="7">
        <v>100</v>
      </c>
      <c r="E479" s="3">
        <v>1</v>
      </c>
      <c r="F479" s="2">
        <v>9</v>
      </c>
      <c r="G479" t="s">
        <v>513</v>
      </c>
    </row>
    <row r="480" spans="1:7" x14ac:dyDescent="0.25">
      <c r="A480" s="1" t="str">
        <f>"7154"</f>
        <v>7154</v>
      </c>
      <c r="B480" s="2" t="str">
        <f>"AL.BAND.100GR INTEGRAL ADOÇADO ZERO TRADICIONAL (GREGO) DINI"</f>
        <v>AL.BAND.100GR INTEGRAL ADOÇADO ZERO TRADICIONAL (GREGO) DINI</v>
      </c>
      <c r="C480" s="2" t="str">
        <f t="shared" si="16"/>
        <v>KG</v>
      </c>
      <c r="D480" s="7">
        <v>100</v>
      </c>
      <c r="E480" s="3">
        <v>1</v>
      </c>
      <c r="F480" s="2">
        <v>0</v>
      </c>
      <c r="G480" t="s">
        <v>514</v>
      </c>
    </row>
    <row r="481" spans="1:7" x14ac:dyDescent="0.25">
      <c r="A481" s="1" t="str">
        <f>"7146"</f>
        <v>7146</v>
      </c>
      <c r="B481" s="2" t="str">
        <f>"AL.BAND.100GR MARACUJA (GREGO) DINI 300M"</f>
        <v>AL.BAND.100GR MARACUJA (GREGO) DINI 300M</v>
      </c>
      <c r="C481" s="2" t="str">
        <f t="shared" si="16"/>
        <v>KG</v>
      </c>
      <c r="D481" s="7">
        <v>100</v>
      </c>
      <c r="E481" s="3">
        <v>1</v>
      </c>
      <c r="F481" s="2">
        <v>0</v>
      </c>
      <c r="G481" t="s">
        <v>515</v>
      </c>
    </row>
    <row r="482" spans="1:7" x14ac:dyDescent="0.25">
      <c r="A482" s="1" t="str">
        <f>"7144"</f>
        <v>7144</v>
      </c>
      <c r="B482" s="2" t="str">
        <f>"AL.BAND.100GR MORANGO (GREGO) DINI 300M"</f>
        <v>AL.BAND.100GR MORANGO (GREGO) DINI 300M</v>
      </c>
      <c r="C482" s="2" t="str">
        <f t="shared" si="16"/>
        <v>KG</v>
      </c>
      <c r="D482" s="7">
        <v>100</v>
      </c>
      <c r="E482" s="3">
        <v>1</v>
      </c>
      <c r="F482" s="2">
        <v>2</v>
      </c>
      <c r="G482" t="s">
        <v>512</v>
      </c>
    </row>
    <row r="483" spans="1:7" x14ac:dyDescent="0.25">
      <c r="A483" s="1" t="str">
        <f>"7155"</f>
        <v>7155</v>
      </c>
      <c r="B483" s="2" t="str">
        <f>"AL.BAND.100GR MORANGO INTEGRAL ADOÇADO ZERO (GREGO) DINI 300"</f>
        <v>AL.BAND.100GR MORANGO INTEGRAL ADOÇADO ZERO (GREGO) DINI 300</v>
      </c>
      <c r="C483" s="2" t="str">
        <f t="shared" si="16"/>
        <v>KG</v>
      </c>
      <c r="D483" s="7">
        <v>100</v>
      </c>
      <c r="E483" s="3">
        <v>1</v>
      </c>
      <c r="F483" s="2">
        <v>5</v>
      </c>
      <c r="G483" t="s">
        <v>516</v>
      </c>
    </row>
    <row r="484" spans="1:7" x14ac:dyDescent="0.25">
      <c r="A484" s="1" t="str">
        <f>"7147"</f>
        <v>7147</v>
      </c>
      <c r="B484" s="2" t="str">
        <f>"AL.BAND.100GR NATURAL (GREGO) DINI 300M"</f>
        <v>AL.BAND.100GR NATURAL (GREGO) DINI 300M</v>
      </c>
      <c r="C484" s="2" t="str">
        <f t="shared" si="16"/>
        <v>KG</v>
      </c>
      <c r="D484" s="7">
        <v>100</v>
      </c>
      <c r="E484" s="3">
        <v>1</v>
      </c>
      <c r="F484" s="2">
        <v>6</v>
      </c>
      <c r="G484" t="s">
        <v>515</v>
      </c>
    </row>
    <row r="485" spans="1:7" x14ac:dyDescent="0.25">
      <c r="A485" s="1" t="str">
        <f>"7041"</f>
        <v>7041</v>
      </c>
      <c r="B485" s="2" t="str">
        <f>"AL.BAND.360GR MOR/COCO (VERY GURT) DINI 550M"</f>
        <v>AL.BAND.360GR MOR/COCO (VERY GURT) DINI 550M</v>
      </c>
      <c r="C485" s="2" t="str">
        <f t="shared" si="16"/>
        <v>KG</v>
      </c>
      <c r="D485" s="7">
        <v>100</v>
      </c>
      <c r="E485" s="3">
        <v>1</v>
      </c>
      <c r="F485" s="2">
        <v>9</v>
      </c>
      <c r="G485" t="s">
        <v>514</v>
      </c>
    </row>
    <row r="486" spans="1:7" x14ac:dyDescent="0.25">
      <c r="A486" s="1" t="str">
        <f>"6814"</f>
        <v>6814</v>
      </c>
      <c r="B486" s="2" t="str">
        <f>"AL.BAND.510GR BL MORANGO (CARREFOUR) DINI 550M"</f>
        <v>AL.BAND.510GR BL MORANGO (CARREFOUR) DINI 550M</v>
      </c>
      <c r="C486" s="2" t="str">
        <f t="shared" si="16"/>
        <v>KG</v>
      </c>
      <c r="D486" s="7">
        <v>100</v>
      </c>
      <c r="E486" s="3">
        <v>1</v>
      </c>
      <c r="F486" s="2">
        <v>5</v>
      </c>
      <c r="G486" t="s">
        <v>512</v>
      </c>
    </row>
    <row r="487" spans="1:7" x14ac:dyDescent="0.25">
      <c r="A487" s="1" t="str">
        <f>"6815"</f>
        <v>6815</v>
      </c>
      <c r="B487" s="2" t="str">
        <f>"AL.BAND.510GR BL MORANGO E COCO (CARREFOUR) DINI 550M"</f>
        <v>AL.BAND.510GR BL MORANGO E COCO (CARREFOUR) DINI 550M</v>
      </c>
      <c r="C487" s="2" t="str">
        <f t="shared" si="16"/>
        <v>KG</v>
      </c>
      <c r="D487" s="7">
        <v>100</v>
      </c>
      <c r="E487" s="3">
        <v>1</v>
      </c>
      <c r="F487" s="2">
        <v>3</v>
      </c>
      <c r="G487" t="s">
        <v>513</v>
      </c>
    </row>
    <row r="488" spans="1:7" x14ac:dyDescent="0.25">
      <c r="A488" s="1" t="str">
        <f>"6860"</f>
        <v>6860</v>
      </c>
      <c r="B488" s="2" t="str">
        <f>"AL.BAND.510GR MOR/ COCO (CARREF-DISCOUNT) DINI 550M"</f>
        <v>AL.BAND.510GR MOR/ COCO (CARREF-DISCOUNT) DINI 550M</v>
      </c>
      <c r="C488" s="2" t="str">
        <f t="shared" si="16"/>
        <v>KG</v>
      </c>
      <c r="D488" s="7">
        <v>100</v>
      </c>
      <c r="E488" s="3">
        <v>1</v>
      </c>
      <c r="F488" s="2">
        <v>3</v>
      </c>
      <c r="G488" t="s">
        <v>514</v>
      </c>
    </row>
    <row r="489" spans="1:7" x14ac:dyDescent="0.25">
      <c r="A489" s="1" t="str">
        <f>"6864"</f>
        <v>6864</v>
      </c>
      <c r="B489" s="2" t="str">
        <f>"AL.BAND.510GR MOR/ COCO (CARREFOUR) DINI 550M"</f>
        <v>AL.BAND.510GR MOR/ COCO (CARREFOUR) DINI 550M</v>
      </c>
      <c r="C489" s="2" t="str">
        <f t="shared" si="16"/>
        <v>KG</v>
      </c>
      <c r="D489" s="7">
        <v>100</v>
      </c>
      <c r="E489" s="3">
        <v>1</v>
      </c>
      <c r="F489" s="2">
        <v>2</v>
      </c>
      <c r="G489" t="s">
        <v>514</v>
      </c>
    </row>
    <row r="490" spans="1:7" x14ac:dyDescent="0.25">
      <c r="A490" s="1" t="str">
        <f>"4060"</f>
        <v>4060</v>
      </c>
      <c r="B490" s="2" t="str">
        <f>"AL.BAND.510GR MOR/COCO (CAROLINA) DINI 550M"</f>
        <v>AL.BAND.510GR MOR/COCO (CAROLINA) DINI 550M</v>
      </c>
      <c r="C490" s="2" t="str">
        <f>"UN"</f>
        <v>UN</v>
      </c>
      <c r="D490" s="7">
        <v>100</v>
      </c>
      <c r="E490" s="3">
        <v>1</v>
      </c>
      <c r="F490" s="2">
        <v>1</v>
      </c>
      <c r="G490" t="s">
        <v>512</v>
      </c>
    </row>
    <row r="491" spans="1:7" x14ac:dyDescent="0.25">
      <c r="A491" s="1" t="str">
        <f>"7113"</f>
        <v>7113</v>
      </c>
      <c r="B491" s="2" t="str">
        <f>"AL.BAND.510GR MOR/COCO (CAROLINA) DINI 550M"</f>
        <v>AL.BAND.510GR MOR/COCO (CAROLINA) DINI 550M</v>
      </c>
      <c r="C491" s="2" t="str">
        <f>"KG"</f>
        <v>KG</v>
      </c>
      <c r="D491" s="7">
        <v>100</v>
      </c>
      <c r="E491" s="3">
        <v>1</v>
      </c>
      <c r="F491" s="2">
        <v>4</v>
      </c>
      <c r="G491" t="s">
        <v>513</v>
      </c>
    </row>
    <row r="492" spans="1:7" x14ac:dyDescent="0.25">
      <c r="A492" s="1" t="str">
        <f>"7114"</f>
        <v>7114</v>
      </c>
      <c r="B492" s="2" t="str">
        <f>"AL.BAND.510GR MOR/COCO (VERY GURT) DINI 550M"</f>
        <v>AL.BAND.510GR MOR/COCO (VERY GURT) DINI 550M</v>
      </c>
      <c r="C492" s="2" t="str">
        <f>"KG"</f>
        <v>KG</v>
      </c>
      <c r="D492" s="7">
        <v>100</v>
      </c>
      <c r="E492" s="3">
        <v>1</v>
      </c>
      <c r="F492" s="2">
        <v>6</v>
      </c>
      <c r="G492" t="s">
        <v>514</v>
      </c>
    </row>
    <row r="493" spans="1:7" x14ac:dyDescent="0.25">
      <c r="A493" s="1" t="str">
        <f>"4061"</f>
        <v>4061</v>
      </c>
      <c r="B493" s="2" t="str">
        <f>"AL.BAND.510GR MOR/SALADA (CAROLINA) DINI 550M"</f>
        <v>AL.BAND.510GR MOR/SALADA (CAROLINA) DINI 550M</v>
      </c>
      <c r="C493" s="2" t="str">
        <f>"UN"</f>
        <v>UN</v>
      </c>
      <c r="D493" s="7">
        <v>100</v>
      </c>
      <c r="E493" s="3">
        <v>1</v>
      </c>
      <c r="F493" s="2">
        <v>8</v>
      </c>
      <c r="G493" t="s">
        <v>514</v>
      </c>
    </row>
    <row r="494" spans="1:7" x14ac:dyDescent="0.25">
      <c r="A494" s="1" t="str">
        <f>"7111"</f>
        <v>7111</v>
      </c>
      <c r="B494" s="2" t="str">
        <f>"AL.BAND.510GR MOR/SALADA (CAROLINA) DINI 550M"</f>
        <v>AL.BAND.510GR MOR/SALADA (CAROLINA) DINI 550M</v>
      </c>
      <c r="C494" s="2" t="str">
        <f>"KG"</f>
        <v>KG</v>
      </c>
      <c r="D494" s="7">
        <v>100</v>
      </c>
      <c r="E494" s="3">
        <v>1</v>
      </c>
      <c r="F494" s="2">
        <v>7</v>
      </c>
      <c r="G494" t="s">
        <v>514</v>
      </c>
    </row>
    <row r="495" spans="1:7" x14ac:dyDescent="0.25">
      <c r="A495" s="1" t="str">
        <f>"4059"</f>
        <v>4059</v>
      </c>
      <c r="B495" s="2" t="str">
        <f>"AL.BAND.510GR MORANGO (CAROLINA) DINI 550M"</f>
        <v>AL.BAND.510GR MORANGO (CAROLINA) DINI 550M</v>
      </c>
      <c r="C495" s="2" t="str">
        <f>"UN"</f>
        <v>UN</v>
      </c>
      <c r="D495" s="7">
        <v>100</v>
      </c>
      <c r="E495" s="3">
        <v>1</v>
      </c>
      <c r="F495" s="2">
        <v>6</v>
      </c>
      <c r="G495" t="s">
        <v>513</v>
      </c>
    </row>
    <row r="496" spans="1:7" x14ac:dyDescent="0.25">
      <c r="A496" s="1" t="str">
        <f>"7112"</f>
        <v>7112</v>
      </c>
      <c r="B496" s="2" t="str">
        <f>"AL.BAND.510GR MORANGO (CAROLINA) DINI 550M"</f>
        <v>AL.BAND.510GR MORANGO (CAROLINA) DINI 550M</v>
      </c>
      <c r="C496" s="2" t="str">
        <f t="shared" ref="C496:C512" si="17">"KG"</f>
        <v>KG</v>
      </c>
      <c r="D496" s="7">
        <v>100</v>
      </c>
      <c r="E496" s="3">
        <v>1</v>
      </c>
      <c r="F496" s="2">
        <v>6</v>
      </c>
      <c r="G496" t="s">
        <v>512</v>
      </c>
    </row>
    <row r="497" spans="1:7" x14ac:dyDescent="0.25">
      <c r="A497" s="1" t="str">
        <f>"6802"</f>
        <v>6802</v>
      </c>
      <c r="B497" s="2" t="str">
        <f>"AL.BAND.510GR MORANGO (CARREF-DISCOUNT) DINI 550M"</f>
        <v>AL.BAND.510GR MORANGO (CARREF-DISCOUNT) DINI 550M</v>
      </c>
      <c r="C497" s="2" t="str">
        <f t="shared" si="17"/>
        <v>KG</v>
      </c>
      <c r="D497" s="7">
        <v>100</v>
      </c>
      <c r="E497" s="3">
        <v>1</v>
      </c>
      <c r="F497" s="2">
        <v>2</v>
      </c>
      <c r="G497" t="s">
        <v>513</v>
      </c>
    </row>
    <row r="498" spans="1:7" x14ac:dyDescent="0.25">
      <c r="A498" s="1" t="str">
        <f>"6863"</f>
        <v>6863</v>
      </c>
      <c r="B498" s="2" t="str">
        <f>"AL.BAND.510GR MORANGO (CARREFOUR) DINI 550M"</f>
        <v>AL.BAND.510GR MORANGO (CARREFOUR) DINI 550M</v>
      </c>
      <c r="C498" s="2" t="str">
        <f t="shared" si="17"/>
        <v>KG</v>
      </c>
      <c r="D498" s="7">
        <v>100</v>
      </c>
      <c r="E498" s="3">
        <v>1</v>
      </c>
      <c r="F498" s="2">
        <v>1</v>
      </c>
      <c r="G498" t="s">
        <v>514</v>
      </c>
    </row>
    <row r="499" spans="1:7" x14ac:dyDescent="0.25">
      <c r="A499" s="1" t="str">
        <f>"2418"</f>
        <v>2418</v>
      </c>
      <c r="B499" s="2" t="str">
        <f>"AL.BAND.510GR MORANGO (QUALITA) DINI 550M"</f>
        <v>AL.BAND.510GR MORANGO (QUALITA) DINI 550M</v>
      </c>
      <c r="C499" s="2" t="str">
        <f t="shared" si="17"/>
        <v>KG</v>
      </c>
      <c r="D499" s="7">
        <v>100</v>
      </c>
      <c r="E499" s="3">
        <v>1</v>
      </c>
      <c r="F499" s="2">
        <v>0</v>
      </c>
      <c r="G499" t="s">
        <v>514</v>
      </c>
    </row>
    <row r="500" spans="1:7" x14ac:dyDescent="0.25">
      <c r="A500" s="1" t="str">
        <f>"2418-1"</f>
        <v>2418-1</v>
      </c>
      <c r="B500" s="2" t="str">
        <f>"AL.BAND.510GR MORANGO (QUALITA) DINI 550M"</f>
        <v>AL.BAND.510GR MORANGO (QUALITA) DINI 550M</v>
      </c>
      <c r="C500" s="2" t="str">
        <f t="shared" si="17"/>
        <v>KG</v>
      </c>
      <c r="D500" s="7">
        <v>100</v>
      </c>
      <c r="E500" s="3">
        <v>1</v>
      </c>
      <c r="F500" s="2">
        <v>0</v>
      </c>
      <c r="G500" t="s">
        <v>514</v>
      </c>
    </row>
    <row r="501" spans="1:7" x14ac:dyDescent="0.25">
      <c r="A501" s="1" t="str">
        <f>"7115"</f>
        <v>7115</v>
      </c>
      <c r="B501" s="2" t="str">
        <f>"AL.BAND.510GR MORANGO (VERY GURT) DINI 550M"</f>
        <v>AL.BAND.510GR MORANGO (VERY GURT) DINI 550M</v>
      </c>
      <c r="C501" s="2" t="str">
        <f t="shared" si="17"/>
        <v>KG</v>
      </c>
      <c r="D501" s="7">
        <v>100</v>
      </c>
      <c r="E501" s="3">
        <v>1</v>
      </c>
      <c r="F501" s="2">
        <v>0</v>
      </c>
      <c r="G501" t="s">
        <v>513</v>
      </c>
    </row>
    <row r="502" spans="1:7" x14ac:dyDescent="0.25">
      <c r="A502" s="1" t="str">
        <f>"2421"</f>
        <v>2421</v>
      </c>
      <c r="B502" s="2" t="str">
        <f>"AL.BAND.510GR SALADA DE FRUTAS (QUALITA) DINI 550M"</f>
        <v>AL.BAND.510GR SALADA DE FRUTAS (QUALITA) DINI 550M</v>
      </c>
      <c r="C502" s="2" t="str">
        <f t="shared" si="17"/>
        <v>KG</v>
      </c>
      <c r="D502" s="7">
        <v>100</v>
      </c>
      <c r="E502" s="3">
        <v>1</v>
      </c>
      <c r="F502" s="2">
        <v>3</v>
      </c>
      <c r="G502" t="s">
        <v>513</v>
      </c>
    </row>
    <row r="503" spans="1:7" x14ac:dyDescent="0.25">
      <c r="A503" s="1" t="str">
        <f>"7137"</f>
        <v>7137</v>
      </c>
      <c r="B503" s="2" t="str">
        <f>"AL.BAND.540GR BL MOR/COCO (DIA%) DINI 550M"</f>
        <v>AL.BAND.540GR BL MOR/COCO (DIA%) DINI 550M</v>
      </c>
      <c r="C503" s="2" t="str">
        <f t="shared" si="17"/>
        <v>KG</v>
      </c>
      <c r="D503" s="7">
        <v>100</v>
      </c>
      <c r="E503" s="3">
        <v>1</v>
      </c>
      <c r="F503" s="5">
        <v>5</v>
      </c>
      <c r="G503" t="s">
        <v>513</v>
      </c>
    </row>
    <row r="504" spans="1:7" x14ac:dyDescent="0.25">
      <c r="A504" s="1" t="str">
        <f>"7138"</f>
        <v>7138</v>
      </c>
      <c r="B504" s="2" t="str">
        <f>"AL.BAND.540GR BL MOR/SALADA (DIA%) DINI 550M"</f>
        <v>AL.BAND.540GR BL MOR/SALADA (DIA%) DINI 550M</v>
      </c>
      <c r="C504" s="2" t="str">
        <f t="shared" si="17"/>
        <v>KG</v>
      </c>
      <c r="D504" s="7">
        <v>100</v>
      </c>
      <c r="E504" s="3">
        <v>1</v>
      </c>
      <c r="F504" s="2">
        <v>3</v>
      </c>
      <c r="G504" t="s">
        <v>512</v>
      </c>
    </row>
    <row r="505" spans="1:7" x14ac:dyDescent="0.25">
      <c r="A505" s="1" t="str">
        <f>"7136"</f>
        <v>7136</v>
      </c>
      <c r="B505" s="2" t="str">
        <f>"AL.BAND.540GR BL MORANGO (DIA%) DINI 550M"</f>
        <v>AL.BAND.540GR BL MORANGO (DIA%) DINI 550M</v>
      </c>
      <c r="C505" s="2" t="str">
        <f t="shared" si="17"/>
        <v>KG</v>
      </c>
      <c r="D505" s="7">
        <v>100</v>
      </c>
      <c r="E505" s="3">
        <v>1</v>
      </c>
      <c r="F505" s="2">
        <v>8</v>
      </c>
      <c r="G505" t="s">
        <v>513</v>
      </c>
    </row>
    <row r="506" spans="1:7" x14ac:dyDescent="0.25">
      <c r="A506" s="1" t="str">
        <f>"7120"</f>
        <v>7120</v>
      </c>
      <c r="B506" s="2" t="str">
        <f>"AL.BAND.540GR MOR/COCO (DIA%) DINI 550M"</f>
        <v>AL.BAND.540GR MOR/COCO (DIA%) DINI 550M</v>
      </c>
      <c r="C506" s="2" t="str">
        <f t="shared" si="17"/>
        <v>KG</v>
      </c>
      <c r="D506" s="7">
        <v>100</v>
      </c>
      <c r="E506" s="3">
        <v>1</v>
      </c>
      <c r="F506" s="2">
        <v>6</v>
      </c>
      <c r="G506" t="s">
        <v>514</v>
      </c>
    </row>
    <row r="507" spans="1:7" x14ac:dyDescent="0.25">
      <c r="A507" s="1" t="str">
        <f>"7122"</f>
        <v>7122</v>
      </c>
      <c r="B507" s="2" t="str">
        <f>"AL.BAND.540GR MOR/SALADA (BIO BALANCE) DINI 550M"</f>
        <v>AL.BAND.540GR MOR/SALADA (BIO BALANCE) DINI 550M</v>
      </c>
      <c r="C507" s="2" t="str">
        <f t="shared" si="17"/>
        <v>KG</v>
      </c>
      <c r="D507" s="7">
        <v>100</v>
      </c>
      <c r="E507" s="3">
        <v>1</v>
      </c>
      <c r="F507" s="2">
        <v>4</v>
      </c>
      <c r="G507" t="s">
        <v>515</v>
      </c>
    </row>
    <row r="508" spans="1:7" x14ac:dyDescent="0.25">
      <c r="A508" s="1" t="str">
        <f>"7121"</f>
        <v>7121</v>
      </c>
      <c r="B508" s="2" t="str">
        <f>"AL.BAND.540GR MORANGO (BIO BALANCE) DINI 550M"</f>
        <v>AL.BAND.540GR MORANGO (BIO BALANCE) DINI 550M</v>
      </c>
      <c r="C508" s="2" t="str">
        <f t="shared" si="17"/>
        <v>KG</v>
      </c>
      <c r="D508" s="7">
        <v>100</v>
      </c>
      <c r="E508" s="3">
        <v>1</v>
      </c>
      <c r="F508" s="2">
        <v>1</v>
      </c>
      <c r="G508" t="s">
        <v>512</v>
      </c>
    </row>
    <row r="509" spans="1:7" x14ac:dyDescent="0.25">
      <c r="A509" s="1" t="str">
        <f>"7119"</f>
        <v>7119</v>
      </c>
      <c r="B509" s="2" t="str">
        <f>"AL.BAND.540GR MORANGO (DIA%) DINI 550M"</f>
        <v>AL.BAND.540GR MORANGO (DIA%) DINI 550M</v>
      </c>
      <c r="C509" s="2" t="str">
        <f t="shared" si="17"/>
        <v>KG</v>
      </c>
      <c r="D509" s="7">
        <v>100</v>
      </c>
      <c r="E509" s="3">
        <v>1</v>
      </c>
      <c r="F509" s="2">
        <v>2</v>
      </c>
      <c r="G509" t="s">
        <v>516</v>
      </c>
    </row>
    <row r="510" spans="1:7" x14ac:dyDescent="0.25">
      <c r="A510" s="1" t="str">
        <f>"7116"</f>
        <v>7116</v>
      </c>
      <c r="B510" s="2" t="str">
        <f>"AL.BAND.600GR MOR/COCO (CAROLINA) DINI 550M"</f>
        <v>AL.BAND.600GR MOR/COCO (CAROLINA) DINI 550M</v>
      </c>
      <c r="C510" s="2" t="str">
        <f t="shared" si="17"/>
        <v>KG</v>
      </c>
      <c r="D510" s="7">
        <v>100</v>
      </c>
      <c r="E510" s="3">
        <v>1</v>
      </c>
      <c r="F510" s="2">
        <v>7</v>
      </c>
      <c r="G510" t="s">
        <v>515</v>
      </c>
    </row>
    <row r="511" spans="1:7" x14ac:dyDescent="0.25">
      <c r="A511" s="1" t="str">
        <f>"7117"</f>
        <v>7117</v>
      </c>
      <c r="B511" s="2" t="str">
        <f>"AL.BAND.600GR MOR/SALADA (CAROLINA) DINI 550M"</f>
        <v>AL.BAND.600GR MOR/SALADA (CAROLINA) DINI 550M</v>
      </c>
      <c r="C511" s="2" t="str">
        <f t="shared" si="17"/>
        <v>KG</v>
      </c>
      <c r="D511" s="7">
        <v>100</v>
      </c>
      <c r="E511" s="3">
        <v>1</v>
      </c>
      <c r="F511" s="2">
        <v>9</v>
      </c>
      <c r="G511" t="s">
        <v>514</v>
      </c>
    </row>
    <row r="512" spans="1:7" x14ac:dyDescent="0.25">
      <c r="A512" s="1" t="str">
        <f>"7118"</f>
        <v>7118</v>
      </c>
      <c r="B512" s="2" t="str">
        <f>"AL.BAND.600GR MORANGO (CAROLINA) DINI 550M"</f>
        <v>AL.BAND.600GR MORANGO (CAROLINA) DINI 550M</v>
      </c>
      <c r="C512" s="2" t="str">
        <f t="shared" si="17"/>
        <v>KG</v>
      </c>
      <c r="D512" s="7">
        <v>100</v>
      </c>
      <c r="E512" s="3">
        <v>1</v>
      </c>
      <c r="F512" s="2">
        <v>0</v>
      </c>
      <c r="G512" t="s">
        <v>512</v>
      </c>
    </row>
    <row r="513" spans="1:7" x14ac:dyDescent="0.25">
      <c r="A513" s="1" t="str">
        <f>"511031"</f>
        <v>511031</v>
      </c>
      <c r="B513" s="2" t="str">
        <f>"ALARGADOR CONICO 8MM X 9MM"</f>
        <v>ALARGADOR CONICO 8MM X 9MM</v>
      </c>
      <c r="C513" s="2" t="str">
        <f t="shared" ref="C513:C527" si="18">"UN"</f>
        <v>UN</v>
      </c>
      <c r="D513" s="7">
        <v>402</v>
      </c>
      <c r="E513" s="3">
        <v>4</v>
      </c>
      <c r="F513" s="2">
        <v>0</v>
      </c>
      <c r="G513" t="s">
        <v>513</v>
      </c>
    </row>
    <row r="514" spans="1:7" x14ac:dyDescent="0.25">
      <c r="A514" s="1" t="str">
        <f>"515241"</f>
        <v>515241</v>
      </c>
      <c r="B514" s="2" t="str">
        <f>"ALARME"</f>
        <v>ALARME</v>
      </c>
      <c r="C514" s="2" t="str">
        <f t="shared" si="18"/>
        <v>UN</v>
      </c>
      <c r="D514" s="7">
        <v>704</v>
      </c>
      <c r="E514" s="3">
        <v>9</v>
      </c>
      <c r="F514" s="2">
        <v>2</v>
      </c>
      <c r="G514" t="s">
        <v>514</v>
      </c>
    </row>
    <row r="515" spans="1:7" x14ac:dyDescent="0.25">
      <c r="A515" s="1" t="str">
        <f>"515007"</f>
        <v>515007</v>
      </c>
      <c r="B515" s="2" t="str">
        <f>"ALAVANCA"</f>
        <v>ALAVANCA</v>
      </c>
      <c r="C515" s="2" t="str">
        <f t="shared" si="18"/>
        <v>UN</v>
      </c>
      <c r="D515" s="7">
        <v>704</v>
      </c>
      <c r="E515" s="3">
        <v>9</v>
      </c>
      <c r="F515" s="2">
        <v>5</v>
      </c>
      <c r="G515" t="s">
        <v>514</v>
      </c>
    </row>
    <row r="516" spans="1:7" x14ac:dyDescent="0.25">
      <c r="A516" s="1" t="str">
        <f>"511676"</f>
        <v>511676</v>
      </c>
      <c r="B516" s="2" t="str">
        <f>"ALAVANCA 787754"</f>
        <v>ALAVANCA 787754</v>
      </c>
      <c r="C516" s="2" t="str">
        <f t="shared" si="18"/>
        <v>UN</v>
      </c>
      <c r="D516" s="7">
        <v>402</v>
      </c>
      <c r="E516" s="3">
        <v>4</v>
      </c>
      <c r="F516" s="2">
        <v>6</v>
      </c>
      <c r="G516" t="s">
        <v>512</v>
      </c>
    </row>
    <row r="517" spans="1:7" x14ac:dyDescent="0.25">
      <c r="A517" s="1" t="str">
        <f>"517526"</f>
        <v>517526</v>
      </c>
      <c r="B517" s="2" t="str">
        <f>"ALAVANCA AJUST C/ ROL P/ FIM DE CURSO SIEMENS 3SE5000-0AA50"</f>
        <v>ALAVANCA AJUST C/ ROL P/ FIM DE CURSO SIEMENS 3SE5000-0AA50</v>
      </c>
      <c r="C517" s="2" t="str">
        <f t="shared" si="18"/>
        <v>UN</v>
      </c>
      <c r="D517" s="7">
        <v>811</v>
      </c>
      <c r="E517" s="3">
        <v>8</v>
      </c>
      <c r="F517" s="2">
        <v>9</v>
      </c>
      <c r="G517" t="s">
        <v>513</v>
      </c>
    </row>
    <row r="518" spans="1:7" x14ac:dyDescent="0.25">
      <c r="A518" s="1" t="str">
        <f>"522539"</f>
        <v>522539</v>
      </c>
      <c r="B518" s="8" t="s">
        <v>315</v>
      </c>
      <c r="C518" s="2" t="str">
        <f t="shared" si="18"/>
        <v>UN</v>
      </c>
      <c r="D518" s="7">
        <v>918</v>
      </c>
      <c r="E518" s="3">
        <v>11</v>
      </c>
      <c r="F518" s="2">
        <v>5</v>
      </c>
      <c r="G518" t="s">
        <v>514</v>
      </c>
    </row>
    <row r="519" spans="1:7" x14ac:dyDescent="0.25">
      <c r="A519" s="1" t="str">
        <f>"516015"</f>
        <v>516015</v>
      </c>
      <c r="B519" s="2" t="str">
        <f>"ALAVANCA FRENTE/RE"</f>
        <v>ALAVANCA FRENTE/RE</v>
      </c>
      <c r="C519" s="2" t="str">
        <f t="shared" si="18"/>
        <v>UN</v>
      </c>
      <c r="D519" s="7">
        <v>918</v>
      </c>
      <c r="E519" s="3">
        <v>11</v>
      </c>
      <c r="F519" s="2">
        <v>3</v>
      </c>
      <c r="G519" t="s">
        <v>514</v>
      </c>
    </row>
    <row r="520" spans="1:7" x14ac:dyDescent="0.25">
      <c r="A520" s="1" t="str">
        <f>"501540"</f>
        <v>501540</v>
      </c>
      <c r="B520" s="2" t="str">
        <f>"ALAVANCA P/ MECANICO BELZER 36011"</f>
        <v>ALAVANCA P/ MECANICO BELZER 36011</v>
      </c>
      <c r="C520" s="2" t="str">
        <f t="shared" si="18"/>
        <v>UN</v>
      </c>
      <c r="D520" s="7">
        <v>402</v>
      </c>
      <c r="E520" s="3">
        <v>4</v>
      </c>
      <c r="F520" s="2">
        <v>3</v>
      </c>
      <c r="G520" t="s">
        <v>514</v>
      </c>
    </row>
    <row r="521" spans="1:7" x14ac:dyDescent="0.25">
      <c r="A521" s="1" t="str">
        <f>"511405"</f>
        <v>511405</v>
      </c>
      <c r="B521" s="2" t="str">
        <f>"ALAVANCA PORTA LATERAL ESQUERDA"</f>
        <v>ALAVANCA PORTA LATERAL ESQUERDA</v>
      </c>
      <c r="C521" s="2" t="str">
        <f t="shared" si="18"/>
        <v>UN</v>
      </c>
      <c r="D521" s="7">
        <v>704</v>
      </c>
      <c r="E521" s="3">
        <v>9</v>
      </c>
      <c r="F521" s="2">
        <v>2</v>
      </c>
      <c r="G521" t="s">
        <v>513</v>
      </c>
    </row>
    <row r="522" spans="1:7" x14ac:dyDescent="0.25">
      <c r="A522" s="1" t="str">
        <f>"516056"</f>
        <v>516056</v>
      </c>
      <c r="B522" s="2" t="str">
        <f>"ALAVANCA REGULAGEM SR/400/420"</f>
        <v>ALAVANCA REGULAGEM SR/400/420</v>
      </c>
      <c r="C522" s="2" t="str">
        <f t="shared" si="18"/>
        <v>UN</v>
      </c>
      <c r="D522" s="7">
        <v>600</v>
      </c>
      <c r="E522" s="3">
        <v>8</v>
      </c>
      <c r="F522" s="2">
        <v>1</v>
      </c>
      <c r="G522" t="s">
        <v>512</v>
      </c>
    </row>
    <row r="523" spans="1:7" x14ac:dyDescent="0.25">
      <c r="A523" s="1" t="str">
        <f>"517921"</f>
        <v>517921</v>
      </c>
      <c r="B523" s="2" t="str">
        <f>"ALAVANCA REGULAGEM TRAPP"</f>
        <v>ALAVANCA REGULAGEM TRAPP</v>
      </c>
      <c r="C523" s="2" t="str">
        <f t="shared" si="18"/>
        <v>UN</v>
      </c>
      <c r="D523" s="7">
        <v>918</v>
      </c>
      <c r="E523" s="3">
        <v>11</v>
      </c>
      <c r="F523" s="2">
        <v>4</v>
      </c>
      <c r="G523" t="s">
        <v>513</v>
      </c>
    </row>
    <row r="524" spans="1:7" x14ac:dyDescent="0.25">
      <c r="A524" s="1" t="str">
        <f>"524868"</f>
        <v>524868</v>
      </c>
      <c r="B524" s="2" t="str">
        <f>"ALBENDAZOL 400MG"</f>
        <v>ALBENDAZOL 400MG</v>
      </c>
      <c r="C524" s="2" t="str">
        <f t="shared" si="18"/>
        <v>UN</v>
      </c>
      <c r="D524" s="7">
        <v>406</v>
      </c>
      <c r="E524" s="3">
        <v>4</v>
      </c>
      <c r="F524" s="2">
        <v>1</v>
      </c>
      <c r="G524" t="s">
        <v>514</v>
      </c>
    </row>
    <row r="525" spans="1:7" x14ac:dyDescent="0.25">
      <c r="A525" s="1" t="str">
        <f>"515118"</f>
        <v>515118</v>
      </c>
      <c r="B525" s="2" t="str">
        <f>"ALÇA DE PLATINA DM"</f>
        <v>ALÇA DE PLATINA DM</v>
      </c>
      <c r="C525" s="2" t="str">
        <f t="shared" si="18"/>
        <v>UN</v>
      </c>
      <c r="D525" s="7">
        <v>406</v>
      </c>
      <c r="E525" s="3">
        <v>4</v>
      </c>
      <c r="F525" s="2">
        <v>2</v>
      </c>
      <c r="G525" t="s">
        <v>514</v>
      </c>
    </row>
    <row r="526" spans="1:7" x14ac:dyDescent="0.25">
      <c r="A526" s="1" t="str">
        <f>"526742"</f>
        <v>526742</v>
      </c>
      <c r="B526" s="2" t="str">
        <f>"ALÇA DESCARTÁVEL 10UL"</f>
        <v>ALÇA DESCARTÁVEL 10UL</v>
      </c>
      <c r="C526" s="2" t="str">
        <f t="shared" si="18"/>
        <v>UN</v>
      </c>
      <c r="D526" s="7">
        <v>99999</v>
      </c>
      <c r="E526" s="3">
        <v>99</v>
      </c>
      <c r="F526" s="2">
        <v>7</v>
      </c>
      <c r="G526" t="s">
        <v>514</v>
      </c>
    </row>
    <row r="527" spans="1:7" x14ac:dyDescent="0.25">
      <c r="A527" s="1" t="str">
        <f>"520811"</f>
        <v>520811</v>
      </c>
      <c r="B527" s="2" t="str">
        <f>"ALÇA DESCARTAVEL VOLUME 10UL"</f>
        <v>ALÇA DESCARTAVEL VOLUME 10UL</v>
      </c>
      <c r="C527" s="2" t="str">
        <f t="shared" si="18"/>
        <v>UN</v>
      </c>
      <c r="D527" s="7">
        <v>406</v>
      </c>
      <c r="E527" s="3">
        <v>4</v>
      </c>
      <c r="F527" s="2">
        <v>9</v>
      </c>
      <c r="G527" t="s">
        <v>513</v>
      </c>
    </row>
    <row r="528" spans="1:7" x14ac:dyDescent="0.25">
      <c r="A528" s="1" t="str">
        <f>"527436"</f>
        <v>527436</v>
      </c>
      <c r="B528" s="2" t="str">
        <f>"ALÇA DRIGALSKI DESCARTÁVEL ESTERIL FORMATO T CX C/ 5UNIDADES"</f>
        <v>ALÇA DRIGALSKI DESCARTÁVEL ESTERIL FORMATO T CX C/ 5UNIDADES</v>
      </c>
      <c r="C528" s="2" t="str">
        <f>"CX"</f>
        <v>CX</v>
      </c>
      <c r="D528" s="7">
        <v>406</v>
      </c>
      <c r="E528" s="3">
        <v>4</v>
      </c>
      <c r="F528" s="2">
        <v>0</v>
      </c>
      <c r="G528" t="s">
        <v>513</v>
      </c>
    </row>
    <row r="529" spans="1:7" x14ac:dyDescent="0.25">
      <c r="A529" s="1" t="str">
        <f>"515115"</f>
        <v>515115</v>
      </c>
      <c r="B529" s="2" t="str">
        <f>"ALÇA DRIGALSKI PARA MEIO DE CULTURA"</f>
        <v>ALÇA DRIGALSKI PARA MEIO DE CULTURA</v>
      </c>
      <c r="C529" s="2" t="str">
        <f t="shared" ref="C529:C538" si="19">"UN"</f>
        <v>UN</v>
      </c>
      <c r="D529" s="7">
        <v>406</v>
      </c>
      <c r="E529" s="3">
        <v>4</v>
      </c>
      <c r="F529" s="2">
        <v>0</v>
      </c>
      <c r="G529" t="s">
        <v>513</v>
      </c>
    </row>
    <row r="530" spans="1:7" x14ac:dyDescent="0.25">
      <c r="A530" s="1" t="str">
        <f>"505517"</f>
        <v>505517</v>
      </c>
      <c r="B530" s="2" t="str">
        <f>"ALCA L.E."</f>
        <v>ALCA L.E.</v>
      </c>
      <c r="C530" s="2" t="str">
        <f t="shared" si="19"/>
        <v>UN</v>
      </c>
      <c r="D530" s="7">
        <v>704</v>
      </c>
      <c r="E530" s="3">
        <v>9</v>
      </c>
      <c r="F530" s="2">
        <v>4</v>
      </c>
      <c r="G530" t="s">
        <v>512</v>
      </c>
    </row>
    <row r="531" spans="1:7" x14ac:dyDescent="0.25">
      <c r="A531" s="1" t="str">
        <f>"520812"</f>
        <v>520812</v>
      </c>
      <c r="B531" s="2" t="str">
        <f>"ALÇA NIQUEL CROMO -0,01ML"</f>
        <v>ALÇA NIQUEL CROMO -0,01ML</v>
      </c>
      <c r="C531" s="2" t="str">
        <f t="shared" si="19"/>
        <v>UN</v>
      </c>
      <c r="D531" s="7">
        <v>406</v>
      </c>
      <c r="E531" s="3">
        <v>4</v>
      </c>
      <c r="F531" s="2">
        <v>1</v>
      </c>
      <c r="G531" t="s">
        <v>513</v>
      </c>
    </row>
    <row r="532" spans="1:7" x14ac:dyDescent="0.25">
      <c r="A532" s="1" t="str">
        <f>"517738"</f>
        <v>517738</v>
      </c>
      <c r="B532" s="2" t="str">
        <f>"ALÇA P/ CABO 1/0 COD. DG4544"</f>
        <v>ALÇA P/ CABO 1/0 COD. DG4544</v>
      </c>
      <c r="C532" s="2" t="str">
        <f t="shared" si="19"/>
        <v>UN</v>
      </c>
      <c r="D532" s="7">
        <v>811</v>
      </c>
      <c r="E532" s="3">
        <v>8</v>
      </c>
      <c r="F532" s="2">
        <v>2</v>
      </c>
      <c r="G532" t="s">
        <v>514</v>
      </c>
    </row>
    <row r="533" spans="1:7" x14ac:dyDescent="0.25">
      <c r="A533" s="1" t="str">
        <f>"519228"</f>
        <v>519228</v>
      </c>
      <c r="B533" s="2" t="str">
        <f>"ALÇA P/ REFORÇO DIST. DG-4541 4AWG CA/CAA4AW C060"</f>
        <v>ALÇA P/ REFORÇO DIST. DG-4541 4AWG CA/CAA4AW C060</v>
      </c>
      <c r="C533" s="2" t="str">
        <f t="shared" si="19"/>
        <v>UN</v>
      </c>
      <c r="D533" s="7">
        <v>918</v>
      </c>
      <c r="E533" s="3">
        <v>11</v>
      </c>
      <c r="F533" s="2">
        <v>7</v>
      </c>
      <c r="G533" t="s">
        <v>515</v>
      </c>
    </row>
    <row r="534" spans="1:7" x14ac:dyDescent="0.25">
      <c r="A534" s="1" t="str">
        <f>"519637"</f>
        <v>519637</v>
      </c>
      <c r="B534" s="2" t="str">
        <f>"ALÇA SEGURANÇA PAINEL CARGO"</f>
        <v>ALÇA SEGURANÇA PAINEL CARGO</v>
      </c>
      <c r="C534" s="2" t="str">
        <f t="shared" si="19"/>
        <v>UN</v>
      </c>
      <c r="D534" s="7">
        <v>704</v>
      </c>
      <c r="E534" s="3">
        <v>9</v>
      </c>
      <c r="F534" s="2">
        <v>9</v>
      </c>
      <c r="G534" t="s">
        <v>512</v>
      </c>
    </row>
    <row r="535" spans="1:7" x14ac:dyDescent="0.25">
      <c r="A535" s="1" t="str">
        <f>"522977"</f>
        <v>522977</v>
      </c>
      <c r="B535" s="2" t="str">
        <f>"ALCALINIZANTE LIQUIDO 1L"</f>
        <v>ALCALINIZANTE LIQUIDO 1L</v>
      </c>
      <c r="C535" s="2" t="str">
        <f t="shared" si="19"/>
        <v>UN</v>
      </c>
      <c r="D535" s="7">
        <v>99999</v>
      </c>
      <c r="E535" s="3">
        <v>99</v>
      </c>
      <c r="F535" s="5">
        <v>5</v>
      </c>
      <c r="G535" t="s">
        <v>516</v>
      </c>
    </row>
    <row r="536" spans="1:7" x14ac:dyDescent="0.25">
      <c r="A536" s="1" t="str">
        <f>"521529"</f>
        <v>521529</v>
      </c>
      <c r="B536" s="2" t="str">
        <f>"ALCATEL 4009E SMARTPHONE PIXI 3-3.5 PRETO"</f>
        <v>ALCATEL 4009E SMARTPHONE PIXI 3-3.5 PRETO</v>
      </c>
      <c r="C536" s="2" t="str">
        <f t="shared" si="19"/>
        <v>UN</v>
      </c>
      <c r="D536" s="7">
        <v>99999</v>
      </c>
      <c r="E536" s="3">
        <v>99</v>
      </c>
      <c r="F536" s="2">
        <v>3</v>
      </c>
      <c r="G536" t="s">
        <v>515</v>
      </c>
    </row>
    <row r="537" spans="1:7" x14ac:dyDescent="0.25">
      <c r="A537" s="1" t="str">
        <f>"520905"</f>
        <v>520905</v>
      </c>
      <c r="B537" s="2" t="str">
        <f>"ALCATEL 4017F  SMARTPHONE PRTO DUAL"</f>
        <v>ALCATEL 4017F  SMARTPHONE PRTO DUAL</v>
      </c>
      <c r="C537" s="2" t="str">
        <f t="shared" si="19"/>
        <v>UN</v>
      </c>
      <c r="D537" s="7">
        <v>99999</v>
      </c>
      <c r="E537" s="3">
        <v>99</v>
      </c>
      <c r="F537" s="2">
        <v>8</v>
      </c>
      <c r="G537" t="s">
        <v>514</v>
      </c>
    </row>
    <row r="538" spans="1:7" x14ac:dyDescent="0.25">
      <c r="A538" s="1" t="str">
        <f>"512881"</f>
        <v>512881</v>
      </c>
      <c r="B538" s="2" t="str">
        <f>"ALCATRA"</f>
        <v>ALCATRA</v>
      </c>
      <c r="C538" s="2" t="str">
        <f t="shared" si="19"/>
        <v>UN</v>
      </c>
      <c r="D538" s="7">
        <v>99999</v>
      </c>
      <c r="E538" s="3">
        <v>99</v>
      </c>
      <c r="F538" s="2">
        <v>6</v>
      </c>
      <c r="G538" t="s">
        <v>512</v>
      </c>
    </row>
    <row r="539" spans="1:7" x14ac:dyDescent="0.25">
      <c r="A539" s="1" t="str">
        <f>"1006"</f>
        <v>1006</v>
      </c>
      <c r="B539" s="2" t="str">
        <f>"ALCOOL 70 NIPPO-GEL"</f>
        <v>ALCOOL 70 NIPPO-GEL</v>
      </c>
      <c r="C539" s="2" t="str">
        <f>"LT"</f>
        <v>LT</v>
      </c>
      <c r="D539" s="7">
        <v>400</v>
      </c>
      <c r="E539" s="3">
        <v>4</v>
      </c>
      <c r="F539" s="2">
        <v>4</v>
      </c>
      <c r="G539" t="s">
        <v>513</v>
      </c>
    </row>
    <row r="540" spans="1:7" x14ac:dyDescent="0.25">
      <c r="A540" s="1" t="str">
        <f>"521190"</f>
        <v>521190</v>
      </c>
      <c r="B540" s="2" t="str">
        <f>"ALCOOL 92,8º"</f>
        <v>ALCOOL 92,8º</v>
      </c>
      <c r="C540" s="2" t="str">
        <f>"UN"</f>
        <v>UN</v>
      </c>
      <c r="D540" s="7">
        <v>99999</v>
      </c>
      <c r="E540" s="3">
        <v>99</v>
      </c>
      <c r="F540" s="2">
        <v>1</v>
      </c>
      <c r="G540" t="s">
        <v>514</v>
      </c>
    </row>
    <row r="541" spans="1:7" x14ac:dyDescent="0.25">
      <c r="A541" s="1" t="str">
        <f>"518168"</f>
        <v>518168</v>
      </c>
      <c r="B541" s="2" t="str">
        <f>"ALCOOL AEROSOL 400ML"</f>
        <v>ALCOOL AEROSOL 400ML</v>
      </c>
      <c r="C541" s="2" t="str">
        <f>"UN"</f>
        <v>UN</v>
      </c>
      <c r="D541" s="7">
        <v>920</v>
      </c>
      <c r="E541" s="3">
        <v>11</v>
      </c>
      <c r="F541" s="2">
        <v>2</v>
      </c>
      <c r="G541" t="s">
        <v>514</v>
      </c>
    </row>
    <row r="542" spans="1:7" x14ac:dyDescent="0.25">
      <c r="A542" s="1" t="str">
        <f>"527397"</f>
        <v>527397</v>
      </c>
      <c r="B542" s="2" t="str">
        <f>"ALCOOL ETILICO ABSOLUTO 99,5 GL"</f>
        <v>ALCOOL ETILICO ABSOLUTO 99,5 GL</v>
      </c>
      <c r="C542" s="2" t="str">
        <f>"UN"</f>
        <v>UN</v>
      </c>
      <c r="D542" s="7">
        <v>99999</v>
      </c>
      <c r="E542" s="3">
        <v>99</v>
      </c>
      <c r="F542" s="2">
        <v>7</v>
      </c>
      <c r="G542" t="s">
        <v>512</v>
      </c>
    </row>
    <row r="543" spans="1:7" x14ac:dyDescent="0.25">
      <c r="A543" s="1" t="str">
        <f>"3217"</f>
        <v>3217</v>
      </c>
      <c r="B543" s="2" t="str">
        <f>"ALCOOL ETÍLICO HIDRATADO 70  CAIXA 4 X 5LT"</f>
        <v>ALCOOL ETÍLICO HIDRATADO 70  CAIXA 4 X 5LT</v>
      </c>
      <c r="C543" s="2" t="str">
        <f>"CX"</f>
        <v>CX</v>
      </c>
      <c r="D543" s="7">
        <v>400</v>
      </c>
      <c r="E543" s="3">
        <v>4</v>
      </c>
      <c r="F543" s="2">
        <v>9</v>
      </c>
      <c r="G543" t="s">
        <v>513</v>
      </c>
    </row>
    <row r="544" spans="1:7" x14ac:dyDescent="0.25">
      <c r="A544" s="1" t="str">
        <f>"3218"</f>
        <v>3218</v>
      </c>
      <c r="B544" s="2" t="str">
        <f>"ALCOOL ETÍLICO HIDRATADO 70  CAIXA 9 X 2LT"</f>
        <v>ALCOOL ETÍLICO HIDRATADO 70  CAIXA 9 X 2LT</v>
      </c>
      <c r="C544" s="2" t="str">
        <f>"CX"</f>
        <v>CX</v>
      </c>
      <c r="D544" s="7">
        <v>400</v>
      </c>
      <c r="E544" s="3">
        <v>4</v>
      </c>
      <c r="F544" s="2">
        <v>0</v>
      </c>
      <c r="G544" t="s">
        <v>514</v>
      </c>
    </row>
    <row r="545" spans="1:7" x14ac:dyDescent="0.25">
      <c r="A545" s="1" t="str">
        <f>"3212"</f>
        <v>3212</v>
      </c>
      <c r="B545" s="2" t="str">
        <f>"ALCOOL ETÍLICO HIDRATADO 70 INPM (70 GL)"</f>
        <v>ALCOOL ETÍLICO HIDRATADO 70 INPM (70 GL)</v>
      </c>
      <c r="C545" s="2" t="str">
        <f>"LT"</f>
        <v>LT</v>
      </c>
      <c r="D545" s="7">
        <v>400</v>
      </c>
      <c r="E545" s="3">
        <v>4</v>
      </c>
      <c r="F545" s="2">
        <v>0</v>
      </c>
      <c r="G545" t="s">
        <v>514</v>
      </c>
    </row>
    <row r="546" spans="1:7" x14ac:dyDescent="0.25">
      <c r="A546" s="1" t="str">
        <f>"518863"</f>
        <v>518863</v>
      </c>
      <c r="B546" s="2" t="str">
        <f>"ALCOOL ETÍLICO NEUTRALIZADO"</f>
        <v>ALCOOL ETÍLICO NEUTRALIZADO</v>
      </c>
      <c r="C546" s="2" t="str">
        <f>"LT"</f>
        <v>LT</v>
      </c>
      <c r="D546" s="7">
        <v>400</v>
      </c>
      <c r="E546" s="3">
        <v>4</v>
      </c>
      <c r="F546" s="2">
        <v>2</v>
      </c>
      <c r="G546" t="s">
        <v>514</v>
      </c>
    </row>
    <row r="547" spans="1:7" x14ac:dyDescent="0.25">
      <c r="A547" s="1" t="str">
        <f>"514779"</f>
        <v>514779</v>
      </c>
      <c r="B547" s="2" t="str">
        <f>"ALCOOL GEL 70°"</f>
        <v>ALCOOL GEL 70°</v>
      </c>
      <c r="C547" s="2" t="str">
        <f>"UN"</f>
        <v>UN</v>
      </c>
      <c r="D547" s="7">
        <v>400</v>
      </c>
      <c r="E547" s="3">
        <v>4</v>
      </c>
      <c r="F547" s="2">
        <v>5</v>
      </c>
      <c r="G547" t="s">
        <v>513</v>
      </c>
    </row>
    <row r="548" spans="1:7" x14ac:dyDescent="0.25">
      <c r="A548" s="1" t="str">
        <f>"6148"</f>
        <v>6148</v>
      </c>
      <c r="B548" s="2" t="str">
        <f>"ALCOOL GEL COM TRICOZON"</f>
        <v>ALCOOL GEL COM TRICOZON</v>
      </c>
      <c r="C548" s="2" t="str">
        <f>"KG"</f>
        <v>KG</v>
      </c>
      <c r="D548" s="7">
        <v>400</v>
      </c>
      <c r="E548" s="3">
        <v>4</v>
      </c>
      <c r="F548" s="2">
        <v>6</v>
      </c>
      <c r="G548" t="s">
        <v>512</v>
      </c>
    </row>
    <row r="549" spans="1:7" x14ac:dyDescent="0.25">
      <c r="A549" s="1" t="str">
        <f>"4110"</f>
        <v>4110</v>
      </c>
      <c r="B549" s="2" t="str">
        <f>"ALCOOL GEL MUND HANDGEL - GL 5 LTS"</f>
        <v>ALCOOL GEL MUND HANDGEL - GL 5 LTS</v>
      </c>
      <c r="C549" s="2" t="str">
        <f>"KG"</f>
        <v>KG</v>
      </c>
      <c r="D549" s="7">
        <v>400</v>
      </c>
      <c r="E549" s="3">
        <v>4</v>
      </c>
      <c r="F549" s="2">
        <v>9</v>
      </c>
      <c r="G549" t="s">
        <v>513</v>
      </c>
    </row>
    <row r="550" spans="1:7" x14ac:dyDescent="0.25">
      <c r="A550" s="1" t="str">
        <f>"516059"</f>
        <v>516059</v>
      </c>
      <c r="B550" s="2" t="str">
        <f>"ALCOOL HIDRATADO"</f>
        <v>ALCOOL HIDRATADO</v>
      </c>
      <c r="C550" s="2" t="str">
        <f t="shared" ref="C550:C581" si="20">"UN"</f>
        <v>UN</v>
      </c>
      <c r="D550" s="7">
        <v>400</v>
      </c>
      <c r="E550" s="3">
        <v>4</v>
      </c>
      <c r="F550" s="2">
        <v>5</v>
      </c>
      <c r="G550" t="s">
        <v>514</v>
      </c>
    </row>
    <row r="551" spans="1:7" x14ac:dyDescent="0.25">
      <c r="A551" s="1" t="str">
        <f>"513913"</f>
        <v>513913</v>
      </c>
      <c r="B551" s="2" t="str">
        <f>"ALCOOL ISO AMILICO PA-LEITE"</f>
        <v>ALCOOL ISO AMILICO PA-LEITE</v>
      </c>
      <c r="C551" s="2" t="str">
        <f t="shared" si="20"/>
        <v>UN</v>
      </c>
      <c r="D551" s="7">
        <v>303</v>
      </c>
      <c r="E551" s="3">
        <v>4</v>
      </c>
      <c r="F551" s="2">
        <v>3</v>
      </c>
      <c r="G551" t="s">
        <v>514</v>
      </c>
    </row>
    <row r="552" spans="1:7" x14ac:dyDescent="0.25">
      <c r="A552" s="1" t="str">
        <f>"515395"</f>
        <v>515395</v>
      </c>
      <c r="B552" s="8" t="s">
        <v>72</v>
      </c>
      <c r="C552" s="2" t="str">
        <f t="shared" si="20"/>
        <v>UN</v>
      </c>
      <c r="D552" s="7">
        <v>406</v>
      </c>
      <c r="E552" s="3">
        <v>4</v>
      </c>
      <c r="F552" s="2">
        <v>3</v>
      </c>
      <c r="G552" t="s">
        <v>514</v>
      </c>
    </row>
    <row r="553" spans="1:7" x14ac:dyDescent="0.25">
      <c r="A553" s="1" t="str">
        <f>"517326"</f>
        <v>517326</v>
      </c>
      <c r="B553" s="2" t="str">
        <f>"ALEMITE 3/8 45º"</f>
        <v>ALEMITE 3/8 45º</v>
      </c>
      <c r="C553" s="2" t="str">
        <f t="shared" si="20"/>
        <v>UN</v>
      </c>
      <c r="D553" s="7">
        <v>918</v>
      </c>
      <c r="E553" s="3">
        <v>11</v>
      </c>
      <c r="F553" s="2">
        <v>2</v>
      </c>
      <c r="G553" t="s">
        <v>513</v>
      </c>
    </row>
    <row r="554" spans="1:7" x14ac:dyDescent="0.25">
      <c r="A554" s="1" t="str">
        <f>"517327"</f>
        <v>517327</v>
      </c>
      <c r="B554" s="2" t="str">
        <f>"ALEMITE 3/8 90º"</f>
        <v>ALEMITE 3/8 90º</v>
      </c>
      <c r="C554" s="2" t="str">
        <f t="shared" si="20"/>
        <v>UN</v>
      </c>
      <c r="D554" s="7">
        <v>918</v>
      </c>
      <c r="E554" s="3">
        <v>11</v>
      </c>
      <c r="F554" s="2">
        <v>1</v>
      </c>
      <c r="G554" t="s">
        <v>513</v>
      </c>
    </row>
    <row r="555" spans="1:7" x14ac:dyDescent="0.25">
      <c r="A555" s="1" t="str">
        <f>"517325"</f>
        <v>517325</v>
      </c>
      <c r="B555" s="2" t="str">
        <f>"ALEMITE 3/8 RETO"</f>
        <v>ALEMITE 3/8 RETO</v>
      </c>
      <c r="C555" s="2" t="str">
        <f t="shared" si="20"/>
        <v>UN</v>
      </c>
      <c r="D555" s="7">
        <v>918</v>
      </c>
      <c r="E555" s="3">
        <v>11</v>
      </c>
      <c r="F555" s="2">
        <v>4</v>
      </c>
      <c r="G555" t="s">
        <v>513</v>
      </c>
    </row>
    <row r="556" spans="1:7" x14ac:dyDescent="0.25">
      <c r="A556" s="1" t="str">
        <f>"515568"</f>
        <v>515568</v>
      </c>
      <c r="B556" s="2" t="str">
        <f>"ALETA DE PVC 99,5CM X 27,5CM"</f>
        <v>ALETA DE PVC 99,5CM X 27,5CM</v>
      </c>
      <c r="C556" s="2" t="str">
        <f t="shared" si="20"/>
        <v>UN</v>
      </c>
      <c r="D556" s="7">
        <v>803</v>
      </c>
      <c r="E556" s="3">
        <v>10</v>
      </c>
      <c r="F556" s="2">
        <v>6</v>
      </c>
      <c r="G556" t="s">
        <v>512</v>
      </c>
    </row>
    <row r="557" spans="1:7" x14ac:dyDescent="0.25">
      <c r="A557" s="1" t="str">
        <f>"512908"</f>
        <v>512908</v>
      </c>
      <c r="B557" s="2" t="str">
        <f>"ALFACE"</f>
        <v>ALFACE</v>
      </c>
      <c r="C557" s="2" t="str">
        <f t="shared" si="20"/>
        <v>UN</v>
      </c>
      <c r="D557" s="7">
        <v>401</v>
      </c>
      <c r="E557" s="3">
        <v>4</v>
      </c>
      <c r="F557" s="2">
        <v>8</v>
      </c>
      <c r="G557" t="s">
        <v>513</v>
      </c>
    </row>
    <row r="558" spans="1:7" x14ac:dyDescent="0.25">
      <c r="A558" s="1" t="str">
        <f>"515161"</f>
        <v>515161</v>
      </c>
      <c r="B558" s="2" t="str">
        <f>"ALFINETE"</f>
        <v>ALFINETE</v>
      </c>
      <c r="C558" s="2" t="str">
        <f t="shared" si="20"/>
        <v>UN</v>
      </c>
      <c r="D558" s="7">
        <v>401</v>
      </c>
      <c r="E558" s="3">
        <v>4</v>
      </c>
      <c r="F558" s="2">
        <v>7</v>
      </c>
      <c r="G558" t="s">
        <v>514</v>
      </c>
    </row>
    <row r="559" spans="1:7" x14ac:dyDescent="0.25">
      <c r="A559" s="1" t="str">
        <f>"519651"</f>
        <v>519651</v>
      </c>
      <c r="B559" s="2" t="str">
        <f>"ALGARISMO AÇO MARCAÇÃO 5MM"</f>
        <v>ALGARISMO AÇO MARCAÇÃO 5MM</v>
      </c>
      <c r="C559" s="2" t="str">
        <f t="shared" si="20"/>
        <v>UN</v>
      </c>
      <c r="D559" s="7">
        <v>99999</v>
      </c>
      <c r="E559" s="3">
        <v>99</v>
      </c>
      <c r="F559" s="2">
        <v>6</v>
      </c>
      <c r="G559" t="s">
        <v>515</v>
      </c>
    </row>
    <row r="560" spans="1:7" x14ac:dyDescent="0.25">
      <c r="A560" s="1" t="str">
        <f>"515976"</f>
        <v>515976</v>
      </c>
      <c r="B560" s="2" t="str">
        <f>"ALGEMA"</f>
        <v>ALGEMA</v>
      </c>
      <c r="C560" s="2" t="str">
        <f t="shared" si="20"/>
        <v>UN</v>
      </c>
      <c r="D560" s="7">
        <v>99999</v>
      </c>
      <c r="E560" s="3">
        <v>99</v>
      </c>
      <c r="F560" s="2">
        <v>6</v>
      </c>
      <c r="G560" t="s">
        <v>512</v>
      </c>
    </row>
    <row r="561" spans="1:7" x14ac:dyDescent="0.25">
      <c r="A561" s="1" t="str">
        <f>"504346"</f>
        <v>504346</v>
      </c>
      <c r="B561" s="2" t="str">
        <f>"ALGEMA P/ BCR600S ROTOR 5.1/2"</f>
        <v>ALGEMA P/ BCR600S ROTOR 5.1/2</v>
      </c>
      <c r="C561" s="2" t="str">
        <f t="shared" si="20"/>
        <v>UN</v>
      </c>
      <c r="D561" s="7">
        <v>915</v>
      </c>
      <c r="E561" s="3">
        <v>11</v>
      </c>
      <c r="F561" s="2">
        <v>2</v>
      </c>
      <c r="G561" t="s">
        <v>516</v>
      </c>
    </row>
    <row r="562" spans="1:7" x14ac:dyDescent="0.25">
      <c r="A562" s="1" t="str">
        <f>"515366"</f>
        <v>515366</v>
      </c>
      <c r="B562" s="2" t="str">
        <f>"ALGINAC"</f>
        <v>ALGINAC</v>
      </c>
      <c r="C562" s="2" t="str">
        <f t="shared" si="20"/>
        <v>UN</v>
      </c>
      <c r="D562" s="7">
        <v>401</v>
      </c>
      <c r="E562" s="3">
        <v>4</v>
      </c>
      <c r="F562" s="2">
        <v>1</v>
      </c>
      <c r="G562" t="s">
        <v>515</v>
      </c>
    </row>
    <row r="563" spans="1:7" x14ac:dyDescent="0.25">
      <c r="A563" s="1" t="str">
        <f>"520912"</f>
        <v>520912</v>
      </c>
      <c r="B563" s="2" t="str">
        <f>"ALGODÃO 50GR"</f>
        <v>ALGODÃO 50GR</v>
      </c>
      <c r="C563" s="2" t="str">
        <f t="shared" si="20"/>
        <v>UN</v>
      </c>
      <c r="D563" s="7">
        <v>403</v>
      </c>
      <c r="E563" s="3">
        <v>4</v>
      </c>
      <c r="F563" s="2">
        <v>0</v>
      </c>
      <c r="G563" t="s">
        <v>514</v>
      </c>
    </row>
    <row r="564" spans="1:7" x14ac:dyDescent="0.25">
      <c r="A564" s="1" t="str">
        <f>"518973"</f>
        <v>518973</v>
      </c>
      <c r="B564" s="2" t="str">
        <f>"ALGODÃO ZIG ZAG 100GR"</f>
        <v>ALGODÃO ZIG ZAG 100GR</v>
      </c>
      <c r="C564" s="2" t="str">
        <f t="shared" si="20"/>
        <v>UN</v>
      </c>
      <c r="D564" s="7">
        <v>403</v>
      </c>
      <c r="E564" s="3">
        <v>4</v>
      </c>
      <c r="F564" s="2">
        <v>0</v>
      </c>
      <c r="G564" t="s">
        <v>512</v>
      </c>
    </row>
    <row r="565" spans="1:7" x14ac:dyDescent="0.25">
      <c r="A565" s="1" t="str">
        <f>"514935"</f>
        <v>514935</v>
      </c>
      <c r="B565" s="2" t="str">
        <f>"ALHO"</f>
        <v>ALHO</v>
      </c>
      <c r="C565" s="2" t="str">
        <f t="shared" si="20"/>
        <v>UN</v>
      </c>
      <c r="D565" s="7">
        <v>912</v>
      </c>
      <c r="E565" s="3">
        <v>4</v>
      </c>
      <c r="F565" s="2">
        <v>0</v>
      </c>
      <c r="G565" t="s">
        <v>513</v>
      </c>
    </row>
    <row r="566" spans="1:7" x14ac:dyDescent="0.25">
      <c r="A566" s="1" t="str">
        <f>"509280"</f>
        <v>509280</v>
      </c>
      <c r="B566" s="2" t="str">
        <f>"ALICATE AMPERIMETRO C/ MULT.DIGITAL"</f>
        <v>ALICATE AMPERIMETRO C/ MULT.DIGITAL</v>
      </c>
      <c r="C566" s="2" t="str">
        <f t="shared" si="20"/>
        <v>UN</v>
      </c>
      <c r="D566" s="7">
        <v>402</v>
      </c>
      <c r="E566" s="3">
        <v>4</v>
      </c>
      <c r="F566" s="2">
        <v>3</v>
      </c>
      <c r="G566" t="s">
        <v>514</v>
      </c>
    </row>
    <row r="567" spans="1:7" x14ac:dyDescent="0.25">
      <c r="A567" s="1" t="str">
        <f>"525004"</f>
        <v>525004</v>
      </c>
      <c r="B567" s="2" t="str">
        <f>"ALICATE AMPERIMETRO CAT IV TRUE RM 1000A - MINIPA ET3710A"</f>
        <v>ALICATE AMPERIMETRO CAT IV TRUE RM 1000A - MINIPA ET3710A</v>
      </c>
      <c r="C567" s="2" t="str">
        <f t="shared" si="20"/>
        <v>UN</v>
      </c>
      <c r="D567" s="7">
        <v>920</v>
      </c>
      <c r="E567" s="3">
        <v>10</v>
      </c>
      <c r="F567" s="5">
        <v>5</v>
      </c>
      <c r="G567" t="s">
        <v>514</v>
      </c>
    </row>
    <row r="568" spans="1:7" x14ac:dyDescent="0.25">
      <c r="A568" s="1" t="str">
        <f>"517174"</f>
        <v>517174</v>
      </c>
      <c r="B568" s="2" t="str">
        <f>"ALICATE AMPERIMETRO DIGITAL MINIPA ET3860"</f>
        <v>ALICATE AMPERIMETRO DIGITAL MINIPA ET3860</v>
      </c>
      <c r="C568" s="2" t="str">
        <f t="shared" si="20"/>
        <v>UN</v>
      </c>
      <c r="D568" s="7">
        <v>920</v>
      </c>
      <c r="E568" s="3">
        <v>4</v>
      </c>
      <c r="F568" s="2">
        <v>3</v>
      </c>
      <c r="G568" t="s">
        <v>512</v>
      </c>
    </row>
    <row r="569" spans="1:7" x14ac:dyDescent="0.25">
      <c r="A569" s="1" t="str">
        <f>"518467"</f>
        <v>518467</v>
      </c>
      <c r="B569" s="2" t="str">
        <f>"ALICATE AMPERIMETRO MINIPA ET-3111A"</f>
        <v>ALICATE AMPERIMETRO MINIPA ET-3111A</v>
      </c>
      <c r="C569" s="2" t="str">
        <f t="shared" si="20"/>
        <v>UN</v>
      </c>
      <c r="D569" s="7">
        <v>402</v>
      </c>
      <c r="E569" s="3">
        <v>4</v>
      </c>
      <c r="F569" s="2">
        <v>8</v>
      </c>
      <c r="G569" t="s">
        <v>513</v>
      </c>
    </row>
    <row r="570" spans="1:7" x14ac:dyDescent="0.25">
      <c r="A570" s="1" t="str">
        <f>"509279"</f>
        <v>509279</v>
      </c>
      <c r="B570" s="2" t="str">
        <f>"ALICATE AMPERIMETRO MINIPA ET-3200A"</f>
        <v>ALICATE AMPERIMETRO MINIPA ET-3200A</v>
      </c>
      <c r="C570" s="2" t="str">
        <f t="shared" si="20"/>
        <v>UN</v>
      </c>
      <c r="D570" s="7">
        <v>402</v>
      </c>
      <c r="E570" s="3">
        <v>4</v>
      </c>
      <c r="F570" s="2">
        <v>6</v>
      </c>
      <c r="G570" t="s">
        <v>514</v>
      </c>
    </row>
    <row r="571" spans="1:7" x14ac:dyDescent="0.25">
      <c r="A571" s="1" t="str">
        <f>"524797"</f>
        <v>524797</v>
      </c>
      <c r="B571" s="2" t="str">
        <f>"ALICATE AMPERIMETRO MINIPA ET-3201 CAT3 600V CAT4 300V"</f>
        <v>ALICATE AMPERIMETRO MINIPA ET-3201 CAT3 600V CAT4 300V</v>
      </c>
      <c r="C571" s="2" t="str">
        <f t="shared" si="20"/>
        <v>UN</v>
      </c>
      <c r="D571" s="7">
        <v>817</v>
      </c>
      <c r="E571" s="3">
        <v>10</v>
      </c>
      <c r="F571" s="2">
        <v>4</v>
      </c>
      <c r="G571" t="s">
        <v>514</v>
      </c>
    </row>
    <row r="572" spans="1:7" x14ac:dyDescent="0.25">
      <c r="A572" s="1" t="str">
        <f>"507020"</f>
        <v>507020</v>
      </c>
      <c r="B572" s="2" t="str">
        <f>"ALICATE AMPERIMETRO MINIPA ET-3602"</f>
        <v>ALICATE AMPERIMETRO MINIPA ET-3602</v>
      </c>
      <c r="C572" s="2" t="str">
        <f t="shared" si="20"/>
        <v>UN</v>
      </c>
      <c r="D572" s="7">
        <v>402</v>
      </c>
      <c r="E572" s="3">
        <v>4</v>
      </c>
      <c r="F572" s="2">
        <v>1</v>
      </c>
      <c r="G572" t="s">
        <v>514</v>
      </c>
    </row>
    <row r="573" spans="1:7" x14ac:dyDescent="0.25">
      <c r="A573" s="1" t="str">
        <f>"507004"</f>
        <v>507004</v>
      </c>
      <c r="B573" s="2" t="str">
        <f>"ALICATE AMPERIMETRO PREMIUM FLUKE 337"</f>
        <v>ALICATE AMPERIMETRO PREMIUM FLUKE 337</v>
      </c>
      <c r="C573" s="2" t="str">
        <f t="shared" si="20"/>
        <v>UN</v>
      </c>
      <c r="D573" s="7">
        <v>402</v>
      </c>
      <c r="E573" s="3">
        <v>4</v>
      </c>
      <c r="F573" s="2">
        <v>2</v>
      </c>
      <c r="G573" t="s">
        <v>513</v>
      </c>
    </row>
    <row r="574" spans="1:7" x14ac:dyDescent="0.25">
      <c r="A574" s="1" t="str">
        <f>"509607"</f>
        <v>509607</v>
      </c>
      <c r="B574" s="2" t="str">
        <f>"ALICATE ARREBITADOR"</f>
        <v>ALICATE ARREBITADOR</v>
      </c>
      <c r="C574" s="2" t="str">
        <f t="shared" si="20"/>
        <v>UN</v>
      </c>
      <c r="D574" s="7">
        <v>99999</v>
      </c>
      <c r="E574" s="3">
        <v>99</v>
      </c>
      <c r="F574" s="2">
        <v>7</v>
      </c>
      <c r="G574" t="s">
        <v>512</v>
      </c>
    </row>
    <row r="575" spans="1:7" x14ac:dyDescent="0.25">
      <c r="A575" s="1" t="str">
        <f>"511436"</f>
        <v>511436</v>
      </c>
      <c r="B575" s="2" t="str">
        <f>"ALICATE BOMBA D'AGUA"</f>
        <v>ALICATE BOMBA D'AGUA</v>
      </c>
      <c r="C575" s="2" t="str">
        <f t="shared" si="20"/>
        <v>UN</v>
      </c>
      <c r="D575" s="7">
        <v>402</v>
      </c>
      <c r="E575" s="3">
        <v>4</v>
      </c>
      <c r="F575" s="2">
        <v>9</v>
      </c>
      <c r="G575" t="s">
        <v>513</v>
      </c>
    </row>
    <row r="576" spans="1:7" x14ac:dyDescent="0.25">
      <c r="A576" s="1" t="str">
        <f>"511934"</f>
        <v>511934</v>
      </c>
      <c r="B576" s="2" t="str">
        <f>"ALICATE CATRACA TERMINAL 2,5 A 06MM"</f>
        <v>ALICATE CATRACA TERMINAL 2,5 A 06MM</v>
      </c>
      <c r="C576" s="2" t="str">
        <f t="shared" si="20"/>
        <v>UN</v>
      </c>
      <c r="D576" s="7">
        <v>601</v>
      </c>
      <c r="E576" s="3">
        <v>8</v>
      </c>
      <c r="F576" s="2">
        <v>0</v>
      </c>
      <c r="G576" t="s">
        <v>514</v>
      </c>
    </row>
    <row r="577" spans="1:7" x14ac:dyDescent="0.25">
      <c r="A577" s="1" t="str">
        <f>"507334"</f>
        <v>507334</v>
      </c>
      <c r="B577" s="2" t="str">
        <f>"ALICATE CORTE DIAGONAL 6"" GEDORE 1000V"</f>
        <v>ALICATE CORTE DIAGONAL 6" GEDORE 1000V</v>
      </c>
      <c r="C577" s="2" t="str">
        <f t="shared" si="20"/>
        <v>UN</v>
      </c>
      <c r="D577" s="7">
        <v>402</v>
      </c>
      <c r="E577" s="3">
        <v>4</v>
      </c>
      <c r="F577" s="2">
        <v>0</v>
      </c>
      <c r="G577" t="s">
        <v>514</v>
      </c>
    </row>
    <row r="578" spans="1:7" x14ac:dyDescent="0.25">
      <c r="A578" s="1" t="str">
        <f>"509462"</f>
        <v>509462</v>
      </c>
      <c r="B578" s="2" t="str">
        <f>"ALICATE CRIMPAR RJ45"</f>
        <v>ALICATE CRIMPAR RJ45</v>
      </c>
      <c r="C578" s="2" t="str">
        <f t="shared" si="20"/>
        <v>UN</v>
      </c>
      <c r="D578" s="7">
        <v>402</v>
      </c>
      <c r="E578" s="3">
        <v>4</v>
      </c>
      <c r="F578" s="2">
        <v>2</v>
      </c>
      <c r="G578" t="s">
        <v>514</v>
      </c>
    </row>
    <row r="579" spans="1:7" x14ac:dyDescent="0.25">
      <c r="A579" s="1" t="str">
        <f>"504343"</f>
        <v>504343</v>
      </c>
      <c r="B579" s="2" t="str">
        <f>"ALICATE DE ANEIS EXT.GEDORE"</f>
        <v>ALICATE DE ANEIS EXT.GEDORE</v>
      </c>
      <c r="C579" s="2" t="str">
        <f t="shared" si="20"/>
        <v>UN</v>
      </c>
      <c r="D579" s="7">
        <v>402</v>
      </c>
      <c r="E579" s="3">
        <v>4</v>
      </c>
      <c r="F579" s="2">
        <v>5</v>
      </c>
      <c r="G579" t="s">
        <v>513</v>
      </c>
    </row>
    <row r="580" spans="1:7" x14ac:dyDescent="0.25">
      <c r="A580" s="1" t="str">
        <f>"522934"</f>
        <v>522934</v>
      </c>
      <c r="B580" s="2" t="str">
        <f>"ALICATE DE BICO RETO TIPO TELEFONE GEDORE 1000V"</f>
        <v>ALICATE DE BICO RETO TIPO TELEFONE GEDORE 1000V</v>
      </c>
      <c r="C580" s="2" t="str">
        <f t="shared" si="20"/>
        <v>UN</v>
      </c>
      <c r="D580" s="7">
        <v>402</v>
      </c>
      <c r="E580" s="3">
        <v>4</v>
      </c>
      <c r="F580" s="2">
        <v>6</v>
      </c>
      <c r="G580" t="s">
        <v>513</v>
      </c>
    </row>
    <row r="581" spans="1:7" x14ac:dyDescent="0.25">
      <c r="A581" s="1" t="str">
        <f>"519418"</f>
        <v>519418</v>
      </c>
      <c r="B581" s="2" t="str">
        <f>"ALICATE DE SOLDA"</f>
        <v>ALICATE DE SOLDA</v>
      </c>
      <c r="C581" s="2" t="str">
        <f t="shared" si="20"/>
        <v>UN</v>
      </c>
      <c r="D581" s="7">
        <v>402</v>
      </c>
      <c r="E581" s="3">
        <v>4</v>
      </c>
      <c r="F581" s="2">
        <v>9</v>
      </c>
      <c r="G581" t="s">
        <v>513</v>
      </c>
    </row>
    <row r="582" spans="1:7" x14ac:dyDescent="0.25">
      <c r="A582" s="1" t="str">
        <f>"526460"</f>
        <v>526460</v>
      </c>
      <c r="B582" s="2" t="str">
        <f>"ALICATE DESCASCADOR DE FIO AUTO AJUSTAVEL IRWIN"</f>
        <v>ALICATE DESCASCADOR DE FIO AUTO AJUSTAVEL IRWIN</v>
      </c>
      <c r="C582" s="2" t="str">
        <f t="shared" ref="C582:C604" si="21">"UN"</f>
        <v>UN</v>
      </c>
      <c r="D582" s="7">
        <v>402</v>
      </c>
      <c r="E582" s="3">
        <v>4</v>
      </c>
      <c r="F582" s="2">
        <v>5</v>
      </c>
      <c r="G582" t="s">
        <v>512</v>
      </c>
    </row>
    <row r="583" spans="1:7" x14ac:dyDescent="0.25">
      <c r="A583" s="1" t="str">
        <f>"523455"</f>
        <v>523455</v>
      </c>
      <c r="B583" s="2" t="str">
        <f>"ALICATE FURADOR OVOIDE P/ CRACHÁ PVC"</f>
        <v>ALICATE FURADOR OVOIDE P/ CRACHÁ PVC</v>
      </c>
      <c r="C583" s="2" t="str">
        <f t="shared" si="21"/>
        <v>UN</v>
      </c>
      <c r="D583" s="7">
        <v>401</v>
      </c>
      <c r="E583" s="3">
        <v>4</v>
      </c>
      <c r="F583" s="2">
        <v>3</v>
      </c>
      <c r="G583" t="s">
        <v>513</v>
      </c>
    </row>
    <row r="584" spans="1:7" x14ac:dyDescent="0.25">
      <c r="A584" s="1" t="str">
        <f>"526724"</f>
        <v>526724</v>
      </c>
      <c r="B584" s="2" t="str">
        <f>"ALICATE GEDORE BICO CURVO VDE 1000V"</f>
        <v>ALICATE GEDORE BICO CURVO VDE 1000V</v>
      </c>
      <c r="C584" s="2" t="str">
        <f t="shared" si="21"/>
        <v>UN</v>
      </c>
      <c r="D584" s="7">
        <v>920</v>
      </c>
      <c r="E584" s="3">
        <v>4</v>
      </c>
      <c r="F584" s="2">
        <v>3</v>
      </c>
      <c r="G584" t="s">
        <v>514</v>
      </c>
    </row>
    <row r="585" spans="1:7" x14ac:dyDescent="0.25">
      <c r="A585" s="1" t="str">
        <f>"515804"</f>
        <v>515804</v>
      </c>
      <c r="B585" s="2" t="str">
        <f>"ALICATE HIDRAULICO P/ PRENSAR TERMINAL DE COMPRESSAO"</f>
        <v>ALICATE HIDRAULICO P/ PRENSAR TERMINAL DE COMPRESSAO</v>
      </c>
      <c r="C585" s="2" t="str">
        <f t="shared" si="21"/>
        <v>UN</v>
      </c>
      <c r="D585" s="7">
        <v>99999</v>
      </c>
      <c r="E585" s="3">
        <v>99</v>
      </c>
      <c r="F585" s="2">
        <v>2</v>
      </c>
      <c r="G585" t="s">
        <v>515</v>
      </c>
    </row>
    <row r="586" spans="1:7" x14ac:dyDescent="0.25">
      <c r="A586" s="1" t="str">
        <f>"515802"</f>
        <v>515802</v>
      </c>
      <c r="B586" s="2" t="str">
        <f>"ALICATE MEIA CANA 6"""</f>
        <v>ALICATE MEIA CANA 6"</v>
      </c>
      <c r="C586" s="2" t="str">
        <f t="shared" si="21"/>
        <v>UN</v>
      </c>
      <c r="D586" s="7">
        <v>99999</v>
      </c>
      <c r="E586" s="3">
        <v>99</v>
      </c>
      <c r="F586" s="2">
        <v>1</v>
      </c>
      <c r="G586" t="s">
        <v>512</v>
      </c>
    </row>
    <row r="587" spans="1:7" x14ac:dyDescent="0.25">
      <c r="A587" s="1" t="str">
        <f>"522160"</f>
        <v>522160</v>
      </c>
      <c r="B587" s="2" t="str">
        <f>"ALICATE MOLDE SOL. EX. CART.90 HASTE CABO PASS DERIV T TOPO"</f>
        <v>ALICATE MOLDE SOL. EX. CART.90 HASTE CABO PASS DERIV T TOPO</v>
      </c>
      <c r="C587" s="2" t="str">
        <f t="shared" si="21"/>
        <v>UN</v>
      </c>
      <c r="D587" s="7">
        <v>918</v>
      </c>
      <c r="E587" s="3">
        <v>11</v>
      </c>
      <c r="F587" s="2">
        <v>4</v>
      </c>
      <c r="G587" t="s">
        <v>516</v>
      </c>
    </row>
    <row r="588" spans="1:7" x14ac:dyDescent="0.25">
      <c r="A588" s="1" t="str">
        <f>"521686"</f>
        <v>521686</v>
      </c>
      <c r="B588" s="2" t="str">
        <f>"ALICATE P/ ANEIS"</f>
        <v>ALICATE P/ ANEIS</v>
      </c>
      <c r="C588" s="2" t="str">
        <f t="shared" si="21"/>
        <v>UN</v>
      </c>
      <c r="D588" s="7">
        <v>99999</v>
      </c>
      <c r="E588" s="3">
        <v>99</v>
      </c>
      <c r="F588" s="2">
        <v>1</v>
      </c>
      <c r="G588" t="s">
        <v>515</v>
      </c>
    </row>
    <row r="589" spans="1:7" x14ac:dyDescent="0.25">
      <c r="A589" s="1" t="str">
        <f>"511471"</f>
        <v>511471</v>
      </c>
      <c r="B589" s="2" t="str">
        <f>"ALICATE P/ DESENCAPAR FIO 6"""</f>
        <v>ALICATE P/ DESENCAPAR FIO 6"</v>
      </c>
      <c r="C589" s="2" t="str">
        <f t="shared" si="21"/>
        <v>UN</v>
      </c>
      <c r="D589" s="7">
        <v>402</v>
      </c>
      <c r="E589" s="3">
        <v>4</v>
      </c>
      <c r="F589" s="2">
        <v>2</v>
      </c>
      <c r="G589" t="s">
        <v>514</v>
      </c>
    </row>
    <row r="590" spans="1:7" x14ac:dyDescent="0.25">
      <c r="A590" s="1" t="str">
        <f>"523527"</f>
        <v>523527</v>
      </c>
      <c r="B590" s="2" t="str">
        <f>"ALICATE PERFURADOR"</f>
        <v>ALICATE PERFURADOR</v>
      </c>
      <c r="C590" s="2" t="str">
        <f t="shared" si="21"/>
        <v>UN</v>
      </c>
      <c r="D590" s="7">
        <v>920</v>
      </c>
      <c r="E590" s="3">
        <v>4</v>
      </c>
      <c r="F590" s="2">
        <v>7</v>
      </c>
      <c r="G590" t="s">
        <v>512</v>
      </c>
    </row>
    <row r="591" spans="1:7" x14ac:dyDescent="0.25">
      <c r="A591" s="1" t="str">
        <f>"516279"</f>
        <v>516279</v>
      </c>
      <c r="B591" s="2" t="str">
        <f>"ALICATE PRESA TERMINAL LUKMA LK-03C  1,5 A 6MM2"</f>
        <v>ALICATE PRESA TERMINAL LUKMA LK-03C  1,5 A 6MM2</v>
      </c>
      <c r="C591" s="2" t="str">
        <f t="shared" si="21"/>
        <v>UN</v>
      </c>
      <c r="D591" s="7">
        <v>920</v>
      </c>
      <c r="E591" s="3">
        <v>4</v>
      </c>
      <c r="F591" s="2">
        <v>9</v>
      </c>
      <c r="G591" t="s">
        <v>513</v>
      </c>
    </row>
    <row r="592" spans="1:7" x14ac:dyDescent="0.25">
      <c r="A592" s="1" t="str">
        <f>"518397"</f>
        <v>518397</v>
      </c>
      <c r="B592" s="2" t="str">
        <f>"ALICATE PRESA TERMINAL LUKMA TUBO LK-04W"</f>
        <v>ALICATE PRESA TERMINAL LUKMA TUBO LK-04W</v>
      </c>
      <c r="C592" s="2" t="str">
        <f t="shared" si="21"/>
        <v>UN</v>
      </c>
      <c r="D592" s="7">
        <v>920</v>
      </c>
      <c r="E592" s="3">
        <v>4</v>
      </c>
      <c r="F592" s="2">
        <v>0</v>
      </c>
      <c r="G592" t="s">
        <v>514</v>
      </c>
    </row>
    <row r="593" spans="1:7" x14ac:dyDescent="0.25">
      <c r="A593" s="1" t="str">
        <f>"515807"</f>
        <v>515807</v>
      </c>
      <c r="B593" s="2" t="str">
        <f>"ALICATE PRESSAO 10"""</f>
        <v>ALICATE PRESSAO 10"</v>
      </c>
      <c r="C593" s="2" t="str">
        <f t="shared" si="21"/>
        <v>UN</v>
      </c>
      <c r="D593" s="7">
        <v>99999</v>
      </c>
      <c r="E593" s="3">
        <v>99</v>
      </c>
      <c r="F593" s="2">
        <v>0</v>
      </c>
      <c r="G593" t="s">
        <v>514</v>
      </c>
    </row>
    <row r="594" spans="1:7" x14ac:dyDescent="0.25">
      <c r="A594" s="1" t="str">
        <f>"522683"</f>
        <v>522683</v>
      </c>
      <c r="B594" s="2" t="str">
        <f>"ALICATE REBITADOR IRWIN R100"</f>
        <v>ALICATE REBITADOR IRWIN R100</v>
      </c>
      <c r="C594" s="2" t="str">
        <f t="shared" si="21"/>
        <v>UN</v>
      </c>
      <c r="D594" s="7">
        <v>817</v>
      </c>
      <c r="E594" s="3">
        <v>10</v>
      </c>
      <c r="F594" s="2">
        <v>4</v>
      </c>
      <c r="G594" t="s">
        <v>512</v>
      </c>
    </row>
    <row r="595" spans="1:7" x14ac:dyDescent="0.25">
      <c r="A595" s="1" t="str">
        <f>"524887"</f>
        <v>524887</v>
      </c>
      <c r="B595" s="2" t="str">
        <f>"ALICATE SACA PINO EXTERNO 8 POL. GEDORE"</f>
        <v>ALICATE SACA PINO EXTERNO 8 POL. GEDORE</v>
      </c>
      <c r="C595" s="2" t="str">
        <f t="shared" si="21"/>
        <v>UN</v>
      </c>
      <c r="D595" s="7">
        <v>920</v>
      </c>
      <c r="E595" s="3">
        <v>4</v>
      </c>
      <c r="F595" s="2">
        <v>1</v>
      </c>
      <c r="G595" t="s">
        <v>513</v>
      </c>
    </row>
    <row r="596" spans="1:7" x14ac:dyDescent="0.25">
      <c r="A596" s="1" t="str">
        <f>"524886"</f>
        <v>524886</v>
      </c>
      <c r="B596" s="2" t="str">
        <f>"ALICATE SACA PINO INTERNO 8 POL GEDORE"</f>
        <v>ALICATE SACA PINO INTERNO 8 POL GEDORE</v>
      </c>
      <c r="C596" s="2" t="str">
        <f t="shared" si="21"/>
        <v>UN</v>
      </c>
      <c r="D596" s="7">
        <v>920</v>
      </c>
      <c r="E596" s="3">
        <v>4</v>
      </c>
      <c r="F596" s="2">
        <v>2</v>
      </c>
      <c r="G596" t="s">
        <v>514</v>
      </c>
    </row>
    <row r="597" spans="1:7" x14ac:dyDescent="0.25">
      <c r="A597" s="1" t="str">
        <f>"510966"</f>
        <v>510966</v>
      </c>
      <c r="B597" s="2" t="str">
        <f>"ALICATE TELEFONE 6 1/2"</f>
        <v>ALICATE TELEFONE 6 1/2</v>
      </c>
      <c r="C597" s="2" t="str">
        <f t="shared" si="21"/>
        <v>UN</v>
      </c>
      <c r="D597" s="7">
        <v>402</v>
      </c>
      <c r="E597" s="3">
        <v>4</v>
      </c>
      <c r="F597" s="2">
        <v>7</v>
      </c>
      <c r="G597" t="s">
        <v>514</v>
      </c>
    </row>
    <row r="598" spans="1:7" x14ac:dyDescent="0.25">
      <c r="A598" s="1" t="str">
        <f>"526681"</f>
        <v>526681</v>
      </c>
      <c r="B598" s="2" t="str">
        <f>"ALICATE TRAVA EXTERNA CURVA GEDORE"</f>
        <v>ALICATE TRAVA EXTERNA CURVA GEDORE</v>
      </c>
      <c r="C598" s="2" t="str">
        <f t="shared" si="21"/>
        <v>UN</v>
      </c>
      <c r="D598" s="7">
        <v>99999</v>
      </c>
      <c r="E598" s="3">
        <v>99</v>
      </c>
      <c r="F598" s="2">
        <v>9</v>
      </c>
      <c r="G598" t="s">
        <v>514</v>
      </c>
    </row>
    <row r="599" spans="1:7" x14ac:dyDescent="0.25">
      <c r="A599" s="1" t="str">
        <f>"526680"</f>
        <v>526680</v>
      </c>
      <c r="B599" s="2" t="str">
        <f>"ALICATE TRAVA INTERNA CURVA GEDORE"</f>
        <v>ALICATE TRAVA INTERNA CURVA GEDORE</v>
      </c>
      <c r="C599" s="2" t="str">
        <f t="shared" si="21"/>
        <v>UN</v>
      </c>
      <c r="D599" s="7">
        <v>99999</v>
      </c>
      <c r="E599" s="3">
        <v>99</v>
      </c>
      <c r="F599" s="5">
        <v>5</v>
      </c>
      <c r="G599" t="s">
        <v>513</v>
      </c>
    </row>
    <row r="600" spans="1:7" x14ac:dyDescent="0.25">
      <c r="A600" s="1" t="str">
        <f>"515806"</f>
        <v>515806</v>
      </c>
      <c r="B600" s="2" t="str">
        <f>"ALICATE TRAVA RETO 12 45º EXTERNO"</f>
        <v>ALICATE TRAVA RETO 12 45º EXTERNO</v>
      </c>
      <c r="C600" s="2" t="str">
        <f t="shared" si="21"/>
        <v>UN</v>
      </c>
      <c r="D600" s="7">
        <v>99999</v>
      </c>
      <c r="E600" s="3">
        <v>99</v>
      </c>
      <c r="F600" s="2">
        <v>3</v>
      </c>
      <c r="G600" t="s">
        <v>512</v>
      </c>
    </row>
    <row r="601" spans="1:7" x14ac:dyDescent="0.25">
      <c r="A601" s="1" t="str">
        <f>"515805"</f>
        <v>515805</v>
      </c>
      <c r="B601" s="2" t="str">
        <f>"ALICATE TRAVA RETO 12 45º INTERNO"</f>
        <v>ALICATE TRAVA RETO 12 45º INTERNO</v>
      </c>
      <c r="C601" s="2" t="str">
        <f t="shared" si="21"/>
        <v>UN</v>
      </c>
      <c r="D601" s="7">
        <v>99999</v>
      </c>
      <c r="E601" s="3">
        <v>99</v>
      </c>
      <c r="F601" s="2">
        <v>8</v>
      </c>
      <c r="G601" t="s">
        <v>513</v>
      </c>
    </row>
    <row r="602" spans="1:7" x14ac:dyDescent="0.25">
      <c r="A602" s="1" t="str">
        <f>"515803"</f>
        <v>515803</v>
      </c>
      <c r="B602" s="2" t="str">
        <f>"ALICATE TRAVA RETO 7 INTERNO"</f>
        <v>ALICATE TRAVA RETO 7 INTERNO</v>
      </c>
      <c r="C602" s="2" t="str">
        <f t="shared" si="21"/>
        <v>UN</v>
      </c>
      <c r="D602" s="7">
        <v>99999</v>
      </c>
      <c r="E602" s="3">
        <v>99</v>
      </c>
      <c r="F602" s="2">
        <v>6</v>
      </c>
      <c r="G602" t="s">
        <v>514</v>
      </c>
    </row>
    <row r="603" spans="1:7" x14ac:dyDescent="0.25">
      <c r="A603" s="1" t="str">
        <f>"500855"</f>
        <v>500855</v>
      </c>
      <c r="B603" s="2" t="str">
        <f>"ALICATE UNIVERSAL 8"" GEDORE 1000V"</f>
        <v>ALICATE UNIVERSAL 8" GEDORE 1000V</v>
      </c>
      <c r="C603" s="2" t="str">
        <f t="shared" si="21"/>
        <v>UN</v>
      </c>
      <c r="D603" s="7">
        <v>402</v>
      </c>
      <c r="E603" s="3">
        <v>4</v>
      </c>
      <c r="F603" s="2">
        <v>4</v>
      </c>
      <c r="G603" t="s">
        <v>514</v>
      </c>
    </row>
    <row r="604" spans="1:7" x14ac:dyDescent="0.25">
      <c r="A604" s="1" t="str">
        <f>"510727"</f>
        <v>510727</v>
      </c>
      <c r="B604" s="2" t="str">
        <f>"ALIMITE 5/16 RETO"</f>
        <v>ALIMITE 5/16 RETO</v>
      </c>
      <c r="C604" s="2" t="str">
        <f t="shared" si="21"/>
        <v>UN</v>
      </c>
      <c r="D604" s="7">
        <v>704</v>
      </c>
      <c r="E604" s="3">
        <v>9</v>
      </c>
      <c r="F604" s="2">
        <v>1</v>
      </c>
      <c r="G604" t="s">
        <v>514</v>
      </c>
    </row>
    <row r="605" spans="1:7" x14ac:dyDescent="0.25">
      <c r="A605" s="1" t="str">
        <f>"2788"</f>
        <v>2788</v>
      </c>
      <c r="B605" s="2" t="str">
        <f>"ALIZAROL 78º"</f>
        <v>ALIZAROL 78º</v>
      </c>
      <c r="C605" s="2" t="str">
        <f>"LT"</f>
        <v>LT</v>
      </c>
      <c r="D605" s="7">
        <v>303</v>
      </c>
      <c r="E605" s="3">
        <v>3</v>
      </c>
      <c r="F605" s="2">
        <v>2</v>
      </c>
      <c r="G605" t="s">
        <v>513</v>
      </c>
    </row>
    <row r="606" spans="1:7" x14ac:dyDescent="0.25">
      <c r="A606" s="1" t="str">
        <f>"504978"</f>
        <v>504978</v>
      </c>
      <c r="B606" s="2" t="str">
        <f>"ALMA 02 BASE TANQUE 5500"</f>
        <v>ALMA 02 BASE TANQUE 5500</v>
      </c>
      <c r="C606" s="2" t="str">
        <f t="shared" ref="C606:C616" si="22">"UN"</f>
        <v>UN</v>
      </c>
      <c r="D606" s="7">
        <v>704</v>
      </c>
      <c r="E606" s="3">
        <v>9</v>
      </c>
      <c r="F606" s="2">
        <v>7</v>
      </c>
      <c r="G606" t="s">
        <v>513</v>
      </c>
    </row>
    <row r="607" spans="1:7" x14ac:dyDescent="0.25">
      <c r="A607" s="1" t="str">
        <f>"514897"</f>
        <v>514897</v>
      </c>
      <c r="B607" s="2" t="str">
        <f>"ALMOFADA"</f>
        <v>ALMOFADA</v>
      </c>
      <c r="C607" s="2" t="str">
        <f t="shared" si="22"/>
        <v>UN</v>
      </c>
      <c r="D607" s="7">
        <v>704</v>
      </c>
      <c r="E607" s="3">
        <v>9</v>
      </c>
      <c r="F607" s="2">
        <v>9</v>
      </c>
      <c r="G607" t="s">
        <v>513</v>
      </c>
    </row>
    <row r="608" spans="1:7" x14ac:dyDescent="0.25">
      <c r="A608" s="1" t="str">
        <f>"528088"</f>
        <v>528088</v>
      </c>
      <c r="B608" s="2" t="str">
        <f>"ALMOFADA NINO"</f>
        <v>ALMOFADA NINO</v>
      </c>
      <c r="C608" s="2" t="str">
        <f t="shared" si="22"/>
        <v>UN</v>
      </c>
      <c r="D608" s="7">
        <v>99999</v>
      </c>
      <c r="E608" s="3">
        <v>99</v>
      </c>
      <c r="F608" s="2">
        <v>0</v>
      </c>
      <c r="G608" t="s">
        <v>512</v>
      </c>
    </row>
    <row r="609" spans="1:7" x14ac:dyDescent="0.25">
      <c r="A609" s="1" t="str">
        <f>"514838"</f>
        <v>514838</v>
      </c>
      <c r="B609" s="2" t="str">
        <f>"ALMOFADA P/ COSTAS BR420/SR420"</f>
        <v>ALMOFADA P/ COSTAS BR420/SR420</v>
      </c>
      <c r="C609" s="2" t="str">
        <f t="shared" si="22"/>
        <v>UN</v>
      </c>
      <c r="D609" s="7">
        <v>1300</v>
      </c>
      <c r="E609" s="3">
        <v>4</v>
      </c>
      <c r="F609" s="2">
        <v>0</v>
      </c>
      <c r="G609" t="s">
        <v>513</v>
      </c>
    </row>
    <row r="610" spans="1:7" x14ac:dyDescent="0.25">
      <c r="A610" s="1" t="str">
        <f>"515862"</f>
        <v>515862</v>
      </c>
      <c r="B610" s="2" t="str">
        <f>"ALMOFADA PARA CARIMBO"</f>
        <v>ALMOFADA PARA CARIMBO</v>
      </c>
      <c r="C610" s="2" t="str">
        <f t="shared" si="22"/>
        <v>UN</v>
      </c>
      <c r="D610" s="7">
        <v>401</v>
      </c>
      <c r="E610" s="3">
        <v>4</v>
      </c>
      <c r="F610" s="2">
        <v>2</v>
      </c>
      <c r="G610" t="s">
        <v>514</v>
      </c>
    </row>
    <row r="611" spans="1:7" x14ac:dyDescent="0.25">
      <c r="A611" s="1" t="str">
        <f>"510824"</f>
        <v>510824</v>
      </c>
      <c r="B611" s="2" t="str">
        <f>"ALMOFADAO P/ PORTA FRIGORIFICA"</f>
        <v>ALMOFADAO P/ PORTA FRIGORIFICA</v>
      </c>
      <c r="C611" s="2" t="str">
        <f t="shared" si="22"/>
        <v>UN</v>
      </c>
      <c r="D611" s="7">
        <v>803</v>
      </c>
      <c r="E611" s="3">
        <v>10</v>
      </c>
      <c r="F611" s="2">
        <v>5</v>
      </c>
      <c r="G611" t="s">
        <v>515</v>
      </c>
    </row>
    <row r="612" spans="1:7" x14ac:dyDescent="0.25">
      <c r="A612" s="1" t="str">
        <f>"518734"</f>
        <v>518734</v>
      </c>
      <c r="B612" s="2" t="str">
        <f>"ALMOTOLIA 500ML"</f>
        <v>ALMOTOLIA 500ML</v>
      </c>
      <c r="C612" s="2" t="str">
        <f t="shared" si="22"/>
        <v>UN</v>
      </c>
      <c r="D612" s="7">
        <v>920</v>
      </c>
      <c r="E612" s="3">
        <v>4</v>
      </c>
      <c r="F612" s="2">
        <v>6</v>
      </c>
      <c r="G612" t="s">
        <v>512</v>
      </c>
    </row>
    <row r="613" spans="1:7" x14ac:dyDescent="0.25">
      <c r="A613" s="1" t="str">
        <f>"513214"</f>
        <v>513214</v>
      </c>
      <c r="B613" s="2" t="str">
        <f>"ALMOTOLIA BICO FLEXIVEL 200CC"</f>
        <v>ALMOTOLIA BICO FLEXIVEL 200CC</v>
      </c>
      <c r="C613" s="2" t="str">
        <f t="shared" si="22"/>
        <v>UN</v>
      </c>
      <c r="D613" s="7">
        <v>920</v>
      </c>
      <c r="E613" s="3">
        <v>11</v>
      </c>
      <c r="F613" s="2">
        <v>9</v>
      </c>
      <c r="G613" t="s">
        <v>516</v>
      </c>
    </row>
    <row r="614" spans="1:7" x14ac:dyDescent="0.25">
      <c r="A614" s="1" t="str">
        <f>"526638"</f>
        <v>526638</v>
      </c>
      <c r="B614" s="2" t="str">
        <f>"ALMOTOLIA COM BICO FLEXIVEL 500ML"</f>
        <v>ALMOTOLIA COM BICO FLEXIVEL 500ML</v>
      </c>
      <c r="C614" s="2" t="str">
        <f t="shared" si="22"/>
        <v>UN</v>
      </c>
      <c r="D614" s="7">
        <v>920</v>
      </c>
      <c r="E614" s="3">
        <v>4</v>
      </c>
      <c r="F614" s="2">
        <v>5</v>
      </c>
      <c r="G614" t="s">
        <v>515</v>
      </c>
    </row>
    <row r="615" spans="1:7" x14ac:dyDescent="0.25">
      <c r="A615" s="1" t="str">
        <f>"521803"</f>
        <v>521803</v>
      </c>
      <c r="B615" s="2" t="str">
        <f>"ALOJAMENTO"</f>
        <v>ALOJAMENTO</v>
      </c>
      <c r="C615" s="2" t="str">
        <f t="shared" si="22"/>
        <v>UN</v>
      </c>
      <c r="D615" s="7">
        <v>704</v>
      </c>
      <c r="E615" s="3">
        <v>9</v>
      </c>
      <c r="F615" s="2">
        <v>3</v>
      </c>
      <c r="G615" t="s">
        <v>514</v>
      </c>
    </row>
    <row r="616" spans="1:7" x14ac:dyDescent="0.25">
      <c r="A616" s="1" t="str">
        <f>"504992"</f>
        <v>504992</v>
      </c>
      <c r="B616" s="2" t="str">
        <f>"ALOJAMENTO DO PEDAL ACELERADOR"</f>
        <v>ALOJAMENTO DO PEDAL ACELERADOR</v>
      </c>
      <c r="C616" s="2" t="str">
        <f t="shared" si="22"/>
        <v>UN</v>
      </c>
      <c r="D616" s="7">
        <v>704</v>
      </c>
      <c r="E616" s="3">
        <v>9</v>
      </c>
      <c r="F616" s="2">
        <v>3</v>
      </c>
      <c r="G616" t="s">
        <v>512</v>
      </c>
    </row>
    <row r="617" spans="1:7" x14ac:dyDescent="0.25">
      <c r="A617" s="1" t="str">
        <f>"508808"</f>
        <v>508808</v>
      </c>
      <c r="B617" s="2" t="str">
        <f>"ALOJAMENTO INOX PONTEIRA DO VARAO SR"</f>
        <v>ALOJAMENTO INOX PONTEIRA DO VARAO SR</v>
      </c>
      <c r="C617" s="2" t="str">
        <f>"BR"</f>
        <v>BR</v>
      </c>
      <c r="D617" s="7">
        <v>807</v>
      </c>
      <c r="E617" s="3">
        <v>10</v>
      </c>
      <c r="F617" s="2">
        <v>2</v>
      </c>
      <c r="G617" t="s">
        <v>513</v>
      </c>
    </row>
    <row r="618" spans="1:7" x14ac:dyDescent="0.25">
      <c r="A618" s="1" t="str">
        <f>"524639"</f>
        <v>524639</v>
      </c>
      <c r="B618" s="8" t="s">
        <v>406</v>
      </c>
      <c r="C618" s="2" t="str">
        <f t="shared" ref="C618:C632" si="23">"UN"</f>
        <v>UN</v>
      </c>
      <c r="D618" s="7">
        <v>406</v>
      </c>
      <c r="E618" s="3">
        <v>13</v>
      </c>
      <c r="F618" s="2">
        <v>1</v>
      </c>
      <c r="G618" t="s">
        <v>514</v>
      </c>
    </row>
    <row r="619" spans="1:7" x14ac:dyDescent="0.25">
      <c r="A619" s="1" t="str">
        <f>"522671"</f>
        <v>522671</v>
      </c>
      <c r="B619" s="2" t="str">
        <f>"ALONGA 304 OD PE SOLDA 3/4 X 1,5MM X 700MM"</f>
        <v>ALONGA 304 OD PE SOLDA 3/4 X 1,5MM X 700MM</v>
      </c>
      <c r="C619" s="2" t="str">
        <f t="shared" si="23"/>
        <v>UN</v>
      </c>
      <c r="D619" s="7">
        <v>807</v>
      </c>
      <c r="E619" s="3">
        <v>10</v>
      </c>
      <c r="F619" s="2">
        <v>4</v>
      </c>
      <c r="G619" t="s">
        <v>514</v>
      </c>
    </row>
    <row r="620" spans="1:7" x14ac:dyDescent="0.25">
      <c r="A620" s="1" t="str">
        <f>"509106"</f>
        <v>509106</v>
      </c>
      <c r="B620" s="2" t="str">
        <f>"ALONGADOR CINEMATICO"</f>
        <v>ALONGADOR CINEMATICO</v>
      </c>
      <c r="C620" s="2" t="str">
        <f t="shared" si="23"/>
        <v>UN</v>
      </c>
      <c r="D620" s="7">
        <v>913</v>
      </c>
      <c r="E620" s="3">
        <v>11</v>
      </c>
      <c r="F620" s="2">
        <v>6</v>
      </c>
      <c r="G620" t="s">
        <v>512</v>
      </c>
    </row>
    <row r="621" spans="1:7" x14ac:dyDescent="0.25">
      <c r="A621" s="1" t="str">
        <f>"518829"</f>
        <v>518829</v>
      </c>
      <c r="B621" s="2" t="str">
        <f>"ALONGADOR VARETA PX"</f>
        <v>ALONGADOR VARETA PX</v>
      </c>
      <c r="C621" s="2" t="str">
        <f t="shared" si="23"/>
        <v>UN</v>
      </c>
      <c r="D621" s="7">
        <v>704</v>
      </c>
      <c r="E621" s="3">
        <v>9</v>
      </c>
      <c r="F621" s="2">
        <v>8</v>
      </c>
      <c r="G621" t="s">
        <v>513</v>
      </c>
    </row>
    <row r="622" spans="1:7" x14ac:dyDescent="0.25">
      <c r="A622" s="1" t="str">
        <f>"520864"</f>
        <v>520864</v>
      </c>
      <c r="B622" s="2" t="str">
        <f>"ALTERAÇÕES DE PROGRAMAS"</f>
        <v>ALTERAÇÕES DE PROGRAMAS</v>
      </c>
      <c r="C622" s="2" t="str">
        <f t="shared" si="23"/>
        <v>UN</v>
      </c>
      <c r="D622" s="7">
        <v>1300</v>
      </c>
      <c r="E622" s="3">
        <v>11</v>
      </c>
      <c r="F622" s="2">
        <v>7</v>
      </c>
      <c r="G622" t="s">
        <v>514</v>
      </c>
    </row>
    <row r="623" spans="1:7" x14ac:dyDescent="0.25">
      <c r="A623" s="1" t="str">
        <f>"524905"</f>
        <v>524905</v>
      </c>
      <c r="B623" s="2" t="str">
        <f>"ALTERNADOR 12V"</f>
        <v>ALTERNADOR 12V</v>
      </c>
      <c r="C623" s="2" t="str">
        <f t="shared" si="23"/>
        <v>UN</v>
      </c>
      <c r="D623" s="7">
        <v>704</v>
      </c>
      <c r="E623" s="3">
        <v>9</v>
      </c>
      <c r="F623" s="2">
        <v>6</v>
      </c>
      <c r="G623" t="s">
        <v>514</v>
      </c>
    </row>
    <row r="624" spans="1:7" x14ac:dyDescent="0.25">
      <c r="A624" s="1" t="str">
        <f>"510457"</f>
        <v>510457</v>
      </c>
      <c r="B624" s="2" t="str">
        <f>"ALTERNADOR COM POLIA"</f>
        <v>ALTERNADOR COM POLIA</v>
      </c>
      <c r="C624" s="2" t="str">
        <f t="shared" si="23"/>
        <v>UN</v>
      </c>
      <c r="D624" s="7">
        <v>918</v>
      </c>
      <c r="E624" s="3">
        <v>11</v>
      </c>
      <c r="F624" s="2">
        <v>6</v>
      </c>
      <c r="G624" t="s">
        <v>514</v>
      </c>
    </row>
    <row r="625" spans="1:7" x14ac:dyDescent="0.25">
      <c r="A625" s="1" t="str">
        <f>"515243"</f>
        <v>515243</v>
      </c>
      <c r="B625" s="2" t="str">
        <f>"ALTO FALANTE"</f>
        <v>ALTO FALANTE</v>
      </c>
      <c r="C625" s="2" t="str">
        <f t="shared" si="23"/>
        <v>UN</v>
      </c>
      <c r="D625" s="7">
        <v>704</v>
      </c>
      <c r="E625" s="3">
        <v>9</v>
      </c>
      <c r="F625" s="2">
        <v>2</v>
      </c>
      <c r="G625" t="s">
        <v>513</v>
      </c>
    </row>
    <row r="626" spans="1:7" x14ac:dyDescent="0.25">
      <c r="A626" s="1" t="str">
        <f>"515070"</f>
        <v>515070</v>
      </c>
      <c r="B626" s="2" t="str">
        <f>"ALTOFALANTE USB"</f>
        <v>ALTOFALANTE USB</v>
      </c>
      <c r="C626" s="2" t="str">
        <f t="shared" si="23"/>
        <v>UN</v>
      </c>
      <c r="D626" s="7">
        <v>401</v>
      </c>
      <c r="E626" s="3">
        <v>4</v>
      </c>
      <c r="F626" s="2">
        <v>1</v>
      </c>
      <c r="G626" t="s">
        <v>512</v>
      </c>
    </row>
    <row r="627" spans="1:7" x14ac:dyDescent="0.25">
      <c r="A627" s="1" t="str">
        <f>"509200"</f>
        <v>509200</v>
      </c>
      <c r="B627" s="2" t="str">
        <f>"ALUBAND"</f>
        <v>ALUBAND</v>
      </c>
      <c r="C627" s="2" t="str">
        <f t="shared" si="23"/>
        <v>UN</v>
      </c>
      <c r="D627" s="7">
        <v>917</v>
      </c>
      <c r="E627" s="3">
        <v>11</v>
      </c>
      <c r="F627" s="2">
        <v>0</v>
      </c>
      <c r="G627" t="s">
        <v>513</v>
      </c>
    </row>
    <row r="628" spans="1:7" x14ac:dyDescent="0.25">
      <c r="A628" s="1" t="str">
        <f>"518328"</f>
        <v>518328</v>
      </c>
      <c r="B628" s="2" t="str">
        <f>"ALUGUEL"</f>
        <v>ALUGUEL</v>
      </c>
      <c r="C628" s="2" t="str">
        <f t="shared" si="23"/>
        <v>UN</v>
      </c>
      <c r="D628" s="7">
        <v>99999</v>
      </c>
      <c r="E628" s="3">
        <v>99</v>
      </c>
      <c r="F628" s="2">
        <v>0</v>
      </c>
      <c r="G628" t="s">
        <v>514</v>
      </c>
    </row>
    <row r="629" spans="1:7" x14ac:dyDescent="0.25">
      <c r="A629" s="1" t="str">
        <f>"513796"</f>
        <v>513796</v>
      </c>
      <c r="B629" s="2" t="str">
        <f>"ALUGUEL IMPRESSORA COLORIDA"</f>
        <v>ALUGUEL IMPRESSORA COLORIDA</v>
      </c>
      <c r="C629" s="2" t="str">
        <f t="shared" si="23"/>
        <v>UN</v>
      </c>
      <c r="D629" s="7">
        <v>401</v>
      </c>
      <c r="E629" s="3">
        <v>4</v>
      </c>
      <c r="F629" s="2">
        <v>0</v>
      </c>
      <c r="G629" t="s">
        <v>514</v>
      </c>
    </row>
    <row r="630" spans="1:7" x14ac:dyDescent="0.25">
      <c r="A630" s="1" t="str">
        <f>"517123"</f>
        <v>517123</v>
      </c>
      <c r="B630" s="2" t="str">
        <f>"ALUM. 7075 - 94X253X1374 (2PÇS) M2586"</f>
        <v>ALUM. 7075 - 94X253X1374 (2PÇS) M2586</v>
      </c>
      <c r="C630" s="2" t="str">
        <f t="shared" si="23"/>
        <v>UN</v>
      </c>
      <c r="D630" s="7">
        <v>918</v>
      </c>
      <c r="E630" s="3">
        <v>11</v>
      </c>
      <c r="F630" s="2">
        <v>3</v>
      </c>
      <c r="G630" t="s">
        <v>514</v>
      </c>
    </row>
    <row r="631" spans="1:7" x14ac:dyDescent="0.25">
      <c r="A631" s="1" t="str">
        <f>"517131"</f>
        <v>517131</v>
      </c>
      <c r="B631" s="2" t="str">
        <f>"ALUM. 7075 58X63X138 (30PÇS)"</f>
        <v>ALUM. 7075 58X63X138 (30PÇS)</v>
      </c>
      <c r="C631" s="2" t="str">
        <f t="shared" si="23"/>
        <v>UN</v>
      </c>
      <c r="D631" s="7">
        <v>918</v>
      </c>
      <c r="E631" s="3">
        <v>11</v>
      </c>
      <c r="F631" s="5">
        <v>5</v>
      </c>
      <c r="G631" t="s">
        <v>513</v>
      </c>
    </row>
    <row r="632" spans="1:7" x14ac:dyDescent="0.25">
      <c r="A632" s="1" t="str">
        <f>"517180"</f>
        <v>517180</v>
      </c>
      <c r="B632" s="2" t="str">
        <f>"ALUM. 7075 84X242X343X(4PÇS) M.2591"</f>
        <v>ALUM. 7075 84X242X343X(4PÇS) M.2591</v>
      </c>
      <c r="C632" s="2" t="str">
        <f t="shared" si="23"/>
        <v>UN</v>
      </c>
      <c r="D632" s="7">
        <v>918</v>
      </c>
      <c r="E632" s="3">
        <v>11</v>
      </c>
      <c r="F632" s="2">
        <v>3</v>
      </c>
      <c r="G632" t="s">
        <v>513</v>
      </c>
    </row>
    <row r="633" spans="1:7" x14ac:dyDescent="0.25">
      <c r="A633" s="1" t="str">
        <f>"522721"</f>
        <v>522721</v>
      </c>
      <c r="B633" s="2" t="str">
        <f>"ALUMINIO"</f>
        <v>ALUMINIO</v>
      </c>
      <c r="C633" s="2" t="str">
        <f>"KG"</f>
        <v>KG</v>
      </c>
      <c r="D633" s="7">
        <v>912</v>
      </c>
      <c r="E633" s="3">
        <v>10</v>
      </c>
      <c r="F633" s="2">
        <v>8</v>
      </c>
      <c r="G633" t="s">
        <v>513</v>
      </c>
    </row>
    <row r="634" spans="1:7" x14ac:dyDescent="0.25">
      <c r="A634" s="1" t="str">
        <f>"516613"</f>
        <v>516613</v>
      </c>
      <c r="B634" s="2" t="str">
        <f>"ALUMINIO 7075 BLOCO 63X253X278 M57JE"</f>
        <v>ALUMINIO 7075 BLOCO 63X253X278 M57JE</v>
      </c>
      <c r="C634" s="2" t="str">
        <f t="shared" ref="C634:C643" si="24">"UN"</f>
        <v>UN</v>
      </c>
      <c r="D634" s="7">
        <v>918</v>
      </c>
      <c r="E634" s="3">
        <v>11</v>
      </c>
      <c r="F634" s="2">
        <v>6</v>
      </c>
      <c r="G634" t="s">
        <v>512</v>
      </c>
    </row>
    <row r="635" spans="1:7" x14ac:dyDescent="0.25">
      <c r="A635" s="1" t="str">
        <f>"518005"</f>
        <v>518005</v>
      </c>
      <c r="B635" s="2" t="str">
        <f>"ALUMINIO 7075 BLOCO 83X230X423 (2) M-55 JE"</f>
        <v>ALUMINIO 7075 BLOCO 83X230X423 (2) M-55 JE</v>
      </c>
      <c r="C635" s="2" t="str">
        <f t="shared" si="24"/>
        <v>UN</v>
      </c>
      <c r="D635" s="7">
        <v>918</v>
      </c>
      <c r="E635" s="3">
        <v>11</v>
      </c>
      <c r="F635" s="2">
        <v>4</v>
      </c>
      <c r="G635" t="s">
        <v>513</v>
      </c>
    </row>
    <row r="636" spans="1:7" x14ac:dyDescent="0.25">
      <c r="A636" s="1" t="str">
        <f>"4056"</f>
        <v>4056</v>
      </c>
      <c r="B636" s="2" t="str">
        <f>"ALUMINIO BANDEJA DMAX NOVA 360G- MORANGO"</f>
        <v>ALUMINIO BANDEJA DMAX NOVA 360G- MORANGO</v>
      </c>
      <c r="C636" s="2" t="str">
        <f t="shared" si="24"/>
        <v>UN</v>
      </c>
      <c r="D636" s="7">
        <v>100</v>
      </c>
      <c r="E636" s="3">
        <v>1</v>
      </c>
      <c r="F636" s="2">
        <v>1</v>
      </c>
      <c r="G636" t="s">
        <v>514</v>
      </c>
    </row>
    <row r="637" spans="1:7" x14ac:dyDescent="0.25">
      <c r="A637" s="1" t="str">
        <f>"4057"</f>
        <v>4057</v>
      </c>
      <c r="B637" s="2" t="str">
        <f>"ALUMINIO BANDEJA DMAX NOVA 360G- MORANGO E COCO"</f>
        <v>ALUMINIO BANDEJA DMAX NOVA 360G- MORANGO E COCO</v>
      </c>
      <c r="C637" s="2" t="str">
        <f t="shared" si="24"/>
        <v>UN</v>
      </c>
      <c r="D637" s="7">
        <v>100</v>
      </c>
      <c r="E637" s="3">
        <v>1</v>
      </c>
      <c r="F637" s="2">
        <v>2</v>
      </c>
      <c r="G637" t="s">
        <v>515</v>
      </c>
    </row>
    <row r="638" spans="1:7" x14ac:dyDescent="0.25">
      <c r="A638" s="1" t="str">
        <f>"4058"</f>
        <v>4058</v>
      </c>
      <c r="B638" s="2" t="str">
        <f>"ALUMINIO BANDEJA DMAX NOVA 360G- MORANGO E SALADA"</f>
        <v>ALUMINIO BANDEJA DMAX NOVA 360G- MORANGO E SALADA</v>
      </c>
      <c r="C638" s="2" t="str">
        <f t="shared" si="24"/>
        <v>UN</v>
      </c>
      <c r="D638" s="7">
        <v>100</v>
      </c>
      <c r="E638" s="3">
        <v>1</v>
      </c>
      <c r="F638" s="2">
        <v>7</v>
      </c>
      <c r="G638" t="s">
        <v>512</v>
      </c>
    </row>
    <row r="639" spans="1:7" x14ac:dyDescent="0.25">
      <c r="A639" s="1" t="str">
        <f>"508811"</f>
        <v>508811</v>
      </c>
      <c r="B639" s="2" t="str">
        <f>"ALUMINIO BRILHANTE H.26 0,8 X 1,000MM"</f>
        <v>ALUMINIO BRILHANTE H.26 0,8 X 1,000MM</v>
      </c>
      <c r="C639" s="2" t="str">
        <f t="shared" si="24"/>
        <v>UN</v>
      </c>
      <c r="D639" s="7">
        <v>803</v>
      </c>
      <c r="E639" s="3">
        <v>10</v>
      </c>
      <c r="F639" s="2">
        <v>9</v>
      </c>
      <c r="G639" t="s">
        <v>516</v>
      </c>
    </row>
    <row r="640" spans="1:7" x14ac:dyDescent="0.25">
      <c r="A640" s="1" t="str">
        <f>"520616"</f>
        <v>520616</v>
      </c>
      <c r="B640" s="2" t="str">
        <f>"ALUMINIO LISO 07MM"</f>
        <v>ALUMINIO LISO 07MM</v>
      </c>
      <c r="C640" s="2" t="str">
        <f t="shared" si="24"/>
        <v>UN</v>
      </c>
      <c r="D640" s="7">
        <v>916</v>
      </c>
      <c r="E640" s="3">
        <v>10</v>
      </c>
      <c r="F640" s="2">
        <v>0</v>
      </c>
      <c r="G640" t="s">
        <v>515</v>
      </c>
    </row>
    <row r="641" spans="1:7" x14ac:dyDescent="0.25">
      <c r="A641" s="1" t="str">
        <f>"513592"</f>
        <v>513592</v>
      </c>
      <c r="B641" s="2" t="str">
        <f>"ALUMINIO P/ TESTE GREGO"</f>
        <v>ALUMINIO P/ TESTE GREGO</v>
      </c>
      <c r="C641" s="2" t="str">
        <f t="shared" si="24"/>
        <v>UN</v>
      </c>
      <c r="D641" s="7">
        <v>100</v>
      </c>
      <c r="E641" s="3">
        <v>1</v>
      </c>
      <c r="F641" s="2">
        <v>0</v>
      </c>
      <c r="G641" t="s">
        <v>514</v>
      </c>
    </row>
    <row r="642" spans="1:7" x14ac:dyDescent="0.25">
      <c r="A642" s="1" t="str">
        <f>"508310"</f>
        <v>508310</v>
      </c>
      <c r="B642" s="2" t="str">
        <f>"ALUMINIO PISO H.114 3.200X1.200X2.2MM"</f>
        <v>ALUMINIO PISO H.114 3.200X1.200X2.2MM</v>
      </c>
      <c r="C642" s="2" t="str">
        <f t="shared" si="24"/>
        <v>UN</v>
      </c>
      <c r="D642" s="7">
        <v>704</v>
      </c>
      <c r="E642" s="3">
        <v>9</v>
      </c>
      <c r="F642" s="2">
        <v>2</v>
      </c>
      <c r="G642" t="s">
        <v>512</v>
      </c>
    </row>
    <row r="643" spans="1:7" x14ac:dyDescent="0.25">
      <c r="A643" s="1" t="str">
        <f>"518400"</f>
        <v>518400</v>
      </c>
      <c r="B643" s="2" t="str">
        <f>"ALUMINIO QUADRADO 2 1/2"" X 2 1/2"" X 800MM"</f>
        <v>ALUMINIO QUADRADO 2 1/2" X 2 1/2" X 800MM</v>
      </c>
      <c r="C643" s="2" t="str">
        <f t="shared" si="24"/>
        <v>UN</v>
      </c>
      <c r="D643" s="7">
        <v>812</v>
      </c>
      <c r="E643" s="3">
        <v>11</v>
      </c>
      <c r="F643" s="2">
        <v>5</v>
      </c>
      <c r="G643" t="s">
        <v>513</v>
      </c>
    </row>
    <row r="644" spans="1:7" x14ac:dyDescent="0.25">
      <c r="A644" s="1" t="str">
        <f>"508909"</f>
        <v>508909</v>
      </c>
      <c r="B644" s="2" t="str">
        <f>"ALVENARIT 1KG"</f>
        <v>ALVENARIT 1KG</v>
      </c>
      <c r="C644" s="2" t="str">
        <f>"LT"</f>
        <v>LT</v>
      </c>
      <c r="D644" s="7">
        <v>917</v>
      </c>
      <c r="E644" s="3">
        <v>10</v>
      </c>
      <c r="F644" s="2">
        <v>6</v>
      </c>
      <c r="G644" t="s">
        <v>514</v>
      </c>
    </row>
    <row r="645" spans="1:7" x14ac:dyDescent="0.25">
      <c r="A645" s="1" t="str">
        <f>"517853"</f>
        <v>517853</v>
      </c>
      <c r="B645" s="2" t="str">
        <f>"ALVENARIT 3,6kG"</f>
        <v>ALVENARIT 3,6kG</v>
      </c>
      <c r="C645" s="2" t="str">
        <f>"UN"</f>
        <v>UN</v>
      </c>
      <c r="D645" s="7">
        <v>917</v>
      </c>
      <c r="E645" s="3">
        <v>10</v>
      </c>
      <c r="F645" s="2">
        <v>9</v>
      </c>
      <c r="G645" t="s">
        <v>514</v>
      </c>
    </row>
    <row r="646" spans="1:7" x14ac:dyDescent="0.25">
      <c r="A646" s="1" t="str">
        <f>"514530"</f>
        <v>514530</v>
      </c>
      <c r="B646" s="2" t="str">
        <f>"AMACIANTE SOFT"</f>
        <v>AMACIANTE SOFT</v>
      </c>
      <c r="C646" s="2" t="str">
        <f>"UN"</f>
        <v>UN</v>
      </c>
      <c r="D646" s="7">
        <v>401</v>
      </c>
      <c r="E646" s="3">
        <v>4</v>
      </c>
      <c r="F646" s="2">
        <v>5</v>
      </c>
      <c r="G646" t="s">
        <v>512</v>
      </c>
    </row>
    <row r="647" spans="1:7" x14ac:dyDescent="0.25">
      <c r="A647" s="1" t="str">
        <f>"520666"</f>
        <v>520666</v>
      </c>
      <c r="B647" s="2" t="str">
        <f>"AMAROK CD 4X4 TREND 2016"</f>
        <v>AMAROK CD 4X4 TREND 2016</v>
      </c>
      <c r="C647" s="2" t="str">
        <f>"UN"</f>
        <v>UN</v>
      </c>
      <c r="D647" s="7">
        <v>99999</v>
      </c>
      <c r="E647" s="3">
        <v>99</v>
      </c>
      <c r="F647" s="2">
        <v>3</v>
      </c>
      <c r="G647" t="s">
        <v>513</v>
      </c>
    </row>
    <row r="648" spans="1:7" x14ac:dyDescent="0.25">
      <c r="A648" s="1" t="str">
        <f>"524353"</f>
        <v>524353</v>
      </c>
      <c r="B648" s="2" t="str">
        <f>"AMARRILHO ZN/AL 2,20MM"</f>
        <v>AMARRILHO ZN/AL 2,20MM</v>
      </c>
      <c r="C648" s="2" t="str">
        <f>"KG"</f>
        <v>KG</v>
      </c>
      <c r="D648" s="7">
        <v>99999</v>
      </c>
      <c r="E648" s="3">
        <v>10</v>
      </c>
      <c r="F648" s="2">
        <v>3</v>
      </c>
      <c r="G648" t="s">
        <v>514</v>
      </c>
    </row>
    <row r="649" spans="1:7" x14ac:dyDescent="0.25">
      <c r="A649" s="1" t="str">
        <f>"521113"</f>
        <v>521113</v>
      </c>
      <c r="B649" s="2" t="str">
        <f>"AMBU - REANIMADOR MANUAL ADULTO COMPLETO"</f>
        <v>AMBU - REANIMADOR MANUAL ADULTO COMPLETO</v>
      </c>
      <c r="C649" s="2" t="str">
        <f>"UN"</f>
        <v>UN</v>
      </c>
      <c r="D649" s="7">
        <v>817</v>
      </c>
      <c r="E649" s="3">
        <v>4</v>
      </c>
      <c r="F649" s="2">
        <v>2</v>
      </c>
      <c r="G649" t="s">
        <v>514</v>
      </c>
    </row>
    <row r="650" spans="1:7" x14ac:dyDescent="0.25">
      <c r="A650" s="1" t="str">
        <f>"528167"</f>
        <v>528167</v>
      </c>
      <c r="B650" s="2" t="str">
        <f>"AMEIXA"</f>
        <v>AMEIXA</v>
      </c>
      <c r="C650" s="2" t="str">
        <f>"UN"</f>
        <v>UN</v>
      </c>
      <c r="D650" s="7">
        <v>401</v>
      </c>
      <c r="E650" s="3">
        <v>4</v>
      </c>
      <c r="F650" s="2">
        <v>1</v>
      </c>
      <c r="G650" t="s">
        <v>514</v>
      </c>
    </row>
    <row r="651" spans="1:7" x14ac:dyDescent="0.25">
      <c r="A651" s="1" t="str">
        <f>"6169"</f>
        <v>6169</v>
      </c>
      <c r="B651" s="2" t="str">
        <f>"AMÊNDOA TORRADA GRANULADA 2 - (MANIBOM)"</f>
        <v>AMÊNDOA TORRADA GRANULADA 2 - (MANIBOM)</v>
      </c>
      <c r="C651" s="2" t="str">
        <f>"KG"</f>
        <v>KG</v>
      </c>
      <c r="D651" s="7">
        <v>217</v>
      </c>
      <c r="E651" s="3">
        <v>2</v>
      </c>
      <c r="F651" s="2">
        <v>4</v>
      </c>
      <c r="G651" t="s">
        <v>513</v>
      </c>
    </row>
    <row r="652" spans="1:7" x14ac:dyDescent="0.25">
      <c r="A652" s="1" t="str">
        <f>"515441"</f>
        <v>515441</v>
      </c>
      <c r="B652" s="2" t="str">
        <f>"AMENDOIM SALGADO"</f>
        <v>AMENDOIM SALGADO</v>
      </c>
      <c r="C652" s="2" t="str">
        <f>"UN"</f>
        <v>UN</v>
      </c>
      <c r="D652" s="7">
        <v>401</v>
      </c>
      <c r="E652" s="3">
        <v>4</v>
      </c>
      <c r="F652" s="2">
        <v>1</v>
      </c>
      <c r="G652" t="s">
        <v>512</v>
      </c>
    </row>
    <row r="653" spans="1:7" x14ac:dyDescent="0.25">
      <c r="A653" s="1" t="str">
        <f>"501403"</f>
        <v>501403</v>
      </c>
      <c r="B653" s="2" t="str">
        <f>"AMIANTO"</f>
        <v>AMIANTO</v>
      </c>
      <c r="C653" s="2" t="str">
        <f>"UN"</f>
        <v>UN</v>
      </c>
      <c r="D653" s="7">
        <v>704</v>
      </c>
      <c r="E653" s="3">
        <v>9</v>
      </c>
      <c r="F653" s="2">
        <v>2</v>
      </c>
      <c r="G653" t="s">
        <v>513</v>
      </c>
    </row>
    <row r="654" spans="1:7" x14ac:dyDescent="0.25">
      <c r="A654" s="1" t="str">
        <f>"522790"</f>
        <v>522790</v>
      </c>
      <c r="B654" s="2" t="str">
        <f>"AMIANTO 2,4 MM"</f>
        <v>AMIANTO 2,4 MM</v>
      </c>
      <c r="C654" s="2" t="str">
        <f>"M2"</f>
        <v>M2</v>
      </c>
      <c r="D654" s="7">
        <v>99999</v>
      </c>
      <c r="E654" s="3">
        <v>99</v>
      </c>
      <c r="F654" s="2">
        <v>7</v>
      </c>
      <c r="G654" t="s">
        <v>514</v>
      </c>
    </row>
    <row r="655" spans="1:7" x14ac:dyDescent="0.25">
      <c r="A655" s="1" t="str">
        <f>"518840"</f>
        <v>518840</v>
      </c>
      <c r="B655" s="2" t="str">
        <f>"AMIANTO 2,4MM GRAFITADO"</f>
        <v>AMIANTO 2,4MM GRAFITADO</v>
      </c>
      <c r="C655" s="2" t="str">
        <f>"M2"</f>
        <v>M2</v>
      </c>
      <c r="D655" s="7">
        <v>99999</v>
      </c>
      <c r="E655" s="3">
        <v>99</v>
      </c>
      <c r="F655" s="2">
        <v>9</v>
      </c>
      <c r="G655" t="s">
        <v>514</v>
      </c>
    </row>
    <row r="656" spans="1:7" x14ac:dyDescent="0.25">
      <c r="A656" s="1" t="str">
        <f>"507458"</f>
        <v>507458</v>
      </c>
      <c r="B656" s="2" t="str">
        <f>"AMIANTO 3,2MM C/ TELA"</f>
        <v>AMIANTO 3,2MM C/ TELA</v>
      </c>
      <c r="C656" s="2" t="str">
        <f>"M2"</f>
        <v>M2</v>
      </c>
      <c r="D656" s="7">
        <v>99999</v>
      </c>
      <c r="E656" s="3">
        <v>99</v>
      </c>
      <c r="F656" s="2">
        <v>0</v>
      </c>
      <c r="G656" t="s">
        <v>514</v>
      </c>
    </row>
    <row r="657" spans="1:7" x14ac:dyDescent="0.25">
      <c r="A657" s="1" t="str">
        <f>"6726"</f>
        <v>6726</v>
      </c>
      <c r="B657" s="2" t="str">
        <f>"AMIDO AMIDOGEM 4051 REQUEIJAO COM AMIDO"</f>
        <v>AMIDO AMIDOGEM 4051 REQUEIJAO COM AMIDO</v>
      </c>
      <c r="C657" s="2" t="str">
        <f>"KG"</f>
        <v>KG</v>
      </c>
      <c r="D657" s="7">
        <v>202</v>
      </c>
      <c r="E657" s="3">
        <v>2</v>
      </c>
      <c r="F657" s="2">
        <v>0</v>
      </c>
      <c r="G657" t="s">
        <v>513</v>
      </c>
    </row>
    <row r="658" spans="1:7" x14ac:dyDescent="0.25">
      <c r="A658" s="1" t="str">
        <f>"515504"</f>
        <v>515504</v>
      </c>
      <c r="B658" s="2" t="str">
        <f>"AMIDO BAC PLUS 3050"</f>
        <v>AMIDO BAC PLUS 3050</v>
      </c>
      <c r="C658" s="2" t="str">
        <f>"KG"</f>
        <v>KG</v>
      </c>
      <c r="D658" s="7">
        <v>222</v>
      </c>
      <c r="E658" s="3">
        <v>2</v>
      </c>
      <c r="F658" s="2">
        <v>4</v>
      </c>
      <c r="G658" t="s">
        <v>513</v>
      </c>
    </row>
    <row r="659" spans="1:7" x14ac:dyDescent="0.25">
      <c r="A659" s="1" t="str">
        <f>"6554"</f>
        <v>6554</v>
      </c>
      <c r="B659" s="2" t="str">
        <f>"AMIDO CERELOSE"</f>
        <v>AMIDO CERELOSE</v>
      </c>
      <c r="C659" s="2" t="str">
        <f>"KG"</f>
        <v>KG</v>
      </c>
      <c r="D659" s="7">
        <v>202</v>
      </c>
      <c r="E659" s="3">
        <v>2</v>
      </c>
      <c r="F659" s="2">
        <v>1</v>
      </c>
      <c r="G659" t="s">
        <v>513</v>
      </c>
    </row>
    <row r="660" spans="1:7" x14ac:dyDescent="0.25">
      <c r="A660" s="1" t="str">
        <f>"6252"</f>
        <v>6252</v>
      </c>
      <c r="B660" s="2" t="str">
        <f>"AMIDO EP 1081 SC 25KG"</f>
        <v>AMIDO EP 1081 SC 25KG</v>
      </c>
      <c r="C660" s="2" t="str">
        <f>"KG"</f>
        <v>KG</v>
      </c>
      <c r="D660" s="7">
        <v>202</v>
      </c>
      <c r="E660" s="3">
        <v>2</v>
      </c>
      <c r="F660" s="2">
        <v>2</v>
      </c>
      <c r="G660" t="s">
        <v>512</v>
      </c>
    </row>
    <row r="661" spans="1:7" x14ac:dyDescent="0.25">
      <c r="A661" s="1" t="str">
        <f>"509466"</f>
        <v>509466</v>
      </c>
      <c r="B661" s="2" t="str">
        <f>"AMIDO MAIZENA 1KG"</f>
        <v>AMIDO MAIZENA 1KG</v>
      </c>
      <c r="C661" s="2" t="str">
        <f>"UN"</f>
        <v>UN</v>
      </c>
      <c r="D661" s="7">
        <v>402</v>
      </c>
      <c r="E661" s="3">
        <v>4</v>
      </c>
      <c r="F661" s="2">
        <v>7</v>
      </c>
      <c r="G661" t="s">
        <v>513</v>
      </c>
    </row>
    <row r="662" spans="1:7" x14ac:dyDescent="0.25">
      <c r="A662" s="1" t="str">
        <f>"856"</f>
        <v>856</v>
      </c>
      <c r="B662" s="2" t="str">
        <f>"AMIDO MODIFICADO AMIDOGEM LINE 1021"</f>
        <v>AMIDO MODIFICADO AMIDOGEM LINE 1021</v>
      </c>
      <c r="C662" s="2" t="str">
        <f t="shared" ref="C662:C677" si="25">"KG"</f>
        <v>KG</v>
      </c>
      <c r="D662" s="7">
        <v>202</v>
      </c>
      <c r="E662" s="3">
        <v>2</v>
      </c>
      <c r="F662" s="2">
        <v>9</v>
      </c>
      <c r="G662" t="s">
        <v>514</v>
      </c>
    </row>
    <row r="663" spans="1:7" x14ac:dyDescent="0.25">
      <c r="A663" s="1" t="str">
        <f>"858"</f>
        <v>858</v>
      </c>
      <c r="B663" s="2" t="str">
        <f>"AMIDO MODIFICADO AMIDOGEM LINE RR 6160"</f>
        <v>AMIDO MODIFICADO AMIDOGEM LINE RR 6160</v>
      </c>
      <c r="C663" s="2" t="str">
        <f t="shared" si="25"/>
        <v>KG</v>
      </c>
      <c r="D663" s="7">
        <v>202</v>
      </c>
      <c r="E663" s="3">
        <v>2</v>
      </c>
      <c r="F663" s="2">
        <v>0</v>
      </c>
      <c r="G663" t="s">
        <v>515</v>
      </c>
    </row>
    <row r="664" spans="1:7" x14ac:dyDescent="0.25">
      <c r="A664" s="1" t="str">
        <f>"863"</f>
        <v>863</v>
      </c>
      <c r="B664" s="2" t="str">
        <f>"AMIDO MODIFICADO AMISOL 700 SP-25"</f>
        <v>AMIDO MODIFICADO AMISOL 700 SP-25</v>
      </c>
      <c r="C664" s="2" t="str">
        <f t="shared" si="25"/>
        <v>KG</v>
      </c>
      <c r="D664" s="7">
        <v>202</v>
      </c>
      <c r="E664" s="3">
        <v>2</v>
      </c>
      <c r="F664" s="2">
        <v>0</v>
      </c>
      <c r="G664" t="s">
        <v>512</v>
      </c>
    </row>
    <row r="665" spans="1:7" x14ac:dyDescent="0.25">
      <c r="A665" s="1" t="str">
        <f>"902"</f>
        <v>902</v>
      </c>
      <c r="B665" s="2" t="str">
        <f>"AMIDO MODIFICADO BAC DAIRY 4570 BAHIA AMIDOS"</f>
        <v>AMIDO MODIFICADO BAC DAIRY 4570 BAHIA AMIDOS</v>
      </c>
      <c r="C665" s="2" t="str">
        <f t="shared" si="25"/>
        <v>KG</v>
      </c>
      <c r="D665" s="7">
        <v>202</v>
      </c>
      <c r="E665" s="3">
        <v>2</v>
      </c>
      <c r="F665" s="2">
        <v>2</v>
      </c>
      <c r="G665" t="s">
        <v>516</v>
      </c>
    </row>
    <row r="666" spans="1:7" x14ac:dyDescent="0.25">
      <c r="A666" s="1" t="str">
        <f>"516600"</f>
        <v>516600</v>
      </c>
      <c r="B666" s="2" t="str">
        <f>"AMIDO MODIFICADO DE MILHO AMISOL 700 SP-25"</f>
        <v>AMIDO MODIFICADO DE MILHO AMISOL 700 SP-25</v>
      </c>
      <c r="C666" s="2" t="str">
        <f t="shared" si="25"/>
        <v>KG</v>
      </c>
      <c r="D666" s="7">
        <v>202</v>
      </c>
      <c r="E666" s="3">
        <v>2</v>
      </c>
      <c r="F666" s="2">
        <v>5</v>
      </c>
      <c r="G666" t="s">
        <v>515</v>
      </c>
    </row>
    <row r="667" spans="1:7" x14ac:dyDescent="0.25">
      <c r="A667" s="1" t="str">
        <f>"514355"</f>
        <v>514355</v>
      </c>
      <c r="B667" s="2" t="str">
        <f>"AMIDO MODIFICADO FRIGEX - QUALA"</f>
        <v>AMIDO MODIFICADO FRIGEX - QUALA</v>
      </c>
      <c r="C667" s="2" t="str">
        <f t="shared" si="25"/>
        <v>KG</v>
      </c>
      <c r="D667" s="7">
        <v>202</v>
      </c>
      <c r="E667" s="3">
        <v>2</v>
      </c>
      <c r="F667" s="2">
        <v>0</v>
      </c>
      <c r="G667" t="s">
        <v>514</v>
      </c>
    </row>
    <row r="668" spans="1:7" x14ac:dyDescent="0.25">
      <c r="A668" s="1" t="str">
        <f>"6549"</f>
        <v>6549</v>
      </c>
      <c r="B668" s="2" t="str">
        <f>"AMIDO MODIFICADO FRIGEX - QUALA"</f>
        <v>AMIDO MODIFICADO FRIGEX - QUALA</v>
      </c>
      <c r="C668" s="2" t="str">
        <f t="shared" si="25"/>
        <v>KG</v>
      </c>
      <c r="D668" s="7">
        <v>202</v>
      </c>
      <c r="E668" s="3">
        <v>2</v>
      </c>
      <c r="F668" s="2">
        <v>2</v>
      </c>
      <c r="G668" t="s">
        <v>512</v>
      </c>
    </row>
    <row r="669" spans="1:7" x14ac:dyDescent="0.25">
      <c r="A669" s="1" t="str">
        <f>"7143"</f>
        <v>7143</v>
      </c>
      <c r="B669" s="2" t="str">
        <f>"AMIDO MODIFICADO MANDIOCA CÓD. CM1100  SACAS 25KG"</f>
        <v>AMIDO MODIFICADO MANDIOCA CÓD. CM1100  SACAS 25KG</v>
      </c>
      <c r="C669" s="2" t="str">
        <f t="shared" si="25"/>
        <v>KG</v>
      </c>
      <c r="D669" s="7">
        <v>202</v>
      </c>
      <c r="E669" s="3">
        <v>2</v>
      </c>
      <c r="F669" s="2">
        <v>5</v>
      </c>
      <c r="G669" t="s">
        <v>513</v>
      </c>
    </row>
    <row r="670" spans="1:7" x14ac:dyDescent="0.25">
      <c r="A670" s="1" t="str">
        <f>"867"</f>
        <v>867</v>
      </c>
      <c r="B670" s="2" t="str">
        <f>"AMIDO MODIFICADO NATIONAL FRIGEX"</f>
        <v>AMIDO MODIFICADO NATIONAL FRIGEX</v>
      </c>
      <c r="C670" s="2" t="str">
        <f t="shared" si="25"/>
        <v>KG</v>
      </c>
      <c r="D670" s="7">
        <v>202</v>
      </c>
      <c r="E670" s="3">
        <v>2</v>
      </c>
      <c r="F670" s="5">
        <v>5</v>
      </c>
      <c r="G670" t="s">
        <v>514</v>
      </c>
    </row>
    <row r="671" spans="1:7" x14ac:dyDescent="0.25">
      <c r="A671" s="1" t="str">
        <f>"859"</f>
        <v>859</v>
      </c>
      <c r="B671" s="2" t="str">
        <f>"AMIDO MODIFICADO SNOW FLAKE 6413"</f>
        <v>AMIDO MODIFICADO SNOW FLAKE 6413</v>
      </c>
      <c r="C671" s="2" t="str">
        <f t="shared" si="25"/>
        <v>KG</v>
      </c>
      <c r="D671" s="7">
        <v>202</v>
      </c>
      <c r="E671" s="3">
        <v>2</v>
      </c>
      <c r="F671" s="2">
        <v>3</v>
      </c>
      <c r="G671" t="s">
        <v>514</v>
      </c>
    </row>
    <row r="672" spans="1:7" x14ac:dyDescent="0.25">
      <c r="A672" s="1" t="str">
        <f>"866"</f>
        <v>866</v>
      </c>
      <c r="B672" s="2" t="str">
        <f>"AMIDO MODIFICADO SNOW FLAKE 6420"</f>
        <v>AMIDO MODIFICADO SNOW FLAKE 6420</v>
      </c>
      <c r="C672" s="2" t="str">
        <f t="shared" si="25"/>
        <v>KG</v>
      </c>
      <c r="D672" s="7">
        <v>202</v>
      </c>
      <c r="E672" s="3">
        <v>2</v>
      </c>
      <c r="F672" s="2">
        <v>8</v>
      </c>
      <c r="G672" t="s">
        <v>512</v>
      </c>
    </row>
    <row r="673" spans="1:7" x14ac:dyDescent="0.25">
      <c r="A673" s="1" t="str">
        <f>"513530"</f>
        <v>513530</v>
      </c>
      <c r="B673" s="2" t="str">
        <f>"AMIDO MODIFICADO SUPERCORP 75"</f>
        <v>AMIDO MODIFICADO SUPERCORP 75</v>
      </c>
      <c r="C673" s="2" t="str">
        <f t="shared" si="25"/>
        <v>KG</v>
      </c>
      <c r="D673" s="7">
        <v>202</v>
      </c>
      <c r="E673" s="3">
        <v>2</v>
      </c>
      <c r="F673" s="2">
        <v>6</v>
      </c>
      <c r="G673" t="s">
        <v>513</v>
      </c>
    </row>
    <row r="674" spans="1:7" x14ac:dyDescent="0.25">
      <c r="A674" s="1" t="str">
        <f>"513533"</f>
        <v>513533</v>
      </c>
      <c r="B674" s="2" t="str">
        <f>"AMIDO MODIFICADO SUPERRESIST 70 RK"</f>
        <v>AMIDO MODIFICADO SUPERRESIST 70 RK</v>
      </c>
      <c r="C674" s="2" t="str">
        <f t="shared" si="25"/>
        <v>KG</v>
      </c>
      <c r="D674" s="7">
        <v>202</v>
      </c>
      <c r="E674" s="3">
        <v>2</v>
      </c>
      <c r="F674" s="2">
        <v>4</v>
      </c>
      <c r="G674" t="s">
        <v>514</v>
      </c>
    </row>
    <row r="675" spans="1:7" x14ac:dyDescent="0.25">
      <c r="A675" s="1" t="str">
        <f>"513532"</f>
        <v>513532</v>
      </c>
      <c r="B675" s="2" t="str">
        <f>"AMIDO MODIFICADO SUPERRESIST SR 60"</f>
        <v>AMIDO MODIFICADO SUPERRESIST SR 60</v>
      </c>
      <c r="C675" s="2" t="str">
        <f t="shared" si="25"/>
        <v>KG</v>
      </c>
      <c r="D675" s="7">
        <v>202</v>
      </c>
      <c r="E675" s="3">
        <v>2</v>
      </c>
      <c r="F675" s="2">
        <v>1</v>
      </c>
      <c r="G675" t="s">
        <v>514</v>
      </c>
    </row>
    <row r="676" spans="1:7" x14ac:dyDescent="0.25">
      <c r="A676" s="1" t="str">
        <f>"513531"</f>
        <v>513531</v>
      </c>
      <c r="B676" s="2" t="str">
        <f>"AMIDO MODIFICADO SUPERRESIST SW 70"</f>
        <v>AMIDO MODIFICADO SUPERRESIST SW 70</v>
      </c>
      <c r="C676" s="2" t="str">
        <f t="shared" si="25"/>
        <v>KG</v>
      </c>
      <c r="D676" s="7">
        <v>202</v>
      </c>
      <c r="E676" s="3">
        <v>2</v>
      </c>
      <c r="F676" s="2">
        <v>2</v>
      </c>
      <c r="G676" t="s">
        <v>514</v>
      </c>
    </row>
    <row r="677" spans="1:7" x14ac:dyDescent="0.25">
      <c r="A677" s="1" t="str">
        <f>"3017"</f>
        <v>3017</v>
      </c>
      <c r="B677" s="2" t="str">
        <f>"AMIDO MODIFICADO THICK FLO"</f>
        <v>AMIDO MODIFICADO THICK FLO</v>
      </c>
      <c r="C677" s="2" t="str">
        <f t="shared" si="25"/>
        <v>KG</v>
      </c>
      <c r="D677" s="7">
        <v>202</v>
      </c>
      <c r="E677" s="3">
        <v>2</v>
      </c>
      <c r="F677" s="2">
        <v>7</v>
      </c>
      <c r="G677" t="s">
        <v>513</v>
      </c>
    </row>
    <row r="678" spans="1:7" x14ac:dyDescent="0.25">
      <c r="A678" s="1" t="str">
        <f>"AG35051000"</f>
        <v>AG35051000</v>
      </c>
      <c r="B678" s="2" t="str">
        <f>"AMIDO MODIFICADOR AMOSTRA GRATIS"</f>
        <v>AMIDO MODIFICADOR AMOSTRA GRATIS</v>
      </c>
      <c r="C678" s="2" t="str">
        <f>"UN"</f>
        <v>UN</v>
      </c>
      <c r="D678" s="7">
        <v>99999</v>
      </c>
      <c r="E678" s="3">
        <v>99</v>
      </c>
      <c r="F678" s="2">
        <v>9</v>
      </c>
      <c r="G678" t="s">
        <v>512</v>
      </c>
    </row>
    <row r="679" spans="1:7" x14ac:dyDescent="0.25">
      <c r="A679" s="1" t="str">
        <f>"4429"</f>
        <v>4429</v>
      </c>
      <c r="B679" s="2" t="str">
        <f>"AMIDO POLARTEX 06730 SC22 68KG"</f>
        <v>AMIDO POLARTEX 06730 SC22 68KG</v>
      </c>
      <c r="C679" s="2" t="str">
        <f>"SC"</f>
        <v>SC</v>
      </c>
      <c r="D679" s="7">
        <v>202</v>
      </c>
      <c r="E679" s="3">
        <v>2</v>
      </c>
      <c r="F679" s="2">
        <v>0</v>
      </c>
      <c r="G679" t="s">
        <v>513</v>
      </c>
    </row>
    <row r="680" spans="1:7" x14ac:dyDescent="0.25">
      <c r="A680" s="1" t="str">
        <f>"515159"</f>
        <v>515159</v>
      </c>
      <c r="B680" s="2" t="str">
        <f>"AMIDO SOLUCAO 1%"</f>
        <v>AMIDO SOLUCAO 1%</v>
      </c>
      <c r="C680" s="2" t="str">
        <f>"UN"</f>
        <v>UN</v>
      </c>
      <c r="D680" s="7">
        <v>406</v>
      </c>
      <c r="E680" s="3">
        <v>4</v>
      </c>
      <c r="F680" s="2">
        <v>0</v>
      </c>
      <c r="G680" t="s">
        <v>514</v>
      </c>
    </row>
    <row r="681" spans="1:7" x14ac:dyDescent="0.25">
      <c r="A681" s="1" t="str">
        <f>"864"</f>
        <v>864</v>
      </c>
      <c r="B681" s="2" t="str">
        <f>"AMIDOGEM LINE RR 3640"</f>
        <v>AMIDOGEM LINE RR 3640</v>
      </c>
      <c r="C681" s="2" t="str">
        <f>"KG"</f>
        <v>KG</v>
      </c>
      <c r="D681" s="7">
        <v>202</v>
      </c>
      <c r="E681" s="3">
        <v>2</v>
      </c>
      <c r="F681" s="2">
        <v>2</v>
      </c>
      <c r="G681" t="s">
        <v>514</v>
      </c>
    </row>
    <row r="682" spans="1:7" x14ac:dyDescent="0.25">
      <c r="A682" s="1" t="str">
        <f>"865"</f>
        <v>865</v>
      </c>
      <c r="B682" s="2" t="str">
        <f>"AMIDOMAX  EP 1081"</f>
        <v>AMIDOMAX  EP 1081</v>
      </c>
      <c r="C682" s="2" t="str">
        <f>"KG"</f>
        <v>KG</v>
      </c>
      <c r="D682" s="7">
        <v>202</v>
      </c>
      <c r="E682" s="3">
        <v>2</v>
      </c>
      <c r="F682" s="2">
        <v>5</v>
      </c>
      <c r="G682" t="s">
        <v>514</v>
      </c>
    </row>
    <row r="683" spans="1:7" x14ac:dyDescent="0.25">
      <c r="A683" s="1" t="str">
        <f>"860"</f>
        <v>860</v>
      </c>
      <c r="B683" s="2" t="str">
        <f>"AMIDOMAX 5500"</f>
        <v>AMIDOMAX 5500</v>
      </c>
      <c r="C683" s="2" t="str">
        <f>"KG"</f>
        <v>KG</v>
      </c>
      <c r="D683" s="7">
        <v>202</v>
      </c>
      <c r="E683" s="3">
        <v>2</v>
      </c>
      <c r="F683" s="2">
        <v>6</v>
      </c>
      <c r="G683" t="s">
        <v>513</v>
      </c>
    </row>
    <row r="684" spans="1:7" x14ac:dyDescent="0.25">
      <c r="A684" s="1" t="str">
        <f>"861"</f>
        <v>861</v>
      </c>
      <c r="B684" s="2" t="str">
        <f>"AMIDOMAX EP 1075"</f>
        <v>AMIDOMAX EP 1075</v>
      </c>
      <c r="C684" s="2" t="str">
        <f>"KG"</f>
        <v>KG</v>
      </c>
      <c r="D684" s="7">
        <v>202</v>
      </c>
      <c r="E684" s="3">
        <v>2</v>
      </c>
      <c r="F684" s="2">
        <v>9</v>
      </c>
      <c r="G684" t="s">
        <v>513</v>
      </c>
    </row>
    <row r="685" spans="1:7" x14ac:dyDescent="0.25">
      <c r="A685" s="1" t="str">
        <f>"526748"</f>
        <v>526748</v>
      </c>
      <c r="B685" s="2" t="str">
        <f>"AMITRIPTILINA 25 MG CAIXA COM 30 COMPRIMIDOS"</f>
        <v>AMITRIPTILINA 25 MG CAIXA COM 30 COMPRIMIDOS</v>
      </c>
      <c r="C685" s="2" t="str">
        <f t="shared" ref="C685:C703" si="26">"UN"</f>
        <v>UN</v>
      </c>
      <c r="D685" s="7">
        <v>406</v>
      </c>
      <c r="E685" s="3">
        <v>4</v>
      </c>
      <c r="F685" s="2">
        <v>5</v>
      </c>
      <c r="G685" t="s">
        <v>513</v>
      </c>
    </row>
    <row r="686" spans="1:7" x14ac:dyDescent="0.25">
      <c r="A686" s="1" t="str">
        <f>"501759"</f>
        <v>501759</v>
      </c>
      <c r="B686" s="2" t="str">
        <f>"AMONIA ANIDRA 80KG"</f>
        <v>AMONIA ANIDRA 80KG</v>
      </c>
      <c r="C686" s="2" t="str">
        <f t="shared" si="26"/>
        <v>UN</v>
      </c>
      <c r="D686" s="7">
        <v>402</v>
      </c>
      <c r="E686" s="3">
        <v>4</v>
      </c>
      <c r="F686" s="2">
        <v>3</v>
      </c>
      <c r="G686" t="s">
        <v>512</v>
      </c>
    </row>
    <row r="687" spans="1:7" x14ac:dyDescent="0.25">
      <c r="A687" s="1" t="str">
        <f>"515715"</f>
        <v>515715</v>
      </c>
      <c r="B687" s="2" t="str">
        <f>"AMORA"</f>
        <v>AMORA</v>
      </c>
      <c r="C687" s="2" t="str">
        <f t="shared" si="26"/>
        <v>UN</v>
      </c>
      <c r="D687" s="7">
        <v>401</v>
      </c>
      <c r="E687" s="3">
        <v>4</v>
      </c>
      <c r="F687" s="2">
        <v>3</v>
      </c>
      <c r="G687" t="s">
        <v>513</v>
      </c>
    </row>
    <row r="688" spans="1:7" x14ac:dyDescent="0.25">
      <c r="A688" s="1" t="str">
        <f>"504962"</f>
        <v>504962</v>
      </c>
      <c r="B688" s="2" t="str">
        <f>"AMORTECEDOR"</f>
        <v>AMORTECEDOR</v>
      </c>
      <c r="C688" s="2" t="str">
        <f t="shared" si="26"/>
        <v>UN</v>
      </c>
      <c r="D688" s="7">
        <v>704</v>
      </c>
      <c r="E688" s="3">
        <v>9</v>
      </c>
      <c r="F688" s="2">
        <v>2</v>
      </c>
      <c r="G688" t="s">
        <v>514</v>
      </c>
    </row>
    <row r="689" spans="1:7" x14ac:dyDescent="0.25">
      <c r="A689" s="1" t="str">
        <f>"523183"</f>
        <v>523183</v>
      </c>
      <c r="B689" s="2" t="str">
        <f>"AMORTECEDOR AÇO INOX"</f>
        <v>AMORTECEDOR AÇO INOX</v>
      </c>
      <c r="C689" s="2" t="str">
        <f t="shared" si="26"/>
        <v>UN</v>
      </c>
      <c r="D689" s="7">
        <v>99999</v>
      </c>
      <c r="E689" s="3">
        <v>99</v>
      </c>
      <c r="F689" s="2">
        <v>1</v>
      </c>
      <c r="G689" t="s">
        <v>515</v>
      </c>
    </row>
    <row r="690" spans="1:7" x14ac:dyDescent="0.25">
      <c r="A690" s="1" t="str">
        <f>"510363"</f>
        <v>510363</v>
      </c>
      <c r="B690" s="2" t="str">
        <f>"AMORTECEDOR BORRACHA P/ MAQ 200KG - 1/4"""</f>
        <v>AMORTECEDOR BORRACHA P/ MAQ 200KG - 1/4"</v>
      </c>
      <c r="C690" s="2" t="str">
        <f t="shared" si="26"/>
        <v>UN</v>
      </c>
      <c r="D690" s="7">
        <v>918</v>
      </c>
      <c r="E690" s="3">
        <v>11</v>
      </c>
      <c r="F690" s="2">
        <v>4</v>
      </c>
      <c r="G690" t="s">
        <v>512</v>
      </c>
    </row>
    <row r="691" spans="1:7" x14ac:dyDescent="0.25">
      <c r="A691" s="1" t="str">
        <f>"510364"</f>
        <v>510364</v>
      </c>
      <c r="B691" s="2" t="str">
        <f>"AMORTECEDOR BORRACHA P/ MAQ 400KG - 3/8"""</f>
        <v>AMORTECEDOR BORRACHA P/ MAQ 400KG - 3/8"</v>
      </c>
      <c r="C691" s="2" t="str">
        <f t="shared" si="26"/>
        <v>UN</v>
      </c>
      <c r="D691" s="7">
        <v>918</v>
      </c>
      <c r="E691" s="3">
        <v>11</v>
      </c>
      <c r="F691" s="2">
        <v>6</v>
      </c>
      <c r="G691" t="s">
        <v>516</v>
      </c>
    </row>
    <row r="692" spans="1:7" x14ac:dyDescent="0.25">
      <c r="A692" s="1" t="str">
        <f>"518045"</f>
        <v>518045</v>
      </c>
      <c r="B692" s="2" t="str">
        <f>"AMORTECEDOR BORRACHA P/ MAQ 500KG - 1/2"""</f>
        <v>AMORTECEDOR BORRACHA P/ MAQ 500KG - 1/2"</v>
      </c>
      <c r="C692" s="2" t="str">
        <f t="shared" si="26"/>
        <v>UN</v>
      </c>
      <c r="D692" s="7">
        <v>918</v>
      </c>
      <c r="E692" s="3">
        <v>4</v>
      </c>
      <c r="F692" s="2">
        <v>8</v>
      </c>
      <c r="G692" t="s">
        <v>515</v>
      </c>
    </row>
    <row r="693" spans="1:7" x14ac:dyDescent="0.25">
      <c r="A693" s="1" t="str">
        <f>"510768"</f>
        <v>510768</v>
      </c>
      <c r="B693" s="2" t="str">
        <f>"AMORTECEDOR CABINE TRASEIRO-STRALLIS"</f>
        <v>AMORTECEDOR CABINE TRASEIRO-STRALLIS</v>
      </c>
      <c r="C693" s="2" t="str">
        <f t="shared" si="26"/>
        <v>UN</v>
      </c>
      <c r="D693" s="7">
        <v>704</v>
      </c>
      <c r="E693" s="3">
        <v>9</v>
      </c>
      <c r="F693" s="2">
        <v>7</v>
      </c>
      <c r="G693" t="s">
        <v>514</v>
      </c>
    </row>
    <row r="694" spans="1:7" x14ac:dyDescent="0.25">
      <c r="A694" s="1" t="str">
        <f>"506057"</f>
        <v>506057</v>
      </c>
      <c r="B694" s="2" t="str">
        <f>"AMORTECEDOR COD. 0308190103"</f>
        <v>AMORTECEDOR COD. 0308190103</v>
      </c>
      <c r="C694" s="2" t="str">
        <f t="shared" si="26"/>
        <v>UN</v>
      </c>
      <c r="D694" s="7">
        <v>704</v>
      </c>
      <c r="E694" s="3">
        <v>9</v>
      </c>
      <c r="F694" s="2">
        <v>6</v>
      </c>
      <c r="G694" t="s">
        <v>512</v>
      </c>
    </row>
    <row r="695" spans="1:7" x14ac:dyDescent="0.25">
      <c r="A695" s="1" t="str">
        <f>"514739"</f>
        <v>514739</v>
      </c>
      <c r="B695" s="2" t="str">
        <f>"AMORTECEDOR DE LANTERNA"</f>
        <v>AMORTECEDOR DE LANTERNA</v>
      </c>
      <c r="C695" s="2" t="str">
        <f t="shared" si="26"/>
        <v>UN</v>
      </c>
      <c r="D695" s="7">
        <v>704</v>
      </c>
      <c r="E695" s="3">
        <v>9</v>
      </c>
      <c r="F695" s="2">
        <v>6</v>
      </c>
      <c r="G695" t="s">
        <v>513</v>
      </c>
    </row>
    <row r="696" spans="1:7" x14ac:dyDescent="0.25">
      <c r="A696" s="1" t="str">
        <f>"508179"</f>
        <v>508179</v>
      </c>
      <c r="B696" s="2" t="str">
        <f>"AMORTECEDOR DIANTEIRO"</f>
        <v>AMORTECEDOR DIANTEIRO</v>
      </c>
      <c r="C696" s="2" t="str">
        <f t="shared" si="26"/>
        <v>UN</v>
      </c>
      <c r="D696" s="7">
        <v>704</v>
      </c>
      <c r="E696" s="3">
        <v>9</v>
      </c>
      <c r="F696" s="2">
        <v>2</v>
      </c>
      <c r="G696" t="s">
        <v>514</v>
      </c>
    </row>
    <row r="697" spans="1:7" x14ac:dyDescent="0.25">
      <c r="A697" s="1" t="str">
        <f>"509571"</f>
        <v>509571</v>
      </c>
      <c r="B697" s="2" t="str">
        <f>"AMORTECEDOR HORIZONTAL"</f>
        <v>AMORTECEDOR HORIZONTAL</v>
      </c>
      <c r="C697" s="2" t="str">
        <f t="shared" si="26"/>
        <v>UN</v>
      </c>
      <c r="D697" s="7">
        <v>918</v>
      </c>
      <c r="E697" s="3">
        <v>11</v>
      </c>
      <c r="F697" s="2">
        <v>1</v>
      </c>
      <c r="G697" t="s">
        <v>514</v>
      </c>
    </row>
    <row r="698" spans="1:7" x14ac:dyDescent="0.25">
      <c r="A698" s="1" t="str">
        <f>"501720"</f>
        <v>501720</v>
      </c>
      <c r="B698" s="2" t="str">
        <f>"AMORTECEDOR MONROE COD. 0308190103-JULIE"</f>
        <v>AMORTECEDOR MONROE COD. 0308190103-JULIE</v>
      </c>
      <c r="C698" s="2" t="str">
        <f t="shared" si="26"/>
        <v>UN</v>
      </c>
      <c r="D698" s="7">
        <v>704</v>
      </c>
      <c r="E698" s="3">
        <v>9</v>
      </c>
      <c r="F698" s="2">
        <v>0</v>
      </c>
      <c r="G698" t="s">
        <v>512</v>
      </c>
    </row>
    <row r="699" spans="1:7" x14ac:dyDescent="0.25">
      <c r="A699" s="1" t="str">
        <f>"527529"</f>
        <v>527529</v>
      </c>
      <c r="B699" s="2" t="str">
        <f>"AMORTECEDOR RADIADOR DO GOL COD 190045 (PAKIMATIK) ROSCA5/16"</f>
        <v>AMORTECEDOR RADIADOR DO GOL COD 190045 (PAKIMATIK) ROSCA5/16</v>
      </c>
      <c r="C699" s="2" t="str">
        <f t="shared" si="26"/>
        <v>UN</v>
      </c>
      <c r="D699" s="7">
        <v>913</v>
      </c>
      <c r="E699" s="3">
        <v>11</v>
      </c>
      <c r="F699" s="2">
        <v>0</v>
      </c>
      <c r="G699" t="s">
        <v>513</v>
      </c>
    </row>
    <row r="700" spans="1:7" x14ac:dyDescent="0.25">
      <c r="A700" s="1" t="str">
        <f>"508180"</f>
        <v>508180</v>
      </c>
      <c r="B700" s="2" t="str">
        <f>"AMORTECEDOR TRASEIRO"</f>
        <v>AMORTECEDOR TRASEIRO</v>
      </c>
      <c r="C700" s="2" t="str">
        <f t="shared" si="26"/>
        <v>UN</v>
      </c>
      <c r="D700" s="7">
        <v>704</v>
      </c>
      <c r="E700" s="3">
        <v>9</v>
      </c>
      <c r="F700" s="2">
        <v>0</v>
      </c>
      <c r="G700" t="s">
        <v>514</v>
      </c>
    </row>
    <row r="701" spans="1:7" x14ac:dyDescent="0.25">
      <c r="A701" s="1" t="str">
        <f>"509572"</f>
        <v>509572</v>
      </c>
      <c r="B701" s="2" t="str">
        <f>"AMORTECEDOR VERTICAL"</f>
        <v>AMORTECEDOR VERTICAL</v>
      </c>
      <c r="C701" s="2" t="str">
        <f t="shared" si="26"/>
        <v>UN</v>
      </c>
      <c r="D701" s="7">
        <v>918</v>
      </c>
      <c r="E701" s="3">
        <v>11</v>
      </c>
      <c r="F701" s="2">
        <v>3</v>
      </c>
      <c r="G701" t="s">
        <v>514</v>
      </c>
    </row>
    <row r="702" spans="1:7" x14ac:dyDescent="0.25">
      <c r="A702" s="1" t="str">
        <f>"525998"</f>
        <v>525998</v>
      </c>
      <c r="B702" s="2" t="str">
        <f>"AMORTECEDOR VIBRA. DINATECNICA AVSTF DN. 4"" ASTM A240 TP 304"</f>
        <v>AMORTECEDOR VIBRA. DINATECNICA AVSTF DN. 4" ASTM A240 TP 304</v>
      </c>
      <c r="C702" s="2" t="str">
        <f t="shared" si="26"/>
        <v>UN</v>
      </c>
      <c r="D702" s="7">
        <v>812</v>
      </c>
      <c r="E702" s="3">
        <v>10</v>
      </c>
      <c r="F702" s="5">
        <v>5</v>
      </c>
      <c r="G702" t="s">
        <v>514</v>
      </c>
    </row>
    <row r="703" spans="1:7" x14ac:dyDescent="0.25">
      <c r="A703" s="1" t="str">
        <f>"524879"</f>
        <v>524879</v>
      </c>
      <c r="B703" s="2" t="str">
        <f>"AMOSTRA"</f>
        <v>AMOSTRA</v>
      </c>
      <c r="C703" s="2" t="str">
        <f t="shared" si="26"/>
        <v>UN</v>
      </c>
      <c r="D703" s="7">
        <v>99999</v>
      </c>
      <c r="E703" s="3">
        <v>99</v>
      </c>
      <c r="F703" s="2">
        <v>3</v>
      </c>
      <c r="G703" t="s">
        <v>513</v>
      </c>
    </row>
    <row r="704" spans="1:7" x14ac:dyDescent="0.25">
      <c r="A704" s="1" t="str">
        <f>"515029"</f>
        <v>515029</v>
      </c>
      <c r="B704" s="2" t="str">
        <f>"AMOSTRA AMIDOGEM LINE RR AMIDO-PRODUTO NAO CLASSIFICADO ONU"</f>
        <v>AMOSTRA AMIDOGEM LINE RR AMIDO-PRODUTO NAO CLASSIFICADO ONU</v>
      </c>
      <c r="C704" s="2" t="str">
        <f>"KG"</f>
        <v>KG</v>
      </c>
      <c r="D704" s="7">
        <v>217</v>
      </c>
      <c r="E704" s="3">
        <v>2</v>
      </c>
      <c r="F704" s="2">
        <v>8</v>
      </c>
      <c r="G704" t="s">
        <v>512</v>
      </c>
    </row>
    <row r="705" spans="1:7" x14ac:dyDescent="0.25">
      <c r="A705" s="1" t="str">
        <f>"1300"</f>
        <v>1300</v>
      </c>
      <c r="B705" s="2" t="str">
        <f>"AMOSTRA DE LEITE"</f>
        <v>AMOSTRA DE LEITE</v>
      </c>
      <c r="C705" s="2" t="str">
        <f t="shared" ref="C705:C713" si="27">"UN"</f>
        <v>UN</v>
      </c>
      <c r="D705" s="7">
        <v>200</v>
      </c>
      <c r="E705" s="3">
        <v>2</v>
      </c>
      <c r="F705" s="2">
        <v>6</v>
      </c>
      <c r="G705" t="s">
        <v>513</v>
      </c>
    </row>
    <row r="706" spans="1:7" x14ac:dyDescent="0.25">
      <c r="A706" s="1" t="str">
        <f>"521306"</f>
        <v>521306</v>
      </c>
      <c r="B706" s="2" t="str">
        <f>"AMOSTRADOR DE AR SAS SUPER ISO 100 PBIB90719"</f>
        <v>AMOSTRADOR DE AR SAS SUPER ISO 100 PBIB90719</v>
      </c>
      <c r="C706" s="2" t="str">
        <f t="shared" si="27"/>
        <v>UN</v>
      </c>
      <c r="D706" s="7">
        <v>1300</v>
      </c>
      <c r="E706" s="3">
        <v>13</v>
      </c>
      <c r="F706" s="2">
        <v>4</v>
      </c>
      <c r="G706" t="s">
        <v>514</v>
      </c>
    </row>
    <row r="707" spans="1:7" x14ac:dyDescent="0.25">
      <c r="A707" s="1" t="str">
        <f>"521307"</f>
        <v>521307</v>
      </c>
      <c r="B707" s="2" t="str">
        <f>"AMOSTRADOR DE AR SAS SUPER ISO 180 PBIB90720"</f>
        <v>AMOSTRADOR DE AR SAS SUPER ISO 180 PBIB90720</v>
      </c>
      <c r="C707" s="2" t="str">
        <f t="shared" si="27"/>
        <v>UN</v>
      </c>
      <c r="D707" s="7">
        <v>1300</v>
      </c>
      <c r="E707" s="3">
        <v>13</v>
      </c>
      <c r="F707" s="2">
        <v>1</v>
      </c>
      <c r="G707" t="s">
        <v>514</v>
      </c>
    </row>
    <row r="708" spans="1:7" x14ac:dyDescent="0.25">
      <c r="A708" s="1" t="str">
        <f>"512386"</f>
        <v>512386</v>
      </c>
      <c r="B708" s="2" t="str">
        <f>"AMPERIMETRO  P/ PORTA DO PAINEL 25 P 5"</f>
        <v>AMPERIMETRO  P/ PORTA DO PAINEL 25 P 5</v>
      </c>
      <c r="C708" s="2" t="str">
        <f t="shared" si="27"/>
        <v>UN</v>
      </c>
      <c r="D708" s="7">
        <v>704</v>
      </c>
      <c r="E708" s="3">
        <v>9</v>
      </c>
      <c r="F708" s="2">
        <v>2</v>
      </c>
      <c r="G708" t="s">
        <v>514</v>
      </c>
    </row>
    <row r="709" spans="1:7" x14ac:dyDescent="0.25">
      <c r="A709" s="1" t="str">
        <f>"514872"</f>
        <v>514872</v>
      </c>
      <c r="B709" s="2" t="str">
        <f>"AMPERIMETRO 96X96 1500/A"</f>
        <v>AMPERIMETRO 96X96 1500/A</v>
      </c>
      <c r="C709" s="2" t="str">
        <f t="shared" si="27"/>
        <v>UN</v>
      </c>
      <c r="D709" s="7">
        <v>811</v>
      </c>
      <c r="E709" s="3">
        <v>8</v>
      </c>
      <c r="F709" s="2">
        <v>7</v>
      </c>
      <c r="G709" t="s">
        <v>513</v>
      </c>
    </row>
    <row r="710" spans="1:7" x14ac:dyDescent="0.25">
      <c r="A710" s="1" t="str">
        <f>"511279"</f>
        <v>511279</v>
      </c>
      <c r="B710" s="2" t="str">
        <f>"AMPERIMETRO 96X96 800/5A KRON/SIMILAR"</f>
        <v>AMPERIMETRO 96X96 800/5A KRON/SIMILAR</v>
      </c>
      <c r="C710" s="2" t="str">
        <f t="shared" si="27"/>
        <v>UN</v>
      </c>
      <c r="D710" s="7">
        <v>601</v>
      </c>
      <c r="E710" s="3">
        <v>8</v>
      </c>
      <c r="F710" s="2">
        <v>9</v>
      </c>
      <c r="G710" t="s">
        <v>513</v>
      </c>
    </row>
    <row r="711" spans="1:7" x14ac:dyDescent="0.25">
      <c r="A711" s="1" t="str">
        <f>"520161"</f>
        <v>520161</v>
      </c>
      <c r="B711" s="2" t="str">
        <f>"AMPERIMETRO FM96 ESC. 5/10A ESC. 1500/3000/5A"</f>
        <v>AMPERIMETRO FM96 ESC. 5/10A ESC. 1500/3000/5A</v>
      </c>
      <c r="C711" s="2" t="str">
        <f t="shared" si="27"/>
        <v>UN</v>
      </c>
      <c r="D711" s="7">
        <v>811</v>
      </c>
      <c r="E711" s="3">
        <v>10</v>
      </c>
      <c r="F711" s="2">
        <v>0</v>
      </c>
      <c r="G711" t="s">
        <v>513</v>
      </c>
    </row>
    <row r="712" spans="1:7" x14ac:dyDescent="0.25">
      <c r="A712" s="1" t="str">
        <f>"525486"</f>
        <v>525486</v>
      </c>
      <c r="B712" s="2" t="str">
        <f>"AMPERIMETRO KRON 600A PARA 5A"</f>
        <v>AMPERIMETRO KRON 600A PARA 5A</v>
      </c>
      <c r="C712" s="2" t="str">
        <f t="shared" si="27"/>
        <v>UN</v>
      </c>
      <c r="D712" s="7">
        <v>600</v>
      </c>
      <c r="E712" s="3">
        <v>8</v>
      </c>
      <c r="F712" s="2">
        <v>0</v>
      </c>
      <c r="G712" t="s">
        <v>512</v>
      </c>
    </row>
    <row r="713" spans="1:7" x14ac:dyDescent="0.25">
      <c r="A713" s="1" t="str">
        <f>"510240"</f>
        <v>510240</v>
      </c>
      <c r="B713" s="2" t="str">
        <f>"AMPICILINA 500MG C/21"</f>
        <v>AMPICILINA 500MG C/21</v>
      </c>
      <c r="C713" s="2" t="str">
        <f t="shared" si="27"/>
        <v>UN</v>
      </c>
      <c r="D713" s="7">
        <v>402</v>
      </c>
      <c r="E713" s="3">
        <v>4</v>
      </c>
      <c r="F713" s="2">
        <v>2</v>
      </c>
      <c r="G713" t="s">
        <v>513</v>
      </c>
    </row>
    <row r="714" spans="1:7" x14ac:dyDescent="0.25">
      <c r="A714" s="1" t="str">
        <f>"525429"</f>
        <v>525429</v>
      </c>
      <c r="B714" s="2" t="str">
        <f>"AMPLIFICADOR HBM MOD. AED9201B"</f>
        <v>AMPLIFICADOR HBM MOD. AED9201B</v>
      </c>
      <c r="C714" s="2" t="str">
        <f>"PC"</f>
        <v>PC</v>
      </c>
      <c r="D714" s="7">
        <v>908</v>
      </c>
      <c r="E714" s="3">
        <v>11</v>
      </c>
      <c r="F714" s="2">
        <v>5</v>
      </c>
      <c r="G714" t="s">
        <v>514</v>
      </c>
    </row>
    <row r="715" spans="1:7" x14ac:dyDescent="0.25">
      <c r="A715" s="1" t="str">
        <f>"512120"</f>
        <v>512120</v>
      </c>
      <c r="B715" s="2" t="str">
        <f>"AN COMPRE CROM MKIII"</f>
        <v>AN COMPRE CROM MKIII</v>
      </c>
      <c r="C715" s="2" t="str">
        <f t="shared" ref="C715:C723" si="28">"UN"</f>
        <v>UN</v>
      </c>
      <c r="D715" s="7">
        <v>909</v>
      </c>
      <c r="E715" s="3">
        <v>11</v>
      </c>
      <c r="F715" s="2">
        <v>6</v>
      </c>
      <c r="G715" t="s">
        <v>515</v>
      </c>
    </row>
    <row r="716" spans="1:7" x14ac:dyDescent="0.25">
      <c r="A716" s="1" t="str">
        <f>"512119"</f>
        <v>512119</v>
      </c>
      <c r="B716" s="2" t="str">
        <f>"AN OL MK II"</f>
        <v>AN OL MK II</v>
      </c>
      <c r="C716" s="2" t="str">
        <f t="shared" si="28"/>
        <v>UN</v>
      </c>
      <c r="D716" s="7">
        <v>909</v>
      </c>
      <c r="E716" s="3">
        <v>11</v>
      </c>
      <c r="F716" s="2">
        <v>9</v>
      </c>
      <c r="G716" t="s">
        <v>512</v>
      </c>
    </row>
    <row r="717" spans="1:7" x14ac:dyDescent="0.25">
      <c r="A717" s="1" t="str">
        <f>"524357"</f>
        <v>524357</v>
      </c>
      <c r="B717" s="2" t="str">
        <f>"ANA. FX GAS. MOD.SENSEPOINT XCL NH3 PN HONSPLCA1BMXCXNZZ"</f>
        <v>ANA. FX GAS. MOD.SENSEPOINT XCL NH3 PN HONSPLCA1BMXCXNZZ</v>
      </c>
      <c r="C717" s="2" t="str">
        <f t="shared" si="28"/>
        <v>UN</v>
      </c>
      <c r="D717" s="7">
        <v>900</v>
      </c>
      <c r="E717" s="3">
        <v>11</v>
      </c>
      <c r="F717" s="2">
        <v>5</v>
      </c>
      <c r="G717" t="s">
        <v>516</v>
      </c>
    </row>
    <row r="718" spans="1:7" x14ac:dyDescent="0.25">
      <c r="A718" s="1" t="str">
        <f>"513631"</f>
        <v>513631</v>
      </c>
      <c r="B718" s="2" t="str">
        <f>"ANAEROCULT - GERADOR DE ANAEROBIOSE MERCK CX 10 UNID."</f>
        <v>ANAEROCULT - GERADOR DE ANAEROBIOSE MERCK CX 10 UNID.</v>
      </c>
      <c r="C718" s="2" t="str">
        <f t="shared" si="28"/>
        <v>UN</v>
      </c>
      <c r="D718" s="7">
        <v>406</v>
      </c>
      <c r="E718" s="3">
        <v>4</v>
      </c>
      <c r="F718" s="2">
        <v>3</v>
      </c>
      <c r="G718" t="s">
        <v>515</v>
      </c>
    </row>
    <row r="719" spans="1:7" x14ac:dyDescent="0.25">
      <c r="A719" s="1" t="str">
        <f>"518013"</f>
        <v>518013</v>
      </c>
      <c r="B719" s="2" t="str">
        <f>"ANALISADOR DE LEITE EKOMILK AC-220"</f>
        <v>ANALISADOR DE LEITE EKOMILK AC-220</v>
      </c>
      <c r="C719" s="2" t="str">
        <f t="shared" si="28"/>
        <v>UN</v>
      </c>
      <c r="D719" s="7">
        <v>811</v>
      </c>
      <c r="E719" s="3">
        <v>8</v>
      </c>
      <c r="F719" s="2">
        <v>3</v>
      </c>
      <c r="G719" t="s">
        <v>514</v>
      </c>
    </row>
    <row r="720" spans="1:7" x14ac:dyDescent="0.25">
      <c r="A720" s="1" t="str">
        <f>"527063"</f>
        <v>527063</v>
      </c>
      <c r="B720" s="2" t="str">
        <f>"ANALISADOR DE UMIDADE C/ LAMPADA HALOGENA MB25 - OHAUS"</f>
        <v>ANALISADOR DE UMIDADE C/ LAMPADA HALOGENA MB25 - OHAUS</v>
      </c>
      <c r="C720" s="2" t="str">
        <f t="shared" si="28"/>
        <v>UN</v>
      </c>
      <c r="D720" s="7">
        <v>1500</v>
      </c>
      <c r="E720" s="3">
        <v>13</v>
      </c>
      <c r="F720" s="2">
        <v>2</v>
      </c>
      <c r="G720" t="s">
        <v>512</v>
      </c>
    </row>
    <row r="721" spans="1:7" x14ac:dyDescent="0.25">
      <c r="A721" s="1" t="str">
        <f>"525008"</f>
        <v>525008</v>
      </c>
      <c r="B721" s="2" t="str">
        <f>"ANALISADOR DE UMIDADE MB27"</f>
        <v>ANALISADOR DE UMIDADE MB27</v>
      </c>
      <c r="C721" s="2" t="str">
        <f t="shared" si="28"/>
        <v>UN</v>
      </c>
      <c r="D721" s="7">
        <v>1500</v>
      </c>
      <c r="E721" s="3">
        <v>13</v>
      </c>
      <c r="F721" s="2">
        <v>1</v>
      </c>
      <c r="G721" t="s">
        <v>513</v>
      </c>
    </row>
    <row r="722" spans="1:7" x14ac:dyDescent="0.25">
      <c r="A722" s="1" t="str">
        <f>"522807"</f>
        <v>522807</v>
      </c>
      <c r="B722" s="8" t="s">
        <v>339</v>
      </c>
      <c r="C722" s="2" t="str">
        <f t="shared" si="28"/>
        <v>UN</v>
      </c>
      <c r="D722" s="7">
        <v>501</v>
      </c>
      <c r="E722" s="3">
        <v>13</v>
      </c>
      <c r="F722" s="2">
        <v>4</v>
      </c>
      <c r="G722" t="s">
        <v>514</v>
      </c>
    </row>
    <row r="723" spans="1:7" x14ac:dyDescent="0.25">
      <c r="A723" s="1" t="str">
        <f>"513134"</f>
        <v>513134</v>
      </c>
      <c r="B723" s="2" t="str">
        <f>"ANASEPTIL 5MUI 500 5UI 635"</f>
        <v>ANASEPTIL 5MUI 500 5UI 635</v>
      </c>
      <c r="C723" s="2" t="str">
        <f t="shared" si="28"/>
        <v>UN</v>
      </c>
      <c r="D723" s="7">
        <v>401</v>
      </c>
      <c r="E723" s="3">
        <v>4</v>
      </c>
      <c r="F723" s="2">
        <v>1</v>
      </c>
      <c r="G723" t="s">
        <v>514</v>
      </c>
    </row>
    <row r="724" spans="1:7" x14ac:dyDescent="0.25">
      <c r="A724" s="1" t="str">
        <f>"503150"</f>
        <v>503150</v>
      </c>
      <c r="B724" s="2" t="str">
        <f>"ANCORA P/ VALVULA ASCO SRC-222-A49"</f>
        <v>ANCORA P/ VALVULA ASCO SRC-222-A49</v>
      </c>
      <c r="C724" s="2" t="str">
        <f>"BR"</f>
        <v>BR</v>
      </c>
      <c r="D724" s="7">
        <v>808</v>
      </c>
      <c r="E724" s="3">
        <v>10</v>
      </c>
      <c r="F724" s="2">
        <v>2</v>
      </c>
      <c r="G724" t="s">
        <v>512</v>
      </c>
    </row>
    <row r="725" spans="1:7" x14ac:dyDescent="0.25">
      <c r="A725" s="1" t="str">
        <f>"502843"</f>
        <v>502843</v>
      </c>
      <c r="B725" s="2" t="str">
        <f>"ANCORA P/ VALVULA FESTO MFB-5-1/4 101006"</f>
        <v>ANCORA P/ VALVULA FESTO MFB-5-1/4 101006</v>
      </c>
      <c r="C725" s="2" t="str">
        <f>"UN"</f>
        <v>UN</v>
      </c>
      <c r="D725" s="7">
        <v>808</v>
      </c>
      <c r="E725" s="3">
        <v>10</v>
      </c>
      <c r="F725" s="2">
        <v>7</v>
      </c>
      <c r="G725" t="s">
        <v>513</v>
      </c>
    </row>
    <row r="726" spans="1:7" x14ac:dyDescent="0.25">
      <c r="A726" s="1" t="str">
        <f>"503059"</f>
        <v>503059</v>
      </c>
      <c r="B726" s="2" t="str">
        <f>"ANCORA P/ VALVULA FESTO MFH-5-1/8 (9982)"</f>
        <v>ANCORA P/ VALVULA FESTO MFH-5-1/8 (9982)</v>
      </c>
      <c r="C726" s="2" t="str">
        <f>"BR"</f>
        <v>BR</v>
      </c>
      <c r="D726" s="7">
        <v>808</v>
      </c>
      <c r="E726" s="3">
        <v>10</v>
      </c>
      <c r="F726" s="2">
        <v>9</v>
      </c>
      <c r="G726" t="s">
        <v>514</v>
      </c>
    </row>
    <row r="727" spans="1:7" x14ac:dyDescent="0.25">
      <c r="A727" s="1" t="str">
        <f>"522884"</f>
        <v>522884</v>
      </c>
      <c r="B727" s="8" t="s">
        <v>350</v>
      </c>
      <c r="C727" s="2" t="str">
        <f t="shared" ref="C727:C768" si="29">"UN"</f>
        <v>UN</v>
      </c>
      <c r="D727" s="7">
        <v>918</v>
      </c>
      <c r="E727" s="3">
        <v>10</v>
      </c>
      <c r="F727" s="2">
        <v>0</v>
      </c>
      <c r="G727" t="s">
        <v>514</v>
      </c>
    </row>
    <row r="728" spans="1:7" x14ac:dyDescent="0.25">
      <c r="A728" s="1" t="str">
        <f>"524685"</f>
        <v>524685</v>
      </c>
      <c r="B728" s="2" t="str">
        <f>"ANCORA SUSPENSÃO LODESTAR V2 1 A 2T 84311090"</f>
        <v>ANCORA SUSPENSÃO LODESTAR V2 1 A 2T 84311090</v>
      </c>
      <c r="C728" s="2" t="str">
        <f t="shared" si="29"/>
        <v>UN</v>
      </c>
      <c r="D728" s="7">
        <v>918</v>
      </c>
      <c r="E728" s="3">
        <v>10</v>
      </c>
      <c r="F728" s="2">
        <v>0</v>
      </c>
      <c r="G728" t="s">
        <v>514</v>
      </c>
    </row>
    <row r="729" spans="1:7" x14ac:dyDescent="0.25">
      <c r="A729" s="1" t="str">
        <f>"504127"</f>
        <v>504127</v>
      </c>
      <c r="B729" s="2" t="str">
        <f>"ANCORA TUBO GUIA MICRO REF.0.200.000.543"</f>
        <v>ANCORA TUBO GUIA MICRO REF.0.200.000.543</v>
      </c>
      <c r="C729" s="2" t="str">
        <f t="shared" si="29"/>
        <v>UN</v>
      </c>
      <c r="D729" s="7">
        <v>808</v>
      </c>
      <c r="E729" s="3">
        <v>10</v>
      </c>
      <c r="F729" s="2">
        <v>4</v>
      </c>
      <c r="G729" t="s">
        <v>513</v>
      </c>
    </row>
    <row r="730" spans="1:7" x14ac:dyDescent="0.25">
      <c r="A730" s="1" t="str">
        <f>"527929"</f>
        <v>527929</v>
      </c>
      <c r="B730" s="2" t="str">
        <f>"ANCORAGEM INTERMEDIARIA RETA"</f>
        <v>ANCORAGEM INTERMEDIARIA RETA</v>
      </c>
      <c r="C730" s="2" t="str">
        <f t="shared" si="29"/>
        <v>UN</v>
      </c>
      <c r="D730" s="7">
        <v>917</v>
      </c>
      <c r="E730" s="3">
        <v>10</v>
      </c>
      <c r="F730" s="2">
        <v>1</v>
      </c>
      <c r="G730" t="s">
        <v>512</v>
      </c>
    </row>
    <row r="731" spans="1:7" x14ac:dyDescent="0.25">
      <c r="A731" s="1" t="str">
        <f>"527930"</f>
        <v>527930</v>
      </c>
      <c r="B731" s="2" t="str">
        <f>"ANCORAGEM LL INOX 304L (NBR 16325-2C)"</f>
        <v>ANCORAGEM LL INOX 304L (NBR 16325-2C)</v>
      </c>
      <c r="C731" s="2" t="str">
        <f t="shared" si="29"/>
        <v>UN</v>
      </c>
      <c r="D731" s="7">
        <v>917</v>
      </c>
      <c r="E731" s="3">
        <v>10</v>
      </c>
      <c r="F731" s="2">
        <v>2</v>
      </c>
      <c r="G731" t="s">
        <v>513</v>
      </c>
    </row>
    <row r="732" spans="1:7" x14ac:dyDescent="0.25">
      <c r="A732" s="1" t="str">
        <f>"514067"</f>
        <v>514067</v>
      </c>
      <c r="B732" s="2" t="str">
        <f>"ANEL"</f>
        <v>ANEL</v>
      </c>
      <c r="C732" s="2" t="str">
        <f t="shared" si="29"/>
        <v>UN</v>
      </c>
      <c r="D732" s="7">
        <v>704</v>
      </c>
      <c r="E732" s="3">
        <v>9</v>
      </c>
      <c r="F732" s="2">
        <v>7</v>
      </c>
      <c r="G732" t="s">
        <v>514</v>
      </c>
    </row>
    <row r="733" spans="1:7" x14ac:dyDescent="0.25">
      <c r="A733" s="1" t="str">
        <f>"527158"</f>
        <v>527158</v>
      </c>
      <c r="B733" s="2" t="str">
        <f>"ANEL 110X3 VITON REF 2829"</f>
        <v>ANEL 110X3 VITON REF 2829</v>
      </c>
      <c r="C733" s="2" t="str">
        <f t="shared" si="29"/>
        <v>UN</v>
      </c>
      <c r="D733" s="7">
        <v>99999</v>
      </c>
      <c r="E733" s="3">
        <v>99</v>
      </c>
      <c r="F733" s="2">
        <v>9</v>
      </c>
      <c r="G733" t="s">
        <v>514</v>
      </c>
    </row>
    <row r="734" spans="1:7" x14ac:dyDescent="0.25">
      <c r="A734" s="1" t="str">
        <f>"512235"</f>
        <v>512235</v>
      </c>
      <c r="B734" s="2" t="str">
        <f>"ANEL 215907"</f>
        <v>ANEL 215907</v>
      </c>
      <c r="C734" s="2" t="str">
        <f t="shared" si="29"/>
        <v>UN</v>
      </c>
      <c r="D734" s="7">
        <v>909</v>
      </c>
      <c r="E734" s="3">
        <v>11</v>
      </c>
      <c r="F734" s="5">
        <v>5</v>
      </c>
      <c r="G734" t="s">
        <v>514</v>
      </c>
    </row>
    <row r="735" spans="1:7" x14ac:dyDescent="0.25">
      <c r="A735" s="1" t="str">
        <f>"512221"</f>
        <v>512221</v>
      </c>
      <c r="B735" s="2" t="str">
        <f>"ANEL 215909"</f>
        <v>ANEL 215909</v>
      </c>
      <c r="C735" s="2" t="str">
        <f t="shared" si="29"/>
        <v>UN</v>
      </c>
      <c r="D735" s="7">
        <v>909</v>
      </c>
      <c r="E735" s="3">
        <v>11</v>
      </c>
      <c r="F735" s="2">
        <v>3</v>
      </c>
      <c r="G735" t="s">
        <v>513</v>
      </c>
    </row>
    <row r="736" spans="1:7" x14ac:dyDescent="0.25">
      <c r="A736" s="1" t="str">
        <f>"527898"</f>
        <v>527898</v>
      </c>
      <c r="B736" s="2" t="str">
        <f>"ANEL 4.3/8X4.5/8 NITRILICO"</f>
        <v>ANEL 4.3/8X4.5/8 NITRILICO</v>
      </c>
      <c r="C736" s="2" t="str">
        <f t="shared" si="29"/>
        <v>UN</v>
      </c>
      <c r="D736" s="7">
        <v>812</v>
      </c>
      <c r="E736" s="3">
        <v>10</v>
      </c>
      <c r="F736" s="2">
        <v>8</v>
      </c>
      <c r="G736" t="s">
        <v>513</v>
      </c>
    </row>
    <row r="737" spans="1:7" x14ac:dyDescent="0.25">
      <c r="A737" s="1" t="str">
        <f>"526938"</f>
        <v>526938</v>
      </c>
      <c r="B737" s="2" t="str">
        <f>"ANEL 5.7/8X6 1/8 NITRILICO"</f>
        <v>ANEL 5.7/8X6 1/8 NITRILICO</v>
      </c>
      <c r="C737" s="2" t="str">
        <f t="shared" si="29"/>
        <v>UN</v>
      </c>
      <c r="D737" s="7">
        <v>812</v>
      </c>
      <c r="E737" s="3">
        <v>10</v>
      </c>
      <c r="F737" s="2">
        <v>6</v>
      </c>
      <c r="G737" t="s">
        <v>513</v>
      </c>
    </row>
    <row r="738" spans="1:7" x14ac:dyDescent="0.25">
      <c r="A738" s="1" t="str">
        <f>"526939"</f>
        <v>526939</v>
      </c>
      <c r="B738" s="2" t="str">
        <f>"ANEL 6X6 1/4 NITRILICO"</f>
        <v>ANEL 6X6 1/4 NITRILICO</v>
      </c>
      <c r="C738" s="2" t="str">
        <f t="shared" si="29"/>
        <v>UN</v>
      </c>
      <c r="D738" s="7">
        <v>812</v>
      </c>
      <c r="E738" s="3">
        <v>10</v>
      </c>
      <c r="F738" s="2">
        <v>4</v>
      </c>
      <c r="G738" t="s">
        <v>512</v>
      </c>
    </row>
    <row r="739" spans="1:7" x14ac:dyDescent="0.25">
      <c r="A739" s="1" t="str">
        <f>"527241"</f>
        <v>527241</v>
      </c>
      <c r="B739" s="8" t="s">
        <v>491</v>
      </c>
      <c r="C739" s="2" t="str">
        <f t="shared" si="29"/>
        <v>UN</v>
      </c>
      <c r="D739" s="7">
        <v>918</v>
      </c>
      <c r="E739" s="3">
        <v>11</v>
      </c>
      <c r="F739" s="2">
        <v>1</v>
      </c>
      <c r="G739" t="s">
        <v>513</v>
      </c>
    </row>
    <row r="740" spans="1:7" x14ac:dyDescent="0.25">
      <c r="A740" s="1" t="str">
        <f>"512783"</f>
        <v>512783</v>
      </c>
      <c r="B740" s="2" t="str">
        <f>"ANEL ALOJAMENTO SEDE PRIMARIA 801565 APV CUBE 4600 APF-8529"</f>
        <v>ANEL ALOJAMENTO SEDE PRIMARIA 801565 APV CUBE 4600 APF-8529</v>
      </c>
      <c r="C740" s="2" t="str">
        <f t="shared" si="29"/>
        <v>UN</v>
      </c>
      <c r="D740" s="7">
        <v>918</v>
      </c>
      <c r="E740" s="3">
        <v>11</v>
      </c>
      <c r="F740" s="2">
        <v>2</v>
      </c>
      <c r="G740" t="s">
        <v>514</v>
      </c>
    </row>
    <row r="741" spans="1:7" x14ac:dyDescent="0.25">
      <c r="A741" s="1" t="str">
        <f>"514024"</f>
        <v>514024</v>
      </c>
      <c r="B741" s="2" t="str">
        <f>"ANEL ALUMINIO"</f>
        <v>ANEL ALUMINIO</v>
      </c>
      <c r="C741" s="2" t="str">
        <f t="shared" si="29"/>
        <v>UN</v>
      </c>
      <c r="D741" s="7">
        <v>704</v>
      </c>
      <c r="E741" s="3">
        <v>9</v>
      </c>
      <c r="F741" s="2">
        <v>7</v>
      </c>
      <c r="G741" t="s">
        <v>515</v>
      </c>
    </row>
    <row r="742" spans="1:7" x14ac:dyDescent="0.25">
      <c r="A742" s="1" t="str">
        <f>"516656"</f>
        <v>516656</v>
      </c>
      <c r="B742" s="2" t="str">
        <f>"ANEL APC-1274 RANNIE 132T-70.140 APF-8570"</f>
        <v>ANEL APC-1274 RANNIE 132T-70.140 APF-8570</v>
      </c>
      <c r="C742" s="2" t="str">
        <f t="shared" si="29"/>
        <v>UN</v>
      </c>
      <c r="D742" s="7">
        <v>918</v>
      </c>
      <c r="E742" s="3">
        <v>11</v>
      </c>
      <c r="F742" s="2">
        <v>9</v>
      </c>
      <c r="G742" t="s">
        <v>512</v>
      </c>
    </row>
    <row r="743" spans="1:7" x14ac:dyDescent="0.25">
      <c r="A743" s="1" t="str">
        <f>"516652"</f>
        <v>516652</v>
      </c>
      <c r="B743" s="2" t="str">
        <f>"ANEL APC-3135 RANNIE 132T-70.140 APF-8918"</f>
        <v>ANEL APC-3135 RANNIE 132T-70.140 APF-8918</v>
      </c>
      <c r="C743" s="2" t="str">
        <f t="shared" si="29"/>
        <v>UN</v>
      </c>
      <c r="D743" s="7">
        <v>918</v>
      </c>
      <c r="E743" s="3">
        <v>11</v>
      </c>
      <c r="F743" s="2">
        <v>0</v>
      </c>
      <c r="G743" t="s">
        <v>516</v>
      </c>
    </row>
    <row r="744" spans="1:7" x14ac:dyDescent="0.25">
      <c r="A744" s="1" t="str">
        <f>"516648"</f>
        <v>516648</v>
      </c>
      <c r="B744" s="2" t="str">
        <f>"ANEL APC-8742 RANNIE 132T-70.140 APF-9263"</f>
        <v>ANEL APC-8742 RANNIE 132T-70.140 APF-9263</v>
      </c>
      <c r="C744" s="2" t="str">
        <f t="shared" si="29"/>
        <v>UN</v>
      </c>
      <c r="D744" s="7">
        <v>918</v>
      </c>
      <c r="E744" s="3">
        <v>11</v>
      </c>
      <c r="F744" s="2">
        <v>0</v>
      </c>
      <c r="G744" t="s">
        <v>515</v>
      </c>
    </row>
    <row r="745" spans="1:7" x14ac:dyDescent="0.25">
      <c r="A745" s="1" t="str">
        <f>"517016"</f>
        <v>517016</v>
      </c>
      <c r="B745" s="2" t="str">
        <f>"ANEL APERTO SM B NE 80 AISI 316"</f>
        <v>ANEL APERTO SM B NE 80 AISI 316</v>
      </c>
      <c r="C745" s="2" t="str">
        <f t="shared" si="29"/>
        <v>UN</v>
      </c>
      <c r="D745" s="7">
        <v>909</v>
      </c>
      <c r="E745" s="3">
        <v>11</v>
      </c>
      <c r="F745" s="2">
        <v>2</v>
      </c>
      <c r="G745" t="s">
        <v>514</v>
      </c>
    </row>
    <row r="746" spans="1:7" x14ac:dyDescent="0.25">
      <c r="A746" s="1" t="str">
        <f>"527049"</f>
        <v>527049</v>
      </c>
      <c r="B746" s="2" t="str">
        <f>"ANEL ASSEGURADOR P/ EIXO QDD 1.1/2E 40MM"</f>
        <v>ANEL ASSEGURADOR P/ EIXO QDD 1.1/2E 40MM</v>
      </c>
      <c r="C746" s="2" t="str">
        <f t="shared" si="29"/>
        <v>UN</v>
      </c>
      <c r="D746" s="7">
        <v>918</v>
      </c>
      <c r="E746" s="3">
        <v>11</v>
      </c>
      <c r="F746" s="2">
        <v>5</v>
      </c>
      <c r="G746" t="s">
        <v>512</v>
      </c>
    </row>
    <row r="747" spans="1:7" x14ac:dyDescent="0.25">
      <c r="A747" s="1" t="str">
        <f>"512099"</f>
        <v>512099</v>
      </c>
      <c r="B747" s="2" t="str">
        <f>"ANEL BLOCO S-37 D2012 BORRACHA NITRILICA"</f>
        <v>ANEL BLOCO S-37 D2012 BORRACHA NITRILICA</v>
      </c>
      <c r="C747" s="2" t="str">
        <f t="shared" si="29"/>
        <v>UN</v>
      </c>
      <c r="D747" s="7">
        <v>909</v>
      </c>
      <c r="E747" s="3">
        <v>11</v>
      </c>
      <c r="F747" s="2">
        <v>6</v>
      </c>
      <c r="G747" t="s">
        <v>513</v>
      </c>
    </row>
    <row r="748" spans="1:7" x14ac:dyDescent="0.25">
      <c r="A748" s="1" t="str">
        <f>"516303"</f>
        <v>516303</v>
      </c>
      <c r="B748" s="2" t="str">
        <f>"ANEL BLOCO S-37 D2013 BORRACHA NITRILICA"</f>
        <v>ANEL BLOCO S-37 D2013 BORRACHA NITRILICA</v>
      </c>
      <c r="C748" s="2" t="str">
        <f t="shared" si="29"/>
        <v>UN</v>
      </c>
      <c r="D748" s="7">
        <v>909</v>
      </c>
      <c r="E748" s="3">
        <v>11</v>
      </c>
      <c r="F748" s="2">
        <v>9</v>
      </c>
      <c r="G748" t="s">
        <v>514</v>
      </c>
    </row>
    <row r="749" spans="1:7" x14ac:dyDescent="0.25">
      <c r="A749" s="1" t="str">
        <f>"505442"</f>
        <v>505442</v>
      </c>
      <c r="B749" s="2" t="str">
        <f>"ANEL BOMBA INJETORA"</f>
        <v>ANEL BOMBA INJETORA</v>
      </c>
      <c r="C749" s="2" t="str">
        <f t="shared" si="29"/>
        <v>UN</v>
      </c>
      <c r="D749" s="7">
        <v>704</v>
      </c>
      <c r="E749" s="3">
        <v>9</v>
      </c>
      <c r="F749" s="2">
        <v>5</v>
      </c>
      <c r="G749" t="s">
        <v>514</v>
      </c>
    </row>
    <row r="750" spans="1:7" x14ac:dyDescent="0.25">
      <c r="A750" s="1" t="str">
        <f>"505443"</f>
        <v>505443</v>
      </c>
      <c r="B750" s="2" t="str">
        <f>"ANEL BOMBA INJETORA 250CV"</f>
        <v>ANEL BOMBA INJETORA 250CV</v>
      </c>
      <c r="C750" s="2" t="str">
        <f t="shared" si="29"/>
        <v>UN</v>
      </c>
      <c r="D750" s="7">
        <v>704</v>
      </c>
      <c r="E750" s="3">
        <v>9</v>
      </c>
      <c r="F750" s="2">
        <v>3</v>
      </c>
      <c r="G750" t="s">
        <v>512</v>
      </c>
    </row>
    <row r="751" spans="1:7" x14ac:dyDescent="0.25">
      <c r="A751" s="1" t="str">
        <f>"503990"</f>
        <v>503990</v>
      </c>
      <c r="B751" s="2" t="str">
        <f>"ANEL BORRACHA 150MM"</f>
        <v>ANEL BORRACHA 150MM</v>
      </c>
      <c r="C751" s="2" t="str">
        <f t="shared" si="29"/>
        <v>UN</v>
      </c>
      <c r="D751" s="7">
        <v>803</v>
      </c>
      <c r="E751" s="3">
        <v>10</v>
      </c>
      <c r="F751" s="2">
        <v>3</v>
      </c>
      <c r="G751" t="s">
        <v>513</v>
      </c>
    </row>
    <row r="752" spans="1:7" x14ac:dyDescent="0.25">
      <c r="A752" s="1" t="str">
        <f>"523486"</f>
        <v>523486</v>
      </c>
      <c r="B752" s="2" t="str">
        <f>"ANEL BORRACHA 85MM"</f>
        <v>ANEL BORRACHA 85MM</v>
      </c>
      <c r="C752" s="2" t="str">
        <f t="shared" si="29"/>
        <v>UN</v>
      </c>
      <c r="D752" s="7">
        <v>803</v>
      </c>
      <c r="E752" s="3">
        <v>10</v>
      </c>
      <c r="F752" s="2">
        <v>2</v>
      </c>
      <c r="G752" t="s">
        <v>514</v>
      </c>
    </row>
    <row r="753" spans="1:7" x14ac:dyDescent="0.25">
      <c r="A753" s="1" t="str">
        <f>"524822"</f>
        <v>524822</v>
      </c>
      <c r="B753" s="2" t="str">
        <f>"ANEL BORRACHA PBA DN75/DE85MM"</f>
        <v>ANEL BORRACHA PBA DN75/DE85MM</v>
      </c>
      <c r="C753" s="2" t="str">
        <f t="shared" si="29"/>
        <v>UN</v>
      </c>
      <c r="D753" s="7">
        <v>808</v>
      </c>
      <c r="E753" s="3">
        <v>10</v>
      </c>
      <c r="F753" s="2">
        <v>1</v>
      </c>
      <c r="G753" t="s">
        <v>514</v>
      </c>
    </row>
    <row r="754" spans="1:7" x14ac:dyDescent="0.25">
      <c r="A754" s="1" t="str">
        <f>"510409"</f>
        <v>510409</v>
      </c>
      <c r="B754" s="2" t="str">
        <f>"ANEL CADEADO Nº458BBA KSB MEGANORM40-200"</f>
        <v>ANEL CADEADO Nº458BBA KSB MEGANORM40-200</v>
      </c>
      <c r="C754" s="2" t="str">
        <f t="shared" si="29"/>
        <v>UN</v>
      </c>
      <c r="D754" s="7">
        <v>813</v>
      </c>
      <c r="E754" s="3">
        <v>10</v>
      </c>
      <c r="F754" s="2">
        <v>4</v>
      </c>
      <c r="G754" t="s">
        <v>514</v>
      </c>
    </row>
    <row r="755" spans="1:7" x14ac:dyDescent="0.25">
      <c r="A755" s="1" t="str">
        <f>"508474"</f>
        <v>508474</v>
      </c>
      <c r="B755" s="2" t="str">
        <f>"ANEL CAMISA CUMMINS"</f>
        <v>ANEL CAMISA CUMMINS</v>
      </c>
      <c r="C755" s="2" t="str">
        <f t="shared" si="29"/>
        <v>UN</v>
      </c>
      <c r="D755" s="7">
        <v>704</v>
      </c>
      <c r="E755" s="3">
        <v>9</v>
      </c>
      <c r="F755" s="2">
        <v>6</v>
      </c>
      <c r="G755" t="s">
        <v>513</v>
      </c>
    </row>
    <row r="756" spans="1:7" x14ac:dyDescent="0.25">
      <c r="A756" s="1" t="str">
        <f>"508211"</f>
        <v>508211</v>
      </c>
      <c r="B756" s="2" t="str">
        <f>"ANEL CANETA BICOS"</f>
        <v>ANEL CANETA BICOS</v>
      </c>
      <c r="C756" s="2" t="str">
        <f t="shared" si="29"/>
        <v>UN</v>
      </c>
      <c r="D756" s="7">
        <v>704</v>
      </c>
      <c r="E756" s="3">
        <v>9</v>
      </c>
      <c r="F756" s="2">
        <v>8</v>
      </c>
      <c r="G756" t="s">
        <v>512</v>
      </c>
    </row>
    <row r="757" spans="1:7" x14ac:dyDescent="0.25">
      <c r="A757" s="1" t="str">
        <f>"527973"</f>
        <v>527973</v>
      </c>
      <c r="B757" s="2" t="str">
        <f>"ANEL CARCACA EPDM CNC60627 P/ BOMBA C-216"</f>
        <v>ANEL CARCACA EPDM CNC60627 P/ BOMBA C-216</v>
      </c>
      <c r="C757" s="2" t="str">
        <f t="shared" si="29"/>
        <v>UN</v>
      </c>
      <c r="D757" s="7">
        <v>807</v>
      </c>
      <c r="E757" s="3">
        <v>11</v>
      </c>
      <c r="F757" s="2">
        <v>7</v>
      </c>
      <c r="G757" t="s">
        <v>513</v>
      </c>
    </row>
    <row r="758" spans="1:7" x14ac:dyDescent="0.25">
      <c r="A758" s="1" t="str">
        <f>"501249"</f>
        <v>501249</v>
      </c>
      <c r="B758" s="2" t="str">
        <f>"ANEL CARVAO B.POSITIVA PR125-3G-UC4-ST-S"</f>
        <v>ANEL CARVAO B.POSITIVA PR125-3G-UC4-ST-S</v>
      </c>
      <c r="C758" s="2" t="str">
        <f t="shared" si="29"/>
        <v>UN</v>
      </c>
      <c r="D758" s="7">
        <v>909</v>
      </c>
      <c r="E758" s="3">
        <v>11</v>
      </c>
      <c r="F758" s="2">
        <v>6</v>
      </c>
      <c r="G758" t="s">
        <v>514</v>
      </c>
    </row>
    <row r="759" spans="1:7" x14ac:dyDescent="0.25">
      <c r="A759" s="1" t="str">
        <f>"501362"</f>
        <v>501362</v>
      </c>
      <c r="B759" s="2" t="str">
        <f>"ANEL CARVAO C-216 D/F (R312M0002)"</f>
        <v>ANEL CARVAO C-216 D/F (R312M0002)</v>
      </c>
      <c r="C759" s="2" t="str">
        <f t="shared" si="29"/>
        <v>UN</v>
      </c>
      <c r="D759" s="7">
        <v>909</v>
      </c>
      <c r="E759" s="3">
        <v>11</v>
      </c>
      <c r="F759" s="2">
        <v>6</v>
      </c>
      <c r="G759" t="s">
        <v>514</v>
      </c>
    </row>
    <row r="760" spans="1:7" x14ac:dyDescent="0.25">
      <c r="A760" s="1" t="str">
        <f>"501248"</f>
        <v>501248</v>
      </c>
      <c r="B760" s="2" t="str">
        <f>"ANEL CARVAO ROTOR PR/PRE-60/125 B.POSITI"</f>
        <v>ANEL CARVAO ROTOR PR/PRE-60/125 B.POSITI</v>
      </c>
      <c r="C760" s="2" t="str">
        <f t="shared" si="29"/>
        <v>UN</v>
      </c>
      <c r="D760" s="7">
        <v>909</v>
      </c>
      <c r="E760" s="3">
        <v>11</v>
      </c>
      <c r="F760" s="2">
        <v>2</v>
      </c>
      <c r="G760" t="s">
        <v>514</v>
      </c>
    </row>
    <row r="761" spans="1:7" x14ac:dyDescent="0.25">
      <c r="A761" s="1" t="str">
        <f>"512159"</f>
        <v>512159</v>
      </c>
      <c r="B761" s="2" t="str">
        <f>"ANEL CERA 100MM"</f>
        <v>ANEL CERA 100MM</v>
      </c>
      <c r="C761" s="2" t="str">
        <f t="shared" si="29"/>
        <v>UN</v>
      </c>
      <c r="D761" s="7">
        <v>803</v>
      </c>
      <c r="E761" s="3">
        <v>10</v>
      </c>
      <c r="F761" s="2">
        <v>1</v>
      </c>
      <c r="G761" t="s">
        <v>513</v>
      </c>
    </row>
    <row r="762" spans="1:7" x14ac:dyDescent="0.25">
      <c r="A762" s="1" t="str">
        <f>"525184"</f>
        <v>525184</v>
      </c>
      <c r="B762" s="8" t="s">
        <v>441</v>
      </c>
      <c r="C762" s="2" t="str">
        <f t="shared" si="29"/>
        <v>UN</v>
      </c>
      <c r="D762" s="7">
        <v>918</v>
      </c>
      <c r="E762" s="3">
        <v>10</v>
      </c>
      <c r="F762" s="2">
        <v>0</v>
      </c>
      <c r="G762" t="s">
        <v>513</v>
      </c>
    </row>
    <row r="763" spans="1:7" x14ac:dyDescent="0.25">
      <c r="A763" s="1" t="str">
        <f>"525183"</f>
        <v>525183</v>
      </c>
      <c r="B763" s="8" t="s">
        <v>440</v>
      </c>
      <c r="C763" s="2" t="str">
        <f t="shared" si="29"/>
        <v>UN</v>
      </c>
      <c r="D763" s="7">
        <v>918</v>
      </c>
      <c r="E763" s="3">
        <v>10</v>
      </c>
      <c r="F763" s="2">
        <v>0</v>
      </c>
      <c r="G763" t="s">
        <v>513</v>
      </c>
    </row>
    <row r="764" spans="1:7" x14ac:dyDescent="0.25">
      <c r="A764" s="1" t="str">
        <f>"510023"</f>
        <v>510023</v>
      </c>
      <c r="B764" s="2" t="str">
        <f>"ANEL COMPRESSAO 65/CMO 18C65"</f>
        <v>ANEL COMPRESSAO 65/CMO 18C65</v>
      </c>
      <c r="C764" s="2" t="str">
        <f t="shared" si="29"/>
        <v>UN</v>
      </c>
      <c r="D764" s="7">
        <v>909</v>
      </c>
      <c r="E764" s="3">
        <v>11</v>
      </c>
      <c r="F764" s="2">
        <v>0</v>
      </c>
      <c r="G764" t="s">
        <v>512</v>
      </c>
    </row>
    <row r="765" spans="1:7" x14ac:dyDescent="0.25">
      <c r="A765" s="1" t="str">
        <f>"518424"</f>
        <v>518424</v>
      </c>
      <c r="B765" s="2" t="str">
        <f>"ANEL COMPRESSAO CROMADO SMC 100"</f>
        <v>ANEL COMPRESSAO CROMADO SMC 100</v>
      </c>
      <c r="C765" s="2" t="str">
        <f t="shared" si="29"/>
        <v>UN</v>
      </c>
      <c r="D765" s="7">
        <v>918</v>
      </c>
      <c r="E765" s="3">
        <v>11</v>
      </c>
      <c r="F765" s="2">
        <v>3</v>
      </c>
      <c r="G765" t="s">
        <v>513</v>
      </c>
    </row>
    <row r="766" spans="1:7" x14ac:dyDescent="0.25">
      <c r="A766" s="1" t="str">
        <f>"510967"</f>
        <v>510967</v>
      </c>
      <c r="B766" s="2" t="str">
        <f>"ANEL COMPRESSAO NITRETADO SMC 100"</f>
        <v>ANEL COMPRESSAO NITRETADO SMC 100</v>
      </c>
      <c r="C766" s="2" t="str">
        <f t="shared" si="29"/>
        <v>UN</v>
      </c>
      <c r="D766" s="7">
        <v>909</v>
      </c>
      <c r="E766" s="3">
        <v>11</v>
      </c>
      <c r="F766" s="5">
        <v>5</v>
      </c>
      <c r="G766" t="s">
        <v>514</v>
      </c>
    </row>
    <row r="767" spans="1:7" x14ac:dyDescent="0.25">
      <c r="A767" s="1" t="str">
        <f>"507825"</f>
        <v>507825</v>
      </c>
      <c r="B767" s="2" t="str">
        <f>"ANEL COMPRESSAO PRETO 18C100"</f>
        <v>ANEL COMPRESSAO PRETO 18C100</v>
      </c>
      <c r="C767" s="2" t="str">
        <f t="shared" si="29"/>
        <v>UN</v>
      </c>
      <c r="D767" s="7">
        <v>909</v>
      </c>
      <c r="E767" s="3">
        <v>11</v>
      </c>
      <c r="F767" s="2">
        <v>3</v>
      </c>
      <c r="G767" t="s">
        <v>515</v>
      </c>
    </row>
    <row r="768" spans="1:7" x14ac:dyDescent="0.25">
      <c r="A768" s="1" t="str">
        <f>"511825"</f>
        <v>511825</v>
      </c>
      <c r="B768" s="2" t="str">
        <f>"ANEL CORPO BANE 200.4367"</f>
        <v>ANEL CORPO BANE 200.4367</v>
      </c>
      <c r="C768" s="2" t="str">
        <f t="shared" si="29"/>
        <v>UN</v>
      </c>
      <c r="D768" s="7">
        <v>909</v>
      </c>
      <c r="E768" s="3">
        <v>11</v>
      </c>
      <c r="F768" s="2">
        <v>8</v>
      </c>
      <c r="G768" t="s">
        <v>512</v>
      </c>
    </row>
    <row r="769" spans="1:7" x14ac:dyDescent="0.25">
      <c r="A769" s="1" t="str">
        <f>"509610"</f>
        <v>509610</v>
      </c>
      <c r="B769" s="2" t="str">
        <f>"ANEL DA CARCAÇA BCR 600 EPDM"</f>
        <v>ANEL DA CARCAÇA BCR 600 EPDM</v>
      </c>
      <c r="C769" s="2" t="str">
        <f>"PC"</f>
        <v>PC</v>
      </c>
      <c r="D769" s="7">
        <v>909</v>
      </c>
      <c r="E769" s="3">
        <v>11</v>
      </c>
      <c r="F769" s="2">
        <v>6</v>
      </c>
      <c r="G769" t="s">
        <v>516</v>
      </c>
    </row>
    <row r="770" spans="1:7" x14ac:dyDescent="0.25">
      <c r="A770" s="1" t="str">
        <f>"510362"</f>
        <v>510362</v>
      </c>
      <c r="B770" s="2" t="str">
        <f>"ANEL DA CARCAÇA BL-60 Nº7872 HP 7,5"</f>
        <v>ANEL DA CARCAÇA BL-60 Nº7872 HP 7,5</v>
      </c>
      <c r="C770" s="2" t="str">
        <f>"UN"</f>
        <v>UN</v>
      </c>
      <c r="D770" s="7">
        <v>909</v>
      </c>
      <c r="E770" s="3">
        <v>11</v>
      </c>
      <c r="F770" s="2">
        <v>4</v>
      </c>
      <c r="G770" t="s">
        <v>515</v>
      </c>
    </row>
    <row r="771" spans="1:7" x14ac:dyDescent="0.25">
      <c r="A771" s="1" t="str">
        <f>"505397"</f>
        <v>505397</v>
      </c>
      <c r="B771" s="2" t="str">
        <f>"ANEL DA TURBINA"</f>
        <v>ANEL DA TURBINA</v>
      </c>
      <c r="C771" s="2" t="str">
        <f>"UN"</f>
        <v>UN</v>
      </c>
      <c r="D771" s="7">
        <v>704</v>
      </c>
      <c r="E771" s="3">
        <v>9</v>
      </c>
      <c r="F771" s="2">
        <v>1</v>
      </c>
      <c r="G771" t="s">
        <v>514</v>
      </c>
    </row>
    <row r="772" spans="1:7" x14ac:dyDescent="0.25">
      <c r="A772" s="1" t="str">
        <f>"526524"</f>
        <v>526524</v>
      </c>
      <c r="B772" s="2" t="str">
        <f>"ANEL DE DESGASTE 38 (120X110X9,5)"</f>
        <v>ANEL DE DESGASTE 38 (120X110X9,5)</v>
      </c>
      <c r="C772" s="2" t="str">
        <f>"UN"</f>
        <v>UN</v>
      </c>
      <c r="D772" s="7">
        <v>909</v>
      </c>
      <c r="E772" s="3">
        <v>11</v>
      </c>
      <c r="F772" s="2">
        <v>2</v>
      </c>
      <c r="G772" t="s">
        <v>512</v>
      </c>
    </row>
    <row r="773" spans="1:7" x14ac:dyDescent="0.25">
      <c r="A773" s="1" t="str">
        <f>"507755"</f>
        <v>507755</v>
      </c>
      <c r="B773" s="2" t="str">
        <f>"ANEL DE IMPACTO APF0017"</f>
        <v>ANEL DE IMPACTO APF0017</v>
      </c>
      <c r="C773" s="2" t="str">
        <f>"UN"</f>
        <v>UN</v>
      </c>
      <c r="D773" s="7">
        <v>909</v>
      </c>
      <c r="E773" s="3">
        <v>11</v>
      </c>
      <c r="F773" s="2">
        <v>7</v>
      </c>
      <c r="G773" t="s">
        <v>513</v>
      </c>
    </row>
    <row r="774" spans="1:7" x14ac:dyDescent="0.25">
      <c r="A774" s="1" t="str">
        <f>"508693"</f>
        <v>508693</v>
      </c>
      <c r="B774" s="2" t="str">
        <f>"ANEL DE IMPACTO EM STELLITE APF-0017"</f>
        <v>ANEL DE IMPACTO EM STELLITE APF-0017</v>
      </c>
      <c r="C774" s="2" t="str">
        <f>"UN"</f>
        <v>UN</v>
      </c>
      <c r="D774" s="7">
        <v>909</v>
      </c>
      <c r="E774" s="3">
        <v>11</v>
      </c>
      <c r="F774" s="2">
        <v>9</v>
      </c>
      <c r="G774" t="s">
        <v>514</v>
      </c>
    </row>
    <row r="775" spans="1:7" x14ac:dyDescent="0.25">
      <c r="A775" s="1" t="str">
        <f>"510056"</f>
        <v>510056</v>
      </c>
      <c r="B775" s="2" t="str">
        <f>"ANEL DE POLIAMIDA 0007-2967-840"</f>
        <v>ANEL DE POLIAMIDA 0007-2967-840</v>
      </c>
      <c r="C775" s="2" t="str">
        <f>"PC"</f>
        <v>PC</v>
      </c>
      <c r="D775" s="7">
        <v>909</v>
      </c>
      <c r="E775" s="3">
        <v>11</v>
      </c>
      <c r="F775" s="2">
        <v>0</v>
      </c>
      <c r="G775" t="s">
        <v>514</v>
      </c>
    </row>
    <row r="776" spans="1:7" x14ac:dyDescent="0.25">
      <c r="A776" s="1" t="str">
        <f>"507142"</f>
        <v>507142</v>
      </c>
      <c r="B776" s="2" t="str">
        <f>"ANEL DE RETANÇAO COD. 44.1101.110.10"</f>
        <v>ANEL DE RETANÇAO COD. 44.1101.110.10</v>
      </c>
      <c r="C776" s="2" t="str">
        <f t="shared" ref="C776:C807" si="30">"UN"</f>
        <v>UN</v>
      </c>
      <c r="D776" s="7">
        <v>909</v>
      </c>
      <c r="E776" s="3">
        <v>11</v>
      </c>
      <c r="F776" s="2">
        <v>0</v>
      </c>
      <c r="G776" t="s">
        <v>512</v>
      </c>
    </row>
    <row r="777" spans="1:7" x14ac:dyDescent="0.25">
      <c r="A777" s="1" t="str">
        <f>"509030"</f>
        <v>509030</v>
      </c>
      <c r="B777" s="2" t="str">
        <f>"ANEL DE RETENCAO 44.1101.110.10"</f>
        <v>ANEL DE RETENCAO 44.1101.110.10</v>
      </c>
      <c r="C777" s="2" t="str">
        <f t="shared" si="30"/>
        <v>UN</v>
      </c>
      <c r="D777" s="7">
        <v>909</v>
      </c>
      <c r="E777" s="3">
        <v>11</v>
      </c>
      <c r="F777" s="2">
        <v>2</v>
      </c>
      <c r="G777" t="s">
        <v>513</v>
      </c>
    </row>
    <row r="778" spans="1:7" x14ac:dyDescent="0.25">
      <c r="A778" s="1" t="str">
        <f>"509192"</f>
        <v>509192</v>
      </c>
      <c r="B778" s="2" t="str">
        <f>"ANEL DE RETENÇAO P/ EIXO 44.1100.108.08"</f>
        <v>ANEL DE RETENÇAO P/ EIXO 44.1100.108.08</v>
      </c>
      <c r="C778" s="2" t="str">
        <f t="shared" si="30"/>
        <v>UN</v>
      </c>
      <c r="D778" s="7">
        <v>909</v>
      </c>
      <c r="E778" s="3">
        <v>11</v>
      </c>
      <c r="F778" s="2">
        <v>5</v>
      </c>
      <c r="G778" t="s">
        <v>514</v>
      </c>
    </row>
    <row r="779" spans="1:7" x14ac:dyDescent="0.25">
      <c r="A779" s="1" t="str">
        <f>"520027"</f>
        <v>520027</v>
      </c>
      <c r="B779" s="2" t="str">
        <f>"ANEL DE SEGURANCA NE 80A 316 867716 NETZSCH"</f>
        <v>ANEL DE SEGURANCA NE 80A 316 867716 NETZSCH</v>
      </c>
      <c r="C779" s="2" t="str">
        <f t="shared" si="30"/>
        <v>UN</v>
      </c>
      <c r="D779" s="7">
        <v>918</v>
      </c>
      <c r="E779" s="3">
        <v>11</v>
      </c>
      <c r="F779" s="2">
        <v>6</v>
      </c>
      <c r="G779" t="s">
        <v>514</v>
      </c>
    </row>
    <row r="780" spans="1:7" x14ac:dyDescent="0.25">
      <c r="A780" s="1" t="str">
        <f>"526814"</f>
        <v>526814</v>
      </c>
      <c r="B780" s="2" t="str">
        <f>"ANEL DE VED. DO LIQUIVERTER EM EPDM P717836"</f>
        <v>ANEL DE VED. DO LIQUIVERTER EM EPDM P717836</v>
      </c>
      <c r="C780" s="2" t="str">
        <f t="shared" si="30"/>
        <v>UN</v>
      </c>
      <c r="D780" s="7">
        <v>909</v>
      </c>
      <c r="E780" s="3">
        <v>11</v>
      </c>
      <c r="F780" s="2">
        <v>9</v>
      </c>
      <c r="G780" t="s">
        <v>514</v>
      </c>
    </row>
    <row r="781" spans="1:7" x14ac:dyDescent="0.25">
      <c r="A781" s="1" t="str">
        <f>"510702"</f>
        <v>510702</v>
      </c>
      <c r="B781" s="2" t="str">
        <f>"ANEL DE VEDAÇAO 0007-1942-750"</f>
        <v>ANEL DE VEDAÇAO 0007-1942-750</v>
      </c>
      <c r="C781" s="2" t="str">
        <f t="shared" si="30"/>
        <v>UN</v>
      </c>
      <c r="D781" s="7">
        <v>909</v>
      </c>
      <c r="E781" s="3">
        <v>11</v>
      </c>
      <c r="F781" s="2">
        <v>5</v>
      </c>
      <c r="G781" t="s">
        <v>513</v>
      </c>
    </row>
    <row r="782" spans="1:7" x14ac:dyDescent="0.25">
      <c r="A782" s="1" t="str">
        <f>"510052"</f>
        <v>510052</v>
      </c>
      <c r="B782" s="2" t="str">
        <f>"ANEL DE VEDAÇAO 0007-2501-750"</f>
        <v>ANEL DE VEDAÇAO 0007-2501-750</v>
      </c>
      <c r="C782" s="2" t="str">
        <f t="shared" si="30"/>
        <v>UN</v>
      </c>
      <c r="D782" s="7">
        <v>909</v>
      </c>
      <c r="E782" s="3">
        <v>11</v>
      </c>
      <c r="F782" s="2">
        <v>3</v>
      </c>
      <c r="G782" t="s">
        <v>512</v>
      </c>
    </row>
    <row r="783" spans="1:7" x14ac:dyDescent="0.25">
      <c r="A783" s="1" t="str">
        <f>"510058"</f>
        <v>510058</v>
      </c>
      <c r="B783" s="2" t="str">
        <f>"ANEL DE VEDAÇAO 0007-2555-750"</f>
        <v>ANEL DE VEDAÇAO 0007-2555-750</v>
      </c>
      <c r="C783" s="2" t="str">
        <f t="shared" si="30"/>
        <v>UN</v>
      </c>
      <c r="D783" s="7">
        <v>909</v>
      </c>
      <c r="E783" s="3">
        <v>11</v>
      </c>
      <c r="F783" s="2">
        <v>3</v>
      </c>
      <c r="G783" t="s">
        <v>513</v>
      </c>
    </row>
    <row r="784" spans="1:7" x14ac:dyDescent="0.25">
      <c r="A784" s="1" t="str">
        <f>"510055"</f>
        <v>510055</v>
      </c>
      <c r="B784" s="2" t="str">
        <f>"ANEL DE VEDAÇAO 0007-2631-750"</f>
        <v>ANEL DE VEDAÇAO 0007-2631-750</v>
      </c>
      <c r="C784" s="2" t="str">
        <f t="shared" si="30"/>
        <v>UN</v>
      </c>
      <c r="D784" s="7">
        <v>909</v>
      </c>
      <c r="E784" s="3">
        <v>11</v>
      </c>
      <c r="F784" s="2">
        <v>2</v>
      </c>
      <c r="G784" t="s">
        <v>514</v>
      </c>
    </row>
    <row r="785" spans="1:7" x14ac:dyDescent="0.25">
      <c r="A785" s="1" t="str">
        <f>"510057"</f>
        <v>510057</v>
      </c>
      <c r="B785" s="2" t="str">
        <f>"ANEL DE VEDAÇAO 0007-2640-750"</f>
        <v>ANEL DE VEDAÇAO 0007-2640-750</v>
      </c>
      <c r="C785" s="2" t="str">
        <f t="shared" si="30"/>
        <v>UN</v>
      </c>
      <c r="D785" s="7">
        <v>909</v>
      </c>
      <c r="E785" s="3">
        <v>11</v>
      </c>
      <c r="F785" s="2">
        <v>1</v>
      </c>
      <c r="G785" t="s">
        <v>514</v>
      </c>
    </row>
    <row r="786" spans="1:7" x14ac:dyDescent="0.25">
      <c r="A786" s="1" t="str">
        <f>"510784"</f>
        <v>510784</v>
      </c>
      <c r="B786" s="2" t="str">
        <f>"ANEL DE VEDAÇAO 0007-2920-760"</f>
        <v>ANEL DE VEDAÇAO 0007-2920-760</v>
      </c>
      <c r="C786" s="2" t="str">
        <f t="shared" si="30"/>
        <v>UN</v>
      </c>
      <c r="D786" s="7">
        <v>909</v>
      </c>
      <c r="E786" s="3">
        <v>11</v>
      </c>
      <c r="F786" s="2">
        <v>4</v>
      </c>
      <c r="G786" t="s">
        <v>514</v>
      </c>
    </row>
    <row r="787" spans="1:7" x14ac:dyDescent="0.25">
      <c r="A787" s="1" t="str">
        <f>"512981"</f>
        <v>512981</v>
      </c>
      <c r="B787" s="2" t="str">
        <f>"ANEL DE VEDAÇAO 10 X 1,5MM"</f>
        <v>ANEL DE VEDAÇAO 10 X 1,5MM</v>
      </c>
      <c r="C787" s="2" t="str">
        <f t="shared" si="30"/>
        <v>UN</v>
      </c>
      <c r="D787" s="7">
        <v>909</v>
      </c>
      <c r="E787" s="3">
        <v>11</v>
      </c>
      <c r="F787" s="2">
        <v>1</v>
      </c>
      <c r="G787" t="s">
        <v>513</v>
      </c>
    </row>
    <row r="788" spans="1:7" x14ac:dyDescent="0.25">
      <c r="A788" s="1" t="str">
        <f>"507006"</f>
        <v>507006</v>
      </c>
      <c r="B788" s="2" t="str">
        <f>"ANEL DE VEDAÇAO 10 X 2,5MM COD. 2156"</f>
        <v>ANEL DE VEDAÇAO 10 X 2,5MM COD. 2156</v>
      </c>
      <c r="C788" s="2" t="str">
        <f t="shared" si="30"/>
        <v>UN</v>
      </c>
      <c r="D788" s="7">
        <v>909</v>
      </c>
      <c r="E788" s="3">
        <v>11</v>
      </c>
      <c r="F788" s="2">
        <v>2</v>
      </c>
      <c r="G788" t="s">
        <v>513</v>
      </c>
    </row>
    <row r="789" spans="1:7" x14ac:dyDescent="0.25">
      <c r="A789" s="1" t="str">
        <f>"516513"</f>
        <v>516513</v>
      </c>
      <c r="B789" s="2" t="str">
        <f>"ANEL DE VEDAÇAO 10 X 3MM"</f>
        <v>ANEL DE VEDAÇAO 10 X 3MM</v>
      </c>
      <c r="C789" s="2" t="str">
        <f t="shared" si="30"/>
        <v>UN</v>
      </c>
      <c r="D789" s="7">
        <v>909</v>
      </c>
      <c r="E789" s="3">
        <v>11</v>
      </c>
      <c r="F789" s="2">
        <v>7</v>
      </c>
      <c r="G789" t="s">
        <v>513</v>
      </c>
    </row>
    <row r="790" spans="1:7" x14ac:dyDescent="0.25">
      <c r="A790" s="1" t="str">
        <f>"518872"</f>
        <v>518872</v>
      </c>
      <c r="B790" s="2" t="str">
        <f>"ANEL DE VEDAÇAO 10,8 X 1,78MM"</f>
        <v>ANEL DE VEDAÇAO 10,8 X 1,78MM</v>
      </c>
      <c r="C790" s="2" t="str">
        <f t="shared" si="30"/>
        <v>UN</v>
      </c>
      <c r="D790" s="7">
        <v>909</v>
      </c>
      <c r="E790" s="3">
        <v>11</v>
      </c>
      <c r="F790" s="2">
        <v>9</v>
      </c>
      <c r="G790" t="s">
        <v>512</v>
      </c>
    </row>
    <row r="791" spans="1:7" x14ac:dyDescent="0.25">
      <c r="A791" s="1" t="str">
        <f>"511177"</f>
        <v>511177</v>
      </c>
      <c r="B791" s="2" t="str">
        <f>"ANEL DE VEDAÇAO 11 X 1,5MM"</f>
        <v>ANEL DE VEDAÇAO 11 X 1,5MM</v>
      </c>
      <c r="C791" s="2" t="str">
        <f t="shared" si="30"/>
        <v>UN</v>
      </c>
      <c r="D791" s="7">
        <v>909</v>
      </c>
      <c r="E791" s="3">
        <v>11</v>
      </c>
      <c r="F791" s="2">
        <v>0</v>
      </c>
      <c r="G791" t="s">
        <v>513</v>
      </c>
    </row>
    <row r="792" spans="1:7" x14ac:dyDescent="0.25">
      <c r="A792" s="1" t="str">
        <f>"512357"</f>
        <v>512357</v>
      </c>
      <c r="B792" s="2" t="str">
        <f>"ANEL DE VEDAÇAO 12 X 3MM"</f>
        <v>ANEL DE VEDAÇAO 12 X 3MM</v>
      </c>
      <c r="C792" s="2" t="str">
        <f t="shared" si="30"/>
        <v>UN</v>
      </c>
      <c r="D792" s="7">
        <v>909</v>
      </c>
      <c r="E792" s="3">
        <v>11</v>
      </c>
      <c r="F792" s="2">
        <v>0</v>
      </c>
      <c r="G792" t="s">
        <v>514</v>
      </c>
    </row>
    <row r="793" spans="1:7" x14ac:dyDescent="0.25">
      <c r="A793" s="1" t="str">
        <f>"511178"</f>
        <v>511178</v>
      </c>
      <c r="B793" s="2" t="str">
        <f>"ANEL DE VEDAÇAO 12 X 4MM"</f>
        <v>ANEL DE VEDAÇAO 12 X 4MM</v>
      </c>
      <c r="C793" s="2" t="str">
        <f t="shared" si="30"/>
        <v>UN</v>
      </c>
      <c r="D793" s="7">
        <v>909</v>
      </c>
      <c r="E793" s="3">
        <v>11</v>
      </c>
      <c r="F793" s="2">
        <v>4</v>
      </c>
      <c r="G793" t="s">
        <v>515</v>
      </c>
    </row>
    <row r="794" spans="1:7" x14ac:dyDescent="0.25">
      <c r="A794" s="1" t="str">
        <f>"517071"</f>
        <v>517071</v>
      </c>
      <c r="B794" s="2" t="str">
        <f>"ANEL DE VEDAÇAO 13 X 2MM"</f>
        <v>ANEL DE VEDAÇAO 13 X 2MM</v>
      </c>
      <c r="C794" s="2" t="str">
        <f t="shared" si="30"/>
        <v>UN</v>
      </c>
      <c r="D794" s="7">
        <v>909</v>
      </c>
      <c r="E794" s="3">
        <v>11</v>
      </c>
      <c r="F794" s="2">
        <v>1</v>
      </c>
      <c r="G794" t="s">
        <v>512</v>
      </c>
    </row>
    <row r="795" spans="1:7" x14ac:dyDescent="0.25">
      <c r="A795" s="1" t="str">
        <f>"501180"</f>
        <v>501180</v>
      </c>
      <c r="B795" s="2" t="str">
        <f>"ANEL DE VEDAÇAO 13 X 4MM"</f>
        <v>ANEL DE VEDAÇAO 13 X 4MM</v>
      </c>
      <c r="C795" s="2" t="str">
        <f t="shared" si="30"/>
        <v>UN</v>
      </c>
      <c r="D795" s="7">
        <v>909</v>
      </c>
      <c r="E795" s="3">
        <v>11</v>
      </c>
      <c r="F795" s="2">
        <v>2</v>
      </c>
      <c r="G795" t="s">
        <v>516</v>
      </c>
    </row>
    <row r="796" spans="1:7" x14ac:dyDescent="0.25">
      <c r="A796" s="1" t="str">
        <f>"511180"</f>
        <v>511180</v>
      </c>
      <c r="B796" s="2" t="str">
        <f>"ANEL DE VEDAÇAO 14 X 3,3MM"</f>
        <v>ANEL DE VEDAÇAO 14 X 3,3MM</v>
      </c>
      <c r="C796" s="2" t="str">
        <f t="shared" si="30"/>
        <v>UN</v>
      </c>
      <c r="D796" s="7">
        <v>909</v>
      </c>
      <c r="E796" s="3">
        <v>11</v>
      </c>
      <c r="F796" s="2">
        <v>7</v>
      </c>
      <c r="G796" t="s">
        <v>515</v>
      </c>
    </row>
    <row r="797" spans="1:7" x14ac:dyDescent="0.25">
      <c r="A797" s="1" t="str">
        <f>"511129"</f>
        <v>511129</v>
      </c>
      <c r="B797" s="2" t="str">
        <f>"ANEL DE VEDAÇAO 14 X 3MM"</f>
        <v>ANEL DE VEDAÇAO 14 X 3MM</v>
      </c>
      <c r="C797" s="2" t="str">
        <f t="shared" si="30"/>
        <v>UN</v>
      </c>
      <c r="D797" s="7">
        <v>909</v>
      </c>
      <c r="E797" s="3">
        <v>11</v>
      </c>
      <c r="F797" s="2">
        <v>9</v>
      </c>
      <c r="G797" t="s">
        <v>514</v>
      </c>
    </row>
    <row r="798" spans="1:7" x14ac:dyDescent="0.25">
      <c r="A798" s="1" t="str">
        <f>"508385"</f>
        <v>508385</v>
      </c>
      <c r="B798" s="2" t="str">
        <f>"ANEL DE VEDAÇAO 14 X 4"</f>
        <v>ANEL DE VEDAÇAO 14 X 4</v>
      </c>
      <c r="C798" s="2" t="str">
        <f t="shared" si="30"/>
        <v>UN</v>
      </c>
      <c r="D798" s="7">
        <v>909</v>
      </c>
      <c r="E798" s="3">
        <v>11</v>
      </c>
      <c r="F798" s="5">
        <v>5</v>
      </c>
      <c r="G798" t="s">
        <v>512</v>
      </c>
    </row>
    <row r="799" spans="1:7" x14ac:dyDescent="0.25">
      <c r="A799" s="1" t="str">
        <f>"516000"</f>
        <v>516000</v>
      </c>
      <c r="B799" s="2" t="str">
        <f>"ANEL DE VEDAÇAO 155 X 3,5MM"</f>
        <v>ANEL DE VEDAÇAO 155 X 3,5MM</v>
      </c>
      <c r="C799" s="2" t="str">
        <f t="shared" si="30"/>
        <v>UN</v>
      </c>
      <c r="D799" s="7">
        <v>99999</v>
      </c>
      <c r="E799" s="3">
        <v>99</v>
      </c>
      <c r="F799" s="2">
        <v>3</v>
      </c>
      <c r="G799" t="s">
        <v>513</v>
      </c>
    </row>
    <row r="800" spans="1:7" x14ac:dyDescent="0.25">
      <c r="A800" s="1" t="str">
        <f>"512982"</f>
        <v>512982</v>
      </c>
      <c r="B800" s="2" t="str">
        <f>"ANEL DE VEDAÇAO 165 X 4MM"</f>
        <v>ANEL DE VEDAÇAO 165 X 4MM</v>
      </c>
      <c r="C800" s="2" t="str">
        <f t="shared" si="30"/>
        <v>UN</v>
      </c>
      <c r="D800" s="7">
        <v>909</v>
      </c>
      <c r="E800" s="3">
        <v>11</v>
      </c>
      <c r="F800" s="2">
        <v>8</v>
      </c>
      <c r="G800" t="s">
        <v>514</v>
      </c>
    </row>
    <row r="801" spans="1:7" x14ac:dyDescent="0.25">
      <c r="A801" s="1" t="str">
        <f>"512356"</f>
        <v>512356</v>
      </c>
      <c r="B801" s="2" t="str">
        <f>"ANEL DE VEDAÇAO 17 X 3MM"</f>
        <v>ANEL DE VEDAÇAO 17 X 3MM</v>
      </c>
      <c r="C801" s="2" t="str">
        <f t="shared" si="30"/>
        <v>UN</v>
      </c>
      <c r="D801" s="7">
        <v>909</v>
      </c>
      <c r="E801" s="3">
        <v>11</v>
      </c>
      <c r="F801" s="2">
        <v>6</v>
      </c>
      <c r="G801" t="s">
        <v>514</v>
      </c>
    </row>
    <row r="802" spans="1:7" x14ac:dyDescent="0.25">
      <c r="A802" s="1" t="str">
        <f>"512859"</f>
        <v>512859</v>
      </c>
      <c r="B802" s="2" t="str">
        <f>"ANEL DE VEDAÇAO 17,12 X 2,61MM"</f>
        <v>ANEL DE VEDAÇAO 17,12 X 2,61MM</v>
      </c>
      <c r="C802" s="2" t="str">
        <f t="shared" si="30"/>
        <v>UN</v>
      </c>
      <c r="D802" s="7">
        <v>909</v>
      </c>
      <c r="E802" s="3">
        <v>11</v>
      </c>
      <c r="F802" s="2">
        <v>4</v>
      </c>
      <c r="G802" t="s">
        <v>512</v>
      </c>
    </row>
    <row r="803" spans="1:7" x14ac:dyDescent="0.25">
      <c r="A803" s="1" t="str">
        <f>"512983"</f>
        <v>512983</v>
      </c>
      <c r="B803" s="2" t="str">
        <f>"ANEL DE VEDAÇAO 174 X 3,5MM"</f>
        <v>ANEL DE VEDAÇAO 174 X 3,5MM</v>
      </c>
      <c r="C803" s="2" t="str">
        <f t="shared" si="30"/>
        <v>UN</v>
      </c>
      <c r="D803" s="7">
        <v>909</v>
      </c>
      <c r="E803" s="3">
        <v>11</v>
      </c>
      <c r="F803" s="2">
        <v>1</v>
      </c>
      <c r="G803" t="s">
        <v>513</v>
      </c>
    </row>
    <row r="804" spans="1:7" x14ac:dyDescent="0.25">
      <c r="A804" s="1" t="str">
        <f>"518870"</f>
        <v>518870</v>
      </c>
      <c r="B804" s="2" t="str">
        <f>"ANEL DE VEDAÇAO 18,7 X 2,6MM"</f>
        <v>ANEL DE VEDAÇAO 18,7 X 2,6MM</v>
      </c>
      <c r="C804" s="2" t="str">
        <f t="shared" si="30"/>
        <v>UN</v>
      </c>
      <c r="D804" s="7">
        <v>909</v>
      </c>
      <c r="E804" s="3">
        <v>11</v>
      </c>
      <c r="F804" s="2">
        <v>2</v>
      </c>
      <c r="G804" t="s">
        <v>514</v>
      </c>
    </row>
    <row r="805" spans="1:7" x14ac:dyDescent="0.25">
      <c r="A805" s="1" t="str">
        <f>"512980"</f>
        <v>512980</v>
      </c>
      <c r="B805" s="2" t="str">
        <f>"ANEL DE VEDAÇAO 180 X 3MM"</f>
        <v>ANEL DE VEDAÇAO 180 X 3MM</v>
      </c>
      <c r="C805" s="2" t="str">
        <f t="shared" si="30"/>
        <v>UN</v>
      </c>
      <c r="D805" s="7">
        <v>909</v>
      </c>
      <c r="E805" s="3">
        <v>11</v>
      </c>
      <c r="F805" s="2">
        <v>7</v>
      </c>
      <c r="G805" t="s">
        <v>514</v>
      </c>
    </row>
    <row r="806" spans="1:7" x14ac:dyDescent="0.25">
      <c r="A806" s="1" t="str">
        <f>"516020"</f>
        <v>516020</v>
      </c>
      <c r="B806" s="2" t="str">
        <f>"ANEL DE VEDAÇÃO 19 X 2,0MM"</f>
        <v>ANEL DE VEDAÇÃO 19 X 2,0MM</v>
      </c>
      <c r="C806" s="2" t="str">
        <f t="shared" si="30"/>
        <v>UN</v>
      </c>
      <c r="D806" s="7">
        <v>99999</v>
      </c>
      <c r="E806" s="3">
        <v>99</v>
      </c>
      <c r="F806" s="2">
        <v>9</v>
      </c>
      <c r="G806" t="s">
        <v>514</v>
      </c>
    </row>
    <row r="807" spans="1:7" x14ac:dyDescent="0.25">
      <c r="A807" s="1" t="str">
        <f>"521382"</f>
        <v>521382</v>
      </c>
      <c r="B807" s="2" t="str">
        <f>"ANEL DE VEDAÇAO 2115"</f>
        <v>ANEL DE VEDAÇAO 2115</v>
      </c>
      <c r="C807" s="2" t="str">
        <f t="shared" si="30"/>
        <v>UN</v>
      </c>
      <c r="D807" s="7">
        <v>909</v>
      </c>
      <c r="E807" s="3">
        <v>11</v>
      </c>
      <c r="F807" s="2">
        <v>0</v>
      </c>
      <c r="G807" t="s">
        <v>513</v>
      </c>
    </row>
    <row r="808" spans="1:7" x14ac:dyDescent="0.25">
      <c r="A808" s="1" t="str">
        <f>"507007"</f>
        <v>507007</v>
      </c>
      <c r="B808" s="2" t="str">
        <f>"ANEL DE VEDAÇAO 22 X 2,5 COD. 2134"</f>
        <v>ANEL DE VEDAÇAO 22 X 2,5 COD. 2134</v>
      </c>
      <c r="C808" s="2" t="str">
        <f t="shared" ref="C808:C839" si="31">"UN"</f>
        <v>UN</v>
      </c>
      <c r="D808" s="7">
        <v>909</v>
      </c>
      <c r="E808" s="3">
        <v>11</v>
      </c>
      <c r="F808" s="2">
        <v>0</v>
      </c>
      <c r="G808" t="s">
        <v>512</v>
      </c>
    </row>
    <row r="809" spans="1:7" x14ac:dyDescent="0.25">
      <c r="A809" s="1" t="str">
        <f>"513127"</f>
        <v>513127</v>
      </c>
      <c r="B809" s="2" t="str">
        <f>"ANEL DE VEDAÇAO 24 X 2,7MM"</f>
        <v>ANEL DE VEDAÇAO 24 X 2,7MM</v>
      </c>
      <c r="C809" s="2" t="str">
        <f t="shared" si="31"/>
        <v>UN</v>
      </c>
      <c r="D809" s="7">
        <v>909</v>
      </c>
      <c r="E809" s="3">
        <v>11</v>
      </c>
      <c r="F809" s="2">
        <v>2</v>
      </c>
      <c r="G809" t="s">
        <v>513</v>
      </c>
    </row>
    <row r="810" spans="1:7" x14ac:dyDescent="0.25">
      <c r="A810" s="1" t="str">
        <f>"517070"</f>
        <v>517070</v>
      </c>
      <c r="B810" s="2" t="str">
        <f>"ANEL DE VEDAÇAO 24 X 2MM"</f>
        <v>ANEL DE VEDAÇAO 24 X 2MM</v>
      </c>
      <c r="C810" s="2" t="str">
        <f t="shared" si="31"/>
        <v>UN</v>
      </c>
      <c r="D810" s="7">
        <v>909</v>
      </c>
      <c r="E810" s="3">
        <v>11</v>
      </c>
      <c r="F810" s="2">
        <v>5</v>
      </c>
      <c r="G810" t="s">
        <v>514</v>
      </c>
    </row>
    <row r="811" spans="1:7" x14ac:dyDescent="0.25">
      <c r="A811" s="1" t="str">
        <f>"518871"</f>
        <v>518871</v>
      </c>
      <c r="B811" s="2" t="str">
        <f>"ANEL DE VEDAÇAO 25 X 2,5MM"</f>
        <v>ANEL DE VEDAÇAO 25 X 2,5MM</v>
      </c>
      <c r="C811" s="2" t="str">
        <f t="shared" si="31"/>
        <v>UN</v>
      </c>
      <c r="D811" s="7">
        <v>909</v>
      </c>
      <c r="E811" s="3">
        <v>11</v>
      </c>
      <c r="F811" s="2">
        <v>6</v>
      </c>
      <c r="G811" t="s">
        <v>514</v>
      </c>
    </row>
    <row r="812" spans="1:7" x14ac:dyDescent="0.25">
      <c r="A812" s="1" t="str">
        <f>"512900"</f>
        <v>512900</v>
      </c>
      <c r="B812" s="2" t="str">
        <f>"ANEL DE VEDAÇAO 26,57 X 33,63 X 3,53MM"</f>
        <v>ANEL DE VEDAÇAO 26,57 X 33,63 X 3,53MM</v>
      </c>
      <c r="C812" s="2" t="str">
        <f t="shared" si="31"/>
        <v>UN</v>
      </c>
      <c r="D812" s="7">
        <v>909</v>
      </c>
      <c r="E812" s="3">
        <v>11</v>
      </c>
      <c r="F812" s="2">
        <v>9</v>
      </c>
      <c r="G812" t="s">
        <v>514</v>
      </c>
    </row>
    <row r="813" spans="1:7" x14ac:dyDescent="0.25">
      <c r="A813" s="1" t="str">
        <f>"511987"</f>
        <v>511987</v>
      </c>
      <c r="B813" s="2" t="str">
        <f>"ANEL DE VEDAÇAO 269 X 04MM BBA AMONIA"</f>
        <v>ANEL DE VEDAÇAO 269 X 04MM BBA AMONIA</v>
      </c>
      <c r="C813" s="2" t="str">
        <f t="shared" si="31"/>
        <v>UN</v>
      </c>
      <c r="D813" s="7">
        <v>909</v>
      </c>
      <c r="E813" s="3">
        <v>11</v>
      </c>
      <c r="F813" s="2">
        <v>5</v>
      </c>
      <c r="G813" t="s">
        <v>513</v>
      </c>
    </row>
    <row r="814" spans="1:7" x14ac:dyDescent="0.25">
      <c r="A814" s="1" t="str">
        <f>"509226"</f>
        <v>509226</v>
      </c>
      <c r="B814" s="2" t="str">
        <f>"ANEL DE VEDAÇAO 28 X 3MM"</f>
        <v>ANEL DE VEDAÇAO 28 X 3MM</v>
      </c>
      <c r="C814" s="2" t="str">
        <f t="shared" si="31"/>
        <v>UN</v>
      </c>
      <c r="D814" s="7">
        <v>909</v>
      </c>
      <c r="E814" s="3">
        <v>11</v>
      </c>
      <c r="F814" s="2">
        <v>3</v>
      </c>
      <c r="G814" t="s">
        <v>513</v>
      </c>
    </row>
    <row r="815" spans="1:7" x14ac:dyDescent="0.25">
      <c r="A815" s="1" t="str">
        <f>"511128"</f>
        <v>511128</v>
      </c>
      <c r="B815" s="2" t="str">
        <f>"ANEL DE VEDAÇAO 28 X 5MM"</f>
        <v>ANEL DE VEDAÇAO 28 X 5MM</v>
      </c>
      <c r="C815" s="2" t="str">
        <f t="shared" si="31"/>
        <v>UN</v>
      </c>
      <c r="D815" s="7">
        <v>909</v>
      </c>
      <c r="E815" s="3">
        <v>11</v>
      </c>
      <c r="F815" s="2">
        <v>3</v>
      </c>
      <c r="G815" t="s">
        <v>513</v>
      </c>
    </row>
    <row r="816" spans="1:7" x14ac:dyDescent="0.25">
      <c r="A816" s="1" t="str">
        <f>"512041"</f>
        <v>512041</v>
      </c>
      <c r="B816" s="2" t="str">
        <f>"ANEL DE VEDAÇAO 30 X 2,5MM"</f>
        <v>ANEL DE VEDAÇAO 30 X 2,5MM</v>
      </c>
      <c r="C816" s="2" t="str">
        <f t="shared" si="31"/>
        <v>UN</v>
      </c>
      <c r="D816" s="7">
        <v>909</v>
      </c>
      <c r="E816" s="3">
        <v>11</v>
      </c>
      <c r="F816" s="2">
        <v>2</v>
      </c>
      <c r="G816" t="s">
        <v>512</v>
      </c>
    </row>
    <row r="817" spans="1:7" x14ac:dyDescent="0.25">
      <c r="A817" s="1" t="str">
        <f>"511993"</f>
        <v>511993</v>
      </c>
      <c r="B817" s="2" t="str">
        <f>"ANEL DE VEDAÇAO 30 X 2MM"</f>
        <v>ANEL DE VEDAÇAO 30 X 2MM</v>
      </c>
      <c r="C817" s="2" t="str">
        <f t="shared" si="31"/>
        <v>UN</v>
      </c>
      <c r="D817" s="7">
        <v>909</v>
      </c>
      <c r="E817" s="3">
        <v>11</v>
      </c>
      <c r="F817" s="2">
        <v>1</v>
      </c>
      <c r="G817" t="s">
        <v>513</v>
      </c>
    </row>
    <row r="818" spans="1:7" x14ac:dyDescent="0.25">
      <c r="A818" s="1" t="str">
        <f>"509112"</f>
        <v>509112</v>
      </c>
      <c r="B818" s="2" t="str">
        <f>"ANEL DE VEDAÇAO 30 X 3,5"</f>
        <v>ANEL DE VEDAÇAO 30 X 3,5</v>
      </c>
      <c r="C818" s="2" t="str">
        <f t="shared" si="31"/>
        <v>UN</v>
      </c>
      <c r="D818" s="7">
        <v>909</v>
      </c>
      <c r="E818" s="3">
        <v>11</v>
      </c>
      <c r="F818" s="2">
        <v>4</v>
      </c>
      <c r="G818" t="s">
        <v>514</v>
      </c>
    </row>
    <row r="819" spans="1:7" x14ac:dyDescent="0.25">
      <c r="A819" s="1" t="str">
        <f>"512042"</f>
        <v>512042</v>
      </c>
      <c r="B819" s="2" t="str">
        <f>"ANEL DE VEDAÇAO 30 X 3MM"</f>
        <v>ANEL DE VEDAÇAO 30 X 3MM</v>
      </c>
      <c r="C819" s="2" t="str">
        <f t="shared" si="31"/>
        <v>UN</v>
      </c>
      <c r="D819" s="7">
        <v>909</v>
      </c>
      <c r="E819" s="3">
        <v>11</v>
      </c>
      <c r="F819" s="2">
        <v>6</v>
      </c>
      <c r="G819" t="s">
        <v>515</v>
      </c>
    </row>
    <row r="820" spans="1:7" x14ac:dyDescent="0.25">
      <c r="A820" s="1" t="str">
        <f>"508229"</f>
        <v>508229</v>
      </c>
      <c r="B820" s="2" t="str">
        <f>"ANEL DE VEDAÇAO 36 X 2MM"</f>
        <v>ANEL DE VEDAÇAO 36 X 2MM</v>
      </c>
      <c r="C820" s="2" t="str">
        <f t="shared" si="31"/>
        <v>UN</v>
      </c>
      <c r="D820" s="7">
        <v>909</v>
      </c>
      <c r="E820" s="3">
        <v>11</v>
      </c>
      <c r="F820" s="2">
        <v>8</v>
      </c>
      <c r="G820" t="s">
        <v>512</v>
      </c>
    </row>
    <row r="821" spans="1:7" x14ac:dyDescent="0.25">
      <c r="A821" s="1" t="str">
        <f>"516298"</f>
        <v>516298</v>
      </c>
      <c r="B821" s="2" t="str">
        <f>"ANEL DE VEDAÇAO 37 X 4MM"</f>
        <v>ANEL DE VEDAÇAO 37 X 4MM</v>
      </c>
      <c r="C821" s="2" t="str">
        <f t="shared" si="31"/>
        <v>UN</v>
      </c>
      <c r="D821" s="7">
        <v>909</v>
      </c>
      <c r="E821" s="3">
        <v>11</v>
      </c>
      <c r="F821" s="2">
        <v>7</v>
      </c>
      <c r="G821" t="s">
        <v>516</v>
      </c>
    </row>
    <row r="822" spans="1:7" x14ac:dyDescent="0.25">
      <c r="A822" s="1" t="str">
        <f>"517330"</f>
        <v>517330</v>
      </c>
      <c r="B822" s="2" t="str">
        <f>"ANEL DE VEDAÇAO 38 X 4MM"</f>
        <v>ANEL DE VEDAÇAO 38 X 4MM</v>
      </c>
      <c r="C822" s="2" t="str">
        <f t="shared" si="31"/>
        <v>UN</v>
      </c>
      <c r="D822" s="7">
        <v>918</v>
      </c>
      <c r="E822" s="3">
        <v>11</v>
      </c>
      <c r="F822" s="2">
        <v>6</v>
      </c>
      <c r="G822" t="s">
        <v>515</v>
      </c>
    </row>
    <row r="823" spans="1:7" x14ac:dyDescent="0.25">
      <c r="A823" s="1" t="str">
        <f>"511209"</f>
        <v>511209</v>
      </c>
      <c r="B823" s="2" t="str">
        <f>"ANEL DE VEDAÇÃO 380,43X5,3"</f>
        <v>ANEL DE VEDAÇÃO 380,43X5,3</v>
      </c>
      <c r="C823" s="2" t="str">
        <f t="shared" si="31"/>
        <v>UN</v>
      </c>
      <c r="D823" s="7">
        <v>909</v>
      </c>
      <c r="E823" s="3">
        <v>11</v>
      </c>
      <c r="F823" s="2">
        <v>6</v>
      </c>
      <c r="G823" t="s">
        <v>514</v>
      </c>
    </row>
    <row r="824" spans="1:7" x14ac:dyDescent="0.25">
      <c r="A824" s="1" t="str">
        <f>"511534"</f>
        <v>511534</v>
      </c>
      <c r="B824" s="2" t="str">
        <f>"ANEL DE VEDACAO 39 X 3,5MM"</f>
        <v>ANEL DE VEDACAO 39 X 3,5MM</v>
      </c>
      <c r="C824" s="2" t="str">
        <f t="shared" si="31"/>
        <v>UN</v>
      </c>
      <c r="D824" s="7">
        <v>909</v>
      </c>
      <c r="E824" s="3">
        <v>11</v>
      </c>
      <c r="F824" s="2">
        <v>2</v>
      </c>
      <c r="G824" t="s">
        <v>512</v>
      </c>
    </row>
    <row r="825" spans="1:7" x14ac:dyDescent="0.25">
      <c r="A825" s="1" t="str">
        <f>"512901"</f>
        <v>512901</v>
      </c>
      <c r="B825" s="2" t="str">
        <f>"ANEL DE VEDACAO 39,34 X 2,62MM"</f>
        <v>ANEL DE VEDACAO 39,34 X 2,62MM</v>
      </c>
      <c r="C825" s="2" t="str">
        <f t="shared" si="31"/>
        <v>UN</v>
      </c>
      <c r="D825" s="7">
        <v>909</v>
      </c>
      <c r="E825" s="3">
        <v>11</v>
      </c>
      <c r="F825" s="2">
        <v>1</v>
      </c>
      <c r="G825" t="s">
        <v>513</v>
      </c>
    </row>
    <row r="826" spans="1:7" x14ac:dyDescent="0.25">
      <c r="A826" s="1" t="str">
        <f>"508889"</f>
        <v>508889</v>
      </c>
      <c r="B826" s="2" t="str">
        <f>"ANEL DE VEDAÇAO 41 X 4MM"</f>
        <v>ANEL DE VEDAÇAO 41 X 4MM</v>
      </c>
      <c r="C826" s="2" t="str">
        <f t="shared" si="31"/>
        <v>UN</v>
      </c>
      <c r="D826" s="7">
        <v>909</v>
      </c>
      <c r="E826" s="3">
        <v>11</v>
      </c>
      <c r="F826" s="2">
        <v>0</v>
      </c>
      <c r="G826" t="s">
        <v>514</v>
      </c>
    </row>
    <row r="827" spans="1:7" x14ac:dyDescent="0.25">
      <c r="A827" s="1" t="str">
        <f>"517329"</f>
        <v>517329</v>
      </c>
      <c r="B827" s="2" t="str">
        <f>"ANEL DE VEDAÇAO 41 X 6MM"</f>
        <v>ANEL DE VEDAÇAO 41 X 6MM</v>
      </c>
      <c r="C827" s="2" t="str">
        <f t="shared" si="31"/>
        <v>UN</v>
      </c>
      <c r="D827" s="7">
        <v>918</v>
      </c>
      <c r="E827" s="3">
        <v>11</v>
      </c>
      <c r="F827" s="2">
        <v>0</v>
      </c>
      <c r="G827" t="s">
        <v>514</v>
      </c>
    </row>
    <row r="828" spans="1:7" x14ac:dyDescent="0.25">
      <c r="A828" s="1" t="str">
        <f>"511649"</f>
        <v>511649</v>
      </c>
      <c r="B828" s="2" t="str">
        <f>"ANEL DE VEDAÇAO 42 X 3,5MM"</f>
        <v>ANEL DE VEDAÇAO 42 X 3,5MM</v>
      </c>
      <c r="C828" s="2" t="str">
        <f t="shared" si="31"/>
        <v>UN</v>
      </c>
      <c r="D828" s="7">
        <v>909</v>
      </c>
      <c r="E828" s="3">
        <v>11</v>
      </c>
      <c r="F828" s="2">
        <v>0</v>
      </c>
      <c r="G828" t="s">
        <v>512</v>
      </c>
    </row>
    <row r="829" spans="1:7" x14ac:dyDescent="0.25">
      <c r="A829" s="1" t="str">
        <f>"511533"</f>
        <v>511533</v>
      </c>
      <c r="B829" s="2" t="str">
        <f>"ANEL DE VEDAÇAO 42 X 4MM"</f>
        <v>ANEL DE VEDAÇAO 42 X 4MM</v>
      </c>
      <c r="C829" s="2" t="str">
        <f t="shared" si="31"/>
        <v>UN</v>
      </c>
      <c r="D829" s="7">
        <v>909</v>
      </c>
      <c r="E829" s="3">
        <v>11</v>
      </c>
      <c r="F829" s="2">
        <v>3</v>
      </c>
      <c r="G829" t="s">
        <v>513</v>
      </c>
    </row>
    <row r="830" spans="1:7" x14ac:dyDescent="0.25">
      <c r="A830" s="1" t="str">
        <f>"507010"</f>
        <v>507010</v>
      </c>
      <c r="B830" s="2" t="str">
        <f>"ANEL DE VEDAÇAO 43 X 3 - BANDEJA"</f>
        <v>ANEL DE VEDAÇAO 43 X 3 - BANDEJA</v>
      </c>
      <c r="C830" s="2" t="str">
        <f t="shared" si="31"/>
        <v>UN</v>
      </c>
      <c r="D830" s="7">
        <v>909</v>
      </c>
      <c r="E830" s="3">
        <v>11</v>
      </c>
      <c r="F830" s="5">
        <v>5</v>
      </c>
      <c r="G830" t="s">
        <v>514</v>
      </c>
    </row>
    <row r="831" spans="1:7" x14ac:dyDescent="0.25">
      <c r="A831" s="1" t="str">
        <f>"508228"</f>
        <v>508228</v>
      </c>
      <c r="B831" s="2" t="str">
        <f>"ANEL DE VEDAÇAO 43 X 4MM"</f>
        <v>ANEL DE VEDAÇAO 43 X 4MM</v>
      </c>
      <c r="C831" s="2" t="str">
        <f t="shared" si="31"/>
        <v>UN</v>
      </c>
      <c r="D831" s="7">
        <v>909</v>
      </c>
      <c r="E831" s="3">
        <v>11</v>
      </c>
      <c r="F831" s="2">
        <v>3</v>
      </c>
      <c r="G831" t="s">
        <v>514</v>
      </c>
    </row>
    <row r="832" spans="1:7" x14ac:dyDescent="0.25">
      <c r="A832" s="1" t="str">
        <f>"507913"</f>
        <v>507913</v>
      </c>
      <c r="B832" s="2" t="str">
        <f>"ANEL DE VEDAÇAO 43 X 5MM"</f>
        <v>ANEL DE VEDAÇAO 43 X 5MM</v>
      </c>
      <c r="C832" s="2" t="str">
        <f t="shared" si="31"/>
        <v>UN</v>
      </c>
      <c r="D832" s="7">
        <v>909</v>
      </c>
      <c r="E832" s="3">
        <v>11</v>
      </c>
      <c r="F832" s="2">
        <v>8</v>
      </c>
      <c r="G832" t="s">
        <v>514</v>
      </c>
    </row>
    <row r="833" spans="1:7" x14ac:dyDescent="0.25">
      <c r="A833" s="1" t="str">
        <f>"517069"</f>
        <v>517069</v>
      </c>
      <c r="B833" s="2" t="str">
        <f>"ANEL DE VEDAÇAO 44 X 8MM"</f>
        <v>ANEL DE VEDAÇAO 44 X 8MM</v>
      </c>
      <c r="C833" s="2" t="str">
        <f t="shared" si="31"/>
        <v>UN</v>
      </c>
      <c r="D833" s="7">
        <v>909</v>
      </c>
      <c r="E833" s="3">
        <v>11</v>
      </c>
      <c r="F833" s="2">
        <v>6</v>
      </c>
      <c r="G833" t="s">
        <v>513</v>
      </c>
    </row>
    <row r="834" spans="1:7" x14ac:dyDescent="0.25">
      <c r="A834" s="1" t="str">
        <f>"517331"</f>
        <v>517331</v>
      </c>
      <c r="B834" s="2" t="str">
        <f>"ANEL DE VEDAÇAO 45 X 4MM"</f>
        <v>ANEL DE VEDAÇAO 45 X 4MM</v>
      </c>
      <c r="C834" s="2" t="str">
        <f t="shared" si="31"/>
        <v>UN</v>
      </c>
      <c r="D834" s="7">
        <v>918</v>
      </c>
      <c r="E834" s="3">
        <v>11</v>
      </c>
      <c r="F834" s="2">
        <v>4</v>
      </c>
      <c r="G834" t="s">
        <v>512</v>
      </c>
    </row>
    <row r="835" spans="1:7" x14ac:dyDescent="0.25">
      <c r="A835" s="1" t="str">
        <f>"508110"</f>
        <v>508110</v>
      </c>
      <c r="B835" s="2" t="str">
        <f>"ANEL DE VEDAÇAO 47,5 X 4MM"</f>
        <v>ANEL DE VEDAÇAO 47,5 X 4MM</v>
      </c>
      <c r="C835" s="2" t="str">
        <f t="shared" si="31"/>
        <v>UN</v>
      </c>
      <c r="D835" s="7">
        <v>909</v>
      </c>
      <c r="E835" s="3">
        <v>11</v>
      </c>
      <c r="F835" s="2">
        <v>1</v>
      </c>
      <c r="G835" t="s">
        <v>513</v>
      </c>
    </row>
    <row r="836" spans="1:7" x14ac:dyDescent="0.25">
      <c r="A836" s="1" t="str">
        <f>"521380"</f>
        <v>521380</v>
      </c>
      <c r="B836" s="2" t="str">
        <f>"ANEL DE VEDAÇAO 56 X 2MM"</f>
        <v>ANEL DE VEDAÇAO 56 X 2MM</v>
      </c>
      <c r="C836" s="2" t="str">
        <f t="shared" si="31"/>
        <v>UN</v>
      </c>
      <c r="D836" s="7">
        <v>909</v>
      </c>
      <c r="E836" s="3">
        <v>11</v>
      </c>
      <c r="F836" s="2">
        <v>2</v>
      </c>
      <c r="G836" t="s">
        <v>514</v>
      </c>
    </row>
    <row r="837" spans="1:7" x14ac:dyDescent="0.25">
      <c r="A837" s="1" t="str">
        <f>"516129"</f>
        <v>516129</v>
      </c>
      <c r="B837" s="2" t="str">
        <f>"ANEL DE VEDAÇAO 57 X 4,2MM"</f>
        <v>ANEL DE VEDAÇAO 57 X 4,2MM</v>
      </c>
      <c r="C837" s="2" t="str">
        <f t="shared" si="31"/>
        <v>UN</v>
      </c>
      <c r="D837" s="7">
        <v>909</v>
      </c>
      <c r="E837" s="3">
        <v>11</v>
      </c>
      <c r="F837" s="2">
        <v>7</v>
      </c>
      <c r="G837" t="s">
        <v>514</v>
      </c>
    </row>
    <row r="838" spans="1:7" x14ac:dyDescent="0.25">
      <c r="A838" s="1" t="str">
        <f>"501181"</f>
        <v>501181</v>
      </c>
      <c r="B838" s="2" t="str">
        <f>"ANEL DE VEDAÇAO 6 X 3,0MM"</f>
        <v>ANEL DE VEDAÇAO 6 X 3,0MM</v>
      </c>
      <c r="C838" s="2" t="str">
        <f t="shared" si="31"/>
        <v>UN</v>
      </c>
      <c r="D838" s="7">
        <v>909</v>
      </c>
      <c r="E838" s="3">
        <v>11</v>
      </c>
      <c r="F838" s="2">
        <v>9</v>
      </c>
      <c r="G838" t="s">
        <v>514</v>
      </c>
    </row>
    <row r="839" spans="1:7" x14ac:dyDescent="0.25">
      <c r="A839" s="1" t="str">
        <f>"512922"</f>
        <v>512922</v>
      </c>
      <c r="B839" s="2" t="str">
        <f>"ANEL DE VEDAÇAO 6,07X9,63X1,78MM"</f>
        <v>ANEL DE VEDAÇAO 6,07X9,63X1,78MM</v>
      </c>
      <c r="C839" s="2" t="str">
        <f t="shared" si="31"/>
        <v>UN</v>
      </c>
      <c r="D839" s="7">
        <v>909</v>
      </c>
      <c r="E839" s="3">
        <v>11</v>
      </c>
      <c r="F839" s="2">
        <v>0</v>
      </c>
      <c r="G839" t="s">
        <v>513</v>
      </c>
    </row>
    <row r="840" spans="1:7" x14ac:dyDescent="0.25">
      <c r="A840" s="1" t="str">
        <f>"512448"</f>
        <v>512448</v>
      </c>
      <c r="B840" s="2" t="str">
        <f>"ANEL DE VEDAÇAO 64 X 3MM"</f>
        <v>ANEL DE VEDAÇAO 64 X 3MM</v>
      </c>
      <c r="C840" s="2" t="str">
        <f t="shared" ref="C840:C853" si="32">"UN"</f>
        <v>UN</v>
      </c>
      <c r="D840" s="7">
        <v>909</v>
      </c>
      <c r="E840" s="3">
        <v>11</v>
      </c>
      <c r="F840" s="2">
        <v>0</v>
      </c>
      <c r="G840" t="s">
        <v>513</v>
      </c>
    </row>
    <row r="841" spans="1:7" x14ac:dyDescent="0.25">
      <c r="A841" s="1" t="str">
        <f>"512979"</f>
        <v>512979</v>
      </c>
      <c r="B841" s="2" t="str">
        <f>"ANEL DE VEDAÇAO 65 X 3MM"</f>
        <v>ANEL DE VEDAÇAO 65 X 3MM</v>
      </c>
      <c r="C841" s="2" t="str">
        <f t="shared" si="32"/>
        <v>UN</v>
      </c>
      <c r="D841" s="7">
        <v>909</v>
      </c>
      <c r="E841" s="3">
        <v>11</v>
      </c>
      <c r="F841" s="2">
        <v>2</v>
      </c>
      <c r="G841" t="s">
        <v>513</v>
      </c>
    </row>
    <row r="842" spans="1:7" x14ac:dyDescent="0.25">
      <c r="A842" s="1" t="str">
        <f>"507776"</f>
        <v>507776</v>
      </c>
      <c r="B842" s="2" t="str">
        <f>"ANEL DE VEDAÇAO 68 X 4 - DOSADOR BAND."</f>
        <v>ANEL DE VEDAÇAO 68 X 4 - DOSADOR BAND.</v>
      </c>
      <c r="C842" s="2" t="str">
        <f t="shared" si="32"/>
        <v>UN</v>
      </c>
      <c r="D842" s="7">
        <v>909</v>
      </c>
      <c r="E842" s="3">
        <v>11</v>
      </c>
      <c r="F842" s="2">
        <v>5</v>
      </c>
      <c r="G842" t="s">
        <v>512</v>
      </c>
    </row>
    <row r="843" spans="1:7" x14ac:dyDescent="0.25">
      <c r="A843" s="1" t="str">
        <f>"501182"</f>
        <v>501182</v>
      </c>
      <c r="B843" s="2" t="str">
        <f>"ANEL DE VEDAÇAO 7 X 3,0MM"</f>
        <v>ANEL DE VEDAÇAO 7 X 3,0MM</v>
      </c>
      <c r="C843" s="2" t="str">
        <f t="shared" si="32"/>
        <v>UN</v>
      </c>
      <c r="D843" s="7">
        <v>909</v>
      </c>
      <c r="E843" s="3">
        <v>11</v>
      </c>
      <c r="F843" s="2">
        <v>6</v>
      </c>
      <c r="G843" t="s">
        <v>513</v>
      </c>
    </row>
    <row r="844" spans="1:7" x14ac:dyDescent="0.25">
      <c r="A844" s="1" t="str">
        <f>"512898"</f>
        <v>512898</v>
      </c>
      <c r="B844" s="2" t="str">
        <f>"ANEL DE VEDAÇAO 7,65 X 11,21 X 1,78MM"</f>
        <v>ANEL DE VEDAÇAO 7,65 X 11,21 X 1,78MM</v>
      </c>
      <c r="C844" s="2" t="str">
        <f t="shared" si="32"/>
        <v>UN</v>
      </c>
      <c r="D844" s="7">
        <v>909</v>
      </c>
      <c r="E844" s="3">
        <v>11</v>
      </c>
      <c r="F844" s="2">
        <v>9</v>
      </c>
      <c r="G844" t="s">
        <v>514</v>
      </c>
    </row>
    <row r="845" spans="1:7" x14ac:dyDescent="0.25">
      <c r="A845" s="1" t="str">
        <f>"517618"</f>
        <v>517618</v>
      </c>
      <c r="B845" s="2" t="str">
        <f>"ANEL DE VEDAÇAO 72 X 4,5MM"</f>
        <v>ANEL DE VEDAÇAO 72 X 4,5MM</v>
      </c>
      <c r="C845" s="2" t="str">
        <f t="shared" si="32"/>
        <v>UN</v>
      </c>
      <c r="D845" s="7">
        <v>909</v>
      </c>
      <c r="E845" s="3">
        <v>10</v>
      </c>
      <c r="F845" s="2">
        <v>5</v>
      </c>
      <c r="G845" t="s">
        <v>515</v>
      </c>
    </row>
    <row r="846" spans="1:7" x14ac:dyDescent="0.25">
      <c r="A846" s="1" t="str">
        <f>"512899"</f>
        <v>512899</v>
      </c>
      <c r="B846" s="2" t="str">
        <f>"ANEL DE VEDAÇAO 81,5 X 88,1 X 3,3MM"</f>
        <v>ANEL DE VEDAÇAO 81,5 X 88,1 X 3,3MM</v>
      </c>
      <c r="C846" s="2" t="str">
        <f t="shared" si="32"/>
        <v>UN</v>
      </c>
      <c r="D846" s="7">
        <v>909</v>
      </c>
      <c r="E846" s="3">
        <v>11</v>
      </c>
      <c r="F846" s="2">
        <v>3</v>
      </c>
      <c r="G846" t="s">
        <v>512</v>
      </c>
    </row>
    <row r="847" spans="1:7" x14ac:dyDescent="0.25">
      <c r="A847" s="1" t="str">
        <f>"512923"</f>
        <v>512923</v>
      </c>
      <c r="B847" s="2" t="str">
        <f>"ANEL DE VEDAÇAO 81,5X88,1X3,3MM"</f>
        <v>ANEL DE VEDAÇAO 81,5X88,1X3,3MM</v>
      </c>
      <c r="C847" s="2" t="str">
        <f t="shared" si="32"/>
        <v>UN</v>
      </c>
      <c r="D847" s="7">
        <v>909</v>
      </c>
      <c r="E847" s="3">
        <v>11</v>
      </c>
      <c r="F847" s="2">
        <v>3</v>
      </c>
      <c r="G847" t="s">
        <v>516</v>
      </c>
    </row>
    <row r="848" spans="1:7" x14ac:dyDescent="0.25">
      <c r="A848" s="1" t="str">
        <f>"517436"</f>
        <v>517436</v>
      </c>
      <c r="B848" s="2" t="str">
        <f>"ANEL DE VEDAÇAO 90X5MM"</f>
        <v>ANEL DE VEDAÇAO 90X5MM</v>
      </c>
      <c r="C848" s="2" t="str">
        <f t="shared" si="32"/>
        <v>UN</v>
      </c>
      <c r="D848" s="7">
        <v>909</v>
      </c>
      <c r="E848" s="3">
        <v>11</v>
      </c>
      <c r="F848" s="2">
        <v>2</v>
      </c>
      <c r="G848" t="s">
        <v>515</v>
      </c>
    </row>
    <row r="849" spans="1:7" x14ac:dyDescent="0.25">
      <c r="A849" s="1" t="str">
        <f>"514305"</f>
        <v>514305</v>
      </c>
      <c r="B849" s="2" t="str">
        <f>"ANEL DE VEDACAO BORRACHA ATX"</f>
        <v>ANEL DE VEDACAO BORRACHA ATX</v>
      </c>
      <c r="C849" s="2" t="str">
        <f t="shared" si="32"/>
        <v>UN</v>
      </c>
      <c r="D849" s="7">
        <v>918</v>
      </c>
      <c r="E849" s="3">
        <v>11</v>
      </c>
      <c r="F849" s="2">
        <v>1</v>
      </c>
      <c r="G849" t="s">
        <v>514</v>
      </c>
    </row>
    <row r="850" spans="1:7" x14ac:dyDescent="0.25">
      <c r="A850" s="1" t="str">
        <f>"528126"</f>
        <v>528126</v>
      </c>
      <c r="B850" s="2" t="str">
        <f>"ANEL DE VEDACAO DHD 01/2- SOPRADORA MULTIPET (411001001)"</f>
        <v>ANEL DE VEDACAO DHD 01/2- SOPRADORA MULTIPET (411001001)</v>
      </c>
      <c r="C850" s="2" t="str">
        <f t="shared" si="32"/>
        <v>UN</v>
      </c>
      <c r="D850" s="7">
        <v>811</v>
      </c>
      <c r="E850" s="3">
        <v>11</v>
      </c>
      <c r="F850" s="2">
        <v>4</v>
      </c>
      <c r="G850" t="s">
        <v>512</v>
      </c>
    </row>
    <row r="851" spans="1:7" x14ac:dyDescent="0.25">
      <c r="A851" s="1" t="str">
        <f>"511181"</f>
        <v>511181</v>
      </c>
      <c r="B851" s="8" t="s">
        <v>29</v>
      </c>
      <c r="C851" s="2" t="str">
        <f t="shared" si="32"/>
        <v>UN</v>
      </c>
      <c r="D851" s="7">
        <v>909</v>
      </c>
      <c r="E851" s="3">
        <v>11</v>
      </c>
      <c r="F851" s="2">
        <v>1</v>
      </c>
      <c r="G851" t="s">
        <v>513</v>
      </c>
    </row>
    <row r="852" spans="1:7" x14ac:dyDescent="0.25">
      <c r="A852" s="1" t="str">
        <f>"517617"</f>
        <v>517617</v>
      </c>
      <c r="B852" s="8" t="s">
        <v>94</v>
      </c>
      <c r="C852" s="2" t="str">
        <f t="shared" si="32"/>
        <v>UN</v>
      </c>
      <c r="D852" s="7">
        <v>909</v>
      </c>
      <c r="E852" s="3">
        <v>10</v>
      </c>
      <c r="F852" s="2">
        <v>2</v>
      </c>
      <c r="G852" t="s">
        <v>514</v>
      </c>
    </row>
    <row r="853" spans="1:7" x14ac:dyDescent="0.25">
      <c r="A853" s="1" t="str">
        <f>"519155"</f>
        <v>519155</v>
      </c>
      <c r="B853" s="8" t="s">
        <v>110</v>
      </c>
      <c r="C853" s="2" t="str">
        <f t="shared" si="32"/>
        <v>UN</v>
      </c>
      <c r="D853" s="7">
        <v>918</v>
      </c>
      <c r="E853" s="3">
        <v>11</v>
      </c>
      <c r="F853" s="2">
        <v>7</v>
      </c>
      <c r="G853" t="s">
        <v>514</v>
      </c>
    </row>
    <row r="854" spans="1:7" x14ac:dyDescent="0.25">
      <c r="A854" s="1" t="str">
        <f>"510467"</f>
        <v>510467</v>
      </c>
      <c r="B854" s="2" t="str">
        <f>"ANEL DE VEDAÇAO EPDM 450X435X27MM INSP."</f>
        <v>ANEL DE VEDAÇAO EPDM 450X435X27MM INSP.</v>
      </c>
      <c r="C854" s="2" t="str">
        <f>"BR"</f>
        <v>BR</v>
      </c>
      <c r="D854" s="7">
        <v>807</v>
      </c>
      <c r="E854" s="3">
        <v>10</v>
      </c>
      <c r="F854" s="2">
        <v>9</v>
      </c>
      <c r="G854" t="s">
        <v>512</v>
      </c>
    </row>
    <row r="855" spans="1:7" x14ac:dyDescent="0.25">
      <c r="A855" s="1" t="str">
        <f>"513128"</f>
        <v>513128</v>
      </c>
      <c r="B855" s="8" t="s">
        <v>41</v>
      </c>
      <c r="C855" s="2" t="str">
        <f t="shared" ref="C855:C866" si="33">"UN"</f>
        <v>UN</v>
      </c>
      <c r="D855" s="7">
        <v>909</v>
      </c>
      <c r="E855" s="3">
        <v>11</v>
      </c>
      <c r="F855" s="2">
        <v>0</v>
      </c>
      <c r="G855" t="s">
        <v>513</v>
      </c>
    </row>
    <row r="856" spans="1:7" x14ac:dyDescent="0.25">
      <c r="A856" s="1" t="str">
        <f>"512447"</f>
        <v>512447</v>
      </c>
      <c r="B856" s="2" t="str">
        <f>"ANEL DE VEDAÇAO EPDM 49,5 X 3,2MM (BRASKOP REQUEIJÃO)REF2776"</f>
        <v>ANEL DE VEDAÇAO EPDM 49,5 X 3,2MM (BRASKOP REQUEIJÃO)REF2776</v>
      </c>
      <c r="C856" s="2" t="str">
        <f t="shared" si="33"/>
        <v>UN</v>
      </c>
      <c r="D856" s="7">
        <v>909</v>
      </c>
      <c r="E856" s="3">
        <v>11</v>
      </c>
      <c r="F856" s="2">
        <v>0</v>
      </c>
      <c r="G856" t="s">
        <v>514</v>
      </c>
    </row>
    <row r="857" spans="1:7" x14ac:dyDescent="0.25">
      <c r="A857" s="1" t="str">
        <f>"510762"</f>
        <v>510762</v>
      </c>
      <c r="B857" s="8" t="s">
        <v>25</v>
      </c>
      <c r="C857" s="2" t="str">
        <f t="shared" si="33"/>
        <v>UN</v>
      </c>
      <c r="D857" s="7">
        <v>909</v>
      </c>
      <c r="E857" s="3">
        <v>11</v>
      </c>
      <c r="F857" s="2">
        <v>4</v>
      </c>
      <c r="G857" t="s">
        <v>514</v>
      </c>
    </row>
    <row r="858" spans="1:7" x14ac:dyDescent="0.25">
      <c r="A858" s="1" t="str">
        <f>"517743"</f>
        <v>517743</v>
      </c>
      <c r="B858" s="8" t="s">
        <v>96</v>
      </c>
      <c r="C858" s="2" t="str">
        <f t="shared" si="33"/>
        <v>UN</v>
      </c>
      <c r="D858" s="7">
        <v>909</v>
      </c>
      <c r="E858" s="3">
        <v>11</v>
      </c>
      <c r="F858" s="2">
        <v>1</v>
      </c>
      <c r="G858" t="s">
        <v>514</v>
      </c>
    </row>
    <row r="859" spans="1:7" x14ac:dyDescent="0.25">
      <c r="A859" s="1" t="str">
        <f>"521381"</f>
        <v>521381</v>
      </c>
      <c r="B859" s="8" t="s">
        <v>198</v>
      </c>
      <c r="C859" s="2" t="str">
        <f t="shared" si="33"/>
        <v>UN</v>
      </c>
      <c r="D859" s="7">
        <v>909</v>
      </c>
      <c r="E859" s="3">
        <v>11</v>
      </c>
      <c r="F859" s="2">
        <v>2</v>
      </c>
      <c r="G859" t="s">
        <v>513</v>
      </c>
    </row>
    <row r="860" spans="1:7" x14ac:dyDescent="0.25">
      <c r="A860" s="1" t="str">
        <f>"517365"</f>
        <v>517365</v>
      </c>
      <c r="B860" s="8" t="s">
        <v>88</v>
      </c>
      <c r="C860" s="2" t="str">
        <f t="shared" si="33"/>
        <v>UN</v>
      </c>
      <c r="D860" s="7">
        <v>909</v>
      </c>
      <c r="E860" s="3">
        <v>11</v>
      </c>
      <c r="F860" s="2">
        <v>7</v>
      </c>
      <c r="G860" t="s">
        <v>512</v>
      </c>
    </row>
    <row r="861" spans="1:7" x14ac:dyDescent="0.25">
      <c r="A861" s="1" t="str">
        <f>"512978"</f>
        <v>512978</v>
      </c>
      <c r="B861" s="8" t="s">
        <v>39</v>
      </c>
      <c r="C861" s="2" t="str">
        <f t="shared" si="33"/>
        <v>UN</v>
      </c>
      <c r="D861" s="7">
        <v>909</v>
      </c>
      <c r="E861" s="3">
        <v>11</v>
      </c>
      <c r="F861" s="2">
        <v>9</v>
      </c>
      <c r="G861" t="s">
        <v>513</v>
      </c>
    </row>
    <row r="862" spans="1:7" x14ac:dyDescent="0.25">
      <c r="A862" s="1" t="str">
        <f>"516128"</f>
        <v>516128</v>
      </c>
      <c r="B862" s="8" t="s">
        <v>78</v>
      </c>
      <c r="C862" s="2" t="str">
        <f t="shared" si="33"/>
        <v>UN</v>
      </c>
      <c r="D862" s="7">
        <v>909</v>
      </c>
      <c r="E862" s="3">
        <v>11</v>
      </c>
      <c r="F862" s="2">
        <v>0</v>
      </c>
      <c r="G862" t="s">
        <v>514</v>
      </c>
    </row>
    <row r="863" spans="1:7" x14ac:dyDescent="0.25">
      <c r="A863" s="1" t="str">
        <f>"517366"</f>
        <v>517366</v>
      </c>
      <c r="B863" s="8" t="s">
        <v>89</v>
      </c>
      <c r="C863" s="2" t="str">
        <f t="shared" si="33"/>
        <v>UN</v>
      </c>
      <c r="D863" s="7">
        <v>909</v>
      </c>
      <c r="E863" s="3">
        <v>11</v>
      </c>
      <c r="F863" s="2">
        <v>0</v>
      </c>
      <c r="G863" t="s">
        <v>514</v>
      </c>
    </row>
    <row r="864" spans="1:7" x14ac:dyDescent="0.25">
      <c r="A864" s="1" t="str">
        <f>"512977"</f>
        <v>512977</v>
      </c>
      <c r="B864" s="8" t="s">
        <v>38</v>
      </c>
      <c r="C864" s="2" t="str">
        <f t="shared" si="33"/>
        <v>UN</v>
      </c>
      <c r="D864" s="7">
        <v>909</v>
      </c>
      <c r="E864" s="3">
        <v>11</v>
      </c>
      <c r="F864" s="2">
        <v>2</v>
      </c>
      <c r="G864" t="s">
        <v>514</v>
      </c>
    </row>
    <row r="865" spans="1:7" x14ac:dyDescent="0.25">
      <c r="A865" s="1" t="str">
        <f>"513823"</f>
        <v>513823</v>
      </c>
      <c r="B865" s="2" t="str">
        <f>"ANEL DE VEDAÇAO EPDM DIAM. INT. 455MM X 6MM ALT. X 10MM LARG"</f>
        <v>ANEL DE VEDAÇAO EPDM DIAM. INT. 455MM X 6MM ALT. X 10MM LARG</v>
      </c>
      <c r="C865" s="2" t="str">
        <f t="shared" si="33"/>
        <v>UN</v>
      </c>
      <c r="D865" s="7">
        <v>909</v>
      </c>
      <c r="E865" s="3">
        <v>11</v>
      </c>
      <c r="F865" s="2">
        <v>5</v>
      </c>
      <c r="G865" t="s">
        <v>513</v>
      </c>
    </row>
    <row r="866" spans="1:7" x14ac:dyDescent="0.25">
      <c r="A866" s="1" t="str">
        <f>"524744"</f>
        <v>524744</v>
      </c>
      <c r="B866" s="2" t="str">
        <f>"ANEL DE VEDAÇÃO EPDM WE70216 SPX"</f>
        <v>ANEL DE VEDAÇÃO EPDM WE70216 SPX</v>
      </c>
      <c r="C866" s="2" t="str">
        <f t="shared" si="33"/>
        <v>UN</v>
      </c>
      <c r="D866" s="7">
        <v>807</v>
      </c>
      <c r="E866" s="3">
        <v>11</v>
      </c>
      <c r="F866" s="2">
        <v>0</v>
      </c>
      <c r="G866" t="s">
        <v>513</v>
      </c>
    </row>
    <row r="867" spans="1:7" x14ac:dyDescent="0.25">
      <c r="A867" s="1" t="str">
        <f>"527562"</f>
        <v>527562</v>
      </c>
      <c r="B867" s="2" t="str">
        <f>"ANEL DE VEDAÇÃO GCM/GTCM 340"</f>
        <v>ANEL DE VEDAÇÃO GCM/GTCM 340</v>
      </c>
      <c r="C867" s="2" t="str">
        <f>"PC"</f>
        <v>PC</v>
      </c>
      <c r="D867" s="7">
        <v>918</v>
      </c>
      <c r="E867" s="3">
        <v>11</v>
      </c>
      <c r="F867" s="2">
        <v>2</v>
      </c>
      <c r="G867" t="s">
        <v>513</v>
      </c>
    </row>
    <row r="868" spans="1:7" x14ac:dyDescent="0.25">
      <c r="A868" s="1" t="str">
        <f>"511648"</f>
        <v>511648</v>
      </c>
      <c r="B868" s="8" t="s">
        <v>32</v>
      </c>
      <c r="C868" s="2" t="str">
        <f>"UN"</f>
        <v>UN</v>
      </c>
      <c r="D868" s="7">
        <v>909</v>
      </c>
      <c r="E868" s="3">
        <v>11</v>
      </c>
      <c r="F868" s="2">
        <v>5</v>
      </c>
      <c r="G868" t="s">
        <v>512</v>
      </c>
    </row>
    <row r="869" spans="1:7" x14ac:dyDescent="0.25">
      <c r="A869" s="1" t="str">
        <f>"525614"</f>
        <v>525614</v>
      </c>
      <c r="B869" s="2" t="str">
        <f>"ANEL DE VEDAÇAO P/ VALVULA BORBOLETA 2X1/2 POL. VITON"</f>
        <v>ANEL DE VEDAÇAO P/ VALVULA BORBOLETA 2X1/2 POL. VITON</v>
      </c>
      <c r="C869" s="2" t="str">
        <f>"UN"</f>
        <v>UN</v>
      </c>
      <c r="D869" s="7">
        <v>909</v>
      </c>
      <c r="E869" s="3">
        <v>11</v>
      </c>
      <c r="F869" s="5">
        <v>5</v>
      </c>
      <c r="G869" t="s">
        <v>513</v>
      </c>
    </row>
    <row r="870" spans="1:7" x14ac:dyDescent="0.25">
      <c r="A870" s="1" t="str">
        <f>"503319"</f>
        <v>503319</v>
      </c>
      <c r="B870" s="2" t="str">
        <f>"ANEL DE VEDACAO P/VB SILICONE 2 1/2"""</f>
        <v>ANEL DE VEDACAO P/VB SILICONE 2 1/2"</v>
      </c>
      <c r="C870" s="2" t="str">
        <f>"BR"</f>
        <v>BR</v>
      </c>
      <c r="D870" s="7">
        <v>807</v>
      </c>
      <c r="E870" s="3">
        <v>10</v>
      </c>
      <c r="F870" s="2">
        <v>3</v>
      </c>
      <c r="G870" t="s">
        <v>514</v>
      </c>
    </row>
    <row r="871" spans="1:7" x14ac:dyDescent="0.25">
      <c r="A871" s="1" t="str">
        <f>"508995"</f>
        <v>508995</v>
      </c>
      <c r="B871" s="2" t="str">
        <f>"ANEL DE VEDAÇAO POS 58 APF 8009"</f>
        <v>ANEL DE VEDAÇAO POS 58 APF 8009</v>
      </c>
      <c r="C871" s="2" t="str">
        <f>"UN"</f>
        <v>UN</v>
      </c>
      <c r="D871" s="7">
        <v>909</v>
      </c>
      <c r="E871" s="3">
        <v>11</v>
      </c>
      <c r="F871" s="2">
        <v>8</v>
      </c>
      <c r="G871" t="s">
        <v>515</v>
      </c>
    </row>
    <row r="872" spans="1:7" x14ac:dyDescent="0.25">
      <c r="A872" s="1" t="str">
        <f>"516299"</f>
        <v>516299</v>
      </c>
      <c r="B872" s="2" t="str">
        <f>"ANEL DE VEDAÇAO QUADRADO 306 X 07 X 07MM"</f>
        <v>ANEL DE VEDAÇAO QUADRADO 306 X 07 X 07MM</v>
      </c>
      <c r="C872" s="2" t="str">
        <f>"UN"</f>
        <v>UN</v>
      </c>
      <c r="D872" s="7">
        <v>909</v>
      </c>
      <c r="E872" s="3">
        <v>11</v>
      </c>
      <c r="F872" s="2">
        <v>6</v>
      </c>
      <c r="G872" t="s">
        <v>512</v>
      </c>
    </row>
    <row r="873" spans="1:7" x14ac:dyDescent="0.25">
      <c r="A873" s="1" t="str">
        <f>"504503"</f>
        <v>504503</v>
      </c>
      <c r="B873" s="2" t="str">
        <f>"ANEL DE VEDACAO TUBO DE PVC DE 100MM"</f>
        <v>ANEL DE VEDACAO TUBO DE PVC DE 100MM</v>
      </c>
      <c r="C873" s="2" t="str">
        <f>"BR"</f>
        <v>BR</v>
      </c>
      <c r="D873" s="7">
        <v>807</v>
      </c>
      <c r="E873" s="3">
        <v>10</v>
      </c>
      <c r="F873" s="2">
        <v>4</v>
      </c>
      <c r="G873" t="s">
        <v>516</v>
      </c>
    </row>
    <row r="874" spans="1:7" x14ac:dyDescent="0.25">
      <c r="A874" s="1" t="str">
        <f>"508593"</f>
        <v>508593</v>
      </c>
      <c r="B874" s="2" t="str">
        <f>"ANEL DE VEDAÇAO TUBO DE PVC DE 150MM"</f>
        <v>ANEL DE VEDAÇAO TUBO DE PVC DE 150MM</v>
      </c>
      <c r="C874" s="2" t="str">
        <f t="shared" ref="C874:C905" si="34">"UN"</f>
        <v>UN</v>
      </c>
      <c r="D874" s="7">
        <v>402</v>
      </c>
      <c r="E874" s="3">
        <v>4</v>
      </c>
      <c r="F874" s="2">
        <v>1</v>
      </c>
      <c r="G874" t="s">
        <v>515</v>
      </c>
    </row>
    <row r="875" spans="1:7" x14ac:dyDescent="0.25">
      <c r="A875" s="1" t="str">
        <f>"505091"</f>
        <v>505091</v>
      </c>
      <c r="B875" s="2" t="str">
        <f>"ANEL DE VEDAÇÃO TUBO DE PVC DE 50MM"</f>
        <v>ANEL DE VEDAÇÃO TUBO DE PVC DE 50MM</v>
      </c>
      <c r="C875" s="2" t="str">
        <f t="shared" si="34"/>
        <v>UN</v>
      </c>
      <c r="D875" s="7">
        <v>803</v>
      </c>
      <c r="E875" s="3">
        <v>10</v>
      </c>
      <c r="F875" s="2">
        <v>2</v>
      </c>
      <c r="G875" t="s">
        <v>514</v>
      </c>
    </row>
    <row r="876" spans="1:7" x14ac:dyDescent="0.25">
      <c r="A876" s="1" t="str">
        <f>"519928"</f>
        <v>519928</v>
      </c>
      <c r="B876" s="2" t="str">
        <f>"ANEL DE VEDAÇÃO TUBO DE PVC DE 75MM"</f>
        <v>ANEL DE VEDAÇÃO TUBO DE PVC DE 75MM</v>
      </c>
      <c r="C876" s="2" t="str">
        <f t="shared" si="34"/>
        <v>UN</v>
      </c>
      <c r="D876" s="7">
        <v>808</v>
      </c>
      <c r="E876" s="3">
        <v>10</v>
      </c>
      <c r="F876" s="2">
        <v>7</v>
      </c>
      <c r="G876" t="s">
        <v>512</v>
      </c>
    </row>
    <row r="877" spans="1:7" x14ac:dyDescent="0.25">
      <c r="A877" s="1" t="str">
        <f>"516533"</f>
        <v>516533</v>
      </c>
      <c r="B877" s="8" t="s">
        <v>82</v>
      </c>
      <c r="C877" s="2" t="str">
        <f t="shared" si="34"/>
        <v>UN</v>
      </c>
      <c r="D877" s="7">
        <v>909</v>
      </c>
      <c r="E877" s="3">
        <v>11</v>
      </c>
      <c r="F877" s="2">
        <v>9</v>
      </c>
      <c r="G877" t="s">
        <v>513</v>
      </c>
    </row>
    <row r="878" spans="1:7" x14ac:dyDescent="0.25">
      <c r="A878" s="1" t="str">
        <f>"516514"</f>
        <v>516514</v>
      </c>
      <c r="B878" s="8" t="s">
        <v>81</v>
      </c>
      <c r="C878" s="2" t="str">
        <f t="shared" si="34"/>
        <v>UN</v>
      </c>
      <c r="D878" s="7">
        <v>909</v>
      </c>
      <c r="E878" s="3">
        <v>11</v>
      </c>
      <c r="F878" s="2">
        <v>0</v>
      </c>
      <c r="G878" t="s">
        <v>514</v>
      </c>
    </row>
    <row r="879" spans="1:7" x14ac:dyDescent="0.25">
      <c r="A879" s="1" t="str">
        <f>"516019"</f>
        <v>516019</v>
      </c>
      <c r="B879" s="2" t="str">
        <f>"ANEL DE VEDAÇÃO VITON 19 X 2,5MM (IMSB LITRO)"</f>
        <v>ANEL DE VEDAÇÃO VITON 19 X 2,5MM (IMSB LITRO)</v>
      </c>
      <c r="C879" s="2" t="str">
        <f t="shared" si="34"/>
        <v>UN</v>
      </c>
      <c r="D879" s="7">
        <v>909</v>
      </c>
      <c r="E879" s="3">
        <v>11</v>
      </c>
      <c r="F879" s="2">
        <v>0</v>
      </c>
      <c r="G879" t="s">
        <v>514</v>
      </c>
    </row>
    <row r="880" spans="1:7" x14ac:dyDescent="0.25">
      <c r="A880" s="1" t="str">
        <f>"511798"</f>
        <v>511798</v>
      </c>
      <c r="B880" s="8" t="s">
        <v>33</v>
      </c>
      <c r="C880" s="2" t="str">
        <f t="shared" si="34"/>
        <v>UN</v>
      </c>
      <c r="D880" s="7">
        <v>909</v>
      </c>
      <c r="E880" s="3">
        <v>11</v>
      </c>
      <c r="F880" s="2">
        <v>2</v>
      </c>
      <c r="G880" t="s">
        <v>512</v>
      </c>
    </row>
    <row r="881" spans="1:7" x14ac:dyDescent="0.25">
      <c r="A881" s="1" t="str">
        <f>"504053"</f>
        <v>504053</v>
      </c>
      <c r="B881" s="2" t="str">
        <f>"ANEL DESBASTE PR-60/125"</f>
        <v>ANEL DESBASTE PR-60/125</v>
      </c>
      <c r="C881" s="2" t="str">
        <f t="shared" si="34"/>
        <v>UN</v>
      </c>
      <c r="D881" s="7">
        <v>909</v>
      </c>
      <c r="E881" s="3">
        <v>11</v>
      </c>
      <c r="F881" s="2">
        <v>5</v>
      </c>
      <c r="G881" t="s">
        <v>513</v>
      </c>
    </row>
    <row r="882" spans="1:7" x14ac:dyDescent="0.25">
      <c r="A882" s="1" t="str">
        <f>"518022"</f>
        <v>518022</v>
      </c>
      <c r="B882" s="2" t="str">
        <f>"ANEL DESGASTE KSB MEGACHEM 65-315 FOFO A50 CORPO 140809291"</f>
        <v>ANEL DESGASTE KSB MEGACHEM 65-315 FOFO A50 CORPO 140809291</v>
      </c>
      <c r="C882" s="2" t="str">
        <f t="shared" si="34"/>
        <v>UN</v>
      </c>
      <c r="D882" s="7">
        <v>1400</v>
      </c>
      <c r="E882" s="3">
        <v>11</v>
      </c>
      <c r="F882" s="2">
        <v>6</v>
      </c>
      <c r="G882" t="s">
        <v>514</v>
      </c>
    </row>
    <row r="883" spans="1:7" x14ac:dyDescent="0.25">
      <c r="A883" s="1" t="str">
        <f>"518021"</f>
        <v>518021</v>
      </c>
      <c r="B883" s="2" t="str">
        <f>"ANEL DESGASTE KSB MEGACHEM 65-315 FOFO A50 ROTOR 140809303"</f>
        <v>ANEL DESGASTE KSB MEGACHEM 65-315 FOFO A50 ROTOR 140809303</v>
      </c>
      <c r="C883" s="2" t="str">
        <f t="shared" si="34"/>
        <v>UN</v>
      </c>
      <c r="D883" s="7">
        <v>1400</v>
      </c>
      <c r="E883" s="3">
        <v>11</v>
      </c>
      <c r="F883" s="2">
        <v>9</v>
      </c>
      <c r="G883" t="s">
        <v>514</v>
      </c>
    </row>
    <row r="884" spans="1:7" x14ac:dyDescent="0.25">
      <c r="A884" s="1" t="str">
        <f>"510651"</f>
        <v>510651</v>
      </c>
      <c r="B884" s="2" t="str">
        <f>"ANEL DO BLOCO S-37 RKN-6 2006"</f>
        <v>ANEL DO BLOCO S-37 RKN-6 2006</v>
      </c>
      <c r="C884" s="2" t="str">
        <f t="shared" si="34"/>
        <v>UN</v>
      </c>
      <c r="D884" s="7">
        <v>909</v>
      </c>
      <c r="E884" s="3">
        <v>11</v>
      </c>
      <c r="F884" s="2">
        <v>5</v>
      </c>
      <c r="G884" t="s">
        <v>514</v>
      </c>
    </row>
    <row r="885" spans="1:7" x14ac:dyDescent="0.25">
      <c r="A885" s="1" t="str">
        <f>"505441"</f>
        <v>505441</v>
      </c>
      <c r="B885" s="2" t="str">
        <f>"ANEL DO COOLER"</f>
        <v>ANEL DO COOLER</v>
      </c>
      <c r="C885" s="2" t="str">
        <f t="shared" si="34"/>
        <v>UN</v>
      </c>
      <c r="D885" s="7">
        <v>704</v>
      </c>
      <c r="E885" s="3">
        <v>9</v>
      </c>
      <c r="F885" s="2">
        <v>3</v>
      </c>
      <c r="G885" t="s">
        <v>513</v>
      </c>
    </row>
    <row r="886" spans="1:7" x14ac:dyDescent="0.25">
      <c r="A886" s="1" t="str">
        <f>"501746"</f>
        <v>501746</v>
      </c>
      <c r="B886" s="2" t="str">
        <f>"ANEL DO ESTRANGULADOR"</f>
        <v>ANEL DO ESTRANGULADOR</v>
      </c>
      <c r="C886" s="2" t="str">
        <f t="shared" si="34"/>
        <v>UN</v>
      </c>
      <c r="D886" s="7">
        <v>704</v>
      </c>
      <c r="E886" s="3">
        <v>9</v>
      </c>
      <c r="F886" s="2">
        <v>3</v>
      </c>
      <c r="G886" t="s">
        <v>512</v>
      </c>
    </row>
    <row r="887" spans="1:7" x14ac:dyDescent="0.25">
      <c r="A887" s="1" t="str">
        <f>"509062"</f>
        <v>509062</v>
      </c>
      <c r="B887" s="2" t="str">
        <f>"ANEL ELASTICO"</f>
        <v>ANEL ELASTICO</v>
      </c>
      <c r="C887" s="2" t="str">
        <f t="shared" si="34"/>
        <v>UN</v>
      </c>
      <c r="D887" s="7">
        <v>918</v>
      </c>
      <c r="E887" s="3">
        <v>11</v>
      </c>
      <c r="F887" s="2">
        <v>2</v>
      </c>
      <c r="G887" t="s">
        <v>513</v>
      </c>
    </row>
    <row r="888" spans="1:7" x14ac:dyDescent="0.25">
      <c r="A888" s="1" t="str">
        <f>"527268"</f>
        <v>527268</v>
      </c>
      <c r="B888" s="2" t="str">
        <f>"ANEL ELASTICO - E12"</f>
        <v>ANEL ELASTICO - E12</v>
      </c>
      <c r="C888" s="2" t="str">
        <f t="shared" si="34"/>
        <v>UN</v>
      </c>
      <c r="D888" s="7">
        <v>918</v>
      </c>
      <c r="E888" s="3">
        <v>11</v>
      </c>
      <c r="F888" s="2">
        <v>1</v>
      </c>
      <c r="G888" t="s">
        <v>514</v>
      </c>
    </row>
    <row r="889" spans="1:7" x14ac:dyDescent="0.25">
      <c r="A889" s="1" t="str">
        <f>"509059"</f>
        <v>509059</v>
      </c>
      <c r="B889" s="2" t="str">
        <f>"ANEL ELASTICO 006900170"</f>
        <v>ANEL ELASTICO 006900170</v>
      </c>
      <c r="C889" s="2" t="str">
        <f t="shared" si="34"/>
        <v>UN</v>
      </c>
      <c r="D889" s="7">
        <v>918</v>
      </c>
      <c r="E889" s="3">
        <v>11</v>
      </c>
      <c r="F889" s="2">
        <v>4</v>
      </c>
      <c r="G889" t="s">
        <v>514</v>
      </c>
    </row>
    <row r="890" spans="1:7" x14ac:dyDescent="0.25">
      <c r="A890" s="1" t="str">
        <f>"509048"</f>
        <v>509048</v>
      </c>
      <c r="B890" s="2" t="str">
        <f>"ANEL ELASTICO 006900200"</f>
        <v>ANEL ELASTICO 006900200</v>
      </c>
      <c r="C890" s="2" t="str">
        <f t="shared" si="34"/>
        <v>UN</v>
      </c>
      <c r="D890" s="7">
        <v>918</v>
      </c>
      <c r="E890" s="3">
        <v>11</v>
      </c>
      <c r="F890" s="2">
        <v>6</v>
      </c>
      <c r="G890" t="s">
        <v>514</v>
      </c>
    </row>
    <row r="891" spans="1:7" x14ac:dyDescent="0.25">
      <c r="A891" s="1" t="str">
        <f>"509068"</f>
        <v>509068</v>
      </c>
      <c r="B891" s="2" t="str">
        <f>"ANEL ELASTICO 006900200"</f>
        <v>ANEL ELASTICO 006900200</v>
      </c>
      <c r="C891" s="2" t="str">
        <f t="shared" si="34"/>
        <v>UN</v>
      </c>
      <c r="D891" s="7">
        <v>918</v>
      </c>
      <c r="E891" s="3">
        <v>11</v>
      </c>
      <c r="F891" s="2">
        <v>8</v>
      </c>
      <c r="G891" t="s">
        <v>513</v>
      </c>
    </row>
    <row r="892" spans="1:7" x14ac:dyDescent="0.25">
      <c r="A892" s="1" t="str">
        <f>"509051"</f>
        <v>509051</v>
      </c>
      <c r="B892" s="2" t="str">
        <f>"ANEL ELASTICO 006900227"</f>
        <v>ANEL ELASTICO 006900227</v>
      </c>
      <c r="C892" s="2" t="str">
        <f t="shared" si="34"/>
        <v>UN</v>
      </c>
      <c r="D892" s="7">
        <v>918</v>
      </c>
      <c r="E892" s="3">
        <v>11</v>
      </c>
      <c r="F892" s="2">
        <v>7</v>
      </c>
      <c r="G892" t="s">
        <v>513</v>
      </c>
    </row>
    <row r="893" spans="1:7" x14ac:dyDescent="0.25">
      <c r="A893" s="1" t="str">
        <f>"509071"</f>
        <v>509071</v>
      </c>
      <c r="B893" s="2" t="str">
        <f>"ANEL ELASTICO 006900227"</f>
        <v>ANEL ELASTICO 006900227</v>
      </c>
      <c r="C893" s="2" t="str">
        <f t="shared" si="34"/>
        <v>UN</v>
      </c>
      <c r="D893" s="7">
        <v>918</v>
      </c>
      <c r="E893" s="3">
        <v>11</v>
      </c>
      <c r="F893" s="2">
        <v>6</v>
      </c>
      <c r="G893" t="s">
        <v>513</v>
      </c>
    </row>
    <row r="894" spans="1:7" x14ac:dyDescent="0.25">
      <c r="A894" s="1" t="str">
        <f>"505387"</f>
        <v>505387</v>
      </c>
      <c r="B894" s="2" t="str">
        <f>"ANEL ELASTICO 25X1,2MM DIN 471"</f>
        <v>ANEL ELASTICO 25X1,2MM DIN 471</v>
      </c>
      <c r="C894" s="2" t="str">
        <f t="shared" si="34"/>
        <v>UN</v>
      </c>
      <c r="D894" s="7">
        <v>918</v>
      </c>
      <c r="E894" s="3">
        <v>11</v>
      </c>
      <c r="F894" s="2">
        <v>6</v>
      </c>
      <c r="G894" t="s">
        <v>512</v>
      </c>
    </row>
    <row r="895" spans="1:7" x14ac:dyDescent="0.25">
      <c r="A895" s="1" t="str">
        <f>"505386"</f>
        <v>505386</v>
      </c>
      <c r="B895" s="2" t="str">
        <f>"ANEL ELASTICO 52X2MM DIN 472"</f>
        <v>ANEL ELASTICO 52X2MM DIN 472</v>
      </c>
      <c r="C895" s="2" t="str">
        <f t="shared" si="34"/>
        <v>UN</v>
      </c>
      <c r="D895" s="7">
        <v>918</v>
      </c>
      <c r="E895" s="3">
        <v>11</v>
      </c>
      <c r="F895" s="2">
        <v>2</v>
      </c>
      <c r="G895" t="s">
        <v>513</v>
      </c>
    </row>
    <row r="896" spans="1:7" x14ac:dyDescent="0.25">
      <c r="A896" s="1" t="str">
        <f>"501352"</f>
        <v>501352</v>
      </c>
      <c r="B896" s="2" t="str">
        <f>"ANEL ELASTICO COD.465267-3 BRASKOP 2000"</f>
        <v>ANEL ELASTICO COD.465267-3 BRASKOP 2000</v>
      </c>
      <c r="C896" s="2" t="str">
        <f t="shared" si="34"/>
        <v>UN</v>
      </c>
      <c r="D896" s="7">
        <v>918</v>
      </c>
      <c r="E896" s="3">
        <v>11</v>
      </c>
      <c r="F896" s="2">
        <v>1</v>
      </c>
      <c r="G896" t="s">
        <v>514</v>
      </c>
    </row>
    <row r="897" spans="1:7" x14ac:dyDescent="0.25">
      <c r="A897" s="1" t="str">
        <f>"506812"</f>
        <v>506812</v>
      </c>
      <c r="B897" s="2" t="str">
        <f>"ANEL ELASTICO EXTERNO 08MM"</f>
        <v>ANEL ELASTICO EXTERNO 08MM</v>
      </c>
      <c r="C897" s="2" t="str">
        <f t="shared" si="34"/>
        <v>UN</v>
      </c>
      <c r="D897" s="7">
        <v>812</v>
      </c>
      <c r="E897" s="3">
        <v>10</v>
      </c>
      <c r="F897" s="2">
        <v>0</v>
      </c>
      <c r="G897" t="s">
        <v>515</v>
      </c>
    </row>
    <row r="898" spans="1:7" x14ac:dyDescent="0.25">
      <c r="A898" s="1" t="str">
        <f>"517458"</f>
        <v>517458</v>
      </c>
      <c r="B898" s="2" t="str">
        <f>"ANEL ELASTICO EXTERNO 09MM"</f>
        <v>ANEL ELASTICO EXTERNO 09MM</v>
      </c>
      <c r="C898" s="2" t="str">
        <f t="shared" si="34"/>
        <v>UN</v>
      </c>
      <c r="D898" s="7">
        <v>918</v>
      </c>
      <c r="E898" s="3">
        <v>11</v>
      </c>
      <c r="F898" s="2">
        <v>0</v>
      </c>
      <c r="G898" t="s">
        <v>512</v>
      </c>
    </row>
    <row r="899" spans="1:7" x14ac:dyDescent="0.25">
      <c r="A899" s="1" t="str">
        <f>"513930"</f>
        <v>513930</v>
      </c>
      <c r="B899" s="2" t="str">
        <f>"ANEL ELASTICO EXTERNO 10MM"</f>
        <v>ANEL ELASTICO EXTERNO 10MM</v>
      </c>
      <c r="C899" s="2" t="str">
        <f t="shared" si="34"/>
        <v>UN</v>
      </c>
      <c r="D899" s="7">
        <v>99999</v>
      </c>
      <c r="E899" s="3">
        <v>10</v>
      </c>
      <c r="F899" s="2">
        <v>0</v>
      </c>
      <c r="G899" t="s">
        <v>516</v>
      </c>
    </row>
    <row r="900" spans="1:7" x14ac:dyDescent="0.25">
      <c r="A900" s="1" t="str">
        <f>"516384"</f>
        <v>516384</v>
      </c>
      <c r="B900" s="2" t="str">
        <f>"ANEL ELASTICO EXTERNO 11MM"</f>
        <v>ANEL ELASTICO EXTERNO 11MM</v>
      </c>
      <c r="C900" s="2" t="str">
        <f t="shared" si="34"/>
        <v>UN</v>
      </c>
      <c r="D900" s="7">
        <v>918</v>
      </c>
      <c r="E900" s="3">
        <v>10</v>
      </c>
      <c r="F900" s="2">
        <v>3</v>
      </c>
      <c r="G900" t="s">
        <v>515</v>
      </c>
    </row>
    <row r="901" spans="1:7" x14ac:dyDescent="0.25">
      <c r="A901" s="1" t="str">
        <f>"513931"</f>
        <v>513931</v>
      </c>
      <c r="B901" s="2" t="str">
        <f>"ANEL ELASTICO EXTERNO 12MM"</f>
        <v>ANEL ELASTICO EXTERNO 12MM</v>
      </c>
      <c r="C901" s="2" t="str">
        <f t="shared" si="34"/>
        <v>UN</v>
      </c>
      <c r="D901" s="7">
        <v>99999</v>
      </c>
      <c r="E901" s="3">
        <v>10</v>
      </c>
      <c r="F901" s="5">
        <v>5</v>
      </c>
      <c r="G901" t="s">
        <v>514</v>
      </c>
    </row>
    <row r="902" spans="1:7" x14ac:dyDescent="0.25">
      <c r="A902" s="1" t="str">
        <f>"516385"</f>
        <v>516385</v>
      </c>
      <c r="B902" s="2" t="str">
        <f>"ANEL ELASTICO EXTERNO 13MM"</f>
        <v>ANEL ELASTICO EXTERNO 13MM</v>
      </c>
      <c r="C902" s="2" t="str">
        <f t="shared" si="34"/>
        <v>UN</v>
      </c>
      <c r="D902" s="7">
        <v>918</v>
      </c>
      <c r="E902" s="3">
        <v>10</v>
      </c>
      <c r="F902" s="2">
        <v>3</v>
      </c>
      <c r="G902" t="s">
        <v>512</v>
      </c>
    </row>
    <row r="903" spans="1:7" x14ac:dyDescent="0.25">
      <c r="A903" s="1" t="str">
        <f>"513932"</f>
        <v>513932</v>
      </c>
      <c r="B903" s="2" t="str">
        <f>"ANEL ELASTICO EXTERNO 14MM"</f>
        <v>ANEL ELASTICO EXTERNO 14MM</v>
      </c>
      <c r="C903" s="2" t="str">
        <f t="shared" si="34"/>
        <v>UN</v>
      </c>
      <c r="D903" s="7">
        <v>99999</v>
      </c>
      <c r="E903" s="3">
        <v>10</v>
      </c>
      <c r="F903" s="2">
        <v>8</v>
      </c>
      <c r="G903" t="s">
        <v>513</v>
      </c>
    </row>
    <row r="904" spans="1:7" x14ac:dyDescent="0.25">
      <c r="A904" s="1" t="str">
        <f>"517459"</f>
        <v>517459</v>
      </c>
      <c r="B904" s="2" t="str">
        <f>"ANEL ELASTICO EXTERNO 15MM"</f>
        <v>ANEL ELASTICO EXTERNO 15MM</v>
      </c>
      <c r="C904" s="2" t="str">
        <f t="shared" si="34"/>
        <v>UN</v>
      </c>
      <c r="D904" s="7">
        <v>918</v>
      </c>
      <c r="E904" s="3">
        <v>11</v>
      </c>
      <c r="F904" s="2">
        <v>6</v>
      </c>
      <c r="G904" t="s">
        <v>514</v>
      </c>
    </row>
    <row r="905" spans="1:7" x14ac:dyDescent="0.25">
      <c r="A905" s="1" t="str">
        <f>"508559"</f>
        <v>508559</v>
      </c>
      <c r="B905" s="2" t="str">
        <f>"ANEL ELASTICO EXTERNO 16MM"</f>
        <v>ANEL ELASTICO EXTERNO 16MM</v>
      </c>
      <c r="C905" s="2" t="str">
        <f t="shared" si="34"/>
        <v>UN</v>
      </c>
      <c r="D905" s="7">
        <v>99999</v>
      </c>
      <c r="E905" s="3">
        <v>10</v>
      </c>
      <c r="F905" s="2">
        <v>4</v>
      </c>
      <c r="G905" t="s">
        <v>514</v>
      </c>
    </row>
    <row r="906" spans="1:7" x14ac:dyDescent="0.25">
      <c r="A906" s="1" t="str">
        <f>"510013"</f>
        <v>510013</v>
      </c>
      <c r="B906" s="2" t="str">
        <f>"ANEL ELASTICO EXTERNO 17MM"</f>
        <v>ANEL ELASTICO EXTERNO 17MM</v>
      </c>
      <c r="C906" s="2" t="str">
        <f t="shared" ref="C906:C937" si="35">"UN"</f>
        <v>UN</v>
      </c>
      <c r="D906" s="7">
        <v>99999</v>
      </c>
      <c r="E906" s="3">
        <v>10</v>
      </c>
      <c r="F906" s="2">
        <v>1</v>
      </c>
      <c r="G906" t="s">
        <v>512</v>
      </c>
    </row>
    <row r="907" spans="1:7" x14ac:dyDescent="0.25">
      <c r="A907" s="1" t="str">
        <f>"512272"</f>
        <v>512272</v>
      </c>
      <c r="B907" s="2" t="str">
        <f>"ANEL ELASTICO EXTERNO 18MM"</f>
        <v>ANEL ELASTICO EXTERNO 18MM</v>
      </c>
      <c r="C907" s="2" t="str">
        <f t="shared" si="35"/>
        <v>UN</v>
      </c>
      <c r="D907" s="7">
        <v>918</v>
      </c>
      <c r="E907" s="3">
        <v>11</v>
      </c>
      <c r="F907" s="2">
        <v>2</v>
      </c>
      <c r="G907" t="s">
        <v>513</v>
      </c>
    </row>
    <row r="908" spans="1:7" x14ac:dyDescent="0.25">
      <c r="A908" s="1" t="str">
        <f>"510014"</f>
        <v>510014</v>
      </c>
      <c r="B908" s="2" t="str">
        <f>"ANEL ELASTICO EXTERNO 19MM"</f>
        <v>ANEL ELASTICO EXTERNO 19MM</v>
      </c>
      <c r="C908" s="2" t="str">
        <f t="shared" si="35"/>
        <v>UN</v>
      </c>
      <c r="D908" s="7">
        <v>99999</v>
      </c>
      <c r="E908" s="3">
        <v>10</v>
      </c>
      <c r="F908" s="2">
        <v>7</v>
      </c>
      <c r="G908" t="s">
        <v>514</v>
      </c>
    </row>
    <row r="909" spans="1:7" x14ac:dyDescent="0.25">
      <c r="A909" s="1" t="str">
        <f>"508561"</f>
        <v>508561</v>
      </c>
      <c r="B909" s="2" t="str">
        <f>"ANEL ELASTICO EXTERNO 20MM"</f>
        <v>ANEL ELASTICO EXTERNO 20MM</v>
      </c>
      <c r="C909" s="2" t="str">
        <f t="shared" si="35"/>
        <v>UN</v>
      </c>
      <c r="D909" s="7">
        <v>812</v>
      </c>
      <c r="E909" s="3">
        <v>10</v>
      </c>
      <c r="F909" s="2">
        <v>9</v>
      </c>
      <c r="G909" t="s">
        <v>514</v>
      </c>
    </row>
    <row r="910" spans="1:7" x14ac:dyDescent="0.25">
      <c r="A910" s="1" t="str">
        <f>"517460"</f>
        <v>517460</v>
      </c>
      <c r="B910" s="2" t="str">
        <f>"ANEL ELASTICO EXTERNO 21MM"</f>
        <v>ANEL ELASTICO EXTERNO 21MM</v>
      </c>
      <c r="C910" s="2" t="str">
        <f t="shared" si="35"/>
        <v>UN</v>
      </c>
      <c r="D910" s="7">
        <v>918</v>
      </c>
      <c r="E910" s="3">
        <v>11</v>
      </c>
      <c r="F910" s="2">
        <v>0</v>
      </c>
      <c r="G910" t="s">
        <v>514</v>
      </c>
    </row>
    <row r="911" spans="1:7" x14ac:dyDescent="0.25">
      <c r="A911" s="1" t="str">
        <f>"508560"</f>
        <v>508560</v>
      </c>
      <c r="B911" s="2" t="str">
        <f>"ANEL ELASTICO EXTERNO 22MM"</f>
        <v>ANEL ELASTICO EXTERNO 22MM</v>
      </c>
      <c r="C911" s="2" t="str">
        <f t="shared" si="35"/>
        <v>UN</v>
      </c>
      <c r="D911" s="7">
        <v>812</v>
      </c>
      <c r="E911" s="3">
        <v>10</v>
      </c>
      <c r="F911" s="2">
        <v>0</v>
      </c>
      <c r="G911" t="s">
        <v>513</v>
      </c>
    </row>
    <row r="912" spans="1:7" x14ac:dyDescent="0.25">
      <c r="A912" s="1" t="str">
        <f>"516386"</f>
        <v>516386</v>
      </c>
      <c r="B912" s="2" t="str">
        <f>"ANEL ELASTICO EXTERNO 23MM"</f>
        <v>ANEL ELASTICO EXTERNO 23MM</v>
      </c>
      <c r="C912" s="2" t="str">
        <f t="shared" si="35"/>
        <v>UN</v>
      </c>
      <c r="D912" s="7">
        <v>918</v>
      </c>
      <c r="E912" s="3">
        <v>10</v>
      </c>
      <c r="F912" s="2">
        <v>2</v>
      </c>
      <c r="G912" t="s">
        <v>512</v>
      </c>
    </row>
    <row r="913" spans="1:7" x14ac:dyDescent="0.25">
      <c r="A913" s="1" t="str">
        <f>"510015"</f>
        <v>510015</v>
      </c>
      <c r="B913" s="2" t="str">
        <f>"ANEL ELASTICO EXTERNO 24MM"</f>
        <v>ANEL ELASTICO EXTERNO 24MM</v>
      </c>
      <c r="C913" s="2" t="str">
        <f t="shared" si="35"/>
        <v>UN</v>
      </c>
      <c r="D913" s="7">
        <v>812</v>
      </c>
      <c r="E913" s="3">
        <v>10</v>
      </c>
      <c r="F913" s="2">
        <v>5</v>
      </c>
      <c r="G913" t="s">
        <v>513</v>
      </c>
    </row>
    <row r="914" spans="1:7" x14ac:dyDescent="0.25">
      <c r="A914" s="1" t="str">
        <f>"517461"</f>
        <v>517461</v>
      </c>
      <c r="B914" s="2" t="str">
        <f>"ANEL ELASTICO EXTERNO 25MM"</f>
        <v>ANEL ELASTICO EXTERNO 25MM</v>
      </c>
      <c r="C914" s="2" t="str">
        <f t="shared" si="35"/>
        <v>UN</v>
      </c>
      <c r="D914" s="7">
        <v>918</v>
      </c>
      <c r="E914" s="3">
        <v>11</v>
      </c>
      <c r="F914" s="2">
        <v>6</v>
      </c>
      <c r="G914" t="s">
        <v>514</v>
      </c>
    </row>
    <row r="915" spans="1:7" x14ac:dyDescent="0.25">
      <c r="A915" s="1" t="str">
        <f>"512274"</f>
        <v>512274</v>
      </c>
      <c r="B915" s="2" t="str">
        <f>"ANEL ELASTICO EXTERNO 26MM"</f>
        <v>ANEL ELASTICO EXTERNO 26MM</v>
      </c>
      <c r="C915" s="2" t="str">
        <f t="shared" si="35"/>
        <v>UN</v>
      </c>
      <c r="D915" s="7">
        <v>918</v>
      </c>
      <c r="E915" s="3">
        <v>11</v>
      </c>
      <c r="F915" s="2">
        <v>9</v>
      </c>
      <c r="G915" t="s">
        <v>514</v>
      </c>
    </row>
    <row r="916" spans="1:7" x14ac:dyDescent="0.25">
      <c r="A916" s="1" t="str">
        <f>"517462"</f>
        <v>517462</v>
      </c>
      <c r="B916" s="2" t="str">
        <f>"ANEL ELASTICO EXTERNO 28MM"</f>
        <v>ANEL ELASTICO EXTERNO 28MM</v>
      </c>
      <c r="C916" s="2" t="str">
        <f t="shared" si="35"/>
        <v>UN</v>
      </c>
      <c r="D916" s="7">
        <v>918</v>
      </c>
      <c r="E916" s="3">
        <v>11</v>
      </c>
      <c r="F916" s="2">
        <v>5</v>
      </c>
      <c r="G916" t="s">
        <v>514</v>
      </c>
    </row>
    <row r="917" spans="1:7" x14ac:dyDescent="0.25">
      <c r="A917" s="1" t="str">
        <f>"508974"</f>
        <v>508974</v>
      </c>
      <c r="B917" s="2" t="str">
        <f>"ANEL ELASTICO EXTERNO 29MM"</f>
        <v>ANEL ELASTICO EXTERNO 29MM</v>
      </c>
      <c r="C917" s="2" t="str">
        <f t="shared" si="35"/>
        <v>UN</v>
      </c>
      <c r="D917" s="7">
        <v>812</v>
      </c>
      <c r="E917" s="3">
        <v>10</v>
      </c>
      <c r="F917" s="2">
        <v>3</v>
      </c>
      <c r="G917" t="s">
        <v>513</v>
      </c>
    </row>
    <row r="918" spans="1:7" x14ac:dyDescent="0.25">
      <c r="A918" s="1" t="str">
        <f>"508562"</f>
        <v>508562</v>
      </c>
      <c r="B918" s="2" t="str">
        <f>"ANEL ELASTICO EXTERNO 30MM"</f>
        <v>ANEL ELASTICO EXTERNO 30MM</v>
      </c>
      <c r="C918" s="2" t="str">
        <f t="shared" si="35"/>
        <v>UN</v>
      </c>
      <c r="D918" s="7">
        <v>812</v>
      </c>
      <c r="E918" s="3">
        <v>10</v>
      </c>
      <c r="F918" s="2">
        <v>3</v>
      </c>
      <c r="G918" t="s">
        <v>513</v>
      </c>
    </row>
    <row r="919" spans="1:7" x14ac:dyDescent="0.25">
      <c r="A919" s="1" t="str">
        <f>"517463"</f>
        <v>517463</v>
      </c>
      <c r="B919" s="2" t="str">
        <f>"ANEL ELASTICO EXTERNO 31MM"</f>
        <v>ANEL ELASTICO EXTERNO 31MM</v>
      </c>
      <c r="C919" s="2" t="str">
        <f t="shared" si="35"/>
        <v>UN</v>
      </c>
      <c r="D919" s="7">
        <v>918</v>
      </c>
      <c r="E919" s="3">
        <v>11</v>
      </c>
      <c r="F919" s="2">
        <v>2</v>
      </c>
      <c r="G919" t="s">
        <v>513</v>
      </c>
    </row>
    <row r="920" spans="1:7" x14ac:dyDescent="0.25">
      <c r="A920" s="1" t="str">
        <f>"508563"</f>
        <v>508563</v>
      </c>
      <c r="B920" s="2" t="str">
        <f>"ANEL ELASTICO EXTERNO 32MM"</f>
        <v>ANEL ELASTICO EXTERNO 32MM</v>
      </c>
      <c r="C920" s="2" t="str">
        <f t="shared" si="35"/>
        <v>UN</v>
      </c>
      <c r="D920" s="7">
        <v>812</v>
      </c>
      <c r="E920" s="3">
        <v>10</v>
      </c>
      <c r="F920" s="2">
        <v>1</v>
      </c>
      <c r="G920" t="s">
        <v>512</v>
      </c>
    </row>
    <row r="921" spans="1:7" x14ac:dyDescent="0.25">
      <c r="A921" s="1" t="str">
        <f>"506544"</f>
        <v>506544</v>
      </c>
      <c r="B921" s="2" t="str">
        <f>"ANEL ELASTICO EXTERNO 34MM"</f>
        <v>ANEL ELASTICO EXTERNO 34MM</v>
      </c>
      <c r="C921" s="2" t="str">
        <f t="shared" si="35"/>
        <v>UN</v>
      </c>
      <c r="D921" s="7">
        <v>918</v>
      </c>
      <c r="E921" s="3">
        <v>10</v>
      </c>
      <c r="F921" s="2">
        <v>4</v>
      </c>
      <c r="G921" t="s">
        <v>513</v>
      </c>
    </row>
    <row r="922" spans="1:7" x14ac:dyDescent="0.25">
      <c r="A922" s="1" t="str">
        <f>"506546"</f>
        <v>506546</v>
      </c>
      <c r="B922" s="2" t="str">
        <f>"ANEL ELASTICO EXTERNO 36MM"</f>
        <v>ANEL ELASTICO EXTERNO 36MM</v>
      </c>
      <c r="C922" s="2" t="str">
        <f t="shared" si="35"/>
        <v>UN</v>
      </c>
      <c r="D922" s="7">
        <v>918</v>
      </c>
      <c r="E922" s="3">
        <v>10</v>
      </c>
      <c r="F922" s="2">
        <v>1</v>
      </c>
      <c r="G922" t="s">
        <v>514</v>
      </c>
    </row>
    <row r="923" spans="1:7" x14ac:dyDescent="0.25">
      <c r="A923" s="1" t="str">
        <f>"516099"</f>
        <v>516099</v>
      </c>
      <c r="B923" s="2" t="str">
        <f>"ANEL ELASTICO EXTERNO 38MM"</f>
        <v>ANEL ELASTICO EXTERNO 38MM</v>
      </c>
      <c r="C923" s="2" t="str">
        <f t="shared" si="35"/>
        <v>UN</v>
      </c>
      <c r="D923" s="7">
        <v>812</v>
      </c>
      <c r="E923" s="3">
        <v>4</v>
      </c>
      <c r="F923" s="2">
        <v>2</v>
      </c>
      <c r="G923" t="s">
        <v>515</v>
      </c>
    </row>
    <row r="924" spans="1:7" x14ac:dyDescent="0.25">
      <c r="A924" s="1" t="str">
        <f>"516387"</f>
        <v>516387</v>
      </c>
      <c r="B924" s="2" t="str">
        <f>"ANEL ELASTICO EXTERNO 40MM"</f>
        <v>ANEL ELASTICO EXTERNO 40MM</v>
      </c>
      <c r="C924" s="2" t="str">
        <f t="shared" si="35"/>
        <v>UN</v>
      </c>
      <c r="D924" s="7">
        <v>918</v>
      </c>
      <c r="E924" s="3">
        <v>10</v>
      </c>
      <c r="F924" s="2">
        <v>7</v>
      </c>
      <c r="G924" t="s">
        <v>512</v>
      </c>
    </row>
    <row r="925" spans="1:7" x14ac:dyDescent="0.25">
      <c r="A925" s="1" t="str">
        <f>"516388"</f>
        <v>516388</v>
      </c>
      <c r="B925" s="2" t="str">
        <f>"ANEL ELASTICO EXTERNO 42MM"</f>
        <v>ANEL ELASTICO EXTERNO 42MM</v>
      </c>
      <c r="C925" s="2" t="str">
        <f t="shared" si="35"/>
        <v>UN</v>
      </c>
      <c r="D925" s="7">
        <v>918</v>
      </c>
      <c r="E925" s="3">
        <v>10</v>
      </c>
      <c r="F925" s="2">
        <v>9</v>
      </c>
      <c r="G925" t="s">
        <v>516</v>
      </c>
    </row>
    <row r="926" spans="1:7" x14ac:dyDescent="0.25">
      <c r="A926" s="1" t="str">
        <f>"506547"</f>
        <v>506547</v>
      </c>
      <c r="B926" s="2" t="str">
        <f>"ANEL ELASTICO EXTERNO 45MM"</f>
        <v>ANEL ELASTICO EXTERNO 45MM</v>
      </c>
      <c r="C926" s="2" t="str">
        <f t="shared" si="35"/>
        <v>UN</v>
      </c>
      <c r="D926" s="7">
        <v>918</v>
      </c>
      <c r="E926" s="3">
        <v>10</v>
      </c>
      <c r="F926" s="2">
        <v>0</v>
      </c>
      <c r="G926" t="s">
        <v>515</v>
      </c>
    </row>
    <row r="927" spans="1:7" x14ac:dyDescent="0.25">
      <c r="A927" s="1" t="str">
        <f>"516389"</f>
        <v>516389</v>
      </c>
      <c r="B927" s="2" t="str">
        <f>"ANEL ELASTICO EXTERNO 48MM"</f>
        <v>ANEL ELASTICO EXTERNO 48MM</v>
      </c>
      <c r="C927" s="2" t="str">
        <f t="shared" si="35"/>
        <v>UN</v>
      </c>
      <c r="D927" s="7">
        <v>918</v>
      </c>
      <c r="E927" s="3">
        <v>10</v>
      </c>
      <c r="F927" s="2">
        <v>0</v>
      </c>
      <c r="G927" t="s">
        <v>514</v>
      </c>
    </row>
    <row r="928" spans="1:7" x14ac:dyDescent="0.25">
      <c r="A928" s="1" t="str">
        <f>"517464"</f>
        <v>517464</v>
      </c>
      <c r="B928" s="2" t="str">
        <f>"ANEL ELASTICO EXTERNO 50MM"</f>
        <v>ANEL ELASTICO EXTERNO 50MM</v>
      </c>
      <c r="C928" s="2" t="str">
        <f t="shared" si="35"/>
        <v>UN</v>
      </c>
      <c r="D928" s="7">
        <v>918</v>
      </c>
      <c r="E928" s="3">
        <v>11</v>
      </c>
      <c r="F928" s="2">
        <v>4</v>
      </c>
      <c r="G928" t="s">
        <v>512</v>
      </c>
    </row>
    <row r="929" spans="1:7" x14ac:dyDescent="0.25">
      <c r="A929" s="1" t="str">
        <f>"527422"</f>
        <v>527422</v>
      </c>
      <c r="B929" s="2" t="str">
        <f>"ANEL ELASTICO INT AÇO INOX 01.05.001.004.009255"</f>
        <v>ANEL ELASTICO INT AÇO INOX 01.05.001.004.009255</v>
      </c>
      <c r="C929" s="2" t="str">
        <f t="shared" si="35"/>
        <v>UN</v>
      </c>
      <c r="D929" s="7">
        <v>918</v>
      </c>
      <c r="E929" s="3">
        <v>10</v>
      </c>
      <c r="F929" s="2">
        <v>1</v>
      </c>
      <c r="G929" t="s">
        <v>513</v>
      </c>
    </row>
    <row r="930" spans="1:7" x14ac:dyDescent="0.25">
      <c r="A930" s="1" t="str">
        <f>"520181"</f>
        <v>520181</v>
      </c>
      <c r="B930" s="2" t="str">
        <f>"ANEL ELASTICO INTERNO 16MM"</f>
        <v>ANEL ELASTICO INTERNO 16MM</v>
      </c>
      <c r="C930" s="2" t="str">
        <f t="shared" si="35"/>
        <v>UN</v>
      </c>
      <c r="D930" s="7">
        <v>918</v>
      </c>
      <c r="E930" s="3">
        <v>11</v>
      </c>
      <c r="F930" s="2">
        <v>2</v>
      </c>
      <c r="G930" t="s">
        <v>514</v>
      </c>
    </row>
    <row r="931" spans="1:7" x14ac:dyDescent="0.25">
      <c r="A931" s="1" t="str">
        <f>"512275"</f>
        <v>512275</v>
      </c>
      <c r="B931" s="2" t="str">
        <f>"ANEL ELASTICO INTERNO 17MM"</f>
        <v>ANEL ELASTICO INTERNO 17MM</v>
      </c>
      <c r="C931" s="2" t="str">
        <f t="shared" si="35"/>
        <v>UN</v>
      </c>
      <c r="D931" s="7">
        <v>918</v>
      </c>
      <c r="E931" s="3">
        <v>11</v>
      </c>
      <c r="F931" s="2">
        <v>7</v>
      </c>
      <c r="G931" t="s">
        <v>514</v>
      </c>
    </row>
    <row r="932" spans="1:7" x14ac:dyDescent="0.25">
      <c r="A932" s="1" t="str">
        <f>"520182"</f>
        <v>520182</v>
      </c>
      <c r="B932" s="2" t="str">
        <f>"ANEL ELASTICO INTERNO 19MM"</f>
        <v>ANEL ELASTICO INTERNO 19MM</v>
      </c>
      <c r="C932" s="2" t="str">
        <f t="shared" si="35"/>
        <v>UN</v>
      </c>
      <c r="D932" s="7">
        <v>918</v>
      </c>
      <c r="E932" s="3">
        <v>11</v>
      </c>
      <c r="F932" s="2">
        <v>9</v>
      </c>
      <c r="G932" t="s">
        <v>512</v>
      </c>
    </row>
    <row r="933" spans="1:7" x14ac:dyDescent="0.25">
      <c r="A933" s="1" t="str">
        <f>"520183"</f>
        <v>520183</v>
      </c>
      <c r="B933" s="2" t="str">
        <f>"ANEL ELASTICO INTERNO 20MM"</f>
        <v>ANEL ELASTICO INTERNO 20MM</v>
      </c>
      <c r="C933" s="2" t="str">
        <f t="shared" si="35"/>
        <v>UN</v>
      </c>
      <c r="D933" s="7">
        <v>918</v>
      </c>
      <c r="E933" s="3">
        <v>11</v>
      </c>
      <c r="F933" s="5">
        <v>5</v>
      </c>
      <c r="G933" t="s">
        <v>513</v>
      </c>
    </row>
    <row r="934" spans="1:7" x14ac:dyDescent="0.25">
      <c r="A934" s="1" t="str">
        <f>"520184"</f>
        <v>520184</v>
      </c>
      <c r="B934" s="2" t="str">
        <f>"ANEL ELASTICO INTERNO 21MM"</f>
        <v>ANEL ELASTICO INTERNO 21MM</v>
      </c>
      <c r="C934" s="2" t="str">
        <f t="shared" si="35"/>
        <v>UN</v>
      </c>
      <c r="D934" s="7">
        <v>918</v>
      </c>
      <c r="E934" s="3">
        <v>11</v>
      </c>
      <c r="F934" s="2">
        <v>3</v>
      </c>
      <c r="G934" t="s">
        <v>514</v>
      </c>
    </row>
    <row r="935" spans="1:7" x14ac:dyDescent="0.25">
      <c r="A935" s="1" t="str">
        <f>"508554"</f>
        <v>508554</v>
      </c>
      <c r="B935" s="2" t="str">
        <f>"ANEL ELASTICO INTERNO 22MM"</f>
        <v>ANEL ELASTICO INTERNO 22MM</v>
      </c>
      <c r="C935" s="2" t="str">
        <f t="shared" si="35"/>
        <v>UN</v>
      </c>
      <c r="D935" s="7">
        <v>812</v>
      </c>
      <c r="E935" s="3">
        <v>10</v>
      </c>
      <c r="F935" s="2">
        <v>8</v>
      </c>
      <c r="G935" t="s">
        <v>514</v>
      </c>
    </row>
    <row r="936" spans="1:7" x14ac:dyDescent="0.25">
      <c r="A936" s="1" t="str">
        <f>"508975"</f>
        <v>508975</v>
      </c>
      <c r="B936" s="2" t="str">
        <f>"ANEL ELASTICO INTERNO 23MM"</f>
        <v>ANEL ELASTICO INTERNO 23MM</v>
      </c>
      <c r="C936" s="2" t="str">
        <f t="shared" si="35"/>
        <v>UN</v>
      </c>
      <c r="D936" s="7">
        <v>812</v>
      </c>
      <c r="E936" s="3">
        <v>10</v>
      </c>
      <c r="F936" s="2">
        <v>6</v>
      </c>
      <c r="G936" t="s">
        <v>514</v>
      </c>
    </row>
    <row r="937" spans="1:7" x14ac:dyDescent="0.25">
      <c r="A937" s="1" t="str">
        <f>"512277"</f>
        <v>512277</v>
      </c>
      <c r="B937" s="2" t="str">
        <f>"ANEL ELASTICO INTERNO 24MM"</f>
        <v>ANEL ELASTICO INTERNO 24MM</v>
      </c>
      <c r="C937" s="2" t="str">
        <f t="shared" si="35"/>
        <v>UN</v>
      </c>
      <c r="D937" s="7">
        <v>918</v>
      </c>
      <c r="E937" s="3">
        <v>11</v>
      </c>
      <c r="F937" s="2">
        <v>4</v>
      </c>
      <c r="G937" t="s">
        <v>513</v>
      </c>
    </row>
    <row r="938" spans="1:7" x14ac:dyDescent="0.25">
      <c r="A938" s="1" t="str">
        <f>"516390"</f>
        <v>516390</v>
      </c>
      <c r="B938" s="2" t="str">
        <f>"ANEL ELASTICO INTERNO 25MM"</f>
        <v>ANEL ELASTICO INTERNO 25MM</v>
      </c>
      <c r="C938" s="2" t="str">
        <f t="shared" ref="C938:C954" si="36">"UN"</f>
        <v>UN</v>
      </c>
      <c r="D938" s="7">
        <v>918</v>
      </c>
      <c r="E938" s="3">
        <v>10</v>
      </c>
      <c r="F938" s="2">
        <v>1</v>
      </c>
      <c r="G938" t="s">
        <v>512</v>
      </c>
    </row>
    <row r="939" spans="1:7" x14ac:dyDescent="0.25">
      <c r="A939" s="1" t="str">
        <f>"508555"</f>
        <v>508555</v>
      </c>
      <c r="B939" s="2" t="str">
        <f>"ANEL ELASTICO INTERNO 26MM"</f>
        <v>ANEL ELASTICO INTERNO 26MM</v>
      </c>
      <c r="C939" s="2" t="str">
        <f t="shared" si="36"/>
        <v>UN</v>
      </c>
      <c r="D939" s="7">
        <v>812</v>
      </c>
      <c r="E939" s="3">
        <v>10</v>
      </c>
      <c r="F939" s="2">
        <v>2</v>
      </c>
      <c r="G939" t="s">
        <v>513</v>
      </c>
    </row>
    <row r="940" spans="1:7" x14ac:dyDescent="0.25">
      <c r="A940" s="1" t="str">
        <f>"508659"</f>
        <v>508659</v>
      </c>
      <c r="B940" s="2" t="str">
        <f>"ANEL ELASTICO INTERNO 27MM"</f>
        <v>ANEL ELASTICO INTERNO 27MM</v>
      </c>
      <c r="C940" s="2" t="str">
        <f t="shared" si="36"/>
        <v>UN</v>
      </c>
      <c r="D940" s="7">
        <v>918</v>
      </c>
      <c r="E940" s="3">
        <v>11</v>
      </c>
      <c r="F940" s="2">
        <v>7</v>
      </c>
      <c r="G940" t="s">
        <v>514</v>
      </c>
    </row>
    <row r="941" spans="1:7" x14ac:dyDescent="0.25">
      <c r="A941" s="1" t="str">
        <f>"516391"</f>
        <v>516391</v>
      </c>
      <c r="B941" s="2" t="str">
        <f>"ANEL ELASTICO INTERNO 30MM"</f>
        <v>ANEL ELASTICO INTERNO 30MM</v>
      </c>
      <c r="C941" s="2" t="str">
        <f t="shared" si="36"/>
        <v>UN</v>
      </c>
      <c r="D941" s="7">
        <v>918</v>
      </c>
      <c r="E941" s="3">
        <v>10</v>
      </c>
      <c r="F941" s="2">
        <v>9</v>
      </c>
      <c r="G941" t="s">
        <v>514</v>
      </c>
    </row>
    <row r="942" spans="1:7" x14ac:dyDescent="0.25">
      <c r="A942" s="1" t="str">
        <f>"506543"</f>
        <v>506543</v>
      </c>
      <c r="B942" s="2" t="str">
        <f>"ANEL ELASTICO INTERNO 32MM"</f>
        <v>ANEL ELASTICO INTERNO 32MM</v>
      </c>
      <c r="C942" s="2" t="str">
        <f t="shared" si="36"/>
        <v>UN</v>
      </c>
      <c r="D942" s="7">
        <v>918</v>
      </c>
      <c r="E942" s="3">
        <v>10</v>
      </c>
      <c r="F942" s="2">
        <v>0</v>
      </c>
      <c r="G942" t="s">
        <v>514</v>
      </c>
    </row>
    <row r="943" spans="1:7" x14ac:dyDescent="0.25">
      <c r="A943" s="1" t="str">
        <f>"506541"</f>
        <v>506541</v>
      </c>
      <c r="B943" s="2" t="str">
        <f>"ANEL ELASTICO INTERNO 33MM"</f>
        <v>ANEL ELASTICO INTERNO 33MM</v>
      </c>
      <c r="C943" s="2" t="str">
        <f t="shared" si="36"/>
        <v>UN</v>
      </c>
      <c r="D943" s="7">
        <v>918</v>
      </c>
      <c r="E943" s="3">
        <v>10</v>
      </c>
      <c r="F943" s="2">
        <v>0</v>
      </c>
      <c r="G943" t="s">
        <v>513</v>
      </c>
    </row>
    <row r="944" spans="1:7" x14ac:dyDescent="0.25">
      <c r="A944" s="1" t="str">
        <f>"506542"</f>
        <v>506542</v>
      </c>
      <c r="B944" s="2" t="str">
        <f>"ANEL ELASTICO INTERNO 34MM"</f>
        <v>ANEL ELASTICO INTERNO 34MM</v>
      </c>
      <c r="C944" s="2" t="str">
        <f t="shared" si="36"/>
        <v>UN</v>
      </c>
      <c r="D944" s="7">
        <v>918</v>
      </c>
      <c r="E944" s="3">
        <v>10</v>
      </c>
      <c r="F944" s="2">
        <v>2</v>
      </c>
      <c r="G944" t="s">
        <v>513</v>
      </c>
    </row>
    <row r="945" spans="1:7" x14ac:dyDescent="0.25">
      <c r="A945" s="1" t="str">
        <f>"520185"</f>
        <v>520185</v>
      </c>
      <c r="B945" s="2" t="str">
        <f>"ANEL ELASTICO INTERNO 35MM"</f>
        <v>ANEL ELASTICO INTERNO 35MM</v>
      </c>
      <c r="C945" s="2" t="str">
        <f t="shared" si="36"/>
        <v>UN</v>
      </c>
      <c r="D945" s="7">
        <v>918</v>
      </c>
      <c r="E945" s="3">
        <v>11</v>
      </c>
      <c r="F945" s="2">
        <v>5</v>
      </c>
      <c r="G945" t="s">
        <v>513</v>
      </c>
    </row>
    <row r="946" spans="1:7" x14ac:dyDescent="0.25">
      <c r="A946" s="1" t="str">
        <f>"506540"</f>
        <v>506540</v>
      </c>
      <c r="B946" s="2" t="str">
        <f>"ANEL ELASTICO INTERNO 36MM"</f>
        <v>ANEL ELASTICO INTERNO 36MM</v>
      </c>
      <c r="C946" s="2" t="str">
        <f t="shared" si="36"/>
        <v>UN</v>
      </c>
      <c r="D946" s="7">
        <v>918</v>
      </c>
      <c r="E946" s="3">
        <v>10</v>
      </c>
      <c r="F946" s="2">
        <v>6</v>
      </c>
      <c r="G946" t="s">
        <v>512</v>
      </c>
    </row>
    <row r="947" spans="1:7" x14ac:dyDescent="0.25">
      <c r="A947" s="1" t="str">
        <f>"508976"</f>
        <v>508976</v>
      </c>
      <c r="B947" s="2" t="str">
        <f>"ANEL ELASTICO INTERNO 38MM"</f>
        <v>ANEL ELASTICO INTERNO 38MM</v>
      </c>
      <c r="C947" s="2" t="str">
        <f t="shared" si="36"/>
        <v>UN</v>
      </c>
      <c r="D947" s="7">
        <v>812</v>
      </c>
      <c r="E947" s="3">
        <v>10</v>
      </c>
      <c r="F947" s="2">
        <v>9</v>
      </c>
      <c r="G947" t="s">
        <v>513</v>
      </c>
    </row>
    <row r="948" spans="1:7" x14ac:dyDescent="0.25">
      <c r="A948" s="1" t="str">
        <f>"506536"</f>
        <v>506536</v>
      </c>
      <c r="B948" s="2" t="str">
        <f>"ANEL ELASTICO INTERNO 40MM"</f>
        <v>ANEL ELASTICO INTERNO 40MM</v>
      </c>
      <c r="C948" s="2" t="str">
        <f t="shared" si="36"/>
        <v>UN</v>
      </c>
      <c r="D948" s="7">
        <v>918</v>
      </c>
      <c r="E948" s="3">
        <v>10</v>
      </c>
      <c r="F948" s="2">
        <v>5</v>
      </c>
      <c r="G948" t="s">
        <v>514</v>
      </c>
    </row>
    <row r="949" spans="1:7" x14ac:dyDescent="0.25">
      <c r="A949" s="1" t="str">
        <f>"506537"</f>
        <v>506537</v>
      </c>
      <c r="B949" s="2" t="str">
        <f>"ANEL ELASTICO INTERNO 42MM"</f>
        <v>ANEL ELASTICO INTERNO 42MM</v>
      </c>
      <c r="C949" s="2" t="str">
        <f t="shared" si="36"/>
        <v>UN</v>
      </c>
      <c r="D949" s="7">
        <v>918</v>
      </c>
      <c r="E949" s="3">
        <v>10</v>
      </c>
      <c r="F949" s="2">
        <v>3</v>
      </c>
      <c r="G949" t="s">
        <v>515</v>
      </c>
    </row>
    <row r="950" spans="1:7" x14ac:dyDescent="0.25">
      <c r="A950" s="1" t="str">
        <f>"506538"</f>
        <v>506538</v>
      </c>
      <c r="B950" s="2" t="str">
        <f>"ANEL ELASTICO INTERNO 45MM"</f>
        <v>ANEL ELASTICO INTERNO 45MM</v>
      </c>
      <c r="C950" s="2" t="str">
        <f t="shared" si="36"/>
        <v>UN</v>
      </c>
      <c r="D950" s="7">
        <v>918</v>
      </c>
      <c r="E950" s="3">
        <v>10</v>
      </c>
      <c r="F950" s="2">
        <v>3</v>
      </c>
      <c r="G950" t="s">
        <v>512</v>
      </c>
    </row>
    <row r="951" spans="1:7" x14ac:dyDescent="0.25">
      <c r="A951" s="1" t="str">
        <f>"506539"</f>
        <v>506539</v>
      </c>
      <c r="B951" s="2" t="str">
        <f>"ANEL ELASTICO INTERNO 48MM"</f>
        <v>ANEL ELASTICO INTERNO 48MM</v>
      </c>
      <c r="C951" s="2" t="str">
        <f t="shared" si="36"/>
        <v>UN</v>
      </c>
      <c r="D951" s="7">
        <v>918</v>
      </c>
      <c r="E951" s="3">
        <v>10</v>
      </c>
      <c r="F951" s="2">
        <v>2</v>
      </c>
      <c r="G951" t="s">
        <v>516</v>
      </c>
    </row>
    <row r="952" spans="1:7" x14ac:dyDescent="0.25">
      <c r="A952" s="1" t="str">
        <f>"512276"</f>
        <v>512276</v>
      </c>
      <c r="B952" s="2" t="str">
        <f>"ANEL ELASTICO INTERNO 50MM"</f>
        <v>ANEL ELASTICO INTERNO 50MM</v>
      </c>
      <c r="C952" s="2" t="str">
        <f t="shared" si="36"/>
        <v>UN</v>
      </c>
      <c r="D952" s="7">
        <v>918</v>
      </c>
      <c r="E952" s="3">
        <v>11</v>
      </c>
      <c r="F952" s="2">
        <v>1</v>
      </c>
      <c r="G952" t="s">
        <v>515</v>
      </c>
    </row>
    <row r="953" spans="1:7" x14ac:dyDescent="0.25">
      <c r="A953" s="1" t="str">
        <f>"512202"</f>
        <v>512202</v>
      </c>
      <c r="B953" s="2" t="str">
        <f>"ANEL ELASTICO POS.15"</f>
        <v>ANEL ELASTICO POS.15</v>
      </c>
      <c r="C953" s="2" t="str">
        <f t="shared" si="36"/>
        <v>UN</v>
      </c>
      <c r="D953" s="7">
        <v>918</v>
      </c>
      <c r="E953" s="3">
        <v>11</v>
      </c>
      <c r="F953" s="2">
        <v>4</v>
      </c>
      <c r="G953" t="s">
        <v>514</v>
      </c>
    </row>
    <row r="954" spans="1:7" x14ac:dyDescent="0.25">
      <c r="A954" s="1" t="str">
        <f>"506520"</f>
        <v>506520</v>
      </c>
      <c r="B954" s="2" t="str">
        <f>"ANEL ENCOSTO BLOCO S-37 ANO 2006"</f>
        <v>ANEL ENCOSTO BLOCO S-37 ANO 2006</v>
      </c>
      <c r="C954" s="2" t="str">
        <f t="shared" si="36"/>
        <v>UN</v>
      </c>
      <c r="D954" s="7">
        <v>909</v>
      </c>
      <c r="E954" s="3">
        <v>11</v>
      </c>
      <c r="F954" s="2">
        <v>6</v>
      </c>
      <c r="G954" t="s">
        <v>512</v>
      </c>
    </row>
    <row r="955" spans="1:7" x14ac:dyDescent="0.25">
      <c r="A955" s="1" t="str">
        <f>"518610"</f>
        <v>518610</v>
      </c>
      <c r="B955" s="2" t="str">
        <f>"ANEL ESGOTO 100MM"</f>
        <v>ANEL ESGOTO 100MM</v>
      </c>
      <c r="C955" s="2" t="str">
        <f>"PÇ"</f>
        <v>PÇ</v>
      </c>
      <c r="D955" s="7">
        <v>809</v>
      </c>
      <c r="E955" s="3">
        <v>10</v>
      </c>
      <c r="F955" s="2">
        <v>8</v>
      </c>
      <c r="G955" t="s">
        <v>513</v>
      </c>
    </row>
    <row r="956" spans="1:7" x14ac:dyDescent="0.25">
      <c r="A956" s="1" t="str">
        <f>"526496"</f>
        <v>526496</v>
      </c>
      <c r="B956" s="2" t="str">
        <f>"ANEL ESGOTO 40MM"</f>
        <v>ANEL ESGOTO 40MM</v>
      </c>
      <c r="C956" s="2" t="str">
        <f>"PÇ"</f>
        <v>PÇ</v>
      </c>
      <c r="D956" s="7">
        <v>809</v>
      </c>
      <c r="E956" s="3">
        <v>10</v>
      </c>
      <c r="F956" s="2">
        <v>7</v>
      </c>
      <c r="G956" t="s">
        <v>514</v>
      </c>
    </row>
    <row r="957" spans="1:7" x14ac:dyDescent="0.25">
      <c r="A957" s="1" t="str">
        <f>"518609"</f>
        <v>518609</v>
      </c>
      <c r="B957" s="2" t="str">
        <f>"ANEL ESGOTO 75MM"</f>
        <v>ANEL ESGOTO 75MM</v>
      </c>
      <c r="C957" s="2" t="str">
        <f>"PÇ"</f>
        <v>PÇ</v>
      </c>
      <c r="D957" s="7">
        <v>809</v>
      </c>
      <c r="E957" s="3">
        <v>10</v>
      </c>
      <c r="F957" s="2">
        <v>6</v>
      </c>
      <c r="G957" t="s">
        <v>514</v>
      </c>
    </row>
    <row r="958" spans="1:7" x14ac:dyDescent="0.25">
      <c r="A958" s="1" t="str">
        <f>"508853"</f>
        <v>508853</v>
      </c>
      <c r="B958" s="2" t="str">
        <f>"ANEL GRAFITE BBA TRICLOVER PR1253SUC4STS"</f>
        <v>ANEL GRAFITE BBA TRICLOVER PR1253SUC4STS</v>
      </c>
      <c r="C958" s="2" t="str">
        <f>"UN"</f>
        <v>UN</v>
      </c>
      <c r="D958" s="7">
        <v>909</v>
      </c>
      <c r="E958" s="3">
        <v>11</v>
      </c>
      <c r="F958" s="2">
        <v>6</v>
      </c>
      <c r="G958" t="s">
        <v>512</v>
      </c>
    </row>
    <row r="959" spans="1:7" x14ac:dyDescent="0.25">
      <c r="A959" s="1" t="str">
        <f>"512781"</f>
        <v>512781</v>
      </c>
      <c r="B959" s="2" t="str">
        <f>"ANEL IMPACTO 126217 APV CUBE 4600 APF-2016"</f>
        <v>ANEL IMPACTO 126217 APV CUBE 4600 APF-2016</v>
      </c>
      <c r="C959" s="2" t="str">
        <f>"UN"</f>
        <v>UN</v>
      </c>
      <c r="D959" s="7">
        <v>918</v>
      </c>
      <c r="E959" s="3">
        <v>11</v>
      </c>
      <c r="F959" s="2">
        <v>2</v>
      </c>
      <c r="G959" t="s">
        <v>513</v>
      </c>
    </row>
    <row r="960" spans="1:7" x14ac:dyDescent="0.25">
      <c r="A960" s="1" t="str">
        <f>"516655"</f>
        <v>516655</v>
      </c>
      <c r="B960" s="2" t="str">
        <f>"ANEL IMPACTO APF-6770 RANNIE 132T-70.140"</f>
        <v>ANEL IMPACTO APF-6770 RANNIE 132T-70.140</v>
      </c>
      <c r="C960" s="2" t="str">
        <f>"UN"</f>
        <v>UN</v>
      </c>
      <c r="D960" s="7">
        <v>918</v>
      </c>
      <c r="E960" s="3">
        <v>11</v>
      </c>
      <c r="F960" s="2">
        <v>1</v>
      </c>
      <c r="G960" t="s">
        <v>514</v>
      </c>
    </row>
    <row r="961" spans="1:7" x14ac:dyDescent="0.25">
      <c r="A961" s="1" t="str">
        <f>"516580"</f>
        <v>516580</v>
      </c>
      <c r="B961" s="2" t="str">
        <f>"ANEL IMPACTO J12610010"</f>
        <v>ANEL IMPACTO J12610010</v>
      </c>
      <c r="C961" s="2" t="str">
        <f>"UN"</f>
        <v>UN</v>
      </c>
      <c r="D961" s="7">
        <v>918</v>
      </c>
      <c r="E961" s="3">
        <v>11</v>
      </c>
      <c r="F961" s="2">
        <v>0</v>
      </c>
      <c r="G961" t="s">
        <v>514</v>
      </c>
    </row>
    <row r="962" spans="1:7" x14ac:dyDescent="0.25">
      <c r="A962" s="1" t="str">
        <f>"516579"</f>
        <v>516579</v>
      </c>
      <c r="B962" s="2" t="str">
        <f>"ANEL IMPACTO J126427"</f>
        <v>ANEL IMPACTO J126427</v>
      </c>
      <c r="C962" s="2" t="str">
        <f>"UN"</f>
        <v>UN</v>
      </c>
      <c r="D962" s="7">
        <v>918</v>
      </c>
      <c r="E962" s="3">
        <v>11</v>
      </c>
      <c r="F962" s="2">
        <v>0</v>
      </c>
      <c r="G962" t="s">
        <v>514</v>
      </c>
    </row>
    <row r="963" spans="1:7" x14ac:dyDescent="0.25">
      <c r="A963" s="1" t="str">
        <f>"504535"</f>
        <v>504535</v>
      </c>
      <c r="B963" s="2" t="str">
        <f>"ANEL INF. F-1200 EPDM"</f>
        <v>ANEL INF. F-1200 EPDM</v>
      </c>
      <c r="C963" s="2" t="str">
        <f>"BR"</f>
        <v>BR</v>
      </c>
      <c r="D963" s="7">
        <v>807</v>
      </c>
      <c r="E963" s="3">
        <v>10</v>
      </c>
      <c r="F963" s="2">
        <v>0</v>
      </c>
      <c r="G963" t="s">
        <v>513</v>
      </c>
    </row>
    <row r="964" spans="1:7" x14ac:dyDescent="0.25">
      <c r="A964" s="1" t="str">
        <f>"504528"</f>
        <v>504528</v>
      </c>
      <c r="B964" s="2" t="str">
        <f>"ANEL INF. F1500 EPDM COD.(278015-E5)"</f>
        <v>ANEL INF. F1500 EPDM COD.(278015-E5)</v>
      </c>
      <c r="C964" s="2" t="str">
        <f>"BR"</f>
        <v>BR</v>
      </c>
      <c r="D964" s="7">
        <v>807</v>
      </c>
      <c r="E964" s="3">
        <v>10</v>
      </c>
      <c r="F964" s="2">
        <v>3</v>
      </c>
      <c r="G964" t="s">
        <v>512</v>
      </c>
    </row>
    <row r="965" spans="1:7" x14ac:dyDescent="0.25">
      <c r="A965" s="1" t="str">
        <f>"504527"</f>
        <v>504527</v>
      </c>
      <c r="B965" s="2" t="str">
        <f>"ANEL INF. F600 EPDM COD.(278015-E2)"</f>
        <v>ANEL INF. F600 EPDM COD.(278015-E2)</v>
      </c>
      <c r="C965" s="2" t="str">
        <f>"BR"</f>
        <v>BR</v>
      </c>
      <c r="D965" s="7">
        <v>807</v>
      </c>
      <c r="E965" s="3">
        <v>10</v>
      </c>
      <c r="F965" s="5">
        <v>5</v>
      </c>
      <c r="G965" t="s">
        <v>513</v>
      </c>
    </row>
    <row r="966" spans="1:7" x14ac:dyDescent="0.25">
      <c r="A966" s="1" t="str">
        <f>"522267"</f>
        <v>522267</v>
      </c>
      <c r="B966" s="2" t="str">
        <f>"ANEL INF. F600/F1200 TEFLON"</f>
        <v>ANEL INF. F600/F1200 TEFLON</v>
      </c>
      <c r="C966" s="2" t="str">
        <f t="shared" ref="C966:C997" si="37">"UN"</f>
        <v>UN</v>
      </c>
      <c r="D966" s="7">
        <v>99999</v>
      </c>
      <c r="E966" s="3">
        <v>99</v>
      </c>
      <c r="F966" s="2">
        <v>3</v>
      </c>
      <c r="G966" t="s">
        <v>514</v>
      </c>
    </row>
    <row r="967" spans="1:7" x14ac:dyDescent="0.25">
      <c r="A967" s="1" t="str">
        <f>"522867"</f>
        <v>522867</v>
      </c>
      <c r="B967" s="8" t="s">
        <v>345</v>
      </c>
      <c r="C967" s="2" t="str">
        <f t="shared" si="37"/>
        <v>UN</v>
      </c>
      <c r="D967" s="7">
        <v>913</v>
      </c>
      <c r="E967" s="3">
        <v>11</v>
      </c>
      <c r="F967" s="2">
        <v>8</v>
      </c>
      <c r="G967" t="s">
        <v>514</v>
      </c>
    </row>
    <row r="968" spans="1:7" x14ac:dyDescent="0.25">
      <c r="A968" s="1" t="str">
        <f>"522866"</f>
        <v>522866</v>
      </c>
      <c r="B968" s="8" t="s">
        <v>344</v>
      </c>
      <c r="C968" s="2" t="str">
        <f t="shared" si="37"/>
        <v>UN</v>
      </c>
      <c r="D968" s="7">
        <v>913</v>
      </c>
      <c r="E968" s="3">
        <v>11</v>
      </c>
      <c r="F968" s="2">
        <v>6</v>
      </c>
      <c r="G968" t="s">
        <v>514</v>
      </c>
    </row>
    <row r="969" spans="1:7" x14ac:dyDescent="0.25">
      <c r="A969" s="1" t="str">
        <f>"500868"</f>
        <v>500868</v>
      </c>
      <c r="B969" s="2" t="str">
        <f>"ANEL LIMPADOR Nº229860 DNC-50 DINIEPER"</f>
        <v>ANEL LIMPADOR Nº229860 DNC-50 DINIEPER</v>
      </c>
      <c r="C969" s="2" t="str">
        <f t="shared" si="37"/>
        <v>UN</v>
      </c>
      <c r="D969" s="7">
        <v>812</v>
      </c>
      <c r="E969" s="3">
        <v>10</v>
      </c>
      <c r="F969" s="2">
        <v>4</v>
      </c>
      <c r="G969" t="s">
        <v>513</v>
      </c>
    </row>
    <row r="970" spans="1:7" x14ac:dyDescent="0.25">
      <c r="A970" s="1" t="str">
        <f>"527491"</f>
        <v>527491</v>
      </c>
      <c r="B970" s="2" t="str">
        <f>"ANEL MAGNÉTICO 59,9X47,9X4,5BA-K01M-063 4760181"</f>
        <v>ANEL MAGNÉTICO 59,9X47,9X4,5BA-K01M-063 4760181</v>
      </c>
      <c r="C970" s="2" t="str">
        <f t="shared" si="37"/>
        <v>UN</v>
      </c>
      <c r="D970" s="7">
        <v>913</v>
      </c>
      <c r="E970" s="3">
        <v>13</v>
      </c>
      <c r="F970" s="2">
        <v>1</v>
      </c>
      <c r="G970" t="s">
        <v>513</v>
      </c>
    </row>
    <row r="971" spans="1:7" x14ac:dyDescent="0.25">
      <c r="A971" s="1" t="str">
        <f>"519636"</f>
        <v>519636</v>
      </c>
      <c r="B971" s="2" t="str">
        <f>"ANEL METALICO ABRAÇADEIRA TURBINA"</f>
        <v>ANEL METALICO ABRAÇADEIRA TURBINA</v>
      </c>
      <c r="C971" s="2" t="str">
        <f t="shared" si="37"/>
        <v>UN</v>
      </c>
      <c r="D971" s="7">
        <v>704</v>
      </c>
      <c r="E971" s="3">
        <v>9</v>
      </c>
      <c r="F971" s="2">
        <v>2</v>
      </c>
      <c r="G971" t="s">
        <v>513</v>
      </c>
    </row>
    <row r="972" spans="1:7" x14ac:dyDescent="0.25">
      <c r="A972" s="1" t="str">
        <f>"518873"</f>
        <v>518873</v>
      </c>
      <c r="B972" s="2" t="str">
        <f>"ANEL NYLON 7 X 14 X 3MM"</f>
        <v>ANEL NYLON 7 X 14 X 3MM</v>
      </c>
      <c r="C972" s="2" t="str">
        <f t="shared" si="37"/>
        <v>UN</v>
      </c>
      <c r="D972" s="7">
        <v>909</v>
      </c>
      <c r="E972" s="3">
        <v>11</v>
      </c>
      <c r="F972" s="2">
        <v>7</v>
      </c>
      <c r="G972" t="s">
        <v>512</v>
      </c>
    </row>
    <row r="973" spans="1:7" x14ac:dyDescent="0.25">
      <c r="A973" s="1" t="str">
        <f>"522289"</f>
        <v>522289</v>
      </c>
      <c r="B973" s="8" t="s">
        <v>291</v>
      </c>
      <c r="C973" s="2" t="str">
        <f t="shared" si="37"/>
        <v>UN</v>
      </c>
      <c r="D973" s="7">
        <v>913</v>
      </c>
      <c r="E973" s="3">
        <v>10</v>
      </c>
      <c r="F973" s="2">
        <v>9</v>
      </c>
      <c r="G973" t="s">
        <v>513</v>
      </c>
    </row>
    <row r="974" spans="1:7" x14ac:dyDescent="0.25">
      <c r="A974" s="1" t="str">
        <f>"520025"</f>
        <v>520025</v>
      </c>
      <c r="B974" s="2" t="str">
        <f>"ANEL O 110X4MM VITON 70-80 SHORE 594748 NETZSCH"</f>
        <v>ANEL O 110X4MM VITON 70-80 SHORE 594748 NETZSCH</v>
      </c>
      <c r="C974" s="2" t="str">
        <f t="shared" si="37"/>
        <v>UN</v>
      </c>
      <c r="D974" s="7">
        <v>918</v>
      </c>
      <c r="E974" s="3">
        <v>11</v>
      </c>
      <c r="F974" s="2">
        <v>0</v>
      </c>
      <c r="G974" t="s">
        <v>514</v>
      </c>
    </row>
    <row r="975" spans="1:7" x14ac:dyDescent="0.25">
      <c r="A975" s="1" t="str">
        <f>"520409"</f>
        <v>520409</v>
      </c>
      <c r="B975" s="2" t="str">
        <f>"ANEL O 17,12X2,61 OR1115VT"</f>
        <v>ANEL O 17,12X2,61 OR1115VT</v>
      </c>
      <c r="C975" s="2" t="str">
        <f t="shared" si="37"/>
        <v>UN</v>
      </c>
      <c r="D975" s="7">
        <v>909</v>
      </c>
      <c r="E975" s="3">
        <v>11</v>
      </c>
      <c r="F975" s="2">
        <v>0</v>
      </c>
      <c r="G975" t="s">
        <v>515</v>
      </c>
    </row>
    <row r="976" spans="1:7" x14ac:dyDescent="0.25">
      <c r="A976" s="1" t="str">
        <f>"520425"</f>
        <v>520425</v>
      </c>
      <c r="B976" s="2" t="str">
        <f>"ANEL O 17,5X4 VITON"</f>
        <v>ANEL O 17,5X4 VITON</v>
      </c>
      <c r="C976" s="2" t="str">
        <f t="shared" si="37"/>
        <v>UN</v>
      </c>
      <c r="D976" s="7">
        <v>909</v>
      </c>
      <c r="E976" s="3">
        <v>11</v>
      </c>
      <c r="F976" s="2">
        <v>2</v>
      </c>
      <c r="G976" t="s">
        <v>512</v>
      </c>
    </row>
    <row r="977" spans="1:7" x14ac:dyDescent="0.25">
      <c r="A977" s="1" t="str">
        <f>"527977"</f>
        <v>527977</v>
      </c>
      <c r="B977" s="2" t="str">
        <f>"ANEL O 18 X 2,5 VITON"</f>
        <v>ANEL O 18 X 2,5 VITON</v>
      </c>
      <c r="C977" s="2" t="str">
        <f t="shared" si="37"/>
        <v>UN</v>
      </c>
      <c r="D977" s="7">
        <v>909</v>
      </c>
      <c r="E977" s="3">
        <v>11</v>
      </c>
      <c r="F977" s="2">
        <v>5</v>
      </c>
      <c r="G977" t="s">
        <v>516</v>
      </c>
    </row>
    <row r="978" spans="1:7" x14ac:dyDescent="0.25">
      <c r="A978" s="1" t="str">
        <f>"520408"</f>
        <v>520408</v>
      </c>
      <c r="B978" s="2" t="str">
        <f>"ANEL O 18,72X2,61 OR1116VT"</f>
        <v>ANEL O 18,72X2,61 OR1116VT</v>
      </c>
      <c r="C978" s="2" t="str">
        <f t="shared" si="37"/>
        <v>UN</v>
      </c>
      <c r="D978" s="7">
        <v>909</v>
      </c>
      <c r="E978" s="3">
        <v>11</v>
      </c>
      <c r="F978" s="2">
        <v>6</v>
      </c>
      <c r="G978" t="s">
        <v>515</v>
      </c>
    </row>
    <row r="979" spans="1:7" x14ac:dyDescent="0.25">
      <c r="A979" s="1" t="str">
        <f>"520406"</f>
        <v>520406</v>
      </c>
      <c r="B979" s="2" t="str">
        <f>"ANEL O 21,89X2,61 OR1118VT"</f>
        <v>ANEL O 21,89X2,61 OR1118VT</v>
      </c>
      <c r="C979" s="2" t="str">
        <f t="shared" si="37"/>
        <v>UN</v>
      </c>
      <c r="D979" s="7">
        <v>909</v>
      </c>
      <c r="E979" s="3">
        <v>11</v>
      </c>
      <c r="F979" s="2">
        <v>9</v>
      </c>
      <c r="G979" t="s">
        <v>514</v>
      </c>
    </row>
    <row r="980" spans="1:7" x14ac:dyDescent="0.25">
      <c r="A980" s="1" t="str">
        <f>"526899"</f>
        <v>526899</v>
      </c>
      <c r="B980" s="2" t="str">
        <f>"ANEL O 21,89X2,61 OR1118VT (DMAX)"</f>
        <v>ANEL O 21,89X2,61 OR1118VT (DMAX)</v>
      </c>
      <c r="C980" s="2" t="str">
        <f t="shared" si="37"/>
        <v>UN</v>
      </c>
      <c r="D980" s="7">
        <v>909</v>
      </c>
      <c r="E980" s="3">
        <v>11</v>
      </c>
      <c r="F980" s="2">
        <v>5</v>
      </c>
      <c r="G980" t="s">
        <v>512</v>
      </c>
    </row>
    <row r="981" spans="1:7" x14ac:dyDescent="0.25">
      <c r="A981" s="1" t="str">
        <f>"520410"</f>
        <v>520410</v>
      </c>
      <c r="B981" s="2" t="str">
        <f>"ANEL O 23,47X2,61 OR1119  VITON"</f>
        <v>ANEL O 23,47X2,61 OR1119  VITON</v>
      </c>
      <c r="C981" s="2" t="str">
        <f t="shared" si="37"/>
        <v>UN</v>
      </c>
      <c r="D981" s="7">
        <v>909</v>
      </c>
      <c r="E981" s="3">
        <v>11</v>
      </c>
      <c r="F981" s="2">
        <v>3</v>
      </c>
      <c r="G981" t="s">
        <v>513</v>
      </c>
    </row>
    <row r="982" spans="1:7" x14ac:dyDescent="0.25">
      <c r="A982" s="1" t="str">
        <f>"526993"</f>
        <v>526993</v>
      </c>
      <c r="B982" s="2" t="str">
        <f>"ANEL O 23,5 INT X 5MM - VITON"</f>
        <v>ANEL O 23,5 INT X 5MM - VITON</v>
      </c>
      <c r="C982" s="2" t="str">
        <f t="shared" si="37"/>
        <v>UN</v>
      </c>
      <c r="D982" s="7">
        <v>909</v>
      </c>
      <c r="E982" s="3">
        <v>11</v>
      </c>
      <c r="F982" s="2">
        <v>3</v>
      </c>
      <c r="G982" t="s">
        <v>514</v>
      </c>
    </row>
    <row r="983" spans="1:7" x14ac:dyDescent="0.25">
      <c r="A983" s="1" t="str">
        <f>"528059"</f>
        <v>528059</v>
      </c>
      <c r="B983" s="2" t="str">
        <f>"ANEL O 23,5 X 5,3MM - NEOPRENE"</f>
        <v>ANEL O 23,5 X 5,3MM - NEOPRENE</v>
      </c>
      <c r="C983" s="2" t="str">
        <f t="shared" si="37"/>
        <v>UN</v>
      </c>
      <c r="D983" s="7">
        <v>909</v>
      </c>
      <c r="E983" s="3">
        <v>11</v>
      </c>
      <c r="F983" s="2">
        <v>2</v>
      </c>
      <c r="G983" t="s">
        <v>514</v>
      </c>
    </row>
    <row r="984" spans="1:7" x14ac:dyDescent="0.25">
      <c r="A984" s="1" t="str">
        <f>"513023"</f>
        <v>513023</v>
      </c>
      <c r="B984" s="2" t="str">
        <f>"ANEL O 255X263X4,0MM"</f>
        <v>ANEL O 255X263X4,0MM</v>
      </c>
      <c r="C984" s="2" t="str">
        <f t="shared" si="37"/>
        <v>UN</v>
      </c>
      <c r="D984" s="7">
        <v>909</v>
      </c>
      <c r="E984" s="3">
        <v>11</v>
      </c>
      <c r="F984" s="2">
        <v>1</v>
      </c>
      <c r="G984" t="s">
        <v>512</v>
      </c>
    </row>
    <row r="985" spans="1:7" x14ac:dyDescent="0.25">
      <c r="A985" s="1" t="str">
        <f>"520407"</f>
        <v>520407</v>
      </c>
      <c r="B985" s="2" t="str">
        <f>"ANEL O 31,42X2,61 OR1124VT"</f>
        <v>ANEL O 31,42X2,61 OR1124VT</v>
      </c>
      <c r="C985" s="2" t="str">
        <f t="shared" si="37"/>
        <v>UN</v>
      </c>
      <c r="D985" s="7">
        <v>909</v>
      </c>
      <c r="E985" s="3">
        <v>11</v>
      </c>
      <c r="F985" s="2">
        <v>4</v>
      </c>
      <c r="G985" t="s">
        <v>513</v>
      </c>
    </row>
    <row r="986" spans="1:7" x14ac:dyDescent="0.25">
      <c r="A986" s="1" t="str">
        <f>"520405"</f>
        <v>520405</v>
      </c>
      <c r="B986" s="2" t="str">
        <f>"ANEL O 34,51X3,53 OR1220VT"</f>
        <v>ANEL O 34,51X3,53 OR1220VT</v>
      </c>
      <c r="C986" s="2" t="str">
        <f t="shared" si="37"/>
        <v>UN</v>
      </c>
      <c r="D986" s="7">
        <v>909</v>
      </c>
      <c r="E986" s="3">
        <v>11</v>
      </c>
      <c r="F986" s="2">
        <v>1</v>
      </c>
      <c r="G986" t="s">
        <v>514</v>
      </c>
    </row>
    <row r="987" spans="1:7" x14ac:dyDescent="0.25">
      <c r="A987" s="1" t="str">
        <f>"512748"</f>
        <v>512748</v>
      </c>
      <c r="B987" s="2" t="str">
        <f>"ANEL O 38,10X5,50 10834 VITON"</f>
        <v>ANEL O 38,10X5,50 10834 VITON</v>
      </c>
      <c r="C987" s="2" t="str">
        <f t="shared" si="37"/>
        <v>UN</v>
      </c>
      <c r="D987" s="7">
        <v>918</v>
      </c>
      <c r="E987" s="3">
        <v>11</v>
      </c>
      <c r="F987" s="2">
        <v>2</v>
      </c>
      <c r="G987" t="s">
        <v>514</v>
      </c>
    </row>
    <row r="988" spans="1:7" x14ac:dyDescent="0.25">
      <c r="A988" s="1" t="str">
        <f>"520434"</f>
        <v>520434</v>
      </c>
      <c r="B988" s="2" t="str">
        <f>"ANEL O 38,5X5,7 VITON"</f>
        <v>ANEL O 38,5X5,7 VITON</v>
      </c>
      <c r="C988" s="2" t="str">
        <f t="shared" si="37"/>
        <v>UN</v>
      </c>
      <c r="D988" s="7">
        <v>909</v>
      </c>
      <c r="E988" s="3">
        <v>11</v>
      </c>
      <c r="F988" s="2">
        <v>7</v>
      </c>
      <c r="G988" t="s">
        <v>514</v>
      </c>
    </row>
    <row r="989" spans="1:7" x14ac:dyDescent="0.25">
      <c r="A989" s="1" t="str">
        <f>"520412"</f>
        <v>520412</v>
      </c>
      <c r="B989" s="2" t="str">
        <f>"ANEL O 39,34X2,61 OR1129VT"</f>
        <v>ANEL O 39,34X2,61 OR1129VT</v>
      </c>
      <c r="C989" s="2" t="str">
        <f t="shared" si="37"/>
        <v>UN</v>
      </c>
      <c r="D989" s="7">
        <v>909</v>
      </c>
      <c r="E989" s="3">
        <v>11</v>
      </c>
      <c r="F989" s="2">
        <v>9</v>
      </c>
      <c r="G989" t="s">
        <v>513</v>
      </c>
    </row>
    <row r="990" spans="1:7" x14ac:dyDescent="0.25">
      <c r="A990" s="1" t="str">
        <f>"520444"</f>
        <v>520444</v>
      </c>
      <c r="B990" s="2" t="str">
        <f>"ANEL O 54,5X58,9X2,2"</f>
        <v>ANEL O 54,5X58,9X2,2</v>
      </c>
      <c r="C990" s="2" t="str">
        <f t="shared" si="37"/>
        <v>UN</v>
      </c>
      <c r="D990" s="7">
        <v>909</v>
      </c>
      <c r="E990" s="3">
        <v>11</v>
      </c>
      <c r="F990" s="2">
        <v>0</v>
      </c>
      <c r="G990" t="s">
        <v>512</v>
      </c>
    </row>
    <row r="991" spans="1:7" x14ac:dyDescent="0.25">
      <c r="A991" s="1" t="str">
        <f>"520411"</f>
        <v>520411</v>
      </c>
      <c r="B991" s="2" t="str">
        <f>"ANEL O 56,82X2,61 OR1140VT"</f>
        <v>ANEL O 56,82X2,61 OR1140VT</v>
      </c>
      <c r="C991" s="2" t="str">
        <f t="shared" si="37"/>
        <v>UN</v>
      </c>
      <c r="D991" s="7">
        <v>909</v>
      </c>
      <c r="E991" s="3">
        <v>11</v>
      </c>
      <c r="F991" s="2">
        <v>0</v>
      </c>
      <c r="G991" t="s">
        <v>513</v>
      </c>
    </row>
    <row r="992" spans="1:7" x14ac:dyDescent="0.25">
      <c r="A992" s="1" t="str">
        <f>"527118"</f>
        <v>527118</v>
      </c>
      <c r="B992" s="2" t="str">
        <f>"ANEL O 80,5x5 NBR (REQUEIJÃO)"</f>
        <v>ANEL O 80,5x5 NBR (REQUEIJÃO)</v>
      </c>
      <c r="C992" s="2" t="str">
        <f t="shared" si="37"/>
        <v>UN</v>
      </c>
      <c r="D992" s="7">
        <v>909</v>
      </c>
      <c r="E992" s="3">
        <v>11</v>
      </c>
      <c r="F992" s="2">
        <v>4</v>
      </c>
      <c r="G992" t="s">
        <v>514</v>
      </c>
    </row>
    <row r="993" spans="1:7" x14ac:dyDescent="0.25">
      <c r="A993" s="1" t="str">
        <f>"513022"</f>
        <v>513022</v>
      </c>
      <c r="B993" s="2" t="str">
        <f>"ANEL O 82,14X89,14X3,5MM"</f>
        <v>ANEL O 82,14X89,14X3,5MM</v>
      </c>
      <c r="C993" s="2" t="str">
        <f t="shared" si="37"/>
        <v>UN</v>
      </c>
      <c r="D993" s="7">
        <v>909</v>
      </c>
      <c r="E993" s="3">
        <v>11</v>
      </c>
      <c r="F993" s="2">
        <v>1</v>
      </c>
      <c r="G993" t="s">
        <v>514</v>
      </c>
    </row>
    <row r="994" spans="1:7" x14ac:dyDescent="0.25">
      <c r="A994" s="1" t="str">
        <f>"512876"</f>
        <v>512876</v>
      </c>
      <c r="B994" s="2" t="str">
        <f>"ANEL O' RING 1 1/2"""</f>
        <v>ANEL O' RING 1 1/2"</v>
      </c>
      <c r="C994" s="2" t="str">
        <f t="shared" si="37"/>
        <v>UN</v>
      </c>
      <c r="D994" s="7">
        <v>909</v>
      </c>
      <c r="E994" s="3">
        <v>11</v>
      </c>
      <c r="F994" s="2">
        <v>2</v>
      </c>
      <c r="G994" t="s">
        <v>514</v>
      </c>
    </row>
    <row r="995" spans="1:7" x14ac:dyDescent="0.25">
      <c r="A995" s="1" t="str">
        <f>"512877"</f>
        <v>512877</v>
      </c>
      <c r="B995" s="2" t="str">
        <f>"ANEL O' RING 2 1/2"""</f>
        <v>ANEL O' RING 2 1/2"</v>
      </c>
      <c r="C995" s="2" t="str">
        <f t="shared" si="37"/>
        <v>UN</v>
      </c>
      <c r="D995" s="7">
        <v>909</v>
      </c>
      <c r="E995" s="3">
        <v>11</v>
      </c>
      <c r="F995" s="2">
        <v>7</v>
      </c>
      <c r="G995" t="s">
        <v>513</v>
      </c>
    </row>
    <row r="996" spans="1:7" x14ac:dyDescent="0.25">
      <c r="A996" s="1" t="str">
        <f>"512878"</f>
        <v>512878</v>
      </c>
      <c r="B996" s="2" t="str">
        <f>"ANEL O' RING 3 1/2"""</f>
        <v>ANEL O' RING 3 1/2"</v>
      </c>
      <c r="C996" s="2" t="str">
        <f t="shared" si="37"/>
        <v>UN</v>
      </c>
      <c r="D996" s="7">
        <v>909</v>
      </c>
      <c r="E996" s="3">
        <v>11</v>
      </c>
      <c r="F996" s="2">
        <v>9</v>
      </c>
      <c r="G996" t="s">
        <v>513</v>
      </c>
    </row>
    <row r="997" spans="1:7" x14ac:dyDescent="0.25">
      <c r="A997" s="1" t="str">
        <f>"516936"</f>
        <v>516936</v>
      </c>
      <c r="B997" s="2" t="str">
        <f>"ANEL O RING 30 X 2.4MM 0663211146"</f>
        <v>ANEL O RING 30 X 2.4MM 0663211146</v>
      </c>
      <c r="C997" s="2" t="str">
        <f t="shared" si="37"/>
        <v>UN</v>
      </c>
      <c r="D997" s="7">
        <v>909</v>
      </c>
      <c r="E997" s="3">
        <v>11</v>
      </c>
      <c r="F997" s="5">
        <v>5</v>
      </c>
      <c r="G997" t="s">
        <v>513</v>
      </c>
    </row>
    <row r="998" spans="1:7" x14ac:dyDescent="0.25">
      <c r="A998" s="1" t="str">
        <f>"516937"</f>
        <v>516937</v>
      </c>
      <c r="B998" s="2" t="str">
        <f>"ANEL O RING 329 X 5.7MM 0663210978"</f>
        <v>ANEL O RING 329 X 5.7MM 0663210978</v>
      </c>
      <c r="C998" s="2" t="str">
        <f t="shared" ref="C998:C1029" si="38">"UN"</f>
        <v>UN</v>
      </c>
      <c r="D998" s="7">
        <v>909</v>
      </c>
      <c r="E998" s="3">
        <v>11</v>
      </c>
      <c r="F998" s="2">
        <v>3</v>
      </c>
      <c r="G998" t="s">
        <v>512</v>
      </c>
    </row>
    <row r="999" spans="1:7" x14ac:dyDescent="0.25">
      <c r="A999" s="1" t="str">
        <f>"516581"</f>
        <v>516581</v>
      </c>
      <c r="B999" s="2" t="str">
        <f>"ANEL O' RING JK002987"</f>
        <v>ANEL O' RING JK002987</v>
      </c>
      <c r="C999" s="2" t="str">
        <f t="shared" si="38"/>
        <v>UN</v>
      </c>
      <c r="D999" s="7">
        <v>918</v>
      </c>
      <c r="E999" s="3">
        <v>11</v>
      </c>
      <c r="F999" s="2">
        <v>8</v>
      </c>
      <c r="G999" t="s">
        <v>513</v>
      </c>
    </row>
    <row r="1000" spans="1:7" x14ac:dyDescent="0.25">
      <c r="A1000" s="1" t="str">
        <f>"525592"</f>
        <v>525592</v>
      </c>
      <c r="B1000" s="2" t="str">
        <f>"ANEL O´RING APC-5482 APF-9052"</f>
        <v>ANEL O´RING APC-5482 APF-9052</v>
      </c>
      <c r="C1000" s="2" t="str">
        <f t="shared" si="38"/>
        <v>UN</v>
      </c>
      <c r="D1000" s="7">
        <v>918</v>
      </c>
      <c r="E1000" s="3">
        <v>11</v>
      </c>
      <c r="F1000" s="2">
        <v>6</v>
      </c>
      <c r="G1000" t="s">
        <v>514</v>
      </c>
    </row>
    <row r="1001" spans="1:7" x14ac:dyDescent="0.25">
      <c r="A1001" s="1" t="str">
        <f>"507826"</f>
        <v>507826</v>
      </c>
      <c r="B1001" s="2" t="str">
        <f>"ANEL OLEO 100 18B"</f>
        <v>ANEL OLEO 100 18B</v>
      </c>
      <c r="C1001" s="2" t="str">
        <f t="shared" si="38"/>
        <v>UN</v>
      </c>
      <c r="D1001" s="7">
        <v>909</v>
      </c>
      <c r="E1001" s="3">
        <v>11</v>
      </c>
      <c r="F1001" s="2">
        <v>4</v>
      </c>
      <c r="G1001" t="s">
        <v>515</v>
      </c>
    </row>
    <row r="1002" spans="1:7" x14ac:dyDescent="0.25">
      <c r="A1002" s="1" t="str">
        <f>"510024"</f>
        <v>510024</v>
      </c>
      <c r="B1002" s="2" t="str">
        <f>"ANEL OLEO 65/CMO 18B65"</f>
        <v>ANEL OLEO 65/CMO 18B65</v>
      </c>
      <c r="C1002" s="2" t="str">
        <f t="shared" si="38"/>
        <v>UN</v>
      </c>
      <c r="D1002" s="7">
        <v>909</v>
      </c>
      <c r="E1002" s="3">
        <v>11</v>
      </c>
      <c r="F1002" s="2">
        <v>1</v>
      </c>
      <c r="G1002" t="s">
        <v>512</v>
      </c>
    </row>
    <row r="1003" spans="1:7" x14ac:dyDescent="0.25">
      <c r="A1003" s="1" t="str">
        <f>"509353"</f>
        <v>509353</v>
      </c>
      <c r="B1003" s="2" t="str">
        <f>"ANEL OLEO FCPCBC3-A"</f>
        <v>ANEL OLEO FCPCBC3-A</v>
      </c>
      <c r="C1003" s="2" t="str">
        <f t="shared" si="38"/>
        <v>UN</v>
      </c>
      <c r="D1003" s="7">
        <v>909</v>
      </c>
      <c r="E1003" s="3">
        <v>11</v>
      </c>
      <c r="F1003" s="2">
        <v>2</v>
      </c>
      <c r="G1003" t="s">
        <v>516</v>
      </c>
    </row>
    <row r="1004" spans="1:7" x14ac:dyDescent="0.25">
      <c r="A1004" s="1" t="str">
        <f>"509354"</f>
        <v>509354</v>
      </c>
      <c r="B1004" s="2" t="str">
        <f>"ANEL OLEO FCPCBC3-A"</f>
        <v>ANEL OLEO FCPCBC3-A</v>
      </c>
      <c r="C1004" s="2" t="str">
        <f t="shared" si="38"/>
        <v>UN</v>
      </c>
      <c r="D1004" s="7">
        <v>909</v>
      </c>
      <c r="E1004" s="3">
        <v>11</v>
      </c>
      <c r="F1004" s="2">
        <v>7</v>
      </c>
      <c r="G1004" t="s">
        <v>515</v>
      </c>
    </row>
    <row r="1005" spans="1:7" x14ac:dyDescent="0.25">
      <c r="A1005" s="1" t="str">
        <f>"509352"</f>
        <v>509352</v>
      </c>
      <c r="B1005" s="2" t="str">
        <f>"ANEL OLEO FCPCBC3P A"</f>
        <v>ANEL OLEO FCPCBC3P A</v>
      </c>
      <c r="C1005" s="2" t="str">
        <f t="shared" si="38"/>
        <v>UN</v>
      </c>
      <c r="D1005" s="7">
        <v>909</v>
      </c>
      <c r="E1005" s="3">
        <v>11</v>
      </c>
      <c r="F1005" s="2">
        <v>9</v>
      </c>
      <c r="G1005" t="s">
        <v>514</v>
      </c>
    </row>
    <row r="1006" spans="1:7" x14ac:dyDescent="0.25">
      <c r="A1006" s="1" t="str">
        <f>"517730"</f>
        <v>517730</v>
      </c>
      <c r="B1006" s="2" t="str">
        <f>"ANEL ORIGINAL S/ BOIA TANQUE COMB. SC"</f>
        <v>ANEL ORIGINAL S/ BOIA TANQUE COMB. SC</v>
      </c>
      <c r="C1006" s="2" t="str">
        <f t="shared" si="38"/>
        <v>UN</v>
      </c>
      <c r="D1006" s="7">
        <v>704</v>
      </c>
      <c r="E1006" s="3">
        <v>16</v>
      </c>
      <c r="F1006" s="2">
        <v>0</v>
      </c>
      <c r="G1006" t="s">
        <v>512</v>
      </c>
    </row>
    <row r="1007" spans="1:7" x14ac:dyDescent="0.25">
      <c r="A1007" s="1" t="str">
        <f>"526975"</f>
        <v>526975</v>
      </c>
      <c r="B1007" s="2" t="str">
        <f>"ANEL ORING"</f>
        <v>ANEL ORING</v>
      </c>
      <c r="C1007" s="2" t="str">
        <f t="shared" si="38"/>
        <v>UN</v>
      </c>
      <c r="D1007" s="7">
        <v>901</v>
      </c>
      <c r="E1007" s="3">
        <v>10</v>
      </c>
      <c r="F1007" s="2">
        <v>0</v>
      </c>
      <c r="G1007" t="s">
        <v>513</v>
      </c>
    </row>
    <row r="1008" spans="1:7" x14ac:dyDescent="0.25">
      <c r="A1008" s="1" t="str">
        <f>"518529"</f>
        <v>518529</v>
      </c>
      <c r="B1008" s="2" t="str">
        <f>"ANEL O'RING - 2011"</f>
        <v>ANEL O'RING - 2011</v>
      </c>
      <c r="C1008" s="2" t="str">
        <f t="shared" si="38"/>
        <v>UN</v>
      </c>
      <c r="D1008" s="7">
        <v>909</v>
      </c>
      <c r="E1008" s="3">
        <v>11</v>
      </c>
      <c r="F1008" s="2">
        <v>2</v>
      </c>
      <c r="G1008" t="s">
        <v>514</v>
      </c>
    </row>
    <row r="1009" spans="1:7" x14ac:dyDescent="0.25">
      <c r="A1009" s="1" t="str">
        <f>"518530"</f>
        <v>518530</v>
      </c>
      <c r="B1009" s="2" t="str">
        <f>"ANEL O'RING - 2012"</f>
        <v>ANEL O'RING - 2012</v>
      </c>
      <c r="C1009" s="2" t="str">
        <f t="shared" si="38"/>
        <v>UN</v>
      </c>
      <c r="D1009" s="7">
        <v>909</v>
      </c>
      <c r="E1009" s="3">
        <v>11</v>
      </c>
      <c r="F1009" s="2">
        <v>5</v>
      </c>
      <c r="G1009" t="s">
        <v>514</v>
      </c>
    </row>
    <row r="1010" spans="1:7" x14ac:dyDescent="0.25">
      <c r="A1010" s="1" t="str">
        <f>"518527"</f>
        <v>518527</v>
      </c>
      <c r="B1010" s="2" t="str">
        <f>"ANEL O'RING - 2116"</f>
        <v>ANEL O'RING - 2116</v>
      </c>
      <c r="C1010" s="2" t="str">
        <f t="shared" si="38"/>
        <v>UN</v>
      </c>
      <c r="D1010" s="7">
        <v>909</v>
      </c>
      <c r="E1010" s="3">
        <v>11</v>
      </c>
      <c r="F1010" s="2">
        <v>6</v>
      </c>
      <c r="G1010" t="s">
        <v>512</v>
      </c>
    </row>
    <row r="1011" spans="1:7" x14ac:dyDescent="0.25">
      <c r="A1011" s="1" t="str">
        <f>"519318"</f>
        <v>519318</v>
      </c>
      <c r="B1011" s="2" t="str">
        <f>"ANEL O'RING - 2201"</f>
        <v>ANEL O'RING - 2201</v>
      </c>
      <c r="C1011" s="2" t="str">
        <f t="shared" si="38"/>
        <v>UN</v>
      </c>
      <c r="D1011" s="7">
        <v>909</v>
      </c>
      <c r="E1011" s="3">
        <v>11</v>
      </c>
      <c r="F1011" s="2">
        <v>9</v>
      </c>
      <c r="G1011" t="s">
        <v>513</v>
      </c>
    </row>
    <row r="1012" spans="1:7" x14ac:dyDescent="0.25">
      <c r="A1012" s="1" t="str">
        <f>"519316"</f>
        <v>519316</v>
      </c>
      <c r="B1012" s="2" t="str">
        <f>"ANEL O'RING - 2208"</f>
        <v>ANEL O'RING - 2208</v>
      </c>
      <c r="C1012" s="2" t="str">
        <f t="shared" si="38"/>
        <v>UN</v>
      </c>
      <c r="D1012" s="7">
        <v>909</v>
      </c>
      <c r="E1012" s="3">
        <v>11</v>
      </c>
      <c r="F1012" s="2">
        <v>5</v>
      </c>
      <c r="G1012" t="s">
        <v>514</v>
      </c>
    </row>
    <row r="1013" spans="1:7" x14ac:dyDescent="0.25">
      <c r="A1013" s="1" t="str">
        <f>"518524"</f>
        <v>518524</v>
      </c>
      <c r="B1013" s="2" t="str">
        <f>"ANEL O'RING - 2211"</f>
        <v>ANEL O'RING - 2211</v>
      </c>
      <c r="C1013" s="2" t="str">
        <f t="shared" si="38"/>
        <v>UN</v>
      </c>
      <c r="D1013" s="7">
        <v>909</v>
      </c>
      <c r="E1013" s="3">
        <v>11</v>
      </c>
      <c r="F1013" s="2">
        <v>3</v>
      </c>
      <c r="G1013" t="s">
        <v>514</v>
      </c>
    </row>
    <row r="1014" spans="1:7" x14ac:dyDescent="0.25">
      <c r="A1014" s="1" t="str">
        <f>"527296"</f>
        <v>527296</v>
      </c>
      <c r="B1014" s="2" t="str">
        <f>"ANEL O'RING - 2213"</f>
        <v>ANEL O'RING - 2213</v>
      </c>
      <c r="C1014" s="2" t="str">
        <f t="shared" si="38"/>
        <v>UN</v>
      </c>
      <c r="D1014" s="7">
        <v>909</v>
      </c>
      <c r="E1014" s="3">
        <v>11</v>
      </c>
      <c r="F1014" s="2">
        <v>3</v>
      </c>
      <c r="G1014" t="s">
        <v>514</v>
      </c>
    </row>
    <row r="1015" spans="1:7" x14ac:dyDescent="0.25">
      <c r="A1015" s="1" t="str">
        <f>"519315"</f>
        <v>519315</v>
      </c>
      <c r="B1015" s="2" t="str">
        <f>"ANEL O'RING - 2214"</f>
        <v>ANEL O'RING - 2214</v>
      </c>
      <c r="C1015" s="2" t="str">
        <f t="shared" si="38"/>
        <v>UN</v>
      </c>
      <c r="D1015" s="7">
        <v>909</v>
      </c>
      <c r="E1015" s="3">
        <v>11</v>
      </c>
      <c r="F1015" s="2">
        <v>2</v>
      </c>
      <c r="G1015" t="s">
        <v>513</v>
      </c>
    </row>
    <row r="1016" spans="1:7" x14ac:dyDescent="0.25">
      <c r="A1016" s="1" t="str">
        <f>"518800"</f>
        <v>518800</v>
      </c>
      <c r="B1016" s="2" t="str">
        <f>"ANEL O'RING - 2222"</f>
        <v>ANEL O'RING - 2222</v>
      </c>
      <c r="C1016" s="2" t="str">
        <f t="shared" si="38"/>
        <v>UN</v>
      </c>
      <c r="D1016" s="7">
        <v>909</v>
      </c>
      <c r="E1016" s="3">
        <v>11</v>
      </c>
      <c r="F1016" s="2">
        <v>1</v>
      </c>
      <c r="G1016" t="s">
        <v>512</v>
      </c>
    </row>
    <row r="1017" spans="1:7" x14ac:dyDescent="0.25">
      <c r="A1017" s="1" t="str">
        <f>"518801"</f>
        <v>518801</v>
      </c>
      <c r="B1017" s="2" t="str">
        <f>"ANEL O'RING - 2230"</f>
        <v>ANEL O'RING - 2230</v>
      </c>
      <c r="C1017" s="2" t="str">
        <f t="shared" si="38"/>
        <v>UN</v>
      </c>
      <c r="D1017" s="7">
        <v>909</v>
      </c>
      <c r="E1017" s="3">
        <v>11</v>
      </c>
      <c r="F1017" s="2">
        <v>4</v>
      </c>
      <c r="G1017" t="s">
        <v>513</v>
      </c>
    </row>
    <row r="1018" spans="1:7" x14ac:dyDescent="0.25">
      <c r="A1018" s="1" t="str">
        <f>"518523"</f>
        <v>518523</v>
      </c>
      <c r="B1018" s="2" t="str">
        <f>"ANEL O'RING - 2231"</f>
        <v>ANEL O'RING - 2231</v>
      </c>
      <c r="C1018" s="2" t="str">
        <f t="shared" si="38"/>
        <v>UN</v>
      </c>
      <c r="D1018" s="7">
        <v>909</v>
      </c>
      <c r="E1018" s="3">
        <v>11</v>
      </c>
      <c r="F1018" s="2">
        <v>6</v>
      </c>
      <c r="G1018" t="s">
        <v>514</v>
      </c>
    </row>
    <row r="1019" spans="1:7" x14ac:dyDescent="0.25">
      <c r="A1019" s="1" t="str">
        <f>"518802"</f>
        <v>518802</v>
      </c>
      <c r="B1019" s="2" t="str">
        <f>"ANEL O'RING - 2237"</f>
        <v>ANEL O'RING - 2237</v>
      </c>
      <c r="C1019" s="2" t="str">
        <f t="shared" si="38"/>
        <v>UN</v>
      </c>
      <c r="D1019" s="7">
        <v>909</v>
      </c>
      <c r="E1019" s="3">
        <v>11</v>
      </c>
      <c r="F1019" s="2">
        <v>8</v>
      </c>
      <c r="G1019" t="s">
        <v>514</v>
      </c>
    </row>
    <row r="1020" spans="1:7" x14ac:dyDescent="0.25">
      <c r="A1020" s="1" t="str">
        <f>"527240"</f>
        <v>527240</v>
      </c>
      <c r="B1020" s="2" t="str">
        <f>"ANEL O'RING - 2317"</f>
        <v>ANEL O'RING - 2317</v>
      </c>
      <c r="C1020" s="2" t="str">
        <f t="shared" si="38"/>
        <v>UN</v>
      </c>
      <c r="D1020" s="7">
        <v>909</v>
      </c>
      <c r="E1020" s="3">
        <v>11</v>
      </c>
      <c r="F1020" s="2">
        <v>7</v>
      </c>
      <c r="G1020" t="s">
        <v>514</v>
      </c>
    </row>
    <row r="1021" spans="1:7" x14ac:dyDescent="0.25">
      <c r="A1021" s="1" t="str">
        <f>"518532"</f>
        <v>518532</v>
      </c>
      <c r="B1021" s="2" t="str">
        <f>"ANEL O'RING - 2324"</f>
        <v>ANEL O'RING - 2324</v>
      </c>
      <c r="C1021" s="2" t="str">
        <f t="shared" si="38"/>
        <v>UN</v>
      </c>
      <c r="D1021" s="7">
        <v>909</v>
      </c>
      <c r="E1021" s="3">
        <v>11</v>
      </c>
      <c r="F1021" s="2">
        <v>6</v>
      </c>
      <c r="G1021" t="s">
        <v>513</v>
      </c>
    </row>
    <row r="1022" spans="1:7" x14ac:dyDescent="0.25">
      <c r="A1022" s="1" t="str">
        <f>"518579"</f>
        <v>518579</v>
      </c>
      <c r="B1022" s="2" t="str">
        <f>"ANEL O'RING - 2340"</f>
        <v>ANEL O'RING - 2340</v>
      </c>
      <c r="C1022" s="2" t="str">
        <f t="shared" si="38"/>
        <v>UN</v>
      </c>
      <c r="D1022" s="7">
        <v>909</v>
      </c>
      <c r="E1022" s="3">
        <v>11</v>
      </c>
      <c r="F1022" s="2">
        <v>6</v>
      </c>
      <c r="G1022" t="s">
        <v>513</v>
      </c>
    </row>
    <row r="1023" spans="1:7" x14ac:dyDescent="0.25">
      <c r="A1023" s="1" t="str">
        <f>"518580"</f>
        <v>518580</v>
      </c>
      <c r="B1023" s="2" t="str">
        <f>"ANEL O'RING - 2344"</f>
        <v>ANEL O'RING - 2344</v>
      </c>
      <c r="C1023" s="2" t="str">
        <f t="shared" si="38"/>
        <v>UN</v>
      </c>
      <c r="D1023" s="7">
        <v>909</v>
      </c>
      <c r="E1023" s="3">
        <v>11</v>
      </c>
      <c r="F1023" s="2">
        <v>2</v>
      </c>
      <c r="G1023" t="s">
        <v>513</v>
      </c>
    </row>
    <row r="1024" spans="1:7" x14ac:dyDescent="0.25">
      <c r="A1024" s="1" t="str">
        <f>"518526"</f>
        <v>518526</v>
      </c>
      <c r="B1024" s="2" t="str">
        <f>"ANEL O'RING - 2346"</f>
        <v>ANEL O'RING - 2346</v>
      </c>
      <c r="C1024" s="2" t="str">
        <f t="shared" si="38"/>
        <v>UN</v>
      </c>
      <c r="D1024" s="7">
        <v>909</v>
      </c>
      <c r="E1024" s="3">
        <v>11</v>
      </c>
      <c r="F1024" s="2">
        <v>1</v>
      </c>
      <c r="G1024" t="s">
        <v>512</v>
      </c>
    </row>
    <row r="1025" spans="1:7" x14ac:dyDescent="0.25">
      <c r="A1025" s="1" t="str">
        <f>"519317"</f>
        <v>519317</v>
      </c>
      <c r="B1025" s="2" t="str">
        <f>"ANEL O'RING - 2442"</f>
        <v>ANEL O'RING - 2442</v>
      </c>
      <c r="C1025" s="2" t="str">
        <f t="shared" si="38"/>
        <v>UN</v>
      </c>
      <c r="D1025" s="7">
        <v>909</v>
      </c>
      <c r="E1025" s="3">
        <v>11</v>
      </c>
      <c r="F1025" s="2">
        <v>0</v>
      </c>
      <c r="G1025" t="s">
        <v>513</v>
      </c>
    </row>
    <row r="1026" spans="1:7" x14ac:dyDescent="0.25">
      <c r="A1026" s="1" t="str">
        <f>"510321"</f>
        <v>510321</v>
      </c>
      <c r="B1026" s="2" t="str">
        <f>"ANEL O'RING 008900011"</f>
        <v>ANEL O'RING 008900011</v>
      </c>
      <c r="C1026" s="2" t="str">
        <f t="shared" si="38"/>
        <v>UN</v>
      </c>
      <c r="D1026" s="7">
        <v>909</v>
      </c>
      <c r="E1026" s="3">
        <v>11</v>
      </c>
      <c r="F1026" s="2">
        <v>0</v>
      </c>
      <c r="G1026" t="s">
        <v>514</v>
      </c>
    </row>
    <row r="1027" spans="1:7" x14ac:dyDescent="0.25">
      <c r="A1027" s="1" t="str">
        <f>"518525"</f>
        <v>518525</v>
      </c>
      <c r="B1027" s="2" t="str">
        <f>"ANEL O'RING 1.5 X 9 X 10.5"</f>
        <v>ANEL O'RING 1.5 X 9 X 10.5</v>
      </c>
      <c r="C1027" s="2" t="str">
        <f t="shared" si="38"/>
        <v>UN</v>
      </c>
      <c r="D1027" s="7">
        <v>909</v>
      </c>
      <c r="E1027" s="3">
        <v>11</v>
      </c>
      <c r="F1027" s="2">
        <v>0</v>
      </c>
      <c r="G1027" t="s">
        <v>515</v>
      </c>
    </row>
    <row r="1028" spans="1:7" x14ac:dyDescent="0.25">
      <c r="A1028" s="1" t="str">
        <f>"520203"</f>
        <v>520203</v>
      </c>
      <c r="B1028" s="2" t="str">
        <f>"ANEL O'RING 100X5MM VITON 50-60"</f>
        <v>ANEL O'RING 100X5MM VITON 50-60</v>
      </c>
      <c r="C1028" s="2" t="str">
        <f t="shared" si="38"/>
        <v>UN</v>
      </c>
      <c r="D1028" s="7">
        <v>909</v>
      </c>
      <c r="E1028" s="3">
        <v>11</v>
      </c>
      <c r="F1028" s="2">
        <v>3</v>
      </c>
      <c r="G1028" t="s">
        <v>512</v>
      </c>
    </row>
    <row r="1029" spans="1:7" x14ac:dyDescent="0.25">
      <c r="A1029" s="1" t="str">
        <f>"527624"</f>
        <v>527624</v>
      </c>
      <c r="B1029" s="2" t="str">
        <f>"ANEL ORING 117 x 3,5  VITON"</f>
        <v>ANEL ORING 117 x 3,5  VITON</v>
      </c>
      <c r="C1029" s="2" t="str">
        <f t="shared" si="38"/>
        <v>UN</v>
      </c>
      <c r="D1029" s="7">
        <v>909</v>
      </c>
      <c r="E1029" s="3">
        <v>11</v>
      </c>
      <c r="F1029" s="5">
        <v>5</v>
      </c>
      <c r="G1029" t="s">
        <v>516</v>
      </c>
    </row>
    <row r="1030" spans="1:7" x14ac:dyDescent="0.25">
      <c r="A1030" s="1" t="str">
        <f>"526981"</f>
        <v>526981</v>
      </c>
      <c r="B1030" s="2" t="str">
        <f>"ANEL ORING 149MMX4MM"</f>
        <v>ANEL ORING 149MMX4MM</v>
      </c>
      <c r="C1030" s="2" t="str">
        <f t="shared" ref="C1030:C1059" si="39">"UN"</f>
        <v>UN</v>
      </c>
      <c r="D1030" s="7">
        <v>909</v>
      </c>
      <c r="E1030" s="3">
        <v>11</v>
      </c>
      <c r="F1030" s="2">
        <v>3</v>
      </c>
      <c r="G1030" t="s">
        <v>515</v>
      </c>
    </row>
    <row r="1031" spans="1:7" x14ac:dyDescent="0.25">
      <c r="A1031" s="1" t="str">
        <f>"520205"</f>
        <v>520205</v>
      </c>
      <c r="B1031" s="2" t="str">
        <f>"ANEL O'RING 16X10MM PB"</f>
        <v>ANEL O'RING 16X10MM PB</v>
      </c>
      <c r="C1031" s="2" t="str">
        <f t="shared" si="39"/>
        <v>UN</v>
      </c>
      <c r="D1031" s="7">
        <v>918</v>
      </c>
      <c r="E1031" s="3">
        <v>11</v>
      </c>
      <c r="F1031" s="2">
        <v>8</v>
      </c>
      <c r="G1031" t="s">
        <v>514</v>
      </c>
    </row>
    <row r="1032" spans="1:7" x14ac:dyDescent="0.25">
      <c r="A1032" s="1" t="str">
        <f>"527250"</f>
        <v>527250</v>
      </c>
      <c r="B1032" s="2" t="str">
        <f>"ANEL ORING 176,5X3,5 VITON"</f>
        <v>ANEL ORING 176,5X3,5 VITON</v>
      </c>
      <c r="C1032" s="2" t="str">
        <f t="shared" si="39"/>
        <v>UN</v>
      </c>
      <c r="D1032" s="7">
        <v>909</v>
      </c>
      <c r="E1032" s="3">
        <v>11</v>
      </c>
      <c r="F1032" s="2">
        <v>6</v>
      </c>
      <c r="G1032" t="s">
        <v>512</v>
      </c>
    </row>
    <row r="1033" spans="1:7" x14ac:dyDescent="0.25">
      <c r="A1033" s="1" t="str">
        <f>"527249"</f>
        <v>527249</v>
      </c>
      <c r="B1033" s="8" t="s">
        <v>496</v>
      </c>
      <c r="C1033" s="2" t="str">
        <f t="shared" si="39"/>
        <v>UN</v>
      </c>
      <c r="D1033" s="7">
        <v>909</v>
      </c>
      <c r="E1033" s="3">
        <v>11</v>
      </c>
      <c r="F1033" s="2">
        <v>4</v>
      </c>
      <c r="G1033" t="s">
        <v>513</v>
      </c>
    </row>
    <row r="1034" spans="1:7" x14ac:dyDescent="0.25">
      <c r="A1034" s="1" t="str">
        <f>"525399"</f>
        <v>525399</v>
      </c>
      <c r="B1034" s="2" t="str">
        <f>"ANEL ORING 2109 VITON"</f>
        <v>ANEL ORING 2109 VITON</v>
      </c>
      <c r="C1034" s="2" t="str">
        <f t="shared" si="39"/>
        <v>UN</v>
      </c>
      <c r="D1034" s="7">
        <v>812</v>
      </c>
      <c r="E1034" s="3">
        <v>11</v>
      </c>
      <c r="F1034" s="2">
        <v>1</v>
      </c>
      <c r="G1034" t="s">
        <v>514</v>
      </c>
    </row>
    <row r="1035" spans="1:7" x14ac:dyDescent="0.25">
      <c r="A1035" s="1" t="str">
        <f>"522542"</f>
        <v>522542</v>
      </c>
      <c r="B1035" s="8" t="s">
        <v>318</v>
      </c>
      <c r="C1035" s="2" t="str">
        <f t="shared" si="39"/>
        <v>UN</v>
      </c>
      <c r="D1035" s="7">
        <v>918</v>
      </c>
      <c r="E1035" s="3">
        <v>11</v>
      </c>
      <c r="F1035" s="2">
        <v>2</v>
      </c>
      <c r="G1035" t="s">
        <v>514</v>
      </c>
    </row>
    <row r="1036" spans="1:7" x14ac:dyDescent="0.25">
      <c r="A1036" s="1" t="str">
        <f>"522541"</f>
        <v>522541</v>
      </c>
      <c r="B1036" s="8" t="s">
        <v>317</v>
      </c>
      <c r="C1036" s="2" t="str">
        <f t="shared" si="39"/>
        <v>UN</v>
      </c>
      <c r="D1036" s="7">
        <v>918</v>
      </c>
      <c r="E1036" s="3">
        <v>11</v>
      </c>
      <c r="F1036" s="2">
        <v>7</v>
      </c>
      <c r="G1036" t="s">
        <v>512</v>
      </c>
    </row>
    <row r="1037" spans="1:7" x14ac:dyDescent="0.25">
      <c r="A1037" s="1" t="str">
        <f>"522538"</f>
        <v>522538</v>
      </c>
      <c r="B1037" s="8" t="s">
        <v>314</v>
      </c>
      <c r="C1037" s="2" t="str">
        <f t="shared" si="39"/>
        <v>UN</v>
      </c>
      <c r="D1037" s="7">
        <v>918</v>
      </c>
      <c r="E1037" s="3">
        <v>11</v>
      </c>
      <c r="F1037" s="2">
        <v>9</v>
      </c>
      <c r="G1037" t="s">
        <v>513</v>
      </c>
    </row>
    <row r="1038" spans="1:7" x14ac:dyDescent="0.25">
      <c r="A1038" s="1" t="str">
        <f>"524239"</f>
        <v>524239</v>
      </c>
      <c r="B1038" s="2" t="str">
        <f>"ANEL ORING 2225"</f>
        <v>ANEL ORING 2225</v>
      </c>
      <c r="C1038" s="2" t="str">
        <f t="shared" si="39"/>
        <v>UN</v>
      </c>
      <c r="D1038" s="7">
        <v>918</v>
      </c>
      <c r="E1038" s="3">
        <v>11</v>
      </c>
      <c r="F1038" s="2">
        <v>0</v>
      </c>
      <c r="G1038" t="s">
        <v>514</v>
      </c>
    </row>
    <row r="1039" spans="1:7" x14ac:dyDescent="0.25">
      <c r="A1039" s="1" t="str">
        <f>"527251"</f>
        <v>527251</v>
      </c>
      <c r="B1039" s="8" t="s">
        <v>497</v>
      </c>
      <c r="C1039" s="2" t="str">
        <f t="shared" si="39"/>
        <v>UN</v>
      </c>
      <c r="D1039" s="7">
        <v>909</v>
      </c>
      <c r="E1039" s="3">
        <v>11</v>
      </c>
      <c r="F1039" s="2">
        <v>0</v>
      </c>
      <c r="G1039" t="s">
        <v>514</v>
      </c>
    </row>
    <row r="1040" spans="1:7" x14ac:dyDescent="0.25">
      <c r="A1040" s="1" t="str">
        <f>"526819"</f>
        <v>526819</v>
      </c>
      <c r="B1040" s="2" t="str">
        <f>"ANEL O-RING 354,97 P/TPM P717476"</f>
        <v>ANEL O-RING 354,97 P/TPM P717476</v>
      </c>
      <c r="C1040" s="2" t="str">
        <f t="shared" si="39"/>
        <v>UN</v>
      </c>
      <c r="D1040" s="7">
        <v>909</v>
      </c>
      <c r="E1040" s="3">
        <v>11</v>
      </c>
      <c r="F1040" s="2">
        <v>2</v>
      </c>
      <c r="G1040" t="s">
        <v>514</v>
      </c>
    </row>
    <row r="1041" spans="1:7" x14ac:dyDescent="0.25">
      <c r="A1041" s="1" t="str">
        <f>"526820"</f>
        <v>526820</v>
      </c>
      <c r="B1041" s="2" t="str">
        <f>"ANEL O-RING 354,97 P/TPM P717476"</f>
        <v>ANEL O-RING 354,97 P/TPM P717476</v>
      </c>
      <c r="C1041" s="2" t="str">
        <f t="shared" si="39"/>
        <v>UN</v>
      </c>
      <c r="D1041" s="7">
        <v>909</v>
      </c>
      <c r="E1041" s="3">
        <v>11</v>
      </c>
      <c r="F1041" s="2">
        <v>5</v>
      </c>
      <c r="G1041" t="s">
        <v>513</v>
      </c>
    </row>
    <row r="1042" spans="1:7" x14ac:dyDescent="0.25">
      <c r="A1042" s="1" t="str">
        <f>"518698"</f>
        <v>518698</v>
      </c>
      <c r="B1042" s="2" t="str">
        <f>"ANEL O'RING 38,5x5,7"</f>
        <v>ANEL O'RING 38,5x5,7</v>
      </c>
      <c r="C1042" s="2" t="str">
        <f t="shared" si="39"/>
        <v>UN</v>
      </c>
      <c r="D1042" s="7">
        <v>909</v>
      </c>
      <c r="E1042" s="3">
        <v>11</v>
      </c>
      <c r="F1042" s="2">
        <v>6</v>
      </c>
      <c r="G1042" t="s">
        <v>512</v>
      </c>
    </row>
    <row r="1043" spans="1:7" x14ac:dyDescent="0.25">
      <c r="A1043" s="1" t="str">
        <f>"526822"</f>
        <v>526822</v>
      </c>
      <c r="B1043" s="2" t="str">
        <f>"ANEL O-RING 69,52 P/ TPM P717245"</f>
        <v>ANEL O-RING 69,52 P/ TPM P717245</v>
      </c>
      <c r="C1043" s="2" t="str">
        <f t="shared" si="39"/>
        <v>UN</v>
      </c>
      <c r="D1043" s="7">
        <v>909</v>
      </c>
      <c r="E1043" s="3">
        <v>11</v>
      </c>
      <c r="F1043" s="2">
        <v>9</v>
      </c>
      <c r="G1043" t="s">
        <v>513</v>
      </c>
    </row>
    <row r="1044" spans="1:7" x14ac:dyDescent="0.25">
      <c r="A1044" s="1" t="str">
        <f>"511777"</f>
        <v>511777</v>
      </c>
      <c r="B1044" s="2" t="str">
        <f>"ANEL O'RING 75X5MM"</f>
        <v>ANEL O'RING 75X5MM</v>
      </c>
      <c r="C1044" s="2" t="str">
        <f t="shared" si="39"/>
        <v>UN</v>
      </c>
      <c r="D1044" s="7">
        <v>909</v>
      </c>
      <c r="E1044" s="3">
        <v>11</v>
      </c>
      <c r="F1044" s="2">
        <v>5</v>
      </c>
      <c r="G1044" t="s">
        <v>514</v>
      </c>
    </row>
    <row r="1045" spans="1:7" x14ac:dyDescent="0.25">
      <c r="A1045" s="1" t="str">
        <f>"518697"</f>
        <v>518697</v>
      </c>
      <c r="B1045" s="2" t="str">
        <f>"ANEL O'RING 79X85X3,5MM"</f>
        <v>ANEL O'RING 79X85X3,5MM</v>
      </c>
      <c r="C1045" s="2" t="str">
        <f t="shared" si="39"/>
        <v>UN</v>
      </c>
      <c r="D1045" s="7">
        <v>909</v>
      </c>
      <c r="E1045" s="3">
        <v>11</v>
      </c>
      <c r="F1045" s="2">
        <v>3</v>
      </c>
      <c r="G1045" t="s">
        <v>514</v>
      </c>
    </row>
    <row r="1046" spans="1:7" x14ac:dyDescent="0.25">
      <c r="A1046" s="1" t="str">
        <f>"526821"</f>
        <v>526821</v>
      </c>
      <c r="B1046" s="2" t="str">
        <f>"ANEL O-RING 82,55 P/ TPM P713244"</f>
        <v>ANEL O-RING 82,55 P/ TPM P713244</v>
      </c>
      <c r="C1046" s="2" t="str">
        <f t="shared" si="39"/>
        <v>UN</v>
      </c>
      <c r="D1046" s="7">
        <v>909</v>
      </c>
      <c r="E1046" s="3">
        <v>11</v>
      </c>
      <c r="F1046" s="2">
        <v>3</v>
      </c>
      <c r="G1046" t="s">
        <v>514</v>
      </c>
    </row>
    <row r="1047" spans="1:7" x14ac:dyDescent="0.25">
      <c r="A1047" s="1" t="str">
        <f>"527625"</f>
        <v>527625</v>
      </c>
      <c r="B1047" s="2" t="str">
        <f>"ANEL ORING 91,4 x 5,3   VITON"</f>
        <v>ANEL ORING 91,4 x 5,3   VITON</v>
      </c>
      <c r="C1047" s="2" t="str">
        <f t="shared" si="39"/>
        <v>UN</v>
      </c>
      <c r="D1047" s="7">
        <v>909</v>
      </c>
      <c r="E1047" s="3">
        <v>11</v>
      </c>
      <c r="F1047" s="2">
        <v>2</v>
      </c>
      <c r="G1047" t="s">
        <v>513</v>
      </c>
    </row>
    <row r="1048" spans="1:7" x14ac:dyDescent="0.25">
      <c r="A1048" s="1" t="str">
        <f>"513471"</f>
        <v>513471</v>
      </c>
      <c r="B1048" s="2" t="str">
        <f>"ANEL ORING CAMISA 100"</f>
        <v>ANEL ORING CAMISA 100</v>
      </c>
      <c r="C1048" s="2" t="str">
        <f t="shared" si="39"/>
        <v>UN</v>
      </c>
      <c r="D1048" s="7">
        <v>918</v>
      </c>
      <c r="E1048" s="3">
        <v>11</v>
      </c>
      <c r="F1048" s="2">
        <v>1</v>
      </c>
      <c r="G1048" t="s">
        <v>513</v>
      </c>
    </row>
    <row r="1049" spans="1:7" x14ac:dyDescent="0.25">
      <c r="A1049" s="1" t="str">
        <f>"527934"</f>
        <v>527934</v>
      </c>
      <c r="B1049" s="2" t="str">
        <f>"ANEL ORING DE VITON 51MMX61MMX5MM"</f>
        <v>ANEL ORING DE VITON 51MMX61MMX5MM</v>
      </c>
      <c r="C1049" s="2" t="str">
        <f t="shared" si="39"/>
        <v>UN</v>
      </c>
      <c r="D1049" s="7">
        <v>909</v>
      </c>
      <c r="E1049" s="3">
        <v>11</v>
      </c>
      <c r="F1049" s="2">
        <v>4</v>
      </c>
      <c r="G1049" t="s">
        <v>513</v>
      </c>
    </row>
    <row r="1050" spans="1:7" x14ac:dyDescent="0.25">
      <c r="A1050" s="1" t="str">
        <f>"525991"</f>
        <v>525991</v>
      </c>
      <c r="B1050" s="2" t="str">
        <f>"ANEL ORING EPDM 6MM X 145MM INTERNO"</f>
        <v>ANEL ORING EPDM 6MM X 145MM INTERNO</v>
      </c>
      <c r="C1050" s="2" t="str">
        <f t="shared" si="39"/>
        <v>UN</v>
      </c>
      <c r="D1050" s="7">
        <v>909</v>
      </c>
      <c r="E1050" s="3">
        <v>11</v>
      </c>
      <c r="F1050" s="2">
        <v>1</v>
      </c>
      <c r="G1050" t="s">
        <v>512</v>
      </c>
    </row>
    <row r="1051" spans="1:7" x14ac:dyDescent="0.25">
      <c r="A1051" s="1" t="str">
        <f>"526817"</f>
        <v>526817</v>
      </c>
      <c r="B1051" s="2" t="str">
        <f>"ANEL ORING EPDM P/ LIQUIVERTER P716506"</f>
        <v>ANEL ORING EPDM P/ LIQUIVERTER P716506</v>
      </c>
      <c r="C1051" s="2" t="str">
        <f t="shared" si="39"/>
        <v>UN</v>
      </c>
      <c r="D1051" s="7">
        <v>909</v>
      </c>
      <c r="E1051" s="3">
        <v>11</v>
      </c>
      <c r="F1051" s="2">
        <v>2</v>
      </c>
      <c r="G1051" t="s">
        <v>513</v>
      </c>
    </row>
    <row r="1052" spans="1:7" x14ac:dyDescent="0.25">
      <c r="A1052" s="1" t="str">
        <f>"526816"</f>
        <v>526816</v>
      </c>
      <c r="B1052" s="2" t="str">
        <f>"ANEL ORING EPDM P/ LIQUIVERTER P716507"</f>
        <v>ANEL ORING EPDM P/ LIQUIVERTER P716507</v>
      </c>
      <c r="C1052" s="2" t="str">
        <f t="shared" si="39"/>
        <v>UN</v>
      </c>
      <c r="D1052" s="7">
        <v>909</v>
      </c>
      <c r="E1052" s="3">
        <v>11</v>
      </c>
      <c r="F1052" s="2">
        <v>7</v>
      </c>
      <c r="G1052" t="s">
        <v>514</v>
      </c>
    </row>
    <row r="1053" spans="1:7" x14ac:dyDescent="0.25">
      <c r="A1053" s="1" t="str">
        <f>"526824"</f>
        <v>526824</v>
      </c>
      <c r="B1053" s="2" t="str">
        <f>"ANEL O-RING EPDM P/ LIQUIVERTER P716945"</f>
        <v>ANEL O-RING EPDM P/ LIQUIVERTER P716945</v>
      </c>
      <c r="C1053" s="2" t="str">
        <f t="shared" si="39"/>
        <v>UN</v>
      </c>
      <c r="D1053" s="7">
        <v>909</v>
      </c>
      <c r="E1053" s="3">
        <v>11</v>
      </c>
      <c r="F1053" s="2">
        <v>9</v>
      </c>
      <c r="G1053" t="s">
        <v>515</v>
      </c>
    </row>
    <row r="1054" spans="1:7" x14ac:dyDescent="0.25">
      <c r="A1054" s="1" t="str">
        <f>"526825"</f>
        <v>526825</v>
      </c>
      <c r="B1054" s="2" t="str">
        <f>"ANEL O-RING EPDM P/ LIQUIVERTER P716946"</f>
        <v>ANEL O-RING EPDM P/ LIQUIVERTER P716946</v>
      </c>
      <c r="C1054" s="2" t="str">
        <f t="shared" si="39"/>
        <v>UN</v>
      </c>
      <c r="D1054" s="7">
        <v>909</v>
      </c>
      <c r="E1054" s="3">
        <v>11</v>
      </c>
      <c r="F1054" s="2">
        <v>0</v>
      </c>
      <c r="G1054" t="s">
        <v>512</v>
      </c>
    </row>
    <row r="1055" spans="1:7" x14ac:dyDescent="0.25">
      <c r="A1055" s="1" t="str">
        <f>"527785"</f>
        <v>527785</v>
      </c>
      <c r="B1055" s="8" t="s">
        <v>506</v>
      </c>
      <c r="C1055" s="2" t="str">
        <f t="shared" si="39"/>
        <v>UN</v>
      </c>
      <c r="D1055" s="7">
        <v>909</v>
      </c>
      <c r="E1055" s="3">
        <v>11</v>
      </c>
      <c r="F1055" s="2">
        <v>0</v>
      </c>
      <c r="G1055" t="s">
        <v>516</v>
      </c>
    </row>
    <row r="1056" spans="1:7" x14ac:dyDescent="0.25">
      <c r="A1056" s="1" t="str">
        <f>"518531"</f>
        <v>518531</v>
      </c>
      <c r="B1056" s="8" t="s">
        <v>99</v>
      </c>
      <c r="C1056" s="2" t="str">
        <f t="shared" si="39"/>
        <v>UN</v>
      </c>
      <c r="D1056" s="7">
        <v>909</v>
      </c>
      <c r="E1056" s="3">
        <v>11</v>
      </c>
      <c r="F1056" s="2">
        <v>4</v>
      </c>
      <c r="G1056" t="s">
        <v>515</v>
      </c>
    </row>
    <row r="1057" spans="1:7" x14ac:dyDescent="0.25">
      <c r="A1057" s="1" t="str">
        <f>"518528"</f>
        <v>518528</v>
      </c>
      <c r="B1057" s="8" t="s">
        <v>98</v>
      </c>
      <c r="C1057" s="2" t="str">
        <f t="shared" si="39"/>
        <v>UN</v>
      </c>
      <c r="D1057" s="7">
        <v>909</v>
      </c>
      <c r="E1057" s="3">
        <v>11</v>
      </c>
      <c r="F1057" s="2">
        <v>1</v>
      </c>
      <c r="G1057" t="s">
        <v>514</v>
      </c>
    </row>
    <row r="1058" spans="1:7" x14ac:dyDescent="0.25">
      <c r="A1058" s="1" t="str">
        <f>"518803"</f>
        <v>518803</v>
      </c>
      <c r="B1058" s="8" t="s">
        <v>102</v>
      </c>
      <c r="C1058" s="2" t="str">
        <f t="shared" si="39"/>
        <v>UN</v>
      </c>
      <c r="D1058" s="7">
        <v>909</v>
      </c>
      <c r="E1058" s="3">
        <v>11</v>
      </c>
      <c r="F1058" s="2">
        <v>2</v>
      </c>
      <c r="G1058" t="s">
        <v>512</v>
      </c>
    </row>
    <row r="1059" spans="1:7" x14ac:dyDescent="0.25">
      <c r="A1059" s="1" t="str">
        <f>"516456"</f>
        <v>516456</v>
      </c>
      <c r="B1059" s="2" t="str">
        <f>"ANEL O'RING J80110103"</f>
        <v>ANEL O'RING J80110103</v>
      </c>
      <c r="C1059" s="2" t="str">
        <f t="shared" si="39"/>
        <v>UN</v>
      </c>
      <c r="D1059" s="7">
        <v>1003</v>
      </c>
      <c r="E1059" s="3">
        <v>11</v>
      </c>
      <c r="F1059" s="2">
        <v>7</v>
      </c>
      <c r="G1059" t="s">
        <v>513</v>
      </c>
    </row>
    <row r="1060" spans="1:7" x14ac:dyDescent="0.25">
      <c r="A1060" s="1" t="str">
        <f>"508516"</f>
        <v>508516</v>
      </c>
      <c r="B1060" s="2" t="str">
        <f>"ANEL O'RING P5000 (BLOCO ENCOSTO)"</f>
        <v>ANEL O'RING P5000 (BLOCO ENCOSTO)</v>
      </c>
      <c r="C1060" s="2" t="str">
        <f>"BR"</f>
        <v>BR</v>
      </c>
      <c r="D1060" s="7">
        <v>807</v>
      </c>
      <c r="E1060" s="3">
        <v>10</v>
      </c>
      <c r="F1060" s="2">
        <v>9</v>
      </c>
      <c r="G1060" t="s">
        <v>514</v>
      </c>
    </row>
    <row r="1061" spans="1:7" x14ac:dyDescent="0.25">
      <c r="A1061" s="1" t="str">
        <f>"508635"</f>
        <v>508635</v>
      </c>
      <c r="B1061" s="2" t="str">
        <f>"ANEL O'RING POS 06 APC 1273"</f>
        <v>ANEL O'RING POS 06 APC 1273</v>
      </c>
      <c r="C1061" s="2" t="str">
        <f t="shared" ref="C1061:C1083" si="40">"UN"</f>
        <v>UN</v>
      </c>
      <c r="D1061" s="7">
        <v>909</v>
      </c>
      <c r="E1061" s="3">
        <v>11</v>
      </c>
      <c r="F1061" s="2">
        <v>0</v>
      </c>
      <c r="G1061" t="s">
        <v>514</v>
      </c>
    </row>
    <row r="1062" spans="1:7" x14ac:dyDescent="0.25">
      <c r="A1062" s="1" t="str">
        <f>"508641"</f>
        <v>508641</v>
      </c>
      <c r="B1062" s="2" t="str">
        <f>"ANEL O'RING POS 16 APC 3398"</f>
        <v>ANEL O'RING POS 16 APC 3398</v>
      </c>
      <c r="C1062" s="2" t="str">
        <f t="shared" si="40"/>
        <v>UN</v>
      </c>
      <c r="D1062" s="7">
        <v>909</v>
      </c>
      <c r="E1062" s="3">
        <v>11</v>
      </c>
      <c r="F1062" s="2">
        <v>0</v>
      </c>
      <c r="G1062" t="s">
        <v>512</v>
      </c>
    </row>
    <row r="1063" spans="1:7" x14ac:dyDescent="0.25">
      <c r="A1063" s="1" t="str">
        <f>"508631"</f>
        <v>508631</v>
      </c>
      <c r="B1063" s="2" t="str">
        <f>"ANEL O'RING POS 17 APC 1304"</f>
        <v>ANEL O'RING POS 17 APC 1304</v>
      </c>
      <c r="C1063" s="2" t="str">
        <f t="shared" si="40"/>
        <v>UN</v>
      </c>
      <c r="D1063" s="7">
        <v>909</v>
      </c>
      <c r="E1063" s="3">
        <v>11</v>
      </c>
      <c r="F1063" s="2">
        <v>2</v>
      </c>
      <c r="G1063" t="s">
        <v>513</v>
      </c>
    </row>
    <row r="1064" spans="1:7" x14ac:dyDescent="0.25">
      <c r="A1064" s="1" t="str">
        <f>"508643"</f>
        <v>508643</v>
      </c>
      <c r="B1064" s="2" t="str">
        <f>"ANEL O'RING POS 18 APC 1377"</f>
        <v>ANEL O'RING POS 18 APC 1377</v>
      </c>
      <c r="C1064" s="2" t="str">
        <f t="shared" si="40"/>
        <v>UN</v>
      </c>
      <c r="D1064" s="7">
        <v>909</v>
      </c>
      <c r="E1064" s="3">
        <v>11</v>
      </c>
      <c r="F1064" s="2">
        <v>5</v>
      </c>
      <c r="G1064" t="s">
        <v>514</v>
      </c>
    </row>
    <row r="1065" spans="1:7" x14ac:dyDescent="0.25">
      <c r="A1065" s="1" t="str">
        <f>"508642"</f>
        <v>508642</v>
      </c>
      <c r="B1065" s="2" t="str">
        <f>"ANEL O'RING POS 20 APC 1304"</f>
        <v>ANEL O'RING POS 20 APC 1304</v>
      </c>
      <c r="C1065" s="2" t="str">
        <f t="shared" si="40"/>
        <v>UN</v>
      </c>
      <c r="D1065" s="7">
        <v>909</v>
      </c>
      <c r="E1065" s="3">
        <v>11</v>
      </c>
      <c r="F1065" s="2">
        <v>0</v>
      </c>
      <c r="G1065" t="s">
        <v>514</v>
      </c>
    </row>
    <row r="1066" spans="1:7" x14ac:dyDescent="0.25">
      <c r="A1066" s="1" t="str">
        <f>"508632"</f>
        <v>508632</v>
      </c>
      <c r="B1066" s="2" t="str">
        <f>"ANEL O'RING POS 21 APC 2418"</f>
        <v>ANEL O'RING POS 21 APC 2418</v>
      </c>
      <c r="C1066" s="2" t="str">
        <f t="shared" si="40"/>
        <v>UN</v>
      </c>
      <c r="D1066" s="7">
        <v>909</v>
      </c>
      <c r="E1066" s="3">
        <v>11</v>
      </c>
      <c r="F1066" s="2">
        <v>2</v>
      </c>
      <c r="G1066" t="s">
        <v>514</v>
      </c>
    </row>
    <row r="1067" spans="1:7" x14ac:dyDescent="0.25">
      <c r="A1067" s="1" t="str">
        <f>"508633"</f>
        <v>508633</v>
      </c>
      <c r="B1067" s="2" t="str">
        <f>"ANEL O'RING POS 22 APC 1341"</f>
        <v>ANEL O'RING POS 22 APC 1341</v>
      </c>
      <c r="C1067" s="2" t="str">
        <f t="shared" si="40"/>
        <v>UN</v>
      </c>
      <c r="D1067" s="7">
        <v>909</v>
      </c>
      <c r="E1067" s="3">
        <v>11</v>
      </c>
      <c r="F1067" s="2">
        <v>5</v>
      </c>
      <c r="G1067" t="s">
        <v>513</v>
      </c>
    </row>
    <row r="1068" spans="1:7" x14ac:dyDescent="0.25">
      <c r="A1068" s="1" t="str">
        <f>"510721"</f>
        <v>510721</v>
      </c>
      <c r="B1068" s="2" t="str">
        <f>"ANEL O'RING POS 58 APC 1312"</f>
        <v>ANEL O'RING POS 58 APC 1312</v>
      </c>
      <c r="C1068" s="2" t="str">
        <f t="shared" si="40"/>
        <v>UN</v>
      </c>
      <c r="D1068" s="7">
        <v>909</v>
      </c>
      <c r="E1068" s="3">
        <v>11</v>
      </c>
      <c r="F1068" s="5">
        <v>5</v>
      </c>
      <c r="G1068" t="s">
        <v>512</v>
      </c>
    </row>
    <row r="1069" spans="1:7" x14ac:dyDescent="0.25">
      <c r="A1069" s="1" t="str">
        <f>"508850"</f>
        <v>508850</v>
      </c>
      <c r="B1069" s="2" t="str">
        <f>"ANEL O'RING POS.19 COD. 0663714500"</f>
        <v>ANEL O'RING POS.19 COD. 0663714500</v>
      </c>
      <c r="C1069" s="2" t="str">
        <f t="shared" si="40"/>
        <v>UN</v>
      </c>
      <c r="D1069" s="7">
        <v>909</v>
      </c>
      <c r="E1069" s="3">
        <v>11</v>
      </c>
      <c r="F1069" s="2">
        <v>3</v>
      </c>
      <c r="G1069" t="s">
        <v>513</v>
      </c>
    </row>
    <row r="1070" spans="1:7" x14ac:dyDescent="0.25">
      <c r="A1070" s="1" t="str">
        <f>"526818"</f>
        <v>526818</v>
      </c>
      <c r="B1070" s="2" t="str">
        <f>"ANEL P/ LIQUIVERTER EM BORRACHA EPDM P717242"</f>
        <v>ANEL P/ LIQUIVERTER EM BORRACHA EPDM P717242</v>
      </c>
      <c r="C1070" s="2" t="str">
        <f t="shared" si="40"/>
        <v>UN</v>
      </c>
      <c r="D1070" s="7">
        <v>909</v>
      </c>
      <c r="E1070" s="3">
        <v>11</v>
      </c>
      <c r="F1070" s="2">
        <v>8</v>
      </c>
      <c r="G1070" t="s">
        <v>514</v>
      </c>
    </row>
    <row r="1071" spans="1:7" x14ac:dyDescent="0.25">
      <c r="A1071" s="1" t="str">
        <f>"505630"</f>
        <v>505630</v>
      </c>
      <c r="B1071" s="2" t="str">
        <f>"ANEL PARAFUSO TAMPA"</f>
        <v>ANEL PARAFUSO TAMPA</v>
      </c>
      <c r="C1071" s="2" t="str">
        <f t="shared" si="40"/>
        <v>UN</v>
      </c>
      <c r="D1071" s="7">
        <v>704</v>
      </c>
      <c r="E1071" s="3">
        <v>9</v>
      </c>
      <c r="F1071" s="2">
        <v>6</v>
      </c>
      <c r="G1071" t="s">
        <v>514</v>
      </c>
    </row>
    <row r="1072" spans="1:7" x14ac:dyDescent="0.25">
      <c r="A1072" s="1" t="str">
        <f>"506521"</f>
        <v>506521</v>
      </c>
      <c r="B1072" s="2" t="str">
        <f>"ANEL PERFIL ALTO D2013"</f>
        <v>ANEL PERFIL ALTO D2013</v>
      </c>
      <c r="C1072" s="2" t="str">
        <f t="shared" si="40"/>
        <v>UN</v>
      </c>
      <c r="D1072" s="7">
        <v>909</v>
      </c>
      <c r="E1072" s="3">
        <v>10</v>
      </c>
      <c r="F1072" s="2">
        <v>4</v>
      </c>
      <c r="G1072" t="s">
        <v>514</v>
      </c>
    </row>
    <row r="1073" spans="1:7" x14ac:dyDescent="0.25">
      <c r="A1073" s="1" t="str">
        <f>"506522"</f>
        <v>506522</v>
      </c>
      <c r="B1073" s="2" t="str">
        <f>"ANEL PERFIL BAIXO D2012"</f>
        <v>ANEL PERFIL BAIXO D2012</v>
      </c>
      <c r="C1073" s="2" t="str">
        <f t="shared" si="40"/>
        <v>UN</v>
      </c>
      <c r="D1073" s="7">
        <v>909</v>
      </c>
      <c r="E1073" s="3">
        <v>10</v>
      </c>
      <c r="F1073" s="2">
        <v>1</v>
      </c>
      <c r="G1073" t="s">
        <v>513</v>
      </c>
    </row>
    <row r="1074" spans="1:7" x14ac:dyDescent="0.25">
      <c r="A1074" s="1" t="str">
        <f>"519888"</f>
        <v>519888</v>
      </c>
      <c r="B1074" s="2" t="str">
        <f>"ANEL PINO GRADE"</f>
        <v>ANEL PINO GRADE</v>
      </c>
      <c r="C1074" s="2" t="str">
        <f t="shared" si="40"/>
        <v>UN</v>
      </c>
      <c r="D1074" s="7">
        <v>704</v>
      </c>
      <c r="E1074" s="3">
        <v>9</v>
      </c>
      <c r="F1074" s="2">
        <v>2</v>
      </c>
      <c r="G1074" t="s">
        <v>513</v>
      </c>
    </row>
    <row r="1075" spans="1:7" x14ac:dyDescent="0.25">
      <c r="A1075" s="1" t="str">
        <f>"519889"</f>
        <v>519889</v>
      </c>
      <c r="B1075" s="2" t="str">
        <f>"ANEL PINO GRADE"</f>
        <v>ANEL PINO GRADE</v>
      </c>
      <c r="C1075" s="2" t="str">
        <f t="shared" si="40"/>
        <v>UN</v>
      </c>
      <c r="D1075" s="7">
        <v>704</v>
      </c>
      <c r="E1075" s="3">
        <v>9</v>
      </c>
      <c r="F1075" s="2">
        <v>7</v>
      </c>
      <c r="G1075" t="s">
        <v>513</v>
      </c>
    </row>
    <row r="1076" spans="1:7" x14ac:dyDescent="0.25">
      <c r="A1076" s="1" t="str">
        <f>"509351"</f>
        <v>509351</v>
      </c>
      <c r="B1076" s="2" t="str">
        <f>"ANEL PISTAO FCP-A"</f>
        <v>ANEL PISTAO FCP-A</v>
      </c>
      <c r="C1076" s="2" t="str">
        <f t="shared" si="40"/>
        <v>UN</v>
      </c>
      <c r="D1076" s="7">
        <v>909</v>
      </c>
      <c r="E1076" s="3">
        <v>11</v>
      </c>
      <c r="F1076" s="2">
        <v>9</v>
      </c>
      <c r="G1076" t="s">
        <v>512</v>
      </c>
    </row>
    <row r="1077" spans="1:7" x14ac:dyDescent="0.25">
      <c r="A1077" s="1" t="str">
        <f>"509350"</f>
        <v>509350</v>
      </c>
      <c r="B1077" s="2" t="str">
        <f>"ANEL PISTAO FCPCBF - WA"</f>
        <v>ANEL PISTAO FCPCBF - WA</v>
      </c>
      <c r="C1077" s="2" t="str">
        <f t="shared" si="40"/>
        <v>UN</v>
      </c>
      <c r="D1077" s="7">
        <v>909</v>
      </c>
      <c r="E1077" s="3">
        <v>11</v>
      </c>
      <c r="F1077" s="2">
        <v>0</v>
      </c>
      <c r="G1077" t="s">
        <v>513</v>
      </c>
    </row>
    <row r="1078" spans="1:7" x14ac:dyDescent="0.25">
      <c r="A1078" s="1" t="str">
        <f>"510143"</f>
        <v>510143</v>
      </c>
      <c r="B1078" s="2" t="str">
        <f>"ANEL PISTAO FCUC-A (91)"</f>
        <v>ANEL PISTAO FCUC-A (91)</v>
      </c>
      <c r="C1078" s="2" t="str">
        <f t="shared" si="40"/>
        <v>UN</v>
      </c>
      <c r="D1078" s="7">
        <v>909</v>
      </c>
      <c r="E1078" s="3">
        <v>11</v>
      </c>
      <c r="F1078" s="2">
        <v>0</v>
      </c>
      <c r="G1078" t="s">
        <v>514</v>
      </c>
    </row>
    <row r="1079" spans="1:7" x14ac:dyDescent="0.25">
      <c r="A1079" s="1" t="str">
        <f>"524301"</f>
        <v>524301</v>
      </c>
      <c r="B1079" s="2" t="str">
        <f>"ANEL POLIPROPILENO AZUL P/ FRASCO REAGENTE GL45"</f>
        <v>ANEL POLIPROPILENO AZUL P/ FRASCO REAGENTE GL45</v>
      </c>
      <c r="C1079" s="2" t="str">
        <f t="shared" si="40"/>
        <v>UN</v>
      </c>
      <c r="D1079" s="7">
        <v>406</v>
      </c>
      <c r="E1079" s="3">
        <v>4</v>
      </c>
      <c r="F1079" s="2">
        <v>2</v>
      </c>
      <c r="G1079" t="s">
        <v>515</v>
      </c>
    </row>
    <row r="1080" spans="1:7" x14ac:dyDescent="0.25">
      <c r="A1080" s="1" t="str">
        <f>"512045"</f>
        <v>512045</v>
      </c>
      <c r="B1080" s="2" t="str">
        <f>"ANEL PORTA VT20"</f>
        <v>ANEL PORTA VT20</v>
      </c>
      <c r="C1080" s="2" t="str">
        <f t="shared" si="40"/>
        <v>UN</v>
      </c>
      <c r="D1080" s="7">
        <v>909</v>
      </c>
      <c r="E1080" s="3">
        <v>11</v>
      </c>
      <c r="F1080" s="2">
        <v>5</v>
      </c>
      <c r="G1080" t="s">
        <v>512</v>
      </c>
    </row>
    <row r="1081" spans="1:7" x14ac:dyDescent="0.25">
      <c r="A1081" s="1" t="str">
        <f>"512369"</f>
        <v>512369</v>
      </c>
      <c r="B1081" s="2" t="str">
        <f>"ANEL PRENSA CAPA DIAMETRO 28MM"</f>
        <v>ANEL PRENSA CAPA DIAMETRO 28MM</v>
      </c>
      <c r="C1081" s="2" t="str">
        <f t="shared" si="40"/>
        <v>UN</v>
      </c>
      <c r="D1081" s="7">
        <v>909</v>
      </c>
      <c r="E1081" s="3">
        <v>11</v>
      </c>
      <c r="F1081" s="2">
        <v>6</v>
      </c>
      <c r="G1081" t="s">
        <v>516</v>
      </c>
    </row>
    <row r="1082" spans="1:7" x14ac:dyDescent="0.25">
      <c r="A1082" s="1" t="str">
        <f>"527667"</f>
        <v>527667</v>
      </c>
      <c r="B1082" s="2" t="str">
        <f>"ANEL PRENSAGEM 1 1/2 "" TRELLEBORG"</f>
        <v>ANEL PRENSAGEM 1 1/2 " TRELLEBORG</v>
      </c>
      <c r="C1082" s="2" t="str">
        <f t="shared" si="40"/>
        <v>UN</v>
      </c>
      <c r="D1082" s="7">
        <v>915</v>
      </c>
      <c r="E1082" s="3">
        <v>10</v>
      </c>
      <c r="F1082" s="2">
        <v>9</v>
      </c>
      <c r="G1082" t="s">
        <v>515</v>
      </c>
    </row>
    <row r="1083" spans="1:7" x14ac:dyDescent="0.25">
      <c r="A1083" s="1" t="str">
        <f>"527671"</f>
        <v>527671</v>
      </c>
      <c r="B1083" s="2" t="str">
        <f>"ANEL PRENSAGEM 2 "" TRELLEBORG"</f>
        <v>ANEL PRENSAGEM 2 " TRELLEBORG</v>
      </c>
      <c r="C1083" s="2" t="str">
        <f t="shared" si="40"/>
        <v>UN</v>
      </c>
      <c r="D1083" s="7">
        <v>915</v>
      </c>
      <c r="E1083" s="3">
        <v>10</v>
      </c>
      <c r="F1083" s="2">
        <v>5</v>
      </c>
      <c r="G1083" t="s">
        <v>514</v>
      </c>
    </row>
    <row r="1084" spans="1:7" x14ac:dyDescent="0.25">
      <c r="A1084" s="1" t="str">
        <f>"523425"</f>
        <v>523425</v>
      </c>
      <c r="B1084" s="2" t="str">
        <f>"ANEL PROTEÇÃO P/ MANGUEIRA 2"""</f>
        <v>ANEL PROTEÇÃO P/ MANGUEIRA 2"</v>
      </c>
      <c r="C1084" s="2" t="str">
        <f>"MT"</f>
        <v>MT</v>
      </c>
      <c r="D1084" s="7">
        <v>810</v>
      </c>
      <c r="E1084" s="3">
        <v>10</v>
      </c>
      <c r="F1084" s="2">
        <v>3</v>
      </c>
      <c r="G1084" t="s">
        <v>512</v>
      </c>
    </row>
    <row r="1085" spans="1:7" x14ac:dyDescent="0.25">
      <c r="A1085" s="1" t="str">
        <f>"511179"</f>
        <v>511179</v>
      </c>
      <c r="B1085" s="8" t="s">
        <v>28</v>
      </c>
      <c r="C1085" s="2" t="str">
        <f t="shared" ref="C1085:C1104" si="41">"UN"</f>
        <v>UN</v>
      </c>
      <c r="D1085" s="7">
        <v>909</v>
      </c>
      <c r="E1085" s="3">
        <v>11</v>
      </c>
      <c r="F1085" s="2">
        <v>3</v>
      </c>
      <c r="G1085" t="s">
        <v>513</v>
      </c>
    </row>
    <row r="1086" spans="1:7" x14ac:dyDescent="0.25">
      <c r="A1086" s="1" t="str">
        <f>"510126"</f>
        <v>510126</v>
      </c>
      <c r="B1086" s="2" t="str">
        <f>"ANEL R AS1 25X35X7X10MM 8641 VDB38377403"</f>
        <v>ANEL R AS1 25X35X7X10MM 8641 VDB38377403</v>
      </c>
      <c r="C1086" s="2" t="str">
        <f t="shared" si="41"/>
        <v>UN</v>
      </c>
      <c r="D1086" s="7">
        <v>909</v>
      </c>
      <c r="E1086" s="3">
        <v>11</v>
      </c>
      <c r="F1086" s="2">
        <v>2</v>
      </c>
      <c r="G1086" t="s">
        <v>514</v>
      </c>
    </row>
    <row r="1087" spans="1:7" x14ac:dyDescent="0.25">
      <c r="A1087" s="1" t="str">
        <f>"520416"</f>
        <v>520416</v>
      </c>
      <c r="B1087" s="2" t="str">
        <f>"ANEL R AS3 25X33X4X7,5"</f>
        <v>ANEL R AS3 25X33X4X7,5</v>
      </c>
      <c r="C1087" s="2" t="str">
        <f t="shared" si="41"/>
        <v>UN</v>
      </c>
      <c r="D1087" s="7">
        <v>909</v>
      </c>
      <c r="E1087" s="3">
        <v>11</v>
      </c>
      <c r="F1087" s="2">
        <v>1</v>
      </c>
      <c r="G1087" t="s">
        <v>514</v>
      </c>
    </row>
    <row r="1088" spans="1:7" x14ac:dyDescent="0.25">
      <c r="A1088" s="1" t="str">
        <f>"512746"</f>
        <v>512746</v>
      </c>
      <c r="B1088" s="2" t="str">
        <f>"ANEL R AS3 25X33X4X7,5 14700"</f>
        <v>ANEL R AS3 25X33X4X7,5 14700</v>
      </c>
      <c r="C1088" s="2" t="str">
        <f t="shared" si="41"/>
        <v>UN</v>
      </c>
      <c r="D1088" s="7">
        <v>918</v>
      </c>
      <c r="E1088" s="3">
        <v>11</v>
      </c>
      <c r="F1088" s="2">
        <v>4</v>
      </c>
      <c r="G1088" t="s">
        <v>512</v>
      </c>
    </row>
    <row r="1089" spans="1:7" x14ac:dyDescent="0.25">
      <c r="A1089" s="1" t="str">
        <f>"512749"</f>
        <v>512749</v>
      </c>
      <c r="B1089" s="2" t="str">
        <f>"ANEL R AS8 18X26X4X7 5453 VDB"</f>
        <v>ANEL R AS8 18X26X4X7 5453 VDB</v>
      </c>
      <c r="C1089" s="2" t="str">
        <f t="shared" si="41"/>
        <v>UN</v>
      </c>
      <c r="D1089" s="7">
        <v>918</v>
      </c>
      <c r="E1089" s="3">
        <v>11</v>
      </c>
      <c r="F1089" s="2">
        <v>6</v>
      </c>
      <c r="G1089" t="s">
        <v>513</v>
      </c>
    </row>
    <row r="1090" spans="1:7" x14ac:dyDescent="0.25">
      <c r="A1090" s="1" t="str">
        <f>"527136"</f>
        <v>527136</v>
      </c>
      <c r="B1090" s="2" t="str">
        <f>"ANEL RASPADOR"</f>
        <v>ANEL RASPADOR</v>
      </c>
      <c r="C1090" s="2" t="str">
        <f t="shared" si="41"/>
        <v>UN</v>
      </c>
      <c r="D1090" s="7">
        <v>917</v>
      </c>
      <c r="E1090" s="3">
        <v>11</v>
      </c>
      <c r="F1090" s="2">
        <v>8</v>
      </c>
      <c r="G1090" t="s">
        <v>514</v>
      </c>
    </row>
    <row r="1091" spans="1:7" x14ac:dyDescent="0.25">
      <c r="A1091" s="1" t="str">
        <f>"510125"</f>
        <v>510125</v>
      </c>
      <c r="B1091" s="2" t="str">
        <f>"ANEL RASPADOR 13031166 12 FST 38365903"</f>
        <v>ANEL RASPADOR 13031166 12 FST 38365903</v>
      </c>
      <c r="C1091" s="2" t="str">
        <f t="shared" si="41"/>
        <v>UN</v>
      </c>
      <c r="D1091" s="7">
        <v>909</v>
      </c>
      <c r="E1091" s="3">
        <v>11</v>
      </c>
      <c r="F1091" s="2">
        <v>7</v>
      </c>
      <c r="G1091" t="s">
        <v>514</v>
      </c>
    </row>
    <row r="1092" spans="1:7" x14ac:dyDescent="0.25">
      <c r="A1092" s="1" t="str">
        <f>"512220"</f>
        <v>512220</v>
      </c>
      <c r="B1092" s="2" t="str">
        <f>"ANEL RASPADOR 30X40X7MM"</f>
        <v>ANEL RASPADOR 30X40X7MM</v>
      </c>
      <c r="C1092" s="2" t="str">
        <f t="shared" si="41"/>
        <v>UN</v>
      </c>
      <c r="D1092" s="7">
        <v>909</v>
      </c>
      <c r="E1092" s="3">
        <v>11</v>
      </c>
      <c r="F1092" s="2">
        <v>6</v>
      </c>
      <c r="G1092" t="s">
        <v>514</v>
      </c>
    </row>
    <row r="1093" spans="1:7" x14ac:dyDescent="0.25">
      <c r="A1093" s="1" t="str">
        <f>"503495"</f>
        <v>503495</v>
      </c>
      <c r="B1093" s="2" t="str">
        <f>"ANEL RASPADOR 50X55X7MM SELAGEM DINIEPER"</f>
        <v>ANEL RASPADOR 50X55X7MM SELAGEM DINIEPER</v>
      </c>
      <c r="C1093" s="2" t="str">
        <f t="shared" si="41"/>
        <v>UN</v>
      </c>
      <c r="D1093" s="7">
        <v>909</v>
      </c>
      <c r="E1093" s="3">
        <v>11</v>
      </c>
      <c r="F1093" s="2">
        <v>6</v>
      </c>
      <c r="G1093" t="s">
        <v>513</v>
      </c>
    </row>
    <row r="1094" spans="1:7" x14ac:dyDescent="0.25">
      <c r="A1094" s="1" t="str">
        <f>"504494"</f>
        <v>504494</v>
      </c>
      <c r="B1094" s="2" t="str">
        <f>"ANEL RASPADOR 60MM RETEMBRAS N-1720"</f>
        <v>ANEL RASPADOR 60MM RETEMBRAS N-1720</v>
      </c>
      <c r="C1094" s="2" t="str">
        <f t="shared" si="41"/>
        <v>UN</v>
      </c>
      <c r="D1094" s="7">
        <v>909</v>
      </c>
      <c r="E1094" s="3">
        <v>11</v>
      </c>
      <c r="F1094" s="2">
        <v>2</v>
      </c>
      <c r="G1094" t="s">
        <v>512</v>
      </c>
    </row>
    <row r="1095" spans="1:7" x14ac:dyDescent="0.25">
      <c r="A1095" s="1" t="str">
        <f>"520420"</f>
        <v>520420</v>
      </c>
      <c r="B1095" s="2" t="str">
        <f>"ANEL RASPADOR AS5 20X28X3,5X6 VITON 20635103"</f>
        <v>ANEL RASPADOR AS5 20X28X3,5X6 VITON 20635103</v>
      </c>
      <c r="C1095" s="2" t="str">
        <f t="shared" si="41"/>
        <v>UN</v>
      </c>
      <c r="D1095" s="7">
        <v>909</v>
      </c>
      <c r="E1095" s="3">
        <v>11</v>
      </c>
      <c r="F1095" s="2">
        <v>1</v>
      </c>
      <c r="G1095" t="s">
        <v>513</v>
      </c>
    </row>
    <row r="1096" spans="1:7" x14ac:dyDescent="0.25">
      <c r="A1096" s="1" t="str">
        <f>"520422"</f>
        <v>520422</v>
      </c>
      <c r="B1096" s="2" t="str">
        <f>"ANEL RASPADOR AS8 18X26X4X7 VITON"</f>
        <v>ANEL RASPADOR AS8 18X26X4X7 VITON</v>
      </c>
      <c r="C1096" s="2" t="str">
        <f t="shared" si="41"/>
        <v>UN</v>
      </c>
      <c r="D1096" s="7">
        <v>909</v>
      </c>
      <c r="E1096" s="3">
        <v>11</v>
      </c>
      <c r="F1096" s="2">
        <v>0</v>
      </c>
      <c r="G1096" t="s">
        <v>514</v>
      </c>
    </row>
    <row r="1097" spans="1:7" x14ac:dyDescent="0.25">
      <c r="A1097" s="1" t="str">
        <f>"504880"</f>
        <v>504880</v>
      </c>
      <c r="B1097" s="2" t="str">
        <f>"ANEL RASPADOR COD.382071-3"</f>
        <v>ANEL RASPADOR COD.382071-3</v>
      </c>
      <c r="C1097" s="2" t="str">
        <f t="shared" si="41"/>
        <v>UN</v>
      </c>
      <c r="D1097" s="7">
        <v>909</v>
      </c>
      <c r="E1097" s="3">
        <v>11</v>
      </c>
      <c r="F1097" s="2">
        <v>0</v>
      </c>
      <c r="G1097" t="s">
        <v>514</v>
      </c>
    </row>
    <row r="1098" spans="1:7" x14ac:dyDescent="0.25">
      <c r="A1098" s="1" t="str">
        <f>"501347"</f>
        <v>501347</v>
      </c>
      <c r="B1098" s="2" t="str">
        <f>"ANEL RASPADOR COD.383774-3"</f>
        <v>ANEL RASPADOR COD.383774-3</v>
      </c>
      <c r="C1098" s="2" t="str">
        <f t="shared" si="41"/>
        <v>UN</v>
      </c>
      <c r="D1098" s="7">
        <v>909</v>
      </c>
      <c r="E1098" s="3">
        <v>11</v>
      </c>
      <c r="F1098" s="2">
        <v>0</v>
      </c>
      <c r="G1098" t="s">
        <v>514</v>
      </c>
    </row>
    <row r="1099" spans="1:7" x14ac:dyDescent="0.25">
      <c r="A1099" s="1" t="str">
        <f>"509358"</f>
        <v>509358</v>
      </c>
      <c r="B1099" s="2" t="str">
        <f>"ANEL RET. BOMBA OLEO A/C"</f>
        <v>ANEL RET. BOMBA OLEO A/C</v>
      </c>
      <c r="C1099" s="2" t="str">
        <f t="shared" si="41"/>
        <v>UN</v>
      </c>
      <c r="D1099" s="7">
        <v>909</v>
      </c>
      <c r="E1099" s="3">
        <v>11</v>
      </c>
      <c r="F1099" s="2">
        <v>3</v>
      </c>
      <c r="G1099" t="s">
        <v>513</v>
      </c>
    </row>
    <row r="1100" spans="1:7" x14ac:dyDescent="0.25">
      <c r="A1100" s="1" t="str">
        <f>"511673"</f>
        <v>511673</v>
      </c>
      <c r="B1100" s="2" t="str">
        <f>"ANEL RETENÇAO 049833"</f>
        <v>ANEL RETENÇAO 049833</v>
      </c>
      <c r="C1100" s="2" t="str">
        <f t="shared" si="41"/>
        <v>UN</v>
      </c>
      <c r="D1100" s="7">
        <v>402</v>
      </c>
      <c r="E1100" s="3">
        <v>4</v>
      </c>
      <c r="F1100" s="5">
        <v>5</v>
      </c>
      <c r="G1100" t="s">
        <v>513</v>
      </c>
    </row>
    <row r="1101" spans="1:7" x14ac:dyDescent="0.25">
      <c r="A1101" s="1" t="str">
        <f>"508319"</f>
        <v>508319</v>
      </c>
      <c r="B1101" s="2" t="str">
        <f>"ANEL RETENÇAO COMP. AUTOMATICO"</f>
        <v>ANEL RETENÇAO COMP. AUTOMATICO</v>
      </c>
      <c r="C1101" s="2" t="str">
        <f t="shared" si="41"/>
        <v>UN</v>
      </c>
      <c r="D1101" s="7">
        <v>704</v>
      </c>
      <c r="E1101" s="3">
        <v>9</v>
      </c>
      <c r="F1101" s="2">
        <v>3</v>
      </c>
      <c r="G1101" t="s">
        <v>513</v>
      </c>
    </row>
    <row r="1102" spans="1:7" x14ac:dyDescent="0.25">
      <c r="A1102" s="1" t="str">
        <f>"504464"</f>
        <v>504464</v>
      </c>
      <c r="B1102" s="2" t="str">
        <f>"ANEL RING-POS.87-REF.2217"</f>
        <v>ANEL RING-POS.87-REF.2217</v>
      </c>
      <c r="C1102" s="2" t="str">
        <f t="shared" si="41"/>
        <v>UN</v>
      </c>
      <c r="D1102" s="7">
        <v>909</v>
      </c>
      <c r="E1102" s="3">
        <v>11</v>
      </c>
      <c r="F1102" s="2">
        <v>8</v>
      </c>
      <c r="G1102" t="s">
        <v>512</v>
      </c>
    </row>
    <row r="1103" spans="1:7" x14ac:dyDescent="0.25">
      <c r="A1103" s="1" t="str">
        <f>"512784"</f>
        <v>512784</v>
      </c>
      <c r="B1103" s="2" t="str">
        <f>"ANEL SEDE PRIMARIA 801586 APV CUBE 4600 APF-8536"</f>
        <v>ANEL SEDE PRIMARIA 801586 APV CUBE 4600 APF-8536</v>
      </c>
      <c r="C1103" s="2" t="str">
        <f t="shared" si="41"/>
        <v>UN</v>
      </c>
      <c r="D1103" s="7">
        <v>918</v>
      </c>
      <c r="E1103" s="3">
        <v>11</v>
      </c>
      <c r="F1103" s="2">
        <v>6</v>
      </c>
      <c r="G1103" t="s">
        <v>513</v>
      </c>
    </row>
    <row r="1104" spans="1:7" x14ac:dyDescent="0.25">
      <c r="A1104" s="1" t="str">
        <f>"516371"</f>
        <v>516371</v>
      </c>
      <c r="B1104" s="2" t="str">
        <f>"ANEL SELO ZM"</f>
        <v>ANEL SELO ZM</v>
      </c>
      <c r="C1104" s="2" t="str">
        <f t="shared" si="41"/>
        <v>UN</v>
      </c>
      <c r="D1104" s="7">
        <v>918</v>
      </c>
      <c r="E1104" s="3">
        <v>11</v>
      </c>
      <c r="F1104" s="2">
        <v>4</v>
      </c>
      <c r="G1104" t="s">
        <v>514</v>
      </c>
    </row>
    <row r="1105" spans="1:7" x14ac:dyDescent="0.25">
      <c r="A1105" s="1" t="str">
        <f>"504537"</f>
        <v>504537</v>
      </c>
      <c r="B1105" s="2" t="str">
        <f>"ANEL SMS SILICONE TRANSLUCIDO 3"""</f>
        <v>ANEL SMS SILICONE TRANSLUCIDO 3"</v>
      </c>
      <c r="C1105" s="2" t="str">
        <f>"BR"</f>
        <v>BR</v>
      </c>
      <c r="D1105" s="7">
        <v>807</v>
      </c>
      <c r="E1105" s="3">
        <v>10</v>
      </c>
      <c r="F1105" s="2">
        <v>1</v>
      </c>
      <c r="G1105" t="s">
        <v>515</v>
      </c>
    </row>
    <row r="1106" spans="1:7" x14ac:dyDescent="0.25">
      <c r="A1106" s="1" t="str">
        <f>"504538"</f>
        <v>504538</v>
      </c>
      <c r="B1106" s="2" t="str">
        <f>"ANEL SMS SILICONE TRANSLUCIDO 4"""</f>
        <v>ANEL SMS SILICONE TRANSLUCIDO 4"</v>
      </c>
      <c r="C1106" s="2" t="str">
        <f>"BR"</f>
        <v>BR</v>
      </c>
      <c r="D1106" s="7">
        <v>807</v>
      </c>
      <c r="E1106" s="3">
        <v>10</v>
      </c>
      <c r="F1106" s="2">
        <v>2</v>
      </c>
      <c r="G1106" t="s">
        <v>512</v>
      </c>
    </row>
    <row r="1107" spans="1:7" x14ac:dyDescent="0.25">
      <c r="A1107" s="1" t="str">
        <f>"504533"</f>
        <v>504533</v>
      </c>
      <c r="B1107" s="2" t="str">
        <f>"ANEL SUP. F1200 EPDM"</f>
        <v>ANEL SUP. F1200 EPDM</v>
      </c>
      <c r="C1107" s="2" t="str">
        <f>"BR"</f>
        <v>BR</v>
      </c>
      <c r="D1107" s="7">
        <v>807</v>
      </c>
      <c r="E1107" s="3">
        <v>10</v>
      </c>
      <c r="F1107" s="2">
        <v>7</v>
      </c>
      <c r="G1107" t="s">
        <v>516</v>
      </c>
    </row>
    <row r="1108" spans="1:7" x14ac:dyDescent="0.25">
      <c r="A1108" s="1" t="str">
        <f>"504529"</f>
        <v>504529</v>
      </c>
      <c r="B1108" s="2" t="str">
        <f>"ANEL SUP. F1500 EPDM (278027-E5)"</f>
        <v>ANEL SUP. F1500 EPDM (278027-E5)</v>
      </c>
      <c r="C1108" s="2" t="str">
        <f>"UN"</f>
        <v>UN</v>
      </c>
      <c r="D1108" s="7">
        <v>807</v>
      </c>
      <c r="E1108" s="3">
        <v>10</v>
      </c>
      <c r="F1108" s="2">
        <v>9</v>
      </c>
      <c r="G1108" t="s">
        <v>515</v>
      </c>
    </row>
    <row r="1109" spans="1:7" x14ac:dyDescent="0.25">
      <c r="A1109" s="1" t="str">
        <f>"504532"</f>
        <v>504532</v>
      </c>
      <c r="B1109" s="2" t="str">
        <f>"ANEL SUP. F600 EPDM COD.(278027-E2)"</f>
        <v>ANEL SUP. F600 EPDM COD.(278027-E2)</v>
      </c>
      <c r="C1109" s="2" t="str">
        <f>"BR"</f>
        <v>BR</v>
      </c>
      <c r="D1109" s="7">
        <v>807</v>
      </c>
      <c r="E1109" s="3">
        <v>10</v>
      </c>
      <c r="F1109" s="2">
        <v>0</v>
      </c>
      <c r="G1109" t="s">
        <v>514</v>
      </c>
    </row>
    <row r="1110" spans="1:7" x14ac:dyDescent="0.25">
      <c r="A1110" s="1" t="str">
        <f>"506390"</f>
        <v>506390</v>
      </c>
      <c r="B1110" s="2" t="str">
        <f>"ANEL TAMPA CUMINS"</f>
        <v>ANEL TAMPA CUMINS</v>
      </c>
      <c r="C1110" s="2" t="str">
        <f>"UN"</f>
        <v>UN</v>
      </c>
      <c r="D1110" s="7">
        <v>909</v>
      </c>
      <c r="E1110" s="3">
        <v>11</v>
      </c>
      <c r="F1110" s="2">
        <v>0</v>
      </c>
      <c r="G1110" t="s">
        <v>512</v>
      </c>
    </row>
    <row r="1111" spans="1:7" x14ac:dyDescent="0.25">
      <c r="A1111" s="1" t="str">
        <f>"505015"</f>
        <v>505015</v>
      </c>
      <c r="B1111" s="2" t="str">
        <f>"ANEL TAMPA DA BOCA INSPECAO NAB 2578"</f>
        <v>ANEL TAMPA DA BOCA INSPECAO NAB 2578</v>
      </c>
      <c r="C1111" s="2" t="str">
        <f>"BR"</f>
        <v>BR</v>
      </c>
      <c r="D1111" s="7">
        <v>807</v>
      </c>
      <c r="E1111" s="3">
        <v>10</v>
      </c>
      <c r="F1111" s="2">
        <v>2</v>
      </c>
      <c r="G1111" t="s">
        <v>513</v>
      </c>
    </row>
    <row r="1112" spans="1:7" x14ac:dyDescent="0.25">
      <c r="A1112" s="1" t="str">
        <f>"506162"</f>
        <v>506162</v>
      </c>
      <c r="B1112" s="2" t="str">
        <f>"ANEL TEFLON ATF 1100 COD.0009465"</f>
        <v>ANEL TEFLON ATF 1100 COD.0009465</v>
      </c>
      <c r="C1112" s="2" t="str">
        <f t="shared" ref="C1112:C1132" si="42">"UN"</f>
        <v>UN</v>
      </c>
      <c r="D1112" s="7">
        <v>909</v>
      </c>
      <c r="E1112" s="3">
        <v>11</v>
      </c>
      <c r="F1112" s="2">
        <v>5</v>
      </c>
      <c r="G1112" t="s">
        <v>514</v>
      </c>
    </row>
    <row r="1113" spans="1:7" x14ac:dyDescent="0.25">
      <c r="A1113" s="1" t="str">
        <f>"506163"</f>
        <v>506163</v>
      </c>
      <c r="B1113" s="2" t="str">
        <f>"ANEL TEFLON ATF 1112 COD.1500022"</f>
        <v>ANEL TEFLON ATF 1112 COD.1500022</v>
      </c>
      <c r="C1113" s="2" t="str">
        <f t="shared" si="42"/>
        <v>UN</v>
      </c>
      <c r="D1113" s="7">
        <v>909</v>
      </c>
      <c r="E1113" s="3">
        <v>11</v>
      </c>
      <c r="F1113" s="2">
        <v>6</v>
      </c>
      <c r="G1113" t="s">
        <v>514</v>
      </c>
    </row>
    <row r="1114" spans="1:7" x14ac:dyDescent="0.25">
      <c r="A1114" s="1" t="str">
        <f>"505174"</f>
        <v>505174</v>
      </c>
      <c r="B1114" s="2" t="str">
        <f>"ANEL TEFLON DIAM 45MM ALT2,5MM ESPES10MM"</f>
        <v>ANEL TEFLON DIAM 45MM ALT2,5MM ESPES10MM</v>
      </c>
      <c r="C1114" s="2" t="str">
        <f t="shared" si="42"/>
        <v>UN</v>
      </c>
      <c r="D1114" s="7">
        <v>909</v>
      </c>
      <c r="E1114" s="3">
        <v>11</v>
      </c>
      <c r="F1114" s="2">
        <v>9</v>
      </c>
      <c r="G1114" t="s">
        <v>512</v>
      </c>
    </row>
    <row r="1115" spans="1:7" x14ac:dyDescent="0.25">
      <c r="A1115" s="1" t="str">
        <f>"506552"</f>
        <v>506552</v>
      </c>
      <c r="B1115" s="2" t="str">
        <f>"ANEL TEFLON DIAM 85MM ALT2MM ESP3MM"</f>
        <v>ANEL TEFLON DIAM 85MM ALT2MM ESP3MM</v>
      </c>
      <c r="C1115" s="2" t="str">
        <f t="shared" si="42"/>
        <v>UN</v>
      </c>
      <c r="D1115" s="7">
        <v>909</v>
      </c>
      <c r="E1115" s="3">
        <v>11</v>
      </c>
      <c r="F1115" s="2">
        <v>5</v>
      </c>
      <c r="G1115" t="s">
        <v>513</v>
      </c>
    </row>
    <row r="1116" spans="1:7" x14ac:dyDescent="0.25">
      <c r="A1116" s="1" t="str">
        <f>"503700"</f>
        <v>503700</v>
      </c>
      <c r="B1116" s="2" t="str">
        <f>"ANEL TEFLON DIAM.100MM ALT.2MM ESPES 3MM"</f>
        <v>ANEL TEFLON DIAM.100MM ALT.2MM ESPES 3MM</v>
      </c>
      <c r="C1116" s="2" t="str">
        <f t="shared" si="42"/>
        <v>UN</v>
      </c>
      <c r="D1116" s="7">
        <v>909</v>
      </c>
      <c r="E1116" s="3">
        <v>11</v>
      </c>
      <c r="F1116" s="2">
        <v>3</v>
      </c>
      <c r="G1116" t="s">
        <v>514</v>
      </c>
    </row>
    <row r="1117" spans="1:7" x14ac:dyDescent="0.25">
      <c r="A1117" s="1" t="str">
        <f>"509100"</f>
        <v>509100</v>
      </c>
      <c r="B1117" s="2" t="str">
        <f>"ANEL TIPO D 2012 - PETIT"</f>
        <v>ANEL TIPO D 2012 - PETIT</v>
      </c>
      <c r="C1117" s="2" t="str">
        <f t="shared" si="42"/>
        <v>UN</v>
      </c>
      <c r="D1117" s="7">
        <v>909</v>
      </c>
      <c r="E1117" s="3">
        <v>11</v>
      </c>
      <c r="F1117" s="2">
        <v>3</v>
      </c>
      <c r="G1117" t="s">
        <v>514</v>
      </c>
    </row>
    <row r="1118" spans="1:7" x14ac:dyDescent="0.25">
      <c r="A1118" s="1" t="str">
        <f>"509101"</f>
        <v>509101</v>
      </c>
      <c r="B1118" s="2" t="str">
        <f>"ANEL TIPO D 2013 - PETIT"</f>
        <v>ANEL TIPO D 2013 - PETIT</v>
      </c>
      <c r="C1118" s="2" t="str">
        <f t="shared" si="42"/>
        <v>UN</v>
      </c>
      <c r="D1118" s="7">
        <v>909</v>
      </c>
      <c r="E1118" s="3">
        <v>11</v>
      </c>
      <c r="F1118" s="2">
        <v>2</v>
      </c>
      <c r="G1118" t="s">
        <v>514</v>
      </c>
    </row>
    <row r="1119" spans="1:7" x14ac:dyDescent="0.25">
      <c r="A1119" s="1" t="str">
        <f>"510764"</f>
        <v>510764</v>
      </c>
      <c r="B1119" s="2" t="str">
        <f>"ANEL TIPO D2012"</f>
        <v>ANEL TIPO D2012</v>
      </c>
      <c r="C1119" s="2" t="str">
        <f t="shared" si="42"/>
        <v>UN</v>
      </c>
      <c r="D1119" s="7">
        <v>909</v>
      </c>
      <c r="E1119" s="3">
        <v>11</v>
      </c>
      <c r="F1119" s="2">
        <v>1</v>
      </c>
      <c r="G1119" t="s">
        <v>513</v>
      </c>
    </row>
    <row r="1120" spans="1:7" x14ac:dyDescent="0.25">
      <c r="A1120" s="1" t="str">
        <f>"510765"</f>
        <v>510765</v>
      </c>
      <c r="B1120" s="2" t="str">
        <f>"ANEL TIPO D2013"</f>
        <v>ANEL TIPO D2013</v>
      </c>
      <c r="C1120" s="2" t="str">
        <f t="shared" si="42"/>
        <v>UN</v>
      </c>
      <c r="D1120" s="7">
        <v>909</v>
      </c>
      <c r="E1120" s="3">
        <v>11</v>
      </c>
      <c r="F1120" s="2">
        <v>4</v>
      </c>
      <c r="G1120" t="s">
        <v>512</v>
      </c>
    </row>
    <row r="1121" spans="1:7" x14ac:dyDescent="0.25">
      <c r="A1121" s="1" t="str">
        <f>"526480"</f>
        <v>526480</v>
      </c>
      <c r="B1121" s="2" t="str">
        <f>"ANEL TOMADA"</f>
        <v>ANEL TOMADA</v>
      </c>
      <c r="C1121" s="2" t="str">
        <f t="shared" si="42"/>
        <v>UN</v>
      </c>
      <c r="D1121" s="7">
        <v>909</v>
      </c>
      <c r="E1121" s="3">
        <v>11</v>
      </c>
      <c r="F1121" s="2">
        <v>1</v>
      </c>
      <c r="G1121" t="s">
        <v>513</v>
      </c>
    </row>
    <row r="1122" spans="1:7" x14ac:dyDescent="0.25">
      <c r="A1122" s="1" t="str">
        <f>"521794"</f>
        <v>521794</v>
      </c>
      <c r="B1122" s="2" t="str">
        <f>"ANEL TORSITE"</f>
        <v>ANEL TORSITE</v>
      </c>
      <c r="C1122" s="2" t="str">
        <f t="shared" si="42"/>
        <v>UN</v>
      </c>
      <c r="D1122" s="7">
        <v>918</v>
      </c>
      <c r="E1122" s="3">
        <v>11</v>
      </c>
      <c r="F1122" s="2">
        <v>2</v>
      </c>
      <c r="G1122" t="s">
        <v>514</v>
      </c>
    </row>
    <row r="1123" spans="1:7" x14ac:dyDescent="0.25">
      <c r="A1123" s="1" t="str">
        <f>"521792"</f>
        <v>521792</v>
      </c>
      <c r="B1123" s="2" t="str">
        <f>"ANEL TORSITE APC-7626"</f>
        <v>ANEL TORSITE APC-7626</v>
      </c>
      <c r="C1123" s="2" t="str">
        <f t="shared" si="42"/>
        <v>UN</v>
      </c>
      <c r="D1123" s="7">
        <v>918</v>
      </c>
      <c r="E1123" s="3">
        <v>11</v>
      </c>
      <c r="F1123" s="2">
        <v>7</v>
      </c>
      <c r="G1123" t="s">
        <v>514</v>
      </c>
    </row>
    <row r="1124" spans="1:7" x14ac:dyDescent="0.25">
      <c r="A1124" s="1" t="str">
        <f>"508637"</f>
        <v>508637</v>
      </c>
      <c r="B1124" s="2" t="str">
        <f>"ANEL TORSITE POS 08 APC 1103 (222)"</f>
        <v>ANEL TORSITE POS 08 APC 1103 (222)</v>
      </c>
      <c r="C1124" s="2" t="str">
        <f t="shared" si="42"/>
        <v>UN</v>
      </c>
      <c r="D1124" s="7">
        <v>909</v>
      </c>
      <c r="E1124" s="3">
        <v>11</v>
      </c>
      <c r="F1124" s="2">
        <v>9</v>
      </c>
      <c r="G1124" t="s">
        <v>514</v>
      </c>
    </row>
    <row r="1125" spans="1:7" x14ac:dyDescent="0.25">
      <c r="A1125" s="1" t="str">
        <f>"521793"</f>
        <v>521793</v>
      </c>
      <c r="B1125" s="2" t="str">
        <f>"ANEL TORSITE POS. 08 APC-8060"</f>
        <v>ANEL TORSITE POS. 08 APC-8060</v>
      </c>
      <c r="C1125" s="2" t="str">
        <f t="shared" si="42"/>
        <v>UN</v>
      </c>
      <c r="D1125" s="7">
        <v>918</v>
      </c>
      <c r="E1125" s="3">
        <v>11</v>
      </c>
      <c r="F1125" s="2">
        <v>0</v>
      </c>
      <c r="G1125" t="s">
        <v>513</v>
      </c>
    </row>
    <row r="1126" spans="1:7" x14ac:dyDescent="0.25">
      <c r="A1126" s="1" t="str">
        <f>"516582"</f>
        <v>516582</v>
      </c>
      <c r="B1126" s="2" t="str">
        <f>"ANEL TRASEIRO HOMO JK001100"</f>
        <v>ANEL TRASEIRO HOMO JK001100</v>
      </c>
      <c r="C1126" s="2" t="str">
        <f t="shared" si="42"/>
        <v>UN</v>
      </c>
      <c r="D1126" s="7">
        <v>918</v>
      </c>
      <c r="E1126" s="3">
        <v>11</v>
      </c>
      <c r="F1126" s="2">
        <v>0</v>
      </c>
      <c r="G1126" t="s">
        <v>513</v>
      </c>
    </row>
    <row r="1127" spans="1:7" x14ac:dyDescent="0.25">
      <c r="A1127" s="1" t="str">
        <f>"524789"</f>
        <v>524789</v>
      </c>
      <c r="B1127" s="2" t="str">
        <f>"ANEL TRAVA"</f>
        <v>ANEL TRAVA</v>
      </c>
      <c r="C1127" s="2" t="str">
        <f t="shared" si="42"/>
        <v>UN</v>
      </c>
      <c r="D1127" s="7">
        <v>99999</v>
      </c>
      <c r="E1127" s="3">
        <v>99</v>
      </c>
      <c r="F1127" s="2">
        <v>4</v>
      </c>
      <c r="G1127" t="s">
        <v>513</v>
      </c>
    </row>
    <row r="1128" spans="1:7" x14ac:dyDescent="0.25">
      <c r="A1128" s="1" t="str">
        <f>"502639"</f>
        <v>502639</v>
      </c>
      <c r="B1128" s="2" t="str">
        <f>"ANEL TRAVA 06MM"</f>
        <v>ANEL TRAVA 06MM</v>
      </c>
      <c r="C1128" s="2" t="str">
        <f t="shared" si="42"/>
        <v>UN</v>
      </c>
      <c r="D1128" s="7">
        <v>704</v>
      </c>
      <c r="E1128" s="3">
        <v>9</v>
      </c>
      <c r="F1128" s="2">
        <v>1</v>
      </c>
      <c r="G1128" t="s">
        <v>512</v>
      </c>
    </row>
    <row r="1129" spans="1:7" x14ac:dyDescent="0.25">
      <c r="A1129" s="1" t="str">
        <f>"519896"</f>
        <v>519896</v>
      </c>
      <c r="B1129" s="2" t="str">
        <f>"ANEL TRAVA PINO COXIM TRAS CABINE"</f>
        <v>ANEL TRAVA PINO COXIM TRAS CABINE</v>
      </c>
      <c r="C1129" s="2" t="str">
        <f t="shared" si="42"/>
        <v>UN</v>
      </c>
      <c r="D1129" s="7">
        <v>704</v>
      </c>
      <c r="E1129" s="3">
        <v>9</v>
      </c>
      <c r="F1129" s="2">
        <v>2</v>
      </c>
      <c r="G1129" t="s">
        <v>513</v>
      </c>
    </row>
    <row r="1130" spans="1:7" x14ac:dyDescent="0.25">
      <c r="A1130" s="1" t="str">
        <f>"517376"</f>
        <v>517376</v>
      </c>
      <c r="B1130" s="2" t="str">
        <f>"ANEL TRAVA PINO PISTÃO A"</f>
        <v>ANEL TRAVA PINO PISTÃO A</v>
      </c>
      <c r="C1130" s="2" t="str">
        <f t="shared" si="42"/>
        <v>UN</v>
      </c>
      <c r="D1130" s="7">
        <v>918</v>
      </c>
      <c r="E1130" s="3">
        <v>11</v>
      </c>
      <c r="F1130" s="2">
        <v>7</v>
      </c>
      <c r="G1130" t="s">
        <v>514</v>
      </c>
    </row>
    <row r="1131" spans="1:7" x14ac:dyDescent="0.25">
      <c r="A1131" s="1" t="str">
        <f>"503093"</f>
        <v>503093</v>
      </c>
      <c r="B1131" s="2" t="str">
        <f>"ANEL TUBO INTERCCOLER"</f>
        <v>ANEL TUBO INTERCCOLER</v>
      </c>
      <c r="C1131" s="2" t="str">
        <f t="shared" si="42"/>
        <v>UN</v>
      </c>
      <c r="D1131" s="7">
        <v>704</v>
      </c>
      <c r="E1131" s="3">
        <v>9</v>
      </c>
      <c r="F1131" s="2">
        <v>9</v>
      </c>
      <c r="G1131" t="s">
        <v>515</v>
      </c>
    </row>
    <row r="1132" spans="1:7" x14ac:dyDescent="0.25">
      <c r="A1132" s="1" t="str">
        <f>"508648"</f>
        <v>508648</v>
      </c>
      <c r="B1132" s="2" t="str">
        <f>"ANEL VED POS 58 APC 1312"</f>
        <v>ANEL VED POS 58 APC 1312</v>
      </c>
      <c r="C1132" s="2" t="str">
        <f t="shared" si="42"/>
        <v>UN</v>
      </c>
      <c r="D1132" s="7">
        <v>909</v>
      </c>
      <c r="E1132" s="3">
        <v>11</v>
      </c>
      <c r="F1132" s="5">
        <v>5</v>
      </c>
      <c r="G1132" t="s">
        <v>512</v>
      </c>
    </row>
    <row r="1133" spans="1:7" x14ac:dyDescent="0.25">
      <c r="A1133" s="1" t="str">
        <f>"504524"</f>
        <v>504524</v>
      </c>
      <c r="B1133" s="2" t="str">
        <f>"ANEL VED. AB1024 RJT (1""1/2)"</f>
        <v>ANEL VED. AB1024 RJT (1"1/2)</v>
      </c>
      <c r="C1133" s="2" t="str">
        <f>"BR"</f>
        <v>BR</v>
      </c>
      <c r="D1133" s="7">
        <v>807</v>
      </c>
      <c r="E1133" s="3">
        <v>10</v>
      </c>
      <c r="F1133" s="2">
        <v>3</v>
      </c>
      <c r="G1133" t="s">
        <v>516</v>
      </c>
    </row>
    <row r="1134" spans="1:7" x14ac:dyDescent="0.25">
      <c r="A1134" s="1" t="str">
        <f>"504525"</f>
        <v>504525</v>
      </c>
      <c r="B1134" s="2" t="str">
        <f>"ANEL VED. AB1026 RJT (2"")"</f>
        <v>ANEL VED. AB1026 RJT (2")</v>
      </c>
      <c r="C1134" s="2" t="str">
        <f>"BR"</f>
        <v>BR</v>
      </c>
      <c r="D1134" s="7">
        <v>807</v>
      </c>
      <c r="E1134" s="3">
        <v>10</v>
      </c>
      <c r="F1134" s="2">
        <v>8</v>
      </c>
      <c r="G1134" t="s">
        <v>515</v>
      </c>
    </row>
    <row r="1135" spans="1:7" x14ac:dyDescent="0.25">
      <c r="A1135" s="1" t="str">
        <f>"504020"</f>
        <v>504020</v>
      </c>
      <c r="B1135" s="8" t="s">
        <v>17</v>
      </c>
      <c r="C1135" s="2" t="str">
        <f>"UN"</f>
        <v>UN</v>
      </c>
      <c r="D1135" s="7">
        <v>909</v>
      </c>
      <c r="E1135" s="3">
        <v>11</v>
      </c>
      <c r="F1135" s="2">
        <v>6</v>
      </c>
      <c r="G1135" t="s">
        <v>514</v>
      </c>
    </row>
    <row r="1136" spans="1:7" x14ac:dyDescent="0.25">
      <c r="A1136" s="1" t="str">
        <f>"512051"</f>
        <v>512051</v>
      </c>
      <c r="B1136" s="2" t="str">
        <f>"ANEL VED. BORR. ATX VISITA 450MM BEGEBOR"</f>
        <v>ANEL VED. BORR. ATX VISITA 450MM BEGEBOR</v>
      </c>
      <c r="C1136" s="2" t="str">
        <f>"BR"</f>
        <v>BR</v>
      </c>
      <c r="D1136" s="7">
        <v>807</v>
      </c>
      <c r="E1136" s="3">
        <v>10</v>
      </c>
      <c r="F1136" s="2">
        <v>4</v>
      </c>
      <c r="G1136" t="s">
        <v>512</v>
      </c>
    </row>
    <row r="1137" spans="1:7" x14ac:dyDescent="0.25">
      <c r="A1137" s="1" t="str">
        <f>"501363"</f>
        <v>501363</v>
      </c>
      <c r="B1137" s="2" t="str">
        <f>"ANEL VED. CARCACA B. 600 (R302G0006)"</f>
        <v>ANEL VED. CARCACA B. 600 (R302G0006)</v>
      </c>
      <c r="C1137" s="2" t="str">
        <f t="shared" ref="C1137:C1142" si="43">"UN"</f>
        <v>UN</v>
      </c>
      <c r="D1137" s="7">
        <v>909</v>
      </c>
      <c r="E1137" s="3">
        <v>11</v>
      </c>
      <c r="F1137" s="2">
        <v>1</v>
      </c>
      <c r="G1137" t="s">
        <v>513</v>
      </c>
    </row>
    <row r="1138" spans="1:7" x14ac:dyDescent="0.25">
      <c r="A1138" s="1" t="str">
        <f>"502946"</f>
        <v>502946</v>
      </c>
      <c r="B1138" s="2" t="str">
        <f>"ANEL VED. COD.300145008110"</f>
        <v>ANEL VED. COD.300145008110</v>
      </c>
      <c r="C1138" s="2" t="str">
        <f t="shared" si="43"/>
        <v>UN</v>
      </c>
      <c r="D1138" s="7">
        <v>909</v>
      </c>
      <c r="E1138" s="3">
        <v>11</v>
      </c>
      <c r="F1138" s="2">
        <v>2</v>
      </c>
      <c r="G1138" t="s">
        <v>514</v>
      </c>
    </row>
    <row r="1139" spans="1:7" x14ac:dyDescent="0.25">
      <c r="A1139" s="1" t="str">
        <f>"502884"</f>
        <v>502884</v>
      </c>
      <c r="B1139" s="2" t="str">
        <f>"ANEL VED. COD.3002594300000"</f>
        <v>ANEL VED. COD.3002594300000</v>
      </c>
      <c r="C1139" s="2" t="str">
        <f t="shared" si="43"/>
        <v>UN</v>
      </c>
      <c r="D1139" s="7">
        <v>909</v>
      </c>
      <c r="E1139" s="3">
        <v>11</v>
      </c>
      <c r="F1139" s="2">
        <v>7</v>
      </c>
      <c r="G1139" t="s">
        <v>514</v>
      </c>
    </row>
    <row r="1140" spans="1:7" x14ac:dyDescent="0.25">
      <c r="A1140" s="1" t="str">
        <f>"503092"</f>
        <v>503092</v>
      </c>
      <c r="B1140" s="2" t="str">
        <f>"ANEL VED. COOLER 17.210"</f>
        <v>ANEL VED. COOLER 17.210</v>
      </c>
      <c r="C1140" s="2" t="str">
        <f t="shared" si="43"/>
        <v>UN</v>
      </c>
      <c r="D1140" s="7">
        <v>704</v>
      </c>
      <c r="E1140" s="3">
        <v>9</v>
      </c>
      <c r="F1140" s="2">
        <v>9</v>
      </c>
      <c r="G1140" t="s">
        <v>512</v>
      </c>
    </row>
    <row r="1141" spans="1:7" x14ac:dyDescent="0.25">
      <c r="A1141" s="1" t="str">
        <f>"504495"</f>
        <v>504495</v>
      </c>
      <c r="B1141" s="2" t="str">
        <f>"ANEL VED. DA TAMPA GEIGER 100KG"</f>
        <v>ANEL VED. DA TAMPA GEIGER 100KG</v>
      </c>
      <c r="C1141" s="2" t="str">
        <f t="shared" si="43"/>
        <v>UN</v>
      </c>
      <c r="D1141" s="7">
        <v>909</v>
      </c>
      <c r="E1141" s="3">
        <v>11</v>
      </c>
      <c r="F1141" s="2">
        <v>0</v>
      </c>
      <c r="G1141" t="s">
        <v>513</v>
      </c>
    </row>
    <row r="1142" spans="1:7" x14ac:dyDescent="0.25">
      <c r="A1142" s="1" t="str">
        <f>"502155"</f>
        <v>502155</v>
      </c>
      <c r="B1142" s="2" t="str">
        <f>"ANEL VED. DIN DE 2"" DE EPDM"</f>
        <v>ANEL VED. DIN DE 2" DE EPDM</v>
      </c>
      <c r="C1142" s="2" t="str">
        <f t="shared" si="43"/>
        <v>UN</v>
      </c>
      <c r="D1142" s="7">
        <v>812</v>
      </c>
      <c r="E1142" s="3">
        <v>10</v>
      </c>
      <c r="F1142" s="2">
        <v>0</v>
      </c>
      <c r="G1142" t="s">
        <v>514</v>
      </c>
    </row>
    <row r="1143" spans="1:7" x14ac:dyDescent="0.25">
      <c r="A1143" s="1" t="str">
        <f>"502154"</f>
        <v>502154</v>
      </c>
      <c r="B1143" s="2" t="str">
        <f>"ANEL VED. DIN DE 2"" DE SILICONE"</f>
        <v>ANEL VED. DIN DE 2" DE SILICONE</v>
      </c>
      <c r="C1143" s="2" t="str">
        <f>"BR"</f>
        <v>BR</v>
      </c>
      <c r="D1143" s="7">
        <v>807</v>
      </c>
      <c r="E1143" s="3">
        <v>10</v>
      </c>
      <c r="F1143" s="2">
        <v>2</v>
      </c>
      <c r="G1143" t="s">
        <v>514</v>
      </c>
    </row>
    <row r="1144" spans="1:7" x14ac:dyDescent="0.25">
      <c r="A1144" s="1" t="str">
        <f>"502617"</f>
        <v>502617</v>
      </c>
      <c r="B1144" s="2" t="str">
        <f>"ANEL VED. DO CORPO P/VR EDPM 2"""</f>
        <v>ANEL VED. DO CORPO P/VR EDPM 2"</v>
      </c>
      <c r="C1144" s="2" t="str">
        <f>"BR"</f>
        <v>BR</v>
      </c>
      <c r="D1144" s="7">
        <v>807</v>
      </c>
      <c r="E1144" s="3">
        <v>10</v>
      </c>
      <c r="F1144" s="2">
        <v>5</v>
      </c>
      <c r="G1144" t="s">
        <v>514</v>
      </c>
    </row>
    <row r="1145" spans="1:7" x14ac:dyDescent="0.25">
      <c r="A1145" s="1" t="str">
        <f>"502943"</f>
        <v>502943</v>
      </c>
      <c r="B1145" s="2" t="str">
        <f>"ANEL VED. DO SELO COMPRESSOR FRIGO"</f>
        <v>ANEL VED. DO SELO COMPRESSOR FRIGO</v>
      </c>
      <c r="C1145" s="2" t="str">
        <f>"UN"</f>
        <v>UN</v>
      </c>
      <c r="D1145" s="7">
        <v>909</v>
      </c>
      <c r="E1145" s="3">
        <v>11</v>
      </c>
      <c r="F1145" s="2">
        <v>6</v>
      </c>
      <c r="G1145" t="s">
        <v>513</v>
      </c>
    </row>
    <row r="1146" spans="1:7" x14ac:dyDescent="0.25">
      <c r="A1146" s="1" t="str">
        <f>"502988"</f>
        <v>502988</v>
      </c>
      <c r="B1146" s="2" t="str">
        <f>"ANEL VED. ENCOSTO PR/PRE-60/125 B.POS"</f>
        <v>ANEL VED. ENCOSTO PR/PRE-60/125 B.POS</v>
      </c>
      <c r="C1146" s="2" t="str">
        <f>"UN"</f>
        <v>UN</v>
      </c>
      <c r="D1146" s="7">
        <v>909</v>
      </c>
      <c r="E1146" s="3">
        <v>11</v>
      </c>
      <c r="F1146" s="2">
        <v>9</v>
      </c>
      <c r="G1146" t="s">
        <v>512</v>
      </c>
    </row>
    <row r="1147" spans="1:7" x14ac:dyDescent="0.25">
      <c r="A1147" s="1" t="str">
        <f>"504463"</f>
        <v>504463</v>
      </c>
      <c r="B1147" s="2" t="str">
        <f>"ANEL VED. MANOMETRO ENTRADA 1""1/2 POS.48"</f>
        <v>ANEL VED. MANOMETRO ENTRADA 1"1/2 POS.48</v>
      </c>
      <c r="C1147" s="2" t="str">
        <f>"UN"</f>
        <v>UN</v>
      </c>
      <c r="D1147" s="7">
        <v>909</v>
      </c>
      <c r="E1147" s="3">
        <v>11</v>
      </c>
      <c r="F1147" s="2">
        <v>5</v>
      </c>
      <c r="G1147" t="s">
        <v>513</v>
      </c>
    </row>
    <row r="1148" spans="1:7" x14ac:dyDescent="0.25">
      <c r="A1148" s="1" t="str">
        <f>"501260"</f>
        <v>501260</v>
      </c>
      <c r="B1148" s="2" t="str">
        <f>"ANEL VED. P/ VISOR 3/4"</f>
        <v>ANEL VED. P/ VISOR 3/4</v>
      </c>
      <c r="C1148" s="2" t="str">
        <f>"UN"</f>
        <v>UN</v>
      </c>
      <c r="D1148" s="7">
        <v>909</v>
      </c>
      <c r="E1148" s="3">
        <v>11</v>
      </c>
      <c r="F1148" s="2">
        <v>3</v>
      </c>
      <c r="G1148" t="s">
        <v>514</v>
      </c>
    </row>
    <row r="1149" spans="1:7" x14ac:dyDescent="0.25">
      <c r="A1149" s="1" t="str">
        <f>"501259"</f>
        <v>501259</v>
      </c>
      <c r="B1149" s="2" t="str">
        <f>"ANEL VED. P/ VISOR 5/8"</f>
        <v>ANEL VED. P/ VISOR 5/8</v>
      </c>
      <c r="C1149" s="2" t="str">
        <f>"UN"</f>
        <v>UN</v>
      </c>
      <c r="D1149" s="7">
        <v>909</v>
      </c>
      <c r="E1149" s="3">
        <v>11</v>
      </c>
      <c r="F1149" s="2">
        <v>3</v>
      </c>
      <c r="G1149" t="s">
        <v>514</v>
      </c>
    </row>
    <row r="1150" spans="1:7" x14ac:dyDescent="0.25">
      <c r="A1150" s="1" t="str">
        <f>"502474"</f>
        <v>502474</v>
      </c>
      <c r="B1150" s="2" t="str">
        <f>"ANEL VED. P/VR EPDM 2"" (FECHO)"</f>
        <v>ANEL VED. P/VR EPDM 2" (FECHO)</v>
      </c>
      <c r="C1150" s="2" t="str">
        <f>"BR"</f>
        <v>BR</v>
      </c>
      <c r="D1150" s="7">
        <v>807</v>
      </c>
      <c r="E1150" s="3">
        <v>10</v>
      </c>
      <c r="F1150" s="2">
        <v>2</v>
      </c>
      <c r="G1150" t="s">
        <v>514</v>
      </c>
    </row>
    <row r="1151" spans="1:7" x14ac:dyDescent="0.25">
      <c r="A1151" s="1" t="str">
        <f>"502500"</f>
        <v>502500</v>
      </c>
      <c r="B1151" s="2" t="str">
        <f>"ANEL VED. PERFIL U BORRACHA PRETA"</f>
        <v>ANEL VED. PERFIL U BORRACHA PRETA</v>
      </c>
      <c r="C1151" s="2" t="str">
        <f>"BR"</f>
        <v>BR</v>
      </c>
      <c r="D1151" s="7">
        <v>807</v>
      </c>
      <c r="E1151" s="3">
        <v>10</v>
      </c>
      <c r="F1151" s="2">
        <v>1</v>
      </c>
      <c r="G1151" t="s">
        <v>513</v>
      </c>
    </row>
    <row r="1152" spans="1:7" x14ac:dyDescent="0.25">
      <c r="A1152" s="1" t="str">
        <f>"503329"</f>
        <v>503329</v>
      </c>
      <c r="B1152" s="2" t="str">
        <f>"ANEL VED. PORTE VISITA 3002594300 450MM"</f>
        <v>ANEL VED. PORTE VISITA 3002594300 450MM</v>
      </c>
      <c r="C1152" s="2" t="str">
        <f>"UN"</f>
        <v>UN</v>
      </c>
      <c r="D1152" s="7">
        <v>909</v>
      </c>
      <c r="E1152" s="3">
        <v>11</v>
      </c>
      <c r="F1152" s="2">
        <v>4</v>
      </c>
      <c r="G1152" t="s">
        <v>513</v>
      </c>
    </row>
    <row r="1153" spans="1:7" x14ac:dyDescent="0.25">
      <c r="A1153" s="1" t="str">
        <f>"504459"</f>
        <v>504459</v>
      </c>
      <c r="B1153" s="2" t="str">
        <f>"ANEL VED. PRIMARIA-POS.54 REF.2325"</f>
        <v>ANEL VED. PRIMARIA-POS.54 REF.2325</v>
      </c>
      <c r="C1153" s="2" t="str">
        <f>"UN"</f>
        <v>UN</v>
      </c>
      <c r="D1153" s="7">
        <v>909</v>
      </c>
      <c r="E1153" s="3">
        <v>11</v>
      </c>
      <c r="F1153" s="2">
        <v>6</v>
      </c>
      <c r="G1153" t="s">
        <v>513</v>
      </c>
    </row>
    <row r="1154" spans="1:7" x14ac:dyDescent="0.25">
      <c r="A1154" s="1" t="str">
        <f>"502987"</f>
        <v>502987</v>
      </c>
      <c r="B1154" s="2" t="str">
        <f>"ANEL VED. ROTOR PR/PRE-60/125 B.POSIT"</f>
        <v>ANEL VED. ROTOR PR/PRE-60/125 B.POSIT</v>
      </c>
      <c r="C1154" s="2" t="str">
        <f>"UN"</f>
        <v>UN</v>
      </c>
      <c r="D1154" s="7">
        <v>909</v>
      </c>
      <c r="E1154" s="3">
        <v>11</v>
      </c>
      <c r="F1154" s="2">
        <v>8</v>
      </c>
      <c r="G1154" t="s">
        <v>512</v>
      </c>
    </row>
    <row r="1155" spans="1:7" x14ac:dyDescent="0.25">
      <c r="A1155" s="1" t="str">
        <f>"500730"</f>
        <v>500730</v>
      </c>
      <c r="B1155" s="2" t="str">
        <f>"ANEL VED. SELO B. AMONIA FRIGOESTRELA"</f>
        <v>ANEL VED. SELO B. AMONIA FRIGOESTRELA</v>
      </c>
      <c r="C1155" s="2" t="str">
        <f>"UN"</f>
        <v>UN</v>
      </c>
      <c r="D1155" s="7">
        <v>909</v>
      </c>
      <c r="E1155" s="3">
        <v>11</v>
      </c>
      <c r="F1155" s="2">
        <v>7</v>
      </c>
      <c r="G1155" t="s">
        <v>513</v>
      </c>
    </row>
    <row r="1156" spans="1:7" x14ac:dyDescent="0.25">
      <c r="A1156" s="1" t="str">
        <f>"501364"</f>
        <v>501364</v>
      </c>
      <c r="B1156" s="2" t="str">
        <f>"ANEL VED. SELO C-216 BUNA"</f>
        <v>ANEL VED. SELO C-216 BUNA</v>
      </c>
      <c r="C1156" s="2" t="str">
        <f>"UN"</f>
        <v>UN</v>
      </c>
      <c r="D1156" s="7">
        <v>909</v>
      </c>
      <c r="E1156" s="3">
        <v>11</v>
      </c>
      <c r="F1156" s="2">
        <v>6</v>
      </c>
      <c r="G1156" t="s">
        <v>514</v>
      </c>
    </row>
    <row r="1157" spans="1:7" x14ac:dyDescent="0.25">
      <c r="A1157" s="1" t="str">
        <f>"504081"</f>
        <v>504081</v>
      </c>
      <c r="B1157" s="2" t="str">
        <f>"ANEL VED. SMS 2"" EPDM"</f>
        <v>ANEL VED. SMS 2" EPDM</v>
      </c>
      <c r="C1157" s="2" t="str">
        <f>"BR"</f>
        <v>BR</v>
      </c>
      <c r="D1157" s="7">
        <v>807</v>
      </c>
      <c r="E1157" s="3">
        <v>10</v>
      </c>
      <c r="F1157" s="2">
        <v>6</v>
      </c>
      <c r="G1157" t="s">
        <v>515</v>
      </c>
    </row>
    <row r="1158" spans="1:7" x14ac:dyDescent="0.25">
      <c r="A1158" s="1" t="str">
        <f>"511994"</f>
        <v>511994</v>
      </c>
      <c r="B1158" s="2" t="str">
        <f>"ANEL VED. SMS 6"""</f>
        <v>ANEL VED. SMS 6"</v>
      </c>
      <c r="C1158" s="2" t="str">
        <f>"PC"</f>
        <v>PC</v>
      </c>
      <c r="D1158" s="7">
        <v>909</v>
      </c>
      <c r="E1158" s="3">
        <v>11</v>
      </c>
      <c r="F1158" s="2">
        <v>2</v>
      </c>
      <c r="G1158" t="s">
        <v>512</v>
      </c>
    </row>
    <row r="1159" spans="1:7" x14ac:dyDescent="0.25">
      <c r="A1159" s="1" t="str">
        <f>"504523"</f>
        <v>504523</v>
      </c>
      <c r="B1159" s="2" t="str">
        <f>"ANEL VED. SMS EPDM 1 1/2"""</f>
        <v>ANEL VED. SMS EPDM 1 1/2"</v>
      </c>
      <c r="C1159" s="2" t="str">
        <f t="shared" ref="C1159:C1164" si="44">"UN"</f>
        <v>UN</v>
      </c>
      <c r="D1159" s="7">
        <v>807</v>
      </c>
      <c r="E1159" s="3">
        <v>10</v>
      </c>
      <c r="F1159" s="2">
        <v>1</v>
      </c>
      <c r="G1159" t="s">
        <v>516</v>
      </c>
    </row>
    <row r="1160" spans="1:7" x14ac:dyDescent="0.25">
      <c r="A1160" s="1" t="str">
        <f>"505119"</f>
        <v>505119</v>
      </c>
      <c r="B1160" s="2" t="str">
        <f>"ANEL VED. SMS EPDM 1"""</f>
        <v>ANEL VED. SMS EPDM 1"</v>
      </c>
      <c r="C1160" s="2" t="str">
        <f t="shared" si="44"/>
        <v>UN</v>
      </c>
      <c r="D1160" s="7">
        <v>807</v>
      </c>
      <c r="E1160" s="3">
        <v>10</v>
      </c>
      <c r="F1160" s="2">
        <v>0</v>
      </c>
      <c r="G1160" t="s">
        <v>515</v>
      </c>
    </row>
    <row r="1161" spans="1:7" x14ac:dyDescent="0.25">
      <c r="A1161" s="1" t="str">
        <f>"505117"</f>
        <v>505117</v>
      </c>
      <c r="B1161" s="2" t="str">
        <f>"ANEL VED. SMS EPDM 2 1/2"""</f>
        <v>ANEL VED. SMS EPDM 2 1/2"</v>
      </c>
      <c r="C1161" s="2" t="str">
        <f t="shared" si="44"/>
        <v>UN</v>
      </c>
      <c r="D1161" s="7">
        <v>807</v>
      </c>
      <c r="E1161" s="3">
        <v>10</v>
      </c>
      <c r="F1161" s="2">
        <v>0</v>
      </c>
      <c r="G1161" t="s">
        <v>514</v>
      </c>
    </row>
    <row r="1162" spans="1:7" x14ac:dyDescent="0.25">
      <c r="A1162" s="1" t="str">
        <f>"504522"</f>
        <v>504522</v>
      </c>
      <c r="B1162" s="2" t="str">
        <f>"ANEL VED. SMS EPDM 2"""</f>
        <v>ANEL VED. SMS EPDM 2"</v>
      </c>
      <c r="C1162" s="2" t="str">
        <f t="shared" si="44"/>
        <v>UN</v>
      </c>
      <c r="D1162" s="7">
        <v>812</v>
      </c>
      <c r="E1162" s="3">
        <v>10</v>
      </c>
      <c r="F1162" s="2">
        <v>0</v>
      </c>
      <c r="G1162" t="s">
        <v>512</v>
      </c>
    </row>
    <row r="1163" spans="1:7" x14ac:dyDescent="0.25">
      <c r="A1163" s="1" t="str">
        <f>"505118"</f>
        <v>505118</v>
      </c>
      <c r="B1163" s="2" t="str">
        <f>"ANEL VED. SMS EPDM 3"""</f>
        <v>ANEL VED. SMS EPDM 3"</v>
      </c>
      <c r="C1163" s="2" t="str">
        <f t="shared" si="44"/>
        <v>UN</v>
      </c>
      <c r="D1163" s="7">
        <v>807</v>
      </c>
      <c r="E1163" s="3">
        <v>10</v>
      </c>
      <c r="F1163" s="2">
        <v>3</v>
      </c>
      <c r="G1163" t="s">
        <v>513</v>
      </c>
    </row>
    <row r="1164" spans="1:7" x14ac:dyDescent="0.25">
      <c r="A1164" s="1" t="str">
        <f>"505940"</f>
        <v>505940</v>
      </c>
      <c r="B1164" s="2" t="str">
        <f>"ANEL VED. SMS EPDM 4"""</f>
        <v>ANEL VED. SMS EPDM 4"</v>
      </c>
      <c r="C1164" s="2" t="str">
        <f t="shared" si="44"/>
        <v>UN</v>
      </c>
      <c r="D1164" s="7">
        <v>807</v>
      </c>
      <c r="E1164" s="3">
        <v>10</v>
      </c>
      <c r="F1164" s="5">
        <v>5</v>
      </c>
      <c r="G1164" t="s">
        <v>514</v>
      </c>
    </row>
    <row r="1165" spans="1:7" x14ac:dyDescent="0.25">
      <c r="A1165" s="1" t="str">
        <f>"506327"</f>
        <v>506327</v>
      </c>
      <c r="B1165" s="2" t="str">
        <f>"ANEL VED. SMS SILICONE 4"""</f>
        <v>ANEL VED. SMS SILICONE 4"</v>
      </c>
      <c r="C1165" s="2" t="str">
        <f>"BR"</f>
        <v>BR</v>
      </c>
      <c r="D1165" s="7">
        <v>807</v>
      </c>
      <c r="E1165" s="3">
        <v>10</v>
      </c>
      <c r="F1165" s="2">
        <v>3</v>
      </c>
      <c r="G1165" t="s">
        <v>514</v>
      </c>
    </row>
    <row r="1166" spans="1:7" x14ac:dyDescent="0.25">
      <c r="A1166" s="1" t="str">
        <f>"503096"</f>
        <v>503096</v>
      </c>
      <c r="B1166" s="2" t="str">
        <f>"ANEL VED. TAMPA REF.30856 SEPARADORA"</f>
        <v>ANEL VED. TAMPA REF.30856 SEPARADORA</v>
      </c>
      <c r="C1166" s="2" t="str">
        <f>"UN"</f>
        <v>UN</v>
      </c>
      <c r="D1166" s="7">
        <v>909</v>
      </c>
      <c r="E1166" s="3">
        <v>11</v>
      </c>
      <c r="F1166" s="2">
        <v>8</v>
      </c>
      <c r="G1166" t="s">
        <v>512</v>
      </c>
    </row>
    <row r="1167" spans="1:7" x14ac:dyDescent="0.25">
      <c r="A1167" s="1" t="str">
        <f>"503671"</f>
        <v>503671</v>
      </c>
      <c r="B1167" s="2" t="str">
        <f>"ANEL VED. TC  1 1/2"""</f>
        <v>ANEL VED. TC  1 1/2"</v>
      </c>
      <c r="C1167" s="2" t="str">
        <f>"BR"</f>
        <v>BR</v>
      </c>
      <c r="D1167" s="7">
        <v>807</v>
      </c>
      <c r="E1167" s="3">
        <v>10</v>
      </c>
      <c r="F1167" s="2">
        <v>6</v>
      </c>
      <c r="G1167" t="s">
        <v>513</v>
      </c>
    </row>
    <row r="1168" spans="1:7" x14ac:dyDescent="0.25">
      <c r="A1168" s="1" t="str">
        <f>"503672"</f>
        <v>503672</v>
      </c>
      <c r="B1168" s="2" t="str">
        <f>"ANEL VED. TC  1"""</f>
        <v>ANEL VED. TC  1"</v>
      </c>
      <c r="C1168" s="2" t="str">
        <f>"BR"</f>
        <v>BR</v>
      </c>
      <c r="D1168" s="7">
        <v>807</v>
      </c>
      <c r="E1168" s="3">
        <v>10</v>
      </c>
      <c r="F1168" s="2">
        <v>4</v>
      </c>
      <c r="G1168" t="s">
        <v>514</v>
      </c>
    </row>
    <row r="1169" spans="1:7" x14ac:dyDescent="0.25">
      <c r="A1169" s="1" t="str">
        <f>"502541"</f>
        <v>502541</v>
      </c>
      <c r="B1169" s="2" t="str">
        <f>"ANEL VED. TC  2"""</f>
        <v>ANEL VED. TC  2"</v>
      </c>
      <c r="C1169" s="2" t="str">
        <f>"BR"</f>
        <v>BR</v>
      </c>
      <c r="D1169" s="7">
        <v>807</v>
      </c>
      <c r="E1169" s="3">
        <v>10</v>
      </c>
      <c r="F1169" s="2">
        <v>1</v>
      </c>
      <c r="G1169" t="s">
        <v>514</v>
      </c>
    </row>
    <row r="1170" spans="1:7" x14ac:dyDescent="0.25">
      <c r="A1170" s="1" t="str">
        <f>"504513"</f>
        <v>504513</v>
      </c>
      <c r="B1170" s="2" t="str">
        <f>"ANEL VED. TC  3"""</f>
        <v>ANEL VED. TC  3"</v>
      </c>
      <c r="C1170" s="2" t="str">
        <f>"UN"</f>
        <v>UN</v>
      </c>
      <c r="D1170" s="7">
        <v>807</v>
      </c>
      <c r="E1170" s="3">
        <v>10</v>
      </c>
      <c r="F1170" s="2">
        <v>2</v>
      </c>
      <c r="G1170" t="s">
        <v>514</v>
      </c>
    </row>
    <row r="1171" spans="1:7" x14ac:dyDescent="0.25">
      <c r="A1171" s="1" t="str">
        <f>"501285"</f>
        <v>501285</v>
      </c>
      <c r="B1171" s="2" t="str">
        <f>"ANEL VED. TC  4"""</f>
        <v>ANEL VED. TC  4"</v>
      </c>
      <c r="C1171" s="2" t="str">
        <f>"BR"</f>
        <v>BR</v>
      </c>
      <c r="D1171" s="7">
        <v>807</v>
      </c>
      <c r="E1171" s="3">
        <v>10</v>
      </c>
      <c r="F1171" s="2">
        <v>7</v>
      </c>
      <c r="G1171" t="s">
        <v>513</v>
      </c>
    </row>
    <row r="1172" spans="1:7" x14ac:dyDescent="0.25">
      <c r="A1172" s="1" t="str">
        <f>"501286"</f>
        <v>501286</v>
      </c>
      <c r="B1172" s="2" t="str">
        <f>"ANEL VED. TC  6"""</f>
        <v>ANEL VED. TC  6"</v>
      </c>
      <c r="C1172" s="2" t="str">
        <f>"BR"</f>
        <v>BR</v>
      </c>
      <c r="D1172" s="7">
        <v>807</v>
      </c>
      <c r="E1172" s="3">
        <v>10</v>
      </c>
      <c r="F1172" s="2">
        <v>9</v>
      </c>
      <c r="G1172" t="s">
        <v>512</v>
      </c>
    </row>
    <row r="1173" spans="1:7" x14ac:dyDescent="0.25">
      <c r="A1173" s="1" t="str">
        <f>"506195"</f>
        <v>506195</v>
      </c>
      <c r="B1173" s="2" t="str">
        <f>"ANEL VED. TC 2 1/2"""</f>
        <v>ANEL VED. TC 2 1/2"</v>
      </c>
      <c r="C1173" s="2" t="str">
        <f>"BR"</f>
        <v>BR</v>
      </c>
      <c r="D1173" s="7">
        <v>807</v>
      </c>
      <c r="E1173" s="3">
        <v>10</v>
      </c>
      <c r="F1173" s="2">
        <v>0</v>
      </c>
      <c r="G1173" t="s">
        <v>513</v>
      </c>
    </row>
    <row r="1174" spans="1:7" x14ac:dyDescent="0.25">
      <c r="A1174" s="1" t="str">
        <f>"508848"</f>
        <v>508848</v>
      </c>
      <c r="B1174" s="2" t="str">
        <f>"ANEL VEDAÇAO 4"" SMS VI - NDB4054126"</f>
        <v>ANEL VEDAÇAO 4" SMS VI - NDB4054126</v>
      </c>
      <c r="C1174" s="2" t="str">
        <f t="shared" ref="C1174:C1205" si="45">"UN"</f>
        <v>UN</v>
      </c>
      <c r="D1174" s="7">
        <v>909</v>
      </c>
      <c r="E1174" s="3">
        <v>11</v>
      </c>
      <c r="F1174" s="2">
        <v>0</v>
      </c>
      <c r="G1174" t="s">
        <v>514</v>
      </c>
    </row>
    <row r="1175" spans="1:7" x14ac:dyDescent="0.25">
      <c r="A1175" s="1" t="str">
        <f>"508645"</f>
        <v>508645</v>
      </c>
      <c r="B1175" s="2" t="str">
        <f>"ANEL VEDAÇAO BI-PARTIDO POS56 APF2083"</f>
        <v>ANEL VEDAÇAO BI-PARTIDO POS56 APF2083</v>
      </c>
      <c r="C1175" s="2" t="str">
        <f t="shared" si="45"/>
        <v>UN</v>
      </c>
      <c r="D1175" s="7">
        <v>909</v>
      </c>
      <c r="E1175" s="3">
        <v>11</v>
      </c>
      <c r="F1175" s="2">
        <v>2</v>
      </c>
      <c r="G1175" t="s">
        <v>514</v>
      </c>
    </row>
    <row r="1176" spans="1:7" x14ac:dyDescent="0.25">
      <c r="A1176" s="1" t="str">
        <f>"503563"</f>
        <v>503563</v>
      </c>
      <c r="B1176" s="2" t="str">
        <f>"ANEL VEDACAO BOMBA CENTRIFUGA BCR600"</f>
        <v>ANEL VEDACAO BOMBA CENTRIFUGA BCR600</v>
      </c>
      <c r="C1176" s="2" t="str">
        <f t="shared" si="45"/>
        <v>UN</v>
      </c>
      <c r="D1176" s="7">
        <v>909</v>
      </c>
      <c r="E1176" s="3">
        <v>11</v>
      </c>
      <c r="F1176" s="2">
        <v>5</v>
      </c>
      <c r="G1176" t="s">
        <v>514</v>
      </c>
    </row>
    <row r="1177" spans="1:7" x14ac:dyDescent="0.25">
      <c r="A1177" s="1" t="str">
        <f>"507015"</f>
        <v>507015</v>
      </c>
      <c r="B1177" s="2" t="str">
        <f>"ANEL VEDAÇÃO DN. 450MM BORRACHA ATX PRETA (PADRÃO)"</f>
        <v>ANEL VEDAÇÃO DN. 450MM BORRACHA ATX PRETA (PADRÃO)</v>
      </c>
      <c r="C1177" s="2" t="str">
        <f t="shared" si="45"/>
        <v>UN</v>
      </c>
      <c r="D1177" s="7">
        <v>909</v>
      </c>
      <c r="E1177" s="3">
        <v>13</v>
      </c>
      <c r="F1177" s="2">
        <v>6</v>
      </c>
      <c r="G1177" t="s">
        <v>513</v>
      </c>
    </row>
    <row r="1178" spans="1:7" x14ac:dyDescent="0.25">
      <c r="A1178" s="1" t="str">
        <f>"512559"</f>
        <v>512559</v>
      </c>
      <c r="B1178" s="2" t="str">
        <f>"ANEL VEDAÇAO O'RING PARKER N.2-251"</f>
        <v>ANEL VEDAÇAO O'RING PARKER N.2-251</v>
      </c>
      <c r="C1178" s="2" t="str">
        <f t="shared" si="45"/>
        <v>UN</v>
      </c>
      <c r="D1178" s="7">
        <v>909</v>
      </c>
      <c r="E1178" s="3">
        <v>11</v>
      </c>
      <c r="F1178" s="2">
        <v>9</v>
      </c>
      <c r="G1178" t="s">
        <v>513</v>
      </c>
    </row>
    <row r="1179" spans="1:7" x14ac:dyDescent="0.25">
      <c r="A1179" s="1" t="str">
        <f>"508646"</f>
        <v>508646</v>
      </c>
      <c r="B1179" s="2" t="str">
        <f>"ANEL VEDAÇAO POS 57"</f>
        <v>ANEL VEDAÇAO POS 57</v>
      </c>
      <c r="C1179" s="2" t="str">
        <f t="shared" si="45"/>
        <v>UN</v>
      </c>
      <c r="D1179" s="7">
        <v>909</v>
      </c>
      <c r="E1179" s="3">
        <v>11</v>
      </c>
      <c r="F1179" s="2">
        <v>5</v>
      </c>
      <c r="G1179" t="s">
        <v>513</v>
      </c>
    </row>
    <row r="1180" spans="1:7" x14ac:dyDescent="0.25">
      <c r="A1180" s="1" t="str">
        <f>"525499"</f>
        <v>525499</v>
      </c>
      <c r="B1180" s="2" t="str">
        <f>"ANEL VITON o215,00x5,00 70-80 SHORE NMP5028584"</f>
        <v>ANEL VITON o215,00x5,00 70-80 SHORE NMP5028584</v>
      </c>
      <c r="C1180" s="2" t="str">
        <f t="shared" si="45"/>
        <v>UN</v>
      </c>
      <c r="D1180" s="7">
        <v>918</v>
      </c>
      <c r="E1180" s="3">
        <v>11</v>
      </c>
      <c r="F1180" s="2">
        <v>3</v>
      </c>
      <c r="G1180" t="s">
        <v>512</v>
      </c>
    </row>
    <row r="1181" spans="1:7" x14ac:dyDescent="0.25">
      <c r="A1181" s="1" t="str">
        <f>"524793"</f>
        <v>524793</v>
      </c>
      <c r="B1181" s="2" t="str">
        <f>"ANELD E IMPACTO APF-5781"</f>
        <v>ANELD E IMPACTO APF-5781</v>
      </c>
      <c r="C1181" s="2" t="str">
        <f t="shared" si="45"/>
        <v>UN</v>
      </c>
      <c r="D1181" s="7">
        <v>918</v>
      </c>
      <c r="E1181" s="3">
        <v>10</v>
      </c>
      <c r="F1181" s="2">
        <v>3</v>
      </c>
      <c r="G1181" t="s">
        <v>513</v>
      </c>
    </row>
    <row r="1182" spans="1:7" x14ac:dyDescent="0.25">
      <c r="A1182" s="1" t="str">
        <f>"505642"</f>
        <v>505642</v>
      </c>
      <c r="B1182" s="2" t="str">
        <f>"ANILHA"</f>
        <v>ANILHA</v>
      </c>
      <c r="C1182" s="2" t="str">
        <f t="shared" si="45"/>
        <v>UN</v>
      </c>
      <c r="D1182" s="7">
        <v>704</v>
      </c>
      <c r="E1182" s="3">
        <v>9</v>
      </c>
      <c r="F1182" s="2">
        <v>2</v>
      </c>
      <c r="G1182" t="s">
        <v>514</v>
      </c>
    </row>
    <row r="1183" spans="1:7" x14ac:dyDescent="0.25">
      <c r="A1183" s="1" t="str">
        <f>"516248"</f>
        <v>516248</v>
      </c>
      <c r="B1183" s="2" t="str">
        <f>"ANILHA 6MM DE 0 A 9"</f>
        <v>ANILHA 6MM DE 0 A 9</v>
      </c>
      <c r="C1183" s="2" t="str">
        <f t="shared" si="45"/>
        <v>UN</v>
      </c>
      <c r="D1183" s="7">
        <v>600</v>
      </c>
      <c r="E1183" s="3">
        <v>8</v>
      </c>
      <c r="F1183" s="2">
        <v>1</v>
      </c>
      <c r="G1183" t="s">
        <v>515</v>
      </c>
    </row>
    <row r="1184" spans="1:7" x14ac:dyDescent="0.25">
      <c r="A1184" s="1" t="str">
        <f>"515786"</f>
        <v>515786</v>
      </c>
      <c r="B1184" s="2" t="str">
        <f>"ANILHA 6MM DE A - Z"</f>
        <v>ANILHA 6MM DE A - Z</v>
      </c>
      <c r="C1184" s="2" t="str">
        <f t="shared" si="45"/>
        <v>UN</v>
      </c>
      <c r="D1184" s="7">
        <v>811</v>
      </c>
      <c r="E1184" s="3">
        <v>8</v>
      </c>
      <c r="F1184" s="2">
        <v>4</v>
      </c>
      <c r="G1184" t="s">
        <v>512</v>
      </c>
    </row>
    <row r="1185" spans="1:7" x14ac:dyDescent="0.25">
      <c r="A1185" s="1" t="str">
        <f>"505639"</f>
        <v>505639</v>
      </c>
      <c r="B1185" s="2" t="str">
        <f>"ANILHA 8MM"</f>
        <v>ANILHA 8MM</v>
      </c>
      <c r="C1185" s="2" t="str">
        <f t="shared" si="45"/>
        <v>UN</v>
      </c>
      <c r="D1185" s="7">
        <v>704</v>
      </c>
      <c r="E1185" s="3">
        <v>9</v>
      </c>
      <c r="F1185" s="2">
        <v>1</v>
      </c>
      <c r="G1185" t="s">
        <v>516</v>
      </c>
    </row>
    <row r="1186" spans="1:7" x14ac:dyDescent="0.25">
      <c r="A1186" s="1" t="str">
        <f>"519091"</f>
        <v>519091</v>
      </c>
      <c r="B1186" s="2" t="str">
        <f>"ANILHA HG1 Nº 0 (0,5 A 1,0MM)"</f>
        <v>ANILHA HG1 Nº 0 (0,5 A 1,0MM)</v>
      </c>
      <c r="C1186" s="2" t="str">
        <f t="shared" si="45"/>
        <v>UN</v>
      </c>
      <c r="D1186" s="7">
        <v>600</v>
      </c>
      <c r="E1186" s="3">
        <v>8</v>
      </c>
      <c r="F1186" s="2">
        <v>2</v>
      </c>
      <c r="G1186" t="s">
        <v>515</v>
      </c>
    </row>
    <row r="1187" spans="1:7" x14ac:dyDescent="0.25">
      <c r="A1187" s="1" t="str">
        <f>"519092"</f>
        <v>519092</v>
      </c>
      <c r="B1187" s="2" t="str">
        <f>"ANILHA HG1 Nº 1 (0,5 A 1,0MM)"</f>
        <v>ANILHA HG1 Nº 1 (0,5 A 1,0MM)</v>
      </c>
      <c r="C1187" s="2" t="str">
        <f t="shared" si="45"/>
        <v>UN</v>
      </c>
      <c r="D1187" s="7">
        <v>600</v>
      </c>
      <c r="E1187" s="3">
        <v>8</v>
      </c>
      <c r="F1187" s="2">
        <v>7</v>
      </c>
      <c r="G1187" t="s">
        <v>514</v>
      </c>
    </row>
    <row r="1188" spans="1:7" x14ac:dyDescent="0.25">
      <c r="A1188" s="1" t="str">
        <f>"519093"</f>
        <v>519093</v>
      </c>
      <c r="B1188" s="2" t="str">
        <f>"ANILHA HG1 Nº 2 (0,5 A 1,0MM)"</f>
        <v>ANILHA HG1 Nº 2 (0,5 A 1,0MM)</v>
      </c>
      <c r="C1188" s="2" t="str">
        <f t="shared" si="45"/>
        <v>UN</v>
      </c>
      <c r="D1188" s="7">
        <v>600</v>
      </c>
      <c r="E1188" s="3">
        <v>8</v>
      </c>
      <c r="F1188" s="2">
        <v>9</v>
      </c>
      <c r="G1188" t="s">
        <v>512</v>
      </c>
    </row>
    <row r="1189" spans="1:7" x14ac:dyDescent="0.25">
      <c r="A1189" s="1" t="str">
        <f>"519094"</f>
        <v>519094</v>
      </c>
      <c r="B1189" s="2" t="str">
        <f>"ANILHA HG1 Nº 3 (0,5 A 1,0MM)"</f>
        <v>ANILHA HG1 Nº 3 (0,5 A 1,0MM)</v>
      </c>
      <c r="C1189" s="2" t="str">
        <f t="shared" si="45"/>
        <v>UN</v>
      </c>
      <c r="D1189" s="7">
        <v>600</v>
      </c>
      <c r="E1189" s="3">
        <v>8</v>
      </c>
      <c r="F1189" s="2">
        <v>0</v>
      </c>
      <c r="G1189" t="s">
        <v>513</v>
      </c>
    </row>
    <row r="1190" spans="1:7" x14ac:dyDescent="0.25">
      <c r="A1190" s="1" t="str">
        <f>"519095"</f>
        <v>519095</v>
      </c>
      <c r="B1190" s="2" t="str">
        <f>"ANILHA HG1 Nº 4 (0,5 A 1,0MM)"</f>
        <v>ANILHA HG1 Nº 4 (0,5 A 1,0MM)</v>
      </c>
      <c r="C1190" s="2" t="str">
        <f t="shared" si="45"/>
        <v>UN</v>
      </c>
      <c r="D1190" s="7">
        <v>600</v>
      </c>
      <c r="E1190" s="3">
        <v>8</v>
      </c>
      <c r="F1190" s="2">
        <v>0</v>
      </c>
      <c r="G1190" t="s">
        <v>514</v>
      </c>
    </row>
    <row r="1191" spans="1:7" x14ac:dyDescent="0.25">
      <c r="A1191" s="1" t="str">
        <f>"519096"</f>
        <v>519096</v>
      </c>
      <c r="B1191" s="2" t="str">
        <f>"ANILHA HG1 Nº 5 (0,5 A 1,0MM)"</f>
        <v>ANILHA HG1 Nº 5 (0,5 A 1,0MM)</v>
      </c>
      <c r="C1191" s="2" t="str">
        <f t="shared" si="45"/>
        <v>UN</v>
      </c>
      <c r="D1191" s="7">
        <v>600</v>
      </c>
      <c r="E1191" s="3">
        <v>8</v>
      </c>
      <c r="F1191" s="2">
        <v>4</v>
      </c>
      <c r="G1191" t="s">
        <v>514</v>
      </c>
    </row>
    <row r="1192" spans="1:7" x14ac:dyDescent="0.25">
      <c r="A1192" s="1" t="str">
        <f>"519097"</f>
        <v>519097</v>
      </c>
      <c r="B1192" s="2" t="str">
        <f>"ANILHA HG1 Nº 6 (0,5 A 1,0MM)"</f>
        <v>ANILHA HG1 Nº 6 (0,5 A 1,0MM)</v>
      </c>
      <c r="C1192" s="2" t="str">
        <f t="shared" si="45"/>
        <v>UN</v>
      </c>
      <c r="D1192" s="7">
        <v>600</v>
      </c>
      <c r="E1192" s="3">
        <v>8</v>
      </c>
      <c r="F1192" s="2">
        <v>1</v>
      </c>
      <c r="G1192" t="s">
        <v>512</v>
      </c>
    </row>
    <row r="1193" spans="1:7" x14ac:dyDescent="0.25">
      <c r="A1193" s="1" t="str">
        <f>"519098"</f>
        <v>519098</v>
      </c>
      <c r="B1193" s="2" t="str">
        <f>"ANILHA HG1 Nº 7 (0,5 A 1,0MM)"</f>
        <v>ANILHA HG1 Nº 7 (0,5 A 1,0MM)</v>
      </c>
      <c r="C1193" s="2" t="str">
        <f t="shared" si="45"/>
        <v>UN</v>
      </c>
      <c r="D1193" s="7">
        <v>600</v>
      </c>
      <c r="E1193" s="3">
        <v>8</v>
      </c>
      <c r="F1193" s="2">
        <v>2</v>
      </c>
      <c r="G1193" t="s">
        <v>513</v>
      </c>
    </row>
    <row r="1194" spans="1:7" x14ac:dyDescent="0.25">
      <c r="A1194" s="1" t="str">
        <f>"519099"</f>
        <v>519099</v>
      </c>
      <c r="B1194" s="2" t="str">
        <f>"ANILHA HG1 Nº 8 (0,5 A 1,0MM)"</f>
        <v>ANILHA HG1 Nº 8 (0,5 A 1,0MM)</v>
      </c>
      <c r="C1194" s="2" t="str">
        <f t="shared" si="45"/>
        <v>UN</v>
      </c>
      <c r="D1194" s="7">
        <v>600</v>
      </c>
      <c r="E1194" s="3">
        <v>8</v>
      </c>
      <c r="F1194" s="2">
        <v>7</v>
      </c>
      <c r="G1194" t="s">
        <v>514</v>
      </c>
    </row>
    <row r="1195" spans="1:7" x14ac:dyDescent="0.25">
      <c r="A1195" s="1" t="str">
        <f>"519100"</f>
        <v>519100</v>
      </c>
      <c r="B1195" s="2" t="str">
        <f>"ANILHA HG1 Nº 9 (0,5 A 1,0MM)"</f>
        <v>ANILHA HG1 Nº 9 (0,5 A 1,0MM)</v>
      </c>
      <c r="C1195" s="2" t="str">
        <f t="shared" si="45"/>
        <v>UN</v>
      </c>
      <c r="D1195" s="7">
        <v>600</v>
      </c>
      <c r="E1195" s="3">
        <v>8</v>
      </c>
      <c r="F1195" s="2">
        <v>9</v>
      </c>
      <c r="G1195" t="s">
        <v>514</v>
      </c>
    </row>
    <row r="1196" spans="1:7" x14ac:dyDescent="0.25">
      <c r="A1196" s="1" t="str">
        <f>"501814"</f>
        <v>501814</v>
      </c>
      <c r="B1196" s="2" t="str">
        <f>"ANILHA HG2 Nº 0 (2.5MM)"</f>
        <v>ANILHA HG2 Nº 0 (2.5MM)</v>
      </c>
      <c r="C1196" s="2" t="str">
        <f t="shared" si="45"/>
        <v>UN</v>
      </c>
      <c r="D1196" s="7">
        <v>600</v>
      </c>
      <c r="E1196" s="3">
        <v>8</v>
      </c>
      <c r="F1196" s="5">
        <v>5</v>
      </c>
      <c r="G1196" t="s">
        <v>514</v>
      </c>
    </row>
    <row r="1197" spans="1:7" x14ac:dyDescent="0.25">
      <c r="A1197" s="1" t="str">
        <f>"516413"</f>
        <v>516413</v>
      </c>
      <c r="B1197" s="2" t="str">
        <f>"ANILHA HG2 Nº 0 (6MM)"</f>
        <v>ANILHA HG2 Nº 0 (6MM)</v>
      </c>
      <c r="C1197" s="2" t="str">
        <f t="shared" si="45"/>
        <v>UN</v>
      </c>
      <c r="D1197" s="7">
        <v>811</v>
      </c>
      <c r="E1197" s="3">
        <v>10</v>
      </c>
      <c r="F1197" s="2">
        <v>3</v>
      </c>
      <c r="G1197" t="s">
        <v>513</v>
      </c>
    </row>
    <row r="1198" spans="1:7" x14ac:dyDescent="0.25">
      <c r="A1198" s="1" t="str">
        <f>"516410"</f>
        <v>516410</v>
      </c>
      <c r="B1198" s="2" t="str">
        <f>"ANILHA HG2 Nº 1 (1MM)"</f>
        <v>ANILHA HG2 Nº 1 (1MM)</v>
      </c>
      <c r="C1198" s="2" t="str">
        <f t="shared" si="45"/>
        <v>UN</v>
      </c>
      <c r="D1198" s="7">
        <v>811</v>
      </c>
      <c r="E1198" s="3">
        <v>10</v>
      </c>
      <c r="F1198" s="2">
        <v>8</v>
      </c>
      <c r="G1198" t="s">
        <v>512</v>
      </c>
    </row>
    <row r="1199" spans="1:7" x14ac:dyDescent="0.25">
      <c r="A1199" s="1" t="str">
        <f>"503807"</f>
        <v>503807</v>
      </c>
      <c r="B1199" s="2" t="str">
        <f>"ANILHA HG2 Nº 1 (2.5MM)"</f>
        <v>ANILHA HG2 Nº 1 (2.5MM)</v>
      </c>
      <c r="C1199" s="2" t="str">
        <f t="shared" si="45"/>
        <v>UN</v>
      </c>
      <c r="D1199" s="7">
        <v>600</v>
      </c>
      <c r="E1199" s="3">
        <v>8</v>
      </c>
      <c r="F1199" s="2">
        <v>6</v>
      </c>
      <c r="G1199" t="s">
        <v>513</v>
      </c>
    </row>
    <row r="1200" spans="1:7" x14ac:dyDescent="0.25">
      <c r="A1200" s="1" t="str">
        <f>"516414"</f>
        <v>516414</v>
      </c>
      <c r="B1200" s="2" t="str">
        <f>"ANILHA HG2 Nº 1 (6MM)"</f>
        <v>ANILHA HG2 Nº 1 (6MM)</v>
      </c>
      <c r="C1200" s="2" t="str">
        <f t="shared" si="45"/>
        <v>UN</v>
      </c>
      <c r="D1200" s="7">
        <v>811</v>
      </c>
      <c r="E1200" s="3">
        <v>10</v>
      </c>
      <c r="F1200" s="2">
        <v>4</v>
      </c>
      <c r="G1200" t="s">
        <v>514</v>
      </c>
    </row>
    <row r="1201" spans="1:7" x14ac:dyDescent="0.25">
      <c r="A1201" s="1" t="str">
        <f>"516411"</f>
        <v>516411</v>
      </c>
      <c r="B1201" s="2" t="str">
        <f>"ANILHA HG2 Nº 2 (1MM)"</f>
        <v>ANILHA HG2 Nº 2 (1MM)</v>
      </c>
      <c r="C1201" s="2" t="str">
        <f t="shared" si="45"/>
        <v>UN</v>
      </c>
      <c r="D1201" s="7">
        <v>811</v>
      </c>
      <c r="E1201" s="3">
        <v>10</v>
      </c>
      <c r="F1201" s="2">
        <v>1</v>
      </c>
      <c r="G1201" t="s">
        <v>514</v>
      </c>
    </row>
    <row r="1202" spans="1:7" x14ac:dyDescent="0.25">
      <c r="A1202" s="1" t="str">
        <f>"503808"</f>
        <v>503808</v>
      </c>
      <c r="B1202" s="2" t="str">
        <f>"ANILHA HG2 Nº 2 (2.5MM)"</f>
        <v>ANILHA HG2 Nº 2 (2.5MM)</v>
      </c>
      <c r="C1202" s="2" t="str">
        <f t="shared" si="45"/>
        <v>UN</v>
      </c>
      <c r="D1202" s="7">
        <v>600</v>
      </c>
      <c r="E1202" s="3">
        <v>8</v>
      </c>
      <c r="F1202" s="2">
        <v>2</v>
      </c>
      <c r="G1202" t="s">
        <v>514</v>
      </c>
    </row>
    <row r="1203" spans="1:7" x14ac:dyDescent="0.25">
      <c r="A1203" s="1" t="str">
        <f>"516415"</f>
        <v>516415</v>
      </c>
      <c r="B1203" s="2" t="str">
        <f>"ANILHA HG2 Nº 2 (6MM)"</f>
        <v>ANILHA HG2 Nº 2 (6MM)</v>
      </c>
      <c r="C1203" s="2" t="str">
        <f t="shared" si="45"/>
        <v>UN</v>
      </c>
      <c r="D1203" s="7">
        <v>811</v>
      </c>
      <c r="E1203" s="3">
        <v>10</v>
      </c>
      <c r="F1203" s="2">
        <v>7</v>
      </c>
      <c r="G1203" t="s">
        <v>513</v>
      </c>
    </row>
    <row r="1204" spans="1:7" x14ac:dyDescent="0.25">
      <c r="A1204" s="1" t="str">
        <f>"516412"</f>
        <v>516412</v>
      </c>
      <c r="B1204" s="2" t="str">
        <f>"ANILHA HG2 Nº 3 (1MM)"</f>
        <v>ANILHA HG2 Nº 3 (1MM)</v>
      </c>
      <c r="C1204" s="2" t="str">
        <f t="shared" si="45"/>
        <v>UN</v>
      </c>
      <c r="D1204" s="7">
        <v>811</v>
      </c>
      <c r="E1204" s="3">
        <v>10</v>
      </c>
      <c r="F1204" s="2">
        <v>9</v>
      </c>
      <c r="G1204" t="s">
        <v>513</v>
      </c>
    </row>
    <row r="1205" spans="1:7" x14ac:dyDescent="0.25">
      <c r="A1205" s="1" t="str">
        <f>"503809"</f>
        <v>503809</v>
      </c>
      <c r="B1205" s="2" t="str">
        <f>"ANILHA HG2 Nº 3 (2.5MM)"</f>
        <v>ANILHA HG2 Nº 3 (2.5MM)</v>
      </c>
      <c r="C1205" s="2" t="str">
        <f t="shared" si="45"/>
        <v>UN</v>
      </c>
      <c r="D1205" s="7">
        <v>600</v>
      </c>
      <c r="E1205" s="3">
        <v>8</v>
      </c>
      <c r="F1205" s="2">
        <v>0</v>
      </c>
      <c r="G1205" t="s">
        <v>513</v>
      </c>
    </row>
    <row r="1206" spans="1:7" x14ac:dyDescent="0.25">
      <c r="A1206" s="1" t="str">
        <f>"516416"</f>
        <v>516416</v>
      </c>
      <c r="B1206" s="2" t="str">
        <f>"ANILHA HG2 Nº 3 (6MM)"</f>
        <v>ANILHA HG2 Nº 3 (6MM)</v>
      </c>
      <c r="C1206" s="2" t="str">
        <f t="shared" ref="C1206:C1237" si="46">"UN"</f>
        <v>UN</v>
      </c>
      <c r="D1206" s="7">
        <v>811</v>
      </c>
      <c r="E1206" s="3">
        <v>10</v>
      </c>
      <c r="F1206" s="2">
        <v>0</v>
      </c>
      <c r="G1206" t="s">
        <v>512</v>
      </c>
    </row>
    <row r="1207" spans="1:7" x14ac:dyDescent="0.25">
      <c r="A1207" s="1" t="str">
        <f>"516956"</f>
        <v>516956</v>
      </c>
      <c r="B1207" s="2" t="str">
        <f>"ANILHA HG2 Nº 4 (1MM)"</f>
        <v>ANILHA HG2 Nº 4 (1MM)</v>
      </c>
      <c r="C1207" s="2" t="str">
        <f t="shared" si="46"/>
        <v>UN</v>
      </c>
      <c r="D1207" s="7">
        <v>811</v>
      </c>
      <c r="E1207" s="3">
        <v>8</v>
      </c>
      <c r="F1207" s="2">
        <v>2</v>
      </c>
      <c r="G1207" t="s">
        <v>513</v>
      </c>
    </row>
    <row r="1208" spans="1:7" x14ac:dyDescent="0.25">
      <c r="A1208" s="1" t="str">
        <f>"503810"</f>
        <v>503810</v>
      </c>
      <c r="B1208" s="2" t="str">
        <f>"ANILHA HG2 Nº 4 (2.5MM)"</f>
        <v>ANILHA HG2 Nº 4 (2.5MM)</v>
      </c>
      <c r="C1208" s="2" t="str">
        <f t="shared" si="46"/>
        <v>UN</v>
      </c>
      <c r="D1208" s="7">
        <v>600</v>
      </c>
      <c r="E1208" s="3">
        <v>8</v>
      </c>
      <c r="F1208" s="2">
        <v>5</v>
      </c>
      <c r="G1208" t="s">
        <v>514</v>
      </c>
    </row>
    <row r="1209" spans="1:7" x14ac:dyDescent="0.25">
      <c r="A1209" s="1" t="str">
        <f>"516417"</f>
        <v>516417</v>
      </c>
      <c r="B1209" s="2" t="str">
        <f>"ANILHA HG2 Nº 4 (6MM)"</f>
        <v>ANILHA HG2 Nº 4 (6MM)</v>
      </c>
      <c r="C1209" s="2" t="str">
        <f t="shared" si="46"/>
        <v>UN</v>
      </c>
      <c r="D1209" s="7">
        <v>811</v>
      </c>
      <c r="E1209" s="3">
        <v>10</v>
      </c>
      <c r="F1209" s="2">
        <v>6</v>
      </c>
      <c r="G1209" t="s">
        <v>515</v>
      </c>
    </row>
    <row r="1210" spans="1:7" x14ac:dyDescent="0.25">
      <c r="A1210" s="1" t="str">
        <f>"516957"</f>
        <v>516957</v>
      </c>
      <c r="B1210" s="2" t="str">
        <f>"ANILHA HG2 Nº 5 (1MM)"</f>
        <v>ANILHA HG2 Nº 5 (1MM)</v>
      </c>
      <c r="C1210" s="2" t="str">
        <f t="shared" si="46"/>
        <v>UN</v>
      </c>
      <c r="D1210" s="7">
        <v>811</v>
      </c>
      <c r="E1210" s="3">
        <v>8</v>
      </c>
      <c r="F1210" s="2">
        <v>9</v>
      </c>
      <c r="G1210" t="s">
        <v>512</v>
      </c>
    </row>
    <row r="1211" spans="1:7" x14ac:dyDescent="0.25">
      <c r="A1211" s="1" t="str">
        <f>"503811"</f>
        <v>503811</v>
      </c>
      <c r="B1211" s="2" t="str">
        <f>"ANILHA HG2 Nº 5 (2.5MM)"</f>
        <v>ANILHA HG2 Nº 5 (2.5MM)</v>
      </c>
      <c r="C1211" s="2" t="str">
        <f t="shared" si="46"/>
        <v>UN</v>
      </c>
      <c r="D1211" s="7">
        <v>600</v>
      </c>
      <c r="E1211" s="3">
        <v>8</v>
      </c>
      <c r="F1211" s="2">
        <v>5</v>
      </c>
      <c r="G1211" t="s">
        <v>516</v>
      </c>
    </row>
    <row r="1212" spans="1:7" x14ac:dyDescent="0.25">
      <c r="A1212" s="1" t="str">
        <f>"516418"</f>
        <v>516418</v>
      </c>
      <c r="B1212" s="2" t="str">
        <f>"ANILHA HG2 Nº 5 (6MM)"</f>
        <v>ANILHA HG2 Nº 5 (6MM)</v>
      </c>
      <c r="C1212" s="2" t="str">
        <f t="shared" si="46"/>
        <v>UN</v>
      </c>
      <c r="D1212" s="7">
        <v>811</v>
      </c>
      <c r="E1212" s="3">
        <v>10</v>
      </c>
      <c r="F1212" s="2">
        <v>3</v>
      </c>
      <c r="G1212" t="s">
        <v>515</v>
      </c>
    </row>
    <row r="1213" spans="1:7" x14ac:dyDescent="0.25">
      <c r="A1213" s="1" t="str">
        <f>"503812"</f>
        <v>503812</v>
      </c>
      <c r="B1213" s="2" t="str">
        <f>"ANILHA HG2 Nº 6 (2.5MM)"</f>
        <v>ANILHA HG2 Nº 6 (2.5MM)</v>
      </c>
      <c r="C1213" s="2" t="str">
        <f t="shared" si="46"/>
        <v>UN</v>
      </c>
      <c r="D1213" s="7">
        <v>600</v>
      </c>
      <c r="E1213" s="3">
        <v>8</v>
      </c>
      <c r="F1213" s="2">
        <v>3</v>
      </c>
      <c r="G1213" t="s">
        <v>514</v>
      </c>
    </row>
    <row r="1214" spans="1:7" x14ac:dyDescent="0.25">
      <c r="A1214" s="1" t="str">
        <f>"516419"</f>
        <v>516419</v>
      </c>
      <c r="B1214" s="2" t="str">
        <f>"ANILHA HG2 Nº 6 (6MM)"</f>
        <v>ANILHA HG2 Nº 6 (6MM)</v>
      </c>
      <c r="C1214" s="2" t="str">
        <f t="shared" si="46"/>
        <v>UN</v>
      </c>
      <c r="D1214" s="7">
        <v>811</v>
      </c>
      <c r="E1214" s="3">
        <v>10</v>
      </c>
      <c r="F1214" s="2">
        <v>2</v>
      </c>
      <c r="G1214" t="s">
        <v>512</v>
      </c>
    </row>
    <row r="1215" spans="1:7" x14ac:dyDescent="0.25">
      <c r="A1215" s="1" t="str">
        <f>"503813"</f>
        <v>503813</v>
      </c>
      <c r="B1215" s="2" t="str">
        <f>"ANILHA HG2 Nº 7 (2.5MM)"</f>
        <v>ANILHA HG2 Nº 7 (2.5MM)</v>
      </c>
      <c r="C1215" s="2" t="str">
        <f t="shared" si="46"/>
        <v>UN</v>
      </c>
      <c r="D1215" s="7">
        <v>600</v>
      </c>
      <c r="E1215" s="3">
        <v>8</v>
      </c>
      <c r="F1215" s="2">
        <v>1</v>
      </c>
      <c r="G1215" t="s">
        <v>513</v>
      </c>
    </row>
    <row r="1216" spans="1:7" x14ac:dyDescent="0.25">
      <c r="A1216" s="1" t="str">
        <f>"516420"</f>
        <v>516420</v>
      </c>
      <c r="B1216" s="2" t="str">
        <f>"ANILHA HG2 Nº 7 (6MM)"</f>
        <v>ANILHA HG2 Nº 7 (6MM)</v>
      </c>
      <c r="C1216" s="2" t="str">
        <f t="shared" si="46"/>
        <v>UN</v>
      </c>
      <c r="D1216" s="7">
        <v>811</v>
      </c>
      <c r="E1216" s="3">
        <v>10</v>
      </c>
      <c r="F1216" s="2">
        <v>4</v>
      </c>
      <c r="G1216" t="s">
        <v>514</v>
      </c>
    </row>
    <row r="1217" spans="1:7" x14ac:dyDescent="0.25">
      <c r="A1217" s="1" t="str">
        <f>"503814"</f>
        <v>503814</v>
      </c>
      <c r="B1217" s="2" t="str">
        <f>"ANILHA HG2 Nº 8 (2.5MM)"</f>
        <v>ANILHA HG2 Nº 8 (2.5MM)</v>
      </c>
      <c r="C1217" s="2" t="str">
        <f t="shared" si="46"/>
        <v>UN</v>
      </c>
      <c r="D1217" s="7">
        <v>600</v>
      </c>
      <c r="E1217" s="3">
        <v>8</v>
      </c>
      <c r="F1217" s="2">
        <v>6</v>
      </c>
      <c r="G1217" t="s">
        <v>514</v>
      </c>
    </row>
    <row r="1218" spans="1:7" x14ac:dyDescent="0.25">
      <c r="A1218" s="1" t="str">
        <f>"503815"</f>
        <v>503815</v>
      </c>
      <c r="B1218" s="2" t="str">
        <f>"ANILHA HG2 Nº 8 (2.5MM)"</f>
        <v>ANILHA HG2 Nº 8 (2.5MM)</v>
      </c>
      <c r="C1218" s="2" t="str">
        <f t="shared" si="46"/>
        <v>UN</v>
      </c>
      <c r="D1218" s="7">
        <v>600</v>
      </c>
      <c r="E1218" s="3">
        <v>8</v>
      </c>
      <c r="F1218" s="2">
        <v>8</v>
      </c>
      <c r="G1218" t="s">
        <v>512</v>
      </c>
    </row>
    <row r="1219" spans="1:7" x14ac:dyDescent="0.25">
      <c r="A1219" s="1" t="str">
        <f>"516421"</f>
        <v>516421</v>
      </c>
      <c r="B1219" s="2" t="str">
        <f>"ANILHA HG2 Nº 8 (6MM)"</f>
        <v>ANILHA HG2 Nº 8 (6MM)</v>
      </c>
      <c r="C1219" s="2" t="str">
        <f t="shared" si="46"/>
        <v>UN</v>
      </c>
      <c r="D1219" s="7">
        <v>811</v>
      </c>
      <c r="E1219" s="3">
        <v>10</v>
      </c>
      <c r="F1219" s="2">
        <v>7</v>
      </c>
      <c r="G1219" t="s">
        <v>513</v>
      </c>
    </row>
    <row r="1220" spans="1:7" x14ac:dyDescent="0.25">
      <c r="A1220" s="1" t="str">
        <f>"516422"</f>
        <v>516422</v>
      </c>
      <c r="B1220" s="2" t="str">
        <f>"ANILHA HG2 Nº 9 (6MM)"</f>
        <v>ANILHA HG2 Nº 9 (6MM)</v>
      </c>
      <c r="C1220" s="2" t="str">
        <f t="shared" si="46"/>
        <v>UN</v>
      </c>
      <c r="D1220" s="7">
        <v>811</v>
      </c>
      <c r="E1220" s="3">
        <v>10</v>
      </c>
      <c r="F1220" s="2">
        <v>6</v>
      </c>
      <c r="G1220" t="s">
        <v>514</v>
      </c>
    </row>
    <row r="1221" spans="1:7" x14ac:dyDescent="0.25">
      <c r="A1221" s="1" t="str">
        <f>"518004"</f>
        <v>518004</v>
      </c>
      <c r="B1221" s="2" t="str">
        <f>"ANILHA LETRA A (10MM)"</f>
        <v>ANILHA LETRA A (10MM)</v>
      </c>
      <c r="C1221" s="2" t="str">
        <f t="shared" si="46"/>
        <v>UN</v>
      </c>
      <c r="D1221" s="7">
        <v>811</v>
      </c>
      <c r="E1221" s="3">
        <v>8</v>
      </c>
      <c r="F1221" s="2">
        <v>6</v>
      </c>
      <c r="G1221" t="s">
        <v>514</v>
      </c>
    </row>
    <row r="1222" spans="1:7" x14ac:dyDescent="0.25">
      <c r="A1222" s="1" t="str">
        <f>"520222"</f>
        <v>520222</v>
      </c>
      <c r="B1222" s="2" t="str">
        <f>"ANILHA LETRA A (6MM)"</f>
        <v>ANILHA LETRA A (6MM)</v>
      </c>
      <c r="C1222" s="2" t="str">
        <f t="shared" si="46"/>
        <v>UN</v>
      </c>
      <c r="D1222" s="7">
        <v>811</v>
      </c>
      <c r="E1222" s="3">
        <v>8</v>
      </c>
      <c r="F1222" s="2">
        <v>2</v>
      </c>
      <c r="G1222" t="s">
        <v>514</v>
      </c>
    </row>
    <row r="1223" spans="1:7" x14ac:dyDescent="0.25">
      <c r="A1223" s="1" t="str">
        <f>"516423"</f>
        <v>516423</v>
      </c>
      <c r="B1223" s="2" t="str">
        <f>"ANILHA LETRA B (6MM)"</f>
        <v>ANILHA LETRA B (6MM)</v>
      </c>
      <c r="C1223" s="2" t="str">
        <f t="shared" si="46"/>
        <v>UN</v>
      </c>
      <c r="D1223" s="7">
        <v>811</v>
      </c>
      <c r="E1223" s="3">
        <v>10</v>
      </c>
      <c r="F1223" s="2">
        <v>1</v>
      </c>
      <c r="G1223" t="s">
        <v>513</v>
      </c>
    </row>
    <row r="1224" spans="1:7" x14ac:dyDescent="0.25">
      <c r="A1224" s="1" t="str">
        <f>"516951"</f>
        <v>516951</v>
      </c>
      <c r="B1224" s="2" t="str">
        <f>"ANILHA LETRA C (1MM)"</f>
        <v>ANILHA LETRA C (1MM)</v>
      </c>
      <c r="C1224" s="2" t="str">
        <f t="shared" si="46"/>
        <v>UN</v>
      </c>
      <c r="D1224" s="7">
        <v>811</v>
      </c>
      <c r="E1224" s="3">
        <v>8</v>
      </c>
      <c r="F1224" s="2">
        <v>0</v>
      </c>
      <c r="G1224" t="s">
        <v>512</v>
      </c>
    </row>
    <row r="1225" spans="1:7" x14ac:dyDescent="0.25">
      <c r="A1225" s="1" t="str">
        <f>"516966"</f>
        <v>516966</v>
      </c>
      <c r="B1225" s="2" t="str">
        <f>"ANILHA LETRA C (2.5MM)"</f>
        <v>ANILHA LETRA C (2.5MM)</v>
      </c>
      <c r="C1225" s="2" t="str">
        <f t="shared" si="46"/>
        <v>UN</v>
      </c>
      <c r="D1225" s="7">
        <v>811</v>
      </c>
      <c r="E1225" s="3">
        <v>8</v>
      </c>
      <c r="F1225" s="2">
        <v>0</v>
      </c>
      <c r="G1225" t="s">
        <v>513</v>
      </c>
    </row>
    <row r="1226" spans="1:7" x14ac:dyDescent="0.25">
      <c r="A1226" s="1" t="str">
        <f>"516424"</f>
        <v>516424</v>
      </c>
      <c r="B1226" s="2" t="str">
        <f>"ANILHA LETRA C (6MM)"</f>
        <v>ANILHA LETRA C (6MM)</v>
      </c>
      <c r="C1226" s="2" t="str">
        <f t="shared" si="46"/>
        <v>UN</v>
      </c>
      <c r="D1226" s="7">
        <v>811</v>
      </c>
      <c r="E1226" s="3">
        <v>10</v>
      </c>
      <c r="F1226" s="2">
        <v>0</v>
      </c>
      <c r="G1226" t="s">
        <v>514</v>
      </c>
    </row>
    <row r="1227" spans="1:7" x14ac:dyDescent="0.25">
      <c r="A1227" s="1" t="str">
        <f>"516952"</f>
        <v>516952</v>
      </c>
      <c r="B1227" s="2" t="str">
        <f>"ANILHA LETRA D (1MM)"</f>
        <v>ANILHA LETRA D (1MM)</v>
      </c>
      <c r="C1227" s="2" t="str">
        <f t="shared" si="46"/>
        <v>UN</v>
      </c>
      <c r="D1227" s="7">
        <v>811</v>
      </c>
      <c r="E1227" s="3">
        <v>8</v>
      </c>
      <c r="F1227" s="2">
        <v>3</v>
      </c>
      <c r="G1227" t="s">
        <v>514</v>
      </c>
    </row>
    <row r="1228" spans="1:7" x14ac:dyDescent="0.25">
      <c r="A1228" s="1" t="str">
        <f>"516965"</f>
        <v>516965</v>
      </c>
      <c r="B1228" s="2" t="str">
        <f>"ANILHA LETRA D (2.5MM)"</f>
        <v>ANILHA LETRA D (2.5MM)</v>
      </c>
      <c r="C1228" s="2" t="str">
        <f t="shared" si="46"/>
        <v>UN</v>
      </c>
      <c r="D1228" s="7">
        <v>811</v>
      </c>
      <c r="E1228" s="3">
        <v>8</v>
      </c>
      <c r="F1228" s="5">
        <v>5</v>
      </c>
      <c r="G1228" t="s">
        <v>514</v>
      </c>
    </row>
    <row r="1229" spans="1:7" x14ac:dyDescent="0.25">
      <c r="A1229" s="1" t="str">
        <f>"516969"</f>
        <v>516969</v>
      </c>
      <c r="B1229" s="2" t="str">
        <f>"ANILHA LETRA D (2.5MM)"</f>
        <v>ANILHA LETRA D (2.5MM)</v>
      </c>
      <c r="C1229" s="2" t="str">
        <f t="shared" si="46"/>
        <v>UN</v>
      </c>
      <c r="D1229" s="7">
        <v>811</v>
      </c>
      <c r="E1229" s="3">
        <v>8</v>
      </c>
      <c r="F1229" s="2">
        <v>3</v>
      </c>
      <c r="G1229" t="s">
        <v>513</v>
      </c>
    </row>
    <row r="1230" spans="1:7" x14ac:dyDescent="0.25">
      <c r="A1230" s="1" t="str">
        <f>"517702"</f>
        <v>517702</v>
      </c>
      <c r="B1230" s="2" t="str">
        <f>"ANILHA LETRA D (6MM)"</f>
        <v>ANILHA LETRA D (6MM)</v>
      </c>
      <c r="C1230" s="2" t="str">
        <f t="shared" si="46"/>
        <v>UN</v>
      </c>
      <c r="D1230" s="7">
        <v>811</v>
      </c>
      <c r="E1230" s="3">
        <v>8</v>
      </c>
      <c r="F1230" s="2">
        <v>8</v>
      </c>
      <c r="G1230" t="s">
        <v>513</v>
      </c>
    </row>
    <row r="1231" spans="1:7" x14ac:dyDescent="0.25">
      <c r="A1231" s="1" t="str">
        <f>"520223"</f>
        <v>520223</v>
      </c>
      <c r="B1231" s="2" t="str">
        <f>"ANILHA LETRA E (6MM)"</f>
        <v>ANILHA LETRA E (6MM)</v>
      </c>
      <c r="C1231" s="2" t="str">
        <f t="shared" si="46"/>
        <v>UN</v>
      </c>
      <c r="D1231" s="7">
        <v>811</v>
      </c>
      <c r="E1231" s="3">
        <v>10</v>
      </c>
      <c r="F1231" s="2">
        <v>6</v>
      </c>
      <c r="G1231" t="s">
        <v>513</v>
      </c>
    </row>
    <row r="1232" spans="1:7" x14ac:dyDescent="0.25">
      <c r="A1232" s="1" t="str">
        <f>"520224"</f>
        <v>520224</v>
      </c>
      <c r="B1232" s="2" t="str">
        <f>"ANILHA LETRA F (6MM)"</f>
        <v>ANILHA LETRA F (6MM)</v>
      </c>
      <c r="C1232" s="2" t="str">
        <f t="shared" si="46"/>
        <v>UN</v>
      </c>
      <c r="D1232" s="7">
        <v>811</v>
      </c>
      <c r="E1232" s="3">
        <v>10</v>
      </c>
      <c r="F1232" s="2">
        <v>4</v>
      </c>
      <c r="G1232" t="s">
        <v>512</v>
      </c>
    </row>
    <row r="1233" spans="1:7" x14ac:dyDescent="0.25">
      <c r="A1233" s="1" t="str">
        <f>"516954"</f>
        <v>516954</v>
      </c>
      <c r="B1233" s="2" t="str">
        <f>"ANILHA LETRA G (1MM)"</f>
        <v>ANILHA LETRA G (1MM)</v>
      </c>
      <c r="C1233" s="2" t="str">
        <f t="shared" si="46"/>
        <v>UN</v>
      </c>
      <c r="D1233" s="7">
        <v>811</v>
      </c>
      <c r="E1233" s="3">
        <v>8</v>
      </c>
      <c r="F1233" s="2">
        <v>1</v>
      </c>
      <c r="G1233" t="s">
        <v>513</v>
      </c>
    </row>
    <row r="1234" spans="1:7" x14ac:dyDescent="0.25">
      <c r="A1234" s="1" t="str">
        <f>"516967"</f>
        <v>516967</v>
      </c>
      <c r="B1234" s="2" t="str">
        <f>"ANILHA LETRA G (2.5MM)"</f>
        <v>ANILHA LETRA G (2.5MM)</v>
      </c>
      <c r="C1234" s="2" t="str">
        <f t="shared" si="46"/>
        <v>UN</v>
      </c>
      <c r="D1234" s="7">
        <v>811</v>
      </c>
      <c r="E1234" s="3">
        <v>8</v>
      </c>
      <c r="F1234" s="2">
        <v>2</v>
      </c>
      <c r="G1234" t="s">
        <v>514</v>
      </c>
    </row>
    <row r="1235" spans="1:7" x14ac:dyDescent="0.25">
      <c r="A1235" s="1" t="str">
        <f>"521558"</f>
        <v>521558</v>
      </c>
      <c r="B1235" s="2" t="str">
        <f>"ANILHA LETRA L (10MM)"</f>
        <v>ANILHA LETRA L (10MM)</v>
      </c>
      <c r="C1235" s="2" t="str">
        <f t="shared" si="46"/>
        <v>UN</v>
      </c>
      <c r="D1235" s="7">
        <v>811</v>
      </c>
      <c r="E1235" s="3">
        <v>10</v>
      </c>
      <c r="F1235" s="2">
        <v>7</v>
      </c>
      <c r="G1235" t="s">
        <v>515</v>
      </c>
    </row>
    <row r="1236" spans="1:7" x14ac:dyDescent="0.25">
      <c r="A1236" s="1" t="str">
        <f>"521559"</f>
        <v>521559</v>
      </c>
      <c r="B1236" s="2" t="str">
        <f>"ANILHA LETRA L (16MM)"</f>
        <v>ANILHA LETRA L (16MM)</v>
      </c>
      <c r="C1236" s="2" t="str">
        <f t="shared" si="46"/>
        <v>UN</v>
      </c>
      <c r="D1236" s="7">
        <v>811</v>
      </c>
      <c r="E1236" s="3">
        <v>10</v>
      </c>
      <c r="F1236" s="2">
        <v>9</v>
      </c>
      <c r="G1236" t="s">
        <v>512</v>
      </c>
    </row>
    <row r="1237" spans="1:7" x14ac:dyDescent="0.25">
      <c r="A1237" s="1" t="str">
        <f>"521556"</f>
        <v>521556</v>
      </c>
      <c r="B1237" s="2" t="str">
        <f>"ANILHA LETRA L (2,5MM)"</f>
        <v>ANILHA LETRA L (2,5MM)</v>
      </c>
      <c r="C1237" s="2" t="str">
        <f t="shared" si="46"/>
        <v>UN</v>
      </c>
      <c r="D1237" s="7">
        <v>811</v>
      </c>
      <c r="E1237" s="3">
        <v>10</v>
      </c>
      <c r="F1237" s="2">
        <v>0</v>
      </c>
      <c r="G1237" t="s">
        <v>516</v>
      </c>
    </row>
    <row r="1238" spans="1:7" x14ac:dyDescent="0.25">
      <c r="A1238" s="1" t="str">
        <f>"521557"</f>
        <v>521557</v>
      </c>
      <c r="B1238" s="2" t="str">
        <f>"ANILHA LETRA L (4MM)"</f>
        <v>ANILHA LETRA L (4MM)</v>
      </c>
      <c r="C1238" s="2" t="str">
        <f t="shared" ref="C1238:C1269" si="47">"UN"</f>
        <v>UN</v>
      </c>
      <c r="D1238" s="7">
        <v>811</v>
      </c>
      <c r="E1238" s="3">
        <v>10</v>
      </c>
      <c r="F1238" s="2">
        <v>0</v>
      </c>
      <c r="G1238" t="s">
        <v>515</v>
      </c>
    </row>
    <row r="1239" spans="1:7" x14ac:dyDescent="0.25">
      <c r="A1239" s="1" t="str">
        <f>"520225"</f>
        <v>520225</v>
      </c>
      <c r="B1239" s="2" t="str">
        <f>"ANILHA LETRA L (6MM)"</f>
        <v>ANILHA LETRA L (6MM)</v>
      </c>
      <c r="C1239" s="2" t="str">
        <f t="shared" si="47"/>
        <v>UN</v>
      </c>
      <c r="D1239" s="7">
        <v>811</v>
      </c>
      <c r="E1239" s="3">
        <v>10</v>
      </c>
      <c r="F1239" s="2">
        <v>2</v>
      </c>
      <c r="G1239" t="s">
        <v>514</v>
      </c>
    </row>
    <row r="1240" spans="1:7" x14ac:dyDescent="0.25">
      <c r="A1240" s="1" t="str">
        <f>"517699"</f>
        <v>517699</v>
      </c>
      <c r="B1240" s="2" t="str">
        <f>"ANILHA LETRA M (1MM)"</f>
        <v>ANILHA LETRA M (1MM)</v>
      </c>
      <c r="C1240" s="2" t="str">
        <f t="shared" si="47"/>
        <v>UN</v>
      </c>
      <c r="D1240" s="7">
        <v>811</v>
      </c>
      <c r="E1240" s="3">
        <v>8</v>
      </c>
      <c r="F1240" s="2">
        <v>5</v>
      </c>
      <c r="G1240" t="s">
        <v>512</v>
      </c>
    </row>
    <row r="1241" spans="1:7" x14ac:dyDescent="0.25">
      <c r="A1241" s="1" t="str">
        <f>"517700"</f>
        <v>517700</v>
      </c>
      <c r="B1241" s="2" t="str">
        <f>"ANILHA LETRA M (2,5MM)"</f>
        <v>ANILHA LETRA M (2,5MM)</v>
      </c>
      <c r="C1241" s="2" t="str">
        <f t="shared" si="47"/>
        <v>UN</v>
      </c>
      <c r="D1241" s="7">
        <v>811</v>
      </c>
      <c r="E1241" s="3">
        <v>8</v>
      </c>
      <c r="F1241" s="2">
        <v>6</v>
      </c>
      <c r="G1241" t="s">
        <v>513</v>
      </c>
    </row>
    <row r="1242" spans="1:7" x14ac:dyDescent="0.25">
      <c r="A1242" s="1" t="str">
        <f>"517703"</f>
        <v>517703</v>
      </c>
      <c r="B1242" s="2" t="str">
        <f>"ANILHA LETRA M (6MM)"</f>
        <v>ANILHA LETRA M (6MM)</v>
      </c>
      <c r="C1242" s="2" t="str">
        <f t="shared" si="47"/>
        <v>UN</v>
      </c>
      <c r="D1242" s="7">
        <v>811</v>
      </c>
      <c r="E1242" s="3">
        <v>8</v>
      </c>
      <c r="F1242" s="2">
        <v>9</v>
      </c>
      <c r="G1242" t="s">
        <v>514</v>
      </c>
    </row>
    <row r="1243" spans="1:7" x14ac:dyDescent="0.25">
      <c r="A1243" s="1" t="str">
        <f>"516953"</f>
        <v>516953</v>
      </c>
      <c r="B1243" s="2" t="str">
        <f>"ANILHA LETRA N (1MM)"</f>
        <v>ANILHA LETRA N (1MM)</v>
      </c>
      <c r="C1243" s="2" t="str">
        <f t="shared" si="47"/>
        <v>UN</v>
      </c>
      <c r="D1243" s="7">
        <v>811</v>
      </c>
      <c r="E1243" s="3">
        <v>8</v>
      </c>
      <c r="F1243" s="2">
        <v>5</v>
      </c>
      <c r="G1243" t="s">
        <v>514</v>
      </c>
    </row>
    <row r="1244" spans="1:7" x14ac:dyDescent="0.25">
      <c r="A1244" s="1" t="str">
        <f>"516968"</f>
        <v>516968</v>
      </c>
      <c r="B1244" s="2" t="str">
        <f>"ANILHA LETRA N (2.5MM)"</f>
        <v>ANILHA LETRA N (2.5MM)</v>
      </c>
      <c r="C1244" s="2" t="str">
        <f t="shared" si="47"/>
        <v>UN</v>
      </c>
      <c r="D1244" s="7">
        <v>811</v>
      </c>
      <c r="E1244" s="3">
        <v>8</v>
      </c>
      <c r="F1244" s="2">
        <v>3</v>
      </c>
      <c r="G1244" t="s">
        <v>512</v>
      </c>
    </row>
    <row r="1245" spans="1:7" x14ac:dyDescent="0.25">
      <c r="A1245" s="1" t="str">
        <f>"520226"</f>
        <v>520226</v>
      </c>
      <c r="B1245" s="2" t="str">
        <f>"ANILHA LETRA O (6MM)"</f>
        <v>ANILHA LETRA O (6MM)</v>
      </c>
      <c r="C1245" s="2" t="str">
        <f t="shared" si="47"/>
        <v>UN</v>
      </c>
      <c r="D1245" s="7">
        <v>811</v>
      </c>
      <c r="E1245" s="3">
        <v>10</v>
      </c>
      <c r="F1245" s="2">
        <v>3</v>
      </c>
      <c r="G1245" t="s">
        <v>513</v>
      </c>
    </row>
    <row r="1246" spans="1:7" x14ac:dyDescent="0.25">
      <c r="A1246" s="1" t="str">
        <f>"516425"</f>
        <v>516425</v>
      </c>
      <c r="B1246" s="2" t="str">
        <f>"ANILHA LETRA P (6MM)"</f>
        <v>ANILHA LETRA P (6MM)</v>
      </c>
      <c r="C1246" s="2" t="str">
        <f t="shared" si="47"/>
        <v>UN</v>
      </c>
      <c r="D1246" s="7">
        <v>811</v>
      </c>
      <c r="E1246" s="3">
        <v>10</v>
      </c>
      <c r="F1246" s="2">
        <v>2</v>
      </c>
      <c r="G1246" t="s">
        <v>514</v>
      </c>
    </row>
    <row r="1247" spans="1:7" x14ac:dyDescent="0.25">
      <c r="A1247" s="1" t="str">
        <f>"503817"</f>
        <v>503817</v>
      </c>
      <c r="B1247" s="2" t="str">
        <f>"ANILHA LETRA R (2.5MM)"</f>
        <v>ANILHA LETRA R (2.5MM)</v>
      </c>
      <c r="C1247" s="2" t="str">
        <f t="shared" si="47"/>
        <v>UN</v>
      </c>
      <c r="D1247" s="7">
        <v>600</v>
      </c>
      <c r="E1247" s="3">
        <v>8</v>
      </c>
      <c r="F1247" s="2">
        <v>1</v>
      </c>
      <c r="G1247" t="s">
        <v>514</v>
      </c>
    </row>
    <row r="1248" spans="1:7" x14ac:dyDescent="0.25">
      <c r="A1248" s="1" t="str">
        <f>"503820"</f>
        <v>503820</v>
      </c>
      <c r="B1248" s="2" t="str">
        <f>"ANILHA LETRA R (4MM)"</f>
        <v>ANILHA LETRA R (4MM)</v>
      </c>
      <c r="C1248" s="2" t="str">
        <f t="shared" si="47"/>
        <v>UN</v>
      </c>
      <c r="D1248" s="7">
        <v>600</v>
      </c>
      <c r="E1248" s="3">
        <v>8</v>
      </c>
      <c r="F1248" s="2">
        <v>4</v>
      </c>
      <c r="G1248" t="s">
        <v>514</v>
      </c>
    </row>
    <row r="1249" spans="1:7" x14ac:dyDescent="0.25">
      <c r="A1249" s="1" t="str">
        <f>"520227"</f>
        <v>520227</v>
      </c>
      <c r="B1249" s="2" t="str">
        <f>"ANILHA LETRA R (6MM)"</f>
        <v>ANILHA LETRA R (6MM)</v>
      </c>
      <c r="C1249" s="2" t="str">
        <f t="shared" si="47"/>
        <v>UN</v>
      </c>
      <c r="D1249" s="7">
        <v>811</v>
      </c>
      <c r="E1249" s="3">
        <v>10</v>
      </c>
      <c r="F1249" s="2">
        <v>1</v>
      </c>
      <c r="G1249" t="s">
        <v>513</v>
      </c>
    </row>
    <row r="1250" spans="1:7" x14ac:dyDescent="0.25">
      <c r="A1250" s="1" t="str">
        <f>"503818"</f>
        <v>503818</v>
      </c>
      <c r="B1250" s="2" t="str">
        <f>"ANILHA LETRA S (2.5MM)"</f>
        <v>ANILHA LETRA S (2.5MM)</v>
      </c>
      <c r="C1250" s="2" t="str">
        <f t="shared" si="47"/>
        <v>UN</v>
      </c>
      <c r="D1250" s="7">
        <v>600</v>
      </c>
      <c r="E1250" s="3">
        <v>8</v>
      </c>
      <c r="F1250" s="2">
        <v>2</v>
      </c>
      <c r="G1250" t="s">
        <v>512</v>
      </c>
    </row>
    <row r="1251" spans="1:7" x14ac:dyDescent="0.25">
      <c r="A1251" s="1" t="str">
        <f>"503821"</f>
        <v>503821</v>
      </c>
      <c r="B1251" s="2" t="str">
        <f>"ANILHA LETRA S (4MM)"</f>
        <v>ANILHA LETRA S (4MM)</v>
      </c>
      <c r="C1251" s="2" t="str">
        <f t="shared" si="47"/>
        <v>UN</v>
      </c>
      <c r="D1251" s="7">
        <v>600</v>
      </c>
      <c r="E1251" s="3">
        <v>8</v>
      </c>
      <c r="F1251" s="2">
        <v>7</v>
      </c>
      <c r="G1251" t="s">
        <v>513</v>
      </c>
    </row>
    <row r="1252" spans="1:7" x14ac:dyDescent="0.25">
      <c r="A1252" s="1" t="str">
        <f>"520229"</f>
        <v>520229</v>
      </c>
      <c r="B1252" s="2" t="str">
        <f>"ANILHA LETRA S (6MM)"</f>
        <v>ANILHA LETRA S (6MM)</v>
      </c>
      <c r="C1252" s="2" t="str">
        <f t="shared" si="47"/>
        <v>UN</v>
      </c>
      <c r="D1252" s="7">
        <v>811</v>
      </c>
      <c r="E1252" s="3">
        <v>10</v>
      </c>
      <c r="F1252" s="2">
        <v>9</v>
      </c>
      <c r="G1252" t="s">
        <v>514</v>
      </c>
    </row>
    <row r="1253" spans="1:7" x14ac:dyDescent="0.25">
      <c r="A1253" s="1" t="str">
        <f>"503819"</f>
        <v>503819</v>
      </c>
      <c r="B1253" s="2" t="str">
        <f>"ANILHA LETRA T (2.5MM)"</f>
        <v>ANILHA LETRA T (2.5MM)</v>
      </c>
      <c r="C1253" s="2" t="str">
        <f t="shared" si="47"/>
        <v>UN</v>
      </c>
      <c r="D1253" s="7">
        <v>600</v>
      </c>
      <c r="E1253" s="3">
        <v>8</v>
      </c>
      <c r="F1253" s="2">
        <v>0</v>
      </c>
      <c r="G1253" t="s">
        <v>514</v>
      </c>
    </row>
    <row r="1254" spans="1:7" x14ac:dyDescent="0.25">
      <c r="A1254" s="1" t="str">
        <f>"503822"</f>
        <v>503822</v>
      </c>
      <c r="B1254" s="2" t="str">
        <f>"ANILHA LETRA T (4MM)"</f>
        <v>ANILHA LETRA T (4MM)</v>
      </c>
      <c r="C1254" s="2" t="str">
        <f t="shared" si="47"/>
        <v>UN</v>
      </c>
      <c r="D1254" s="7">
        <v>600</v>
      </c>
      <c r="E1254" s="3">
        <v>8</v>
      </c>
      <c r="F1254" s="2">
        <v>0</v>
      </c>
      <c r="G1254" t="s">
        <v>514</v>
      </c>
    </row>
    <row r="1255" spans="1:7" x14ac:dyDescent="0.25">
      <c r="A1255" s="1" t="str">
        <f>"520228"</f>
        <v>520228</v>
      </c>
      <c r="B1255" s="2" t="str">
        <f>"ANILHA LETRA T (6MM)"</f>
        <v>ANILHA LETRA T (6MM)</v>
      </c>
      <c r="C1255" s="2" t="str">
        <f t="shared" si="47"/>
        <v>UN</v>
      </c>
      <c r="D1255" s="7">
        <v>811</v>
      </c>
      <c r="E1255" s="3">
        <v>10</v>
      </c>
      <c r="F1255" s="2">
        <v>4</v>
      </c>
      <c r="G1255" t="s">
        <v>513</v>
      </c>
    </row>
    <row r="1256" spans="1:7" x14ac:dyDescent="0.25">
      <c r="A1256" s="1" t="str">
        <f>"516955"</f>
        <v>516955</v>
      </c>
      <c r="B1256" s="2" t="str">
        <f>"ANILHA LETRA V (1MM)"</f>
        <v>ANILHA LETRA V (1MM)</v>
      </c>
      <c r="C1256" s="2" t="str">
        <f t="shared" si="47"/>
        <v>UN</v>
      </c>
      <c r="D1256" s="7">
        <v>811</v>
      </c>
      <c r="E1256" s="3">
        <v>8</v>
      </c>
      <c r="F1256" s="2">
        <v>1</v>
      </c>
      <c r="G1256" t="s">
        <v>513</v>
      </c>
    </row>
    <row r="1257" spans="1:7" x14ac:dyDescent="0.25">
      <c r="A1257" s="1" t="str">
        <f>"516964"</f>
        <v>516964</v>
      </c>
      <c r="B1257" s="2" t="str">
        <f>"ANILHA LETRA V (2.5MM)"</f>
        <v>ANILHA LETRA V (2.5MM)</v>
      </c>
      <c r="C1257" s="2" t="str">
        <f t="shared" si="47"/>
        <v>UN</v>
      </c>
      <c r="D1257" s="7">
        <v>811</v>
      </c>
      <c r="E1257" s="3">
        <v>8</v>
      </c>
      <c r="F1257" s="2">
        <v>2</v>
      </c>
      <c r="G1257" t="s">
        <v>513</v>
      </c>
    </row>
    <row r="1258" spans="1:7" x14ac:dyDescent="0.25">
      <c r="A1258" s="1" t="str">
        <f>"517701"</f>
        <v>517701</v>
      </c>
      <c r="B1258" s="2" t="str">
        <f>"ANILHA LETRA V (6MM)"</f>
        <v>ANILHA LETRA V (6MM)</v>
      </c>
      <c r="C1258" s="2" t="str">
        <f t="shared" si="47"/>
        <v>UN</v>
      </c>
      <c r="D1258" s="7">
        <v>811</v>
      </c>
      <c r="E1258" s="3">
        <v>8</v>
      </c>
      <c r="F1258" s="2">
        <v>7</v>
      </c>
      <c r="G1258" t="s">
        <v>512</v>
      </c>
    </row>
    <row r="1259" spans="1:7" x14ac:dyDescent="0.25">
      <c r="A1259" s="1" t="str">
        <f>"516963"</f>
        <v>516963</v>
      </c>
      <c r="B1259" s="2" t="str">
        <f>"ANILHA LETRA W (6MM)"</f>
        <v>ANILHA LETRA W (6MM)</v>
      </c>
      <c r="C1259" s="2" t="str">
        <f t="shared" si="47"/>
        <v>UN</v>
      </c>
      <c r="D1259" s="7">
        <v>811</v>
      </c>
      <c r="E1259" s="3">
        <v>8</v>
      </c>
      <c r="F1259" s="2">
        <v>9</v>
      </c>
      <c r="G1259" t="s">
        <v>513</v>
      </c>
    </row>
    <row r="1260" spans="1:7" x14ac:dyDescent="0.25">
      <c r="A1260" s="1" t="str">
        <f>"521560"</f>
        <v>521560</v>
      </c>
      <c r="B1260" s="2" t="str">
        <f>"ANILHA NUMERACAO 0-9 10MM"</f>
        <v>ANILHA NUMERACAO 0-9 10MM</v>
      </c>
      <c r="C1260" s="2" t="str">
        <f t="shared" si="47"/>
        <v>UN</v>
      </c>
      <c r="D1260" s="7">
        <v>811</v>
      </c>
      <c r="E1260" s="3">
        <v>8</v>
      </c>
      <c r="F1260" s="2">
        <v>0</v>
      </c>
      <c r="G1260" t="s">
        <v>514</v>
      </c>
    </row>
    <row r="1261" spans="1:7" x14ac:dyDescent="0.25">
      <c r="A1261" s="1" t="str">
        <f>"521561"</f>
        <v>521561</v>
      </c>
      <c r="B1261" s="2" t="str">
        <f>"ANILHA NUMERACAO 0-9 16MM"</f>
        <v>ANILHA NUMERACAO 0-9 16MM</v>
      </c>
      <c r="C1261" s="2" t="str">
        <f t="shared" si="47"/>
        <v>UN</v>
      </c>
      <c r="D1261" s="7">
        <v>811</v>
      </c>
      <c r="E1261" s="3">
        <v>8</v>
      </c>
      <c r="F1261" s="2">
        <v>0</v>
      </c>
      <c r="G1261" t="s">
        <v>515</v>
      </c>
    </row>
    <row r="1262" spans="1:7" x14ac:dyDescent="0.25">
      <c r="A1262" s="1" t="str">
        <f>"505988"</f>
        <v>505988</v>
      </c>
      <c r="B1262" s="2" t="str">
        <f>"ANILHA NUMERACAO 0-9 1MM"</f>
        <v>ANILHA NUMERACAO 0-9 1MM</v>
      </c>
      <c r="C1262" s="2" t="str">
        <f t="shared" si="47"/>
        <v>UN</v>
      </c>
      <c r="D1262" s="7">
        <v>600</v>
      </c>
      <c r="E1262" s="3">
        <v>8</v>
      </c>
      <c r="F1262" s="2">
        <v>2</v>
      </c>
      <c r="G1262" t="s">
        <v>512</v>
      </c>
    </row>
    <row r="1263" spans="1:7" x14ac:dyDescent="0.25">
      <c r="A1263" s="1" t="str">
        <f>"505986"</f>
        <v>505986</v>
      </c>
      <c r="B1263" s="2" t="str">
        <f>"ANILHA NUMERACAO 0-9 2,5MM"</f>
        <v>ANILHA NUMERACAO 0-9 2,5MM</v>
      </c>
      <c r="C1263" s="2" t="str">
        <f t="shared" si="47"/>
        <v>UN</v>
      </c>
      <c r="D1263" s="7">
        <v>600</v>
      </c>
      <c r="E1263" s="3">
        <v>8</v>
      </c>
      <c r="F1263" s="2">
        <v>5</v>
      </c>
      <c r="G1263" t="s">
        <v>516</v>
      </c>
    </row>
    <row r="1264" spans="1:7" x14ac:dyDescent="0.25">
      <c r="A1264" s="1" t="str">
        <f>"517750"</f>
        <v>517750</v>
      </c>
      <c r="B1264" s="2" t="str">
        <f>"ANILHA NUMERACAO 0-9 4MM"</f>
        <v>ANILHA NUMERACAO 0-9 4MM</v>
      </c>
      <c r="C1264" s="2" t="str">
        <f t="shared" si="47"/>
        <v>UN</v>
      </c>
      <c r="D1264" s="7">
        <v>811</v>
      </c>
      <c r="E1264" s="3">
        <v>8</v>
      </c>
      <c r="F1264" s="2">
        <v>0</v>
      </c>
      <c r="G1264" t="s">
        <v>515</v>
      </c>
    </row>
    <row r="1265" spans="1:7" x14ac:dyDescent="0.25">
      <c r="A1265" s="1" t="str">
        <f>"517751"</f>
        <v>517751</v>
      </c>
      <c r="B1265" s="2" t="str">
        <f>"ANILHA NUMERACAO 0-9 6MM"</f>
        <v>ANILHA NUMERACAO 0-9 6MM</v>
      </c>
      <c r="C1265" s="2" t="str">
        <f t="shared" si="47"/>
        <v>UN</v>
      </c>
      <c r="D1265" s="7">
        <v>811</v>
      </c>
      <c r="E1265" s="3">
        <v>8</v>
      </c>
      <c r="F1265" s="2">
        <v>2</v>
      </c>
      <c r="G1265" t="s">
        <v>514</v>
      </c>
    </row>
    <row r="1266" spans="1:7" x14ac:dyDescent="0.25">
      <c r="A1266" s="1" t="str">
        <f>"505985"</f>
        <v>505985</v>
      </c>
      <c r="B1266" s="2" t="str">
        <f>"ANILHA NUMERACAO A-Z 2,5MM"</f>
        <v>ANILHA NUMERACAO A-Z 2,5MM</v>
      </c>
      <c r="C1266" s="2" t="str">
        <f t="shared" si="47"/>
        <v>UN</v>
      </c>
      <c r="D1266" s="7">
        <v>600</v>
      </c>
      <c r="E1266" s="3">
        <v>8</v>
      </c>
      <c r="F1266" s="2">
        <v>5</v>
      </c>
      <c r="G1266" t="s">
        <v>512</v>
      </c>
    </row>
    <row r="1267" spans="1:7" x14ac:dyDescent="0.25">
      <c r="A1267" s="1" t="str">
        <f>"505987"</f>
        <v>505987</v>
      </c>
      <c r="B1267" s="2" t="str">
        <f>"ANILHA NUMERACAO A-Z HG3"</f>
        <v>ANILHA NUMERACAO A-Z HG3</v>
      </c>
      <c r="C1267" s="2" t="str">
        <f t="shared" si="47"/>
        <v>UN</v>
      </c>
      <c r="D1267" s="7">
        <v>600</v>
      </c>
      <c r="E1267" s="3">
        <v>8</v>
      </c>
      <c r="F1267" s="5">
        <v>5</v>
      </c>
      <c r="G1267" t="s">
        <v>513</v>
      </c>
    </row>
    <row r="1268" spans="1:7" x14ac:dyDescent="0.25">
      <c r="A1268" s="1" t="str">
        <f>"517752"</f>
        <v>517752</v>
      </c>
      <c r="B1268" s="2" t="str">
        <f>"ANILHA NUMERACAO TRAÇO 1MM"</f>
        <v>ANILHA NUMERACAO TRAÇO 1MM</v>
      </c>
      <c r="C1268" s="2" t="str">
        <f t="shared" si="47"/>
        <v>UN</v>
      </c>
      <c r="D1268" s="7">
        <v>811</v>
      </c>
      <c r="E1268" s="3">
        <v>8</v>
      </c>
      <c r="F1268" s="2">
        <v>3</v>
      </c>
      <c r="G1268" t="s">
        <v>514</v>
      </c>
    </row>
    <row r="1269" spans="1:7" x14ac:dyDescent="0.25">
      <c r="A1269" s="1" t="str">
        <f>"525970"</f>
        <v>525970</v>
      </c>
      <c r="B1269" s="2" t="str">
        <f>"ANILIA 10MM"</f>
        <v>ANILIA 10MM</v>
      </c>
      <c r="C1269" s="2" t="str">
        <f t="shared" si="47"/>
        <v>UN</v>
      </c>
      <c r="D1269" s="7">
        <v>704</v>
      </c>
      <c r="E1269" s="3">
        <v>9</v>
      </c>
      <c r="F1269" s="2">
        <v>8</v>
      </c>
      <c r="G1269" t="s">
        <v>514</v>
      </c>
    </row>
    <row r="1270" spans="1:7" x14ac:dyDescent="0.25">
      <c r="A1270" s="1" t="str">
        <f>"515034"</f>
        <v>515034</v>
      </c>
      <c r="B1270" s="2" t="str">
        <f>"ANNITA 500MG"</f>
        <v>ANNITA 500MG</v>
      </c>
      <c r="C1270" s="2" t="str">
        <f t="shared" ref="C1270:C1289" si="48">"UN"</f>
        <v>UN</v>
      </c>
      <c r="D1270" s="7">
        <v>406</v>
      </c>
      <c r="E1270" s="3">
        <v>4</v>
      </c>
      <c r="F1270" s="2">
        <v>6</v>
      </c>
      <c r="G1270" t="s">
        <v>512</v>
      </c>
    </row>
    <row r="1271" spans="1:7" x14ac:dyDescent="0.25">
      <c r="A1271" s="1" t="str">
        <f>"5840"</f>
        <v>5840</v>
      </c>
      <c r="B1271" s="2" t="str">
        <f>"ANOTE COLE 38X50 POSTIT 3M 653 100FL"</f>
        <v>ANOTE COLE 38X50 POSTIT 3M 653 100FL</v>
      </c>
      <c r="C1271" s="2" t="str">
        <f t="shared" si="48"/>
        <v>UN</v>
      </c>
      <c r="D1271" s="7">
        <v>401</v>
      </c>
      <c r="E1271" s="3">
        <v>4</v>
      </c>
      <c r="F1271" s="2">
        <v>4</v>
      </c>
      <c r="G1271" t="s">
        <v>513</v>
      </c>
    </row>
    <row r="1272" spans="1:7" x14ac:dyDescent="0.25">
      <c r="A1272" s="1" t="str">
        <f>"5847"</f>
        <v>5847</v>
      </c>
      <c r="B1272" s="2" t="str">
        <f>"ANOTE COLE 38X51 100F ADELBRAS"</f>
        <v>ANOTE COLE 38X51 100F ADELBRAS</v>
      </c>
      <c r="C1272" s="2" t="str">
        <f t="shared" si="48"/>
        <v>UN</v>
      </c>
      <c r="D1272" s="7">
        <v>401</v>
      </c>
      <c r="E1272" s="3">
        <v>4</v>
      </c>
      <c r="F1272" s="2">
        <v>1</v>
      </c>
      <c r="G1272" t="s">
        <v>514</v>
      </c>
    </row>
    <row r="1273" spans="1:7" x14ac:dyDescent="0.25">
      <c r="A1273" s="1" t="str">
        <f>"5844"</f>
        <v>5844</v>
      </c>
      <c r="B1273" s="2" t="str">
        <f>"ANOTE COLE 76X102 100F ADELBRAS REF RO 554"</f>
        <v>ANOTE COLE 76X102 100F ADELBRAS REF RO 554</v>
      </c>
      <c r="C1273" s="2" t="str">
        <f t="shared" si="48"/>
        <v>UN</v>
      </c>
      <c r="D1273" s="7">
        <v>401</v>
      </c>
      <c r="E1273" s="3">
        <v>4</v>
      </c>
      <c r="F1273" s="2">
        <v>2</v>
      </c>
      <c r="G1273" t="s">
        <v>514</v>
      </c>
    </row>
    <row r="1274" spans="1:7" x14ac:dyDescent="0.25">
      <c r="A1274" s="1" t="str">
        <f>"5846"</f>
        <v>5846</v>
      </c>
      <c r="B1274" s="2" t="str">
        <f>"ANOTE COLE 76X102 100F ADELBRAS REF RO 554"</f>
        <v>ANOTE COLE 76X102 100F ADELBRAS REF RO 554</v>
      </c>
      <c r="C1274" s="2" t="str">
        <f t="shared" si="48"/>
        <v>UN</v>
      </c>
      <c r="D1274" s="7">
        <v>401</v>
      </c>
      <c r="E1274" s="3">
        <v>4</v>
      </c>
      <c r="F1274" s="2">
        <v>7</v>
      </c>
      <c r="G1274" t="s">
        <v>514</v>
      </c>
    </row>
    <row r="1275" spans="1:7" x14ac:dyDescent="0.25">
      <c r="A1275" s="1" t="str">
        <f>"517648"</f>
        <v>517648</v>
      </c>
      <c r="B1275" s="2" t="str">
        <f>"ANOTE COLE 76X76 ADELBRAS"</f>
        <v>ANOTE COLE 76X76 ADELBRAS</v>
      </c>
      <c r="C1275" s="2" t="str">
        <f t="shared" si="48"/>
        <v>UN</v>
      </c>
      <c r="D1275" s="7">
        <v>401</v>
      </c>
      <c r="E1275" s="3">
        <v>4</v>
      </c>
      <c r="F1275" s="2">
        <v>9</v>
      </c>
      <c r="G1275" t="s">
        <v>513</v>
      </c>
    </row>
    <row r="1276" spans="1:7" x14ac:dyDescent="0.25">
      <c r="A1276" s="1" t="str">
        <f>"515571"</f>
        <v>515571</v>
      </c>
      <c r="B1276" s="2" t="str">
        <f>"ANT CHAMA DE OLEO"</f>
        <v>ANT CHAMA DE OLEO</v>
      </c>
      <c r="C1276" s="2" t="str">
        <f t="shared" si="48"/>
        <v>UN</v>
      </c>
      <c r="D1276" s="7">
        <v>704</v>
      </c>
      <c r="E1276" s="3">
        <v>9</v>
      </c>
      <c r="F1276" s="2">
        <v>0</v>
      </c>
      <c r="G1276" t="s">
        <v>512</v>
      </c>
    </row>
    <row r="1277" spans="1:7" x14ac:dyDescent="0.25">
      <c r="A1277" s="1" t="str">
        <f>"509451"</f>
        <v>509451</v>
      </c>
      <c r="B1277" s="2" t="str">
        <f>"ANTE-CAMARA S1100 M.TRAMONTINI"</f>
        <v>ANTE-CAMARA S1100 M.TRAMONTINI</v>
      </c>
      <c r="C1277" s="2" t="str">
        <f t="shared" si="48"/>
        <v>UN</v>
      </c>
      <c r="D1277" s="7">
        <v>402</v>
      </c>
      <c r="E1277" s="3">
        <v>4</v>
      </c>
      <c r="F1277" s="2">
        <v>0</v>
      </c>
      <c r="G1277" t="s">
        <v>513</v>
      </c>
    </row>
    <row r="1278" spans="1:7" x14ac:dyDescent="0.25">
      <c r="A1278" s="1" t="str">
        <f>"518433"</f>
        <v>518433</v>
      </c>
      <c r="B1278" s="2" t="str">
        <f>"ANTENA BANDA KU"</f>
        <v>ANTENA BANDA KU</v>
      </c>
      <c r="C1278" s="2" t="str">
        <f t="shared" si="48"/>
        <v>UN</v>
      </c>
      <c r="D1278" s="7">
        <v>811</v>
      </c>
      <c r="E1278" s="3">
        <v>8</v>
      </c>
      <c r="F1278" s="2">
        <v>2</v>
      </c>
      <c r="G1278" t="s">
        <v>514</v>
      </c>
    </row>
    <row r="1279" spans="1:7" x14ac:dyDescent="0.25">
      <c r="A1279" s="1" t="str">
        <f>"526019"</f>
        <v>526019</v>
      </c>
      <c r="B1279" s="2" t="str">
        <f>"ANTENA HELIFLEX VHF"</f>
        <v>ANTENA HELIFLEX VHF</v>
      </c>
      <c r="C1279" s="2" t="str">
        <f t="shared" si="48"/>
        <v>UN</v>
      </c>
      <c r="D1279" s="7">
        <v>99999</v>
      </c>
      <c r="E1279" s="3">
        <v>99</v>
      </c>
      <c r="F1279" s="2">
        <v>5</v>
      </c>
      <c r="G1279" t="s">
        <v>514</v>
      </c>
    </row>
    <row r="1280" spans="1:7" x14ac:dyDescent="0.25">
      <c r="A1280" s="1" t="str">
        <f>"523638"</f>
        <v>523638</v>
      </c>
      <c r="B1280" s="2" t="str">
        <f>"ANTENA NAD6502AR"</f>
        <v>ANTENA NAD6502AR</v>
      </c>
      <c r="C1280" s="2" t="str">
        <f t="shared" si="48"/>
        <v>UN</v>
      </c>
      <c r="D1280" s="7">
        <v>99999</v>
      </c>
      <c r="E1280" s="3">
        <v>99</v>
      </c>
      <c r="F1280" s="2">
        <v>6</v>
      </c>
      <c r="G1280" t="s">
        <v>514</v>
      </c>
    </row>
    <row r="1281" spans="1:7" x14ac:dyDescent="0.25">
      <c r="A1281" s="1" t="str">
        <f>"507081"</f>
        <v>507081</v>
      </c>
      <c r="B1281" s="2" t="str">
        <f>"ANTENA PX COMPLETA"</f>
        <v>ANTENA PX COMPLETA</v>
      </c>
      <c r="C1281" s="2" t="str">
        <f t="shared" si="48"/>
        <v>UN</v>
      </c>
      <c r="D1281" s="7">
        <v>704</v>
      </c>
      <c r="E1281" s="3">
        <v>9</v>
      </c>
      <c r="F1281" s="2">
        <v>9</v>
      </c>
      <c r="G1281" t="s">
        <v>513</v>
      </c>
    </row>
    <row r="1282" spans="1:7" x14ac:dyDescent="0.25">
      <c r="A1282" s="1" t="str">
        <f>"500775"</f>
        <v>500775</v>
      </c>
      <c r="B1282" s="2" t="str">
        <f>"ANTENA TELESCOPICO EMBUTIR 4E UNIVERSAL"</f>
        <v>ANTENA TELESCOPICO EMBUTIR 4E UNIVERSAL</v>
      </c>
      <c r="C1282" s="2" t="str">
        <f t="shared" si="48"/>
        <v>UN</v>
      </c>
      <c r="D1282" s="7">
        <v>704</v>
      </c>
      <c r="E1282" s="3">
        <v>9</v>
      </c>
      <c r="F1282" s="2">
        <v>5</v>
      </c>
      <c r="G1282" t="s">
        <v>513</v>
      </c>
    </row>
    <row r="1283" spans="1:7" x14ac:dyDescent="0.25">
      <c r="A1283" s="1" t="str">
        <f>"508724"</f>
        <v>508724</v>
      </c>
      <c r="B1283" s="2" t="str">
        <f>"ANTENA UHF MAX"</f>
        <v>ANTENA UHF MAX</v>
      </c>
      <c r="C1283" s="2" t="str">
        <f t="shared" si="48"/>
        <v>UN</v>
      </c>
      <c r="D1283" s="7">
        <v>900</v>
      </c>
      <c r="E1283" s="3">
        <v>11</v>
      </c>
      <c r="F1283" s="2">
        <v>3</v>
      </c>
      <c r="G1283" t="s">
        <v>513</v>
      </c>
    </row>
    <row r="1284" spans="1:7" x14ac:dyDescent="0.25">
      <c r="A1284" s="1" t="str">
        <f>"512399"</f>
        <v>512399</v>
      </c>
      <c r="B1284" s="2" t="str">
        <f>"ANTENA WI FI 5,8GHZ AP9552"</f>
        <v>ANTENA WI FI 5,8GHZ AP9552</v>
      </c>
      <c r="C1284" s="2" t="str">
        <f t="shared" si="48"/>
        <v>UN</v>
      </c>
      <c r="D1284" s="7">
        <v>401</v>
      </c>
      <c r="E1284" s="3">
        <v>4</v>
      </c>
      <c r="F1284" s="2">
        <v>3</v>
      </c>
      <c r="G1284" t="s">
        <v>512</v>
      </c>
    </row>
    <row r="1285" spans="1:7" x14ac:dyDescent="0.25">
      <c r="A1285" s="1" t="str">
        <f>"502984"</f>
        <v>502984</v>
      </c>
      <c r="B1285" s="2" t="str">
        <f>"ANTI CONGELANTE"</f>
        <v>ANTI CONGELANTE</v>
      </c>
      <c r="C1285" s="2" t="str">
        <f t="shared" si="48"/>
        <v>UN</v>
      </c>
      <c r="D1285" s="7">
        <v>704</v>
      </c>
      <c r="E1285" s="3">
        <v>9</v>
      </c>
      <c r="F1285" s="2">
        <v>2</v>
      </c>
      <c r="G1285" t="s">
        <v>513</v>
      </c>
    </row>
    <row r="1286" spans="1:7" x14ac:dyDescent="0.25">
      <c r="A1286" s="1" t="str">
        <f>"513170"</f>
        <v>513170</v>
      </c>
      <c r="B1286" s="2" t="str">
        <f>"ANTI DESLIZANTE PARA CORREIAS 220ML"</f>
        <v>ANTI DESLIZANTE PARA CORREIAS 220ML</v>
      </c>
      <c r="C1286" s="2" t="str">
        <f t="shared" si="48"/>
        <v>UN</v>
      </c>
      <c r="D1286" s="7">
        <v>918</v>
      </c>
      <c r="E1286" s="3">
        <v>11</v>
      </c>
      <c r="F1286" s="2">
        <v>1</v>
      </c>
      <c r="G1286" t="s">
        <v>514</v>
      </c>
    </row>
    <row r="1287" spans="1:7" x14ac:dyDescent="0.25">
      <c r="A1287" s="1" t="str">
        <f>"505324"</f>
        <v>505324</v>
      </c>
      <c r="B1287" s="2" t="str">
        <f>"ANTI EMBAÇANTE WURTH 60ML"</f>
        <v>ANTI EMBAÇANTE WURTH 60ML</v>
      </c>
      <c r="C1287" s="2" t="str">
        <f t="shared" si="48"/>
        <v>UN</v>
      </c>
      <c r="D1287" s="7">
        <v>704</v>
      </c>
      <c r="E1287" s="3">
        <v>9</v>
      </c>
      <c r="F1287" s="2">
        <v>4</v>
      </c>
      <c r="G1287" t="s">
        <v>515</v>
      </c>
    </row>
    <row r="1288" spans="1:7" x14ac:dyDescent="0.25">
      <c r="A1288" s="1" t="str">
        <f>"511672"</f>
        <v>511672</v>
      </c>
      <c r="B1288" s="2" t="str">
        <f>"ANTI EXTRUSAO 787697"</f>
        <v>ANTI EXTRUSAO 787697</v>
      </c>
      <c r="C1288" s="2" t="str">
        <f t="shared" si="48"/>
        <v>UN</v>
      </c>
      <c r="D1288" s="7">
        <v>402</v>
      </c>
      <c r="E1288" s="3">
        <v>4</v>
      </c>
      <c r="F1288" s="2">
        <v>6</v>
      </c>
      <c r="G1288" t="s">
        <v>512</v>
      </c>
    </row>
    <row r="1289" spans="1:7" x14ac:dyDescent="0.25">
      <c r="A1289" s="1" t="str">
        <f>"526211"</f>
        <v>526211</v>
      </c>
      <c r="B1289" s="2" t="str">
        <f>"ANTI FERRUGEM"</f>
        <v>ANTI FERRUGEM</v>
      </c>
      <c r="C1289" s="2" t="str">
        <f t="shared" si="48"/>
        <v>UN</v>
      </c>
      <c r="D1289" s="7">
        <v>812</v>
      </c>
      <c r="E1289" s="3">
        <v>4</v>
      </c>
      <c r="F1289" s="2">
        <v>8</v>
      </c>
      <c r="G1289" t="s">
        <v>516</v>
      </c>
    </row>
    <row r="1290" spans="1:7" x14ac:dyDescent="0.25">
      <c r="A1290" s="1" t="str">
        <f>"522748"</f>
        <v>522748</v>
      </c>
      <c r="B1290" s="2" t="str">
        <f>"ANTI POMBOS ESPICULAS"</f>
        <v>ANTI POMBOS ESPICULAS</v>
      </c>
      <c r="C1290" s="2" t="str">
        <f>"MT"</f>
        <v>MT</v>
      </c>
      <c r="D1290" s="7">
        <v>99999</v>
      </c>
      <c r="E1290" s="3">
        <v>99</v>
      </c>
      <c r="F1290" s="2">
        <v>7</v>
      </c>
      <c r="G1290" t="s">
        <v>515</v>
      </c>
    </row>
    <row r="1291" spans="1:7" x14ac:dyDescent="0.25">
      <c r="A1291" s="1" t="str">
        <f>"190"</f>
        <v>190</v>
      </c>
      <c r="B1291" s="2" t="str">
        <f>"ANTIBAC CS ESP 6X1000ML(6KG) - CÓD.56870 (ECOLAB)"</f>
        <v>ANTIBAC CS ESP 6X1000ML(6KG) - CÓD.56870 (ECOLAB)</v>
      </c>
      <c r="C1291" s="2" t="str">
        <f>"KG"</f>
        <v>KG</v>
      </c>
      <c r="D1291" s="7">
        <v>400</v>
      </c>
      <c r="E1291" s="3">
        <v>4</v>
      </c>
      <c r="F1291" s="2">
        <v>6</v>
      </c>
      <c r="G1291" t="s">
        <v>514</v>
      </c>
    </row>
    <row r="1292" spans="1:7" x14ac:dyDescent="0.25">
      <c r="A1292" s="1" t="str">
        <f>"518469"</f>
        <v>518469</v>
      </c>
      <c r="B1292" s="2" t="str">
        <f>"ANTIBIOTICO CANDERM 400MG CX C/ 20 COMPRIMIDOS"</f>
        <v>ANTIBIOTICO CANDERM 400MG CX C/ 20 COMPRIMIDOS</v>
      </c>
      <c r="C1292" s="2" t="str">
        <f>"UN"</f>
        <v>UN</v>
      </c>
      <c r="D1292" s="7">
        <v>406</v>
      </c>
      <c r="E1292" s="3">
        <v>4</v>
      </c>
      <c r="F1292" s="2">
        <v>6</v>
      </c>
      <c r="G1292" t="s">
        <v>512</v>
      </c>
    </row>
    <row r="1293" spans="1:7" x14ac:dyDescent="0.25">
      <c r="A1293" s="1" t="str">
        <f>"513086"</f>
        <v>513086</v>
      </c>
      <c r="B1293" s="2" t="str">
        <f>"ANTI-CHAMA"</f>
        <v>ANTI-CHAMA</v>
      </c>
      <c r="C1293" s="2" t="str">
        <f>"UN"</f>
        <v>UN</v>
      </c>
      <c r="D1293" s="7">
        <v>704</v>
      </c>
      <c r="E1293" s="3">
        <v>9</v>
      </c>
      <c r="F1293" s="2">
        <v>2</v>
      </c>
      <c r="G1293" t="s">
        <v>513</v>
      </c>
    </row>
    <row r="1294" spans="1:7" x14ac:dyDescent="0.25">
      <c r="A1294" s="1" t="str">
        <f>"522718"</f>
        <v>522718</v>
      </c>
      <c r="B1294" s="2" t="str">
        <f>"ANTIFOAM - Y30 EMULSION"</f>
        <v>ANTIFOAM - Y30 EMULSION</v>
      </c>
      <c r="C1294" s="2" t="str">
        <f>"UN"</f>
        <v>UN</v>
      </c>
      <c r="D1294" s="7">
        <v>406</v>
      </c>
      <c r="E1294" s="3">
        <v>4</v>
      </c>
      <c r="F1294" s="2">
        <v>1</v>
      </c>
      <c r="G1294" t="s">
        <v>514</v>
      </c>
    </row>
    <row r="1295" spans="1:7" x14ac:dyDescent="0.25">
      <c r="A1295" s="1" t="str">
        <f>"6674"</f>
        <v>6674</v>
      </c>
      <c r="B1295" s="2" t="str">
        <f>"ANTIFOAM FG - 20 KG"</f>
        <v>ANTIFOAM FG - 20 KG</v>
      </c>
      <c r="C1295" s="2" t="str">
        <f>"KG"</f>
        <v>KG</v>
      </c>
      <c r="D1295" s="7">
        <v>209</v>
      </c>
      <c r="E1295" s="3">
        <v>2</v>
      </c>
      <c r="F1295" s="2">
        <v>0</v>
      </c>
      <c r="G1295" t="s">
        <v>514</v>
      </c>
    </row>
    <row r="1296" spans="1:7" x14ac:dyDescent="0.25">
      <c r="A1296" s="1" t="str">
        <f>"515006"</f>
        <v>515006</v>
      </c>
      <c r="B1296" s="2" t="str">
        <f>"ANTI-RESPINGO DE SOLDA GEL"</f>
        <v>ANTI-RESPINGO DE SOLDA GEL</v>
      </c>
      <c r="C1296" s="2" t="str">
        <f t="shared" ref="C1296:C1321" si="49">"UN"</f>
        <v>UN</v>
      </c>
      <c r="D1296" s="7">
        <v>408</v>
      </c>
      <c r="E1296" s="3">
        <v>4</v>
      </c>
      <c r="F1296" s="2">
        <v>0</v>
      </c>
      <c r="G1296" t="s">
        <v>512</v>
      </c>
    </row>
    <row r="1297" spans="1:7" x14ac:dyDescent="0.25">
      <c r="A1297" s="1" t="str">
        <f>"506904"</f>
        <v>506904</v>
      </c>
      <c r="B1297" s="2" t="str">
        <f>"ANTI-RESPINGO DE SOLDA SPRAY"</f>
        <v>ANTI-RESPINGO DE SOLDA SPRAY</v>
      </c>
      <c r="C1297" s="2" t="str">
        <f t="shared" si="49"/>
        <v>UN</v>
      </c>
      <c r="D1297" s="7">
        <v>807</v>
      </c>
      <c r="E1297" s="3">
        <v>10</v>
      </c>
      <c r="F1297" s="2">
        <v>0</v>
      </c>
      <c r="G1297" t="s">
        <v>513</v>
      </c>
    </row>
    <row r="1298" spans="1:7" x14ac:dyDescent="0.25">
      <c r="A1298" s="1" t="str">
        <f>"ANUIDADES"</f>
        <v>ANUIDADES</v>
      </c>
      <c r="B1298" s="2" t="str">
        <f>"ANUIDADES/MENSALIDADES"</f>
        <v>ANUIDADES/MENSALIDADES</v>
      </c>
      <c r="C1298" s="2" t="str">
        <f t="shared" si="49"/>
        <v>UN</v>
      </c>
      <c r="D1298" s="7">
        <v>99999</v>
      </c>
      <c r="E1298" s="3">
        <v>99</v>
      </c>
      <c r="F1298" s="2">
        <v>3</v>
      </c>
      <c r="G1298" t="s">
        <v>514</v>
      </c>
    </row>
    <row r="1299" spans="1:7" x14ac:dyDescent="0.25">
      <c r="A1299" s="1" t="str">
        <f>"ANULACAO VALOR"</f>
        <v>ANULACAO VALOR</v>
      </c>
      <c r="B1299" s="2" t="str">
        <f>"ANULACAO DE VALOR RELATICO A AQUISICAO DE SERVICO TRANSPORTE"</f>
        <v>ANULACAO DE VALOR RELATICO A AQUISICAO DE SERVICO TRANSPORTE</v>
      </c>
      <c r="C1299" s="2" t="str">
        <f t="shared" si="49"/>
        <v>UN</v>
      </c>
      <c r="D1299" s="7">
        <v>99999</v>
      </c>
      <c r="E1299" s="3">
        <v>99</v>
      </c>
      <c r="F1299" s="5">
        <v>5</v>
      </c>
      <c r="G1299" t="s">
        <v>514</v>
      </c>
    </row>
    <row r="1300" spans="1:7" x14ac:dyDescent="0.25">
      <c r="A1300" s="1" t="str">
        <f>"514330"</f>
        <v>514330</v>
      </c>
      <c r="B1300" s="2" t="str">
        <f>"AP 3G APPLE IPHONE"</f>
        <v>AP 3G APPLE IPHONE</v>
      </c>
      <c r="C1300" s="2" t="str">
        <f t="shared" si="49"/>
        <v>UN</v>
      </c>
      <c r="D1300" s="7">
        <v>401</v>
      </c>
      <c r="E1300" s="3">
        <v>4</v>
      </c>
      <c r="F1300" s="2">
        <v>3</v>
      </c>
      <c r="G1300" t="s">
        <v>514</v>
      </c>
    </row>
    <row r="1301" spans="1:7" x14ac:dyDescent="0.25">
      <c r="A1301" s="1" t="str">
        <f>"514329"</f>
        <v>514329</v>
      </c>
      <c r="B1301" s="2" t="str">
        <f>"AP 3G SAMSUNG I9000B GALAXY S"</f>
        <v>AP 3G SAMSUNG I9000B GALAXY S</v>
      </c>
      <c r="C1301" s="2" t="str">
        <f t="shared" si="49"/>
        <v>UN</v>
      </c>
      <c r="D1301" s="7">
        <v>401</v>
      </c>
      <c r="E1301" s="3">
        <v>4</v>
      </c>
      <c r="F1301" s="2">
        <v>8</v>
      </c>
      <c r="G1301" t="s">
        <v>513</v>
      </c>
    </row>
    <row r="1302" spans="1:7" x14ac:dyDescent="0.25">
      <c r="A1302" s="1" t="str">
        <f>"513391"</f>
        <v>513391</v>
      </c>
      <c r="B1302" s="2" t="str">
        <f>"AP TABLET 3 SAMSUNG P1000"</f>
        <v>AP TABLET 3 SAMSUNG P1000</v>
      </c>
      <c r="C1302" s="2" t="str">
        <f t="shared" si="49"/>
        <v>UN</v>
      </c>
      <c r="D1302" s="7">
        <v>401</v>
      </c>
      <c r="E1302" s="3">
        <v>4</v>
      </c>
      <c r="F1302" s="2">
        <v>6</v>
      </c>
      <c r="G1302" t="s">
        <v>512</v>
      </c>
    </row>
    <row r="1303" spans="1:7" x14ac:dyDescent="0.25">
      <c r="A1303" s="1" t="str">
        <f>"523324"</f>
        <v>523324</v>
      </c>
      <c r="B1303" s="2" t="str">
        <f>"AP. MED. FORÇA MAGNE. INBRAS MOD DG10X4"</f>
        <v>AP. MED. FORÇA MAGNE. INBRAS MOD DG10X4</v>
      </c>
      <c r="C1303" s="2" t="str">
        <f t="shared" si="49"/>
        <v>UN</v>
      </c>
      <c r="D1303" s="7">
        <v>402</v>
      </c>
      <c r="E1303" s="3">
        <v>10</v>
      </c>
      <c r="F1303" s="2">
        <v>4</v>
      </c>
      <c r="G1303" t="s">
        <v>513</v>
      </c>
    </row>
    <row r="1304" spans="1:7" x14ac:dyDescent="0.25">
      <c r="A1304" s="1" t="str">
        <f>"521619"</f>
        <v>521619</v>
      </c>
      <c r="B1304" s="2" t="str">
        <f>"APAGADOR QUADRO BR BRASINKS LAVAVEL"</f>
        <v>APAGADOR QUADRO BR BRASINKS LAVAVEL</v>
      </c>
      <c r="C1304" s="2" t="str">
        <f t="shared" si="49"/>
        <v>UN</v>
      </c>
      <c r="D1304" s="7">
        <v>99999</v>
      </c>
      <c r="E1304" s="3">
        <v>99</v>
      </c>
      <c r="F1304" s="2">
        <v>1</v>
      </c>
      <c r="G1304" t="s">
        <v>514</v>
      </c>
    </row>
    <row r="1305" spans="1:7" x14ac:dyDescent="0.25">
      <c r="A1305" s="1" t="str">
        <f>"515094"</f>
        <v>515094</v>
      </c>
      <c r="B1305" s="2" t="str">
        <f>"APAGADOR QUADRO BRANCO"</f>
        <v>APAGADOR QUADRO BRANCO</v>
      </c>
      <c r="C1305" s="2" t="str">
        <f t="shared" si="49"/>
        <v>UN</v>
      </c>
      <c r="D1305" s="7">
        <v>401</v>
      </c>
      <c r="E1305" s="3">
        <v>4</v>
      </c>
      <c r="F1305" s="2">
        <v>2</v>
      </c>
      <c r="G1305" t="s">
        <v>514</v>
      </c>
    </row>
    <row r="1306" spans="1:7" x14ac:dyDescent="0.25">
      <c r="A1306" s="1" t="str">
        <f>"6371"</f>
        <v>6371</v>
      </c>
      <c r="B1306" s="2" t="str">
        <f>"APARADOR GOND.4 CORES 0,80 (30X40X400)"</f>
        <v>APARADOR GOND.4 CORES 0,80 (30X40X400)</v>
      </c>
      <c r="C1306" s="2" t="str">
        <f t="shared" si="49"/>
        <v>UN</v>
      </c>
      <c r="D1306" s="7">
        <v>401</v>
      </c>
      <c r="E1306" s="3">
        <v>4</v>
      </c>
      <c r="F1306" s="2">
        <v>7</v>
      </c>
      <c r="G1306" t="s">
        <v>514</v>
      </c>
    </row>
    <row r="1307" spans="1:7" x14ac:dyDescent="0.25">
      <c r="A1307" s="1" t="str">
        <f>"526321"</f>
        <v>526321</v>
      </c>
      <c r="B1307" s="2" t="str">
        <f>"APARAS DE ISOPOR"</f>
        <v>APARAS DE ISOPOR</v>
      </c>
      <c r="C1307" s="2" t="str">
        <f t="shared" si="49"/>
        <v>UN</v>
      </c>
      <c r="D1307" s="7">
        <v>99999</v>
      </c>
      <c r="E1307" s="3">
        <v>12</v>
      </c>
      <c r="F1307" s="2">
        <v>9</v>
      </c>
      <c r="G1307" t="s">
        <v>513</v>
      </c>
    </row>
    <row r="1308" spans="1:7" x14ac:dyDescent="0.25">
      <c r="A1308" s="1" t="str">
        <f>"515633"</f>
        <v>515633</v>
      </c>
      <c r="B1308" s="2" t="str">
        <f>"APARELHO AR CONDICIONADO INVERTER 22.000BTU"</f>
        <v>APARELHO AR CONDICIONADO INVERTER 22.000BTU</v>
      </c>
      <c r="C1308" s="2" t="str">
        <f t="shared" si="49"/>
        <v>UN</v>
      </c>
      <c r="D1308" s="7">
        <v>401</v>
      </c>
      <c r="E1308" s="3">
        <v>4</v>
      </c>
      <c r="F1308" s="2">
        <v>0</v>
      </c>
      <c r="G1308" t="s">
        <v>513</v>
      </c>
    </row>
    <row r="1309" spans="1:7" x14ac:dyDescent="0.25">
      <c r="A1309" s="1" t="str">
        <f>"514571"</f>
        <v>514571</v>
      </c>
      <c r="B1309" s="2" t="str">
        <f>"APARELHO BOM AR"</f>
        <v>APARELHO BOM AR</v>
      </c>
      <c r="C1309" s="2" t="str">
        <f t="shared" si="49"/>
        <v>UN</v>
      </c>
      <c r="D1309" s="7">
        <v>401</v>
      </c>
      <c r="E1309" s="3">
        <v>4</v>
      </c>
      <c r="F1309" s="2">
        <v>0</v>
      </c>
      <c r="G1309" t="s">
        <v>513</v>
      </c>
    </row>
    <row r="1310" spans="1:7" x14ac:dyDescent="0.25">
      <c r="A1310" s="1" t="str">
        <f>"514818"</f>
        <v>514818</v>
      </c>
      <c r="B1310" s="2" t="str">
        <f>"APARELHO DE CELULAR"</f>
        <v>APARELHO DE CELULAR</v>
      </c>
      <c r="C1310" s="2" t="str">
        <f t="shared" si="49"/>
        <v>UN</v>
      </c>
      <c r="D1310" s="7">
        <v>811</v>
      </c>
      <c r="E1310" s="3">
        <v>4</v>
      </c>
      <c r="F1310" s="2">
        <v>2</v>
      </c>
      <c r="G1310" t="s">
        <v>512</v>
      </c>
    </row>
    <row r="1311" spans="1:7" x14ac:dyDescent="0.25">
      <c r="A1311" s="1" t="str">
        <f>"516917"</f>
        <v>516917</v>
      </c>
      <c r="B1311" s="2" t="str">
        <f>"APARELHO DE PRESSÃO DIGITAL BIOLAND"</f>
        <v>APARELHO DE PRESSÃO DIGITAL BIOLAND</v>
      </c>
      <c r="C1311" s="2" t="str">
        <f t="shared" si="49"/>
        <v>UN</v>
      </c>
      <c r="D1311" s="7">
        <v>817</v>
      </c>
      <c r="E1311" s="3">
        <v>4</v>
      </c>
      <c r="F1311" s="2">
        <v>5</v>
      </c>
      <c r="G1311" t="s">
        <v>513</v>
      </c>
    </row>
    <row r="1312" spans="1:7" x14ac:dyDescent="0.25">
      <c r="A1312" s="1" t="str">
        <f>"516916"</f>
        <v>516916</v>
      </c>
      <c r="B1312" s="2" t="str">
        <f>"APARELHO DE PRESSÃO MANUAL"</f>
        <v>APARELHO DE PRESSÃO MANUAL</v>
      </c>
      <c r="C1312" s="2" t="str">
        <f t="shared" si="49"/>
        <v>UN</v>
      </c>
      <c r="D1312" s="7">
        <v>817</v>
      </c>
      <c r="E1312" s="3">
        <v>4</v>
      </c>
      <c r="F1312" s="2">
        <v>6</v>
      </c>
      <c r="G1312" t="s">
        <v>514</v>
      </c>
    </row>
    <row r="1313" spans="1:7" x14ac:dyDescent="0.25">
      <c r="A1313" s="1" t="str">
        <f>"522940"</f>
        <v>522940</v>
      </c>
      <c r="B1313" s="2" t="str">
        <f>"APARELHO DE REFRIGERAÇÃO R7 RODOFRIO SERIE 0322-R"</f>
        <v>APARELHO DE REFRIGERAÇÃO R7 RODOFRIO SERIE 0322-R</v>
      </c>
      <c r="C1313" s="2" t="str">
        <f t="shared" si="49"/>
        <v>UN</v>
      </c>
      <c r="D1313" s="7">
        <v>916</v>
      </c>
      <c r="E1313" s="3">
        <v>16</v>
      </c>
      <c r="F1313" s="2">
        <v>9</v>
      </c>
      <c r="G1313" t="s">
        <v>515</v>
      </c>
    </row>
    <row r="1314" spans="1:7" x14ac:dyDescent="0.25">
      <c r="A1314" s="1" t="str">
        <f>"515348"</f>
        <v>515348</v>
      </c>
      <c r="B1314" s="2" t="str">
        <f>"APARELHO FAX"</f>
        <v>APARELHO FAX</v>
      </c>
      <c r="C1314" s="2" t="str">
        <f t="shared" si="49"/>
        <v>UN</v>
      </c>
      <c r="D1314" s="7">
        <v>900</v>
      </c>
      <c r="E1314" s="3">
        <v>4</v>
      </c>
      <c r="F1314" s="2">
        <v>5</v>
      </c>
      <c r="G1314" t="s">
        <v>512</v>
      </c>
    </row>
    <row r="1315" spans="1:7" x14ac:dyDescent="0.25">
      <c r="A1315" s="1" t="str">
        <f>"524632"</f>
        <v>524632</v>
      </c>
      <c r="B1315" s="8" t="s">
        <v>403</v>
      </c>
      <c r="C1315" s="2" t="str">
        <f t="shared" si="49"/>
        <v>UN</v>
      </c>
      <c r="D1315" s="7">
        <v>406</v>
      </c>
      <c r="E1315" s="3">
        <v>13</v>
      </c>
      <c r="F1315" s="2">
        <v>3</v>
      </c>
      <c r="G1315" t="s">
        <v>516</v>
      </c>
    </row>
    <row r="1316" spans="1:7" x14ac:dyDescent="0.25">
      <c r="A1316" s="1" t="str">
        <f>"518243"</f>
        <v>518243</v>
      </c>
      <c r="B1316" s="2" t="str">
        <f>"APARELHO PRESSÃO DIGITAL PULSO VISOCOR VER 1"</f>
        <v>APARELHO PRESSÃO DIGITAL PULSO VISOCOR VER 1</v>
      </c>
      <c r="C1316" s="2" t="str">
        <f t="shared" si="49"/>
        <v>UN</v>
      </c>
      <c r="D1316" s="7">
        <v>401</v>
      </c>
      <c r="E1316" s="3">
        <v>4</v>
      </c>
      <c r="F1316" s="2">
        <v>3</v>
      </c>
      <c r="G1316" t="s">
        <v>515</v>
      </c>
    </row>
    <row r="1317" spans="1:7" x14ac:dyDescent="0.25">
      <c r="A1317" s="1" t="str">
        <f>"514787"</f>
        <v>514787</v>
      </c>
      <c r="B1317" s="2" t="str">
        <f>"APARELHO PROCESSADOR MAT. ISOT. P/ IOGURTE 15000L."</f>
        <v>APARELHO PROCESSADOR MAT. ISOT. P/ IOGURTE 15000L.</v>
      </c>
      <c r="C1317" s="2" t="str">
        <f t="shared" si="49"/>
        <v>UN</v>
      </c>
      <c r="D1317" s="7">
        <v>1300</v>
      </c>
      <c r="E1317" s="3">
        <v>13</v>
      </c>
      <c r="F1317" s="2">
        <v>2</v>
      </c>
      <c r="G1317" t="s">
        <v>514</v>
      </c>
    </row>
    <row r="1318" spans="1:7" x14ac:dyDescent="0.25">
      <c r="A1318" s="1" t="str">
        <f>"514943"</f>
        <v>514943</v>
      </c>
      <c r="B1318" s="2" t="str">
        <f>"APARELHO PROCESSADOR MAT.ISOT. P/ LEITE"</f>
        <v>APARELHO PROCESSADOR MAT.ISOT. P/ LEITE</v>
      </c>
      <c r="C1318" s="2" t="str">
        <f t="shared" si="49"/>
        <v>UN</v>
      </c>
      <c r="D1318" s="7">
        <v>1300</v>
      </c>
      <c r="E1318" s="3">
        <v>13</v>
      </c>
      <c r="F1318" s="2">
        <v>1</v>
      </c>
      <c r="G1318" t="s">
        <v>512</v>
      </c>
    </row>
    <row r="1319" spans="1:7" x14ac:dyDescent="0.25">
      <c r="A1319" s="1" t="str">
        <f>"514458"</f>
        <v>514458</v>
      </c>
      <c r="B1319" s="2" t="str">
        <f>"APARELHO REFRIGERAÇAO R6 RODOFRIO ABS"</f>
        <v>APARELHO REFRIGERAÇAO R6 RODOFRIO ABS</v>
      </c>
      <c r="C1319" s="2" t="str">
        <f t="shared" si="49"/>
        <v>UN</v>
      </c>
      <c r="D1319" s="7">
        <v>1300</v>
      </c>
      <c r="E1319" s="3">
        <v>13</v>
      </c>
      <c r="F1319" s="2">
        <v>4</v>
      </c>
      <c r="G1319" t="s">
        <v>513</v>
      </c>
    </row>
    <row r="1320" spans="1:7" x14ac:dyDescent="0.25">
      <c r="A1320" s="1" t="str">
        <f>"512401"</f>
        <v>512401</v>
      </c>
      <c r="B1320" s="2" t="str">
        <f>"APARELHO REFRIGERAÇAO RD06NE"</f>
        <v>APARELHO REFRIGERAÇAO RD06NE</v>
      </c>
      <c r="C1320" s="2" t="str">
        <f t="shared" si="49"/>
        <v>UN</v>
      </c>
      <c r="D1320" s="7">
        <v>704</v>
      </c>
      <c r="E1320" s="3">
        <v>9</v>
      </c>
      <c r="F1320" s="2">
        <v>1</v>
      </c>
      <c r="G1320" t="s">
        <v>514</v>
      </c>
    </row>
    <row r="1321" spans="1:7" x14ac:dyDescent="0.25">
      <c r="A1321" s="1" t="str">
        <f>"527473"</f>
        <v>527473</v>
      </c>
      <c r="B1321" s="2" t="str">
        <f>"APLICADOR COLA QUENTE 110V"</f>
        <v>APLICADOR COLA QUENTE 110V</v>
      </c>
      <c r="C1321" s="2" t="str">
        <f t="shared" si="49"/>
        <v>UN</v>
      </c>
      <c r="D1321" s="7">
        <v>99999</v>
      </c>
      <c r="E1321" s="3">
        <v>99</v>
      </c>
      <c r="F1321" s="2">
        <v>2</v>
      </c>
      <c r="G1321" t="s">
        <v>514</v>
      </c>
    </row>
    <row r="1322" spans="1:7" x14ac:dyDescent="0.25">
      <c r="A1322" s="1" t="str">
        <f>"515086"</f>
        <v>515086</v>
      </c>
      <c r="B1322" s="2" t="str">
        <f>"APLICADOR DE SILICONE"</f>
        <v>APLICADOR DE SILICONE</v>
      </c>
      <c r="C1322" s="2" t="str">
        <f>"LT"</f>
        <v>LT</v>
      </c>
      <c r="D1322" s="7">
        <v>407</v>
      </c>
      <c r="E1322" s="3">
        <v>4</v>
      </c>
      <c r="F1322" s="2">
        <v>7</v>
      </c>
      <c r="G1322" t="s">
        <v>512</v>
      </c>
    </row>
    <row r="1323" spans="1:7" x14ac:dyDescent="0.25">
      <c r="A1323" s="1" t="str">
        <f>"521300"</f>
        <v>521300</v>
      </c>
      <c r="B1323" s="2" t="str">
        <f>"APLICADOR MANUAL FILME STRETCH 3"""</f>
        <v>APLICADOR MANUAL FILME STRETCH 3"</v>
      </c>
      <c r="C1323" s="2" t="str">
        <f t="shared" ref="C1323:C1333" si="50">"UN"</f>
        <v>UN</v>
      </c>
      <c r="D1323" s="7">
        <v>99999</v>
      </c>
      <c r="E1323" s="3">
        <v>99</v>
      </c>
      <c r="F1323" s="2">
        <v>9</v>
      </c>
      <c r="G1323" t="s">
        <v>513</v>
      </c>
    </row>
    <row r="1324" spans="1:7" x14ac:dyDescent="0.25">
      <c r="A1324" s="1" t="str">
        <f>"516014"</f>
        <v>516014</v>
      </c>
      <c r="B1324" s="2" t="str">
        <f>"APLICADOR MANUAL PARA FITA ADESIVA"</f>
        <v>APLICADOR MANUAL PARA FITA ADESIVA</v>
      </c>
      <c r="C1324" s="2" t="str">
        <f t="shared" si="50"/>
        <v>UN</v>
      </c>
      <c r="D1324" s="7">
        <v>21</v>
      </c>
      <c r="E1324" s="3">
        <v>99</v>
      </c>
      <c r="F1324" s="2">
        <v>0</v>
      </c>
      <c r="G1324" t="s">
        <v>514</v>
      </c>
    </row>
    <row r="1325" spans="1:7" x14ac:dyDescent="0.25">
      <c r="A1325" s="1" t="str">
        <f>"515671"</f>
        <v>515671</v>
      </c>
      <c r="B1325" s="2" t="str">
        <f>"APLICADOR PARA ECOFILM PLASTICO"</f>
        <v>APLICADOR PARA ECOFILM PLASTICO</v>
      </c>
      <c r="C1325" s="2" t="str">
        <f t="shared" si="50"/>
        <v>UN</v>
      </c>
      <c r="D1325" s="7">
        <v>817</v>
      </c>
      <c r="E1325" s="3">
        <v>4</v>
      </c>
      <c r="F1325" s="2">
        <v>0</v>
      </c>
      <c r="G1325" t="s">
        <v>514</v>
      </c>
    </row>
    <row r="1326" spans="1:7" x14ac:dyDescent="0.25">
      <c r="A1326" s="1" t="str">
        <f>"524046"</f>
        <v>524046</v>
      </c>
      <c r="B1326" s="2" t="str">
        <f>"APLICADOR SANITIZANTE SEM RETORNO DE ESPUMA"</f>
        <v>APLICADOR SANITIZANTE SEM RETORNO DE ESPUMA</v>
      </c>
      <c r="C1326" s="2" t="str">
        <f t="shared" si="50"/>
        <v>UN</v>
      </c>
      <c r="D1326" s="7">
        <v>99999</v>
      </c>
      <c r="E1326" s="3">
        <v>99</v>
      </c>
      <c r="F1326" s="2">
        <v>4</v>
      </c>
      <c r="G1326" t="s">
        <v>514</v>
      </c>
    </row>
    <row r="1327" spans="1:7" x14ac:dyDescent="0.25">
      <c r="A1327" s="1" t="str">
        <f>"507271"</f>
        <v>507271</v>
      </c>
      <c r="B1327" s="2" t="str">
        <f>"APLICADORA SLE MP (C/ 01 TORPEDO)"</f>
        <v>APLICADORA SLE MP (C/ 01 TORPEDO)</v>
      </c>
      <c r="C1327" s="2" t="str">
        <f t="shared" si="50"/>
        <v>UN</v>
      </c>
      <c r="D1327" s="7">
        <v>1300</v>
      </c>
      <c r="E1327" s="3">
        <v>13</v>
      </c>
      <c r="F1327" s="2">
        <v>1</v>
      </c>
      <c r="G1327" t="s">
        <v>513</v>
      </c>
    </row>
    <row r="1328" spans="1:7" x14ac:dyDescent="0.25">
      <c r="A1328" s="1" t="str">
        <f>"509188"</f>
        <v>509188</v>
      </c>
      <c r="B1328" s="2" t="str">
        <f>"APOIO DA FITA 05.3120.243.50"</f>
        <v>APOIO DA FITA 05.3120.243.50</v>
      </c>
      <c r="C1328" s="2" t="str">
        <f t="shared" si="50"/>
        <v>UN</v>
      </c>
      <c r="D1328" s="7">
        <v>918</v>
      </c>
      <c r="E1328" s="3">
        <v>11</v>
      </c>
      <c r="F1328" s="2">
        <v>2</v>
      </c>
      <c r="G1328" t="s">
        <v>512</v>
      </c>
    </row>
    <row r="1329" spans="1:7" x14ac:dyDescent="0.25">
      <c r="A1329" s="1" t="str">
        <f>"515078"</f>
        <v>515078</v>
      </c>
      <c r="B1329" s="2" t="str">
        <f>"APOIO ERGONIMICO PARA OS PES"</f>
        <v>APOIO ERGONIMICO PARA OS PES</v>
      </c>
      <c r="C1329" s="2" t="str">
        <f t="shared" si="50"/>
        <v>UN</v>
      </c>
      <c r="D1329" s="7">
        <v>401</v>
      </c>
      <c r="E1329" s="3">
        <v>4</v>
      </c>
      <c r="F1329" s="2">
        <v>7</v>
      </c>
      <c r="G1329" t="s">
        <v>513</v>
      </c>
    </row>
    <row r="1330" spans="1:7" x14ac:dyDescent="0.25">
      <c r="A1330" s="1" t="str">
        <f>"519825"</f>
        <v>519825</v>
      </c>
      <c r="B1330" s="2" t="str">
        <f>"APOIO MONITOR DE COMPUTADOR"</f>
        <v>APOIO MONITOR DE COMPUTADOR</v>
      </c>
      <c r="C1330" s="2" t="str">
        <f t="shared" si="50"/>
        <v>UN</v>
      </c>
      <c r="D1330" s="7">
        <v>401</v>
      </c>
      <c r="E1330" s="3">
        <v>4</v>
      </c>
      <c r="F1330" s="2">
        <v>9</v>
      </c>
      <c r="G1330" t="s">
        <v>514</v>
      </c>
    </row>
    <row r="1331" spans="1:7" x14ac:dyDescent="0.25">
      <c r="A1331" s="1" t="str">
        <f>"519800"</f>
        <v>519800</v>
      </c>
      <c r="B1331" s="2" t="str">
        <f>"APOIO PUNHOS TECLADO ERG. SUPER MACIO PRETO CODIGO 1122"</f>
        <v>APOIO PUNHOS TECLADO ERG. SUPER MACIO PRETO CODIGO 1122</v>
      </c>
      <c r="C1331" s="2" t="str">
        <f t="shared" si="50"/>
        <v>UN</v>
      </c>
      <c r="D1331" s="7">
        <v>401</v>
      </c>
      <c r="E1331" s="3">
        <v>4</v>
      </c>
      <c r="F1331" s="5">
        <v>5</v>
      </c>
      <c r="G1331" t="s">
        <v>514</v>
      </c>
    </row>
    <row r="1332" spans="1:7" x14ac:dyDescent="0.25">
      <c r="A1332" s="1" t="str">
        <f>"526904"</f>
        <v>526904</v>
      </c>
      <c r="B1332" s="2" t="str">
        <f>"APOIO SOLAR CENTRAL DIG. BR.220V 10.560W"</f>
        <v>APOIO SOLAR CENTRAL DIG. BR.220V 10.560W</v>
      </c>
      <c r="C1332" s="2" t="str">
        <f t="shared" si="50"/>
        <v>UN</v>
      </c>
      <c r="D1332" s="7">
        <v>918</v>
      </c>
      <c r="E1332" s="3">
        <v>11</v>
      </c>
      <c r="F1332" s="2">
        <v>3</v>
      </c>
      <c r="G1332" t="s">
        <v>514</v>
      </c>
    </row>
    <row r="1333" spans="1:7" x14ac:dyDescent="0.25">
      <c r="A1333" s="1" t="str">
        <f>"6687"</f>
        <v>6687</v>
      </c>
      <c r="B1333" s="2" t="str">
        <f>"APONTADOR"</f>
        <v>APONTADOR</v>
      </c>
      <c r="C1333" s="2" t="str">
        <f t="shared" si="50"/>
        <v>UN</v>
      </c>
      <c r="D1333" s="7">
        <v>401</v>
      </c>
      <c r="E1333" s="3">
        <v>4</v>
      </c>
      <c r="F1333" s="2">
        <v>8</v>
      </c>
      <c r="G1333" t="s">
        <v>513</v>
      </c>
    </row>
    <row r="1334" spans="1:7" x14ac:dyDescent="0.25">
      <c r="A1334" s="1" t="str">
        <f>"522731"</f>
        <v>522731</v>
      </c>
      <c r="B1334" s="2" t="str">
        <f>"APORTE EM PEAD PRETO 4MM ROLO COM 5KG"</f>
        <v>APORTE EM PEAD PRETO 4MM ROLO COM 5KG</v>
      </c>
      <c r="C1334" s="2" t="str">
        <f>"KG"</f>
        <v>KG</v>
      </c>
      <c r="D1334" s="7">
        <v>909</v>
      </c>
      <c r="E1334" s="3">
        <v>11</v>
      </c>
      <c r="F1334" s="2">
        <v>6</v>
      </c>
      <c r="G1334" t="s">
        <v>513</v>
      </c>
    </row>
    <row r="1335" spans="1:7" x14ac:dyDescent="0.25">
      <c r="A1335" s="1" t="str">
        <f>"518322"</f>
        <v>518322</v>
      </c>
      <c r="B1335" s="2" t="str">
        <f>"APORTE P/ SOLDAGEM DE GEOMEMBRANA"</f>
        <v>APORTE P/ SOLDAGEM DE GEOMEMBRANA</v>
      </c>
      <c r="C1335" s="2" t="str">
        <f t="shared" ref="C1335:C1362" si="51">"UN"</f>
        <v>UN</v>
      </c>
      <c r="D1335" s="7">
        <v>918</v>
      </c>
      <c r="E1335" s="3">
        <v>10</v>
      </c>
      <c r="F1335" s="2">
        <v>4</v>
      </c>
      <c r="G1335" t="s">
        <v>513</v>
      </c>
    </row>
    <row r="1336" spans="1:7" x14ac:dyDescent="0.25">
      <c r="A1336" s="1" t="str">
        <f>"512921"</f>
        <v>512921</v>
      </c>
      <c r="B1336" s="2" t="str">
        <f>"APPLICOMIO PFB PCU-DP2IO"</f>
        <v>APPLICOMIO PFB PCU-DP2IO</v>
      </c>
      <c r="C1336" s="2" t="str">
        <f t="shared" si="51"/>
        <v>UN</v>
      </c>
      <c r="D1336" s="7">
        <v>600</v>
      </c>
      <c r="E1336" s="3">
        <v>8</v>
      </c>
      <c r="F1336" s="2">
        <v>1</v>
      </c>
      <c r="G1336" t="s">
        <v>512</v>
      </c>
    </row>
    <row r="1337" spans="1:7" x14ac:dyDescent="0.25">
      <c r="A1337" s="1" t="str">
        <f>"513574"</f>
        <v>513574</v>
      </c>
      <c r="B1337" s="2" t="str">
        <f>"APRESENTADOR MULTIMIDIA SLIDES USB"</f>
        <v>APRESENTADOR MULTIMIDIA SLIDES USB</v>
      </c>
      <c r="C1337" s="2" t="str">
        <f t="shared" si="51"/>
        <v>UN</v>
      </c>
      <c r="D1337" s="7">
        <v>99999</v>
      </c>
      <c r="E1337" s="3">
        <v>99</v>
      </c>
      <c r="F1337" s="2">
        <v>2</v>
      </c>
      <c r="G1337" t="s">
        <v>513</v>
      </c>
    </row>
    <row r="1338" spans="1:7" x14ac:dyDescent="0.25">
      <c r="A1338" s="1" t="str">
        <f>"523553"</f>
        <v>523553</v>
      </c>
      <c r="B1338" s="2" t="str">
        <f>"APROPRIAÇÃO DE CREDITO TRANSFERIDO"</f>
        <v>APROPRIAÇÃO DE CREDITO TRANSFERIDO</v>
      </c>
      <c r="C1338" s="2" t="str">
        <f t="shared" si="51"/>
        <v>UN</v>
      </c>
      <c r="D1338" s="7">
        <v>99999</v>
      </c>
      <c r="E1338" s="3">
        <v>99</v>
      </c>
      <c r="F1338" s="2">
        <v>7</v>
      </c>
      <c r="G1338" t="s">
        <v>514</v>
      </c>
    </row>
    <row r="1339" spans="1:7" x14ac:dyDescent="0.25">
      <c r="A1339" s="1" t="str">
        <f>"528089"</f>
        <v>528089</v>
      </c>
      <c r="B1339" s="2" t="str">
        <f>"AQUASNAP ATP TOTAL P/ VERIFICACAO LIVRE/ MICROBIANO- AMOSTRA"</f>
        <v>AQUASNAP ATP TOTAL P/ VERIFICACAO LIVRE/ MICROBIANO- AMOSTRA</v>
      </c>
      <c r="C1339" s="2" t="str">
        <f t="shared" si="51"/>
        <v>UN</v>
      </c>
      <c r="D1339" s="7">
        <v>406</v>
      </c>
      <c r="E1339" s="3">
        <v>4</v>
      </c>
      <c r="F1339" s="2">
        <v>9</v>
      </c>
      <c r="G1339" t="s">
        <v>515</v>
      </c>
    </row>
    <row r="1340" spans="1:7" x14ac:dyDescent="0.25">
      <c r="A1340" s="1" t="str">
        <f>"518487"</f>
        <v>518487</v>
      </c>
      <c r="B1340" s="2" t="str">
        <f>"AQUECEDOR AR 110V"</f>
        <v>AQUECEDOR AR 110V</v>
      </c>
      <c r="C1340" s="2" t="str">
        <f t="shared" si="51"/>
        <v>UN</v>
      </c>
      <c r="D1340" s="7">
        <v>811</v>
      </c>
      <c r="E1340" s="3">
        <v>8</v>
      </c>
      <c r="F1340" s="2">
        <v>0</v>
      </c>
      <c r="G1340" t="s">
        <v>512</v>
      </c>
    </row>
    <row r="1341" spans="1:7" x14ac:dyDescent="0.25">
      <c r="A1341" s="1" t="str">
        <f>"527837"</f>
        <v>527837</v>
      </c>
      <c r="B1341" s="2" t="str">
        <f>"AQUECEDOR ELETRICO DE AGUA  CENTRAL DIGITAL BRANCO KDT"</f>
        <v>AQUECEDOR ELETRICO DE AGUA  CENTRAL DIGITAL BRANCO KDT</v>
      </c>
      <c r="C1341" s="2" t="str">
        <f t="shared" si="51"/>
        <v>UN</v>
      </c>
      <c r="D1341" s="7">
        <v>402</v>
      </c>
      <c r="E1341" s="3">
        <v>4</v>
      </c>
      <c r="F1341" s="2">
        <v>0</v>
      </c>
      <c r="G1341" t="s">
        <v>516</v>
      </c>
    </row>
    <row r="1342" spans="1:7" x14ac:dyDescent="0.25">
      <c r="A1342" s="1" t="str">
        <f>"526465"</f>
        <v>526465</v>
      </c>
      <c r="B1342" s="2" t="str">
        <f>"AQUECEDOR ELETRICO DE AGUA VERSATIL 5500W 220V LORENZETTI"</f>
        <v>AQUECEDOR ELETRICO DE AGUA VERSATIL 5500W 220V LORENZETTI</v>
      </c>
      <c r="C1342" s="2" t="str">
        <f t="shared" si="51"/>
        <v>UN</v>
      </c>
      <c r="D1342" s="7">
        <v>402</v>
      </c>
      <c r="E1342" s="3">
        <v>4</v>
      </c>
      <c r="F1342" s="2">
        <v>2</v>
      </c>
      <c r="G1342" t="s">
        <v>515</v>
      </c>
    </row>
    <row r="1343" spans="1:7" x14ac:dyDescent="0.25">
      <c r="A1343" s="1" t="str">
        <f>"521904"</f>
        <v>521904</v>
      </c>
      <c r="B1343" s="8" t="s">
        <v>247</v>
      </c>
      <c r="C1343" s="2" t="str">
        <f t="shared" si="51"/>
        <v>UN</v>
      </c>
      <c r="D1343" s="7">
        <v>920</v>
      </c>
      <c r="E1343" s="3">
        <v>13</v>
      </c>
      <c r="F1343" s="2">
        <v>5</v>
      </c>
      <c r="G1343" t="s">
        <v>514</v>
      </c>
    </row>
    <row r="1344" spans="1:7" x14ac:dyDescent="0.25">
      <c r="A1344" s="1" t="str">
        <f>"512035"</f>
        <v>512035</v>
      </c>
      <c r="B1344" s="2" t="str">
        <f>"AQUECEDOR INDUTIVO JAMO MIN. 200MM"</f>
        <v>AQUECEDOR INDUTIVO JAMO MIN. 200MM</v>
      </c>
      <c r="C1344" s="2" t="str">
        <f t="shared" si="51"/>
        <v>UN</v>
      </c>
      <c r="D1344" s="7">
        <v>402</v>
      </c>
      <c r="E1344" s="3">
        <v>4</v>
      </c>
      <c r="F1344" s="2">
        <v>6</v>
      </c>
      <c r="G1344" t="s">
        <v>512</v>
      </c>
    </row>
    <row r="1345" spans="1:7" x14ac:dyDescent="0.25">
      <c r="A1345" s="1" t="str">
        <f>"PRODUTOR"</f>
        <v>PRODUTOR</v>
      </c>
      <c r="B1345" s="2" t="str">
        <f>"AQUISICAO DE PRODUTORES"</f>
        <v>AQUISICAO DE PRODUTORES</v>
      </c>
      <c r="C1345" s="2" t="str">
        <f t="shared" si="51"/>
        <v>UN</v>
      </c>
      <c r="D1345" s="7">
        <v>99999</v>
      </c>
      <c r="E1345" s="3">
        <v>99</v>
      </c>
      <c r="F1345" s="2">
        <v>9</v>
      </c>
      <c r="G1345" t="s">
        <v>513</v>
      </c>
    </row>
    <row r="1346" spans="1:7" x14ac:dyDescent="0.25">
      <c r="A1346" s="1" t="str">
        <f>"514846"</f>
        <v>514846</v>
      </c>
      <c r="B1346" s="2" t="str">
        <f>"AR CONDICIONADO 12000BTU 220V"</f>
        <v>AR CONDICIONADO 12000BTU 220V</v>
      </c>
      <c r="C1346" s="2" t="str">
        <f t="shared" si="51"/>
        <v>UN</v>
      </c>
      <c r="D1346" s="7">
        <v>811</v>
      </c>
      <c r="E1346" s="3">
        <v>8</v>
      </c>
      <c r="F1346" s="2">
        <v>5</v>
      </c>
      <c r="G1346" t="s">
        <v>514</v>
      </c>
    </row>
    <row r="1347" spans="1:7" x14ac:dyDescent="0.25">
      <c r="A1347" s="1" t="str">
        <f>"523023"</f>
        <v>523023</v>
      </c>
      <c r="B1347" s="2" t="str">
        <f>"AR CONDICIONADO 30000BTU 220V"</f>
        <v>AR CONDICIONADO 30000BTU 220V</v>
      </c>
      <c r="C1347" s="2" t="str">
        <f t="shared" si="51"/>
        <v>UN</v>
      </c>
      <c r="D1347" s="7">
        <v>910</v>
      </c>
      <c r="E1347" s="3">
        <v>10</v>
      </c>
      <c r="F1347" s="2">
        <v>3</v>
      </c>
      <c r="G1347" t="s">
        <v>514</v>
      </c>
    </row>
    <row r="1348" spans="1:7" x14ac:dyDescent="0.25">
      <c r="A1348" s="1" t="str">
        <f>"525382"</f>
        <v>525382</v>
      </c>
      <c r="B1348" s="2" t="str">
        <f>"AR CONDICIONADO 48000BTU 380V"</f>
        <v>AR CONDICIONADO 48000BTU 380V</v>
      </c>
      <c r="C1348" s="2" t="str">
        <f t="shared" si="51"/>
        <v>UN</v>
      </c>
      <c r="D1348" s="7">
        <v>811</v>
      </c>
      <c r="E1348" s="3">
        <v>8</v>
      </c>
      <c r="F1348" s="2">
        <v>3</v>
      </c>
      <c r="G1348" t="s">
        <v>512</v>
      </c>
    </row>
    <row r="1349" spans="1:7" x14ac:dyDescent="0.25">
      <c r="A1349" s="1" t="str">
        <f>"521028"</f>
        <v>521028</v>
      </c>
      <c r="B1349" s="2" t="str">
        <f>"ARAGAMASSA REFLATARIO"</f>
        <v>ARAGAMASSA REFLATARIO</v>
      </c>
      <c r="C1349" s="2" t="str">
        <f t="shared" si="51"/>
        <v>UN</v>
      </c>
      <c r="D1349" s="7">
        <v>403</v>
      </c>
      <c r="E1349" s="3">
        <v>4</v>
      </c>
      <c r="F1349" s="2">
        <v>2</v>
      </c>
      <c r="G1349" t="s">
        <v>513</v>
      </c>
    </row>
    <row r="1350" spans="1:7" x14ac:dyDescent="0.25">
      <c r="A1350" s="1" t="str">
        <f>"500420"</f>
        <v>500420</v>
      </c>
      <c r="B1350" s="2" t="str">
        <f>"ARALDITE RAPIDO"</f>
        <v>ARALDITE RAPIDO</v>
      </c>
      <c r="C1350" s="2" t="str">
        <f t="shared" si="51"/>
        <v>UN</v>
      </c>
      <c r="D1350" s="7">
        <v>402</v>
      </c>
      <c r="E1350" s="3">
        <v>4</v>
      </c>
      <c r="F1350" s="2">
        <v>1</v>
      </c>
      <c r="G1350" t="s">
        <v>514</v>
      </c>
    </row>
    <row r="1351" spans="1:7" x14ac:dyDescent="0.25">
      <c r="A1351" s="1" t="str">
        <f>"525281"</f>
        <v>525281</v>
      </c>
      <c r="B1351" s="2" t="str">
        <f>"ARAME GALVANIZADO 08"</f>
        <v>ARAME GALVANIZADO 08</v>
      </c>
      <c r="C1351" s="2" t="str">
        <f t="shared" si="51"/>
        <v>UN</v>
      </c>
      <c r="D1351" s="7">
        <v>803</v>
      </c>
      <c r="E1351" s="3">
        <v>10</v>
      </c>
      <c r="F1351" s="2">
        <v>4</v>
      </c>
      <c r="G1351" t="s">
        <v>514</v>
      </c>
    </row>
    <row r="1352" spans="1:7" x14ac:dyDescent="0.25">
      <c r="A1352" s="1" t="str">
        <f>"509620"</f>
        <v>509620</v>
      </c>
      <c r="B1352" s="2" t="str">
        <f>"ARAME GALVANIZADO 12"</f>
        <v>ARAME GALVANIZADO 12</v>
      </c>
      <c r="C1352" s="2" t="str">
        <f t="shared" si="51"/>
        <v>UN</v>
      </c>
      <c r="D1352" s="7">
        <v>803</v>
      </c>
      <c r="E1352" s="3">
        <v>10</v>
      </c>
      <c r="F1352" s="2">
        <v>6</v>
      </c>
      <c r="G1352" t="s">
        <v>514</v>
      </c>
    </row>
    <row r="1353" spans="1:7" x14ac:dyDescent="0.25">
      <c r="A1353" s="1" t="str">
        <f>"509621"</f>
        <v>509621</v>
      </c>
      <c r="B1353" s="2" t="str">
        <f>"ARAME GALVANIZADO 14"</f>
        <v>ARAME GALVANIZADO 14</v>
      </c>
      <c r="C1353" s="2" t="str">
        <f t="shared" si="51"/>
        <v>UN</v>
      </c>
      <c r="D1353" s="7">
        <v>803</v>
      </c>
      <c r="E1353" s="3">
        <v>10</v>
      </c>
      <c r="F1353" s="2">
        <v>8</v>
      </c>
      <c r="G1353" t="s">
        <v>513</v>
      </c>
    </row>
    <row r="1354" spans="1:7" x14ac:dyDescent="0.25">
      <c r="A1354" s="1" t="str">
        <f>"508939"</f>
        <v>508939</v>
      </c>
      <c r="B1354" s="2" t="str">
        <f>"ARAME GALVANIZADO 16"</f>
        <v>ARAME GALVANIZADO 16</v>
      </c>
      <c r="C1354" s="2" t="str">
        <f t="shared" si="51"/>
        <v>UN</v>
      </c>
      <c r="D1354" s="7">
        <v>403</v>
      </c>
      <c r="E1354" s="3">
        <v>4</v>
      </c>
      <c r="F1354" s="2">
        <v>7</v>
      </c>
      <c r="G1354" t="s">
        <v>512</v>
      </c>
    </row>
    <row r="1355" spans="1:7" x14ac:dyDescent="0.25">
      <c r="A1355" s="1" t="str">
        <f>"519325"</f>
        <v>519325</v>
      </c>
      <c r="B1355" s="2" t="str">
        <f>"ARAME GALVANIZADO 18"</f>
        <v>ARAME GALVANIZADO 18</v>
      </c>
      <c r="C1355" s="2" t="str">
        <f t="shared" si="51"/>
        <v>UN</v>
      </c>
      <c r="D1355" s="7">
        <v>403</v>
      </c>
      <c r="E1355" s="3">
        <v>4</v>
      </c>
      <c r="F1355" s="2">
        <v>6</v>
      </c>
      <c r="G1355" t="s">
        <v>513</v>
      </c>
    </row>
    <row r="1356" spans="1:7" x14ac:dyDescent="0.25">
      <c r="A1356" s="1" t="str">
        <f>"508940"</f>
        <v>508940</v>
      </c>
      <c r="B1356" s="2" t="str">
        <f>"ARAME GALVANIZADO 20"</f>
        <v>ARAME GALVANIZADO 20</v>
      </c>
      <c r="C1356" s="2" t="str">
        <f t="shared" si="51"/>
        <v>UN</v>
      </c>
      <c r="D1356" s="7">
        <v>403</v>
      </c>
      <c r="E1356" s="3">
        <v>4</v>
      </c>
      <c r="F1356" s="2">
        <v>6</v>
      </c>
      <c r="G1356" t="s">
        <v>514</v>
      </c>
    </row>
    <row r="1357" spans="1:7" x14ac:dyDescent="0.25">
      <c r="A1357" s="1" t="str">
        <f>"510581"</f>
        <v>510581</v>
      </c>
      <c r="B1357" s="2" t="str">
        <f>"ARAME INOX BITOLA 1,6MM"</f>
        <v>ARAME INOX BITOLA 1,6MM</v>
      </c>
      <c r="C1357" s="2" t="str">
        <f t="shared" si="51"/>
        <v>UN</v>
      </c>
      <c r="D1357" s="7">
        <v>803</v>
      </c>
      <c r="E1357" s="3">
        <v>10</v>
      </c>
      <c r="F1357" s="2">
        <v>2</v>
      </c>
      <c r="G1357" t="s">
        <v>514</v>
      </c>
    </row>
    <row r="1358" spans="1:7" x14ac:dyDescent="0.25">
      <c r="A1358" s="1" t="str">
        <f>"513141"</f>
        <v>513141</v>
      </c>
      <c r="B1358" s="2" t="str">
        <f>"ARAME MIG 0,8 ER 7OS - 6 COBRE"</f>
        <v>ARAME MIG 0,8 ER 7OS - 6 COBRE</v>
      </c>
      <c r="C1358" s="2" t="str">
        <f t="shared" si="51"/>
        <v>UN</v>
      </c>
      <c r="D1358" s="7">
        <v>704</v>
      </c>
      <c r="E1358" s="3">
        <v>9</v>
      </c>
      <c r="F1358" s="2">
        <v>1</v>
      </c>
      <c r="G1358" t="s">
        <v>514</v>
      </c>
    </row>
    <row r="1359" spans="1:7" x14ac:dyDescent="0.25">
      <c r="A1359" s="1" t="str">
        <f>"518368"</f>
        <v>518368</v>
      </c>
      <c r="B1359" s="2" t="str">
        <f>"ARAME P/ SOLDA MIG 0,80MM ALUMINIO"</f>
        <v>ARAME P/ SOLDA MIG 0,80MM ALUMINIO</v>
      </c>
      <c r="C1359" s="2" t="str">
        <f t="shared" si="51"/>
        <v>UN</v>
      </c>
      <c r="D1359" s="7">
        <v>816</v>
      </c>
      <c r="E1359" s="3">
        <v>4</v>
      </c>
      <c r="F1359" s="2">
        <v>0</v>
      </c>
      <c r="G1359" t="s">
        <v>513</v>
      </c>
    </row>
    <row r="1360" spans="1:7" x14ac:dyDescent="0.25">
      <c r="A1360" s="1" t="str">
        <f>"519703"</f>
        <v>519703</v>
      </c>
      <c r="B1360" s="2" t="str">
        <f>"ARAME P/ SOLDA MIG 0,90MM"</f>
        <v>ARAME P/ SOLDA MIG 0,90MM</v>
      </c>
      <c r="C1360" s="2" t="str">
        <f t="shared" si="51"/>
        <v>UN</v>
      </c>
      <c r="D1360" s="7">
        <v>816</v>
      </c>
      <c r="E1360" s="3">
        <v>4</v>
      </c>
      <c r="F1360" s="2">
        <v>0</v>
      </c>
      <c r="G1360" t="s">
        <v>513</v>
      </c>
    </row>
    <row r="1361" spans="1:7" x14ac:dyDescent="0.25">
      <c r="A1361" s="1" t="str">
        <f>"505340"</f>
        <v>505340</v>
      </c>
      <c r="B1361" s="2" t="str">
        <f>"ARAME P/ SOLDA MIG 1,00MM"</f>
        <v>ARAME P/ SOLDA MIG 1,00MM</v>
      </c>
      <c r="C1361" s="2" t="str">
        <f t="shared" si="51"/>
        <v>UN</v>
      </c>
      <c r="D1361" s="7">
        <v>816</v>
      </c>
      <c r="E1361" s="3">
        <v>4</v>
      </c>
      <c r="F1361" s="2">
        <v>0</v>
      </c>
      <c r="G1361" t="s">
        <v>513</v>
      </c>
    </row>
    <row r="1362" spans="1:7" x14ac:dyDescent="0.25">
      <c r="A1362" s="1" t="str">
        <f>"522908"</f>
        <v>522908</v>
      </c>
      <c r="B1362" s="2" t="str">
        <f>"ARAME RECOSIDO N°12 BWG"</f>
        <v>ARAME RECOSIDO N°12 BWG</v>
      </c>
      <c r="C1362" s="2" t="str">
        <f t="shared" si="51"/>
        <v>UN</v>
      </c>
      <c r="D1362" s="7">
        <v>917</v>
      </c>
      <c r="E1362" s="3">
        <v>10</v>
      </c>
      <c r="F1362" s="2">
        <v>3</v>
      </c>
      <c r="G1362" t="s">
        <v>512</v>
      </c>
    </row>
    <row r="1363" spans="1:7" x14ac:dyDescent="0.25">
      <c r="A1363" s="1" t="str">
        <f>"527437"</f>
        <v>527437</v>
      </c>
      <c r="B1363" s="2" t="str">
        <f>"ARAME RECOSIDO N°16 BWG"</f>
        <v>ARAME RECOSIDO N°16 BWG</v>
      </c>
      <c r="C1363" s="2" t="str">
        <f>"KG"</f>
        <v>KG</v>
      </c>
      <c r="D1363" s="7">
        <v>917</v>
      </c>
      <c r="E1363" s="3">
        <v>10</v>
      </c>
      <c r="F1363" s="5">
        <v>5</v>
      </c>
      <c r="G1363" t="s">
        <v>513</v>
      </c>
    </row>
    <row r="1364" spans="1:7" x14ac:dyDescent="0.25">
      <c r="A1364" s="1" t="str">
        <f>"522907"</f>
        <v>522907</v>
      </c>
      <c r="B1364" s="2" t="str">
        <f>"ARAME RECOSIDO N°18 BWG"</f>
        <v>ARAME RECOSIDO N°18 BWG</v>
      </c>
      <c r="C1364" s="2" t="str">
        <f t="shared" ref="C1364:C1376" si="52">"UN"</f>
        <v>UN</v>
      </c>
      <c r="D1364" s="7">
        <v>917</v>
      </c>
      <c r="E1364" s="3">
        <v>10</v>
      </c>
      <c r="F1364" s="2">
        <v>3</v>
      </c>
      <c r="G1364" t="s">
        <v>514</v>
      </c>
    </row>
    <row r="1365" spans="1:7" x14ac:dyDescent="0.25">
      <c r="A1365" s="1" t="str">
        <f>"500117"</f>
        <v>500117</v>
      </c>
      <c r="B1365" s="2" t="str">
        <f>"ARAME RECOZIDO TORCIDO (ROLO)"</f>
        <v>ARAME RECOZIDO TORCIDO (ROLO)</v>
      </c>
      <c r="C1365" s="2" t="str">
        <f t="shared" si="52"/>
        <v>UN</v>
      </c>
      <c r="D1365" s="7">
        <v>403</v>
      </c>
      <c r="E1365" s="3">
        <v>4</v>
      </c>
      <c r="F1365" s="2">
        <v>8</v>
      </c>
      <c r="G1365" t="s">
        <v>515</v>
      </c>
    </row>
    <row r="1366" spans="1:7" x14ac:dyDescent="0.25">
      <c r="A1366" s="1" t="str">
        <f>"519952"</f>
        <v>519952</v>
      </c>
      <c r="B1366" s="2" t="str">
        <f>"ARAME TORCIDO C/ FARPAS (ROLO)"</f>
        <v>ARAME TORCIDO C/ FARPAS (ROLO)</v>
      </c>
      <c r="C1366" s="2" t="str">
        <f t="shared" si="52"/>
        <v>UN</v>
      </c>
      <c r="D1366" s="7">
        <v>403</v>
      </c>
      <c r="E1366" s="3">
        <v>4</v>
      </c>
      <c r="F1366" s="2">
        <v>6</v>
      </c>
      <c r="G1366" t="s">
        <v>512</v>
      </c>
    </row>
    <row r="1367" spans="1:7" x14ac:dyDescent="0.25">
      <c r="A1367" s="1" t="str">
        <f>"518921"</f>
        <v>518921</v>
      </c>
      <c r="B1367" s="2" t="str">
        <f>"ARANHA CUBO MB 608"</f>
        <v>ARANHA CUBO MB 608</v>
      </c>
      <c r="C1367" s="2" t="str">
        <f t="shared" si="52"/>
        <v>UN</v>
      </c>
      <c r="D1367" s="7">
        <v>918</v>
      </c>
      <c r="E1367" s="3">
        <v>11</v>
      </c>
      <c r="F1367" s="2">
        <v>4</v>
      </c>
      <c r="G1367" t="s">
        <v>516</v>
      </c>
    </row>
    <row r="1368" spans="1:7" x14ac:dyDescent="0.25">
      <c r="A1368" s="1" t="str">
        <f>"500347"</f>
        <v>500347</v>
      </c>
      <c r="B1368" s="2" t="str">
        <f>"ARCO DE SERRA REF.15166"</f>
        <v>ARCO DE SERRA REF.15166</v>
      </c>
      <c r="C1368" s="2" t="str">
        <f t="shared" si="52"/>
        <v>UN</v>
      </c>
      <c r="D1368" s="7">
        <v>403</v>
      </c>
      <c r="E1368" s="3">
        <v>4</v>
      </c>
      <c r="F1368" s="2">
        <v>1</v>
      </c>
      <c r="G1368" t="s">
        <v>515</v>
      </c>
    </row>
    <row r="1369" spans="1:7" x14ac:dyDescent="0.25">
      <c r="A1369" s="1" t="str">
        <f>"523770"</f>
        <v>523770</v>
      </c>
      <c r="B1369" s="2" t="str">
        <f>"ARCO MARINHEIRO MULTI TUBO"</f>
        <v>ARCO MARINHEIRO MULTI TUBO</v>
      </c>
      <c r="C1369" s="2" t="str">
        <f t="shared" si="52"/>
        <v>UN</v>
      </c>
      <c r="D1369" s="7">
        <v>99999</v>
      </c>
      <c r="E1369" s="3">
        <v>99</v>
      </c>
      <c r="F1369" s="2">
        <v>2</v>
      </c>
      <c r="G1369" t="s">
        <v>514</v>
      </c>
    </row>
    <row r="1370" spans="1:7" x14ac:dyDescent="0.25">
      <c r="A1370" s="1" t="str">
        <f>"523771"</f>
        <v>523771</v>
      </c>
      <c r="B1370" s="2" t="str">
        <f>"ARCO MARINHEIRO PAINEL METALICO"</f>
        <v>ARCO MARINHEIRO PAINEL METALICO</v>
      </c>
      <c r="C1370" s="2" t="str">
        <f t="shared" si="52"/>
        <v>UN</v>
      </c>
      <c r="D1370" s="7">
        <v>99999</v>
      </c>
      <c r="E1370" s="3">
        <v>99</v>
      </c>
      <c r="F1370" s="2">
        <v>7</v>
      </c>
      <c r="G1370" t="s">
        <v>512</v>
      </c>
    </row>
    <row r="1371" spans="1:7" x14ac:dyDescent="0.25">
      <c r="A1371" s="1" t="str">
        <f>"522446"</f>
        <v>522446</v>
      </c>
      <c r="B1371" s="2" t="str">
        <f>"ARCO TRELIÇADO 1,80 X 9,80MT"</f>
        <v>ARCO TRELIÇADO 1,80 X 9,80MT</v>
      </c>
      <c r="C1371" s="2" t="str">
        <f t="shared" si="52"/>
        <v>UN</v>
      </c>
      <c r="D1371" s="7">
        <v>99999</v>
      </c>
      <c r="E1371" s="3">
        <v>99</v>
      </c>
      <c r="F1371" s="2">
        <v>9</v>
      </c>
      <c r="G1371" t="s">
        <v>513</v>
      </c>
    </row>
    <row r="1372" spans="1:7" x14ac:dyDescent="0.25">
      <c r="A1372" s="1" t="str">
        <f>"523996"</f>
        <v>523996</v>
      </c>
      <c r="B1372" s="2" t="str">
        <f>"ARCOXIA 90MG - CX COM 07 CPS"</f>
        <v>ARCOXIA 90MG - CX COM 07 CPS</v>
      </c>
      <c r="C1372" s="2" t="str">
        <f t="shared" si="52"/>
        <v>UN</v>
      </c>
      <c r="D1372" s="7">
        <v>99999</v>
      </c>
      <c r="E1372" s="3">
        <v>99</v>
      </c>
      <c r="F1372" s="2">
        <v>0</v>
      </c>
      <c r="G1372" t="s">
        <v>514</v>
      </c>
    </row>
    <row r="1373" spans="1:7" x14ac:dyDescent="0.25">
      <c r="A1373" s="1" t="str">
        <f>"505345"</f>
        <v>505345</v>
      </c>
      <c r="B1373" s="2" t="str">
        <f>"AREIA BARRANCO"</f>
        <v>AREIA BARRANCO</v>
      </c>
      <c r="C1373" s="2" t="str">
        <f t="shared" si="52"/>
        <v>UN</v>
      </c>
      <c r="D1373" s="7">
        <v>403</v>
      </c>
      <c r="E1373" s="3">
        <v>4</v>
      </c>
      <c r="F1373" s="2">
        <v>0</v>
      </c>
      <c r="G1373" t="s">
        <v>514</v>
      </c>
    </row>
    <row r="1374" spans="1:7" x14ac:dyDescent="0.25">
      <c r="A1374" s="1" t="str">
        <f>"500317"</f>
        <v>500317</v>
      </c>
      <c r="B1374" s="2" t="str">
        <f>"AREIA LAVADA (FINA)"</f>
        <v>AREIA LAVADA (FINA)</v>
      </c>
      <c r="C1374" s="2" t="str">
        <f t="shared" si="52"/>
        <v>UN</v>
      </c>
      <c r="D1374" s="7">
        <v>403</v>
      </c>
      <c r="E1374" s="3">
        <v>4</v>
      </c>
      <c r="F1374" s="2">
        <v>2</v>
      </c>
      <c r="G1374" t="s">
        <v>512</v>
      </c>
    </row>
    <row r="1375" spans="1:7" x14ac:dyDescent="0.25">
      <c r="A1375" s="1" t="str">
        <f>"500354"</f>
        <v>500354</v>
      </c>
      <c r="B1375" s="2" t="str">
        <f>"AREIA LAVADA (GROSSA)"</f>
        <v>AREIA LAVADA (GROSSA)</v>
      </c>
      <c r="C1375" s="2" t="str">
        <f t="shared" si="52"/>
        <v>UN</v>
      </c>
      <c r="D1375" s="7">
        <v>403</v>
      </c>
      <c r="E1375" s="3">
        <v>4</v>
      </c>
      <c r="F1375" s="2">
        <v>5</v>
      </c>
      <c r="G1375" t="s">
        <v>513</v>
      </c>
    </row>
    <row r="1376" spans="1:7" x14ac:dyDescent="0.25">
      <c r="A1376" s="1" t="str">
        <f>"500202"</f>
        <v>500202</v>
      </c>
      <c r="B1376" s="2" t="str">
        <f>"AREIA LAVADA (MEDIA)"</f>
        <v>AREIA LAVADA (MEDIA)</v>
      </c>
      <c r="C1376" s="2" t="str">
        <f t="shared" si="52"/>
        <v>UN</v>
      </c>
      <c r="D1376" s="7">
        <v>99999</v>
      </c>
      <c r="E1376" s="3">
        <v>99</v>
      </c>
      <c r="F1376" s="2">
        <v>6</v>
      </c>
      <c r="G1376" t="s">
        <v>514</v>
      </c>
    </row>
    <row r="1377" spans="1:7" x14ac:dyDescent="0.25">
      <c r="A1377" s="1" t="str">
        <f>"524860"</f>
        <v>524860</v>
      </c>
      <c r="B1377" s="2" t="str">
        <f>"AREJADOR PONTA TORNEIRA"</f>
        <v>AREJADOR PONTA TORNEIRA</v>
      </c>
      <c r="C1377" s="2" t="str">
        <f>"BR"</f>
        <v>BR</v>
      </c>
      <c r="D1377" s="7">
        <v>808</v>
      </c>
      <c r="E1377" s="3">
        <v>10</v>
      </c>
      <c r="F1377" s="2">
        <v>9</v>
      </c>
      <c r="G1377" t="s">
        <v>514</v>
      </c>
    </row>
    <row r="1378" spans="1:7" x14ac:dyDescent="0.25">
      <c r="A1378" s="1" t="str">
        <f>"511022"</f>
        <v>511022</v>
      </c>
      <c r="B1378" s="2" t="str">
        <f>"ARENITO EM BLOCOS (MATACAO)"</f>
        <v>ARENITO EM BLOCOS (MATACAO)</v>
      </c>
      <c r="C1378" s="2" t="str">
        <f t="shared" ref="C1378:C1388" si="53">"UN"</f>
        <v>UN</v>
      </c>
      <c r="D1378" s="7">
        <v>803</v>
      </c>
      <c r="E1378" s="3">
        <v>10</v>
      </c>
      <c r="F1378" s="2">
        <v>5</v>
      </c>
      <c r="G1378" t="s">
        <v>514</v>
      </c>
    </row>
    <row r="1379" spans="1:7" x14ac:dyDescent="0.25">
      <c r="A1379" s="1" t="str">
        <f>"525313"</f>
        <v>525313</v>
      </c>
      <c r="B1379" s="2" t="str">
        <f>"ARGAMASSA 2 EXT COD 03331-2"</f>
        <v>ARGAMASSA 2 EXT COD 03331-2</v>
      </c>
      <c r="C1379" s="2" t="str">
        <f t="shared" si="53"/>
        <v>UN</v>
      </c>
      <c r="D1379" s="7">
        <v>99999</v>
      </c>
      <c r="E1379" s="3">
        <v>99</v>
      </c>
      <c r="F1379" s="2">
        <v>3</v>
      </c>
      <c r="G1379" t="s">
        <v>513</v>
      </c>
    </row>
    <row r="1380" spans="1:7" x14ac:dyDescent="0.25">
      <c r="A1380" s="1" t="str">
        <f>"522107"</f>
        <v>522107</v>
      </c>
      <c r="B1380" s="2" t="str">
        <f>"ARGAMASSA AC3 20KG"</f>
        <v>ARGAMASSA AC3 20KG</v>
      </c>
      <c r="C1380" s="2" t="str">
        <f t="shared" si="53"/>
        <v>UN</v>
      </c>
      <c r="D1380" s="7">
        <v>803</v>
      </c>
      <c r="E1380" s="3">
        <v>10</v>
      </c>
      <c r="F1380" s="2">
        <v>3</v>
      </c>
      <c r="G1380" t="s">
        <v>512</v>
      </c>
    </row>
    <row r="1381" spans="1:7" x14ac:dyDescent="0.25">
      <c r="A1381" s="1" t="str">
        <f>"513153"</f>
        <v>513153</v>
      </c>
      <c r="B1381" s="2" t="str">
        <f>"ARGAMASSA ALTA RESISTENCIA SUPERGRAUTE"</f>
        <v>ARGAMASSA ALTA RESISTENCIA SUPERGRAUTE</v>
      </c>
      <c r="C1381" s="2" t="str">
        <f t="shared" si="53"/>
        <v>UN</v>
      </c>
      <c r="D1381" s="7">
        <v>803</v>
      </c>
      <c r="E1381" s="3">
        <v>10</v>
      </c>
      <c r="F1381" s="2">
        <v>2</v>
      </c>
      <c r="G1381" t="s">
        <v>513</v>
      </c>
    </row>
    <row r="1382" spans="1:7" x14ac:dyDescent="0.25">
      <c r="A1382" s="1" t="str">
        <f>"525383"</f>
        <v>525383</v>
      </c>
      <c r="B1382" s="2" t="str">
        <f>"ARGAMASSA BRANCA 5KG"</f>
        <v>ARGAMASSA BRANCA 5KG</v>
      </c>
      <c r="C1382" s="2" t="str">
        <f t="shared" si="53"/>
        <v>UN</v>
      </c>
      <c r="D1382" s="7">
        <v>803</v>
      </c>
      <c r="E1382" s="3">
        <v>4</v>
      </c>
      <c r="F1382" s="2">
        <v>1</v>
      </c>
      <c r="G1382" t="s">
        <v>514</v>
      </c>
    </row>
    <row r="1383" spans="1:7" x14ac:dyDescent="0.25">
      <c r="A1383" s="1" t="str">
        <f>"515899"</f>
        <v>515899</v>
      </c>
      <c r="B1383" s="2" t="str">
        <f>"ARGAMASSA EXTRUD FLEX"</f>
        <v>ARGAMASSA EXTRUD FLEX</v>
      </c>
      <c r="C1383" s="2" t="str">
        <f t="shared" si="53"/>
        <v>UN</v>
      </c>
      <c r="D1383" s="7">
        <v>99999</v>
      </c>
      <c r="E1383" s="3">
        <v>99</v>
      </c>
      <c r="F1383" s="2">
        <v>4</v>
      </c>
      <c r="G1383" t="s">
        <v>514</v>
      </c>
    </row>
    <row r="1384" spans="1:7" x14ac:dyDescent="0.25">
      <c r="A1384" s="1" t="str">
        <f>"521998"</f>
        <v>521998</v>
      </c>
      <c r="B1384" s="2" t="str">
        <f>"ARGAMASSA PISO SOBRE PISO"</f>
        <v>ARGAMASSA PISO SOBRE PISO</v>
      </c>
      <c r="C1384" s="2" t="str">
        <f t="shared" si="53"/>
        <v>UN</v>
      </c>
      <c r="D1384" s="7">
        <v>99999</v>
      </c>
      <c r="E1384" s="3">
        <v>99</v>
      </c>
      <c r="F1384" s="2">
        <v>1</v>
      </c>
      <c r="G1384" t="s">
        <v>514</v>
      </c>
    </row>
    <row r="1385" spans="1:7" x14ac:dyDescent="0.25">
      <c r="A1385" s="1" t="str">
        <f>"503118"</f>
        <v>503118</v>
      </c>
      <c r="B1385" s="2" t="str">
        <f>"ARGAMASSA SACO 20KG"</f>
        <v>ARGAMASSA SACO 20KG</v>
      </c>
      <c r="C1385" s="2" t="str">
        <f t="shared" si="53"/>
        <v>UN</v>
      </c>
      <c r="D1385" s="7">
        <v>99999</v>
      </c>
      <c r="E1385" s="3">
        <v>99</v>
      </c>
      <c r="F1385" s="2">
        <v>2</v>
      </c>
      <c r="G1385" t="s">
        <v>513</v>
      </c>
    </row>
    <row r="1386" spans="1:7" x14ac:dyDescent="0.25">
      <c r="A1386" s="1" t="str">
        <f>"512799"</f>
        <v>512799</v>
      </c>
      <c r="B1386" s="2" t="str">
        <f>"ARGAMASSA SUPERGRAUTE 25KG"</f>
        <v>ARGAMASSA SUPERGRAUTE 25KG</v>
      </c>
      <c r="C1386" s="2" t="str">
        <f t="shared" si="53"/>
        <v>UN</v>
      </c>
      <c r="D1386" s="7">
        <v>403</v>
      </c>
      <c r="E1386" s="3">
        <v>4</v>
      </c>
      <c r="F1386" s="2">
        <v>7</v>
      </c>
      <c r="G1386" t="s">
        <v>513</v>
      </c>
    </row>
    <row r="1387" spans="1:7" x14ac:dyDescent="0.25">
      <c r="A1387" s="1" t="str">
        <f>"515156"</f>
        <v>515156</v>
      </c>
      <c r="B1387" s="2" t="str">
        <f>"ARGOLA"</f>
        <v>ARGOLA</v>
      </c>
      <c r="C1387" s="2" t="str">
        <f t="shared" si="53"/>
        <v>UN</v>
      </c>
      <c r="D1387" s="7">
        <v>918</v>
      </c>
      <c r="E1387" s="3">
        <v>10</v>
      </c>
      <c r="F1387" s="2">
        <v>9</v>
      </c>
      <c r="G1387" t="s">
        <v>513</v>
      </c>
    </row>
    <row r="1388" spans="1:7" x14ac:dyDescent="0.25">
      <c r="A1388" s="1" t="str">
        <f>"527521"</f>
        <v>527521</v>
      </c>
      <c r="B1388" s="2" t="str">
        <f>"ARGOLA PARA CORRENTE 1003 A - JANELA BASCULANTE"</f>
        <v>ARGOLA PARA CORRENTE 1003 A - JANELA BASCULANTE</v>
      </c>
      <c r="C1388" s="2" t="str">
        <f t="shared" si="53"/>
        <v>UN</v>
      </c>
      <c r="D1388" s="7">
        <v>917</v>
      </c>
      <c r="E1388" s="3">
        <v>11</v>
      </c>
      <c r="F1388" s="2">
        <v>0</v>
      </c>
      <c r="G1388" t="s">
        <v>512</v>
      </c>
    </row>
    <row r="1389" spans="1:7" x14ac:dyDescent="0.25">
      <c r="A1389" s="1" t="str">
        <f>"517808"</f>
        <v>517808</v>
      </c>
      <c r="B1389" s="2" t="str">
        <f>"ARLA 32 (EXTERNO)"</f>
        <v>ARLA 32 (EXTERNO)</v>
      </c>
      <c r="C1389" s="2" t="str">
        <f>"LT"</f>
        <v>LT</v>
      </c>
      <c r="D1389" s="7">
        <v>702</v>
      </c>
      <c r="E1389" s="3">
        <v>4</v>
      </c>
      <c r="F1389" s="2">
        <v>0</v>
      </c>
      <c r="G1389" t="s">
        <v>513</v>
      </c>
    </row>
    <row r="1390" spans="1:7" x14ac:dyDescent="0.25">
      <c r="A1390" s="1" t="str">
        <f>"515150"</f>
        <v>515150</v>
      </c>
      <c r="B1390" s="2" t="str">
        <f>"ARLA 32 ECOTEC"</f>
        <v>ARLA 32 ECOTEC</v>
      </c>
      <c r="C1390" s="2" t="str">
        <f>"LT"</f>
        <v>LT</v>
      </c>
      <c r="D1390" s="7">
        <v>702</v>
      </c>
      <c r="E1390" s="3">
        <v>4</v>
      </c>
      <c r="F1390" s="2">
        <v>4</v>
      </c>
      <c r="G1390" t="s">
        <v>514</v>
      </c>
    </row>
    <row r="1391" spans="1:7" x14ac:dyDescent="0.25">
      <c r="A1391" s="1" t="str">
        <f>"512427"</f>
        <v>512427</v>
      </c>
      <c r="B1391" s="2" t="str">
        <f>"ARMAÇAO DE OCULOS"</f>
        <v>ARMAÇAO DE OCULOS</v>
      </c>
      <c r="C1391" s="2" t="str">
        <f t="shared" ref="C1391:C1428" si="54">"UN"</f>
        <v>UN</v>
      </c>
      <c r="D1391" s="7">
        <v>402</v>
      </c>
      <c r="E1391" s="3">
        <v>4</v>
      </c>
      <c r="F1391" s="2">
        <v>1</v>
      </c>
      <c r="G1391" t="s">
        <v>515</v>
      </c>
    </row>
    <row r="1392" spans="1:7" x14ac:dyDescent="0.25">
      <c r="A1392" s="1" t="str">
        <f>"518325"</f>
        <v>518325</v>
      </c>
      <c r="B1392" s="2" t="str">
        <f>"ARMAÇÃO PRESBOW 1P (PESADA)"</f>
        <v>ARMAÇÃO PRESBOW 1P (PESADA)</v>
      </c>
      <c r="C1392" s="2" t="str">
        <f t="shared" si="54"/>
        <v>UN</v>
      </c>
      <c r="D1392" s="7">
        <v>811</v>
      </c>
      <c r="E1392" s="3">
        <v>8</v>
      </c>
      <c r="F1392" s="2">
        <v>2</v>
      </c>
      <c r="G1392" t="s">
        <v>512</v>
      </c>
    </row>
    <row r="1393" spans="1:7" x14ac:dyDescent="0.25">
      <c r="A1393" s="1" t="str">
        <f>"515965"</f>
        <v>515965</v>
      </c>
      <c r="B1393" s="2" t="str">
        <f>"ARMADILHA LUMINOSA AL-30"</f>
        <v>ARMADILHA LUMINOSA AL-30</v>
      </c>
      <c r="C1393" s="2" t="str">
        <f t="shared" si="54"/>
        <v>UN</v>
      </c>
      <c r="D1393" s="7">
        <v>99999</v>
      </c>
      <c r="E1393" s="3">
        <v>99</v>
      </c>
      <c r="F1393" s="2">
        <v>7</v>
      </c>
      <c r="G1393" t="s">
        <v>516</v>
      </c>
    </row>
    <row r="1394" spans="1:7" x14ac:dyDescent="0.25">
      <c r="A1394" s="1" t="str">
        <f>"516911"</f>
        <v>516911</v>
      </c>
      <c r="B1394" s="2" t="str">
        <f>"ARMADURA ELETRONICA WEG 112M"</f>
        <v>ARMADURA ELETRONICA WEG 112M</v>
      </c>
      <c r="C1394" s="2" t="str">
        <f t="shared" si="54"/>
        <v>UN</v>
      </c>
      <c r="D1394" s="7">
        <v>812</v>
      </c>
      <c r="E1394" s="3">
        <v>8</v>
      </c>
      <c r="F1394" s="2">
        <v>9</v>
      </c>
      <c r="G1394" t="s">
        <v>515</v>
      </c>
    </row>
    <row r="1395" spans="1:7" x14ac:dyDescent="0.25">
      <c r="A1395" s="1" t="str">
        <f>"514462"</f>
        <v>514462</v>
      </c>
      <c r="B1395" s="2" t="str">
        <f>"ARMARIO"</f>
        <v>ARMARIO</v>
      </c>
      <c r="C1395" s="2" t="str">
        <f t="shared" si="54"/>
        <v>UN</v>
      </c>
      <c r="D1395" s="7">
        <v>401</v>
      </c>
      <c r="E1395" s="3">
        <v>4</v>
      </c>
      <c r="F1395" s="5">
        <v>5</v>
      </c>
      <c r="G1395" t="s">
        <v>514</v>
      </c>
    </row>
    <row r="1396" spans="1:7" x14ac:dyDescent="0.25">
      <c r="A1396" s="1" t="str">
        <f>"511900"</f>
        <v>511900</v>
      </c>
      <c r="B1396" s="2" t="str">
        <f>"ARMARIO 02 PORTAS"</f>
        <v>ARMARIO 02 PORTAS</v>
      </c>
      <c r="C1396" s="2" t="str">
        <f t="shared" si="54"/>
        <v>UN</v>
      </c>
      <c r="D1396" s="7">
        <v>1200</v>
      </c>
      <c r="E1396" s="3">
        <v>13</v>
      </c>
      <c r="F1396" s="2">
        <v>3</v>
      </c>
      <c r="G1396" t="s">
        <v>512</v>
      </c>
    </row>
    <row r="1397" spans="1:7" x14ac:dyDescent="0.25">
      <c r="A1397" s="1" t="str">
        <f>"519144"</f>
        <v>519144</v>
      </c>
      <c r="B1397" s="2" t="str">
        <f>"ARMARIO 03 PORTAS CALIZOTTI BRANCO"</f>
        <v>ARMARIO 03 PORTAS CALIZOTTI BRANCO</v>
      </c>
      <c r="C1397" s="2" t="str">
        <f t="shared" si="54"/>
        <v>UN</v>
      </c>
      <c r="D1397" s="7">
        <v>1200</v>
      </c>
      <c r="E1397" s="3">
        <v>13</v>
      </c>
      <c r="F1397" s="2">
        <v>8</v>
      </c>
      <c r="G1397" t="s">
        <v>513</v>
      </c>
    </row>
    <row r="1398" spans="1:7" x14ac:dyDescent="0.25">
      <c r="A1398" s="1" t="str">
        <f>"508011"</f>
        <v>508011</v>
      </c>
      <c r="B1398" s="2" t="str">
        <f>"ARMARIO 2 PORTAS 8 GAVETAS ACABAMENTO VERNIZ 1,25X2,93X0,54"</f>
        <v>ARMARIO 2 PORTAS 8 GAVETAS ACABAMENTO VERNIZ 1,25X2,93X0,54</v>
      </c>
      <c r="C1398" s="2" t="str">
        <f t="shared" si="54"/>
        <v>UN</v>
      </c>
      <c r="D1398" s="7">
        <v>401</v>
      </c>
      <c r="E1398" s="3">
        <v>4</v>
      </c>
      <c r="F1398" s="2">
        <v>6</v>
      </c>
      <c r="G1398" t="s">
        <v>514</v>
      </c>
    </row>
    <row r="1399" spans="1:7" x14ac:dyDescent="0.25">
      <c r="A1399" s="1" t="str">
        <f>"508010"</f>
        <v>508010</v>
      </c>
      <c r="B1399" s="2" t="str">
        <f>"ARMARIO 4 PORTAS 16 GAVETAS ACABAMENTO VERNIZ 2,04X2,88X0,54"</f>
        <v>ARMARIO 4 PORTAS 16 GAVETAS ACABAMENTO VERNIZ 2,04X2,88X0,54</v>
      </c>
      <c r="C1399" s="2" t="str">
        <f t="shared" si="54"/>
        <v>UN</v>
      </c>
      <c r="D1399" s="7">
        <v>401</v>
      </c>
      <c r="E1399" s="3">
        <v>4</v>
      </c>
      <c r="F1399" s="2">
        <v>4</v>
      </c>
      <c r="G1399" t="s">
        <v>514</v>
      </c>
    </row>
    <row r="1400" spans="1:7" x14ac:dyDescent="0.25">
      <c r="A1400" s="1" t="str">
        <f>"512927"</f>
        <v>512927</v>
      </c>
      <c r="B1400" s="2" t="str">
        <f>"ARMARIO AÇO 1,33X76X33MT 3 PRATELEIRAS REGULAVEIS"</f>
        <v>ARMARIO AÇO 1,33X76X33MT 3 PRATELEIRAS REGULAVEIS</v>
      </c>
      <c r="C1400" s="2" t="str">
        <f t="shared" si="54"/>
        <v>UN</v>
      </c>
      <c r="D1400" s="7">
        <v>1200</v>
      </c>
      <c r="E1400" s="3">
        <v>13</v>
      </c>
      <c r="F1400" s="2">
        <v>1</v>
      </c>
      <c r="G1400" t="s">
        <v>512</v>
      </c>
    </row>
    <row r="1401" spans="1:7" x14ac:dyDescent="0.25">
      <c r="A1401" s="1" t="str">
        <f>"518250"</f>
        <v>518250</v>
      </c>
      <c r="B1401" s="2" t="str">
        <f>"ARMARIO BAIXO"</f>
        <v>ARMARIO BAIXO</v>
      </c>
      <c r="C1401" s="2" t="str">
        <f t="shared" si="54"/>
        <v>UN</v>
      </c>
      <c r="D1401" s="7">
        <v>1200</v>
      </c>
      <c r="E1401" s="3">
        <v>4</v>
      </c>
      <c r="F1401" s="2">
        <v>2</v>
      </c>
      <c r="G1401" t="s">
        <v>513</v>
      </c>
    </row>
    <row r="1402" spans="1:7" x14ac:dyDescent="0.25">
      <c r="A1402" s="1" t="str">
        <f>"518254"</f>
        <v>518254</v>
      </c>
      <c r="B1402" s="2" t="str">
        <f>"ARMARIO BAIXO 1 PORTA"</f>
        <v>ARMARIO BAIXO 1 PORTA</v>
      </c>
      <c r="C1402" s="2" t="str">
        <f t="shared" si="54"/>
        <v>UN</v>
      </c>
      <c r="D1402" s="7">
        <v>1200</v>
      </c>
      <c r="E1402" s="3">
        <v>4</v>
      </c>
      <c r="F1402" s="2">
        <v>7</v>
      </c>
      <c r="G1402" t="s">
        <v>514</v>
      </c>
    </row>
    <row r="1403" spans="1:7" x14ac:dyDescent="0.25">
      <c r="A1403" s="1" t="str">
        <f>"517250"</f>
        <v>517250</v>
      </c>
      <c r="B1403" s="2" t="str">
        <f>"ARMARIO BAIXO 2 PORTAS"</f>
        <v>ARMARIO BAIXO 2 PORTAS</v>
      </c>
      <c r="C1403" s="2" t="str">
        <f t="shared" si="54"/>
        <v>UN</v>
      </c>
      <c r="D1403" s="7">
        <v>1200</v>
      </c>
      <c r="E1403" s="3">
        <v>4</v>
      </c>
      <c r="F1403" s="2">
        <v>9</v>
      </c>
      <c r="G1403" t="s">
        <v>514</v>
      </c>
    </row>
    <row r="1404" spans="1:7" x14ac:dyDescent="0.25">
      <c r="A1404" s="1" t="str">
        <f>"518251"</f>
        <v>518251</v>
      </c>
      <c r="B1404" s="2" t="str">
        <f>"ARMARIO BAIXO 3 PORTAS"</f>
        <v>ARMARIO BAIXO 3 PORTAS</v>
      </c>
      <c r="C1404" s="2" t="str">
        <f t="shared" si="54"/>
        <v>UN</v>
      </c>
      <c r="D1404" s="7">
        <v>1200</v>
      </c>
      <c r="E1404" s="3">
        <v>4</v>
      </c>
      <c r="F1404" s="2">
        <v>0</v>
      </c>
      <c r="G1404" t="s">
        <v>514</v>
      </c>
    </row>
    <row r="1405" spans="1:7" x14ac:dyDescent="0.25">
      <c r="A1405" s="1" t="str">
        <f>"518249"</f>
        <v>518249</v>
      </c>
      <c r="B1405" s="2" t="str">
        <f>"ARMARIO BAIXO 4 PORTAS"</f>
        <v>ARMARIO BAIXO 4 PORTAS</v>
      </c>
      <c r="C1405" s="2" t="str">
        <f t="shared" si="54"/>
        <v>UN</v>
      </c>
      <c r="D1405" s="7">
        <v>1200</v>
      </c>
      <c r="E1405" s="3">
        <v>4</v>
      </c>
      <c r="F1405" s="2">
        <v>0</v>
      </c>
      <c r="G1405" t="s">
        <v>513</v>
      </c>
    </row>
    <row r="1406" spans="1:7" x14ac:dyDescent="0.25">
      <c r="A1406" s="1" t="str">
        <f>"521240"</f>
        <v>521240</v>
      </c>
      <c r="B1406" s="2" t="str">
        <f>"ARMARIO BALCÃO"</f>
        <v>ARMARIO BALCÃO</v>
      </c>
      <c r="C1406" s="2" t="str">
        <f t="shared" si="54"/>
        <v>UN</v>
      </c>
      <c r="D1406" s="7">
        <v>99999</v>
      </c>
      <c r="E1406" s="3">
        <v>99</v>
      </c>
      <c r="F1406" s="2">
        <v>2</v>
      </c>
      <c r="G1406" t="s">
        <v>512</v>
      </c>
    </row>
    <row r="1407" spans="1:7" x14ac:dyDescent="0.25">
      <c r="A1407" s="1" t="str">
        <f>"527266"</f>
        <v>527266</v>
      </c>
      <c r="B1407" s="2" t="str">
        <f>"ARMARIO CORTA FOGO COD. TK10213 2000X1000X450 AMARELO"</f>
        <v>ARMARIO CORTA FOGO COD. TK10213 2000X1000X450 AMARELO</v>
      </c>
      <c r="C1407" s="2" t="str">
        <f t="shared" si="54"/>
        <v>UN</v>
      </c>
      <c r="D1407" s="7">
        <v>1200</v>
      </c>
      <c r="E1407" s="3">
        <v>4</v>
      </c>
      <c r="F1407" s="2">
        <v>5</v>
      </c>
      <c r="G1407" t="s">
        <v>513</v>
      </c>
    </row>
    <row r="1408" spans="1:7" x14ac:dyDescent="0.25">
      <c r="A1408" s="1" t="str">
        <f>"519515"</f>
        <v>519515</v>
      </c>
      <c r="B1408" s="2" t="str">
        <f>"ARMARIO COZINHA 05 PORTAS E 04 GAVETAS BRANCO TX TOTAL"</f>
        <v>ARMARIO COZINHA 05 PORTAS E 04 GAVETAS BRANCO TX TOTAL</v>
      </c>
      <c r="C1408" s="2" t="str">
        <f t="shared" si="54"/>
        <v>UN</v>
      </c>
      <c r="D1408" s="7">
        <v>1200</v>
      </c>
      <c r="E1408" s="3">
        <v>13</v>
      </c>
      <c r="F1408" s="2">
        <v>6</v>
      </c>
      <c r="G1408" t="s">
        <v>514</v>
      </c>
    </row>
    <row r="1409" spans="1:7" x14ac:dyDescent="0.25">
      <c r="A1409" s="1" t="str">
        <f>"522664"</f>
        <v>522664</v>
      </c>
      <c r="B1409" s="8" t="s">
        <v>324</v>
      </c>
      <c r="C1409" s="2" t="str">
        <f t="shared" si="54"/>
        <v>UN</v>
      </c>
      <c r="D1409" s="7">
        <v>817</v>
      </c>
      <c r="E1409" s="3">
        <v>10</v>
      </c>
      <c r="F1409" s="2">
        <v>9</v>
      </c>
      <c r="G1409" t="s">
        <v>514</v>
      </c>
    </row>
    <row r="1410" spans="1:7" x14ac:dyDescent="0.25">
      <c r="A1410" s="1" t="str">
        <f>"518248"</f>
        <v>518248</v>
      </c>
      <c r="B1410" s="2" t="str">
        <f>"ARMARIO ESTANTE"</f>
        <v>ARMARIO ESTANTE</v>
      </c>
      <c r="C1410" s="2" t="str">
        <f t="shared" si="54"/>
        <v>UN</v>
      </c>
      <c r="D1410" s="7">
        <v>1200</v>
      </c>
      <c r="E1410" s="3">
        <v>4</v>
      </c>
      <c r="F1410" s="2">
        <v>5</v>
      </c>
      <c r="G1410" t="s">
        <v>514</v>
      </c>
    </row>
    <row r="1411" spans="1:7" x14ac:dyDescent="0.25">
      <c r="A1411" s="1" t="str">
        <f>"518247"</f>
        <v>518247</v>
      </c>
      <c r="B1411" s="2" t="str">
        <f>"ARMARIO EXECUTIVO"</f>
        <v>ARMARIO EXECUTIVO</v>
      </c>
      <c r="C1411" s="2" t="str">
        <f t="shared" si="54"/>
        <v>UN</v>
      </c>
      <c r="D1411" s="7">
        <v>1200</v>
      </c>
      <c r="E1411" s="3">
        <v>4</v>
      </c>
      <c r="F1411" s="2">
        <v>3</v>
      </c>
      <c r="G1411" t="s">
        <v>513</v>
      </c>
    </row>
    <row r="1412" spans="1:7" x14ac:dyDescent="0.25">
      <c r="A1412" s="1" t="str">
        <f>"518255"</f>
        <v>518255</v>
      </c>
      <c r="B1412" s="2" t="str">
        <f>"ARMARIO EXECUTIVO"</f>
        <v>ARMARIO EXECUTIVO</v>
      </c>
      <c r="C1412" s="2" t="str">
        <f t="shared" si="54"/>
        <v>UN</v>
      </c>
      <c r="D1412" s="7">
        <v>1200</v>
      </c>
      <c r="E1412" s="3">
        <v>4</v>
      </c>
      <c r="F1412" s="2">
        <v>3</v>
      </c>
      <c r="G1412" t="s">
        <v>513</v>
      </c>
    </row>
    <row r="1413" spans="1:7" x14ac:dyDescent="0.25">
      <c r="A1413" s="1" t="str">
        <f>"518252"</f>
        <v>518252</v>
      </c>
      <c r="B1413" s="2" t="str">
        <f>"ARMARIO ISALUBRE"</f>
        <v>ARMARIO ISALUBRE</v>
      </c>
      <c r="C1413" s="2" t="str">
        <f t="shared" si="54"/>
        <v>UN</v>
      </c>
      <c r="D1413" s="7">
        <v>1200</v>
      </c>
      <c r="E1413" s="3">
        <v>4</v>
      </c>
      <c r="F1413" s="2">
        <v>2</v>
      </c>
      <c r="G1413" t="s">
        <v>513</v>
      </c>
    </row>
    <row r="1414" spans="1:7" x14ac:dyDescent="0.25">
      <c r="A1414" s="1" t="str">
        <f>"522782"</f>
        <v>522782</v>
      </c>
      <c r="B1414" s="2" t="str">
        <f>"ARMARIO MDF 18,5MM VERT 1 DIV 3 PRATELEIRAS"</f>
        <v>ARMARIO MDF 18,5MM VERT 1 DIV 3 PRATELEIRAS</v>
      </c>
      <c r="C1414" s="2" t="str">
        <f t="shared" si="54"/>
        <v>UN</v>
      </c>
      <c r="D1414" s="7">
        <v>99999</v>
      </c>
      <c r="E1414" s="3">
        <v>99</v>
      </c>
      <c r="F1414" s="2">
        <v>1</v>
      </c>
      <c r="G1414" t="s">
        <v>512</v>
      </c>
    </row>
    <row r="1415" spans="1:7" x14ac:dyDescent="0.25">
      <c r="A1415" s="1" t="str">
        <f>"507076"</f>
        <v>507076</v>
      </c>
      <c r="B1415" s="2" t="str">
        <f>"ARMARIO MULTI-USO GAMOL 1.40MT - BRANCO"</f>
        <v>ARMARIO MULTI-USO GAMOL 1.40MT - BRANCO</v>
      </c>
      <c r="C1415" s="2" t="str">
        <f t="shared" si="54"/>
        <v>UN</v>
      </c>
      <c r="D1415" s="7">
        <v>1200</v>
      </c>
      <c r="E1415" s="3">
        <v>13</v>
      </c>
      <c r="F1415" s="2">
        <v>4</v>
      </c>
      <c r="G1415" t="s">
        <v>513</v>
      </c>
    </row>
    <row r="1416" spans="1:7" x14ac:dyDescent="0.25">
      <c r="A1416" s="1" t="str">
        <f>"527657"</f>
        <v>527657</v>
      </c>
      <c r="B1416" s="2" t="str">
        <f>"ARMARIO MULTI-USO QUADRADUPLO 8 PORTAS NK 4302"</f>
        <v>ARMARIO MULTI-USO QUADRADUPLO 8 PORTAS NK 4302</v>
      </c>
      <c r="C1416" s="2" t="str">
        <f t="shared" si="54"/>
        <v>UN</v>
      </c>
      <c r="D1416" s="7">
        <v>1200</v>
      </c>
      <c r="E1416" s="3">
        <v>99</v>
      </c>
      <c r="F1416" s="2">
        <v>6</v>
      </c>
      <c r="G1416" t="s">
        <v>514</v>
      </c>
    </row>
    <row r="1417" spans="1:7" x14ac:dyDescent="0.25">
      <c r="A1417" s="1" t="str">
        <f>"527658"</f>
        <v>527658</v>
      </c>
      <c r="B1417" s="2" t="str">
        <f>"ARMARIO MULTI-USO QUADRADUPLO 8 PORTAS NK 4302"</f>
        <v>ARMARIO MULTI-USO QUADRADUPLO 8 PORTAS NK 4302</v>
      </c>
      <c r="C1417" s="2" t="str">
        <f t="shared" si="54"/>
        <v>UN</v>
      </c>
      <c r="D1417" s="7">
        <v>1200</v>
      </c>
      <c r="E1417" s="3">
        <v>99</v>
      </c>
      <c r="F1417" s="2">
        <v>8</v>
      </c>
      <c r="G1417" t="s">
        <v>515</v>
      </c>
    </row>
    <row r="1418" spans="1:7" x14ac:dyDescent="0.25">
      <c r="A1418" s="1" t="str">
        <f>"520769"</f>
        <v>520769</v>
      </c>
      <c r="B1418" s="2" t="str">
        <f>"ARMARIO NILKO 1401 PROF. 380X450X1820MM COLETOR DE ROUPA"</f>
        <v>ARMARIO NILKO 1401 PROF. 380X450X1820MM COLETOR DE ROUPA</v>
      </c>
      <c r="C1418" s="2" t="str">
        <f t="shared" si="54"/>
        <v>UN</v>
      </c>
      <c r="D1418" s="7">
        <v>1200</v>
      </c>
      <c r="E1418" s="3">
        <v>99</v>
      </c>
      <c r="F1418" s="2">
        <v>7</v>
      </c>
      <c r="G1418" t="s">
        <v>512</v>
      </c>
    </row>
    <row r="1419" spans="1:7" x14ac:dyDescent="0.25">
      <c r="A1419" s="1" t="str">
        <f>"520768"</f>
        <v>520768</v>
      </c>
      <c r="B1419" s="2" t="str">
        <f>"ARMARIO NILKO 1405 PROF. 380X450X1820MM C/ 5 POPRTAS"</f>
        <v>ARMARIO NILKO 1405 PROF. 380X450X1820MM C/ 5 POPRTAS</v>
      </c>
      <c r="C1419" s="2" t="str">
        <f t="shared" si="54"/>
        <v>UN</v>
      </c>
      <c r="D1419" s="7">
        <v>1200</v>
      </c>
      <c r="E1419" s="3">
        <v>99</v>
      </c>
      <c r="F1419" s="2">
        <v>6</v>
      </c>
      <c r="G1419" t="s">
        <v>516</v>
      </c>
    </row>
    <row r="1420" spans="1:7" x14ac:dyDescent="0.25">
      <c r="A1420" s="1" t="str">
        <f>"520767"</f>
        <v>520767</v>
      </c>
      <c r="B1420" s="2" t="str">
        <f>"ARMARIO NILKO 1420 PROF. 380X450X1820MM C/ 20 PORTAS"</f>
        <v>ARMARIO NILKO 1420 PROF. 380X450X1820MM C/ 20 PORTAS</v>
      </c>
      <c r="C1420" s="2" t="str">
        <f t="shared" si="54"/>
        <v>UN</v>
      </c>
      <c r="D1420" s="7">
        <v>1200</v>
      </c>
      <c r="E1420" s="3">
        <v>99</v>
      </c>
      <c r="F1420" s="2">
        <v>6</v>
      </c>
      <c r="G1420" t="s">
        <v>515</v>
      </c>
    </row>
    <row r="1421" spans="1:7" x14ac:dyDescent="0.25">
      <c r="A1421" s="1" t="str">
        <f>"523811"</f>
        <v>523811</v>
      </c>
      <c r="B1421" s="2" t="str">
        <f>"ARMÁRIO NILKO NK1303 MULTI-USO 03 PORTAS"</f>
        <v>ARMÁRIO NILKO NK1303 MULTI-USO 03 PORTAS</v>
      </c>
      <c r="C1421" s="2" t="str">
        <f t="shared" si="54"/>
        <v>UN</v>
      </c>
      <c r="D1421" s="7">
        <v>1200</v>
      </c>
      <c r="E1421" s="3">
        <v>99</v>
      </c>
      <c r="F1421" s="2">
        <v>2</v>
      </c>
      <c r="G1421" t="s">
        <v>514</v>
      </c>
    </row>
    <row r="1422" spans="1:7" x14ac:dyDescent="0.25">
      <c r="A1422" s="1" t="str">
        <f>"522584"</f>
        <v>522584</v>
      </c>
      <c r="B1422" s="2" t="str">
        <f>"ARMÁRIO NILKO NK3334 MULTI-USO TRIPLO 12 PORTAS"</f>
        <v>ARMÁRIO NILKO NK3334 MULTI-USO TRIPLO 12 PORTAS</v>
      </c>
      <c r="C1422" s="2" t="str">
        <f t="shared" si="54"/>
        <v>UN</v>
      </c>
      <c r="D1422" s="7">
        <v>1200</v>
      </c>
      <c r="E1422" s="3">
        <v>99</v>
      </c>
      <c r="F1422" s="2">
        <v>1</v>
      </c>
      <c r="G1422" t="s">
        <v>512</v>
      </c>
    </row>
    <row r="1423" spans="1:7" x14ac:dyDescent="0.25">
      <c r="A1423" s="1" t="str">
        <f>"521083"</f>
        <v>521083</v>
      </c>
      <c r="B1423" s="2" t="str">
        <f>"ARMARIO P/ EPI MODELO PI-05 60X90X30CM"</f>
        <v>ARMARIO P/ EPI MODELO PI-05 60X90X30CM</v>
      </c>
      <c r="C1423" s="2" t="str">
        <f t="shared" si="54"/>
        <v>UN</v>
      </c>
      <c r="D1423" s="7">
        <v>920</v>
      </c>
      <c r="E1423" s="3">
        <v>4</v>
      </c>
      <c r="F1423" s="2">
        <v>0</v>
      </c>
      <c r="G1423" t="s">
        <v>513</v>
      </c>
    </row>
    <row r="1424" spans="1:7" x14ac:dyDescent="0.25">
      <c r="A1424" s="1" t="str">
        <f>"526313"</f>
        <v>526313</v>
      </c>
      <c r="B1424" s="2" t="str">
        <f>"ARMARIO PAREDE P/ FERRAMENTAS 01 GAVETA"</f>
        <v>ARMARIO PAREDE P/ FERRAMENTAS 01 GAVETA</v>
      </c>
      <c r="C1424" s="2" t="str">
        <f t="shared" si="54"/>
        <v>UN</v>
      </c>
      <c r="D1424" s="7">
        <v>99999</v>
      </c>
      <c r="E1424" s="3">
        <v>99</v>
      </c>
      <c r="F1424" s="2">
        <v>0</v>
      </c>
      <c r="G1424" t="s">
        <v>514</v>
      </c>
    </row>
    <row r="1425" spans="1:7" x14ac:dyDescent="0.25">
      <c r="A1425" s="1" t="str">
        <f>"527659"</f>
        <v>527659</v>
      </c>
      <c r="B1425" s="2" t="str">
        <f>"ARMARIO PROFISSIONAL 10 PORTAS NK 1410"</f>
        <v>ARMARIO PROFISSIONAL 10 PORTAS NK 1410</v>
      </c>
      <c r="C1425" s="2" t="str">
        <f t="shared" si="54"/>
        <v>UN</v>
      </c>
      <c r="D1425" s="7">
        <v>1200</v>
      </c>
      <c r="E1425" s="3">
        <v>99</v>
      </c>
      <c r="F1425" s="2">
        <v>0</v>
      </c>
      <c r="G1425" t="s">
        <v>514</v>
      </c>
    </row>
    <row r="1426" spans="1:7" x14ac:dyDescent="0.25">
      <c r="A1426" s="1" t="str">
        <f>"525227"</f>
        <v>525227</v>
      </c>
      <c r="B1426" s="2" t="str">
        <f>"ARMÁRIO ROUPEIRO 4 PORTAS ALT.1850MMXLARG.650MMXPROF.400MM"</f>
        <v>ARMÁRIO ROUPEIRO 4 PORTAS ALT.1850MMXLARG.650MMXPROF.400MM</v>
      </c>
      <c r="C1426" s="2" t="str">
        <f t="shared" si="54"/>
        <v>UN</v>
      </c>
      <c r="D1426" s="7">
        <v>99999</v>
      </c>
      <c r="E1426" s="3">
        <v>4</v>
      </c>
      <c r="F1426" s="2">
        <v>3</v>
      </c>
      <c r="G1426" t="s">
        <v>512</v>
      </c>
    </row>
    <row r="1427" spans="1:7" x14ac:dyDescent="0.25">
      <c r="A1427" s="1" t="str">
        <f>"511962"</f>
        <v>511962</v>
      </c>
      <c r="B1427" s="2" t="str">
        <f>"ARMARIO VEGEL AIA-404-E"</f>
        <v>ARMARIO VEGEL AIA-404-E</v>
      </c>
      <c r="C1427" s="2" t="str">
        <f t="shared" si="54"/>
        <v>UN</v>
      </c>
      <c r="D1427" s="7">
        <v>401</v>
      </c>
      <c r="E1427" s="3">
        <v>4</v>
      </c>
      <c r="F1427" s="5">
        <v>5</v>
      </c>
      <c r="G1427" t="s">
        <v>513</v>
      </c>
    </row>
    <row r="1428" spans="1:7" x14ac:dyDescent="0.25">
      <c r="A1428" s="1" t="str">
        <f>"515337"</f>
        <v>515337</v>
      </c>
      <c r="B1428" s="2" t="str">
        <f>"ARMARIO VERTICAL C/ 02 PORTAS AZUL"</f>
        <v>ARMARIO VERTICAL C/ 02 PORTAS AZUL</v>
      </c>
      <c r="C1428" s="2" t="str">
        <f t="shared" si="54"/>
        <v>UN</v>
      </c>
      <c r="D1428" s="7">
        <v>1200</v>
      </c>
      <c r="E1428" s="3">
        <v>13</v>
      </c>
      <c r="F1428" s="2">
        <v>3</v>
      </c>
      <c r="G1428" t="s">
        <v>514</v>
      </c>
    </row>
    <row r="1429" spans="1:7" x14ac:dyDescent="0.25">
      <c r="A1429" s="1" t="str">
        <f>"519514"</f>
        <v>519514</v>
      </c>
      <c r="B1429" s="2" t="str">
        <f>"ARMOR 5 LT - GEA"</f>
        <v>ARMOR 5 LT - GEA</v>
      </c>
      <c r="C1429" s="2" t="str">
        <f>"LT"</f>
        <v>LT</v>
      </c>
      <c r="D1429" s="7">
        <v>407</v>
      </c>
      <c r="E1429" s="3">
        <v>4</v>
      </c>
      <c r="F1429" s="2">
        <v>8</v>
      </c>
      <c r="G1429" t="s">
        <v>514</v>
      </c>
    </row>
    <row r="1430" spans="1:7" x14ac:dyDescent="0.25">
      <c r="A1430" s="1" t="str">
        <f>"515732"</f>
        <v>515732</v>
      </c>
      <c r="B1430" s="2" t="str">
        <f>"ARO C/ ROLETE"</f>
        <v>ARO C/ ROLETE</v>
      </c>
      <c r="C1430" s="2" t="str">
        <f>"UN"</f>
        <v>UN</v>
      </c>
      <c r="D1430" s="7">
        <v>812</v>
      </c>
      <c r="E1430" s="3">
        <v>4</v>
      </c>
      <c r="F1430" s="2">
        <v>6</v>
      </c>
      <c r="G1430" t="s">
        <v>514</v>
      </c>
    </row>
    <row r="1431" spans="1:7" x14ac:dyDescent="0.25">
      <c r="A1431" s="1" t="str">
        <f>"521679"</f>
        <v>521679</v>
      </c>
      <c r="B1431" s="2" t="str">
        <f>"ARO EM AÇO INOX 304 3,0MM X 20MM"</f>
        <v>ARO EM AÇO INOX 304 3,0MM X 20MM</v>
      </c>
      <c r="C1431" s="2" t="str">
        <f>"UN"</f>
        <v>UN</v>
      </c>
      <c r="D1431" s="7">
        <v>99999</v>
      </c>
      <c r="E1431" s="3">
        <v>99</v>
      </c>
      <c r="F1431" s="2">
        <v>4</v>
      </c>
      <c r="G1431" t="s">
        <v>513</v>
      </c>
    </row>
    <row r="1432" spans="1:7" x14ac:dyDescent="0.25">
      <c r="A1432" s="1" t="str">
        <f>"527159"</f>
        <v>527159</v>
      </c>
      <c r="B1432" s="2" t="str">
        <f>"ARO FERRO CROMADO"</f>
        <v>ARO FERRO CROMADO</v>
      </c>
      <c r="C1432" s="2" t="str">
        <f>"UN"</f>
        <v>UN</v>
      </c>
      <c r="D1432" s="7">
        <v>99999</v>
      </c>
      <c r="E1432" s="3">
        <v>99</v>
      </c>
      <c r="F1432" s="2">
        <v>1</v>
      </c>
      <c r="G1432" t="s">
        <v>512</v>
      </c>
    </row>
    <row r="1433" spans="1:7" x14ac:dyDescent="0.25">
      <c r="A1433" s="1" t="str">
        <f>"513424"</f>
        <v>513424</v>
      </c>
      <c r="B1433" s="2" t="str">
        <f>"AROMA DE ABACAXI E COCO GIVAUDAN"</f>
        <v>AROMA DE ABACAXI E COCO GIVAUDAN</v>
      </c>
      <c r="C1433" s="2" t="str">
        <f t="shared" ref="C1433:C1457" si="55">"KG"</f>
        <v>KG</v>
      </c>
      <c r="D1433" s="7">
        <v>206</v>
      </c>
      <c r="E1433" s="3">
        <v>2</v>
      </c>
      <c r="F1433" s="2">
        <v>2</v>
      </c>
      <c r="G1433" t="s">
        <v>513</v>
      </c>
    </row>
    <row r="1434" spans="1:7" x14ac:dyDescent="0.25">
      <c r="A1434" s="1" t="str">
        <f>"514377"</f>
        <v>514377</v>
      </c>
      <c r="B1434" s="2" t="str">
        <f>"AROMA DE COCO IFF SN947117 - QUALA"</f>
        <v>AROMA DE COCO IFF SN947117 - QUALA</v>
      </c>
      <c r="C1434" s="2" t="str">
        <f t="shared" si="55"/>
        <v>KG</v>
      </c>
      <c r="D1434" s="7">
        <v>206</v>
      </c>
      <c r="E1434" s="3">
        <v>2</v>
      </c>
      <c r="F1434" s="2">
        <v>7</v>
      </c>
      <c r="G1434" t="s">
        <v>514</v>
      </c>
    </row>
    <row r="1435" spans="1:7" x14ac:dyDescent="0.25">
      <c r="A1435" s="1" t="str">
        <f>"6562"</f>
        <v>6562</v>
      </c>
      <c r="B1435" s="2" t="str">
        <f>"AROMA DE COCO IFF SN947117 - QUALA"</f>
        <v>AROMA DE COCO IFF SN947117 - QUALA</v>
      </c>
      <c r="C1435" s="2" t="str">
        <f t="shared" si="55"/>
        <v>KG</v>
      </c>
      <c r="D1435" s="7">
        <v>206</v>
      </c>
      <c r="E1435" s="3">
        <v>2</v>
      </c>
      <c r="F1435" s="2">
        <v>9</v>
      </c>
      <c r="G1435" t="s">
        <v>514</v>
      </c>
    </row>
    <row r="1436" spans="1:7" x14ac:dyDescent="0.25">
      <c r="A1436" s="1" t="str">
        <f>"514378"</f>
        <v>514378</v>
      </c>
      <c r="B1436" s="2" t="str">
        <f>"AROMA DE GRAVIOLA FIRM.502117A - QUALA"</f>
        <v>AROMA DE GRAVIOLA FIRM.502117A - QUALA</v>
      </c>
      <c r="C1436" s="2" t="str">
        <f t="shared" si="55"/>
        <v>KG</v>
      </c>
      <c r="D1436" s="7">
        <v>206</v>
      </c>
      <c r="E1436" s="3">
        <v>2</v>
      </c>
      <c r="F1436" s="2">
        <v>0</v>
      </c>
      <c r="G1436" t="s">
        <v>514</v>
      </c>
    </row>
    <row r="1437" spans="1:7" x14ac:dyDescent="0.25">
      <c r="A1437" s="1" t="str">
        <f>"6569"</f>
        <v>6569</v>
      </c>
      <c r="B1437" s="2" t="str">
        <f>"AROMA DE GRAVIOLA FIRM.502117A - QUALA"</f>
        <v>AROMA DE GRAVIOLA FIRM.502117A - QUALA</v>
      </c>
      <c r="C1437" s="2" t="str">
        <f t="shared" si="55"/>
        <v>KG</v>
      </c>
      <c r="D1437" s="7">
        <v>206</v>
      </c>
      <c r="E1437" s="3">
        <v>2</v>
      </c>
      <c r="F1437" s="2">
        <v>0</v>
      </c>
      <c r="G1437" t="s">
        <v>513</v>
      </c>
    </row>
    <row r="1438" spans="1:7" x14ac:dyDescent="0.25">
      <c r="A1438" s="1" t="str">
        <f>"514379"</f>
        <v>514379</v>
      </c>
      <c r="B1438" s="2" t="str">
        <f>"AROMA DE GRAVIOLA FIRM.562894A - QUALA"</f>
        <v>AROMA DE GRAVIOLA FIRM.562894A - QUALA</v>
      </c>
      <c r="C1438" s="2" t="str">
        <f t="shared" si="55"/>
        <v>KG</v>
      </c>
      <c r="D1438" s="7">
        <v>206</v>
      </c>
      <c r="E1438" s="3">
        <v>2</v>
      </c>
      <c r="F1438" s="2">
        <v>2</v>
      </c>
      <c r="G1438" t="s">
        <v>513</v>
      </c>
    </row>
    <row r="1439" spans="1:7" x14ac:dyDescent="0.25">
      <c r="A1439" s="1" t="str">
        <f>"6568"</f>
        <v>6568</v>
      </c>
      <c r="B1439" s="2" t="str">
        <f>"AROMA DE GRAVIOLA FIRM.562894A - QUALA"</f>
        <v>AROMA DE GRAVIOLA FIRM.562894A - QUALA</v>
      </c>
      <c r="C1439" s="2" t="str">
        <f t="shared" si="55"/>
        <v>KG</v>
      </c>
      <c r="D1439" s="7">
        <v>206</v>
      </c>
      <c r="E1439" s="3">
        <v>2</v>
      </c>
      <c r="F1439" s="2">
        <v>5</v>
      </c>
      <c r="G1439" t="s">
        <v>513</v>
      </c>
    </row>
    <row r="1440" spans="1:7" x14ac:dyDescent="0.25">
      <c r="A1440" s="1" t="str">
        <f>"514380"</f>
        <v>514380</v>
      </c>
      <c r="B1440" s="2" t="str">
        <f>"AROMA DE LEITE COND. IFFSN89797 - QUALA"</f>
        <v>AROMA DE LEITE COND. IFFSN89797 - QUALA</v>
      </c>
      <c r="C1440" s="2" t="str">
        <f t="shared" si="55"/>
        <v>KG</v>
      </c>
      <c r="D1440" s="7">
        <v>206</v>
      </c>
      <c r="E1440" s="3">
        <v>2</v>
      </c>
      <c r="F1440" s="2">
        <v>6</v>
      </c>
      <c r="G1440" t="s">
        <v>512</v>
      </c>
    </row>
    <row r="1441" spans="1:7" x14ac:dyDescent="0.25">
      <c r="A1441" s="1" t="str">
        <f>"6563"</f>
        <v>6563</v>
      </c>
      <c r="B1441" s="2" t="str">
        <f>"AROMA DE LEITE COND. IFFSN89797 - QUALA"</f>
        <v>AROMA DE LEITE COND. IFFSN89797 - QUALA</v>
      </c>
      <c r="C1441" s="2" t="str">
        <f t="shared" si="55"/>
        <v>KG</v>
      </c>
      <c r="D1441" s="7">
        <v>206</v>
      </c>
      <c r="E1441" s="3">
        <v>2</v>
      </c>
      <c r="F1441" s="2">
        <v>9</v>
      </c>
      <c r="G1441" t="s">
        <v>513</v>
      </c>
    </row>
    <row r="1442" spans="1:7" x14ac:dyDescent="0.25">
      <c r="A1442" s="1" t="str">
        <f>"514381"</f>
        <v>514381</v>
      </c>
      <c r="B1442" s="2" t="str">
        <f>"AROMA DE LEITE COND.IFFSN29278 - QUALA"</f>
        <v>AROMA DE LEITE COND.IFFSN29278 - QUALA</v>
      </c>
      <c r="C1442" s="2" t="str">
        <f t="shared" si="55"/>
        <v>KG</v>
      </c>
      <c r="D1442" s="7">
        <v>206</v>
      </c>
      <c r="E1442" s="3">
        <v>2</v>
      </c>
      <c r="F1442" s="2">
        <v>5</v>
      </c>
      <c r="G1442" t="s">
        <v>514</v>
      </c>
    </row>
    <row r="1443" spans="1:7" x14ac:dyDescent="0.25">
      <c r="A1443" s="1" t="str">
        <f>"6564"</f>
        <v>6564</v>
      </c>
      <c r="B1443" s="2" t="str">
        <f>"AROMA DE LEITE COND.IFFSN29278 - QUALA"</f>
        <v>AROMA DE LEITE COND.IFFSN29278 - QUALA</v>
      </c>
      <c r="C1443" s="2" t="str">
        <f t="shared" si="55"/>
        <v>KG</v>
      </c>
      <c r="D1443" s="7">
        <v>206</v>
      </c>
      <c r="E1443" s="3">
        <v>2</v>
      </c>
      <c r="F1443" s="2">
        <v>3</v>
      </c>
      <c r="G1443" t="s">
        <v>515</v>
      </c>
    </row>
    <row r="1444" spans="1:7" x14ac:dyDescent="0.25">
      <c r="A1444" s="1" t="str">
        <f>"514382"</f>
        <v>514382</v>
      </c>
      <c r="B1444" s="2" t="str">
        <f>"AROMA DE LIMAO FIRMINICH - QUALA"</f>
        <v>AROMA DE LIMAO FIRMINICH - QUALA</v>
      </c>
      <c r="C1444" s="2" t="str">
        <f t="shared" si="55"/>
        <v>KG</v>
      </c>
      <c r="D1444" s="7">
        <v>206</v>
      </c>
      <c r="E1444" s="3">
        <v>2</v>
      </c>
      <c r="F1444" s="2">
        <v>3</v>
      </c>
      <c r="G1444" t="s">
        <v>512</v>
      </c>
    </row>
    <row r="1445" spans="1:7" x14ac:dyDescent="0.25">
      <c r="A1445" s="1" t="str">
        <f>"6770"</f>
        <v>6770</v>
      </c>
      <c r="B1445" s="2" t="str">
        <f>"AROMA DE LIMAO FIRMINICH - QUALA"</f>
        <v>AROMA DE LIMAO FIRMINICH - QUALA</v>
      </c>
      <c r="C1445" s="2" t="str">
        <f t="shared" si="55"/>
        <v>KG</v>
      </c>
      <c r="D1445" s="7">
        <v>206</v>
      </c>
      <c r="E1445" s="3">
        <v>2</v>
      </c>
      <c r="F1445" s="2">
        <v>2</v>
      </c>
      <c r="G1445" t="s">
        <v>516</v>
      </c>
    </row>
    <row r="1446" spans="1:7" x14ac:dyDescent="0.25">
      <c r="A1446" s="1" t="str">
        <f>"514383"</f>
        <v>514383</v>
      </c>
      <c r="B1446" s="2" t="str">
        <f>"AROMA DE LIMAO IFF 8264 - QUALA"</f>
        <v>AROMA DE LIMAO IFF 8264 - QUALA</v>
      </c>
      <c r="C1446" s="2" t="str">
        <f t="shared" si="55"/>
        <v>KG</v>
      </c>
      <c r="D1446" s="7">
        <v>206</v>
      </c>
      <c r="E1446" s="3">
        <v>2</v>
      </c>
      <c r="F1446" s="2">
        <v>1</v>
      </c>
      <c r="G1446" t="s">
        <v>515</v>
      </c>
    </row>
    <row r="1447" spans="1:7" x14ac:dyDescent="0.25">
      <c r="A1447" s="1" t="str">
        <f>"6769"</f>
        <v>6769</v>
      </c>
      <c r="B1447" s="2" t="str">
        <f>"AROMA DE LIMAO IFF 8264 - QUALA"</f>
        <v>AROMA DE LIMAO IFF 8264 - QUALA</v>
      </c>
      <c r="C1447" s="2" t="str">
        <f t="shared" si="55"/>
        <v>KG</v>
      </c>
      <c r="D1447" s="7">
        <v>206</v>
      </c>
      <c r="E1447" s="3">
        <v>2</v>
      </c>
      <c r="F1447" s="2">
        <v>4</v>
      </c>
      <c r="G1447" t="s">
        <v>514</v>
      </c>
    </row>
    <row r="1448" spans="1:7" x14ac:dyDescent="0.25">
      <c r="A1448" s="1" t="str">
        <f>"514384"</f>
        <v>514384</v>
      </c>
      <c r="B1448" s="2" t="str">
        <f>"AROMA DE MANGA FIR. 591798 - QUALA"</f>
        <v>AROMA DE MANGA FIR. 591798 - QUALA</v>
      </c>
      <c r="C1448" s="2" t="str">
        <f t="shared" si="55"/>
        <v>KG</v>
      </c>
      <c r="D1448" s="7">
        <v>206</v>
      </c>
      <c r="E1448" s="3">
        <v>2</v>
      </c>
      <c r="F1448" s="2">
        <v>1</v>
      </c>
      <c r="G1448" t="s">
        <v>512</v>
      </c>
    </row>
    <row r="1449" spans="1:7" x14ac:dyDescent="0.25">
      <c r="A1449" s="1" t="str">
        <f>"6565"</f>
        <v>6565</v>
      </c>
      <c r="B1449" s="2" t="str">
        <f>"AROMA DE MANGA FIR. 591798 - QUALA"</f>
        <v>AROMA DE MANGA FIR. 591798 - QUALA</v>
      </c>
      <c r="C1449" s="2" t="str">
        <f t="shared" si="55"/>
        <v>KG</v>
      </c>
      <c r="D1449" s="7">
        <v>206</v>
      </c>
      <c r="E1449" s="3">
        <v>2</v>
      </c>
      <c r="F1449" s="2">
        <v>2</v>
      </c>
      <c r="G1449" t="s">
        <v>513</v>
      </c>
    </row>
    <row r="1450" spans="1:7" x14ac:dyDescent="0.25">
      <c r="A1450" s="1" t="str">
        <f>"514385"</f>
        <v>514385</v>
      </c>
      <c r="B1450" s="2" t="str">
        <f>"AROMA DE MANGA SYM 332 - QUALA"</f>
        <v>AROMA DE MANGA SYM 332 - QUALA</v>
      </c>
      <c r="C1450" s="2" t="str">
        <f t="shared" si="55"/>
        <v>KG</v>
      </c>
      <c r="D1450" s="7">
        <v>206</v>
      </c>
      <c r="E1450" s="3">
        <v>2</v>
      </c>
      <c r="F1450" s="2">
        <v>7</v>
      </c>
      <c r="G1450" t="s">
        <v>514</v>
      </c>
    </row>
    <row r="1451" spans="1:7" x14ac:dyDescent="0.25">
      <c r="A1451" s="1" t="str">
        <f>"6567"</f>
        <v>6567</v>
      </c>
      <c r="B1451" s="2" t="str">
        <f>"AROMA DE MANGA SYM 332 - QUALA"</f>
        <v>AROMA DE MANGA SYM 332 - QUALA</v>
      </c>
      <c r="C1451" s="2" t="str">
        <f t="shared" si="55"/>
        <v>KG</v>
      </c>
      <c r="D1451" s="7">
        <v>206</v>
      </c>
      <c r="E1451" s="3">
        <v>2</v>
      </c>
      <c r="F1451" s="2">
        <v>9</v>
      </c>
      <c r="G1451" t="s">
        <v>514</v>
      </c>
    </row>
    <row r="1452" spans="1:7" x14ac:dyDescent="0.25">
      <c r="A1452" s="1" t="str">
        <f>"514386"</f>
        <v>514386</v>
      </c>
      <c r="B1452" s="2" t="str">
        <f>"AROMA DE MARACUJA FIRM.593732T - QUALA"</f>
        <v>AROMA DE MARACUJA FIRM.593732T - QUALA</v>
      </c>
      <c r="C1452" s="2" t="str">
        <f t="shared" si="55"/>
        <v>KG</v>
      </c>
      <c r="D1452" s="7">
        <v>206</v>
      </c>
      <c r="E1452" s="3">
        <v>2</v>
      </c>
      <c r="F1452" s="2">
        <v>0</v>
      </c>
      <c r="G1452" t="s">
        <v>512</v>
      </c>
    </row>
    <row r="1453" spans="1:7" x14ac:dyDescent="0.25">
      <c r="A1453" s="1" t="str">
        <f>"6570"</f>
        <v>6570</v>
      </c>
      <c r="B1453" s="2" t="str">
        <f>"AROMA DE MARACUJA FIRM.593732T - QUALA"</f>
        <v>AROMA DE MARACUJA FIRM.593732T - QUALA</v>
      </c>
      <c r="C1453" s="2" t="str">
        <f t="shared" si="55"/>
        <v>KG</v>
      </c>
      <c r="D1453" s="7">
        <v>206</v>
      </c>
      <c r="E1453" s="3">
        <v>2</v>
      </c>
      <c r="F1453" s="2">
        <v>0</v>
      </c>
      <c r="G1453" t="s">
        <v>513</v>
      </c>
    </row>
    <row r="1454" spans="1:7" x14ac:dyDescent="0.25">
      <c r="A1454" s="1" t="str">
        <f>"514387"</f>
        <v>514387</v>
      </c>
      <c r="B1454" s="2" t="str">
        <f>"AROMA DE MORANGO GIV - KR3985392 QUALA"</f>
        <v>AROMA DE MORANGO GIV - KR3985392 QUALA</v>
      </c>
      <c r="C1454" s="2" t="str">
        <f t="shared" si="55"/>
        <v>KG</v>
      </c>
      <c r="D1454" s="7">
        <v>206</v>
      </c>
      <c r="E1454" s="3">
        <v>2</v>
      </c>
      <c r="F1454" s="2">
        <v>4</v>
      </c>
      <c r="G1454" t="s">
        <v>514</v>
      </c>
    </row>
    <row r="1455" spans="1:7" x14ac:dyDescent="0.25">
      <c r="A1455" s="1" t="str">
        <f>"6561"</f>
        <v>6561</v>
      </c>
      <c r="B1455" s="2" t="str">
        <f>"AROMA DE MORANGO GIV - KR3985392 QUALA"</f>
        <v>AROMA DE MORANGO GIV - KR3985392 QUALA</v>
      </c>
      <c r="C1455" s="2" t="str">
        <f t="shared" si="55"/>
        <v>KG</v>
      </c>
      <c r="D1455" s="7">
        <v>206</v>
      </c>
      <c r="E1455" s="3">
        <v>2</v>
      </c>
      <c r="F1455" s="2">
        <v>1</v>
      </c>
      <c r="G1455" t="s">
        <v>514</v>
      </c>
    </row>
    <row r="1456" spans="1:7" x14ac:dyDescent="0.25">
      <c r="A1456" s="1" t="str">
        <f>"514388"</f>
        <v>514388</v>
      </c>
      <c r="B1456" s="2" t="str">
        <f>"AROMA DE PESSEGO SYM 296324 - QUALA"</f>
        <v>AROMA DE PESSEGO SYM 296324 - QUALA</v>
      </c>
      <c r="C1456" s="2" t="str">
        <f t="shared" si="55"/>
        <v>KG</v>
      </c>
      <c r="D1456" s="7">
        <v>206</v>
      </c>
      <c r="E1456" s="3">
        <v>2</v>
      </c>
      <c r="F1456" s="2">
        <v>2</v>
      </c>
      <c r="G1456" t="s">
        <v>514</v>
      </c>
    </row>
    <row r="1457" spans="1:7" x14ac:dyDescent="0.25">
      <c r="A1457" s="1" t="str">
        <f>"6566"</f>
        <v>6566</v>
      </c>
      <c r="B1457" s="2" t="str">
        <f>"AROMA DE PESSEGO SYM 296324 - QUALA"</f>
        <v>AROMA DE PESSEGO SYM 296324 - QUALA</v>
      </c>
      <c r="C1457" s="2" t="str">
        <f t="shared" si="55"/>
        <v>KG</v>
      </c>
      <c r="D1457" s="7">
        <v>206</v>
      </c>
      <c r="E1457" s="3">
        <v>2</v>
      </c>
      <c r="F1457" s="2">
        <v>7</v>
      </c>
      <c r="G1457" t="s">
        <v>513</v>
      </c>
    </row>
    <row r="1458" spans="1:7" x14ac:dyDescent="0.25">
      <c r="A1458" s="1" t="str">
        <f>"516324"</f>
        <v>516324</v>
      </c>
      <c r="B1458" s="2" t="str">
        <f>"AROMA DE UVA 3003364 - QUALA"</f>
        <v>AROMA DE UVA 3003364 - QUALA</v>
      </c>
      <c r="C1458" s="2" t="str">
        <f>"kg"</f>
        <v>kg</v>
      </c>
      <c r="D1458" s="7">
        <v>206</v>
      </c>
      <c r="E1458" s="3">
        <v>2</v>
      </c>
      <c r="F1458" s="2">
        <v>9</v>
      </c>
      <c r="G1458" t="s">
        <v>512</v>
      </c>
    </row>
    <row r="1459" spans="1:7" x14ac:dyDescent="0.25">
      <c r="A1459" s="1" t="str">
        <f>"519500"</f>
        <v>519500</v>
      </c>
      <c r="B1459" s="2" t="str">
        <f>"AROMA FRUTAS VERMELHAS GIV 3003368 - QUALA"</f>
        <v>AROMA FRUTAS VERMELHAS GIV 3003368 - QUALA</v>
      </c>
      <c r="C1459" s="2" t="str">
        <f>"kg"</f>
        <v>kg</v>
      </c>
      <c r="D1459" s="7">
        <v>206</v>
      </c>
      <c r="E1459" s="3">
        <v>2</v>
      </c>
      <c r="F1459" s="2">
        <v>0</v>
      </c>
      <c r="G1459" t="s">
        <v>513</v>
      </c>
    </row>
    <row r="1460" spans="1:7" x14ac:dyDescent="0.25">
      <c r="A1460" s="1" t="str">
        <f>"519499"</f>
        <v>519499</v>
      </c>
      <c r="B1460" s="2" t="str">
        <f>"AROMA FRUTAS VERMELHAS SC189948 IFF - QUALA"</f>
        <v>AROMA FRUTAS VERMELHAS SC189948 IFF - QUALA</v>
      </c>
      <c r="C1460" s="2" t="str">
        <f>"kg"</f>
        <v>kg</v>
      </c>
      <c r="D1460" s="7">
        <v>206</v>
      </c>
      <c r="E1460" s="3">
        <v>2</v>
      </c>
      <c r="F1460" s="2">
        <v>0</v>
      </c>
      <c r="G1460" t="s">
        <v>514</v>
      </c>
    </row>
    <row r="1461" spans="1:7" x14ac:dyDescent="0.25">
      <c r="A1461" s="1" t="str">
        <f>"2425"</f>
        <v>2425</v>
      </c>
      <c r="B1461" s="2" t="str">
        <f>"AROMA IDENTICO AO NATURAL DE MORANGO B73304"</f>
        <v>AROMA IDENTICO AO NATURAL DE MORANGO B73304</v>
      </c>
      <c r="C1461" s="2" t="str">
        <f>"kg"</f>
        <v>kg</v>
      </c>
      <c r="D1461" s="7">
        <v>206</v>
      </c>
      <c r="E1461" s="3">
        <v>2</v>
      </c>
      <c r="F1461" s="2">
        <v>2</v>
      </c>
      <c r="G1461" t="s">
        <v>514</v>
      </c>
    </row>
    <row r="1462" spans="1:7" x14ac:dyDescent="0.25">
      <c r="A1462" s="1" t="str">
        <f>"519512"</f>
        <v>519512</v>
      </c>
      <c r="B1462" s="2" t="str">
        <f>"AROMA LAMBADA AIN A 57491 MANE"</f>
        <v>AROMA LAMBADA AIN A 57491 MANE</v>
      </c>
      <c r="C1462" s="2" t="str">
        <f>"KG"</f>
        <v>KG</v>
      </c>
      <c r="D1462" s="7">
        <v>206</v>
      </c>
      <c r="E1462" s="3">
        <v>2</v>
      </c>
      <c r="F1462" s="2">
        <v>5</v>
      </c>
      <c r="G1462" t="s">
        <v>514</v>
      </c>
    </row>
    <row r="1463" spans="1:7" x14ac:dyDescent="0.25">
      <c r="A1463" s="1" t="str">
        <f>"519511"</f>
        <v>519511</v>
      </c>
      <c r="B1463" s="2" t="str">
        <f>"AROMA LAMBADA FIR.51473A - QUALA"</f>
        <v>AROMA LAMBADA FIR.51473A - QUALA</v>
      </c>
      <c r="C1463" s="2" t="str">
        <f>"KG"</f>
        <v>KG</v>
      </c>
      <c r="D1463" s="7">
        <v>206</v>
      </c>
      <c r="E1463" s="3">
        <v>2</v>
      </c>
      <c r="F1463" s="2">
        <v>0</v>
      </c>
      <c r="G1463" t="s">
        <v>513</v>
      </c>
    </row>
    <row r="1464" spans="1:7" x14ac:dyDescent="0.25">
      <c r="A1464" s="1" t="str">
        <f>"513423"</f>
        <v>513423</v>
      </c>
      <c r="B1464" s="2" t="str">
        <f>"AROMA PINA COLADA A-54338 MANE (3003358)"</f>
        <v>AROMA PINA COLADA A-54338 MANE (3003358)</v>
      </c>
      <c r="C1464" s="2" t="str">
        <f>"KG"</f>
        <v>KG</v>
      </c>
      <c r="D1464" s="7">
        <v>206</v>
      </c>
      <c r="E1464" s="3">
        <v>2</v>
      </c>
      <c r="F1464" s="2">
        <v>2</v>
      </c>
      <c r="G1464" t="s">
        <v>513</v>
      </c>
    </row>
    <row r="1465" spans="1:7" x14ac:dyDescent="0.25">
      <c r="A1465" s="1" t="str">
        <f>"511681"</f>
        <v>511681</v>
      </c>
      <c r="B1465" s="2" t="str">
        <f>"AROMATIZANTE"</f>
        <v>AROMATIZANTE</v>
      </c>
      <c r="C1465" s="2" t="str">
        <f t="shared" ref="C1465:C1496" si="56">"UN"</f>
        <v>UN</v>
      </c>
      <c r="D1465" s="7">
        <v>400</v>
      </c>
      <c r="E1465" s="3">
        <v>4</v>
      </c>
      <c r="F1465" s="2">
        <v>5</v>
      </c>
      <c r="G1465" t="s">
        <v>513</v>
      </c>
    </row>
    <row r="1466" spans="1:7" x14ac:dyDescent="0.25">
      <c r="A1466" s="1" t="str">
        <f>"514603"</f>
        <v>514603</v>
      </c>
      <c r="B1466" s="2" t="str">
        <f>"AROOZ LAR"</f>
        <v>AROOZ LAR</v>
      </c>
      <c r="C1466" s="2" t="str">
        <f t="shared" si="56"/>
        <v>UN</v>
      </c>
      <c r="D1466" s="7">
        <v>401</v>
      </c>
      <c r="E1466" s="3">
        <v>4</v>
      </c>
      <c r="F1466" s="5">
        <v>5</v>
      </c>
      <c r="G1466" t="s">
        <v>512</v>
      </c>
    </row>
    <row r="1467" spans="1:7" x14ac:dyDescent="0.25">
      <c r="A1467" s="1" t="str">
        <f>"522779"</f>
        <v>522779</v>
      </c>
      <c r="B1467" s="2" t="str">
        <f>"ARQUICO AÇO 04 GAVETAS TABACO"</f>
        <v>ARQUICO AÇO 04 GAVETAS TABACO</v>
      </c>
      <c r="C1467" s="2" t="str">
        <f t="shared" si="56"/>
        <v>UN</v>
      </c>
      <c r="D1467" s="7">
        <v>99999</v>
      </c>
      <c r="E1467" s="3">
        <v>99</v>
      </c>
      <c r="F1467" s="2">
        <v>3</v>
      </c>
      <c r="G1467" t="s">
        <v>513</v>
      </c>
    </row>
    <row r="1468" spans="1:7" x14ac:dyDescent="0.25">
      <c r="A1468" s="1" t="str">
        <f>"511951"</f>
        <v>511951</v>
      </c>
      <c r="B1468" s="2" t="str">
        <f>"ARQUIVO AÇO 04 GAVETAS CINZA"</f>
        <v>ARQUIVO AÇO 04 GAVETAS CINZA</v>
      </c>
      <c r="C1468" s="2" t="str">
        <f t="shared" si="56"/>
        <v>UN</v>
      </c>
      <c r="D1468" s="7">
        <v>99999</v>
      </c>
      <c r="E1468" s="3">
        <v>99</v>
      </c>
      <c r="F1468" s="2">
        <v>8</v>
      </c>
      <c r="G1468" t="s">
        <v>514</v>
      </c>
    </row>
    <row r="1469" spans="1:7" x14ac:dyDescent="0.25">
      <c r="A1469" s="1" t="str">
        <f>"511952"</f>
        <v>511952</v>
      </c>
      <c r="B1469" s="2" t="str">
        <f>"ARQUIVO AÇO 04 GAVETAS CREME"</f>
        <v>ARQUIVO AÇO 04 GAVETAS CREME</v>
      </c>
      <c r="C1469" s="2" t="str">
        <f t="shared" si="56"/>
        <v>UN</v>
      </c>
      <c r="D1469" s="7">
        <v>99999</v>
      </c>
      <c r="E1469" s="3">
        <v>99</v>
      </c>
      <c r="F1469" s="2">
        <v>6</v>
      </c>
      <c r="G1469" t="s">
        <v>515</v>
      </c>
    </row>
    <row r="1470" spans="1:7" x14ac:dyDescent="0.25">
      <c r="A1470" s="1" t="str">
        <f>"517047"</f>
        <v>517047</v>
      </c>
      <c r="B1470" s="2" t="str">
        <f>"ARQUIVO AÇO 04 GAVETAS VERTICAL CINZA"</f>
        <v>ARQUIVO AÇO 04 GAVETAS VERTICAL CINZA</v>
      </c>
      <c r="C1470" s="2" t="str">
        <f t="shared" si="56"/>
        <v>UN</v>
      </c>
      <c r="D1470" s="7">
        <v>1200</v>
      </c>
      <c r="E1470" s="3">
        <v>10</v>
      </c>
      <c r="F1470" s="2">
        <v>4</v>
      </c>
      <c r="G1470" t="s">
        <v>512</v>
      </c>
    </row>
    <row r="1471" spans="1:7" x14ac:dyDescent="0.25">
      <c r="A1471" s="1" t="str">
        <f>"518316"</f>
        <v>518316</v>
      </c>
      <c r="B1471" s="2" t="str">
        <f>"ARQUIVO MALETA PP CRISTAL C10"</f>
        <v>ARQUIVO MALETA PP CRISTAL C10</v>
      </c>
      <c r="C1471" s="2" t="str">
        <f t="shared" si="56"/>
        <v>UN</v>
      </c>
      <c r="D1471" s="7">
        <v>401</v>
      </c>
      <c r="E1471" s="3">
        <v>4</v>
      </c>
      <c r="F1471" s="2">
        <v>1</v>
      </c>
      <c r="G1471" t="s">
        <v>516</v>
      </c>
    </row>
    <row r="1472" spans="1:7" x14ac:dyDescent="0.25">
      <c r="A1472" s="1" t="str">
        <f>"510443"</f>
        <v>510443</v>
      </c>
      <c r="B1472" s="2" t="str">
        <f>"ARQUIVO METAL 1330 X 470 X 700"</f>
        <v>ARQUIVO METAL 1330 X 470 X 700</v>
      </c>
      <c r="C1472" s="2" t="str">
        <f t="shared" si="56"/>
        <v>UN</v>
      </c>
      <c r="D1472" s="7">
        <v>401</v>
      </c>
      <c r="E1472" s="3">
        <v>4</v>
      </c>
      <c r="F1472" s="2">
        <v>2</v>
      </c>
      <c r="G1472" t="s">
        <v>515</v>
      </c>
    </row>
    <row r="1473" spans="1:7" x14ac:dyDescent="0.25">
      <c r="A1473" s="1" t="str">
        <f>"515080"</f>
        <v>515080</v>
      </c>
      <c r="B1473" s="2" t="str">
        <f>"ARQUIVO TRANSP. P/ PASTAS"</f>
        <v>ARQUIVO TRANSP. P/ PASTAS</v>
      </c>
      <c r="C1473" s="2" t="str">
        <f t="shared" si="56"/>
        <v>UN</v>
      </c>
      <c r="D1473" s="7">
        <v>401</v>
      </c>
      <c r="E1473" s="3">
        <v>4</v>
      </c>
      <c r="F1473" s="2">
        <v>7</v>
      </c>
      <c r="G1473" t="s">
        <v>514</v>
      </c>
    </row>
    <row r="1474" spans="1:7" x14ac:dyDescent="0.25">
      <c r="A1474" s="1" t="str">
        <f>"512747"</f>
        <v>512747</v>
      </c>
      <c r="B1474" s="2" t="str">
        <f>"ARR VT 31X36X2,4 8781 VEDAB"</f>
        <v>ARR VT 31X36X2,4 8781 VEDAB</v>
      </c>
      <c r="C1474" s="2" t="str">
        <f t="shared" si="56"/>
        <v>UN</v>
      </c>
      <c r="D1474" s="7">
        <v>918</v>
      </c>
      <c r="E1474" s="3">
        <v>11</v>
      </c>
      <c r="F1474" s="2">
        <v>9</v>
      </c>
      <c r="G1474" t="s">
        <v>512</v>
      </c>
    </row>
    <row r="1475" spans="1:7" x14ac:dyDescent="0.25">
      <c r="A1475" s="1" t="str">
        <f>"512750"</f>
        <v>512750</v>
      </c>
      <c r="B1475" s="2" t="str">
        <f>"ARR VT 35X42X4 15713 VDB"</f>
        <v>ARR VT 35X42X4 15713 VDB</v>
      </c>
      <c r="C1475" s="2" t="str">
        <f t="shared" si="56"/>
        <v>UN</v>
      </c>
      <c r="D1475" s="7">
        <v>918</v>
      </c>
      <c r="E1475" s="3">
        <v>11</v>
      </c>
      <c r="F1475" s="2">
        <v>0</v>
      </c>
      <c r="G1475" t="s">
        <v>513</v>
      </c>
    </row>
    <row r="1476" spans="1:7" x14ac:dyDescent="0.25">
      <c r="A1476" s="1" t="str">
        <f>"501745"</f>
        <v>501745</v>
      </c>
      <c r="B1476" s="2" t="str">
        <f>"ARRASTADOR"</f>
        <v>ARRASTADOR</v>
      </c>
      <c r="C1476" s="2" t="str">
        <f t="shared" si="56"/>
        <v>UN</v>
      </c>
      <c r="D1476" s="7">
        <v>704</v>
      </c>
      <c r="E1476" s="3">
        <v>9</v>
      </c>
      <c r="F1476" s="2">
        <v>0</v>
      </c>
      <c r="G1476" t="s">
        <v>514</v>
      </c>
    </row>
    <row r="1477" spans="1:7" x14ac:dyDescent="0.25">
      <c r="A1477" s="1" t="str">
        <f>"500204"</f>
        <v>500204</v>
      </c>
      <c r="B1477" s="2" t="str">
        <f>"ARREBITE DE ALUMINIO R-308"</f>
        <v>ARREBITE DE ALUMINIO R-308</v>
      </c>
      <c r="C1477" s="2" t="str">
        <f t="shared" si="56"/>
        <v>UN</v>
      </c>
      <c r="D1477" s="7">
        <v>402</v>
      </c>
      <c r="E1477" s="3">
        <v>4</v>
      </c>
      <c r="F1477" s="2">
        <v>2</v>
      </c>
      <c r="G1477" t="s">
        <v>514</v>
      </c>
    </row>
    <row r="1478" spans="1:7" x14ac:dyDescent="0.25">
      <c r="A1478" s="1" t="str">
        <f>"511014"</f>
        <v>511014</v>
      </c>
      <c r="B1478" s="2" t="str">
        <f>"ARREBITE POP 316 3,2 X 15MM ALUMINIO"</f>
        <v>ARREBITE POP 316 3,2 X 15MM ALUMINIO</v>
      </c>
      <c r="C1478" s="2" t="str">
        <f t="shared" si="56"/>
        <v>UN</v>
      </c>
      <c r="D1478" s="7">
        <v>918</v>
      </c>
      <c r="E1478" s="3">
        <v>11</v>
      </c>
      <c r="F1478" s="2">
        <v>5</v>
      </c>
      <c r="G1478" t="s">
        <v>512</v>
      </c>
    </row>
    <row r="1479" spans="1:7" x14ac:dyDescent="0.25">
      <c r="A1479" s="1" t="str">
        <f>"503069"</f>
        <v>503069</v>
      </c>
      <c r="B1479" s="2" t="str">
        <f>"ARREBITE POP 4,0X15MM"</f>
        <v>ARREBITE POP 4,0X15MM</v>
      </c>
      <c r="C1479" s="2" t="str">
        <f t="shared" si="56"/>
        <v>UN</v>
      </c>
      <c r="D1479" s="7">
        <v>402</v>
      </c>
      <c r="E1479" s="3">
        <v>4</v>
      </c>
      <c r="F1479" s="2">
        <v>6</v>
      </c>
      <c r="G1479" t="s">
        <v>513</v>
      </c>
    </row>
    <row r="1480" spans="1:7" x14ac:dyDescent="0.25">
      <c r="A1480" s="1" t="str">
        <f>"510458"</f>
        <v>510458</v>
      </c>
      <c r="B1480" s="2" t="str">
        <f>"ARREBITE POP N-314 3,2X14MM - ALUMINIO"</f>
        <v>ARREBITE POP N-314 3,2X14MM - ALUMINIO</v>
      </c>
      <c r="C1480" s="2" t="str">
        <f t="shared" si="56"/>
        <v>UN</v>
      </c>
      <c r="D1480" s="7">
        <v>812</v>
      </c>
      <c r="E1480" s="3">
        <v>10</v>
      </c>
      <c r="F1480" s="2">
        <v>9</v>
      </c>
      <c r="G1480" t="s">
        <v>514</v>
      </c>
    </row>
    <row r="1481" spans="1:7" x14ac:dyDescent="0.25">
      <c r="A1481" s="1" t="str">
        <f>"515211"</f>
        <v>515211</v>
      </c>
      <c r="B1481" s="2" t="str">
        <f>"ARREMATE U PVC"</f>
        <v>ARREMATE U PVC</v>
      </c>
      <c r="C1481" s="2" t="str">
        <f t="shared" si="56"/>
        <v>UN</v>
      </c>
      <c r="D1481" s="7">
        <v>917</v>
      </c>
      <c r="E1481" s="3">
        <v>4</v>
      </c>
      <c r="F1481" s="2">
        <v>5</v>
      </c>
      <c r="G1481" t="s">
        <v>514</v>
      </c>
    </row>
    <row r="1482" spans="1:7" x14ac:dyDescent="0.25">
      <c r="A1482" s="1" t="str">
        <f>"514692"</f>
        <v>514692</v>
      </c>
      <c r="B1482" s="2" t="str">
        <f>"ARROZ RASALITO FAMILIA"</f>
        <v>ARROZ RASALITO FAMILIA</v>
      </c>
      <c r="C1482" s="2" t="str">
        <f t="shared" si="56"/>
        <v>UN</v>
      </c>
      <c r="D1482" s="7">
        <v>401</v>
      </c>
      <c r="E1482" s="3">
        <v>4</v>
      </c>
      <c r="F1482" s="2">
        <v>3</v>
      </c>
      <c r="G1482" t="s">
        <v>514</v>
      </c>
    </row>
    <row r="1483" spans="1:7" x14ac:dyDescent="0.25">
      <c r="A1483" s="1" t="str">
        <f>"514227"</f>
        <v>514227</v>
      </c>
      <c r="B1483" s="2" t="str">
        <f>"ARRUELA"</f>
        <v>ARRUELA</v>
      </c>
      <c r="C1483" s="2" t="str">
        <f t="shared" si="56"/>
        <v>UN</v>
      </c>
      <c r="D1483" s="7">
        <v>704</v>
      </c>
      <c r="E1483" s="3">
        <v>9</v>
      </c>
      <c r="F1483" s="2">
        <v>3</v>
      </c>
      <c r="G1483" t="s">
        <v>513</v>
      </c>
    </row>
    <row r="1484" spans="1:7" x14ac:dyDescent="0.25">
      <c r="A1484" s="1" t="str">
        <f>"CO73182100"</f>
        <v>CO73182100</v>
      </c>
      <c r="B1484" s="2" t="str">
        <f>"ARRUELA"</f>
        <v>ARRUELA</v>
      </c>
      <c r="C1484" s="2" t="str">
        <f t="shared" si="56"/>
        <v>UN</v>
      </c>
      <c r="D1484" s="7">
        <v>99999</v>
      </c>
      <c r="E1484" s="3">
        <v>99</v>
      </c>
      <c r="F1484" s="2">
        <v>2</v>
      </c>
      <c r="G1484" t="s">
        <v>512</v>
      </c>
    </row>
    <row r="1485" spans="1:7" x14ac:dyDescent="0.25">
      <c r="A1485" s="1" t="str">
        <f>"520263"</f>
        <v>520263</v>
      </c>
      <c r="B1485" s="2" t="str">
        <f>"ARRUELA 1"""</f>
        <v>ARRUELA 1"</v>
      </c>
      <c r="C1485" s="2" t="str">
        <f t="shared" si="56"/>
        <v>UN</v>
      </c>
      <c r="D1485" s="7">
        <v>816</v>
      </c>
      <c r="E1485" s="3">
        <v>10</v>
      </c>
      <c r="F1485" s="2">
        <v>1</v>
      </c>
      <c r="G1485" t="s">
        <v>513</v>
      </c>
    </row>
    <row r="1486" spans="1:7" x14ac:dyDescent="0.25">
      <c r="A1486" s="1" t="str">
        <f>"509667"</f>
        <v>509667</v>
      </c>
      <c r="B1486" s="2" t="str">
        <f>"ARRUELA 1/4"""</f>
        <v>ARRUELA 1/4"</v>
      </c>
      <c r="C1486" s="2" t="str">
        <f t="shared" si="56"/>
        <v>UN</v>
      </c>
      <c r="D1486" s="7">
        <v>600</v>
      </c>
      <c r="E1486" s="3">
        <v>8</v>
      </c>
      <c r="F1486" s="2">
        <v>4</v>
      </c>
      <c r="G1486" t="s">
        <v>514</v>
      </c>
    </row>
    <row r="1487" spans="1:7" x14ac:dyDescent="0.25">
      <c r="A1487" s="1" t="str">
        <f>"511256"</f>
        <v>511256</v>
      </c>
      <c r="B1487" s="2" t="str">
        <f>"ARRUELA 1/8"" - ZINCADA"</f>
        <v>ARRUELA 1/8" - ZINCADA</v>
      </c>
      <c r="C1487" s="2" t="str">
        <f t="shared" si="56"/>
        <v>UN</v>
      </c>
      <c r="D1487" s="7">
        <v>600</v>
      </c>
      <c r="E1487" s="3">
        <v>8</v>
      </c>
      <c r="F1487" s="2">
        <v>6</v>
      </c>
      <c r="G1487" t="s">
        <v>514</v>
      </c>
    </row>
    <row r="1488" spans="1:7" x14ac:dyDescent="0.25">
      <c r="A1488" s="1" t="str">
        <f>"525146"</f>
        <v>525146</v>
      </c>
      <c r="B1488" s="2" t="str">
        <f>"ARRUELA 14-200 HV - A3E 150 7090"</f>
        <v>ARRUELA 14-200 HV - A3E 150 7090</v>
      </c>
      <c r="C1488" s="2" t="str">
        <f t="shared" si="56"/>
        <v>UN</v>
      </c>
      <c r="D1488" s="7">
        <v>99999</v>
      </c>
      <c r="E1488" s="3">
        <v>99</v>
      </c>
      <c r="F1488" s="2">
        <v>8</v>
      </c>
      <c r="G1488" t="s">
        <v>514</v>
      </c>
    </row>
    <row r="1489" spans="1:7" x14ac:dyDescent="0.25">
      <c r="A1489" s="1" t="str">
        <f>"520262"</f>
        <v>520262</v>
      </c>
      <c r="B1489" s="2" t="str">
        <f>"ARRUELA 3/4"</f>
        <v>ARRUELA 3/4</v>
      </c>
      <c r="C1489" s="2" t="str">
        <f t="shared" si="56"/>
        <v>UN</v>
      </c>
      <c r="D1489" s="7">
        <v>99999</v>
      </c>
      <c r="E1489" s="3">
        <v>99</v>
      </c>
      <c r="F1489" s="2">
        <v>7</v>
      </c>
      <c r="G1489" t="s">
        <v>513</v>
      </c>
    </row>
    <row r="1490" spans="1:7" x14ac:dyDescent="0.25">
      <c r="A1490" s="1" t="str">
        <f>"509598"</f>
        <v>509598</v>
      </c>
      <c r="B1490" s="2" t="str">
        <f>"ARRUELA 3/4"""</f>
        <v>ARRUELA 3/4"</v>
      </c>
      <c r="C1490" s="2" t="str">
        <f t="shared" si="56"/>
        <v>UN</v>
      </c>
      <c r="D1490" s="7">
        <v>402</v>
      </c>
      <c r="E1490" s="3">
        <v>4</v>
      </c>
      <c r="F1490" s="2">
        <v>6</v>
      </c>
      <c r="G1490" t="s">
        <v>513</v>
      </c>
    </row>
    <row r="1491" spans="1:7" x14ac:dyDescent="0.25">
      <c r="A1491" s="1" t="str">
        <f>"522694"</f>
        <v>522694</v>
      </c>
      <c r="B1491" s="2" t="str">
        <f>"ARRUELA 4"""</f>
        <v>ARRUELA 4"</v>
      </c>
      <c r="C1491" s="2" t="str">
        <f t="shared" si="56"/>
        <v>UN</v>
      </c>
      <c r="D1491" s="7">
        <v>601</v>
      </c>
      <c r="E1491" s="3">
        <v>8</v>
      </c>
      <c r="F1491" s="2">
        <v>6</v>
      </c>
      <c r="G1491" t="s">
        <v>513</v>
      </c>
    </row>
    <row r="1492" spans="1:7" x14ac:dyDescent="0.25">
      <c r="A1492" s="1" t="str">
        <f>"510964"</f>
        <v>510964</v>
      </c>
      <c r="B1492" s="2" t="str">
        <f>"ARRUELA AJUSTE EIXO 20MM EXTERNO 15119"</f>
        <v>ARRUELA AJUSTE EIXO 20MM EXTERNO 15119</v>
      </c>
      <c r="C1492" s="2" t="str">
        <f t="shared" si="56"/>
        <v>UN</v>
      </c>
      <c r="D1492" s="7">
        <v>918</v>
      </c>
      <c r="E1492" s="3">
        <v>11</v>
      </c>
      <c r="F1492" s="2">
        <v>2</v>
      </c>
      <c r="G1492" t="s">
        <v>512</v>
      </c>
    </row>
    <row r="1493" spans="1:7" x14ac:dyDescent="0.25">
      <c r="A1493" s="1" t="str">
        <f>"510962"</f>
        <v>510962</v>
      </c>
      <c r="B1493" s="2" t="str">
        <f>"ARRUELA AJUSTE EIXO 20MM INTERNO 15118"</f>
        <v>ARRUELA AJUSTE EIXO 20MM INTERNO 15118</v>
      </c>
      <c r="C1493" s="2" t="str">
        <f t="shared" si="56"/>
        <v>UN</v>
      </c>
      <c r="D1493" s="7">
        <v>918</v>
      </c>
      <c r="E1493" s="3">
        <v>11</v>
      </c>
      <c r="F1493" s="2">
        <v>1</v>
      </c>
      <c r="G1493" t="s">
        <v>513</v>
      </c>
    </row>
    <row r="1494" spans="1:7" x14ac:dyDescent="0.25">
      <c r="A1494" s="1" t="str">
        <f>"510963"</f>
        <v>510963</v>
      </c>
      <c r="B1494" s="2" t="str">
        <f>"ARRUELA AJUSTE EIXO 22MM EXTERNO 15143"</f>
        <v>ARRUELA AJUSTE EIXO 22MM EXTERNO 15143</v>
      </c>
      <c r="C1494" s="2" t="str">
        <f t="shared" si="56"/>
        <v>UN</v>
      </c>
      <c r="D1494" s="7">
        <v>918</v>
      </c>
      <c r="E1494" s="3">
        <v>11</v>
      </c>
      <c r="F1494" s="2">
        <v>0</v>
      </c>
      <c r="G1494" t="s">
        <v>514</v>
      </c>
    </row>
    <row r="1495" spans="1:7" x14ac:dyDescent="0.25">
      <c r="A1495" s="1" t="str">
        <f>"510961"</f>
        <v>510961</v>
      </c>
      <c r="B1495" s="2" t="str">
        <f>"ARRUELA AJUSTE EIXO 22MM INTERNO 15142"</f>
        <v>ARRUELA AJUSTE EIXO 22MM INTERNO 15142</v>
      </c>
      <c r="C1495" s="2" t="str">
        <f t="shared" si="56"/>
        <v>UN</v>
      </c>
      <c r="D1495" s="7">
        <v>918</v>
      </c>
      <c r="E1495" s="3">
        <v>11</v>
      </c>
      <c r="F1495" s="2">
        <v>0</v>
      </c>
      <c r="G1495" t="s">
        <v>515</v>
      </c>
    </row>
    <row r="1496" spans="1:7" x14ac:dyDescent="0.25">
      <c r="A1496" s="1" t="str">
        <f>"519632"</f>
        <v>519632</v>
      </c>
      <c r="B1496" s="2" t="str">
        <f>"ARRUELA ALAVANCA CAMBIO"</f>
        <v>ARRUELA ALAVANCA CAMBIO</v>
      </c>
      <c r="C1496" s="2" t="str">
        <f t="shared" si="56"/>
        <v>UN</v>
      </c>
      <c r="D1496" s="7">
        <v>704</v>
      </c>
      <c r="E1496" s="3">
        <v>9</v>
      </c>
      <c r="F1496" s="2">
        <v>0</v>
      </c>
      <c r="G1496" t="s">
        <v>512</v>
      </c>
    </row>
    <row r="1497" spans="1:7" x14ac:dyDescent="0.25">
      <c r="A1497" s="1" t="str">
        <f>"511334"</f>
        <v>511334</v>
      </c>
      <c r="B1497" s="2" t="str">
        <f>"ARRUELA ALUMINIO 1 1/2"""</f>
        <v>ARRUELA ALUMINIO 1 1/2"</v>
      </c>
      <c r="C1497" s="2" t="str">
        <f t="shared" ref="C1497:C1523" si="57">"UN"</f>
        <v>UN</v>
      </c>
      <c r="D1497" s="7">
        <v>600</v>
      </c>
      <c r="E1497" s="3">
        <v>8</v>
      </c>
      <c r="F1497" s="2">
        <v>3</v>
      </c>
      <c r="G1497" t="s">
        <v>516</v>
      </c>
    </row>
    <row r="1498" spans="1:7" x14ac:dyDescent="0.25">
      <c r="A1498" s="1" t="str">
        <f>"511613"</f>
        <v>511613</v>
      </c>
      <c r="B1498" s="2" t="str">
        <f>"ARRUELA ALUMINIO 1"""</f>
        <v>ARRUELA ALUMINIO 1"</v>
      </c>
      <c r="C1498" s="2" t="str">
        <f t="shared" si="57"/>
        <v>UN</v>
      </c>
      <c r="D1498" s="7">
        <v>600</v>
      </c>
      <c r="E1498" s="3">
        <v>8</v>
      </c>
      <c r="F1498" s="5">
        <v>5</v>
      </c>
      <c r="G1498" t="s">
        <v>515</v>
      </c>
    </row>
    <row r="1499" spans="1:7" x14ac:dyDescent="0.25">
      <c r="A1499" s="1" t="str">
        <f>"516486"</f>
        <v>516486</v>
      </c>
      <c r="B1499" s="2" t="str">
        <f>"ARRUELA ALUMINIO 1/2"""</f>
        <v>ARRUELA ALUMINIO 1/2"</v>
      </c>
      <c r="C1499" s="2" t="str">
        <f t="shared" si="57"/>
        <v>UN</v>
      </c>
      <c r="D1499" s="7">
        <v>811</v>
      </c>
      <c r="E1499" s="3">
        <v>8</v>
      </c>
      <c r="F1499" s="2">
        <v>3</v>
      </c>
      <c r="G1499" t="s">
        <v>514</v>
      </c>
    </row>
    <row r="1500" spans="1:7" x14ac:dyDescent="0.25">
      <c r="A1500" s="1" t="str">
        <f>"511662"</f>
        <v>511662</v>
      </c>
      <c r="B1500" s="2" t="str">
        <f>"ARRUELA ALUMINIO 2"""</f>
        <v>ARRUELA ALUMINIO 2"</v>
      </c>
      <c r="C1500" s="2" t="str">
        <f t="shared" si="57"/>
        <v>UN</v>
      </c>
      <c r="D1500" s="7">
        <v>600</v>
      </c>
      <c r="E1500" s="3">
        <v>8</v>
      </c>
      <c r="F1500" s="2">
        <v>8</v>
      </c>
      <c r="G1500" t="s">
        <v>512</v>
      </c>
    </row>
    <row r="1501" spans="1:7" x14ac:dyDescent="0.25">
      <c r="A1501" s="1" t="str">
        <f>"511333"</f>
        <v>511333</v>
      </c>
      <c r="B1501" s="2" t="str">
        <f>"ARRUELA ALUMINIO 3"""</f>
        <v>ARRUELA ALUMINIO 3"</v>
      </c>
      <c r="C1501" s="2" t="str">
        <f t="shared" si="57"/>
        <v>UN</v>
      </c>
      <c r="D1501" s="7">
        <v>600</v>
      </c>
      <c r="E1501" s="3">
        <v>8</v>
      </c>
      <c r="F1501" s="2">
        <v>6</v>
      </c>
      <c r="G1501" t="s">
        <v>513</v>
      </c>
    </row>
    <row r="1502" spans="1:7" x14ac:dyDescent="0.25">
      <c r="A1502" s="1" t="str">
        <f>"525452"</f>
        <v>525452</v>
      </c>
      <c r="B1502" s="2" t="str">
        <f>"ARRUELA ALUMINIO 4'' ARA-55 E001010111 WETZEL"</f>
        <v>ARRUELA ALUMINIO 4'' ARA-55 E001010111 WETZEL</v>
      </c>
      <c r="C1502" s="2" t="str">
        <f t="shared" si="57"/>
        <v>UN</v>
      </c>
      <c r="D1502" s="7">
        <v>811</v>
      </c>
      <c r="E1502" s="3">
        <v>10</v>
      </c>
      <c r="F1502" s="2">
        <v>4</v>
      </c>
      <c r="G1502" t="s">
        <v>514</v>
      </c>
    </row>
    <row r="1503" spans="1:7" x14ac:dyDescent="0.25">
      <c r="A1503" s="1" t="str">
        <f>"518913"</f>
        <v>518913</v>
      </c>
      <c r="B1503" s="2" t="str">
        <f>"ARRUELA ALUMINIO 4"""</f>
        <v>ARRUELA ALUMINIO 4"</v>
      </c>
      <c r="C1503" s="2" t="str">
        <f t="shared" si="57"/>
        <v>UN</v>
      </c>
      <c r="D1503" s="7">
        <v>811</v>
      </c>
      <c r="E1503" s="3">
        <v>8</v>
      </c>
      <c r="F1503" s="2">
        <v>1</v>
      </c>
      <c r="G1503" t="s">
        <v>514</v>
      </c>
    </row>
    <row r="1504" spans="1:7" x14ac:dyDescent="0.25">
      <c r="A1504" s="1" t="str">
        <f>"518906"</f>
        <v>518906</v>
      </c>
      <c r="B1504" s="2" t="str">
        <f>"ARRUELA BICROMATIZADA 5/16"""</f>
        <v>ARRUELA BICROMATIZADA 5/16"</v>
      </c>
      <c r="C1504" s="2" t="str">
        <f t="shared" si="57"/>
        <v>UN</v>
      </c>
      <c r="D1504" s="7">
        <v>811</v>
      </c>
      <c r="E1504" s="3">
        <v>8</v>
      </c>
      <c r="F1504" s="2">
        <v>2</v>
      </c>
      <c r="G1504" t="s">
        <v>512</v>
      </c>
    </row>
    <row r="1505" spans="1:7" x14ac:dyDescent="0.25">
      <c r="A1505" s="1" t="str">
        <f>"509108"</f>
        <v>509108</v>
      </c>
      <c r="B1505" s="2" t="str">
        <f>"ARRUELA BI-PARTIDA APF-2083"</f>
        <v>ARRUELA BI-PARTIDA APF-2083</v>
      </c>
      <c r="C1505" s="2" t="str">
        <f t="shared" si="57"/>
        <v>UN</v>
      </c>
      <c r="D1505" s="7">
        <v>909</v>
      </c>
      <c r="E1505" s="3">
        <v>11</v>
      </c>
      <c r="F1505" s="2">
        <v>7</v>
      </c>
      <c r="G1505" t="s">
        <v>513</v>
      </c>
    </row>
    <row r="1506" spans="1:7" x14ac:dyDescent="0.25">
      <c r="A1506" s="1" t="str">
        <f>"508711"</f>
        <v>508711</v>
      </c>
      <c r="B1506" s="2" t="str">
        <f>"ARRUELA BI-PARTIDA APF-2086"</f>
        <v>ARRUELA BI-PARTIDA APF-2086</v>
      </c>
      <c r="C1506" s="2" t="str">
        <f t="shared" si="57"/>
        <v>UN</v>
      </c>
      <c r="D1506" s="7">
        <v>909</v>
      </c>
      <c r="E1506" s="3">
        <v>11</v>
      </c>
      <c r="F1506" s="2">
        <v>9</v>
      </c>
      <c r="G1506" t="s">
        <v>514</v>
      </c>
    </row>
    <row r="1507" spans="1:7" x14ac:dyDescent="0.25">
      <c r="A1507" s="1" t="str">
        <f>"511098"</f>
        <v>511098</v>
      </c>
      <c r="B1507" s="2" t="str">
        <f>"ARRUELA COLOCADOR DE COPOS"</f>
        <v>ARRUELA COLOCADOR DE COPOS</v>
      </c>
      <c r="C1507" s="2" t="str">
        <f t="shared" si="57"/>
        <v>UN</v>
      </c>
      <c r="D1507" s="7">
        <v>918</v>
      </c>
      <c r="E1507" s="3">
        <v>11</v>
      </c>
      <c r="F1507" s="2">
        <v>0</v>
      </c>
      <c r="G1507" t="s">
        <v>514</v>
      </c>
    </row>
    <row r="1508" spans="1:7" x14ac:dyDescent="0.25">
      <c r="A1508" s="1" t="str">
        <f>"522891"</f>
        <v>522891</v>
      </c>
      <c r="B1508" s="2" t="str">
        <f>"ARRUELA CONICA"</f>
        <v>ARRUELA CONICA</v>
      </c>
      <c r="C1508" s="2" t="str">
        <f t="shared" si="57"/>
        <v>UN</v>
      </c>
      <c r="D1508" s="7">
        <v>918</v>
      </c>
      <c r="E1508" s="3">
        <v>10</v>
      </c>
      <c r="F1508" s="2">
        <v>0</v>
      </c>
      <c r="G1508" t="s">
        <v>514</v>
      </c>
    </row>
    <row r="1509" spans="1:7" x14ac:dyDescent="0.25">
      <c r="A1509" s="1" t="str">
        <f>"504470"</f>
        <v>504470</v>
      </c>
      <c r="B1509" s="2" t="str">
        <f>"ARRUELA DA GUIA DA MOLA 2POS.66"</f>
        <v>ARRUELA DA GUIA DA MOLA 2POS.66</v>
      </c>
      <c r="C1509" s="2" t="str">
        <f t="shared" si="57"/>
        <v>UN</v>
      </c>
      <c r="D1509" s="7">
        <v>918</v>
      </c>
      <c r="E1509" s="3">
        <v>11</v>
      </c>
      <c r="F1509" s="2">
        <v>2</v>
      </c>
      <c r="G1509" t="s">
        <v>513</v>
      </c>
    </row>
    <row r="1510" spans="1:7" x14ac:dyDescent="0.25">
      <c r="A1510" s="1" t="str">
        <f>"504473"</f>
        <v>504473</v>
      </c>
      <c r="B1510" s="2" t="str">
        <f>"ARRUELA DA GUIA DA MOLA PRI. POS77 TM12"</f>
        <v>ARRUELA DA GUIA DA MOLA PRI. POS77 TM12</v>
      </c>
      <c r="C1510" s="2" t="str">
        <f t="shared" si="57"/>
        <v>UN</v>
      </c>
      <c r="D1510" s="7">
        <v>918</v>
      </c>
      <c r="E1510" s="3">
        <v>11</v>
      </c>
      <c r="F1510" s="2">
        <v>5</v>
      </c>
      <c r="G1510" t="s">
        <v>512</v>
      </c>
    </row>
    <row r="1511" spans="1:7" x14ac:dyDescent="0.25">
      <c r="A1511" s="1" t="str">
        <f>"507538"</f>
        <v>507538</v>
      </c>
      <c r="B1511" s="2" t="str">
        <f>"ARRUELA DE ALUMINIO 3/4"</f>
        <v>ARRUELA DE ALUMINIO 3/4</v>
      </c>
      <c r="C1511" s="2" t="str">
        <f t="shared" si="57"/>
        <v>UN</v>
      </c>
      <c r="D1511" s="7">
        <v>601</v>
      </c>
      <c r="E1511" s="3">
        <v>8</v>
      </c>
      <c r="F1511" s="2">
        <v>6</v>
      </c>
      <c r="G1511" t="s">
        <v>513</v>
      </c>
    </row>
    <row r="1512" spans="1:7" x14ac:dyDescent="0.25">
      <c r="A1512" s="1" t="str">
        <f>"521791"</f>
        <v>521791</v>
      </c>
      <c r="B1512" s="2" t="str">
        <f>"ARRUELA DE CALÇO DO BLOCO"</f>
        <v>ARRUELA DE CALÇO DO BLOCO</v>
      </c>
      <c r="C1512" s="2" t="str">
        <f t="shared" si="57"/>
        <v>UN</v>
      </c>
      <c r="D1512" s="7">
        <v>918</v>
      </c>
      <c r="E1512" s="3">
        <v>11</v>
      </c>
      <c r="F1512" s="2">
        <v>9</v>
      </c>
      <c r="G1512" t="s">
        <v>514</v>
      </c>
    </row>
    <row r="1513" spans="1:7" x14ac:dyDescent="0.25">
      <c r="A1513" s="1" t="str">
        <f>"510234"</f>
        <v>510234</v>
      </c>
      <c r="B1513" s="2" t="str">
        <f>"ARRUELA DE COBRE 007101026"</f>
        <v>ARRUELA DE COBRE 007101026</v>
      </c>
      <c r="C1513" s="2" t="str">
        <f t="shared" si="57"/>
        <v>UN</v>
      </c>
      <c r="D1513" s="7">
        <v>918</v>
      </c>
      <c r="E1513" s="3">
        <v>11</v>
      </c>
      <c r="F1513" s="2">
        <v>5</v>
      </c>
      <c r="G1513" t="s">
        <v>514</v>
      </c>
    </row>
    <row r="1514" spans="1:7" x14ac:dyDescent="0.25">
      <c r="A1514" s="1" t="str">
        <f>"504963"</f>
        <v>504963</v>
      </c>
      <c r="B1514" s="2" t="str">
        <f>"ARRUELA DE NYLON"</f>
        <v>ARRUELA DE NYLON</v>
      </c>
      <c r="C1514" s="2" t="str">
        <f t="shared" si="57"/>
        <v>UN</v>
      </c>
      <c r="D1514" s="7">
        <v>704</v>
      </c>
      <c r="E1514" s="3">
        <v>9</v>
      </c>
      <c r="F1514" s="2">
        <v>3</v>
      </c>
      <c r="G1514" t="s">
        <v>514</v>
      </c>
    </row>
    <row r="1515" spans="1:7" x14ac:dyDescent="0.25">
      <c r="A1515" s="1" t="str">
        <f>"509061"</f>
        <v>509061</v>
      </c>
      <c r="B1515" s="2" t="str">
        <f>"ARRUELA DE NYLON 007103002"</f>
        <v>ARRUELA DE NYLON 007103002</v>
      </c>
      <c r="C1515" s="2" t="str">
        <f t="shared" si="57"/>
        <v>UN</v>
      </c>
      <c r="D1515" s="7">
        <v>918</v>
      </c>
      <c r="E1515" s="3">
        <v>11</v>
      </c>
      <c r="F1515" s="2">
        <v>3</v>
      </c>
      <c r="G1515" t="s">
        <v>513</v>
      </c>
    </row>
    <row r="1516" spans="1:7" x14ac:dyDescent="0.25">
      <c r="A1516" s="1" t="str">
        <f>"510694"</f>
        <v>510694</v>
      </c>
      <c r="B1516" s="2" t="str">
        <f>"ARRUELA DE NYLON DA ARTICULAÇAO SUP. AR"</f>
        <v>ARRUELA DE NYLON DA ARTICULAÇAO SUP. AR</v>
      </c>
      <c r="C1516" s="2" t="str">
        <f t="shared" si="57"/>
        <v>UN</v>
      </c>
      <c r="D1516" s="7">
        <v>704</v>
      </c>
      <c r="E1516" s="3">
        <v>9</v>
      </c>
      <c r="F1516" s="2">
        <v>2</v>
      </c>
      <c r="G1516" t="s">
        <v>513</v>
      </c>
    </row>
    <row r="1517" spans="1:7" x14ac:dyDescent="0.25">
      <c r="A1517" s="1" t="str">
        <f>"500212"</f>
        <v>500212</v>
      </c>
      <c r="B1517" s="2" t="str">
        <f>"ARRUELA DE PRESSAO - 1/2"</f>
        <v>ARRUELA DE PRESSAO - 1/2</v>
      </c>
      <c r="C1517" s="2" t="str">
        <f t="shared" si="57"/>
        <v>UN</v>
      </c>
      <c r="D1517" s="7">
        <v>402</v>
      </c>
      <c r="E1517" s="3">
        <v>4</v>
      </c>
      <c r="F1517" s="2">
        <v>1</v>
      </c>
      <c r="G1517" t="s">
        <v>513</v>
      </c>
    </row>
    <row r="1518" spans="1:7" x14ac:dyDescent="0.25">
      <c r="A1518" s="1" t="str">
        <f>"500219"</f>
        <v>500219</v>
      </c>
      <c r="B1518" s="2" t="str">
        <f>"ARRUELA DE PRESSAO - 5/8"</f>
        <v>ARRUELA DE PRESSAO - 5/8</v>
      </c>
      <c r="C1518" s="2" t="str">
        <f t="shared" si="57"/>
        <v>UN</v>
      </c>
      <c r="D1518" s="7">
        <v>402</v>
      </c>
      <c r="E1518" s="3">
        <v>4</v>
      </c>
      <c r="F1518" s="2">
        <v>4</v>
      </c>
      <c r="G1518" t="s">
        <v>512</v>
      </c>
    </row>
    <row r="1519" spans="1:7" x14ac:dyDescent="0.25">
      <c r="A1519" s="1" t="str">
        <f>"509669"</f>
        <v>509669</v>
      </c>
      <c r="B1519" s="2" t="str">
        <f>"ARRUELA DE PRESSAO 1/4"</f>
        <v>ARRUELA DE PRESSAO 1/4</v>
      </c>
      <c r="C1519" s="2" t="str">
        <f t="shared" si="57"/>
        <v>UN</v>
      </c>
      <c r="D1519" s="7">
        <v>402</v>
      </c>
      <c r="E1519" s="3">
        <v>4</v>
      </c>
      <c r="F1519" s="2">
        <v>1</v>
      </c>
      <c r="G1519" t="s">
        <v>513</v>
      </c>
    </row>
    <row r="1520" spans="1:7" x14ac:dyDescent="0.25">
      <c r="A1520" s="1" t="str">
        <f>"509687"</f>
        <v>509687</v>
      </c>
      <c r="B1520" s="2" t="str">
        <f>"ARRUELA DE PRESSAO 1/8"""</f>
        <v>ARRUELA DE PRESSAO 1/8"</v>
      </c>
      <c r="C1520" s="2" t="str">
        <f t="shared" si="57"/>
        <v>UN</v>
      </c>
      <c r="D1520" s="7">
        <v>402</v>
      </c>
      <c r="E1520" s="3">
        <v>4</v>
      </c>
      <c r="F1520" s="2">
        <v>2</v>
      </c>
      <c r="G1520" t="s">
        <v>514</v>
      </c>
    </row>
    <row r="1521" spans="1:7" x14ac:dyDescent="0.25">
      <c r="A1521" s="1" t="str">
        <f>"509821"</f>
        <v>509821</v>
      </c>
      <c r="B1521" s="2" t="str">
        <f>"ARRUELA DE PRESSAO 3/8"""</f>
        <v>ARRUELA DE PRESSAO 3/8"</v>
      </c>
      <c r="C1521" s="2" t="str">
        <f t="shared" si="57"/>
        <v>UN</v>
      </c>
      <c r="D1521" s="7">
        <v>402</v>
      </c>
      <c r="E1521" s="3">
        <v>4</v>
      </c>
      <c r="F1521" s="2">
        <v>7</v>
      </c>
      <c r="G1521" t="s">
        <v>515</v>
      </c>
    </row>
    <row r="1522" spans="1:7" x14ac:dyDescent="0.25">
      <c r="A1522" s="1" t="str">
        <f>"510537"</f>
        <v>510537</v>
      </c>
      <c r="B1522" s="2" t="str">
        <f>"ARRUELA DE PRESSAO 43.3101.100.06"</f>
        <v>ARRUELA DE PRESSAO 43.3101.100.06</v>
      </c>
      <c r="C1522" s="2" t="str">
        <f t="shared" si="57"/>
        <v>UN</v>
      </c>
      <c r="D1522" s="7">
        <v>918</v>
      </c>
      <c r="E1522" s="3">
        <v>11</v>
      </c>
      <c r="F1522" s="2">
        <v>9</v>
      </c>
      <c r="G1522" t="s">
        <v>512</v>
      </c>
    </row>
    <row r="1523" spans="1:7" x14ac:dyDescent="0.25">
      <c r="A1523" s="1" t="str">
        <f>"509028"</f>
        <v>509028</v>
      </c>
      <c r="B1523" s="2" t="str">
        <f>"ARRUELA DE PRESSAO 43.3101.200.05"</f>
        <v>ARRUELA DE PRESSAO 43.3101.200.05</v>
      </c>
      <c r="C1523" s="2" t="str">
        <f t="shared" si="57"/>
        <v>UN</v>
      </c>
      <c r="D1523" s="7">
        <v>918</v>
      </c>
      <c r="E1523" s="3">
        <v>11</v>
      </c>
      <c r="F1523" s="2">
        <v>0</v>
      </c>
      <c r="G1523" t="s">
        <v>516</v>
      </c>
    </row>
    <row r="1524" spans="1:7" x14ac:dyDescent="0.25">
      <c r="A1524" s="1" t="str">
        <f>"509735"</f>
        <v>509735</v>
      </c>
      <c r="B1524" s="2" t="str">
        <f>"ARRUELA DE PRESSAO 5/16"</f>
        <v>ARRUELA DE PRESSAO 5/16</v>
      </c>
      <c r="C1524" s="2" t="str">
        <f>"KG"</f>
        <v>KG</v>
      </c>
      <c r="D1524" s="7">
        <v>800</v>
      </c>
      <c r="E1524" s="3">
        <v>10</v>
      </c>
      <c r="F1524" s="2">
        <v>0</v>
      </c>
      <c r="G1524" t="s">
        <v>515</v>
      </c>
    </row>
    <row r="1525" spans="1:7" x14ac:dyDescent="0.25">
      <c r="A1525" s="1" t="str">
        <f>"511057"</f>
        <v>511057</v>
      </c>
      <c r="B1525" s="2" t="str">
        <f>"ARRUELA DE PRESSAO 9/16"</f>
        <v>ARRUELA DE PRESSAO 9/16</v>
      </c>
      <c r="C1525" s="2" t="str">
        <f t="shared" ref="C1525:C1535" si="58">"UN"</f>
        <v>UN</v>
      </c>
      <c r="D1525" s="7">
        <v>918</v>
      </c>
      <c r="E1525" s="3">
        <v>11</v>
      </c>
      <c r="F1525" s="2">
        <v>4</v>
      </c>
      <c r="G1525" t="s">
        <v>514</v>
      </c>
    </row>
    <row r="1526" spans="1:7" x14ac:dyDescent="0.25">
      <c r="A1526" s="1" t="str">
        <f>"509114"</f>
        <v>509114</v>
      </c>
      <c r="B1526" s="2" t="str">
        <f>"ARRUELA DE PRESSAO A6 43.3101.100.06"</f>
        <v>ARRUELA DE PRESSAO A6 43.3101.100.06</v>
      </c>
      <c r="C1526" s="2" t="str">
        <f t="shared" si="58"/>
        <v>UN</v>
      </c>
      <c r="D1526" s="7">
        <v>918</v>
      </c>
      <c r="E1526" s="3">
        <v>11</v>
      </c>
      <c r="F1526" s="2">
        <v>1</v>
      </c>
      <c r="G1526" t="s">
        <v>512</v>
      </c>
    </row>
    <row r="1527" spans="1:7" x14ac:dyDescent="0.25">
      <c r="A1527" s="1" t="str">
        <f>"507041"</f>
        <v>507041</v>
      </c>
      <c r="B1527" s="2" t="str">
        <f>"ARRUELA DE TEFLON COD. 64722273901"</f>
        <v>ARRUELA DE TEFLON COD. 64722273901</v>
      </c>
      <c r="C1527" s="2" t="str">
        <f t="shared" si="58"/>
        <v>UN</v>
      </c>
      <c r="D1527" s="7">
        <v>918</v>
      </c>
      <c r="E1527" s="3">
        <v>11</v>
      </c>
      <c r="F1527" s="2">
        <v>2</v>
      </c>
      <c r="G1527" t="s">
        <v>513</v>
      </c>
    </row>
    <row r="1528" spans="1:7" x14ac:dyDescent="0.25">
      <c r="A1528" s="1" t="str">
        <f>"527421"</f>
        <v>527421</v>
      </c>
      <c r="B1528" s="2" t="str">
        <f>"ARRUELA DE TRAVAMENTO M6 GFAD-I 02.01.016.001.265876"</f>
        <v>ARRUELA DE TRAVAMENTO M6 GFAD-I 02.01.016.001.265876</v>
      </c>
      <c r="C1528" s="2" t="str">
        <f t="shared" si="58"/>
        <v>UN</v>
      </c>
      <c r="D1528" s="7">
        <v>918</v>
      </c>
      <c r="E1528" s="3">
        <v>10</v>
      </c>
      <c r="F1528" s="2">
        <v>7</v>
      </c>
      <c r="G1528" t="s">
        <v>514</v>
      </c>
    </row>
    <row r="1529" spans="1:7" x14ac:dyDescent="0.25">
      <c r="A1529" s="1" t="str">
        <f>"527242"</f>
        <v>527242</v>
      </c>
      <c r="B1529" s="8" t="s">
        <v>492</v>
      </c>
      <c r="C1529" s="2" t="str">
        <f t="shared" si="58"/>
        <v>UN</v>
      </c>
      <c r="D1529" s="7">
        <v>918</v>
      </c>
      <c r="E1529" s="3">
        <v>11</v>
      </c>
      <c r="F1529" s="2">
        <v>9</v>
      </c>
      <c r="G1529" t="s">
        <v>514</v>
      </c>
    </row>
    <row r="1530" spans="1:7" x14ac:dyDescent="0.25">
      <c r="A1530" s="1" t="str">
        <f>"507089"</f>
        <v>507089</v>
      </c>
      <c r="B1530" s="2" t="str">
        <f>"ARRUELA EIXO 5 MAIOR"</f>
        <v>ARRUELA EIXO 5 MAIOR</v>
      </c>
      <c r="C1530" s="2" t="str">
        <f t="shared" si="58"/>
        <v>UN</v>
      </c>
      <c r="D1530" s="7">
        <v>704</v>
      </c>
      <c r="E1530" s="3">
        <v>9</v>
      </c>
      <c r="F1530" s="5">
        <v>5</v>
      </c>
      <c r="G1530" t="s">
        <v>512</v>
      </c>
    </row>
    <row r="1531" spans="1:7" x14ac:dyDescent="0.25">
      <c r="A1531" s="1" t="str">
        <f>"507090"</f>
        <v>507090</v>
      </c>
      <c r="B1531" s="2" t="str">
        <f>"ARRUELA EIXO 5 MENOR"</f>
        <v>ARRUELA EIXO 5 MENOR</v>
      </c>
      <c r="C1531" s="2" t="str">
        <f t="shared" si="58"/>
        <v>UN</v>
      </c>
      <c r="D1531" s="7">
        <v>704</v>
      </c>
      <c r="E1531" s="3">
        <v>9</v>
      </c>
      <c r="F1531" s="2">
        <v>3</v>
      </c>
      <c r="G1531" t="s">
        <v>513</v>
      </c>
    </row>
    <row r="1532" spans="1:7" x14ac:dyDescent="0.25">
      <c r="A1532" s="1" t="str">
        <f>"501774"</f>
        <v>501774</v>
      </c>
      <c r="B1532" s="2" t="str">
        <f>"ARRUELA ENCOSTO MANGA TRATOR VALMET"</f>
        <v>ARRUELA ENCOSTO MANGA TRATOR VALMET</v>
      </c>
      <c r="C1532" s="2" t="str">
        <f t="shared" si="58"/>
        <v>UN</v>
      </c>
      <c r="D1532" s="7">
        <v>704</v>
      </c>
      <c r="E1532" s="3">
        <v>9</v>
      </c>
      <c r="F1532" s="2">
        <v>8</v>
      </c>
      <c r="G1532" t="s">
        <v>514</v>
      </c>
    </row>
    <row r="1533" spans="1:7" x14ac:dyDescent="0.25">
      <c r="A1533" s="1" t="str">
        <f>"527245"</f>
        <v>527245</v>
      </c>
      <c r="B1533" s="8" t="s">
        <v>495</v>
      </c>
      <c r="C1533" s="2" t="str">
        <f t="shared" si="58"/>
        <v>UN</v>
      </c>
      <c r="D1533" s="7">
        <v>918</v>
      </c>
      <c r="E1533" s="3">
        <v>11</v>
      </c>
      <c r="F1533" s="2">
        <v>6</v>
      </c>
      <c r="G1533" t="s">
        <v>514</v>
      </c>
    </row>
    <row r="1534" spans="1:7" x14ac:dyDescent="0.25">
      <c r="A1534" s="1" t="str">
        <f>"505681"</f>
        <v>505681</v>
      </c>
      <c r="B1534" s="2" t="str">
        <f>"ARRUELA ESPACADOR"</f>
        <v>ARRUELA ESPACADOR</v>
      </c>
      <c r="C1534" s="2" t="str">
        <f t="shared" si="58"/>
        <v>UN</v>
      </c>
      <c r="D1534" s="7">
        <v>704</v>
      </c>
      <c r="E1534" s="3">
        <v>9</v>
      </c>
      <c r="F1534" s="2">
        <v>4</v>
      </c>
      <c r="G1534" t="s">
        <v>514</v>
      </c>
    </row>
    <row r="1535" spans="1:7" x14ac:dyDescent="0.25">
      <c r="A1535" s="1" t="str">
        <f>"509089"</f>
        <v>509089</v>
      </c>
      <c r="B1535" s="2" t="str">
        <f>"ARRUELA ESPECIAL 007104700"</f>
        <v>ARRUELA ESPECIAL 007104700</v>
      </c>
      <c r="C1535" s="2" t="str">
        <f t="shared" si="58"/>
        <v>UN</v>
      </c>
      <c r="D1535" s="7">
        <v>918</v>
      </c>
      <c r="E1535" s="3">
        <v>11</v>
      </c>
      <c r="F1535" s="2">
        <v>1</v>
      </c>
      <c r="G1535" t="s">
        <v>513</v>
      </c>
    </row>
    <row r="1536" spans="1:7" x14ac:dyDescent="0.25">
      <c r="A1536" s="1" t="str">
        <f>"511949"</f>
        <v>511949</v>
      </c>
      <c r="B1536" s="2" t="str">
        <f>"ARRUELA INOX LISA"</f>
        <v>ARRUELA INOX LISA</v>
      </c>
      <c r="C1536" s="2" t="str">
        <f>"KG"</f>
        <v>KG</v>
      </c>
      <c r="D1536" s="7">
        <v>800</v>
      </c>
      <c r="E1536" s="3">
        <v>10</v>
      </c>
      <c r="F1536" s="2">
        <v>2</v>
      </c>
      <c r="G1536" t="s">
        <v>512</v>
      </c>
    </row>
    <row r="1537" spans="1:7" x14ac:dyDescent="0.25">
      <c r="A1537" s="1" t="str">
        <f>"508203"</f>
        <v>508203</v>
      </c>
      <c r="B1537" s="2" t="str">
        <f>"ARRUELA INOX M10"</f>
        <v>ARRUELA INOX M10</v>
      </c>
      <c r="C1537" s="2" t="str">
        <f t="shared" ref="C1537:C1547" si="59">"UN"</f>
        <v>UN</v>
      </c>
      <c r="D1537" s="7">
        <v>99999</v>
      </c>
      <c r="E1537" s="3">
        <v>99</v>
      </c>
      <c r="F1537" s="2">
        <v>7</v>
      </c>
      <c r="G1537" t="s">
        <v>513</v>
      </c>
    </row>
    <row r="1538" spans="1:7" x14ac:dyDescent="0.25">
      <c r="A1538" s="1" t="str">
        <f>"511736"</f>
        <v>511736</v>
      </c>
      <c r="B1538" s="2" t="str">
        <f>"ARRUELA INOX M12"</f>
        <v>ARRUELA INOX M12</v>
      </c>
      <c r="C1538" s="2" t="str">
        <f t="shared" si="59"/>
        <v>UN</v>
      </c>
      <c r="D1538" s="7">
        <v>99999</v>
      </c>
      <c r="E1538" s="3">
        <v>99</v>
      </c>
      <c r="F1538" s="2">
        <v>9</v>
      </c>
      <c r="G1538" t="s">
        <v>514</v>
      </c>
    </row>
    <row r="1539" spans="1:7" x14ac:dyDescent="0.25">
      <c r="A1539" s="1" t="str">
        <f>"509879"</f>
        <v>509879</v>
      </c>
      <c r="B1539" s="2" t="str">
        <f>"ARRUELA INOX M3"</f>
        <v>ARRUELA INOX M3</v>
      </c>
      <c r="C1539" s="2" t="str">
        <f t="shared" si="59"/>
        <v>UN</v>
      </c>
      <c r="D1539" s="7">
        <v>918</v>
      </c>
      <c r="E1539" s="3">
        <v>11</v>
      </c>
      <c r="F1539" s="2">
        <v>0</v>
      </c>
      <c r="G1539" t="s">
        <v>514</v>
      </c>
    </row>
    <row r="1540" spans="1:7" x14ac:dyDescent="0.25">
      <c r="A1540" s="1" t="str">
        <f>"500950"</f>
        <v>500950</v>
      </c>
      <c r="B1540" s="2" t="str">
        <f>"ARRUELA INOX M4"</f>
        <v>ARRUELA INOX M4</v>
      </c>
      <c r="C1540" s="2" t="str">
        <f t="shared" si="59"/>
        <v>UN</v>
      </c>
      <c r="D1540" s="7">
        <v>402</v>
      </c>
      <c r="E1540" s="3">
        <v>4</v>
      </c>
      <c r="F1540" s="2">
        <v>0</v>
      </c>
      <c r="G1540" t="s">
        <v>514</v>
      </c>
    </row>
    <row r="1541" spans="1:7" x14ac:dyDescent="0.25">
      <c r="A1541" s="1" t="str">
        <f>"500951"</f>
        <v>500951</v>
      </c>
      <c r="B1541" s="2" t="str">
        <f>"ARRUELA INOX M5"</f>
        <v>ARRUELA INOX M5</v>
      </c>
      <c r="C1541" s="2" t="str">
        <f t="shared" si="59"/>
        <v>UN</v>
      </c>
      <c r="D1541" s="7">
        <v>402</v>
      </c>
      <c r="E1541" s="3">
        <v>4</v>
      </c>
      <c r="F1541" s="2">
        <v>2</v>
      </c>
      <c r="G1541" t="s">
        <v>513</v>
      </c>
    </row>
    <row r="1542" spans="1:7" x14ac:dyDescent="0.25">
      <c r="A1542" s="1" t="str">
        <f>"500952"</f>
        <v>500952</v>
      </c>
      <c r="B1542" s="2" t="str">
        <f>"ARRUELA INOX M6"</f>
        <v>ARRUELA INOX M6</v>
      </c>
      <c r="C1542" s="2" t="str">
        <f t="shared" si="59"/>
        <v>UN</v>
      </c>
      <c r="D1542" s="7">
        <v>99999</v>
      </c>
      <c r="E1542" s="3">
        <v>99</v>
      </c>
      <c r="F1542" s="2">
        <v>5</v>
      </c>
      <c r="G1542" t="s">
        <v>513</v>
      </c>
    </row>
    <row r="1543" spans="1:7" x14ac:dyDescent="0.25">
      <c r="A1543" s="1" t="str">
        <f>"500953"</f>
        <v>500953</v>
      </c>
      <c r="B1543" s="2" t="str">
        <f>"ARRUELA INOX M8"</f>
        <v>ARRUELA INOX M8</v>
      </c>
      <c r="C1543" s="2" t="str">
        <f t="shared" si="59"/>
        <v>UN</v>
      </c>
      <c r="D1543" s="7">
        <v>99999</v>
      </c>
      <c r="E1543" s="3">
        <v>99</v>
      </c>
      <c r="F1543" s="2">
        <v>6</v>
      </c>
      <c r="G1543" t="s">
        <v>513</v>
      </c>
    </row>
    <row r="1544" spans="1:7" x14ac:dyDescent="0.25">
      <c r="A1544" s="1" t="str">
        <f>"509794"</f>
        <v>509794</v>
      </c>
      <c r="B1544" s="2" t="str">
        <f>"ARRUELA LATAO 1/2"""</f>
        <v>ARRUELA LATAO 1/2"</v>
      </c>
      <c r="C1544" s="2" t="str">
        <f t="shared" si="59"/>
        <v>UN</v>
      </c>
      <c r="D1544" s="7">
        <v>918</v>
      </c>
      <c r="E1544" s="3">
        <v>11</v>
      </c>
      <c r="F1544" s="2">
        <v>9</v>
      </c>
      <c r="G1544" t="s">
        <v>512</v>
      </c>
    </row>
    <row r="1545" spans="1:7" x14ac:dyDescent="0.25">
      <c r="A1545" s="1" t="str">
        <f>"505533"</f>
        <v>505533</v>
      </c>
      <c r="B1545" s="2" t="str">
        <f>"ARRUELA LATAO 3/16"""</f>
        <v>ARRUELA LATAO 3/16"</v>
      </c>
      <c r="C1545" s="2" t="str">
        <f t="shared" si="59"/>
        <v>UN</v>
      </c>
      <c r="D1545" s="7">
        <v>600</v>
      </c>
      <c r="E1545" s="3">
        <v>8</v>
      </c>
      <c r="F1545" s="2">
        <v>5</v>
      </c>
      <c r="G1545" t="s">
        <v>513</v>
      </c>
    </row>
    <row r="1546" spans="1:7" x14ac:dyDescent="0.25">
      <c r="A1546" s="1" t="str">
        <f>"509668"</f>
        <v>509668</v>
      </c>
      <c r="B1546" s="2" t="str">
        <f>"ARRUELA LATAO 3/8"""</f>
        <v>ARRUELA LATAO 3/8"</v>
      </c>
      <c r="C1546" s="2" t="str">
        <f t="shared" si="59"/>
        <v>UN</v>
      </c>
      <c r="D1546" s="7">
        <v>600</v>
      </c>
      <c r="E1546" s="3">
        <v>8</v>
      </c>
      <c r="F1546" s="2">
        <v>3</v>
      </c>
      <c r="G1546" t="s">
        <v>514</v>
      </c>
    </row>
    <row r="1547" spans="1:7" x14ac:dyDescent="0.25">
      <c r="A1547" s="1" t="str">
        <f>"509820"</f>
        <v>509820</v>
      </c>
      <c r="B1547" s="2" t="str">
        <f>"ARRUELA LATAO 5/16"""</f>
        <v>ARRUELA LATAO 5/16"</v>
      </c>
      <c r="C1547" s="2" t="str">
        <f t="shared" si="59"/>
        <v>UN</v>
      </c>
      <c r="D1547" s="7">
        <v>402</v>
      </c>
      <c r="E1547" s="3">
        <v>4</v>
      </c>
      <c r="F1547" s="2">
        <v>3</v>
      </c>
      <c r="G1547" t="s">
        <v>515</v>
      </c>
    </row>
    <row r="1548" spans="1:7" x14ac:dyDescent="0.25">
      <c r="A1548" s="1" t="str">
        <f>"500123"</f>
        <v>500123</v>
      </c>
      <c r="B1548" s="2" t="str">
        <f>"ARRUELA LISA"</f>
        <v>ARRUELA LISA</v>
      </c>
      <c r="C1548" s="2" t="str">
        <f>"PC"</f>
        <v>PC</v>
      </c>
      <c r="D1548" s="7">
        <v>704</v>
      </c>
      <c r="E1548" s="3">
        <v>9</v>
      </c>
      <c r="F1548" s="2">
        <v>2</v>
      </c>
      <c r="G1548" t="s">
        <v>512</v>
      </c>
    </row>
    <row r="1549" spans="1:7" x14ac:dyDescent="0.25">
      <c r="A1549" s="1" t="str">
        <f>"516043"</f>
        <v>516043</v>
      </c>
      <c r="B1549" s="2" t="str">
        <f>"ARRUELA LISA - 1/2"""</f>
        <v>ARRUELA LISA - 1/2"</v>
      </c>
      <c r="C1549" s="2" t="str">
        <f t="shared" ref="C1549:C1590" si="60">"UN"</f>
        <v>UN</v>
      </c>
      <c r="D1549" s="7">
        <v>99999</v>
      </c>
      <c r="E1549" s="3">
        <v>99</v>
      </c>
      <c r="F1549" s="2">
        <v>1</v>
      </c>
      <c r="G1549" t="s">
        <v>516</v>
      </c>
    </row>
    <row r="1550" spans="1:7" x14ac:dyDescent="0.25">
      <c r="A1550" s="1" t="str">
        <f>"500332"</f>
        <v>500332</v>
      </c>
      <c r="B1550" s="2" t="str">
        <f>"ARRUELA LISA - 1/4 INOX"</f>
        <v>ARRUELA LISA - 1/4 INOX</v>
      </c>
      <c r="C1550" s="2" t="str">
        <f t="shared" si="60"/>
        <v>UN</v>
      </c>
      <c r="D1550" s="7">
        <v>402</v>
      </c>
      <c r="E1550" s="3">
        <v>4</v>
      </c>
      <c r="F1550" s="2">
        <v>4</v>
      </c>
      <c r="G1550" t="s">
        <v>515</v>
      </c>
    </row>
    <row r="1551" spans="1:7" x14ac:dyDescent="0.25">
      <c r="A1551" s="1" t="str">
        <f>"506975"</f>
        <v>506975</v>
      </c>
      <c r="B1551" s="2" t="str">
        <f>"ARRUELA LISA - 1/4"""</f>
        <v>ARRUELA LISA - 1/4"</v>
      </c>
      <c r="C1551" s="2" t="str">
        <f t="shared" si="60"/>
        <v>UN</v>
      </c>
      <c r="D1551" s="7">
        <v>402</v>
      </c>
      <c r="E1551" s="3">
        <v>4</v>
      </c>
      <c r="F1551" s="2">
        <v>6</v>
      </c>
      <c r="G1551" t="s">
        <v>514</v>
      </c>
    </row>
    <row r="1552" spans="1:7" x14ac:dyDescent="0.25">
      <c r="A1552" s="1" t="str">
        <f>"500666"</f>
        <v>500666</v>
      </c>
      <c r="B1552" s="2" t="str">
        <f>"ARRUELA LISA - 3/16"</f>
        <v>ARRUELA LISA - 3/16</v>
      </c>
      <c r="C1552" s="2" t="str">
        <f t="shared" si="60"/>
        <v>UN</v>
      </c>
      <c r="D1552" s="7">
        <v>402</v>
      </c>
      <c r="E1552" s="3">
        <v>4</v>
      </c>
      <c r="F1552" s="2">
        <v>8</v>
      </c>
      <c r="G1552" t="s">
        <v>512</v>
      </c>
    </row>
    <row r="1553" spans="1:7" x14ac:dyDescent="0.25">
      <c r="A1553" s="1" t="str">
        <f>"500140"</f>
        <v>500140</v>
      </c>
      <c r="B1553" s="2" t="str">
        <f>"ARRUELA LISA - 5/16"</f>
        <v>ARRUELA LISA - 5/16</v>
      </c>
      <c r="C1553" s="2" t="str">
        <f t="shared" si="60"/>
        <v>UN</v>
      </c>
      <c r="D1553" s="7">
        <v>402</v>
      </c>
      <c r="E1553" s="3">
        <v>4</v>
      </c>
      <c r="F1553" s="2">
        <v>7</v>
      </c>
      <c r="G1553" t="s">
        <v>513</v>
      </c>
    </row>
    <row r="1554" spans="1:7" x14ac:dyDescent="0.25">
      <c r="A1554" s="1" t="str">
        <f>"504152"</f>
        <v>504152</v>
      </c>
      <c r="B1554" s="2" t="str">
        <f>"ARRUELA LISA - 7/8"""</f>
        <v>ARRUELA LISA - 7/8"</v>
      </c>
      <c r="C1554" s="2" t="str">
        <f t="shared" si="60"/>
        <v>UN</v>
      </c>
      <c r="D1554" s="7">
        <v>402</v>
      </c>
      <c r="E1554" s="3">
        <v>4</v>
      </c>
      <c r="F1554" s="2">
        <v>6</v>
      </c>
      <c r="G1554" t="s">
        <v>514</v>
      </c>
    </row>
    <row r="1555" spans="1:7" x14ac:dyDescent="0.25">
      <c r="A1555" s="1" t="str">
        <f>"505677"</f>
        <v>505677</v>
      </c>
      <c r="B1555" s="2" t="str">
        <f>"ARRUELA LISA 14MM"</f>
        <v>ARRUELA LISA 14MM</v>
      </c>
      <c r="C1555" s="2" t="str">
        <f t="shared" si="60"/>
        <v>UN</v>
      </c>
      <c r="D1555" s="7">
        <v>704</v>
      </c>
      <c r="E1555" s="3">
        <v>9</v>
      </c>
      <c r="F1555" s="2">
        <v>6</v>
      </c>
      <c r="G1555" t="s">
        <v>514</v>
      </c>
    </row>
    <row r="1556" spans="1:7" x14ac:dyDescent="0.25">
      <c r="A1556" s="1" t="str">
        <f>"523219"</f>
        <v>523219</v>
      </c>
      <c r="B1556" s="2" t="str">
        <f>"ARRUELA LISA 3/8 INOX"</f>
        <v>ARRUELA LISA 3/8 INOX</v>
      </c>
      <c r="C1556" s="2" t="str">
        <f t="shared" si="60"/>
        <v>UN</v>
      </c>
      <c r="D1556" s="7">
        <v>917</v>
      </c>
      <c r="E1556" s="3">
        <v>10</v>
      </c>
      <c r="F1556" s="2">
        <v>2</v>
      </c>
      <c r="G1556" t="s">
        <v>512</v>
      </c>
    </row>
    <row r="1557" spans="1:7" x14ac:dyDescent="0.25">
      <c r="A1557" s="1" t="str">
        <f>"510603"</f>
        <v>510603</v>
      </c>
      <c r="B1557" s="2" t="str">
        <f>"ARRUELA LISA 3/8"""</f>
        <v>ARRUELA LISA 3/8"</v>
      </c>
      <c r="C1557" s="2" t="str">
        <f t="shared" si="60"/>
        <v>UN</v>
      </c>
      <c r="D1557" s="7">
        <v>918</v>
      </c>
      <c r="E1557" s="3">
        <v>11</v>
      </c>
      <c r="F1557" s="2">
        <v>1</v>
      </c>
      <c r="G1557" t="s">
        <v>513</v>
      </c>
    </row>
    <row r="1558" spans="1:7" x14ac:dyDescent="0.25">
      <c r="A1558" s="1" t="str">
        <f>"510536"</f>
        <v>510536</v>
      </c>
      <c r="B1558" s="2" t="str">
        <f>"ARRUELA LISA 43.0101.100.06"</f>
        <v>ARRUELA LISA 43.0101.100.06</v>
      </c>
      <c r="C1558" s="2" t="str">
        <f t="shared" si="60"/>
        <v>UN</v>
      </c>
      <c r="D1558" s="7">
        <v>918</v>
      </c>
      <c r="E1558" s="3">
        <v>11</v>
      </c>
      <c r="F1558" s="2">
        <v>0</v>
      </c>
      <c r="G1558" t="s">
        <v>514</v>
      </c>
    </row>
    <row r="1559" spans="1:7" x14ac:dyDescent="0.25">
      <c r="A1559" s="1" t="str">
        <f>"509027"</f>
        <v>509027</v>
      </c>
      <c r="B1559" s="2" t="str">
        <f>"ARRUELA LISA 43.0101.200.06"</f>
        <v>ARRUELA LISA 43.0101.200.06</v>
      </c>
      <c r="C1559" s="2" t="str">
        <f t="shared" si="60"/>
        <v>UN</v>
      </c>
      <c r="D1559" s="7">
        <v>918</v>
      </c>
      <c r="E1559" s="3">
        <v>11</v>
      </c>
      <c r="F1559" s="2">
        <v>0</v>
      </c>
      <c r="G1559" t="s">
        <v>514</v>
      </c>
    </row>
    <row r="1560" spans="1:7" x14ac:dyDescent="0.25">
      <c r="A1560" s="1" t="str">
        <f>"509041"</f>
        <v>509041</v>
      </c>
      <c r="B1560" s="2" t="str">
        <f>"ARRUELA LISA 43.3101.100.06"</f>
        <v>ARRUELA LISA 43.3101.100.06</v>
      </c>
      <c r="C1560" s="2" t="str">
        <f t="shared" si="60"/>
        <v>UN</v>
      </c>
      <c r="D1560" s="7">
        <v>918</v>
      </c>
      <c r="E1560" s="3">
        <v>11</v>
      </c>
      <c r="F1560" s="2">
        <v>0</v>
      </c>
      <c r="G1560" t="s">
        <v>514</v>
      </c>
    </row>
    <row r="1561" spans="1:7" x14ac:dyDescent="0.25">
      <c r="A1561" s="1" t="str">
        <f>"510685"</f>
        <v>510685</v>
      </c>
      <c r="B1561" s="2" t="str">
        <f>"ARRUELA LISA 5/8"</f>
        <v>ARRUELA LISA 5/8</v>
      </c>
      <c r="C1561" s="2" t="str">
        <f t="shared" si="60"/>
        <v>UN</v>
      </c>
      <c r="D1561" s="7">
        <v>918</v>
      </c>
      <c r="E1561" s="3">
        <v>11</v>
      </c>
      <c r="F1561" s="2">
        <v>3</v>
      </c>
      <c r="G1561" t="s">
        <v>513</v>
      </c>
    </row>
    <row r="1562" spans="1:7" x14ac:dyDescent="0.25">
      <c r="A1562" s="1" t="str">
        <f>"521647"</f>
        <v>521647</v>
      </c>
      <c r="B1562" s="2" t="str">
        <f>"ARRUELA LISA ACO GALV. 6,4X12MM 23B/EM50 PN2275400"</f>
        <v>ARRUELA LISA ACO GALV. 6,4X12MM 23B/EM50 PN2275400</v>
      </c>
      <c r="C1562" s="2" t="str">
        <f t="shared" si="60"/>
        <v>UN</v>
      </c>
      <c r="D1562" s="7">
        <v>916</v>
      </c>
      <c r="E1562" s="3">
        <v>10</v>
      </c>
      <c r="F1562" s="5">
        <v>5</v>
      </c>
      <c r="G1562" t="s">
        <v>512</v>
      </c>
    </row>
    <row r="1563" spans="1:7" x14ac:dyDescent="0.25">
      <c r="A1563" s="1" t="str">
        <f>"500213"</f>
        <v>500213</v>
      </c>
      <c r="B1563" s="2" t="str">
        <f>"ARRUELA LISA DE 1/2"""</f>
        <v>ARRUELA LISA DE 1/2"</v>
      </c>
      <c r="C1563" s="2" t="str">
        <f t="shared" si="60"/>
        <v>UN</v>
      </c>
      <c r="D1563" s="7">
        <v>402</v>
      </c>
      <c r="E1563" s="3">
        <v>4</v>
      </c>
      <c r="F1563" s="2">
        <v>3</v>
      </c>
      <c r="G1563" t="s">
        <v>513</v>
      </c>
    </row>
    <row r="1564" spans="1:7" x14ac:dyDescent="0.25">
      <c r="A1564" s="1" t="str">
        <f>"527164"</f>
        <v>527164</v>
      </c>
      <c r="B1564" s="2" t="str">
        <f>"ARRUELA LISA INOX 1/2"</f>
        <v>ARRUELA LISA INOX 1/2</v>
      </c>
      <c r="C1564" s="2" t="str">
        <f t="shared" si="60"/>
        <v>UN</v>
      </c>
      <c r="D1564" s="7">
        <v>800</v>
      </c>
      <c r="E1564" s="3">
        <v>10</v>
      </c>
      <c r="F1564" s="2">
        <v>8</v>
      </c>
      <c r="G1564" t="s">
        <v>514</v>
      </c>
    </row>
    <row r="1565" spans="1:7" x14ac:dyDescent="0.25">
      <c r="A1565" s="1" t="str">
        <f>"506882"</f>
        <v>506882</v>
      </c>
      <c r="B1565" s="2" t="str">
        <f>"ARRUELA LISA INOX 1/4"</f>
        <v>ARRUELA LISA INOX 1/4</v>
      </c>
      <c r="C1565" s="2" t="str">
        <f t="shared" si="60"/>
        <v>UN</v>
      </c>
      <c r="D1565" s="7">
        <v>99999</v>
      </c>
      <c r="E1565" s="3">
        <v>99</v>
      </c>
      <c r="F1565" s="2">
        <v>6</v>
      </c>
      <c r="G1565" t="s">
        <v>514</v>
      </c>
    </row>
    <row r="1566" spans="1:7" x14ac:dyDescent="0.25">
      <c r="A1566" s="1" t="str">
        <f>"527167"</f>
        <v>527167</v>
      </c>
      <c r="B1566" s="2" t="str">
        <f>"ARRUELA LISA INOX 1/4"</f>
        <v>ARRUELA LISA INOX 1/4</v>
      </c>
      <c r="C1566" s="2" t="str">
        <f t="shared" si="60"/>
        <v>UN</v>
      </c>
      <c r="D1566" s="7">
        <v>800</v>
      </c>
      <c r="E1566" s="3">
        <v>10</v>
      </c>
      <c r="F1566" s="2">
        <v>4</v>
      </c>
      <c r="G1566" t="s">
        <v>514</v>
      </c>
    </row>
    <row r="1567" spans="1:7" x14ac:dyDescent="0.25">
      <c r="A1567" s="1" t="str">
        <f>"509686"</f>
        <v>509686</v>
      </c>
      <c r="B1567" s="2" t="str">
        <f>"ARRUELA LISA INOX 1/8"""</f>
        <v>ARRUELA LISA INOX 1/8"</v>
      </c>
      <c r="C1567" s="2" t="str">
        <f t="shared" si="60"/>
        <v>UN</v>
      </c>
      <c r="D1567" s="7">
        <v>402</v>
      </c>
      <c r="E1567" s="3">
        <v>4</v>
      </c>
      <c r="F1567" s="2">
        <v>1</v>
      </c>
      <c r="G1567" t="s">
        <v>513</v>
      </c>
    </row>
    <row r="1568" spans="1:7" x14ac:dyDescent="0.25">
      <c r="A1568" s="1" t="str">
        <f>"527161"</f>
        <v>527161</v>
      </c>
      <c r="B1568" s="2" t="str">
        <f>"ARRUELA LISA INOX 3/4"</f>
        <v>ARRUELA LISA INOX 3/4</v>
      </c>
      <c r="C1568" s="2" t="str">
        <f t="shared" si="60"/>
        <v>UN</v>
      </c>
      <c r="D1568" s="7">
        <v>800</v>
      </c>
      <c r="E1568" s="3">
        <v>10</v>
      </c>
      <c r="F1568" s="2">
        <v>2</v>
      </c>
      <c r="G1568" t="s">
        <v>513</v>
      </c>
    </row>
    <row r="1569" spans="1:7" x14ac:dyDescent="0.25">
      <c r="A1569" s="1" t="str">
        <f>"506881"</f>
        <v>506881</v>
      </c>
      <c r="B1569" s="2" t="str">
        <f>"ARRUELA LISA INOX 3/8"</f>
        <v>ARRUELA LISA INOX 3/8</v>
      </c>
      <c r="C1569" s="2" t="str">
        <f t="shared" si="60"/>
        <v>UN</v>
      </c>
      <c r="D1569" s="7">
        <v>99999</v>
      </c>
      <c r="E1569" s="3">
        <v>99</v>
      </c>
      <c r="F1569" s="2">
        <v>7</v>
      </c>
      <c r="G1569" t="s">
        <v>513</v>
      </c>
    </row>
    <row r="1570" spans="1:7" x14ac:dyDescent="0.25">
      <c r="A1570" s="1" t="str">
        <f>"506901"</f>
        <v>506901</v>
      </c>
      <c r="B1570" s="2" t="str">
        <f>"ARRUELA LISA INOX 5/16"</f>
        <v>ARRUELA LISA INOX 5/16</v>
      </c>
      <c r="C1570" s="2" t="str">
        <f t="shared" si="60"/>
        <v>UN</v>
      </c>
      <c r="D1570" s="7">
        <v>99999</v>
      </c>
      <c r="E1570" s="3">
        <v>99</v>
      </c>
      <c r="F1570" s="2">
        <v>9</v>
      </c>
      <c r="G1570" t="s">
        <v>512</v>
      </c>
    </row>
    <row r="1571" spans="1:7" x14ac:dyDescent="0.25">
      <c r="A1571" s="1" t="str">
        <f>"506893"</f>
        <v>506893</v>
      </c>
      <c r="B1571" s="2" t="str">
        <f>"ARRUELA LISA INOX 5/32"</f>
        <v>ARRUELA LISA INOX 5/32</v>
      </c>
      <c r="C1571" s="2" t="str">
        <f t="shared" si="60"/>
        <v>UN</v>
      </c>
      <c r="D1571" s="7">
        <v>402</v>
      </c>
      <c r="E1571" s="3">
        <v>4</v>
      </c>
      <c r="F1571" s="2">
        <v>0</v>
      </c>
      <c r="G1571" t="s">
        <v>513</v>
      </c>
    </row>
    <row r="1572" spans="1:7" x14ac:dyDescent="0.25">
      <c r="A1572" s="1" t="str">
        <f>"506879"</f>
        <v>506879</v>
      </c>
      <c r="B1572" s="2" t="str">
        <f>"ARRUELA LISA INOX M3X0,50X7"</f>
        <v>ARRUELA LISA INOX M3X0,50X7</v>
      </c>
      <c r="C1572" s="2" t="str">
        <f t="shared" si="60"/>
        <v>UN</v>
      </c>
      <c r="D1572" s="7">
        <v>402</v>
      </c>
      <c r="E1572" s="3">
        <v>4</v>
      </c>
      <c r="F1572" s="2">
        <v>0</v>
      </c>
      <c r="G1572" t="s">
        <v>514</v>
      </c>
    </row>
    <row r="1573" spans="1:7" x14ac:dyDescent="0.25">
      <c r="A1573" s="1" t="str">
        <f>"506875"</f>
        <v>506875</v>
      </c>
      <c r="B1573" s="2" t="str">
        <f>"ARRUELA LISA INOX M4X0,80X90"</f>
        <v>ARRUELA LISA INOX M4X0,80X90</v>
      </c>
      <c r="C1573" s="2" t="str">
        <f t="shared" si="60"/>
        <v>UN</v>
      </c>
      <c r="D1573" s="7">
        <v>402</v>
      </c>
      <c r="E1573" s="3">
        <v>4</v>
      </c>
      <c r="F1573" s="2">
        <v>2</v>
      </c>
      <c r="G1573" t="s">
        <v>515</v>
      </c>
    </row>
    <row r="1574" spans="1:7" x14ac:dyDescent="0.25">
      <c r="A1574" s="1" t="str">
        <f>"506888"</f>
        <v>506888</v>
      </c>
      <c r="B1574" s="2" t="str">
        <f>"ARRUELA LISA INOX M5X1,00X10"</f>
        <v>ARRUELA LISA INOX M5X1,00X10</v>
      </c>
      <c r="C1574" s="2" t="str">
        <f t="shared" si="60"/>
        <v>UN</v>
      </c>
      <c r="D1574" s="7">
        <v>402</v>
      </c>
      <c r="E1574" s="3">
        <v>4</v>
      </c>
      <c r="F1574" s="2">
        <v>5</v>
      </c>
      <c r="G1574" t="s">
        <v>512</v>
      </c>
    </row>
    <row r="1575" spans="1:7" x14ac:dyDescent="0.25">
      <c r="A1575" s="1" t="str">
        <f>"506874"</f>
        <v>506874</v>
      </c>
      <c r="B1575" s="2" t="str">
        <f>"ARRUELA LISA INOX M6"</f>
        <v>ARRUELA LISA INOX M6</v>
      </c>
      <c r="C1575" s="2" t="str">
        <f t="shared" si="60"/>
        <v>UN</v>
      </c>
      <c r="D1575" s="7">
        <v>402</v>
      </c>
      <c r="E1575" s="3">
        <v>4</v>
      </c>
      <c r="F1575" s="2">
        <v>6</v>
      </c>
      <c r="G1575" t="s">
        <v>516</v>
      </c>
    </row>
    <row r="1576" spans="1:7" x14ac:dyDescent="0.25">
      <c r="A1576" s="1" t="str">
        <f>"506890"</f>
        <v>506890</v>
      </c>
      <c r="B1576" s="2" t="str">
        <f>"ARRUELA LISA INOX M8X17"</f>
        <v>ARRUELA LISA INOX M8X17</v>
      </c>
      <c r="C1576" s="2" t="str">
        <f t="shared" si="60"/>
        <v>UN</v>
      </c>
      <c r="D1576" s="7">
        <v>402</v>
      </c>
      <c r="E1576" s="3">
        <v>4</v>
      </c>
      <c r="F1576" s="2">
        <v>9</v>
      </c>
      <c r="G1576" t="s">
        <v>515</v>
      </c>
    </row>
    <row r="1577" spans="1:7" x14ac:dyDescent="0.25">
      <c r="A1577" s="1" t="str">
        <f>"502395"</f>
        <v>502395</v>
      </c>
      <c r="B1577" s="2" t="str">
        <f>"ARRUELA LISA M12"</f>
        <v>ARRUELA LISA M12</v>
      </c>
      <c r="C1577" s="2" t="str">
        <f t="shared" si="60"/>
        <v>UN</v>
      </c>
      <c r="D1577" s="7">
        <v>402</v>
      </c>
      <c r="E1577" s="3">
        <v>4</v>
      </c>
      <c r="F1577" s="2">
        <v>5</v>
      </c>
      <c r="G1577" t="s">
        <v>514</v>
      </c>
    </row>
    <row r="1578" spans="1:7" x14ac:dyDescent="0.25">
      <c r="A1578" s="1" t="str">
        <f>"505680"</f>
        <v>505680</v>
      </c>
      <c r="B1578" s="2" t="str">
        <f>"ARRUELA LISA M16"</f>
        <v>ARRUELA LISA M16</v>
      </c>
      <c r="C1578" s="2" t="str">
        <f t="shared" si="60"/>
        <v>UN</v>
      </c>
      <c r="D1578" s="7">
        <v>704</v>
      </c>
      <c r="E1578" s="3">
        <v>9</v>
      </c>
      <c r="F1578" s="2">
        <v>3</v>
      </c>
      <c r="G1578" t="s">
        <v>512</v>
      </c>
    </row>
    <row r="1579" spans="1:7" x14ac:dyDescent="0.25">
      <c r="A1579" s="1" t="str">
        <f>"502326"</f>
        <v>502326</v>
      </c>
      <c r="B1579" s="2" t="str">
        <f>"ARRUELA LISA M4"</f>
        <v>ARRUELA LISA M4</v>
      </c>
      <c r="C1579" s="2" t="str">
        <f t="shared" si="60"/>
        <v>UN</v>
      </c>
      <c r="D1579" s="7">
        <v>402</v>
      </c>
      <c r="E1579" s="3">
        <v>4</v>
      </c>
      <c r="F1579" s="2">
        <v>3</v>
      </c>
      <c r="G1579" t="s">
        <v>513</v>
      </c>
    </row>
    <row r="1580" spans="1:7" x14ac:dyDescent="0.25">
      <c r="A1580" s="1" t="str">
        <f>"526941"</f>
        <v>526941</v>
      </c>
      <c r="B1580" s="2" t="str">
        <f>"ARRUELA MB06"</f>
        <v>ARRUELA MB06</v>
      </c>
      <c r="C1580" s="2" t="str">
        <f t="shared" si="60"/>
        <v>UN</v>
      </c>
      <c r="D1580" s="7">
        <v>918</v>
      </c>
      <c r="E1580" s="3">
        <v>11</v>
      </c>
      <c r="F1580" s="2">
        <v>2</v>
      </c>
      <c r="G1580" t="s">
        <v>514</v>
      </c>
    </row>
    <row r="1581" spans="1:7" x14ac:dyDescent="0.25">
      <c r="A1581" s="1" t="str">
        <f>"510826"</f>
        <v>510826</v>
      </c>
      <c r="B1581" s="2" t="str">
        <f>"ARRUELA P/ ELETRODUTO 1 1/2"""</f>
        <v>ARRUELA P/ ELETRODUTO 1 1/2"</v>
      </c>
      <c r="C1581" s="2" t="str">
        <f t="shared" si="60"/>
        <v>UN</v>
      </c>
      <c r="D1581" s="7">
        <v>601</v>
      </c>
      <c r="E1581" s="3">
        <v>8</v>
      </c>
      <c r="F1581" s="2">
        <v>1</v>
      </c>
      <c r="G1581" t="s">
        <v>514</v>
      </c>
    </row>
    <row r="1582" spans="1:7" x14ac:dyDescent="0.25">
      <c r="A1582" s="1" t="str">
        <f>"509795"</f>
        <v>509795</v>
      </c>
      <c r="B1582" s="2" t="str">
        <f>"ARRUELA PRESSAO 1/2 CISER/SIMILAR"</f>
        <v>ARRUELA PRESSAO 1/2 CISER/SIMILAR</v>
      </c>
      <c r="C1582" s="2" t="str">
        <f t="shared" si="60"/>
        <v>UN</v>
      </c>
      <c r="D1582" s="7">
        <v>918</v>
      </c>
      <c r="E1582" s="3">
        <v>11</v>
      </c>
      <c r="F1582" s="2">
        <v>4</v>
      </c>
      <c r="G1582" t="s">
        <v>512</v>
      </c>
    </row>
    <row r="1583" spans="1:7" x14ac:dyDescent="0.25">
      <c r="A1583" s="1" t="str">
        <f>"511267"</f>
        <v>511267</v>
      </c>
      <c r="B1583" s="2" t="str">
        <f>"ARRUELA PRESSAO 1/4"""</f>
        <v>ARRUELA PRESSAO 1/4"</v>
      </c>
      <c r="C1583" s="2" t="str">
        <f t="shared" si="60"/>
        <v>UN</v>
      </c>
      <c r="D1583" s="7">
        <v>600</v>
      </c>
      <c r="E1583" s="3">
        <v>8</v>
      </c>
      <c r="F1583" s="2">
        <v>1</v>
      </c>
      <c r="G1583" t="s">
        <v>513</v>
      </c>
    </row>
    <row r="1584" spans="1:7" x14ac:dyDescent="0.25">
      <c r="A1584" s="1" t="str">
        <f>"522166"</f>
        <v>522166</v>
      </c>
      <c r="B1584" s="2" t="str">
        <f>"ARRUELA PRESSAO 1/4"" INOX"</f>
        <v>ARRUELA PRESSAO 1/4" INOX</v>
      </c>
      <c r="C1584" s="2" t="str">
        <f t="shared" si="60"/>
        <v>UN</v>
      </c>
      <c r="D1584" s="7">
        <v>600</v>
      </c>
      <c r="E1584" s="3">
        <v>8</v>
      </c>
      <c r="F1584" s="2">
        <v>2</v>
      </c>
      <c r="G1584" t="s">
        <v>514</v>
      </c>
    </row>
    <row r="1585" spans="1:7" x14ac:dyDescent="0.25">
      <c r="A1585" s="1" t="str">
        <f>"511331"</f>
        <v>511331</v>
      </c>
      <c r="B1585" s="2" t="str">
        <f>"ARRUELA PRESSAO 3/16"""</f>
        <v>ARRUELA PRESSAO 3/16"</v>
      </c>
      <c r="C1585" s="2" t="str">
        <f t="shared" si="60"/>
        <v>UN</v>
      </c>
      <c r="D1585" s="7">
        <v>601</v>
      </c>
      <c r="E1585" s="3">
        <v>8</v>
      </c>
      <c r="F1585" s="2">
        <v>7</v>
      </c>
      <c r="G1585" t="s">
        <v>514</v>
      </c>
    </row>
    <row r="1586" spans="1:7" x14ac:dyDescent="0.25">
      <c r="A1586" s="1" t="str">
        <f>"511265"</f>
        <v>511265</v>
      </c>
      <c r="B1586" s="2" t="str">
        <f>"ARRUELA PRESSAO 3/8"""</f>
        <v>ARRUELA PRESSAO 3/8"</v>
      </c>
      <c r="C1586" s="2" t="str">
        <f t="shared" si="60"/>
        <v>UN</v>
      </c>
      <c r="D1586" s="7">
        <v>601</v>
      </c>
      <c r="E1586" s="3">
        <v>8</v>
      </c>
      <c r="F1586" s="2">
        <v>9</v>
      </c>
      <c r="G1586" t="s">
        <v>514</v>
      </c>
    </row>
    <row r="1587" spans="1:7" x14ac:dyDescent="0.25">
      <c r="A1587" s="1" t="str">
        <f>"522341"</f>
        <v>522341</v>
      </c>
      <c r="B1587" s="2" t="str">
        <f>"ARRUELA PRESSAO 3/8"" INOX"</f>
        <v>ARRUELA PRESSAO 3/8" INOX</v>
      </c>
      <c r="C1587" s="2" t="str">
        <f t="shared" si="60"/>
        <v>UN</v>
      </c>
      <c r="D1587" s="7">
        <v>601</v>
      </c>
      <c r="E1587" s="3">
        <v>8</v>
      </c>
      <c r="F1587" s="2">
        <v>0</v>
      </c>
      <c r="G1587" t="s">
        <v>513</v>
      </c>
    </row>
    <row r="1588" spans="1:7" x14ac:dyDescent="0.25">
      <c r="A1588" s="1" t="str">
        <f>"518907"</f>
        <v>518907</v>
      </c>
      <c r="B1588" s="2" t="str">
        <f>"ARRUELA PRESSÃO BICROMATIZADA 5/16"""</f>
        <v>ARRUELA PRESSÃO BICROMATIZADA 5/16"</v>
      </c>
      <c r="C1588" s="2" t="str">
        <f t="shared" si="60"/>
        <v>UN</v>
      </c>
      <c r="D1588" s="7">
        <v>811</v>
      </c>
      <c r="E1588" s="3">
        <v>8</v>
      </c>
      <c r="F1588" s="2">
        <v>0</v>
      </c>
      <c r="G1588" t="s">
        <v>512</v>
      </c>
    </row>
    <row r="1589" spans="1:7" x14ac:dyDescent="0.25">
      <c r="A1589" s="1" t="str">
        <f>"512994"</f>
        <v>512994</v>
      </c>
      <c r="B1589" s="2" t="str">
        <f>"ARRUELA PRESSÃO ENG A2-02003"</f>
        <v>ARRUELA PRESSÃO ENG A2-02003</v>
      </c>
      <c r="C1589" s="2" t="str">
        <f t="shared" si="60"/>
        <v>UN</v>
      </c>
      <c r="D1589" s="7">
        <v>918</v>
      </c>
      <c r="E1589" s="3">
        <v>11</v>
      </c>
      <c r="F1589" s="2">
        <v>4</v>
      </c>
      <c r="G1589" t="s">
        <v>513</v>
      </c>
    </row>
    <row r="1590" spans="1:7" x14ac:dyDescent="0.25">
      <c r="A1590" s="1" t="str">
        <f>"500954"</f>
        <v>500954</v>
      </c>
      <c r="B1590" s="2" t="str">
        <f>"ARRUELA PRESSAO INOX M10"</f>
        <v>ARRUELA PRESSAO INOX M10</v>
      </c>
      <c r="C1590" s="2" t="str">
        <f t="shared" si="60"/>
        <v>UN</v>
      </c>
      <c r="D1590" s="7">
        <v>99999</v>
      </c>
      <c r="E1590" s="3">
        <v>99</v>
      </c>
      <c r="F1590" s="2">
        <v>1</v>
      </c>
      <c r="G1590" t="s">
        <v>514</v>
      </c>
    </row>
    <row r="1591" spans="1:7" x14ac:dyDescent="0.25">
      <c r="A1591" s="1" t="str">
        <f>"511369"</f>
        <v>511369</v>
      </c>
      <c r="B1591" s="2" t="str">
        <f>"ARRUELA PRESSAO INOX M12"</f>
        <v>ARRUELA PRESSAO INOX M12</v>
      </c>
      <c r="C1591" s="2" t="str">
        <f>"KG"</f>
        <v>KG</v>
      </c>
      <c r="D1591" s="7">
        <v>800</v>
      </c>
      <c r="E1591" s="3">
        <v>10</v>
      </c>
      <c r="F1591" s="2">
        <v>2</v>
      </c>
      <c r="G1591" t="s">
        <v>514</v>
      </c>
    </row>
    <row r="1592" spans="1:7" x14ac:dyDescent="0.25">
      <c r="A1592" s="1" t="str">
        <f>"506885"</f>
        <v>506885</v>
      </c>
      <c r="B1592" s="2" t="str">
        <f>"ARRUELA PRESSAO INOX M4"</f>
        <v>ARRUELA PRESSAO INOX M4</v>
      </c>
      <c r="C1592" s="2" t="str">
        <f t="shared" ref="C1592:C1618" si="61">"UN"</f>
        <v>UN</v>
      </c>
      <c r="D1592" s="7">
        <v>402</v>
      </c>
      <c r="E1592" s="3">
        <v>4</v>
      </c>
      <c r="F1592" s="2">
        <v>7</v>
      </c>
      <c r="G1592" t="s">
        <v>514</v>
      </c>
    </row>
    <row r="1593" spans="1:7" x14ac:dyDescent="0.25">
      <c r="A1593" s="1" t="str">
        <f>"512302"</f>
        <v>512302</v>
      </c>
      <c r="B1593" s="2" t="str">
        <f>"ARRUELA PRESSAO INOX M5"</f>
        <v>ARRUELA PRESSAO INOX M5</v>
      </c>
      <c r="C1593" s="2" t="str">
        <f t="shared" si="61"/>
        <v>UN</v>
      </c>
      <c r="D1593" s="7">
        <v>918</v>
      </c>
      <c r="E1593" s="3">
        <v>11</v>
      </c>
      <c r="F1593" s="2">
        <v>9</v>
      </c>
      <c r="G1593" t="s">
        <v>513</v>
      </c>
    </row>
    <row r="1594" spans="1:7" x14ac:dyDescent="0.25">
      <c r="A1594" s="1" t="str">
        <f>"506900"</f>
        <v>506900</v>
      </c>
      <c r="B1594" s="2" t="str">
        <f>"ARRUELA PRESSAO INOX M6"</f>
        <v>ARRUELA PRESSAO INOX M6</v>
      </c>
      <c r="C1594" s="2" t="str">
        <f t="shared" si="61"/>
        <v>UN</v>
      </c>
      <c r="D1594" s="7">
        <v>99999</v>
      </c>
      <c r="E1594" s="3">
        <v>99</v>
      </c>
      <c r="F1594" s="5">
        <v>5</v>
      </c>
      <c r="G1594" t="s">
        <v>513</v>
      </c>
    </row>
    <row r="1595" spans="1:7" x14ac:dyDescent="0.25">
      <c r="A1595" s="1" t="str">
        <f>"511257"</f>
        <v>511257</v>
      </c>
      <c r="B1595" s="2" t="str">
        <f>"ARRUELA PRESSAO INOX M8"</f>
        <v>ARRUELA PRESSAO INOX M8</v>
      </c>
      <c r="C1595" s="2" t="str">
        <f t="shared" si="61"/>
        <v>UN</v>
      </c>
      <c r="D1595" s="7">
        <v>601</v>
      </c>
      <c r="E1595" s="3">
        <v>8</v>
      </c>
      <c r="F1595" s="2">
        <v>3</v>
      </c>
      <c r="G1595" t="s">
        <v>513</v>
      </c>
    </row>
    <row r="1596" spans="1:7" x14ac:dyDescent="0.25">
      <c r="A1596" s="1" t="str">
        <f>"512993"</f>
        <v>512993</v>
      </c>
      <c r="B1596" s="2" t="str">
        <f>"ARRUELA REGULAGEM DES E4199-54424"</f>
        <v>ARRUELA REGULAGEM DES E4199-54424</v>
      </c>
      <c r="C1596" s="2" t="str">
        <f t="shared" si="61"/>
        <v>UN</v>
      </c>
      <c r="D1596" s="7">
        <v>918</v>
      </c>
      <c r="E1596" s="3">
        <v>11</v>
      </c>
      <c r="F1596" s="2">
        <v>8</v>
      </c>
      <c r="G1596" t="s">
        <v>512</v>
      </c>
    </row>
    <row r="1597" spans="1:7" x14ac:dyDescent="0.25">
      <c r="A1597" s="1" t="str">
        <f>"505101"</f>
        <v>505101</v>
      </c>
      <c r="B1597" s="2" t="str">
        <f>"ARRUELA VEDACAO"</f>
        <v>ARRUELA VEDACAO</v>
      </c>
      <c r="C1597" s="2" t="str">
        <f t="shared" si="61"/>
        <v>UN</v>
      </c>
      <c r="D1597" s="7">
        <v>704</v>
      </c>
      <c r="E1597" s="3">
        <v>9</v>
      </c>
      <c r="F1597" s="2">
        <v>6</v>
      </c>
      <c r="G1597" t="s">
        <v>513</v>
      </c>
    </row>
    <row r="1598" spans="1:7" x14ac:dyDescent="0.25">
      <c r="A1598" s="1" t="str">
        <f>"505963"</f>
        <v>505963</v>
      </c>
      <c r="B1598" s="2" t="str">
        <f>"ARRUELA VEDACAO 8MM"</f>
        <v>ARRUELA VEDACAO 8MM</v>
      </c>
      <c r="C1598" s="2" t="str">
        <f t="shared" si="61"/>
        <v>UN</v>
      </c>
      <c r="D1598" s="7">
        <v>704</v>
      </c>
      <c r="E1598" s="3">
        <v>9</v>
      </c>
      <c r="F1598" s="2">
        <v>4</v>
      </c>
      <c r="G1598" t="s">
        <v>514</v>
      </c>
    </row>
    <row r="1599" spans="1:7" x14ac:dyDescent="0.25">
      <c r="A1599" s="1" t="str">
        <f>"520421"</f>
        <v>520421</v>
      </c>
      <c r="B1599" s="2" t="str">
        <f>"ARRUELA VITON 17X25X3"</f>
        <v>ARRUELA VITON 17X25X3</v>
      </c>
      <c r="C1599" s="2" t="str">
        <f t="shared" si="61"/>
        <v>UN</v>
      </c>
      <c r="D1599" s="7">
        <v>909</v>
      </c>
      <c r="E1599" s="3">
        <v>11</v>
      </c>
      <c r="F1599" s="2">
        <v>1</v>
      </c>
      <c r="G1599" t="s">
        <v>515</v>
      </c>
    </row>
    <row r="1600" spans="1:7" x14ac:dyDescent="0.25">
      <c r="A1600" s="1" t="str">
        <f>"520419"</f>
        <v>520419</v>
      </c>
      <c r="B1600" s="2" t="str">
        <f>"ARRUELA VITON 22X32X3,2MM 60313 VDB 20634803"</f>
        <v>ARRUELA VITON 22X32X3,2MM 60313 VDB 20634803</v>
      </c>
      <c r="C1600" s="2" t="str">
        <f t="shared" si="61"/>
        <v>UN</v>
      </c>
      <c r="D1600" s="7">
        <v>909</v>
      </c>
      <c r="E1600" s="3">
        <v>11</v>
      </c>
      <c r="F1600" s="2">
        <v>2</v>
      </c>
      <c r="G1600" t="s">
        <v>512</v>
      </c>
    </row>
    <row r="1601" spans="1:7" x14ac:dyDescent="0.25">
      <c r="A1601" s="1" t="str">
        <f>"520426"</f>
        <v>520426</v>
      </c>
      <c r="B1601" s="2" t="str">
        <f>"ARRUELA VITON 22X32X5,5"</f>
        <v>ARRUELA VITON 22X32X5,5</v>
      </c>
      <c r="C1601" s="2" t="str">
        <f t="shared" si="61"/>
        <v>UN</v>
      </c>
      <c r="D1601" s="7">
        <v>909</v>
      </c>
      <c r="E1601" s="3">
        <v>11</v>
      </c>
      <c r="F1601" s="2">
        <v>7</v>
      </c>
      <c r="G1601" t="s">
        <v>516</v>
      </c>
    </row>
    <row r="1602" spans="1:7" x14ac:dyDescent="0.25">
      <c r="A1602" s="1" t="str">
        <f>"520417"</f>
        <v>520417</v>
      </c>
      <c r="B1602" s="2" t="str">
        <f>"ARRUELA VITON 22X42X6MM 4170 VDB 18764203"</f>
        <v>ARRUELA VITON 22X42X6MM 4170 VDB 18764203</v>
      </c>
      <c r="C1602" s="2" t="str">
        <f t="shared" si="61"/>
        <v>UN</v>
      </c>
      <c r="D1602" s="7">
        <v>909</v>
      </c>
      <c r="E1602" s="3">
        <v>11</v>
      </c>
      <c r="F1602" s="2">
        <v>9</v>
      </c>
      <c r="G1602" t="s">
        <v>515</v>
      </c>
    </row>
    <row r="1603" spans="1:7" x14ac:dyDescent="0.25">
      <c r="A1603" s="1" t="str">
        <f>"520424"</f>
        <v>520424</v>
      </c>
      <c r="B1603" s="2" t="str">
        <f>"ARRUELA VITON 31X36X2,4"</f>
        <v>ARRUELA VITON 31X36X2,4</v>
      </c>
      <c r="C1603" s="2" t="str">
        <f t="shared" si="61"/>
        <v>UN</v>
      </c>
      <c r="D1603" s="7">
        <v>909</v>
      </c>
      <c r="E1603" s="3">
        <v>11</v>
      </c>
      <c r="F1603" s="2">
        <v>0</v>
      </c>
      <c r="G1603" t="s">
        <v>514</v>
      </c>
    </row>
    <row r="1604" spans="1:7" x14ac:dyDescent="0.25">
      <c r="A1604" s="1" t="str">
        <f>"520414"</f>
        <v>520414</v>
      </c>
      <c r="B1604" s="2" t="str">
        <f>"ARRUELA VITON 35X42X4"</f>
        <v>ARRUELA VITON 35X42X4</v>
      </c>
      <c r="C1604" s="2" t="str">
        <f t="shared" si="61"/>
        <v>UN</v>
      </c>
      <c r="D1604" s="7">
        <v>909</v>
      </c>
      <c r="E1604" s="3">
        <v>11</v>
      </c>
      <c r="F1604" s="2">
        <v>0</v>
      </c>
      <c r="G1604" t="s">
        <v>512</v>
      </c>
    </row>
    <row r="1605" spans="1:7" x14ac:dyDescent="0.25">
      <c r="A1605" s="1" t="str">
        <f>"520418"</f>
        <v>520418</v>
      </c>
      <c r="B1605" s="2" t="str">
        <f>"ARRUELA VITON 50X57X3,2MM 60026 VDB 20634703"</f>
        <v>ARRUELA VITON 50X57X3,2MM 60026 VDB 20634703</v>
      </c>
      <c r="C1605" s="2" t="str">
        <f t="shared" si="61"/>
        <v>UN</v>
      </c>
      <c r="D1605" s="7">
        <v>909</v>
      </c>
      <c r="E1605" s="3">
        <v>11</v>
      </c>
      <c r="F1605" s="2">
        <v>2</v>
      </c>
      <c r="G1605" t="s">
        <v>513</v>
      </c>
    </row>
    <row r="1606" spans="1:7" x14ac:dyDescent="0.25">
      <c r="A1606" s="1" t="str">
        <f>"520427"</f>
        <v>520427</v>
      </c>
      <c r="B1606" s="2" t="str">
        <f>"ARRUELA VITON 59X72X4,5"</f>
        <v>ARRUELA VITON 59X72X4,5</v>
      </c>
      <c r="C1606" s="2" t="str">
        <f t="shared" si="61"/>
        <v>UN</v>
      </c>
      <c r="D1606" s="7">
        <v>909</v>
      </c>
      <c r="E1606" s="3">
        <v>11</v>
      </c>
      <c r="F1606" s="2">
        <v>5</v>
      </c>
      <c r="G1606" t="s">
        <v>514</v>
      </c>
    </row>
    <row r="1607" spans="1:7" x14ac:dyDescent="0.25">
      <c r="A1607" s="1" t="str">
        <f>"520415"</f>
        <v>520415</v>
      </c>
      <c r="B1607" s="2" t="str">
        <f>"ARRUELA VITON 82X96X6,3"</f>
        <v>ARRUELA VITON 82X96X6,3</v>
      </c>
      <c r="C1607" s="2" t="str">
        <f t="shared" si="61"/>
        <v>UN</v>
      </c>
      <c r="D1607" s="7">
        <v>909</v>
      </c>
      <c r="E1607" s="3">
        <v>11</v>
      </c>
      <c r="F1607" s="2">
        <v>6</v>
      </c>
      <c r="G1607" t="s">
        <v>514</v>
      </c>
    </row>
    <row r="1608" spans="1:7" x14ac:dyDescent="0.25">
      <c r="A1608" s="1" t="str">
        <f>"511330"</f>
        <v>511330</v>
      </c>
      <c r="B1608" s="2" t="str">
        <f>"ARRUELA ZINCADA 3/16"""</f>
        <v>ARRUELA ZINCADA 3/16"</v>
      </c>
      <c r="C1608" s="2" t="str">
        <f t="shared" si="61"/>
        <v>UN</v>
      </c>
      <c r="D1608" s="7">
        <v>601</v>
      </c>
      <c r="E1608" s="3">
        <v>8</v>
      </c>
      <c r="F1608" s="2">
        <v>9</v>
      </c>
      <c r="G1608" t="s">
        <v>512</v>
      </c>
    </row>
    <row r="1609" spans="1:7" x14ac:dyDescent="0.25">
      <c r="A1609" s="1" t="str">
        <f>"511329"</f>
        <v>511329</v>
      </c>
      <c r="B1609" s="2" t="str">
        <f>"ARRUELA ZINCADA 5/16""3"</f>
        <v>ARRUELA ZINCADA 5/16"3</v>
      </c>
      <c r="C1609" s="2" t="str">
        <f t="shared" si="61"/>
        <v>UN</v>
      </c>
      <c r="D1609" s="7">
        <v>601</v>
      </c>
      <c r="E1609" s="3">
        <v>8</v>
      </c>
      <c r="F1609" s="2">
        <v>5</v>
      </c>
      <c r="G1609" t="s">
        <v>513</v>
      </c>
    </row>
    <row r="1610" spans="1:7" x14ac:dyDescent="0.25">
      <c r="A1610" s="1" t="str">
        <f>"509398"</f>
        <v>509398</v>
      </c>
      <c r="B1610" s="2" t="str">
        <f>"ARTICULAÇAO"</f>
        <v>ARTICULAÇAO</v>
      </c>
      <c r="C1610" s="2" t="str">
        <f t="shared" si="61"/>
        <v>UN</v>
      </c>
      <c r="D1610" s="7">
        <v>704</v>
      </c>
      <c r="E1610" s="3">
        <v>9</v>
      </c>
      <c r="F1610" s="2">
        <v>3</v>
      </c>
      <c r="G1610" t="s">
        <v>514</v>
      </c>
    </row>
    <row r="1611" spans="1:7" x14ac:dyDescent="0.25">
      <c r="A1611" s="1" t="str">
        <f>"524033"</f>
        <v>524033</v>
      </c>
      <c r="B1611" s="2" t="str">
        <f>"ARUBA 10G 4SFP+LC LR 10KM CPNTSMF TRANSCEIVE"</f>
        <v>ARUBA 10G 4SFP+LC LR 10KM CPNTSMF TRANSCEIVE</v>
      </c>
      <c r="C1611" s="2" t="str">
        <f t="shared" si="61"/>
        <v>UN</v>
      </c>
      <c r="D1611" s="7">
        <v>99999</v>
      </c>
      <c r="E1611" s="3">
        <v>99</v>
      </c>
      <c r="F1611" s="2">
        <v>3</v>
      </c>
      <c r="G1611" t="s">
        <v>514</v>
      </c>
    </row>
    <row r="1612" spans="1:7" x14ac:dyDescent="0.25">
      <c r="A1612" s="1" t="str">
        <f>"524034"</f>
        <v>524034</v>
      </c>
      <c r="B1612" s="2" t="str">
        <f>"ARUBA 10G 4SFP+TO SFP SYST+3M DA"</f>
        <v>ARUBA 10G 4SFP+TO SFP SYST+3M DA</v>
      </c>
      <c r="C1612" s="2" t="str">
        <f t="shared" si="61"/>
        <v>UN</v>
      </c>
      <c r="D1612" s="7">
        <v>99999</v>
      </c>
      <c r="E1612" s="3">
        <v>99</v>
      </c>
      <c r="F1612" s="2">
        <v>2</v>
      </c>
      <c r="G1612" t="s">
        <v>514</v>
      </c>
    </row>
    <row r="1613" spans="1:7" x14ac:dyDescent="0.25">
      <c r="A1613" s="1" t="str">
        <f>"524035"</f>
        <v>524035</v>
      </c>
      <c r="B1613" s="2" t="str">
        <f>"ARUBA 2930F 24G POE+4SFP+PERP"</f>
        <v>ARUBA 2930F 24G POE+4SFP+PERP</v>
      </c>
      <c r="C1613" s="2" t="str">
        <f t="shared" si="61"/>
        <v>UN</v>
      </c>
      <c r="D1613" s="7">
        <v>99999</v>
      </c>
      <c r="E1613" s="3">
        <v>99</v>
      </c>
      <c r="F1613" s="2">
        <v>1</v>
      </c>
      <c r="G1613" t="s">
        <v>513</v>
      </c>
    </row>
    <row r="1614" spans="1:7" x14ac:dyDescent="0.25">
      <c r="A1614" s="1" t="str">
        <f>"524032"</f>
        <v>524032</v>
      </c>
      <c r="B1614" s="2" t="str">
        <f>"ARUBA 2930F 48G 4SFP+SW PERP"</f>
        <v>ARUBA 2930F 48G 4SFP+SW PERP</v>
      </c>
      <c r="C1614" s="2" t="str">
        <f t="shared" si="61"/>
        <v>UN</v>
      </c>
      <c r="D1614" s="7">
        <v>99999</v>
      </c>
      <c r="E1614" s="3">
        <v>99</v>
      </c>
      <c r="F1614" s="2">
        <v>4</v>
      </c>
      <c r="G1614" t="s">
        <v>512</v>
      </c>
    </row>
    <row r="1615" spans="1:7" x14ac:dyDescent="0.25">
      <c r="A1615" s="1" t="str">
        <f>"524031"</f>
        <v>524031</v>
      </c>
      <c r="B1615" s="2" t="str">
        <f>"ARUBA 2930F 48G POE+4SFP+SW CHPERP"</f>
        <v>ARUBA 2930F 48G POE+4SFP+SW CHPERP</v>
      </c>
      <c r="C1615" s="2" t="str">
        <f t="shared" si="61"/>
        <v>UN</v>
      </c>
      <c r="D1615" s="7">
        <v>99999</v>
      </c>
      <c r="E1615" s="3">
        <v>99</v>
      </c>
      <c r="F1615" s="2">
        <v>6</v>
      </c>
      <c r="G1615" t="s">
        <v>513</v>
      </c>
    </row>
    <row r="1616" spans="1:7" x14ac:dyDescent="0.25">
      <c r="A1616" s="1" t="str">
        <f>"510759"</f>
        <v>510759</v>
      </c>
      <c r="B1616" s="2" t="str">
        <f>"ARVORE"</f>
        <v>ARVORE</v>
      </c>
      <c r="C1616" s="2" t="str">
        <f t="shared" si="61"/>
        <v>UN</v>
      </c>
      <c r="D1616" s="7">
        <v>401</v>
      </c>
      <c r="E1616" s="3">
        <v>4</v>
      </c>
      <c r="F1616" s="2">
        <v>8</v>
      </c>
      <c r="G1616" t="s">
        <v>514</v>
      </c>
    </row>
    <row r="1617" spans="1:7" x14ac:dyDescent="0.25">
      <c r="A1617" s="1" t="str">
        <f>"525433"</f>
        <v>525433</v>
      </c>
      <c r="B1617" s="2" t="str">
        <f>"ARVORE EXCÊNTRICA B4399-42446"</f>
        <v>ARVORE EXCÊNTRICA B4399-42446</v>
      </c>
      <c r="C1617" s="2" t="str">
        <f t="shared" si="61"/>
        <v>UN</v>
      </c>
      <c r="D1617" s="7">
        <v>1300</v>
      </c>
      <c r="E1617" s="3">
        <v>11</v>
      </c>
      <c r="F1617" s="2">
        <v>7</v>
      </c>
      <c r="G1617" t="s">
        <v>514</v>
      </c>
    </row>
    <row r="1618" spans="1:7" x14ac:dyDescent="0.25">
      <c r="A1618" s="1" t="str">
        <f>"524443"</f>
        <v>524443</v>
      </c>
      <c r="B1618" s="2" t="str">
        <f>"ASFALTO 25KG"</f>
        <v>ASFALTO 25KG</v>
      </c>
      <c r="C1618" s="2" t="str">
        <f t="shared" si="61"/>
        <v>UN</v>
      </c>
      <c r="D1618" s="7">
        <v>807</v>
      </c>
      <c r="E1618" s="3">
        <v>10</v>
      </c>
      <c r="F1618" s="2">
        <v>6</v>
      </c>
      <c r="G1618" t="s">
        <v>514</v>
      </c>
    </row>
    <row r="1619" spans="1:7" x14ac:dyDescent="0.25">
      <c r="A1619" s="1" t="str">
        <f>"1998"</f>
        <v>1998</v>
      </c>
      <c r="B1619" s="2" t="str">
        <f>"ASPARTAME"</f>
        <v>ASPARTAME</v>
      </c>
      <c r="C1619" s="2" t="str">
        <f>"KG"</f>
        <v>KG</v>
      </c>
      <c r="D1619" s="7">
        <v>210</v>
      </c>
      <c r="E1619" s="3">
        <v>2</v>
      </c>
      <c r="F1619" s="2">
        <v>6</v>
      </c>
      <c r="G1619" t="s">
        <v>513</v>
      </c>
    </row>
    <row r="1620" spans="1:7" x14ac:dyDescent="0.25">
      <c r="A1620" s="1" t="str">
        <f>"518303"</f>
        <v>518303</v>
      </c>
      <c r="B1620" s="2" t="str">
        <f>"ASPERSOR"</f>
        <v>ASPERSOR</v>
      </c>
      <c r="C1620" s="2" t="str">
        <f t="shared" ref="C1620:C1656" si="62">"UN"</f>
        <v>UN</v>
      </c>
      <c r="D1620" s="7">
        <v>918</v>
      </c>
      <c r="E1620" s="3">
        <v>10</v>
      </c>
      <c r="F1620" s="2">
        <v>2</v>
      </c>
      <c r="G1620" t="s">
        <v>513</v>
      </c>
    </row>
    <row r="1621" spans="1:7" x14ac:dyDescent="0.25">
      <c r="A1621" s="1" t="str">
        <f>"524977"</f>
        <v>524977</v>
      </c>
      <c r="B1621" s="2" t="str">
        <f>"ASPERSOR E-62501"</f>
        <v>ASPERSOR E-62501</v>
      </c>
      <c r="C1621" s="2" t="str">
        <f t="shared" si="62"/>
        <v>UN</v>
      </c>
      <c r="D1621" s="7">
        <v>811</v>
      </c>
      <c r="E1621" s="3">
        <v>11</v>
      </c>
      <c r="F1621" s="2">
        <v>1</v>
      </c>
      <c r="G1621" t="s">
        <v>513</v>
      </c>
    </row>
    <row r="1622" spans="1:7" x14ac:dyDescent="0.25">
      <c r="A1622" s="1" t="str">
        <f>"520856"</f>
        <v>520856</v>
      </c>
      <c r="B1622" s="2" t="str">
        <f>"ASPIRADOR DE PARTICULAS - MATERIAL DE COBERTURA"</f>
        <v>ASPIRADOR DE PARTICULAS - MATERIAL DE COBERTURA</v>
      </c>
      <c r="C1622" s="2" t="str">
        <f t="shared" si="62"/>
        <v>UN</v>
      </c>
      <c r="D1622" s="7">
        <v>1300</v>
      </c>
      <c r="E1622" s="3">
        <v>11</v>
      </c>
      <c r="F1622" s="2">
        <v>0</v>
      </c>
      <c r="G1622" t="s">
        <v>512</v>
      </c>
    </row>
    <row r="1623" spans="1:7" x14ac:dyDescent="0.25">
      <c r="A1623" s="1" t="str">
        <f>"523372"</f>
        <v>523372</v>
      </c>
      <c r="B1623" s="2" t="str">
        <f>"ASPIRADOR DE PÓ"</f>
        <v>ASPIRADOR DE PÓ</v>
      </c>
      <c r="C1623" s="2" t="str">
        <f t="shared" si="62"/>
        <v>UN</v>
      </c>
      <c r="D1623" s="7">
        <v>403</v>
      </c>
      <c r="E1623" s="3">
        <v>10</v>
      </c>
      <c r="F1623" s="2">
        <v>0</v>
      </c>
      <c r="G1623" t="s">
        <v>513</v>
      </c>
    </row>
    <row r="1624" spans="1:7" x14ac:dyDescent="0.25">
      <c r="A1624" s="1" t="str">
        <f>"525233"</f>
        <v>525233</v>
      </c>
      <c r="B1624" s="2" t="str">
        <f>"ASPIRADOR DE PÓ BOCH GBL 800E 800W 220V"</f>
        <v>ASPIRADOR DE PÓ BOCH GBL 800E 800W 220V</v>
      </c>
      <c r="C1624" s="2" t="str">
        <f t="shared" si="62"/>
        <v>UN</v>
      </c>
      <c r="D1624" s="7">
        <v>811</v>
      </c>
      <c r="E1624" s="3">
        <v>10</v>
      </c>
      <c r="F1624" s="2">
        <v>0</v>
      </c>
      <c r="G1624" t="s">
        <v>514</v>
      </c>
    </row>
    <row r="1625" spans="1:7" x14ac:dyDescent="0.25">
      <c r="A1625" s="1" t="str">
        <f>"523479"</f>
        <v>523479</v>
      </c>
      <c r="B1625" s="2" t="str">
        <f>"ASPIRADOR DE PÓ IPC 2 MOTORES 220V 2400W 80LT"</f>
        <v>ASPIRADOR DE PÓ IPC 2 MOTORES 220V 2400W 80LT</v>
      </c>
      <c r="C1625" s="2" t="str">
        <f t="shared" si="62"/>
        <v>UN</v>
      </c>
      <c r="D1625" s="7">
        <v>1300</v>
      </c>
      <c r="E1625" s="3">
        <v>13</v>
      </c>
      <c r="F1625" s="2">
        <v>3</v>
      </c>
      <c r="G1625" t="s">
        <v>515</v>
      </c>
    </row>
    <row r="1626" spans="1:7" x14ac:dyDescent="0.25">
      <c r="A1626" s="1" t="str">
        <f>"524284"</f>
        <v>524284</v>
      </c>
      <c r="B1626" s="2" t="str">
        <f>"ASPIRADOR JATEADOR MASTERSUX ORIGINAL 110V"</f>
        <v>ASPIRADOR JATEADOR MASTERSUX ORIGINAL 110V</v>
      </c>
      <c r="C1626" s="2" t="str">
        <f t="shared" si="62"/>
        <v>UN</v>
      </c>
      <c r="D1626" s="7">
        <v>99999</v>
      </c>
      <c r="E1626" s="3">
        <v>99</v>
      </c>
      <c r="F1626" s="5">
        <v>5</v>
      </c>
      <c r="G1626" t="s">
        <v>512</v>
      </c>
    </row>
    <row r="1627" spans="1:7" x14ac:dyDescent="0.25">
      <c r="A1627" s="1" t="str">
        <f>"514593"</f>
        <v>514593</v>
      </c>
      <c r="B1627" s="2" t="str">
        <f>"ASQ FLEXIVEL ESCAPAMENTO"</f>
        <v>ASQ FLEXIVEL ESCAPAMENTO</v>
      </c>
      <c r="C1627" s="2" t="str">
        <f t="shared" si="62"/>
        <v>UN</v>
      </c>
      <c r="D1627" s="7">
        <v>704</v>
      </c>
      <c r="E1627" s="3">
        <v>9</v>
      </c>
      <c r="F1627" s="2">
        <v>3</v>
      </c>
      <c r="G1627" t="s">
        <v>516</v>
      </c>
    </row>
    <row r="1628" spans="1:7" x14ac:dyDescent="0.25">
      <c r="A1628" s="1" t="str">
        <f>"519492"</f>
        <v>519492</v>
      </c>
      <c r="B1628" s="2" t="str">
        <f>"ASQ MODULO SELETOR"</f>
        <v>ASQ MODULO SELETOR</v>
      </c>
      <c r="C1628" s="2" t="str">
        <f t="shared" si="62"/>
        <v>UN</v>
      </c>
      <c r="D1628" s="7">
        <v>704</v>
      </c>
      <c r="E1628" s="3">
        <v>9</v>
      </c>
      <c r="F1628" s="2">
        <v>8</v>
      </c>
      <c r="G1628" t="s">
        <v>515</v>
      </c>
    </row>
    <row r="1629" spans="1:7" x14ac:dyDescent="0.25">
      <c r="A1629" s="1" t="str">
        <f>"512388"</f>
        <v>512388</v>
      </c>
      <c r="B1629" s="2" t="str">
        <f>"ASQ POLIA"</f>
        <v>ASQ POLIA</v>
      </c>
      <c r="C1629" s="2" t="str">
        <f t="shared" si="62"/>
        <v>UN</v>
      </c>
      <c r="D1629" s="7">
        <v>704</v>
      </c>
      <c r="E1629" s="3">
        <v>9</v>
      </c>
      <c r="F1629" s="2">
        <v>6</v>
      </c>
      <c r="G1629" t="s">
        <v>514</v>
      </c>
    </row>
    <row r="1630" spans="1:7" x14ac:dyDescent="0.25">
      <c r="A1630" s="1" t="str">
        <f>"522546"</f>
        <v>522546</v>
      </c>
      <c r="B1630" s="2" t="str">
        <f>"ASSADEIRA"</f>
        <v>ASSADEIRA</v>
      </c>
      <c r="C1630" s="2" t="str">
        <f t="shared" si="62"/>
        <v>UN</v>
      </c>
      <c r="D1630" s="7">
        <v>99999</v>
      </c>
      <c r="E1630" s="3">
        <v>99</v>
      </c>
      <c r="F1630" s="2">
        <v>4</v>
      </c>
      <c r="G1630" t="s">
        <v>512</v>
      </c>
    </row>
    <row r="1631" spans="1:7" x14ac:dyDescent="0.25">
      <c r="A1631" s="1" t="str">
        <f>"516578"</f>
        <v>516578</v>
      </c>
      <c r="B1631" s="2" t="str">
        <f>"ASSENCO DISPOSITIVO 2º ESTAGIO J12410052"</f>
        <v>ASSENCO DISPOSITIVO 2º ESTAGIO J12410052</v>
      </c>
      <c r="C1631" s="2" t="str">
        <f t="shared" si="62"/>
        <v>UN</v>
      </c>
      <c r="D1631" s="7">
        <v>918</v>
      </c>
      <c r="E1631" s="3">
        <v>11</v>
      </c>
      <c r="F1631" s="2">
        <v>1</v>
      </c>
      <c r="G1631" t="s">
        <v>513</v>
      </c>
    </row>
    <row r="1632" spans="1:7" x14ac:dyDescent="0.25">
      <c r="A1632" s="1" t="str">
        <f>"511003"</f>
        <v>511003</v>
      </c>
      <c r="B1632" s="2" t="str">
        <f>"ASSENTO"</f>
        <v>ASSENTO</v>
      </c>
      <c r="C1632" s="2" t="str">
        <f t="shared" si="62"/>
        <v>UN</v>
      </c>
      <c r="D1632" s="7">
        <v>402</v>
      </c>
      <c r="E1632" s="3">
        <v>4</v>
      </c>
      <c r="F1632" s="2">
        <v>2</v>
      </c>
      <c r="G1632" t="s">
        <v>514</v>
      </c>
    </row>
    <row r="1633" spans="1:7" x14ac:dyDescent="0.25">
      <c r="A1633" s="1" t="str">
        <f>"510025"</f>
        <v>510025</v>
      </c>
      <c r="B1633" s="2" t="str">
        <f>"ASSENTO DA MOLA DESC. 65 (MAIOR)"</f>
        <v>ASSENTO DA MOLA DESC. 65 (MAIOR)</v>
      </c>
      <c r="C1633" s="2" t="str">
        <f t="shared" si="62"/>
        <v>UN</v>
      </c>
      <c r="D1633" s="7">
        <v>918</v>
      </c>
      <c r="E1633" s="3">
        <v>11</v>
      </c>
      <c r="F1633" s="2">
        <v>7</v>
      </c>
      <c r="G1633" t="s">
        <v>514</v>
      </c>
    </row>
    <row r="1634" spans="1:7" x14ac:dyDescent="0.25">
      <c r="A1634" s="1" t="str">
        <f>"510053"</f>
        <v>510053</v>
      </c>
      <c r="B1634" s="2" t="str">
        <f>"ASSENTO DE VALVULA 0007-1970-840"</f>
        <v>ASSENTO DE VALVULA 0007-1970-840</v>
      </c>
      <c r="C1634" s="2" t="str">
        <f t="shared" si="62"/>
        <v>UN</v>
      </c>
      <c r="D1634" s="7">
        <v>918</v>
      </c>
      <c r="E1634" s="3">
        <v>11</v>
      </c>
      <c r="F1634" s="2">
        <v>9</v>
      </c>
      <c r="G1634" t="s">
        <v>512</v>
      </c>
    </row>
    <row r="1635" spans="1:7" x14ac:dyDescent="0.25">
      <c r="A1635" s="1" t="str">
        <f>"516577"</f>
        <v>516577</v>
      </c>
      <c r="B1635" s="2" t="str">
        <f>"ASSENTO DISPOSITIVO 1º ESTAGIO J12410085"</f>
        <v>ASSENTO DISPOSITIVO 1º ESTAGIO J12410085</v>
      </c>
      <c r="C1635" s="2" t="str">
        <f t="shared" si="62"/>
        <v>UN</v>
      </c>
      <c r="D1635" s="7">
        <v>918</v>
      </c>
      <c r="E1635" s="3">
        <v>11</v>
      </c>
      <c r="F1635" s="2">
        <v>0</v>
      </c>
      <c r="G1635" t="s">
        <v>513</v>
      </c>
    </row>
    <row r="1636" spans="1:7" x14ac:dyDescent="0.25">
      <c r="A1636" s="1" t="str">
        <f>"516576"</f>
        <v>516576</v>
      </c>
      <c r="B1636" s="2" t="str">
        <f>"ASSENTO DISPOSITIVO HOMO J05910000"</f>
        <v>ASSENTO DISPOSITIVO HOMO J05910000</v>
      </c>
      <c r="C1636" s="2" t="str">
        <f t="shared" si="62"/>
        <v>UN</v>
      </c>
      <c r="D1636" s="7">
        <v>918</v>
      </c>
      <c r="E1636" s="3">
        <v>11</v>
      </c>
      <c r="F1636" s="2">
        <v>0</v>
      </c>
      <c r="G1636" t="s">
        <v>514</v>
      </c>
    </row>
    <row r="1637" spans="1:7" x14ac:dyDescent="0.25">
      <c r="A1637" s="1" t="str">
        <f>"515652"</f>
        <v>515652</v>
      </c>
      <c r="B1637" s="2" t="str">
        <f>"ASSENTO MOLEJO"</f>
        <v>ASSENTO MOLEJO</v>
      </c>
      <c r="C1637" s="2" t="str">
        <f t="shared" si="62"/>
        <v>UN</v>
      </c>
      <c r="D1637" s="7">
        <v>704</v>
      </c>
      <c r="E1637" s="3">
        <v>9</v>
      </c>
      <c r="F1637" s="2">
        <v>2</v>
      </c>
      <c r="G1637" t="s">
        <v>514</v>
      </c>
    </row>
    <row r="1638" spans="1:7" x14ac:dyDescent="0.25">
      <c r="A1638" s="1" t="str">
        <f>"507821"</f>
        <v>507821</v>
      </c>
      <c r="B1638" s="2" t="str">
        <f>"ASSENTO VALVULA DE DESCARGA 100-MK1/2"</f>
        <v>ASSENTO VALVULA DE DESCARGA 100-MK1/2</v>
      </c>
      <c r="C1638" s="2" t="str">
        <f t="shared" si="62"/>
        <v>UN</v>
      </c>
      <c r="D1638" s="7">
        <v>918</v>
      </c>
      <c r="E1638" s="3">
        <v>11</v>
      </c>
      <c r="F1638" s="2">
        <v>5</v>
      </c>
      <c r="G1638" t="s">
        <v>514</v>
      </c>
    </row>
    <row r="1639" spans="1:7" x14ac:dyDescent="0.25">
      <c r="A1639" s="1" t="str">
        <f>"518418"</f>
        <v>518418</v>
      </c>
      <c r="B1639" s="2" t="str">
        <f>"ASSENTO VALVULA DESCARGA 100-MK 1/2"</f>
        <v>ASSENTO VALVULA DESCARGA 100-MK 1/2</v>
      </c>
      <c r="C1639" s="2" t="str">
        <f t="shared" si="62"/>
        <v>UN</v>
      </c>
      <c r="D1639" s="7">
        <v>918</v>
      </c>
      <c r="E1639" s="3">
        <v>11</v>
      </c>
      <c r="F1639" s="2">
        <v>6</v>
      </c>
      <c r="G1639" t="s">
        <v>513</v>
      </c>
    </row>
    <row r="1640" spans="1:7" x14ac:dyDescent="0.25">
      <c r="A1640" s="1" t="str">
        <f>"512512"</f>
        <v>512512</v>
      </c>
      <c r="B1640" s="2" t="str">
        <f>"ASSENTO VALVULA DESCARGA 100-MK3"</f>
        <v>ASSENTO VALVULA DESCARGA 100-MK3</v>
      </c>
      <c r="C1640" s="2" t="str">
        <f t="shared" si="62"/>
        <v>UN</v>
      </c>
      <c r="D1640" s="7">
        <v>918</v>
      </c>
      <c r="E1640" s="3">
        <v>11</v>
      </c>
      <c r="F1640" s="2">
        <v>9</v>
      </c>
      <c r="G1640" t="s">
        <v>512</v>
      </c>
    </row>
    <row r="1641" spans="1:7" x14ac:dyDescent="0.25">
      <c r="A1641" s="1" t="str">
        <f>"512077"</f>
        <v>512077</v>
      </c>
      <c r="B1641" s="2" t="str">
        <f>"ASSENTO VALVULA DESCARGA 65"</f>
        <v>ASSENTO VALVULA DESCARGA 65</v>
      </c>
      <c r="C1641" s="2" t="str">
        <f t="shared" si="62"/>
        <v>UN</v>
      </c>
      <c r="D1641" s="7">
        <v>918</v>
      </c>
      <c r="E1641" s="3">
        <v>11</v>
      </c>
      <c r="F1641" s="2">
        <v>5</v>
      </c>
      <c r="G1641" t="s">
        <v>513</v>
      </c>
    </row>
    <row r="1642" spans="1:7" x14ac:dyDescent="0.25">
      <c r="A1642" s="1" t="str">
        <f>"509356"</f>
        <v>509356</v>
      </c>
      <c r="B1642" s="2" t="str">
        <f>"ASSENTO VALVULA DESCARGA A (111)"</f>
        <v>ASSENTO VALVULA DESCARGA A (111)</v>
      </c>
      <c r="C1642" s="2" t="str">
        <f t="shared" si="62"/>
        <v>UN</v>
      </c>
      <c r="D1642" s="7">
        <v>918</v>
      </c>
      <c r="E1642" s="3">
        <v>11</v>
      </c>
      <c r="F1642" s="2">
        <v>3</v>
      </c>
      <c r="G1642" t="s">
        <v>514</v>
      </c>
    </row>
    <row r="1643" spans="1:7" x14ac:dyDescent="0.25">
      <c r="A1643" s="1" t="str">
        <f>"522759"</f>
        <v>522759</v>
      </c>
      <c r="B1643" s="2" t="str">
        <f>"ASSENTO VASO OVAL DECA BRANCO"</f>
        <v>ASSENTO VASO OVAL DECA BRANCO</v>
      </c>
      <c r="C1643" s="2" t="str">
        <f t="shared" si="62"/>
        <v>UN</v>
      </c>
      <c r="D1643" s="7">
        <v>401</v>
      </c>
      <c r="E1643" s="3">
        <v>4</v>
      </c>
      <c r="F1643" s="2">
        <v>3</v>
      </c>
      <c r="G1643" t="s">
        <v>514</v>
      </c>
    </row>
    <row r="1644" spans="1:7" x14ac:dyDescent="0.25">
      <c r="A1644" s="1" t="str">
        <f>"511004"</f>
        <v>511004</v>
      </c>
      <c r="B1644" s="2" t="str">
        <f>"ASSENTO VASO OVAL DECA CINZA ESCURO"</f>
        <v>ASSENTO VASO OVAL DECA CINZA ESCURO</v>
      </c>
      <c r="C1644" s="2" t="str">
        <f t="shared" si="62"/>
        <v>UN</v>
      </c>
      <c r="D1644" s="7">
        <v>401</v>
      </c>
      <c r="E1644" s="3">
        <v>4</v>
      </c>
      <c r="F1644" s="2">
        <v>2</v>
      </c>
      <c r="G1644" t="s">
        <v>514</v>
      </c>
    </row>
    <row r="1645" spans="1:7" x14ac:dyDescent="0.25">
      <c r="A1645" s="1" t="str">
        <f>"522774"</f>
        <v>522774</v>
      </c>
      <c r="B1645" s="2" t="str">
        <f>"ASSISTENCIA TECNICA"</f>
        <v>ASSISTENCIA TECNICA</v>
      </c>
      <c r="C1645" s="2" t="str">
        <f t="shared" si="62"/>
        <v>UN</v>
      </c>
      <c r="D1645" s="7">
        <v>99999</v>
      </c>
      <c r="E1645" s="3">
        <v>99</v>
      </c>
      <c r="F1645" s="2">
        <v>1</v>
      </c>
      <c r="G1645" t="s">
        <v>513</v>
      </c>
    </row>
    <row r="1646" spans="1:7" x14ac:dyDescent="0.25">
      <c r="A1646" s="1" t="str">
        <f>"513501"</f>
        <v>513501</v>
      </c>
      <c r="B1646" s="2" t="str">
        <f>"ASTM 7075 CHP LAM 65 X 122 X 338 4 PEÇAS"</f>
        <v>ASTM 7075 CHP LAM 65 X 122 X 338 4 PEÇAS</v>
      </c>
      <c r="C1646" s="2" t="str">
        <f t="shared" si="62"/>
        <v>UN</v>
      </c>
      <c r="D1646" s="7">
        <v>918</v>
      </c>
      <c r="E1646" s="3">
        <v>11</v>
      </c>
      <c r="F1646" s="2">
        <v>4</v>
      </c>
      <c r="G1646" t="s">
        <v>513</v>
      </c>
    </row>
    <row r="1647" spans="1:7" x14ac:dyDescent="0.25">
      <c r="A1647" s="1" t="str">
        <f>"513504"</f>
        <v>513504</v>
      </c>
      <c r="B1647" s="2" t="str">
        <f>"ASTM A-36 CHP OXIC 25,4 X 290 X 338 4 PEÇAS"</f>
        <v>ASTM A-36 CHP OXIC 25,4 X 290 X 338 4 PEÇAS</v>
      </c>
      <c r="C1647" s="2" t="str">
        <f t="shared" si="62"/>
        <v>UN</v>
      </c>
      <c r="D1647" s="7">
        <v>918</v>
      </c>
      <c r="E1647" s="3">
        <v>11</v>
      </c>
      <c r="F1647" s="2">
        <v>1</v>
      </c>
      <c r="G1647" t="s">
        <v>513</v>
      </c>
    </row>
    <row r="1648" spans="1:7" x14ac:dyDescent="0.25">
      <c r="A1648" s="1" t="str">
        <f>"518937"</f>
        <v>518937</v>
      </c>
      <c r="B1648" s="2" t="str">
        <f>"ATA GKM 2210 T"</f>
        <v>ATA GKM 2210 T</v>
      </c>
      <c r="C1648" s="2" t="str">
        <f t="shared" si="62"/>
        <v>UN</v>
      </c>
      <c r="D1648" s="7">
        <v>811</v>
      </c>
      <c r="E1648" s="3">
        <v>8</v>
      </c>
      <c r="F1648" s="2">
        <v>2</v>
      </c>
      <c r="G1648" t="s">
        <v>512</v>
      </c>
    </row>
    <row r="1649" spans="1:7" x14ac:dyDescent="0.25">
      <c r="A1649" s="1" t="str">
        <f>"513937"</f>
        <v>513937</v>
      </c>
      <c r="B1649" s="2" t="str">
        <f>"ATADURA DE CREPE"</f>
        <v>ATADURA DE CREPE</v>
      </c>
      <c r="C1649" s="2" t="str">
        <f t="shared" si="62"/>
        <v>UN</v>
      </c>
      <c r="D1649" s="7">
        <v>406</v>
      </c>
      <c r="E1649" s="3">
        <v>99</v>
      </c>
      <c r="F1649" s="2">
        <v>7</v>
      </c>
      <c r="G1649" t="s">
        <v>513</v>
      </c>
    </row>
    <row r="1650" spans="1:7" x14ac:dyDescent="0.25">
      <c r="A1650" s="1" t="str">
        <f>"521056"</f>
        <v>521056</v>
      </c>
      <c r="B1650" s="2" t="str">
        <f>"AT-CONS-COM-FEIRA-MOSTR-PNP - PONTEIRA (TEXTO) MARCA = DIV"</f>
        <v>AT-CONS-COM-FEIRA-MOSTR-PNP - PONTEIRA (TEXTO) MARCA = DIV</v>
      </c>
      <c r="C1650" s="2" t="str">
        <f t="shared" si="62"/>
        <v>UN</v>
      </c>
      <c r="D1650" s="7">
        <v>406</v>
      </c>
      <c r="E1650" s="3">
        <v>4</v>
      </c>
      <c r="F1650" s="2">
        <v>9</v>
      </c>
      <c r="G1650" t="s">
        <v>514</v>
      </c>
    </row>
    <row r="1651" spans="1:7" x14ac:dyDescent="0.25">
      <c r="A1651" s="1" t="str">
        <f>"514169"</f>
        <v>514169</v>
      </c>
      <c r="B1651" s="2" t="str">
        <f>"ATIVADO LM"</f>
        <v>ATIVADO LM</v>
      </c>
      <c r="C1651" s="2" t="str">
        <f t="shared" si="62"/>
        <v>UN</v>
      </c>
      <c r="D1651" s="7">
        <v>704</v>
      </c>
      <c r="E1651" s="3">
        <v>9</v>
      </c>
      <c r="F1651" s="2">
        <v>0</v>
      </c>
      <c r="G1651" t="s">
        <v>515</v>
      </c>
    </row>
    <row r="1652" spans="1:7" x14ac:dyDescent="0.25">
      <c r="A1652" s="1" t="str">
        <f>"527425"</f>
        <v>527425</v>
      </c>
      <c r="B1652" s="2" t="str">
        <f>"ATIVO IMOBILIZADO - CALIBRAÇÃO"</f>
        <v>ATIVO IMOBILIZADO - CALIBRAÇÃO</v>
      </c>
      <c r="C1652" s="2" t="str">
        <f t="shared" si="62"/>
        <v>UN</v>
      </c>
      <c r="D1652" s="7">
        <v>99999</v>
      </c>
      <c r="E1652" s="3">
        <v>99</v>
      </c>
      <c r="F1652" s="2">
        <v>0</v>
      </c>
      <c r="G1652" t="s">
        <v>512</v>
      </c>
    </row>
    <row r="1653" spans="1:7" x14ac:dyDescent="0.25">
      <c r="A1653" s="1" t="str">
        <f>"AT IMOB CON CIVI"</f>
        <v>AT IMOB CON CIVI</v>
      </c>
      <c r="B1653" s="2" t="str">
        <f>"ATIVO IMOBILIZADO - CONSTRUÇÃO CIVIL"</f>
        <v>ATIVO IMOBILIZADO - CONSTRUÇÃO CIVIL</v>
      </c>
      <c r="C1653" s="2" t="str">
        <f t="shared" si="62"/>
        <v>UN</v>
      </c>
      <c r="D1653" s="7">
        <v>99999</v>
      </c>
      <c r="E1653" s="3">
        <v>99</v>
      </c>
      <c r="F1653" s="2">
        <v>4</v>
      </c>
      <c r="G1653" t="s">
        <v>516</v>
      </c>
    </row>
    <row r="1654" spans="1:7" x14ac:dyDescent="0.25">
      <c r="A1654" s="1" t="str">
        <f>"ATIVO IMOB"</f>
        <v>ATIVO IMOB</v>
      </c>
      <c r="B1654" s="2" t="str">
        <f>"ATIVO IMOBILIZADO - INFORMATICA"</f>
        <v>ATIVO IMOBILIZADO - INFORMATICA</v>
      </c>
      <c r="C1654" s="2" t="str">
        <f t="shared" si="62"/>
        <v>UN</v>
      </c>
      <c r="D1654" s="7">
        <v>99999</v>
      </c>
      <c r="E1654" s="3">
        <v>99</v>
      </c>
      <c r="F1654" s="2">
        <v>1</v>
      </c>
      <c r="G1654" t="s">
        <v>515</v>
      </c>
    </row>
    <row r="1655" spans="1:7" x14ac:dyDescent="0.25">
      <c r="A1655" s="1" t="str">
        <f>"AT IMOB MAQ/EQUI"</f>
        <v>AT IMOB MAQ/EQUI</v>
      </c>
      <c r="B1655" s="2" t="str">
        <f>"ATIVO IMOBILIZADO - MAQUINAS E EQUIPAMENTOS"</f>
        <v>ATIVO IMOBILIZADO - MAQUINAS E EQUIPAMENTOS</v>
      </c>
      <c r="C1655" s="2" t="str">
        <f t="shared" si="62"/>
        <v>UN</v>
      </c>
      <c r="D1655" s="7">
        <v>99999</v>
      </c>
      <c r="E1655" s="3">
        <v>99</v>
      </c>
      <c r="F1655" s="2">
        <v>2</v>
      </c>
      <c r="G1655" t="s">
        <v>514</v>
      </c>
    </row>
    <row r="1656" spans="1:7" x14ac:dyDescent="0.25">
      <c r="A1656" s="1" t="str">
        <f>"522452"</f>
        <v>522452</v>
      </c>
      <c r="B1656" s="2" t="str">
        <f>"ATTACHMENT UNIT"</f>
        <v>ATTACHMENT UNIT</v>
      </c>
      <c r="C1656" s="2" t="str">
        <f t="shared" si="62"/>
        <v>UN</v>
      </c>
      <c r="D1656" s="7">
        <v>99999</v>
      </c>
      <c r="E1656" s="3">
        <v>99</v>
      </c>
      <c r="F1656" s="2">
        <v>7</v>
      </c>
      <c r="G1656" t="s">
        <v>512</v>
      </c>
    </row>
    <row r="1657" spans="1:7" x14ac:dyDescent="0.25">
      <c r="A1657" s="1" t="str">
        <f>"526450"</f>
        <v>526450</v>
      </c>
      <c r="B1657" s="2" t="str">
        <f>"ATUAD.SEMI-ROT DSM-25-270-P-A-B"</f>
        <v>ATUAD.SEMI-ROT DSM-25-270-P-A-B</v>
      </c>
      <c r="C1657" s="2" t="str">
        <f>"BR"</f>
        <v>BR</v>
      </c>
      <c r="D1657" s="7">
        <v>808</v>
      </c>
      <c r="E1657" s="3">
        <v>10</v>
      </c>
      <c r="F1657" s="2">
        <v>9</v>
      </c>
      <c r="G1657" t="s">
        <v>513</v>
      </c>
    </row>
    <row r="1658" spans="1:7" x14ac:dyDescent="0.25">
      <c r="A1658" s="1" t="str">
        <f>"526451"</f>
        <v>526451</v>
      </c>
      <c r="B1658" s="2" t="str">
        <f>"ATUAD.SEMI-ROT DSM-32-270-P-A-B"</f>
        <v>ATUAD.SEMI-ROT DSM-32-270-P-A-B</v>
      </c>
      <c r="C1658" s="2" t="str">
        <f>"BR"</f>
        <v>BR</v>
      </c>
      <c r="D1658" s="7">
        <v>808</v>
      </c>
      <c r="E1658" s="3">
        <v>10</v>
      </c>
      <c r="F1658" s="2">
        <v>0</v>
      </c>
      <c r="G1658" t="s">
        <v>514</v>
      </c>
    </row>
    <row r="1659" spans="1:7" x14ac:dyDescent="0.25">
      <c r="A1659" s="1" t="str">
        <f>"521816"</f>
        <v>521816</v>
      </c>
      <c r="B1659" s="8" t="s">
        <v>223</v>
      </c>
      <c r="C1659" s="2" t="str">
        <f>"UN"</f>
        <v>UN</v>
      </c>
      <c r="D1659" s="7">
        <v>913</v>
      </c>
      <c r="E1659" s="3">
        <v>10</v>
      </c>
      <c r="F1659" s="2">
        <v>0</v>
      </c>
      <c r="G1659" t="s">
        <v>514</v>
      </c>
    </row>
    <row r="1660" spans="1:7" x14ac:dyDescent="0.25">
      <c r="A1660" s="1" t="str">
        <f>"521817"</f>
        <v>521817</v>
      </c>
      <c r="B1660" s="8" t="s">
        <v>224</v>
      </c>
      <c r="C1660" s="2" t="str">
        <f>"UN"</f>
        <v>UN</v>
      </c>
      <c r="D1660" s="7">
        <v>913</v>
      </c>
      <c r="E1660" s="3">
        <v>10</v>
      </c>
      <c r="F1660" s="2">
        <v>2</v>
      </c>
      <c r="G1660" t="s">
        <v>512</v>
      </c>
    </row>
    <row r="1661" spans="1:7" x14ac:dyDescent="0.25">
      <c r="A1661" s="1" t="str">
        <f>"501809"</f>
        <v>501809</v>
      </c>
      <c r="B1661" s="2" t="str">
        <f>"ATUADOR DE EMBREAGEM"</f>
        <v>ATUADOR DE EMBREAGEM</v>
      </c>
      <c r="C1661" s="2" t="str">
        <f>"UN"</f>
        <v>UN</v>
      </c>
      <c r="D1661" s="7">
        <v>704</v>
      </c>
      <c r="E1661" s="3">
        <v>9</v>
      </c>
      <c r="F1661" s="2">
        <v>5</v>
      </c>
      <c r="G1661" t="s">
        <v>513</v>
      </c>
    </row>
    <row r="1662" spans="1:7" x14ac:dyDescent="0.25">
      <c r="A1662" s="1" t="str">
        <f>"521174"</f>
        <v>521174</v>
      </c>
      <c r="B1662" s="2" t="str">
        <f>"ATUADOR GIRATORIO FESTO DRQ-5042-90 PPVAJA 1501183"</f>
        <v>ATUADOR GIRATORIO FESTO DRQ-5042-90 PPVAJA 1501183</v>
      </c>
      <c r="C1662" s="2" t="str">
        <f>"BR"</f>
        <v>BR</v>
      </c>
      <c r="D1662" s="7">
        <v>808</v>
      </c>
      <c r="E1662" s="3">
        <v>10</v>
      </c>
      <c r="F1662" s="2">
        <v>0</v>
      </c>
      <c r="G1662" t="s">
        <v>514</v>
      </c>
    </row>
    <row r="1663" spans="1:7" x14ac:dyDescent="0.25">
      <c r="A1663" s="1" t="str">
        <f>"527237"</f>
        <v>527237</v>
      </c>
      <c r="B1663" s="2" t="str">
        <f>"ATUADOR OMRON D4DS-K5"</f>
        <v>ATUADOR OMRON D4DS-K5</v>
      </c>
      <c r="C1663" s="2" t="str">
        <f t="shared" ref="C1663:C1668" si="63">"UN"</f>
        <v>UN</v>
      </c>
      <c r="D1663" s="7">
        <v>900</v>
      </c>
      <c r="E1663" s="3">
        <v>11</v>
      </c>
      <c r="F1663" s="2">
        <v>2</v>
      </c>
      <c r="G1663" t="s">
        <v>514</v>
      </c>
    </row>
    <row r="1664" spans="1:7" x14ac:dyDescent="0.25">
      <c r="A1664" s="1" t="str">
        <f>"527458"</f>
        <v>527458</v>
      </c>
      <c r="B1664" s="2" t="str">
        <f>"ATUADOR PNEUMATICO KEYSTONE KEYSTONE 2008124"</f>
        <v>ATUADOR PNEUMATICO KEYSTONE KEYSTONE 2008124</v>
      </c>
      <c r="C1664" s="2" t="str">
        <f t="shared" si="63"/>
        <v>UN</v>
      </c>
      <c r="D1664" s="7">
        <v>807</v>
      </c>
      <c r="E1664" s="3">
        <v>11</v>
      </c>
      <c r="F1664" s="2">
        <v>5</v>
      </c>
      <c r="G1664" t="s">
        <v>514</v>
      </c>
    </row>
    <row r="1665" spans="1:7" x14ac:dyDescent="0.25">
      <c r="A1665" s="1" t="str">
        <f>"527453"</f>
        <v>527453</v>
      </c>
      <c r="B1665" s="2" t="str">
        <f>"ATUADOR PNEUMATICO SUDMO SUE2701902"</f>
        <v>ATUADOR PNEUMATICO SUDMO SUE2701902</v>
      </c>
      <c r="C1665" s="2" t="str">
        <f t="shared" si="63"/>
        <v>UN</v>
      </c>
      <c r="D1665" s="7">
        <v>807</v>
      </c>
      <c r="E1665" s="3">
        <v>11</v>
      </c>
      <c r="F1665" s="5">
        <v>5</v>
      </c>
      <c r="G1665" t="s">
        <v>513</v>
      </c>
    </row>
    <row r="1666" spans="1:7" x14ac:dyDescent="0.25">
      <c r="A1666" s="1" t="str">
        <f>"526902"</f>
        <v>526902</v>
      </c>
      <c r="B1666" s="2" t="str">
        <f>"ATUADOR REMOTO MC2 P/ CHAVE DE SEGURANÇA"</f>
        <v>ATUADOR REMOTO MC2 P/ CHAVE DE SEGURANÇA</v>
      </c>
      <c r="C1666" s="2" t="str">
        <f t="shared" si="63"/>
        <v>UN</v>
      </c>
      <c r="D1666" s="7">
        <v>913</v>
      </c>
      <c r="E1666" s="3">
        <v>10</v>
      </c>
      <c r="F1666" s="2">
        <v>3</v>
      </c>
      <c r="G1666" t="s">
        <v>512</v>
      </c>
    </row>
    <row r="1667" spans="1:7" x14ac:dyDescent="0.25">
      <c r="A1667" s="1" t="str">
        <f>"505316"</f>
        <v>505316</v>
      </c>
      <c r="B1667" s="2" t="str">
        <f>"ATUADOR RM 40"</f>
        <v>ATUADOR RM 40</v>
      </c>
      <c r="C1667" s="2" t="str">
        <f t="shared" si="63"/>
        <v>UN</v>
      </c>
      <c r="D1667" s="7">
        <v>812</v>
      </c>
      <c r="E1667" s="3">
        <v>10</v>
      </c>
      <c r="F1667" s="2">
        <v>8</v>
      </c>
      <c r="G1667" t="s">
        <v>513</v>
      </c>
    </row>
    <row r="1668" spans="1:7" x14ac:dyDescent="0.25">
      <c r="A1668" s="1" t="str">
        <f>"521728"</f>
        <v>521728</v>
      </c>
      <c r="B1668" s="2" t="str">
        <f>"ATUADOR SENSOR MAGNETICO DUPLO CANAL WEG ASSM5-30RP COD B"</f>
        <v>ATUADOR SENSOR MAGNETICO DUPLO CANAL WEG ASSM5-30RP COD B</v>
      </c>
      <c r="C1668" s="2" t="str">
        <f t="shared" si="63"/>
        <v>UN</v>
      </c>
      <c r="D1668" s="7">
        <v>811</v>
      </c>
      <c r="E1668" s="3">
        <v>10</v>
      </c>
      <c r="F1668" s="2">
        <v>6</v>
      </c>
      <c r="G1668" t="s">
        <v>514</v>
      </c>
    </row>
    <row r="1669" spans="1:7" x14ac:dyDescent="0.25">
      <c r="A1669" s="1" t="str">
        <f>"525983"</f>
        <v>525983</v>
      </c>
      <c r="B1669" s="2" t="str">
        <f>"AUMENTO CROMADO GRANDE 1/2-3/4"</f>
        <v>AUMENTO CROMADO GRANDE 1/2-3/4</v>
      </c>
      <c r="C1669" s="2" t="str">
        <f>"BR"</f>
        <v>BR</v>
      </c>
      <c r="D1669" s="7">
        <v>807</v>
      </c>
      <c r="E1669" s="3">
        <v>10</v>
      </c>
      <c r="F1669" s="2">
        <v>4</v>
      </c>
      <c r="G1669" t="s">
        <v>514</v>
      </c>
    </row>
    <row r="1670" spans="1:7" x14ac:dyDescent="0.25">
      <c r="A1670" s="1" t="str">
        <f>"511687"</f>
        <v>511687</v>
      </c>
      <c r="B1670" s="2" t="str">
        <f>"AUTO AIR"</f>
        <v>AUTO AIR</v>
      </c>
      <c r="C1670" s="2" t="str">
        <f t="shared" ref="C1670:C1691" si="64">"UN"</f>
        <v>UN</v>
      </c>
      <c r="D1670" s="7">
        <v>704</v>
      </c>
      <c r="E1670" s="3">
        <v>9</v>
      </c>
      <c r="F1670" s="2">
        <v>1</v>
      </c>
      <c r="G1670" t="s">
        <v>514</v>
      </c>
    </row>
    <row r="1671" spans="1:7" x14ac:dyDescent="0.25">
      <c r="A1671" s="1" t="str">
        <f>"516602"</f>
        <v>516602</v>
      </c>
      <c r="B1671" s="2" t="str">
        <f>"AUTO BRILHO"</f>
        <v>AUTO BRILHO</v>
      </c>
      <c r="C1671" s="2" t="str">
        <f t="shared" si="64"/>
        <v>UN</v>
      </c>
      <c r="D1671" s="7">
        <v>704</v>
      </c>
      <c r="E1671" s="3">
        <v>9</v>
      </c>
      <c r="F1671" s="2">
        <v>2</v>
      </c>
      <c r="G1671" t="s">
        <v>513</v>
      </c>
    </row>
    <row r="1672" spans="1:7" x14ac:dyDescent="0.25">
      <c r="A1672" s="1" t="str">
        <f>"517993"</f>
        <v>517993</v>
      </c>
      <c r="B1672" s="2" t="str">
        <f>"AUTO CLAVE FABBE PRIMER 18 LITROS"</f>
        <v>AUTO CLAVE FABBE PRIMER 18 LITROS</v>
      </c>
      <c r="C1672" s="2" t="str">
        <f t="shared" si="64"/>
        <v>UN</v>
      </c>
      <c r="D1672" s="7">
        <v>811</v>
      </c>
      <c r="E1672" s="3">
        <v>8</v>
      </c>
      <c r="F1672" s="2">
        <v>7</v>
      </c>
      <c r="G1672" t="s">
        <v>513</v>
      </c>
    </row>
    <row r="1673" spans="1:7" x14ac:dyDescent="0.25">
      <c r="A1673" s="1" t="str">
        <f>"516629"</f>
        <v>516629</v>
      </c>
      <c r="B1673" s="2" t="str">
        <f>"AUTO FALANTE DELL AX210"</f>
        <v>AUTO FALANTE DELL AX210</v>
      </c>
      <c r="C1673" s="2" t="str">
        <f t="shared" si="64"/>
        <v>UN</v>
      </c>
      <c r="D1673" s="7">
        <v>401</v>
      </c>
      <c r="E1673" s="3">
        <v>4</v>
      </c>
      <c r="F1673" s="2">
        <v>9</v>
      </c>
      <c r="G1673" t="s">
        <v>513</v>
      </c>
    </row>
    <row r="1674" spans="1:7" x14ac:dyDescent="0.25">
      <c r="A1674" s="1" t="str">
        <f>"515476"</f>
        <v>515476</v>
      </c>
      <c r="B1674" s="2" t="str">
        <f>"AUTO FALANTE PX"</f>
        <v>AUTO FALANTE PX</v>
      </c>
      <c r="C1674" s="2" t="str">
        <f t="shared" si="64"/>
        <v>UN</v>
      </c>
      <c r="D1674" s="7">
        <v>704</v>
      </c>
      <c r="E1674" s="3">
        <v>9</v>
      </c>
      <c r="F1674" s="2">
        <v>0</v>
      </c>
      <c r="G1674" t="s">
        <v>512</v>
      </c>
    </row>
    <row r="1675" spans="1:7" x14ac:dyDescent="0.25">
      <c r="A1675" s="1" t="str">
        <f>"511895"</f>
        <v>511895</v>
      </c>
      <c r="B1675" s="2" t="str">
        <f>"AUTO FALANTES USB PTO PC HP HEWLETT"</f>
        <v>AUTO FALANTES USB PTO PC HP HEWLETT</v>
      </c>
      <c r="C1675" s="2" t="str">
        <f t="shared" si="64"/>
        <v>UN</v>
      </c>
      <c r="D1675" s="7">
        <v>401</v>
      </c>
      <c r="E1675" s="3">
        <v>4</v>
      </c>
      <c r="F1675" s="2">
        <v>0</v>
      </c>
      <c r="G1675" t="s">
        <v>513</v>
      </c>
    </row>
    <row r="1676" spans="1:7" x14ac:dyDescent="0.25">
      <c r="A1676" s="1" t="str">
        <f>"515347"</f>
        <v>515347</v>
      </c>
      <c r="B1676" s="2" t="str">
        <f>"AUTOCLAV VERTICAL BIOENG"</f>
        <v>AUTOCLAV VERTICAL BIOENG</v>
      </c>
      <c r="C1676" s="2" t="str">
        <f t="shared" si="64"/>
        <v>UN</v>
      </c>
      <c r="D1676" s="7">
        <v>900</v>
      </c>
      <c r="E1676" s="3">
        <v>4</v>
      </c>
      <c r="F1676" s="2">
        <v>2</v>
      </c>
      <c r="G1676" t="s">
        <v>514</v>
      </c>
    </row>
    <row r="1677" spans="1:7" x14ac:dyDescent="0.25">
      <c r="A1677" s="1" t="str">
        <f>"518106"</f>
        <v>518106</v>
      </c>
      <c r="B1677" s="2" t="str">
        <f>"AUTOCLAVE VERTICAL DIM. INT 30X45CM CAP 30LT BIV"</f>
        <v>AUTOCLAVE VERTICAL DIM. INT 30X45CM CAP 30LT BIV</v>
      </c>
      <c r="C1677" s="2" t="str">
        <f t="shared" si="64"/>
        <v>UN</v>
      </c>
      <c r="D1677" s="7">
        <v>1500</v>
      </c>
      <c r="E1677" s="3">
        <v>13</v>
      </c>
      <c r="F1677" s="2">
        <v>5</v>
      </c>
      <c r="G1677" t="s">
        <v>515</v>
      </c>
    </row>
    <row r="1678" spans="1:7" x14ac:dyDescent="0.25">
      <c r="A1678" s="1" t="str">
        <f>"520809"</f>
        <v>520809</v>
      </c>
      <c r="B1678" s="2" t="str">
        <f>"AUTODESK AUTOCAD LT 2017 NEW SINGLE-USER ANNUAL"</f>
        <v>AUTODESK AUTOCAD LT 2017 NEW SINGLE-USER ANNUAL</v>
      </c>
      <c r="C1678" s="2" t="str">
        <f t="shared" si="64"/>
        <v>UN</v>
      </c>
      <c r="D1678" s="7">
        <v>99999</v>
      </c>
      <c r="E1678" s="3">
        <v>99</v>
      </c>
      <c r="F1678" s="2">
        <v>6</v>
      </c>
      <c r="G1678" t="s">
        <v>512</v>
      </c>
    </row>
    <row r="1679" spans="1:7" x14ac:dyDescent="0.25">
      <c r="A1679" s="1" t="str">
        <f>"510954"</f>
        <v>510954</v>
      </c>
      <c r="B1679" s="2" t="str">
        <f>"AUTO-FALANTES 6"" QUADRIAXIAL"</f>
        <v>AUTO-FALANTES 6" QUADRIAXIAL</v>
      </c>
      <c r="C1679" s="2" t="str">
        <f t="shared" si="64"/>
        <v>UN</v>
      </c>
      <c r="D1679" s="7">
        <v>401</v>
      </c>
      <c r="E1679" s="3">
        <v>4</v>
      </c>
      <c r="F1679" s="2">
        <v>9</v>
      </c>
      <c r="G1679" t="s">
        <v>516</v>
      </c>
    </row>
    <row r="1680" spans="1:7" x14ac:dyDescent="0.25">
      <c r="A1680" s="1" t="str">
        <f>"518371"</f>
        <v>518371</v>
      </c>
      <c r="B1680" s="2" t="str">
        <f>"AUTOMATICO AUXILIAR"</f>
        <v>AUTOMATICO AUXILIAR</v>
      </c>
      <c r="C1680" s="2" t="str">
        <f t="shared" si="64"/>
        <v>UN</v>
      </c>
      <c r="D1680" s="7">
        <v>704</v>
      </c>
      <c r="E1680" s="3">
        <v>9</v>
      </c>
      <c r="F1680" s="2">
        <v>5</v>
      </c>
      <c r="G1680" t="s">
        <v>515</v>
      </c>
    </row>
    <row r="1681" spans="1:7" x14ac:dyDescent="0.25">
      <c r="A1681" s="1" t="str">
        <f>"518370"</f>
        <v>518370</v>
      </c>
      <c r="B1681" s="2" t="str">
        <f>"AUTOMATICO DE PARTIDA"</f>
        <v>AUTOMATICO DE PARTIDA</v>
      </c>
      <c r="C1681" s="2" t="str">
        <f t="shared" si="64"/>
        <v>UN</v>
      </c>
      <c r="D1681" s="7">
        <v>704</v>
      </c>
      <c r="E1681" s="3">
        <v>9</v>
      </c>
      <c r="F1681" s="2">
        <v>3</v>
      </c>
      <c r="G1681" t="s">
        <v>514</v>
      </c>
    </row>
    <row r="1682" spans="1:7" x14ac:dyDescent="0.25">
      <c r="A1682" s="1" t="str">
        <f>"501456"</f>
        <v>501456</v>
      </c>
      <c r="B1682" s="2" t="str">
        <f>"AUTOMATICO DE PARTIDA ZM450- 12V"</f>
        <v>AUTOMATICO DE PARTIDA ZM450- 12V</v>
      </c>
      <c r="C1682" s="2" t="str">
        <f t="shared" si="64"/>
        <v>UN</v>
      </c>
      <c r="D1682" s="7">
        <v>704</v>
      </c>
      <c r="E1682" s="3">
        <v>9</v>
      </c>
      <c r="F1682" s="2">
        <v>3</v>
      </c>
      <c r="G1682" t="s">
        <v>512</v>
      </c>
    </row>
    <row r="1683" spans="1:7" x14ac:dyDescent="0.25">
      <c r="A1683" s="1" t="str">
        <f>"502565"</f>
        <v>502565</v>
      </c>
      <c r="B1683" s="2" t="str">
        <f>"AUTOMATICO DELCO REMY"</f>
        <v>AUTOMATICO DELCO REMY</v>
      </c>
      <c r="C1683" s="2" t="str">
        <f t="shared" si="64"/>
        <v>UN</v>
      </c>
      <c r="D1683" s="7">
        <v>704</v>
      </c>
      <c r="E1683" s="3">
        <v>9</v>
      </c>
      <c r="F1683" s="2">
        <v>2</v>
      </c>
      <c r="G1683" t="s">
        <v>513</v>
      </c>
    </row>
    <row r="1684" spans="1:7" x14ac:dyDescent="0.25">
      <c r="A1684" s="1" t="str">
        <f>"505195"</f>
        <v>505195</v>
      </c>
      <c r="B1684" s="2" t="str">
        <f>"AUTOMATICO ZM 571"</f>
        <v>AUTOMATICO ZM 571</v>
      </c>
      <c r="C1684" s="2" t="str">
        <f t="shared" si="64"/>
        <v>UN</v>
      </c>
      <c r="D1684" s="7">
        <v>704</v>
      </c>
      <c r="E1684" s="3">
        <v>9</v>
      </c>
      <c r="F1684" s="2">
        <v>1</v>
      </c>
      <c r="G1684" t="s">
        <v>514</v>
      </c>
    </row>
    <row r="1685" spans="1:7" x14ac:dyDescent="0.25">
      <c r="A1685" s="1" t="str">
        <f>"512087"</f>
        <v>512087</v>
      </c>
      <c r="B1685" s="2" t="str">
        <f>"AUTOMATIZAÇAO PECININ MAX 1M"</f>
        <v>AUTOMATIZAÇAO PECININ MAX 1M</v>
      </c>
      <c r="C1685" s="2" t="str">
        <f t="shared" si="64"/>
        <v>UN</v>
      </c>
      <c r="D1685" s="7">
        <v>812</v>
      </c>
      <c r="E1685" s="3">
        <v>10</v>
      </c>
      <c r="F1685" s="2">
        <v>4</v>
      </c>
      <c r="G1685" t="s">
        <v>514</v>
      </c>
    </row>
    <row r="1686" spans="1:7" x14ac:dyDescent="0.25">
      <c r="A1686" s="1" t="str">
        <f>"510597"</f>
        <v>510597</v>
      </c>
      <c r="B1686" s="2" t="str">
        <f>"AUTOTRAFO MONOFASICO 3500VA"</f>
        <v>AUTOTRAFO MONOFASICO 3500VA</v>
      </c>
      <c r="C1686" s="2" t="str">
        <f t="shared" si="64"/>
        <v>UN</v>
      </c>
      <c r="D1686" s="7">
        <v>900</v>
      </c>
      <c r="E1686" s="3">
        <v>11</v>
      </c>
      <c r="F1686" s="2">
        <v>6</v>
      </c>
      <c r="G1686" t="s">
        <v>512</v>
      </c>
    </row>
    <row r="1687" spans="1:7" x14ac:dyDescent="0.25">
      <c r="A1687" s="1" t="str">
        <f>"508006"</f>
        <v>508006</v>
      </c>
      <c r="B1687" s="2" t="str">
        <f>"AUTO-TRANFORMADOR 300VA BIV. AT-VA-009 M"</f>
        <v>AUTO-TRANFORMADOR 300VA BIV. AT-VA-009 M</v>
      </c>
      <c r="C1687" s="2" t="str">
        <f t="shared" si="64"/>
        <v>UN</v>
      </c>
      <c r="D1687" s="7">
        <v>900</v>
      </c>
      <c r="E1687" s="3">
        <v>11</v>
      </c>
      <c r="F1687" s="2">
        <v>8</v>
      </c>
      <c r="G1687" t="s">
        <v>513</v>
      </c>
    </row>
    <row r="1688" spans="1:7" x14ac:dyDescent="0.25">
      <c r="A1688" s="1" t="str">
        <f>"525341"</f>
        <v>525341</v>
      </c>
      <c r="B1688" s="2" t="str">
        <f>"AUTOTRANSFORMADOR 110/220 3000VA"</f>
        <v>AUTOTRANSFORMADOR 110/220 3000VA</v>
      </c>
      <c r="C1688" s="2" t="str">
        <f t="shared" si="64"/>
        <v>UN</v>
      </c>
      <c r="D1688" s="7">
        <v>600</v>
      </c>
      <c r="E1688" s="3">
        <v>8</v>
      </c>
      <c r="F1688" s="2">
        <v>7</v>
      </c>
      <c r="G1688" t="s">
        <v>514</v>
      </c>
    </row>
    <row r="1689" spans="1:7" x14ac:dyDescent="0.25">
      <c r="A1689" s="1" t="str">
        <f>"503186"</f>
        <v>503186</v>
      </c>
      <c r="B1689" s="2" t="str">
        <f>"AUTOTRANSFORMADOR 380/220 20KVA"</f>
        <v>AUTOTRANSFORMADOR 380/220 20KVA</v>
      </c>
      <c r="C1689" s="2" t="str">
        <f t="shared" si="64"/>
        <v>UN</v>
      </c>
      <c r="D1689" s="7">
        <v>600</v>
      </c>
      <c r="E1689" s="3">
        <v>8</v>
      </c>
      <c r="F1689" s="2">
        <v>6</v>
      </c>
      <c r="G1689" t="s">
        <v>514</v>
      </c>
    </row>
    <row r="1690" spans="1:7" x14ac:dyDescent="0.25">
      <c r="A1690" s="1" t="str">
        <f>"501496"</f>
        <v>501496</v>
      </c>
      <c r="B1690" s="2" t="str">
        <f>"AUTO-TRANSFORMADOR BIVLT 1500W COD.T1500"</f>
        <v>AUTO-TRANSFORMADOR BIVLT 1500W COD.T1500</v>
      </c>
      <c r="C1690" s="2" t="str">
        <f t="shared" si="64"/>
        <v>UN</v>
      </c>
      <c r="D1690" s="7">
        <v>600</v>
      </c>
      <c r="E1690" s="3">
        <v>8</v>
      </c>
      <c r="F1690" s="2">
        <v>6</v>
      </c>
      <c r="G1690" t="s">
        <v>514</v>
      </c>
    </row>
    <row r="1691" spans="1:7" x14ac:dyDescent="0.25">
      <c r="A1691" s="1" t="str">
        <f>"521872"</f>
        <v>521872</v>
      </c>
      <c r="B1691" s="2" t="str">
        <f>"AUXILIAR 16170/16200/16220/17210"</f>
        <v>AUXILIAR 16170/16200/16220/17210</v>
      </c>
      <c r="C1691" s="2" t="str">
        <f t="shared" si="64"/>
        <v>UN</v>
      </c>
      <c r="D1691" s="7">
        <v>704</v>
      </c>
      <c r="E1691" s="3">
        <v>9</v>
      </c>
      <c r="F1691" s="2">
        <v>2</v>
      </c>
      <c r="G1691" t="s">
        <v>513</v>
      </c>
    </row>
    <row r="1692" spans="1:7" x14ac:dyDescent="0.25">
      <c r="A1692" s="1" t="str">
        <f>"6170"</f>
        <v>6170</v>
      </c>
      <c r="B1692" s="2" t="str">
        <f>"AVELÃ TORRADA GRANULADA 2 - (MANIBOM)"</f>
        <v>AVELÃ TORRADA GRANULADA 2 - (MANIBOM)</v>
      </c>
      <c r="C1692" s="2" t="str">
        <f>"KG"</f>
        <v>KG</v>
      </c>
      <c r="D1692" s="7">
        <v>217</v>
      </c>
      <c r="E1692" s="3">
        <v>2</v>
      </c>
      <c r="F1692" s="2">
        <v>1</v>
      </c>
      <c r="G1692" t="s">
        <v>512</v>
      </c>
    </row>
    <row r="1693" spans="1:7" x14ac:dyDescent="0.25">
      <c r="A1693" s="1" t="str">
        <f>"524257"</f>
        <v>524257</v>
      </c>
      <c r="B1693" s="2" t="str">
        <f>"AVENTAL (HOMOLOGAÇÃO)"</f>
        <v>AVENTAL (HOMOLOGAÇÃO)</v>
      </c>
      <c r="C1693" s="2" t="str">
        <f t="shared" ref="C1693:C1702" si="65">"UN"</f>
        <v>UN</v>
      </c>
      <c r="D1693" s="7">
        <v>501</v>
      </c>
      <c r="E1693" s="3">
        <v>5</v>
      </c>
      <c r="F1693" s="2">
        <v>0</v>
      </c>
      <c r="G1693" t="s">
        <v>513</v>
      </c>
    </row>
    <row r="1694" spans="1:7" x14ac:dyDescent="0.25">
      <c r="A1694" s="1" t="str">
        <f>"6609"</f>
        <v>6609</v>
      </c>
      <c r="B1694" s="2" t="str">
        <f>"AVENTAL DESCARTAVEL DE PLASTICO"</f>
        <v>AVENTAL DESCARTAVEL DE PLASTICO</v>
      </c>
      <c r="C1694" s="2" t="str">
        <f t="shared" si="65"/>
        <v>UN</v>
      </c>
      <c r="D1694" s="7">
        <v>502</v>
      </c>
      <c r="E1694" s="3">
        <v>5</v>
      </c>
      <c r="F1694" s="2">
        <v>0</v>
      </c>
      <c r="G1694" t="s">
        <v>514</v>
      </c>
    </row>
    <row r="1695" spans="1:7" x14ac:dyDescent="0.25">
      <c r="A1695" s="1" t="str">
        <f>"3175"</f>
        <v>3175</v>
      </c>
      <c r="B1695" s="2" t="str">
        <f>"AVENTAL EM RASPA INTEIRO 1,00X0,60MM"</f>
        <v>AVENTAL EM RASPA INTEIRO 1,00X0,60MM</v>
      </c>
      <c r="C1695" s="2" t="str">
        <f t="shared" si="65"/>
        <v>UN</v>
      </c>
      <c r="D1695" s="7">
        <v>501</v>
      </c>
      <c r="E1695" s="3">
        <v>5</v>
      </c>
      <c r="F1695" s="2">
        <v>0</v>
      </c>
      <c r="G1695" t="s">
        <v>514</v>
      </c>
    </row>
    <row r="1696" spans="1:7" x14ac:dyDescent="0.25">
      <c r="A1696" s="1" t="str">
        <f>"522814"</f>
        <v>522814</v>
      </c>
      <c r="B1696" s="2" t="str">
        <f>"AVENTAL MALHA AÇO INOXID. 55CMX 75CM SUSP. NYL/PRES. CA-6170"</f>
        <v>AVENTAL MALHA AÇO INOXID. 55CMX 75CM SUSP. NYL/PRES. CA-6170</v>
      </c>
      <c r="C1696" s="2" t="str">
        <f t="shared" si="65"/>
        <v>UN</v>
      </c>
      <c r="D1696" s="7">
        <v>501</v>
      </c>
      <c r="E1696" s="3">
        <v>5</v>
      </c>
      <c r="F1696" s="2">
        <v>3</v>
      </c>
      <c r="G1696" t="s">
        <v>514</v>
      </c>
    </row>
    <row r="1697" spans="1:7" x14ac:dyDescent="0.25">
      <c r="A1697" s="1" t="str">
        <f>"506517"</f>
        <v>506517</v>
      </c>
      <c r="B1697" s="2" t="str">
        <f>"AVENTAL PVC INCOLOR KP1000 CA-14180"</f>
        <v>AVENTAL PVC INCOLOR KP1000 CA-14180</v>
      </c>
      <c r="C1697" s="2" t="str">
        <f t="shared" si="65"/>
        <v>UN</v>
      </c>
      <c r="D1697" s="7">
        <v>501</v>
      </c>
      <c r="E1697" s="3">
        <v>5</v>
      </c>
      <c r="F1697" s="5">
        <v>5</v>
      </c>
      <c r="G1697" t="s">
        <v>513</v>
      </c>
    </row>
    <row r="1698" spans="1:7" x14ac:dyDescent="0.25">
      <c r="A1698" s="1" t="str">
        <f>"524090"</f>
        <v>524090</v>
      </c>
      <c r="B1698" s="2" t="str">
        <f>"AVENTAL PVC TRANSPARENTE PREVEMAX CA-44668"</f>
        <v>AVENTAL PVC TRANSPARENTE PREVEMAX CA-44668</v>
      </c>
      <c r="C1698" s="2" t="str">
        <f t="shared" si="65"/>
        <v>UN</v>
      </c>
      <c r="D1698" s="7">
        <v>501</v>
      </c>
      <c r="E1698" s="3">
        <v>5</v>
      </c>
      <c r="F1698" s="2">
        <v>3</v>
      </c>
      <c r="G1698" t="s">
        <v>513</v>
      </c>
    </row>
    <row r="1699" spans="1:7" x14ac:dyDescent="0.25">
      <c r="A1699" s="1" t="str">
        <f>"628"</f>
        <v>628</v>
      </c>
      <c r="B1699" s="2" t="str">
        <f>"AVENTAL TNT BC TP CAMISOLA MANGA LONGA"</f>
        <v>AVENTAL TNT BC TP CAMISOLA MANGA LONGA</v>
      </c>
      <c r="C1699" s="2" t="str">
        <f t="shared" si="65"/>
        <v>UN</v>
      </c>
      <c r="D1699" s="7">
        <v>501</v>
      </c>
      <c r="E1699" s="3">
        <v>5</v>
      </c>
      <c r="F1699" s="2">
        <v>8</v>
      </c>
      <c r="G1699" t="s">
        <v>513</v>
      </c>
    </row>
    <row r="1700" spans="1:7" x14ac:dyDescent="0.25">
      <c r="A1700" s="1" t="str">
        <f>"518995"</f>
        <v>518995</v>
      </c>
      <c r="B1700" s="2" t="str">
        <f>"AWCA 1 ANO ATÉ 100 USUARIOS POR SERVIDOR"</f>
        <v>AWCA 1 ANO ATÉ 100 USUARIOS POR SERVIDOR</v>
      </c>
      <c r="C1700" s="2" t="str">
        <f t="shared" si="65"/>
        <v>UN</v>
      </c>
      <c r="D1700" s="7">
        <v>99999</v>
      </c>
      <c r="E1700" s="3">
        <v>99</v>
      </c>
      <c r="F1700" s="2">
        <v>6</v>
      </c>
      <c r="G1700" t="s">
        <v>512</v>
      </c>
    </row>
    <row r="1701" spans="1:7" x14ac:dyDescent="0.25">
      <c r="A1701" s="1" t="str">
        <f>"522412"</f>
        <v>522412</v>
      </c>
      <c r="B1701" s="2" t="str">
        <f>"AWCA 1 ANO ATÉ 1000 USUARIOS POR SERVIDOR"</f>
        <v>AWCA 1 ANO ATÉ 1000 USUARIOS POR SERVIDOR</v>
      </c>
      <c r="C1701" s="2" t="str">
        <f t="shared" si="65"/>
        <v>UN</v>
      </c>
      <c r="D1701" s="7">
        <v>99999</v>
      </c>
      <c r="E1701" s="3">
        <v>99</v>
      </c>
      <c r="F1701" s="2">
        <v>4</v>
      </c>
      <c r="G1701" t="s">
        <v>513</v>
      </c>
    </row>
    <row r="1702" spans="1:7" x14ac:dyDescent="0.25">
      <c r="A1702" s="1" t="str">
        <f>"514936"</f>
        <v>514936</v>
      </c>
      <c r="B1702" s="2" t="str">
        <f>"AZEITE"</f>
        <v>AZEITE</v>
      </c>
      <c r="C1702" s="2" t="str">
        <f t="shared" si="65"/>
        <v>UN</v>
      </c>
      <c r="D1702" s="7">
        <v>912</v>
      </c>
      <c r="E1702" s="3">
        <v>4</v>
      </c>
      <c r="F1702" s="2">
        <v>1</v>
      </c>
      <c r="G1702" t="s">
        <v>514</v>
      </c>
    </row>
    <row r="1703" spans="1:7" x14ac:dyDescent="0.25">
      <c r="A1703" s="1" t="str">
        <f>"515214"</f>
        <v>515214</v>
      </c>
      <c r="B1703" s="2" t="str">
        <f>"AZEITONA PRETA PASTA"</f>
        <v>AZEITONA PRETA PASTA</v>
      </c>
      <c r="C1703" s="2" t="str">
        <f>"KG"</f>
        <v>KG</v>
      </c>
      <c r="D1703" s="7">
        <v>205</v>
      </c>
      <c r="E1703" s="3">
        <v>2</v>
      </c>
      <c r="F1703" s="2">
        <v>2</v>
      </c>
      <c r="G1703" t="s">
        <v>515</v>
      </c>
    </row>
    <row r="1704" spans="1:7" x14ac:dyDescent="0.25">
      <c r="A1704" s="1" t="str">
        <f>"510875"</f>
        <v>510875</v>
      </c>
      <c r="B1704" s="2" t="str">
        <f>"AZEITONA V.FERTIL SACHE"</f>
        <v>AZEITONA V.FERTIL SACHE</v>
      </c>
      <c r="C1704" s="2" t="str">
        <f t="shared" ref="C1704:C1735" si="66">"UN"</f>
        <v>UN</v>
      </c>
      <c r="D1704" s="7">
        <v>401</v>
      </c>
      <c r="E1704" s="3">
        <v>4</v>
      </c>
      <c r="F1704" s="2">
        <v>7</v>
      </c>
      <c r="G1704" t="s">
        <v>512</v>
      </c>
    </row>
    <row r="1705" spans="1:7" x14ac:dyDescent="0.25">
      <c r="A1705" s="1" t="str">
        <f>"521970"</f>
        <v>521970</v>
      </c>
      <c r="B1705" s="2" t="str">
        <f>"AZITROMICINA"</f>
        <v>AZITROMICINA</v>
      </c>
      <c r="C1705" s="2" t="str">
        <f t="shared" si="66"/>
        <v>UN</v>
      </c>
      <c r="D1705" s="7">
        <v>406</v>
      </c>
      <c r="E1705" s="3">
        <v>4</v>
      </c>
      <c r="F1705" s="2">
        <v>9</v>
      </c>
      <c r="G1705" t="s">
        <v>516</v>
      </c>
    </row>
    <row r="1706" spans="1:7" x14ac:dyDescent="0.25">
      <c r="A1706" s="1" t="str">
        <f>"522094"</f>
        <v>522094</v>
      </c>
      <c r="B1706" s="2" t="str">
        <f>"AZUL DE BROMOFENOL"</f>
        <v>AZUL DE BROMOFENOL</v>
      </c>
      <c r="C1706" s="2" t="str">
        <f t="shared" si="66"/>
        <v>UN</v>
      </c>
      <c r="D1706" s="7">
        <v>406</v>
      </c>
      <c r="E1706" s="3">
        <v>4</v>
      </c>
      <c r="F1706" s="2">
        <v>0</v>
      </c>
      <c r="G1706" t="s">
        <v>515</v>
      </c>
    </row>
    <row r="1707" spans="1:7" x14ac:dyDescent="0.25">
      <c r="A1707" s="1" t="str">
        <f>"528134"</f>
        <v>528134</v>
      </c>
      <c r="B1707" s="2" t="str">
        <f>"AZUL DE BROMOFENOL 0,1% INDICADOR"</f>
        <v>AZUL DE BROMOFENOL 0,1% INDICADOR</v>
      </c>
      <c r="C1707" s="2" t="str">
        <f t="shared" si="66"/>
        <v>UN</v>
      </c>
      <c r="D1707" s="7">
        <v>406</v>
      </c>
      <c r="E1707" s="3">
        <v>4</v>
      </c>
      <c r="F1707" s="2">
        <v>0</v>
      </c>
      <c r="G1707" t="s">
        <v>514</v>
      </c>
    </row>
    <row r="1708" spans="1:7" x14ac:dyDescent="0.25">
      <c r="A1708" s="1" t="str">
        <f>"514419"</f>
        <v>514419</v>
      </c>
      <c r="B1708" s="2" t="str">
        <f>"AZUL DE BROMOTIMOL S/I PH 6,0 - 7,6"</f>
        <v>AZUL DE BROMOTIMOL S/I PH 6,0 - 7,6</v>
      </c>
      <c r="C1708" s="2" t="str">
        <f t="shared" si="66"/>
        <v>UN</v>
      </c>
      <c r="D1708" s="7">
        <v>406</v>
      </c>
      <c r="E1708" s="3">
        <v>4</v>
      </c>
      <c r="F1708" s="2">
        <v>2</v>
      </c>
      <c r="G1708" t="s">
        <v>512</v>
      </c>
    </row>
    <row r="1709" spans="1:7" x14ac:dyDescent="0.25">
      <c r="A1709" s="1" t="str">
        <f>"514130"</f>
        <v>514130</v>
      </c>
      <c r="B1709" s="2" t="str">
        <f>"AZUL DE METILENO PARA REDUTASE"</f>
        <v>AZUL DE METILENO PARA REDUTASE</v>
      </c>
      <c r="C1709" s="2" t="str">
        <f t="shared" si="66"/>
        <v>UN</v>
      </c>
      <c r="D1709" s="7">
        <v>303</v>
      </c>
      <c r="E1709" s="3">
        <v>3</v>
      </c>
      <c r="F1709" s="2">
        <v>5</v>
      </c>
      <c r="G1709" t="s">
        <v>513</v>
      </c>
    </row>
    <row r="1710" spans="1:7" x14ac:dyDescent="0.25">
      <c r="A1710" s="1" t="str">
        <f>"1586"</f>
        <v>1586</v>
      </c>
      <c r="B1710" s="2" t="str">
        <f>"B. LAC. BIBI BITS MORANGO E CEREAIS ARROZ COPO CAROLINA 125G"</f>
        <v>B. LAC. BIBI BITS MORANGO E CEREAIS ARROZ COPO CAROLINA 125G</v>
      </c>
      <c r="C1710" s="2" t="str">
        <f t="shared" si="66"/>
        <v>UN</v>
      </c>
      <c r="D1710" s="7">
        <v>33</v>
      </c>
      <c r="E1710" s="3">
        <v>6</v>
      </c>
      <c r="F1710" s="2">
        <v>6</v>
      </c>
      <c r="G1710" t="s">
        <v>514</v>
      </c>
    </row>
    <row r="1711" spans="1:7" x14ac:dyDescent="0.25">
      <c r="A1711" s="1" t="str">
        <f>"1583"</f>
        <v>1583</v>
      </c>
      <c r="B1711" s="2" t="str">
        <f>"B. LAC. BIBI BITS MORANGO E CONFEITOS COPO CAROLINA 125G"</f>
        <v>B. LAC. BIBI BITS MORANGO E CONFEITOS COPO CAROLINA 125G</v>
      </c>
      <c r="C1711" s="2" t="str">
        <f t="shared" si="66"/>
        <v>UN</v>
      </c>
      <c r="D1711" s="7">
        <v>33</v>
      </c>
      <c r="E1711" s="3">
        <v>6</v>
      </c>
      <c r="F1711" s="2">
        <v>9</v>
      </c>
      <c r="G1711" t="s">
        <v>514</v>
      </c>
    </row>
    <row r="1712" spans="1:7" x14ac:dyDescent="0.25">
      <c r="A1712" s="1" t="str">
        <f>"1584"</f>
        <v>1584</v>
      </c>
      <c r="B1712" s="2" t="str">
        <f>"B. LAC. BIBI BITS MORANGO E FLOCOS ARROZ COPO CAROLINA 125G"</f>
        <v>B. LAC. BIBI BITS MORANGO E FLOCOS ARROZ COPO CAROLINA 125G</v>
      </c>
      <c r="C1712" s="2" t="str">
        <f t="shared" si="66"/>
        <v>UN</v>
      </c>
      <c r="D1712" s="7">
        <v>33</v>
      </c>
      <c r="E1712" s="3">
        <v>6</v>
      </c>
      <c r="F1712" s="2">
        <v>5</v>
      </c>
      <c r="G1712" t="s">
        <v>512</v>
      </c>
    </row>
    <row r="1713" spans="1:7" x14ac:dyDescent="0.25">
      <c r="A1713" s="1" t="str">
        <f>"1076"</f>
        <v>1076</v>
      </c>
      <c r="B1713" s="2" t="str">
        <f>"B.LAC.C.P.VERY GURT MORANGO BJ 510 G"</f>
        <v>B.LAC.C.P.VERY GURT MORANGO BJ 510 G</v>
      </c>
      <c r="C1713" s="2" t="str">
        <f t="shared" si="66"/>
        <v>UN</v>
      </c>
      <c r="D1713" s="7">
        <v>21</v>
      </c>
      <c r="E1713" s="3">
        <v>6</v>
      </c>
      <c r="F1713" s="2">
        <v>3</v>
      </c>
      <c r="G1713" t="s">
        <v>513</v>
      </c>
    </row>
    <row r="1714" spans="1:7" x14ac:dyDescent="0.25">
      <c r="A1714" s="1" t="str">
        <f>"1077"</f>
        <v>1077</v>
      </c>
      <c r="B1714" s="2" t="str">
        <f>"B.LAC.C/P.VERY GURT MOR/COCO BJ.510 G"</f>
        <v>B.LAC.C/P.VERY GURT MOR/COCO BJ.510 G</v>
      </c>
      <c r="C1714" s="2" t="str">
        <f t="shared" si="66"/>
        <v>UN</v>
      </c>
      <c r="D1714" s="7">
        <v>21</v>
      </c>
      <c r="E1714" s="3">
        <v>6</v>
      </c>
      <c r="F1714" s="2">
        <v>3</v>
      </c>
      <c r="G1714" t="s">
        <v>514</v>
      </c>
    </row>
    <row r="1715" spans="1:7" x14ac:dyDescent="0.25">
      <c r="A1715" s="1" t="str">
        <f>"1585"</f>
        <v>1585</v>
      </c>
      <c r="B1715" s="2" t="str">
        <f>"B.LAC.MOR.BIBI BITS AZUL 125G C/24"</f>
        <v>B.LAC.MOR.BIBI BITS AZUL 125G C/24</v>
      </c>
      <c r="C1715" s="2" t="str">
        <f t="shared" si="66"/>
        <v>UN</v>
      </c>
      <c r="D1715" s="7">
        <v>33</v>
      </c>
      <c r="E1715" s="3">
        <v>6</v>
      </c>
      <c r="F1715" s="2">
        <v>2</v>
      </c>
      <c r="G1715" t="s">
        <v>514</v>
      </c>
    </row>
    <row r="1716" spans="1:7" x14ac:dyDescent="0.25">
      <c r="A1716" s="1" t="str">
        <f>"1587"</f>
        <v>1587</v>
      </c>
      <c r="B1716" s="2" t="str">
        <f>"B.LAC.MOR.BIBI BITS AZUL 125G C/24"</f>
        <v>B.LAC.MOR.BIBI BITS AZUL 125G C/24</v>
      </c>
      <c r="C1716" s="2" t="str">
        <f t="shared" si="66"/>
        <v>UN</v>
      </c>
      <c r="D1716" s="7">
        <v>33</v>
      </c>
      <c r="E1716" s="3">
        <v>6</v>
      </c>
      <c r="F1716" s="2">
        <v>1</v>
      </c>
      <c r="G1716" t="s">
        <v>514</v>
      </c>
    </row>
    <row r="1717" spans="1:7" x14ac:dyDescent="0.25">
      <c r="A1717" s="1" t="str">
        <f>"6236"</f>
        <v>6236</v>
      </c>
      <c r="B1717" s="2" t="str">
        <f>"B94 AGENDA DIARIA 14,1X20,5CM ESPIRAL"</f>
        <v>B94 AGENDA DIARIA 14,1X20,5CM ESPIRAL</v>
      </c>
      <c r="C1717" s="2" t="str">
        <f t="shared" si="66"/>
        <v>UN</v>
      </c>
      <c r="D1717" s="7">
        <v>401</v>
      </c>
      <c r="E1717" s="3">
        <v>4</v>
      </c>
      <c r="F1717" s="2">
        <v>4</v>
      </c>
      <c r="G1717" t="s">
        <v>513</v>
      </c>
    </row>
    <row r="1718" spans="1:7" x14ac:dyDescent="0.25">
      <c r="A1718" s="1" t="str">
        <f>"517318"</f>
        <v>517318</v>
      </c>
      <c r="B1718" s="2" t="str">
        <f>"BACHEIRO ESPUMA"</f>
        <v>BACHEIRO ESPUMA</v>
      </c>
      <c r="C1718" s="2" t="str">
        <f t="shared" si="66"/>
        <v>UN</v>
      </c>
      <c r="D1718" s="7">
        <v>1200</v>
      </c>
      <c r="E1718" s="3">
        <v>4</v>
      </c>
      <c r="F1718" s="2">
        <v>1</v>
      </c>
      <c r="G1718" t="s">
        <v>512</v>
      </c>
    </row>
    <row r="1719" spans="1:7" x14ac:dyDescent="0.25">
      <c r="A1719" s="1" t="str">
        <f>"516130"</f>
        <v>516130</v>
      </c>
      <c r="B1719" s="2" t="str">
        <f>"BACIA"</f>
        <v>BACIA</v>
      </c>
      <c r="C1719" s="2" t="str">
        <f t="shared" si="66"/>
        <v>UN</v>
      </c>
      <c r="D1719" s="7">
        <v>401</v>
      </c>
      <c r="E1719" s="3">
        <v>4</v>
      </c>
      <c r="F1719" s="2">
        <v>2</v>
      </c>
      <c r="G1719" t="s">
        <v>513</v>
      </c>
    </row>
    <row r="1720" spans="1:7" x14ac:dyDescent="0.25">
      <c r="A1720" s="1" t="str">
        <f>"522755"</f>
        <v>522755</v>
      </c>
      <c r="B1720" s="2" t="str">
        <f>"BACIA ACOPLADA IZY BRANCA DECA"</f>
        <v>BACIA ACOPLADA IZY BRANCA DECA</v>
      </c>
      <c r="C1720" s="2" t="str">
        <f t="shared" si="66"/>
        <v>UN</v>
      </c>
      <c r="D1720" s="7">
        <v>917</v>
      </c>
      <c r="E1720" s="3">
        <v>10</v>
      </c>
      <c r="F1720" s="2">
        <v>7</v>
      </c>
      <c r="G1720" t="s">
        <v>514</v>
      </c>
    </row>
    <row r="1721" spans="1:7" x14ac:dyDescent="0.25">
      <c r="A1721" s="1" t="str">
        <f>"524870"</f>
        <v>524870</v>
      </c>
      <c r="B1721" s="2" t="str">
        <f>"BACIA DE CONTENÇAO"</f>
        <v>BACIA DE CONTENÇAO</v>
      </c>
      <c r="C1721" s="2" t="str">
        <f t="shared" si="66"/>
        <v>UN</v>
      </c>
      <c r="D1721" s="7">
        <v>99999</v>
      </c>
      <c r="E1721" s="3">
        <v>99</v>
      </c>
      <c r="F1721" s="2">
        <v>9</v>
      </c>
      <c r="G1721" t="s">
        <v>514</v>
      </c>
    </row>
    <row r="1722" spans="1:7" x14ac:dyDescent="0.25">
      <c r="A1722" s="1" t="str">
        <f>"514408"</f>
        <v>514408</v>
      </c>
      <c r="B1722" s="2" t="str">
        <f>"BACIA PARA CAIXA DE ACOPLAR DECA"</f>
        <v>BACIA PARA CAIXA DE ACOPLAR DECA</v>
      </c>
      <c r="C1722" s="2" t="str">
        <f t="shared" si="66"/>
        <v>UN</v>
      </c>
      <c r="D1722" s="7">
        <v>803</v>
      </c>
      <c r="E1722" s="3">
        <v>4</v>
      </c>
      <c r="F1722" s="2">
        <v>0</v>
      </c>
      <c r="G1722" t="s">
        <v>514</v>
      </c>
    </row>
    <row r="1723" spans="1:7" x14ac:dyDescent="0.25">
      <c r="A1723" s="1" t="str">
        <f>"506103"</f>
        <v>506103</v>
      </c>
      <c r="B1723" s="2" t="str">
        <f>"BACK UP EMPILHADEIRA TOYOTA FKB218"</f>
        <v>BACK UP EMPILHADEIRA TOYOTA FKB218</v>
      </c>
      <c r="C1723" s="2" t="str">
        <f t="shared" si="66"/>
        <v>UN</v>
      </c>
      <c r="D1723" s="7">
        <v>918</v>
      </c>
      <c r="E1723" s="3">
        <v>11</v>
      </c>
      <c r="F1723" s="2">
        <v>0</v>
      </c>
      <c r="G1723" t="s">
        <v>513</v>
      </c>
    </row>
    <row r="1724" spans="1:7" x14ac:dyDescent="0.25">
      <c r="A1724" s="1" t="str">
        <f>"514884"</f>
        <v>514884</v>
      </c>
      <c r="B1724" s="2" t="str">
        <f>"BACON"</f>
        <v>BACON</v>
      </c>
      <c r="C1724" s="2" t="str">
        <f t="shared" si="66"/>
        <v>UN</v>
      </c>
      <c r="D1724" s="7">
        <v>401</v>
      </c>
      <c r="E1724" s="3">
        <v>4</v>
      </c>
      <c r="F1724" s="2">
        <v>4</v>
      </c>
      <c r="G1724" t="s">
        <v>513</v>
      </c>
    </row>
    <row r="1725" spans="1:7" x14ac:dyDescent="0.25">
      <c r="A1725" s="1" t="str">
        <f>"510861"</f>
        <v>510861</v>
      </c>
      <c r="B1725" s="2" t="str">
        <f>"BACON FATIADO"</f>
        <v>BACON FATIADO</v>
      </c>
      <c r="C1725" s="2" t="str">
        <f t="shared" si="66"/>
        <v>UN</v>
      </c>
      <c r="D1725" s="7">
        <v>401</v>
      </c>
      <c r="E1725" s="3">
        <v>4</v>
      </c>
      <c r="F1725" s="2">
        <v>1</v>
      </c>
      <c r="G1725" t="s">
        <v>513</v>
      </c>
    </row>
    <row r="1726" spans="1:7" x14ac:dyDescent="0.25">
      <c r="A1726" s="1" t="str">
        <f>"6124"</f>
        <v>6124</v>
      </c>
      <c r="B1726" s="2" t="str">
        <f>"BACSOL - VT"</f>
        <v>BACSOL - VT</v>
      </c>
      <c r="C1726" s="2" t="str">
        <f t="shared" si="66"/>
        <v>UN</v>
      </c>
      <c r="D1726" s="7">
        <v>400</v>
      </c>
      <c r="E1726" s="3">
        <v>4</v>
      </c>
      <c r="F1726" s="2">
        <v>2</v>
      </c>
      <c r="G1726" t="s">
        <v>512</v>
      </c>
    </row>
    <row r="1727" spans="1:7" x14ac:dyDescent="0.25">
      <c r="A1727" s="1" t="str">
        <f>"519464"</f>
        <v>519464</v>
      </c>
      <c r="B1727" s="2" t="str">
        <f>"BACTERIA ENZI BAC FTW"</f>
        <v>BACTERIA ENZI BAC FTW</v>
      </c>
      <c r="C1727" s="2" t="str">
        <f t="shared" si="66"/>
        <v>UN</v>
      </c>
      <c r="D1727" s="7">
        <v>400</v>
      </c>
      <c r="E1727" s="3">
        <v>10</v>
      </c>
      <c r="F1727" s="2">
        <v>7</v>
      </c>
      <c r="G1727" t="s">
        <v>513</v>
      </c>
    </row>
    <row r="1728" spans="1:7" x14ac:dyDescent="0.25">
      <c r="A1728" s="1" t="str">
        <f>"6033"</f>
        <v>6033</v>
      </c>
      <c r="B1728" s="2" t="str">
        <f>"BACTERIA FTW"</f>
        <v>BACTERIA FTW</v>
      </c>
      <c r="C1728" s="2" t="str">
        <f t="shared" si="66"/>
        <v>UN</v>
      </c>
      <c r="D1728" s="7">
        <v>400</v>
      </c>
      <c r="E1728" s="3">
        <v>4</v>
      </c>
      <c r="F1728" s="2">
        <v>9</v>
      </c>
      <c r="G1728" t="s">
        <v>514</v>
      </c>
    </row>
    <row r="1729" spans="1:7" x14ac:dyDescent="0.25">
      <c r="A1729" s="1" t="str">
        <f>"518508"</f>
        <v>518508</v>
      </c>
      <c r="B1729" s="2" t="str">
        <f>"BACTERICIDA AROMA D+ P/ AR CONDICIONADO"</f>
        <v>BACTERICIDA AROMA D+ P/ AR CONDICIONADO</v>
      </c>
      <c r="C1729" s="2" t="str">
        <f t="shared" si="66"/>
        <v>UN</v>
      </c>
      <c r="D1729" s="7">
        <v>916</v>
      </c>
      <c r="E1729" s="3">
        <v>10</v>
      </c>
      <c r="F1729" s="5">
        <v>5</v>
      </c>
      <c r="G1729" t="s">
        <v>515</v>
      </c>
    </row>
    <row r="1730" spans="1:7" x14ac:dyDescent="0.25">
      <c r="A1730" s="1" t="str">
        <f>"515666"</f>
        <v>515666</v>
      </c>
      <c r="B1730" s="2" t="str">
        <f>"BACTERICIDA DESIX CLEAN"</f>
        <v>BACTERICIDA DESIX CLEAN</v>
      </c>
      <c r="C1730" s="2" t="str">
        <f t="shared" si="66"/>
        <v>UN</v>
      </c>
      <c r="D1730" s="7">
        <v>401</v>
      </c>
      <c r="E1730" s="3">
        <v>4</v>
      </c>
      <c r="F1730" s="2">
        <v>3</v>
      </c>
      <c r="G1730" t="s">
        <v>512</v>
      </c>
    </row>
    <row r="1731" spans="1:7" x14ac:dyDescent="0.25">
      <c r="A1731" s="1" t="str">
        <f>"527629"</f>
        <v>527629</v>
      </c>
      <c r="B1731" s="2" t="str">
        <f>"BAGAGITO G6 C/ LIMPADOR TRASEIRO"</f>
        <v>BAGAGITO G6 C/ LIMPADOR TRASEIRO</v>
      </c>
      <c r="C1731" s="2" t="str">
        <f t="shared" si="66"/>
        <v>UN</v>
      </c>
      <c r="D1731" s="7">
        <v>99999</v>
      </c>
      <c r="E1731" s="3">
        <v>99</v>
      </c>
      <c r="F1731" s="2">
        <v>8</v>
      </c>
      <c r="G1731" t="s">
        <v>516</v>
      </c>
    </row>
    <row r="1732" spans="1:7" x14ac:dyDescent="0.25">
      <c r="A1732" s="1" t="str">
        <f>"518678"</f>
        <v>518678</v>
      </c>
      <c r="B1732" s="2" t="str">
        <f>"BAGUETE RECHEADA"</f>
        <v>BAGUETE RECHEADA</v>
      </c>
      <c r="C1732" s="2" t="str">
        <f t="shared" si="66"/>
        <v>UN</v>
      </c>
      <c r="D1732" s="7">
        <v>401</v>
      </c>
      <c r="E1732" s="3">
        <v>4</v>
      </c>
      <c r="F1732" s="2">
        <v>6</v>
      </c>
      <c r="G1732" t="s">
        <v>515</v>
      </c>
    </row>
    <row r="1733" spans="1:7" x14ac:dyDescent="0.25">
      <c r="A1733" s="1" t="str">
        <f>"520947"</f>
        <v>520947</v>
      </c>
      <c r="B1733" s="2" t="str">
        <f>"BALA DE GOMA"</f>
        <v>BALA DE GOMA</v>
      </c>
      <c r="C1733" s="2" t="str">
        <f t="shared" si="66"/>
        <v>UN</v>
      </c>
      <c r="D1733" s="7">
        <v>99999</v>
      </c>
      <c r="E1733" s="3">
        <v>99</v>
      </c>
      <c r="F1733" s="2">
        <v>4</v>
      </c>
      <c r="G1733" t="s">
        <v>514</v>
      </c>
    </row>
    <row r="1734" spans="1:7" x14ac:dyDescent="0.25">
      <c r="A1734" s="1" t="str">
        <f>"514754"</f>
        <v>514754</v>
      </c>
      <c r="B1734" s="2" t="str">
        <f>"BALA TOFFANO"</f>
        <v>BALA TOFFANO</v>
      </c>
      <c r="C1734" s="2" t="str">
        <f t="shared" si="66"/>
        <v>UN</v>
      </c>
      <c r="D1734" s="7">
        <v>401</v>
      </c>
      <c r="E1734" s="3">
        <v>4</v>
      </c>
      <c r="F1734" s="2">
        <v>1</v>
      </c>
      <c r="G1734" t="s">
        <v>512</v>
      </c>
    </row>
    <row r="1735" spans="1:7" x14ac:dyDescent="0.25">
      <c r="A1735" s="1" t="str">
        <f>"521477"</f>
        <v>521477</v>
      </c>
      <c r="B1735" s="2" t="str">
        <f>"BALACLAVA CLASSE II"</f>
        <v>BALACLAVA CLASSE II</v>
      </c>
      <c r="C1735" s="2" t="str">
        <f t="shared" si="66"/>
        <v>UN</v>
      </c>
      <c r="D1735" s="7">
        <v>501</v>
      </c>
      <c r="E1735" s="3">
        <v>5</v>
      </c>
      <c r="F1735" s="2">
        <v>2</v>
      </c>
      <c r="G1735" t="s">
        <v>513</v>
      </c>
    </row>
    <row r="1736" spans="1:7" x14ac:dyDescent="0.25">
      <c r="A1736" s="1" t="str">
        <f>"523301"</f>
        <v>523301</v>
      </c>
      <c r="B1736" s="2" t="str">
        <f>"BALACLAVA LÃ AZUL CA-27656"</f>
        <v>BALACLAVA LÃ AZUL CA-27656</v>
      </c>
      <c r="C1736" s="2" t="str">
        <f t="shared" ref="C1736:C1767" si="67">"UN"</f>
        <v>UN</v>
      </c>
      <c r="D1736" s="7">
        <v>501</v>
      </c>
      <c r="E1736" s="3">
        <v>5</v>
      </c>
      <c r="F1736" s="2">
        <v>7</v>
      </c>
      <c r="G1736" t="s">
        <v>514</v>
      </c>
    </row>
    <row r="1737" spans="1:7" x14ac:dyDescent="0.25">
      <c r="A1737" s="1" t="str">
        <f>"516918"</f>
        <v>516918</v>
      </c>
      <c r="B1737" s="2" t="str">
        <f>"BALANÇ DIGITAL G. TECH"</f>
        <v>BALANÇ DIGITAL G. TECH</v>
      </c>
      <c r="C1737" s="2" t="str">
        <f t="shared" si="67"/>
        <v>UN</v>
      </c>
      <c r="D1737" s="7">
        <v>817</v>
      </c>
      <c r="E1737" s="3">
        <v>4</v>
      </c>
      <c r="F1737" s="2">
        <v>9</v>
      </c>
      <c r="G1737" t="s">
        <v>514</v>
      </c>
    </row>
    <row r="1738" spans="1:7" x14ac:dyDescent="0.25">
      <c r="A1738" s="1" t="str">
        <f>"524437"</f>
        <v>524437</v>
      </c>
      <c r="B1738" s="2" t="str">
        <f>"BALANÇA"</f>
        <v>BALANÇA</v>
      </c>
      <c r="C1738" s="2" t="str">
        <f t="shared" si="67"/>
        <v>UN</v>
      </c>
      <c r="D1738" s="7">
        <v>704</v>
      </c>
      <c r="E1738" s="3">
        <v>9</v>
      </c>
      <c r="F1738" s="2">
        <v>0</v>
      </c>
      <c r="G1738" t="s">
        <v>512</v>
      </c>
    </row>
    <row r="1739" spans="1:7" x14ac:dyDescent="0.25">
      <c r="A1739" s="1" t="str">
        <f>"523162"</f>
        <v>523162</v>
      </c>
      <c r="B1739" s="2" t="str">
        <f>"BALANÇA 300KG PLAT. 50X50 INOX"</f>
        <v>BALANÇA 300KG PLAT. 50X50 INOX</v>
      </c>
      <c r="C1739" s="2" t="str">
        <f t="shared" si="67"/>
        <v>UN</v>
      </c>
      <c r="D1739" s="7">
        <v>1500</v>
      </c>
      <c r="E1739" s="3">
        <v>13</v>
      </c>
      <c r="F1739" s="2">
        <v>0</v>
      </c>
      <c r="G1739" t="s">
        <v>513</v>
      </c>
    </row>
    <row r="1740" spans="1:7" x14ac:dyDescent="0.25">
      <c r="A1740" s="1" t="str">
        <f>"525069"</f>
        <v>525069</v>
      </c>
      <c r="B1740" s="2" t="str">
        <f>"BALANÇA ANALITICA DIGITAL AD200S MARTE"</f>
        <v>BALANÇA ANALITICA DIGITAL AD200S MARTE</v>
      </c>
      <c r="C1740" s="2" t="str">
        <f t="shared" si="67"/>
        <v>UN</v>
      </c>
      <c r="D1740" s="7">
        <v>406</v>
      </c>
      <c r="E1740" s="3">
        <v>13</v>
      </c>
      <c r="F1740" s="2">
        <v>2</v>
      </c>
      <c r="G1740" t="s">
        <v>514</v>
      </c>
    </row>
    <row r="1741" spans="1:7" x14ac:dyDescent="0.25">
      <c r="A1741" s="1" t="str">
        <f>"524616"</f>
        <v>524616</v>
      </c>
      <c r="B1741" s="2" t="str">
        <f>"BALANCA ANALITICA MOD.ML204 - 220G -RES.0,0001G HX0142-00070"</f>
        <v>BALANCA ANALITICA MOD.ML204 - 220G -RES.0,0001G HX0142-00070</v>
      </c>
      <c r="C1741" s="2" t="str">
        <f t="shared" si="67"/>
        <v>UN</v>
      </c>
      <c r="D1741" s="7">
        <v>406</v>
      </c>
      <c r="E1741" s="3">
        <v>13</v>
      </c>
      <c r="F1741" s="2">
        <v>5</v>
      </c>
      <c r="G1741" t="s">
        <v>514</v>
      </c>
    </row>
    <row r="1742" spans="1:7" x14ac:dyDescent="0.25">
      <c r="A1742" s="1" t="str">
        <f>"522853"</f>
        <v>522853</v>
      </c>
      <c r="B1742" s="2" t="str">
        <f>"BALANÇA ANTROPOMÉTRICA MECÂNICA 150KG 110-CH"</f>
        <v>BALANÇA ANTROPOMÉTRICA MECÂNICA 150KG 110-CH</v>
      </c>
      <c r="C1742" s="2" t="str">
        <f t="shared" si="67"/>
        <v>UN</v>
      </c>
      <c r="D1742" s="7">
        <v>408</v>
      </c>
      <c r="E1742" s="3">
        <v>4</v>
      </c>
      <c r="F1742" s="2">
        <v>6</v>
      </c>
      <c r="G1742" t="s">
        <v>514</v>
      </c>
    </row>
    <row r="1743" spans="1:7" x14ac:dyDescent="0.25">
      <c r="A1743" s="1" t="str">
        <f>"519285"</f>
        <v>519285</v>
      </c>
      <c r="B1743" s="2" t="str">
        <f>"BALANÇA ASA DELTA CARRETA 60MM"</f>
        <v>BALANÇA ASA DELTA CARRETA 60MM</v>
      </c>
      <c r="C1743" s="2" t="str">
        <f t="shared" si="67"/>
        <v>UN</v>
      </c>
      <c r="D1743" s="7">
        <v>704</v>
      </c>
      <c r="E1743" s="3">
        <v>9</v>
      </c>
      <c r="F1743" s="2">
        <v>9</v>
      </c>
      <c r="G1743" t="s">
        <v>513</v>
      </c>
    </row>
    <row r="1744" spans="1:7" x14ac:dyDescent="0.25">
      <c r="A1744" s="1" t="str">
        <f>"501956"</f>
        <v>501956</v>
      </c>
      <c r="B1744" s="2" t="str">
        <f>"BALANÇA ASA DELTA TRUCK 50MM"</f>
        <v>BALANÇA ASA DELTA TRUCK 50MM</v>
      </c>
      <c r="C1744" s="2" t="str">
        <f t="shared" si="67"/>
        <v>UN</v>
      </c>
      <c r="D1744" s="7">
        <v>704</v>
      </c>
      <c r="E1744" s="3">
        <v>9</v>
      </c>
      <c r="F1744" s="2">
        <v>5</v>
      </c>
      <c r="G1744" t="s">
        <v>512</v>
      </c>
    </row>
    <row r="1745" spans="1:7" x14ac:dyDescent="0.25">
      <c r="A1745" s="1" t="str">
        <f>"515691"</f>
        <v>515691</v>
      </c>
      <c r="B1745" s="2" t="str">
        <f>"BALANÇA ELETRONICA MODELO 3400 2,5KGX0,5G"</f>
        <v>BALANÇA ELETRONICA MODELO 3400 2,5KGX0,5G</v>
      </c>
      <c r="C1745" s="2" t="str">
        <f t="shared" si="67"/>
        <v>UN</v>
      </c>
      <c r="D1745" s="7">
        <v>1500</v>
      </c>
      <c r="E1745" s="3">
        <v>13</v>
      </c>
      <c r="F1745" s="2">
        <v>3</v>
      </c>
      <c r="G1745" t="s">
        <v>513</v>
      </c>
    </row>
    <row r="1746" spans="1:7" x14ac:dyDescent="0.25">
      <c r="A1746" s="1" t="str">
        <f>"527607"</f>
        <v>527607</v>
      </c>
      <c r="B1746" s="2" t="str">
        <f>"BALANÇA FILIZOLA MOD ID-M150 150KG"</f>
        <v>BALANÇA FILIZOLA MOD ID-M150 150KG</v>
      </c>
      <c r="C1746" s="2" t="str">
        <f t="shared" si="67"/>
        <v>UN</v>
      </c>
      <c r="D1746" s="7">
        <v>704</v>
      </c>
      <c r="E1746" s="3">
        <v>9</v>
      </c>
      <c r="F1746" s="2">
        <v>3</v>
      </c>
      <c r="G1746" t="s">
        <v>514</v>
      </c>
    </row>
    <row r="1747" spans="1:7" x14ac:dyDescent="0.25">
      <c r="A1747" s="1" t="str">
        <f>"502851"</f>
        <v>502851</v>
      </c>
      <c r="B1747" s="2" t="str">
        <f>"BALANÇA FILIZOLA TM-100"</f>
        <v>BALANÇA FILIZOLA TM-100</v>
      </c>
      <c r="C1747" s="2" t="str">
        <f t="shared" si="67"/>
        <v>UN</v>
      </c>
      <c r="D1747" s="7">
        <v>704</v>
      </c>
      <c r="E1747" s="3">
        <v>9</v>
      </c>
      <c r="F1747" s="2">
        <v>2</v>
      </c>
      <c r="G1747" t="s">
        <v>514</v>
      </c>
    </row>
    <row r="1748" spans="1:7" x14ac:dyDescent="0.25">
      <c r="A1748" s="1" t="str">
        <f>"515315"</f>
        <v>515315</v>
      </c>
      <c r="B1748" s="2" t="str">
        <f>"BALANCA MICHETE MQ 300 H 300 KG"</f>
        <v>BALANCA MICHETE MQ 300 H 300 KG</v>
      </c>
      <c r="C1748" s="2" t="str">
        <f t="shared" si="67"/>
        <v>UN</v>
      </c>
      <c r="D1748" s="7">
        <v>1500</v>
      </c>
      <c r="E1748" s="3">
        <v>13</v>
      </c>
      <c r="F1748" s="2">
        <v>1</v>
      </c>
      <c r="G1748" t="s">
        <v>514</v>
      </c>
    </row>
    <row r="1749" spans="1:7" x14ac:dyDescent="0.25">
      <c r="A1749" s="1" t="str">
        <f>"511661"</f>
        <v>511661</v>
      </c>
      <c r="B1749" s="2" t="str">
        <f>"BALANÇA NOMA SEMI-REBOQUE"</f>
        <v>BALANÇA NOMA SEMI-REBOQUE</v>
      </c>
      <c r="C1749" s="2" t="str">
        <f t="shared" si="67"/>
        <v>UN</v>
      </c>
      <c r="D1749" s="7">
        <v>99999</v>
      </c>
      <c r="E1749" s="3">
        <v>99</v>
      </c>
      <c r="F1749" s="2">
        <v>4</v>
      </c>
      <c r="G1749" t="s">
        <v>513</v>
      </c>
    </row>
    <row r="1750" spans="1:7" x14ac:dyDescent="0.25">
      <c r="A1750" s="1" t="str">
        <f>"521316"</f>
        <v>521316</v>
      </c>
      <c r="B1750" s="2" t="str">
        <f>"BALANÇA OHAUS PIONEER PA413P 410GR X 0,001GR 120MM 110/220V"</f>
        <v>BALANÇA OHAUS PIONEER PA413P 410GR X 0,001GR 120MM 110/220V</v>
      </c>
      <c r="C1750" s="2" t="str">
        <f t="shared" si="67"/>
        <v>UN</v>
      </c>
      <c r="D1750" s="7">
        <v>1300</v>
      </c>
      <c r="E1750" s="3">
        <v>13</v>
      </c>
      <c r="F1750" s="2">
        <v>6</v>
      </c>
      <c r="G1750" t="s">
        <v>513</v>
      </c>
    </row>
    <row r="1751" spans="1:7" x14ac:dyDescent="0.25">
      <c r="A1751" s="1" t="str">
        <f>"521317"</f>
        <v>521317</v>
      </c>
      <c r="B1751" s="2" t="str">
        <f>"BALANÇA OHAUS PIONEER PA512P 510GR X 0,01GR 180MM 110/220V"</f>
        <v>BALANÇA OHAUS PIONEER PA512P 510GR X 0,01GR 180MM 110/220V</v>
      </c>
      <c r="C1751" s="2" t="str">
        <f t="shared" si="67"/>
        <v>UN</v>
      </c>
      <c r="D1751" s="7">
        <v>1300</v>
      </c>
      <c r="E1751" s="3">
        <v>13</v>
      </c>
      <c r="F1751" s="2">
        <v>8</v>
      </c>
      <c r="G1751" t="s">
        <v>513</v>
      </c>
    </row>
    <row r="1752" spans="1:7" x14ac:dyDescent="0.25">
      <c r="A1752" s="1" t="str">
        <f>"517217"</f>
        <v>517217</v>
      </c>
      <c r="B1752" s="2" t="str">
        <f>"BALANÇA ROD. MOD. SOBRE PISO 21,00 X 3,20MT"</f>
        <v>BALANÇA ROD. MOD. SOBRE PISO 21,00 X 3,20MT</v>
      </c>
      <c r="C1752" s="2" t="str">
        <f t="shared" si="67"/>
        <v>UN</v>
      </c>
      <c r="D1752" s="7">
        <v>1300</v>
      </c>
      <c r="E1752" s="3">
        <v>13</v>
      </c>
      <c r="F1752" s="2">
        <v>7</v>
      </c>
      <c r="G1752" t="s">
        <v>512</v>
      </c>
    </row>
    <row r="1753" spans="1:7" x14ac:dyDescent="0.25">
      <c r="A1753" s="1" t="str">
        <f>"517416"</f>
        <v>517416</v>
      </c>
      <c r="B1753" s="2" t="str">
        <f>"BALANÇA ROD. MOD. SOBRE PISO 21,00 X3,20 IND. ELET. BC 3 TON"</f>
        <v>BALANÇA ROD. MOD. SOBRE PISO 21,00 X3,20 IND. ELET. BC 3 TON</v>
      </c>
      <c r="C1753" s="2" t="str">
        <f t="shared" si="67"/>
        <v>UN</v>
      </c>
      <c r="D1753" s="7">
        <v>1300</v>
      </c>
      <c r="E1753" s="3">
        <v>13</v>
      </c>
      <c r="F1753" s="2">
        <v>6</v>
      </c>
      <c r="G1753" t="s">
        <v>513</v>
      </c>
    </row>
    <row r="1754" spans="1:7" x14ac:dyDescent="0.25">
      <c r="A1754" s="1" t="str">
        <f>"505669"</f>
        <v>505669</v>
      </c>
      <c r="B1754" s="2" t="str">
        <f>"BALANCA RODOVIARIA TRUCK 88"</f>
        <v>BALANCA RODOVIARIA TRUCK 88</v>
      </c>
      <c r="C1754" s="2" t="str">
        <f t="shared" si="67"/>
        <v>UN</v>
      </c>
      <c r="D1754" s="7">
        <v>704</v>
      </c>
      <c r="E1754" s="3">
        <v>9</v>
      </c>
      <c r="F1754" s="2">
        <v>6</v>
      </c>
      <c r="G1754" t="s">
        <v>514</v>
      </c>
    </row>
    <row r="1755" spans="1:7" x14ac:dyDescent="0.25">
      <c r="A1755" s="1" t="str">
        <f>"517576"</f>
        <v>517576</v>
      </c>
      <c r="B1755" s="2" t="str">
        <f>"BALANÇA TES+10ET"</f>
        <v>BALANÇA TES+10ET</v>
      </c>
      <c r="C1755" s="2" t="str">
        <f t="shared" si="67"/>
        <v>UN</v>
      </c>
      <c r="D1755" s="7">
        <v>918</v>
      </c>
      <c r="E1755" s="3">
        <v>11</v>
      </c>
      <c r="F1755" s="2">
        <v>2</v>
      </c>
      <c r="G1755" t="s">
        <v>515</v>
      </c>
    </row>
    <row r="1756" spans="1:7" x14ac:dyDescent="0.25">
      <c r="A1756" s="1" t="str">
        <f>"517402"</f>
        <v>517402</v>
      </c>
      <c r="B1756" s="2" t="str">
        <f>"BALANÇA TOLEDO  2180 2500KGX500GR SERIE 10867275"</f>
        <v>BALANÇA TOLEDO  2180 2500KGX500GR SERIE 10867275</v>
      </c>
      <c r="C1756" s="2" t="str">
        <f t="shared" si="67"/>
        <v>UN</v>
      </c>
      <c r="D1756" s="7">
        <v>1300</v>
      </c>
      <c r="E1756" s="3">
        <v>13</v>
      </c>
      <c r="F1756" s="2">
        <v>1</v>
      </c>
      <c r="G1756" t="s">
        <v>512</v>
      </c>
    </row>
    <row r="1757" spans="1:7" x14ac:dyDescent="0.25">
      <c r="A1757" s="1" t="str">
        <f>"510198"</f>
        <v>510198</v>
      </c>
      <c r="B1757" s="2" t="str">
        <f>"BALANÇA TOLEDO 0 A 50KG  10/10 GRAMAS"</f>
        <v>BALANÇA TOLEDO 0 A 50KG  10/10 GRAMAS</v>
      </c>
      <c r="C1757" s="2" t="str">
        <f t="shared" si="67"/>
        <v>UN</v>
      </c>
      <c r="D1757" s="7">
        <v>402</v>
      </c>
      <c r="E1757" s="3">
        <v>4</v>
      </c>
      <c r="F1757" s="2">
        <v>0</v>
      </c>
      <c r="G1757" t="s">
        <v>516</v>
      </c>
    </row>
    <row r="1758" spans="1:7" x14ac:dyDescent="0.25">
      <c r="A1758" s="1" t="str">
        <f>"515314"</f>
        <v>515314</v>
      </c>
      <c r="B1758" s="2" t="str">
        <f>"BALANCA TOLEDO 15KG MP"</f>
        <v>BALANCA TOLEDO 15KG MP</v>
      </c>
      <c r="C1758" s="2" t="str">
        <f t="shared" si="67"/>
        <v>UN</v>
      </c>
      <c r="D1758" s="7">
        <v>1500</v>
      </c>
      <c r="E1758" s="3">
        <v>13</v>
      </c>
      <c r="F1758" s="2">
        <v>0</v>
      </c>
      <c r="G1758" t="s">
        <v>515</v>
      </c>
    </row>
    <row r="1759" spans="1:7" x14ac:dyDescent="0.25">
      <c r="A1759" s="1" t="str">
        <f>"510371"</f>
        <v>510371</v>
      </c>
      <c r="B1759" s="2" t="str">
        <f>"BALANCA TOLEDO 2090 062 50KG X 10GR"</f>
        <v>BALANCA TOLEDO 2090 062 50KG X 10GR</v>
      </c>
      <c r="C1759" s="2" t="str">
        <f t="shared" si="67"/>
        <v>UN</v>
      </c>
      <c r="D1759" s="7">
        <v>1200</v>
      </c>
      <c r="E1759" s="3">
        <v>13</v>
      </c>
      <c r="F1759" s="2">
        <v>0</v>
      </c>
      <c r="G1759" t="s">
        <v>514</v>
      </c>
    </row>
    <row r="1760" spans="1:7" x14ac:dyDescent="0.25">
      <c r="A1760" s="1" t="str">
        <f>"520816"</f>
        <v>520816</v>
      </c>
      <c r="B1760" s="2" t="str">
        <f>"BALANÇA TOLEDO 2090 100KG X 10GR 50X50CM INOX"</f>
        <v>BALANÇA TOLEDO 2090 100KG X 10GR 50X50CM INOX</v>
      </c>
      <c r="C1760" s="2" t="str">
        <f t="shared" si="67"/>
        <v>UN</v>
      </c>
      <c r="D1760" s="7">
        <v>1200</v>
      </c>
      <c r="E1760" s="3">
        <v>13</v>
      </c>
      <c r="F1760" s="2">
        <v>3</v>
      </c>
      <c r="G1760" t="s">
        <v>512</v>
      </c>
    </row>
    <row r="1761" spans="1:7" x14ac:dyDescent="0.25">
      <c r="A1761" s="1" t="str">
        <f>"511462"</f>
        <v>511462</v>
      </c>
      <c r="B1761" s="2" t="str">
        <f>"BALANÇA TOLEDO 2090 100KG X 200GR"</f>
        <v>BALANÇA TOLEDO 2090 100KG X 200GR</v>
      </c>
      <c r="C1761" s="2" t="str">
        <f t="shared" si="67"/>
        <v>UN</v>
      </c>
      <c r="D1761" s="7">
        <v>1200</v>
      </c>
      <c r="E1761" s="3">
        <v>13</v>
      </c>
      <c r="F1761" s="5">
        <v>5</v>
      </c>
      <c r="G1761" t="s">
        <v>513</v>
      </c>
    </row>
    <row r="1762" spans="1:7" x14ac:dyDescent="0.25">
      <c r="A1762" s="1" t="str">
        <f>"508868"</f>
        <v>508868</v>
      </c>
      <c r="B1762" s="2" t="str">
        <f>"BALANÇA TOLEDO 2090 INOX 150KG 220V"</f>
        <v>BALANÇA TOLEDO 2090 INOX 150KG 220V</v>
      </c>
      <c r="C1762" s="2" t="str">
        <f t="shared" si="67"/>
        <v>UN</v>
      </c>
      <c r="D1762" s="7">
        <v>402</v>
      </c>
      <c r="E1762" s="3">
        <v>4</v>
      </c>
      <c r="F1762" s="2">
        <v>3</v>
      </c>
      <c r="G1762" t="s">
        <v>514</v>
      </c>
    </row>
    <row r="1763" spans="1:7" x14ac:dyDescent="0.25">
      <c r="A1763" s="1" t="str">
        <f>"518700"</f>
        <v>518700</v>
      </c>
      <c r="B1763" s="2" t="str">
        <f>"BALANCA TOLEDO 2090NI40504IC5 50KG X 5GR"</f>
        <v>BALANCA TOLEDO 2090NI40504IC5 50KG X 5GR</v>
      </c>
      <c r="C1763" s="2" t="str">
        <f t="shared" si="67"/>
        <v>UN</v>
      </c>
      <c r="D1763" s="7">
        <v>1200</v>
      </c>
      <c r="E1763" s="3">
        <v>13</v>
      </c>
      <c r="F1763" s="2">
        <v>8</v>
      </c>
      <c r="G1763" t="s">
        <v>514</v>
      </c>
    </row>
    <row r="1764" spans="1:7" x14ac:dyDescent="0.25">
      <c r="A1764" s="1" t="str">
        <f>"509171"</f>
        <v>509171</v>
      </c>
      <c r="B1764" s="2" t="str">
        <f>"BALANCA TOLEDO 2095 6KGX1G 275X225MM"</f>
        <v>BALANCA TOLEDO 2095 6KGX1G 275X225MM</v>
      </c>
      <c r="C1764" s="2" t="str">
        <f t="shared" si="67"/>
        <v>UN</v>
      </c>
      <c r="D1764" s="7">
        <v>1200</v>
      </c>
      <c r="E1764" s="3">
        <v>13</v>
      </c>
      <c r="F1764" s="2">
        <v>6</v>
      </c>
      <c r="G1764" t="s">
        <v>512</v>
      </c>
    </row>
    <row r="1765" spans="1:7" x14ac:dyDescent="0.25">
      <c r="A1765" s="1" t="str">
        <f>"510369"</f>
        <v>510369</v>
      </c>
      <c r="B1765" s="2" t="str">
        <f>"BALANCA TOLEDO 2096 H001 5KG X 1GR"</f>
        <v>BALANCA TOLEDO 2096 H001 5KG X 1GR</v>
      </c>
      <c r="C1765" s="2" t="str">
        <f t="shared" si="67"/>
        <v>UN</v>
      </c>
      <c r="D1765" s="7">
        <v>1200</v>
      </c>
      <c r="E1765" s="3">
        <v>13</v>
      </c>
      <c r="F1765" s="2">
        <v>4</v>
      </c>
      <c r="G1765" t="s">
        <v>513</v>
      </c>
    </row>
    <row r="1766" spans="1:7" x14ac:dyDescent="0.25">
      <c r="A1766" s="1" t="str">
        <f>"517355"</f>
        <v>517355</v>
      </c>
      <c r="B1766" s="2" t="str">
        <f>"BALANÇA TOLEDO 2180 2500KG X 500GR SERIE 10867275"</f>
        <v>BALANÇA TOLEDO 2180 2500KG X 500GR SERIE 10867275</v>
      </c>
      <c r="C1766" s="2" t="str">
        <f t="shared" si="67"/>
        <v>UN</v>
      </c>
      <c r="D1766" s="7">
        <v>1500</v>
      </c>
      <c r="E1766" s="3">
        <v>13</v>
      </c>
      <c r="F1766" s="2">
        <v>1</v>
      </c>
      <c r="G1766" t="s">
        <v>514</v>
      </c>
    </row>
    <row r="1767" spans="1:7" x14ac:dyDescent="0.25">
      <c r="A1767" s="1" t="str">
        <f>"510370"</f>
        <v>510370</v>
      </c>
      <c r="B1767" s="2" t="str">
        <f>"BALANCA TOLEDO 300 10KG X 1GR 40X40 INOX"</f>
        <v>BALANCA TOLEDO 300 10KG X 1GR 40X40 INOX</v>
      </c>
      <c r="C1767" s="2" t="str">
        <f t="shared" si="67"/>
        <v>UN</v>
      </c>
      <c r="D1767" s="7">
        <v>1200</v>
      </c>
      <c r="E1767" s="3">
        <v>13</v>
      </c>
      <c r="F1767" s="2">
        <v>2</v>
      </c>
      <c r="G1767" t="s">
        <v>514</v>
      </c>
    </row>
    <row r="1768" spans="1:7" x14ac:dyDescent="0.25">
      <c r="A1768" s="1" t="str">
        <f>"501019"</f>
        <v>501019</v>
      </c>
      <c r="B1768" s="2" t="str">
        <f>"BALANÇA TOLEDO 60KG ESCALA 100GR"</f>
        <v>BALANÇA TOLEDO 60KG ESCALA 100GR</v>
      </c>
      <c r="C1768" s="2" t="str">
        <f t="shared" ref="C1768:C1781" si="68">"UN"</f>
        <v>UN</v>
      </c>
      <c r="D1768" s="7">
        <v>1500</v>
      </c>
      <c r="E1768" s="3">
        <v>13</v>
      </c>
      <c r="F1768" s="2">
        <v>7</v>
      </c>
      <c r="G1768" t="s">
        <v>514</v>
      </c>
    </row>
    <row r="1769" spans="1:7" x14ac:dyDescent="0.25">
      <c r="A1769" s="1" t="str">
        <f>"516565"</f>
        <v>516565</v>
      </c>
      <c r="B1769" s="2" t="str">
        <f>"BALANÇA TOLEDO 75KG X 10GR"</f>
        <v>BALANÇA TOLEDO 75KG X 10GR</v>
      </c>
      <c r="C1769" s="2" t="str">
        <f t="shared" si="68"/>
        <v>UN</v>
      </c>
      <c r="D1769" s="7">
        <v>1500</v>
      </c>
      <c r="E1769" s="3">
        <v>13</v>
      </c>
      <c r="F1769" s="2">
        <v>9</v>
      </c>
      <c r="G1769" t="s">
        <v>513</v>
      </c>
    </row>
    <row r="1770" spans="1:7" x14ac:dyDescent="0.25">
      <c r="A1770" s="1" t="str">
        <f>"516564"</f>
        <v>516564</v>
      </c>
      <c r="B1770" s="2" t="str">
        <f>"BALANÇA TOLEDO 75KG X 1GR"</f>
        <v>BALANÇA TOLEDO 75KG X 1GR</v>
      </c>
      <c r="C1770" s="2" t="str">
        <f t="shared" si="68"/>
        <v>UN</v>
      </c>
      <c r="D1770" s="7">
        <v>1500</v>
      </c>
      <c r="E1770" s="3">
        <v>13</v>
      </c>
      <c r="F1770" s="2">
        <v>0</v>
      </c>
      <c r="G1770" t="s">
        <v>512</v>
      </c>
    </row>
    <row r="1771" spans="1:7" x14ac:dyDescent="0.25">
      <c r="A1771" s="1" t="str">
        <f>"508938"</f>
        <v>508938</v>
      </c>
      <c r="B1771" s="2" t="str">
        <f>"BALANÇA TOLEDO 9094 6KG X 1GR"</f>
        <v>BALANÇA TOLEDO 9094 6KG X 1GR</v>
      </c>
      <c r="C1771" s="2" t="str">
        <f t="shared" si="68"/>
        <v>UN</v>
      </c>
      <c r="D1771" s="7">
        <v>402</v>
      </c>
      <c r="E1771" s="3">
        <v>4</v>
      </c>
      <c r="F1771" s="2">
        <v>0</v>
      </c>
      <c r="G1771" t="s">
        <v>513</v>
      </c>
    </row>
    <row r="1772" spans="1:7" x14ac:dyDescent="0.25">
      <c r="A1772" s="1" t="str">
        <f>"516959"</f>
        <v>516959</v>
      </c>
      <c r="B1772" s="2" t="str">
        <f>"BALANÇA TOLEDO INOX 1KG X 1GR 220V"</f>
        <v>BALANÇA TOLEDO INOX 1KG X 1GR 220V</v>
      </c>
      <c r="C1772" s="2" t="str">
        <f t="shared" si="68"/>
        <v>UN</v>
      </c>
      <c r="D1772" s="7">
        <v>900</v>
      </c>
      <c r="E1772" s="3">
        <v>13</v>
      </c>
      <c r="F1772" s="2">
        <v>2</v>
      </c>
      <c r="G1772" t="s">
        <v>514</v>
      </c>
    </row>
    <row r="1773" spans="1:7" x14ac:dyDescent="0.25">
      <c r="A1773" s="1" t="str">
        <f>"527606"</f>
        <v>527606</v>
      </c>
      <c r="B1773" s="2" t="str">
        <f>"BALANÇA TOLEDO MOD 2090 25KG"</f>
        <v>BALANÇA TOLEDO MOD 2090 25KG</v>
      </c>
      <c r="C1773" s="2" t="str">
        <f t="shared" si="68"/>
        <v>UN</v>
      </c>
      <c r="D1773" s="7">
        <v>1200</v>
      </c>
      <c r="E1773" s="3">
        <v>13</v>
      </c>
      <c r="F1773" s="2">
        <v>5</v>
      </c>
      <c r="G1773" t="s">
        <v>514</v>
      </c>
    </row>
    <row r="1774" spans="1:7" x14ac:dyDescent="0.25">
      <c r="A1774" s="1" t="str">
        <f>"527608"</f>
        <v>527608</v>
      </c>
      <c r="B1774" s="2" t="str">
        <f>"BALANÇA TOLEDO MOD AD200  210GR"</f>
        <v>BALANÇA TOLEDO MOD AD200  210GR</v>
      </c>
      <c r="C1774" s="2" t="str">
        <f t="shared" si="68"/>
        <v>UN</v>
      </c>
      <c r="D1774" s="7">
        <v>1300</v>
      </c>
      <c r="E1774" s="3">
        <v>13</v>
      </c>
      <c r="F1774" s="2">
        <v>6</v>
      </c>
      <c r="G1774" t="s">
        <v>514</v>
      </c>
    </row>
    <row r="1775" spans="1:7" x14ac:dyDescent="0.25">
      <c r="A1775" s="1" t="str">
        <f>"516235"</f>
        <v>516235</v>
      </c>
      <c r="B1775" s="2" t="str">
        <f>"BALANÇA TOLEDO MOD. BL14 3KG"</f>
        <v>BALANÇA TOLEDO MOD. BL14 3KG</v>
      </c>
      <c r="C1775" s="2" t="str">
        <f t="shared" si="68"/>
        <v>UN</v>
      </c>
      <c r="D1775" s="7">
        <v>900</v>
      </c>
      <c r="E1775" s="3">
        <v>13</v>
      </c>
      <c r="F1775" s="2">
        <v>9</v>
      </c>
      <c r="G1775" t="s">
        <v>513</v>
      </c>
    </row>
    <row r="1776" spans="1:7" x14ac:dyDescent="0.25">
      <c r="A1776" s="1" t="str">
        <f>"505326"</f>
        <v>505326</v>
      </c>
      <c r="B1776" s="2" t="str">
        <f>"BALANCA TRUCK FACCHINI RETA"</f>
        <v>BALANCA TRUCK FACCHINI RETA</v>
      </c>
      <c r="C1776" s="2" t="str">
        <f t="shared" si="68"/>
        <v>UN</v>
      </c>
      <c r="D1776" s="7">
        <v>704</v>
      </c>
      <c r="E1776" s="3">
        <v>9</v>
      </c>
      <c r="F1776" s="2">
        <v>5</v>
      </c>
      <c r="G1776" t="s">
        <v>513</v>
      </c>
    </row>
    <row r="1777" spans="1:7" x14ac:dyDescent="0.25">
      <c r="A1777" s="1" t="str">
        <f>"514021"</f>
        <v>514021</v>
      </c>
      <c r="B1777" s="2" t="str">
        <f>"BALANCEAMENTO RODA"</f>
        <v>BALANCEAMENTO RODA</v>
      </c>
      <c r="C1777" s="2" t="str">
        <f t="shared" si="68"/>
        <v>UN</v>
      </c>
      <c r="D1777" s="7">
        <v>704</v>
      </c>
      <c r="E1777" s="3">
        <v>9</v>
      </c>
      <c r="F1777" s="2">
        <v>3</v>
      </c>
      <c r="G1777" t="s">
        <v>513</v>
      </c>
    </row>
    <row r="1778" spans="1:7" x14ac:dyDescent="0.25">
      <c r="A1778" s="1" t="str">
        <f>"515572"</f>
        <v>515572</v>
      </c>
      <c r="B1778" s="2" t="str">
        <f>"BALANCERO"</f>
        <v>BALANCERO</v>
      </c>
      <c r="C1778" s="2" t="str">
        <f t="shared" si="68"/>
        <v>UN</v>
      </c>
      <c r="D1778" s="7">
        <v>704</v>
      </c>
      <c r="E1778" s="3">
        <v>9</v>
      </c>
      <c r="F1778" s="2">
        <v>3</v>
      </c>
      <c r="G1778" t="s">
        <v>512</v>
      </c>
    </row>
    <row r="1779" spans="1:7" x14ac:dyDescent="0.25">
      <c r="A1779" s="1" t="str">
        <f>"506185"</f>
        <v>506185</v>
      </c>
      <c r="B1779" s="2" t="str">
        <f>"BALANCIM"</f>
        <v>BALANCIM</v>
      </c>
      <c r="C1779" s="2" t="str">
        <f t="shared" si="68"/>
        <v>UN</v>
      </c>
      <c r="D1779" s="7">
        <v>704</v>
      </c>
      <c r="E1779" s="3">
        <v>9</v>
      </c>
      <c r="F1779" s="2">
        <v>2</v>
      </c>
      <c r="G1779" t="s">
        <v>513</v>
      </c>
    </row>
    <row r="1780" spans="1:7" x14ac:dyDescent="0.25">
      <c r="A1780" s="1" t="str">
        <f>"515788"</f>
        <v>515788</v>
      </c>
      <c r="B1780" s="2" t="str">
        <f>"BALANCIM P/ GRAMPO C COMPLETO"</f>
        <v>BALANCIM P/ GRAMPO C COMPLETO</v>
      </c>
      <c r="C1780" s="2" t="str">
        <f t="shared" si="68"/>
        <v>UN</v>
      </c>
      <c r="D1780" s="7">
        <v>99999</v>
      </c>
      <c r="E1780" s="3">
        <v>99</v>
      </c>
      <c r="F1780" s="2">
        <v>1</v>
      </c>
      <c r="G1780" t="s">
        <v>514</v>
      </c>
    </row>
    <row r="1781" spans="1:7" x14ac:dyDescent="0.25">
      <c r="A1781" s="1" t="str">
        <f>"525097"</f>
        <v>525097</v>
      </c>
      <c r="B1781" s="2" t="str">
        <f>"BALANCIN"</f>
        <v>BALANCIN</v>
      </c>
      <c r="C1781" s="2" t="str">
        <f t="shared" si="68"/>
        <v>UN</v>
      </c>
      <c r="D1781" s="7">
        <v>704</v>
      </c>
      <c r="E1781" s="3">
        <v>9</v>
      </c>
      <c r="F1781" s="2">
        <v>4</v>
      </c>
      <c r="G1781" t="s">
        <v>515</v>
      </c>
    </row>
    <row r="1782" spans="1:7" x14ac:dyDescent="0.25">
      <c r="A1782" s="1" t="str">
        <f>"523223"</f>
        <v>523223</v>
      </c>
      <c r="B1782" s="2" t="str">
        <f>"BALANCIN P/ GRAMPO ""C"" #12 INOX"</f>
        <v>BALANCIN P/ GRAMPO "C" #12 INOX</v>
      </c>
      <c r="C1782" s="2" t="str">
        <f>"PC"</f>
        <v>PC</v>
      </c>
      <c r="D1782" s="7">
        <v>806</v>
      </c>
      <c r="E1782" s="3">
        <v>10</v>
      </c>
      <c r="F1782" s="2">
        <v>1</v>
      </c>
      <c r="G1782" t="s">
        <v>512</v>
      </c>
    </row>
    <row r="1783" spans="1:7" x14ac:dyDescent="0.25">
      <c r="A1783" s="1" t="str">
        <f>"526328"</f>
        <v>526328</v>
      </c>
      <c r="B1783" s="2" t="str">
        <f>"BALÃO CORES DIVERSAS"</f>
        <v>BALÃO CORES DIVERSAS</v>
      </c>
      <c r="C1783" s="2" t="str">
        <f>"UN"</f>
        <v>UN</v>
      </c>
      <c r="D1783" s="7">
        <v>918</v>
      </c>
      <c r="E1783" s="3">
        <v>4</v>
      </c>
      <c r="F1783" s="2">
        <v>2</v>
      </c>
      <c r="G1783" t="s">
        <v>516</v>
      </c>
    </row>
    <row r="1784" spans="1:7" x14ac:dyDescent="0.25">
      <c r="A1784" s="1" t="str">
        <f>"517030"</f>
        <v>517030</v>
      </c>
      <c r="B1784" s="2" t="str">
        <f>"BALÃO SÃO ROQUE IMPERIAL 50UN. CORES DIVERSAS"</f>
        <v>BALÃO SÃO ROQUE IMPERIAL 50UN. CORES DIVERSAS</v>
      </c>
      <c r="C1784" s="2" t="str">
        <f>"UN"</f>
        <v>UN</v>
      </c>
      <c r="D1784" s="7">
        <v>918</v>
      </c>
      <c r="E1784" s="3">
        <v>4</v>
      </c>
      <c r="F1784" s="2">
        <v>7</v>
      </c>
      <c r="G1784" t="s">
        <v>515</v>
      </c>
    </row>
    <row r="1785" spans="1:7" x14ac:dyDescent="0.25">
      <c r="A1785" s="1" t="str">
        <f>"519430"</f>
        <v>519430</v>
      </c>
      <c r="B1785" s="2" t="str">
        <f>"BALAO VOLUMETRICO C/ ROLHA 1000ML CALIBRADO"</f>
        <v>BALAO VOLUMETRICO C/ ROLHA 1000ML CALIBRADO</v>
      </c>
      <c r="C1785" s="2" t="str">
        <f>"PC"</f>
        <v>PC</v>
      </c>
      <c r="D1785" s="7">
        <v>406</v>
      </c>
      <c r="E1785" s="3">
        <v>4</v>
      </c>
      <c r="F1785" s="2">
        <v>9</v>
      </c>
      <c r="G1785" t="s">
        <v>514</v>
      </c>
    </row>
    <row r="1786" spans="1:7" x14ac:dyDescent="0.25">
      <c r="A1786" s="1" t="str">
        <f>"6125"</f>
        <v>6125</v>
      </c>
      <c r="B1786" s="2" t="str">
        <f>"BALAO VOLUMETRICO C/ ROLHA 100ML CERTIF"</f>
        <v>BALAO VOLUMETRICO C/ ROLHA 100ML CERTIF</v>
      </c>
      <c r="C1786" s="2" t="str">
        <f>"PC"</f>
        <v>PC</v>
      </c>
      <c r="D1786" s="7">
        <v>406</v>
      </c>
      <c r="E1786" s="3">
        <v>4</v>
      </c>
      <c r="F1786" s="2">
        <v>0</v>
      </c>
      <c r="G1786" t="s">
        <v>512</v>
      </c>
    </row>
    <row r="1787" spans="1:7" x14ac:dyDescent="0.25">
      <c r="A1787" s="1" t="str">
        <f>"523853"</f>
        <v>523853</v>
      </c>
      <c r="B1787" s="2" t="str">
        <f>"BALAO VOLUMETRICO ROLHA VIDRO 100ML C/ CERT. HX0004-01530"</f>
        <v>BALAO VOLUMETRICO ROLHA VIDRO 100ML C/ CERT. HX0004-01530</v>
      </c>
      <c r="C1787" s="2" t="str">
        <f t="shared" ref="C1787:C1818" si="69">"UN"</f>
        <v>UN</v>
      </c>
      <c r="D1787" s="7">
        <v>99999</v>
      </c>
      <c r="E1787" s="3">
        <v>99</v>
      </c>
      <c r="F1787" s="2">
        <v>0</v>
      </c>
      <c r="G1787" t="s">
        <v>513</v>
      </c>
    </row>
    <row r="1788" spans="1:7" x14ac:dyDescent="0.25">
      <c r="A1788" s="1" t="str">
        <f>"510600"</f>
        <v>510600</v>
      </c>
      <c r="B1788" s="2" t="str">
        <f>"BALAS MASTIGAVEIS"</f>
        <v>BALAS MASTIGAVEIS</v>
      </c>
      <c r="C1788" s="2" t="str">
        <f t="shared" si="69"/>
        <v>UN</v>
      </c>
      <c r="D1788" s="7">
        <v>401</v>
      </c>
      <c r="E1788" s="3">
        <v>4</v>
      </c>
      <c r="F1788" s="2">
        <v>4</v>
      </c>
      <c r="G1788" t="s">
        <v>514</v>
      </c>
    </row>
    <row r="1789" spans="1:7" x14ac:dyDescent="0.25">
      <c r="A1789" s="1" t="str">
        <f>"525395"</f>
        <v>525395</v>
      </c>
      <c r="B1789" s="2" t="str">
        <f>"BALCAO 155 X 60"</f>
        <v>BALCAO 155 X 60</v>
      </c>
      <c r="C1789" s="2" t="str">
        <f t="shared" si="69"/>
        <v>UN</v>
      </c>
      <c r="D1789" s="7">
        <v>99999</v>
      </c>
      <c r="E1789" s="3">
        <v>99</v>
      </c>
      <c r="F1789" s="2">
        <v>1</v>
      </c>
      <c r="G1789" t="s">
        <v>514</v>
      </c>
    </row>
    <row r="1790" spans="1:7" x14ac:dyDescent="0.25">
      <c r="A1790" s="1" t="str">
        <f>"525396"</f>
        <v>525396</v>
      </c>
      <c r="B1790" s="2" t="str">
        <f>"BALCAO 250 X 60"</f>
        <v>BALCAO 250 X 60</v>
      </c>
      <c r="C1790" s="2" t="str">
        <f t="shared" si="69"/>
        <v>UN</v>
      </c>
      <c r="D1790" s="7">
        <v>99999</v>
      </c>
      <c r="E1790" s="3">
        <v>99</v>
      </c>
      <c r="F1790" s="2">
        <v>2</v>
      </c>
      <c r="G1790" t="s">
        <v>512</v>
      </c>
    </row>
    <row r="1791" spans="1:7" x14ac:dyDescent="0.25">
      <c r="A1791" s="1" t="str">
        <f>"524877"</f>
        <v>524877</v>
      </c>
      <c r="B1791" s="2" t="str">
        <f>"BALCÃO DEGUSTAÇÃO PAPELÃO OFF SET 400X730X900MM"</f>
        <v>BALCÃO DEGUSTAÇÃO PAPELÃO OFF SET 400X730X900MM</v>
      </c>
      <c r="C1791" s="2" t="str">
        <f t="shared" si="69"/>
        <v>UN</v>
      </c>
      <c r="D1791" s="7">
        <v>401</v>
      </c>
      <c r="E1791" s="3">
        <v>4</v>
      </c>
      <c r="F1791" s="2">
        <v>7</v>
      </c>
      <c r="G1791" t="s">
        <v>513</v>
      </c>
    </row>
    <row r="1792" spans="1:7" x14ac:dyDescent="0.25">
      <c r="A1792" s="1" t="str">
        <f>"514143"</f>
        <v>514143</v>
      </c>
      <c r="B1792" s="2" t="str">
        <f>"BALCAO EM MDF"</f>
        <v>BALCAO EM MDF</v>
      </c>
      <c r="C1792" s="2" t="str">
        <f t="shared" si="69"/>
        <v>UN</v>
      </c>
      <c r="D1792" s="7">
        <v>99999</v>
      </c>
      <c r="E1792" s="3">
        <v>99</v>
      </c>
      <c r="F1792" s="2">
        <v>9</v>
      </c>
      <c r="G1792" t="s">
        <v>514</v>
      </c>
    </row>
    <row r="1793" spans="1:7" x14ac:dyDescent="0.25">
      <c r="A1793" s="1" t="str">
        <f>"516604"</f>
        <v>516604</v>
      </c>
      <c r="B1793" s="2" t="str">
        <f>"BALCAO EVIDENCE PADRAO (DEGUSTACAO)"</f>
        <v>BALCAO EVIDENCE PADRAO (DEGUSTACAO)</v>
      </c>
      <c r="C1793" s="2" t="str">
        <f t="shared" si="69"/>
        <v>UN</v>
      </c>
      <c r="D1793" s="7">
        <v>401</v>
      </c>
      <c r="E1793" s="3">
        <v>4</v>
      </c>
      <c r="G1793" t="s">
        <v>514</v>
      </c>
    </row>
    <row r="1794" spans="1:7" x14ac:dyDescent="0.25">
      <c r="A1794" s="1" t="str">
        <f>"522117"</f>
        <v>522117</v>
      </c>
      <c r="B1794" s="2" t="str">
        <f>"BALCÃO PERSONALIZADO VINIL ADESIVO"</f>
        <v>BALCÃO PERSONALIZADO VINIL ADESIVO</v>
      </c>
      <c r="C1794" s="2" t="str">
        <f t="shared" si="69"/>
        <v>UN</v>
      </c>
      <c r="D1794" s="7">
        <v>99999</v>
      </c>
      <c r="E1794" s="3">
        <v>99</v>
      </c>
      <c r="G1794" t="s">
        <v>514</v>
      </c>
    </row>
    <row r="1795" spans="1:7" x14ac:dyDescent="0.25">
      <c r="A1795" s="1" t="str">
        <f>"521778"</f>
        <v>521778</v>
      </c>
      <c r="B1795" s="2" t="str">
        <f>"BALDE (COR AMARELO CÓD. 80101)"</f>
        <v>BALDE (COR AMARELO CÓD. 80101)</v>
      </c>
      <c r="C1795" s="2" t="str">
        <f t="shared" si="69"/>
        <v>UN</v>
      </c>
      <c r="D1795" s="7">
        <v>400</v>
      </c>
      <c r="E1795" s="3">
        <v>4</v>
      </c>
      <c r="G1795" t="s">
        <v>513</v>
      </c>
    </row>
    <row r="1796" spans="1:7" x14ac:dyDescent="0.25">
      <c r="A1796" s="1" t="str">
        <f>"521070"</f>
        <v>521070</v>
      </c>
      <c r="B1796" s="2" t="str">
        <f>"BALDE (COR AZUL CÓD. 80101)"</f>
        <v>BALDE (COR AZUL CÓD. 80101)</v>
      </c>
      <c r="C1796" s="2" t="str">
        <f t="shared" si="69"/>
        <v>UN</v>
      </c>
      <c r="D1796" s="7">
        <v>400</v>
      </c>
      <c r="E1796" s="3">
        <v>4</v>
      </c>
      <c r="G1796" t="s">
        <v>512</v>
      </c>
    </row>
    <row r="1797" spans="1:7" x14ac:dyDescent="0.25">
      <c r="A1797" s="1" t="str">
        <f>"521444"</f>
        <v>521444</v>
      </c>
      <c r="B1797" s="2" t="str">
        <f>"BALDE (COR BRANCO CÓD. 80101)"</f>
        <v>BALDE (COR BRANCO CÓD. 80101)</v>
      </c>
      <c r="C1797" s="2" t="str">
        <f t="shared" si="69"/>
        <v>UN</v>
      </c>
      <c r="D1797" s="7">
        <v>400</v>
      </c>
      <c r="E1797" s="3">
        <v>4</v>
      </c>
      <c r="G1797" t="s">
        <v>513</v>
      </c>
    </row>
    <row r="1798" spans="1:7" x14ac:dyDescent="0.25">
      <c r="A1798" s="1" t="str">
        <f>"521249"</f>
        <v>521249</v>
      </c>
      <c r="B1798" s="2" t="str">
        <f>"BALDE (COR LARANJA CÓD. 80101)"</f>
        <v>BALDE (COR LARANJA CÓD. 80101)</v>
      </c>
      <c r="C1798" s="2" t="str">
        <f t="shared" si="69"/>
        <v>UN</v>
      </c>
      <c r="D1798" s="7">
        <v>400</v>
      </c>
      <c r="E1798" s="3">
        <v>4</v>
      </c>
      <c r="G1798" t="s">
        <v>514</v>
      </c>
    </row>
    <row r="1799" spans="1:7" x14ac:dyDescent="0.25">
      <c r="A1799" s="1" t="str">
        <f>"521260"</f>
        <v>521260</v>
      </c>
      <c r="B1799" s="2" t="str">
        <f>"BALDE (COR MARROM CÓD. 80101)"</f>
        <v>BALDE (COR MARROM CÓD. 80101)</v>
      </c>
      <c r="C1799" s="2" t="str">
        <f t="shared" si="69"/>
        <v>UN</v>
      </c>
      <c r="D1799" s="7">
        <v>400</v>
      </c>
      <c r="E1799" s="3">
        <v>4</v>
      </c>
      <c r="G1799" t="s">
        <v>514</v>
      </c>
    </row>
    <row r="1800" spans="1:7" x14ac:dyDescent="0.25">
      <c r="A1800" s="1" t="str">
        <f>"521443"</f>
        <v>521443</v>
      </c>
      <c r="B1800" s="2" t="str">
        <f>"BALDE (COR PRETO CÓD. 80101)"</f>
        <v>BALDE (COR PRETO CÓD. 80101)</v>
      </c>
      <c r="C1800" s="2" t="str">
        <f t="shared" si="69"/>
        <v>UN</v>
      </c>
      <c r="D1800" s="7">
        <v>400</v>
      </c>
      <c r="E1800" s="3">
        <v>4</v>
      </c>
      <c r="G1800" t="s">
        <v>514</v>
      </c>
    </row>
    <row r="1801" spans="1:7" x14ac:dyDescent="0.25">
      <c r="A1801" s="1" t="str">
        <f>"521071"</f>
        <v>521071</v>
      </c>
      <c r="B1801" s="2" t="str">
        <f>"BALDE (COR ROXO CÓD. 80101)"</f>
        <v>BALDE (COR ROXO CÓD. 80101)</v>
      </c>
      <c r="C1801" s="2" t="str">
        <f t="shared" si="69"/>
        <v>UN</v>
      </c>
      <c r="D1801" s="7">
        <v>400</v>
      </c>
      <c r="E1801" s="3">
        <v>4</v>
      </c>
      <c r="G1801" t="s">
        <v>513</v>
      </c>
    </row>
    <row r="1802" spans="1:7" x14ac:dyDescent="0.25">
      <c r="A1802" s="1" t="str">
        <f>"521779"</f>
        <v>521779</v>
      </c>
      <c r="B1802" s="2" t="str">
        <f>"BALDE (COR VERDE CÓD. 80101)"</f>
        <v>BALDE (COR VERDE CÓD. 80101)</v>
      </c>
      <c r="C1802" s="2" t="str">
        <f t="shared" si="69"/>
        <v>UN</v>
      </c>
      <c r="D1802" s="7">
        <v>400</v>
      </c>
      <c r="E1802" s="3">
        <v>4</v>
      </c>
      <c r="G1802" t="s">
        <v>513</v>
      </c>
    </row>
    <row r="1803" spans="1:7" x14ac:dyDescent="0.25">
      <c r="A1803" s="1" t="str">
        <f>"513190"</f>
        <v>513190</v>
      </c>
      <c r="B1803" s="2" t="str">
        <f>"BALDE 20 LITROS BRANCO"</f>
        <v>BALDE 20 LITROS BRANCO</v>
      </c>
      <c r="C1803" s="2" t="str">
        <f t="shared" si="69"/>
        <v>UN</v>
      </c>
      <c r="D1803" s="7">
        <v>400</v>
      </c>
      <c r="E1803" s="3">
        <v>4</v>
      </c>
      <c r="G1803" t="s">
        <v>513</v>
      </c>
    </row>
    <row r="1804" spans="1:7" x14ac:dyDescent="0.25">
      <c r="A1804" s="1" t="str">
        <f>"508771"</f>
        <v>508771</v>
      </c>
      <c r="B1804" s="2" t="str">
        <f>"BALDE 20L"</f>
        <v>BALDE 20L</v>
      </c>
      <c r="C1804" s="2" t="str">
        <f t="shared" si="69"/>
        <v>UN</v>
      </c>
      <c r="D1804" s="7">
        <v>400</v>
      </c>
      <c r="E1804" s="3">
        <v>4</v>
      </c>
      <c r="G1804" t="s">
        <v>512</v>
      </c>
    </row>
    <row r="1805" spans="1:7" x14ac:dyDescent="0.25">
      <c r="A1805" s="1" t="str">
        <f>"6141"</f>
        <v>6141</v>
      </c>
      <c r="B1805" s="2" t="str">
        <f>"BALDE 20LTS AZUL"</f>
        <v>BALDE 20LTS AZUL</v>
      </c>
      <c r="C1805" s="2" t="str">
        <f t="shared" si="69"/>
        <v>UN</v>
      </c>
      <c r="D1805" s="7">
        <v>408</v>
      </c>
      <c r="E1805" s="3">
        <v>4</v>
      </c>
      <c r="G1805" t="s">
        <v>513</v>
      </c>
    </row>
    <row r="1806" spans="1:7" x14ac:dyDescent="0.25">
      <c r="A1806" s="1" t="str">
        <f>"516004"</f>
        <v>516004</v>
      </c>
      <c r="B1806" s="2" t="str">
        <f>"BALDE BOBLO COMPLETO"</f>
        <v>BALDE BOBLO COMPLETO</v>
      </c>
      <c r="C1806" s="2" t="str">
        <f t="shared" si="69"/>
        <v>UN</v>
      </c>
      <c r="D1806" s="7">
        <v>400</v>
      </c>
      <c r="E1806" s="3">
        <v>10</v>
      </c>
      <c r="G1806" t="s">
        <v>514</v>
      </c>
    </row>
    <row r="1807" spans="1:7" x14ac:dyDescent="0.25">
      <c r="A1807" s="1" t="str">
        <f>"509874"</f>
        <v>509874</v>
      </c>
      <c r="B1807" s="2" t="str">
        <f>"BALDE COM TAMPA"</f>
        <v>BALDE COM TAMPA</v>
      </c>
      <c r="C1807" s="2" t="str">
        <f t="shared" si="69"/>
        <v>UN</v>
      </c>
      <c r="D1807" s="7">
        <v>400</v>
      </c>
      <c r="E1807" s="3">
        <v>4</v>
      </c>
      <c r="G1807" t="s">
        <v>515</v>
      </c>
    </row>
    <row r="1808" spans="1:7" x14ac:dyDescent="0.25">
      <c r="A1808" s="1" t="str">
        <f>"517358"</f>
        <v>517358</v>
      </c>
      <c r="B1808" s="2" t="str">
        <f>"BALDE DE LONA"</f>
        <v>BALDE DE LONA</v>
      </c>
      <c r="C1808" s="2" t="str">
        <f t="shared" si="69"/>
        <v>UN</v>
      </c>
      <c r="D1808" s="7">
        <v>501</v>
      </c>
      <c r="E1808" s="3">
        <v>5</v>
      </c>
      <c r="G1808" t="s">
        <v>512</v>
      </c>
    </row>
    <row r="1809" spans="1:7" x14ac:dyDescent="0.25">
      <c r="A1809" s="1" t="str">
        <f>"500439"</f>
        <v>500439</v>
      </c>
      <c r="B1809" s="2" t="str">
        <f>"BALDE DE PEDREIRO - PRETO"</f>
        <v>BALDE DE PEDREIRO - PRETO</v>
      </c>
      <c r="C1809" s="2" t="str">
        <f t="shared" si="69"/>
        <v>UN</v>
      </c>
      <c r="D1809" s="7">
        <v>403</v>
      </c>
      <c r="E1809" s="3">
        <v>4</v>
      </c>
      <c r="G1809" t="s">
        <v>516</v>
      </c>
    </row>
    <row r="1810" spans="1:7" x14ac:dyDescent="0.25">
      <c r="A1810" s="1" t="str">
        <f>"513396"</f>
        <v>513396</v>
      </c>
      <c r="B1810" s="2" t="str">
        <f>"BALDE DOBLO 30L COM ESPREMEDOR"</f>
        <v>BALDE DOBLO 30L COM ESPREMEDOR</v>
      </c>
      <c r="C1810" s="2" t="str">
        <f t="shared" si="69"/>
        <v>UN</v>
      </c>
      <c r="D1810" s="7">
        <v>400</v>
      </c>
      <c r="E1810" s="3">
        <v>4</v>
      </c>
      <c r="G1810" t="s">
        <v>515</v>
      </c>
    </row>
    <row r="1811" spans="1:7" x14ac:dyDescent="0.25">
      <c r="A1811" s="1" t="str">
        <f>"526467"</f>
        <v>526467</v>
      </c>
      <c r="B1811" s="2" t="str">
        <f>"BALDE EM INOX 304 C/ ALÇAS 382MM X 500MM X 57 LITROS"</f>
        <v>BALDE EM INOX 304 C/ ALÇAS 382MM X 500MM X 57 LITROS</v>
      </c>
      <c r="C1811" s="2" t="str">
        <f t="shared" si="69"/>
        <v>UN</v>
      </c>
      <c r="D1811" s="7">
        <v>99999</v>
      </c>
      <c r="E1811" s="3">
        <v>99</v>
      </c>
      <c r="G1811" t="s">
        <v>514</v>
      </c>
    </row>
    <row r="1812" spans="1:7" x14ac:dyDescent="0.25">
      <c r="A1812" s="1" t="str">
        <f>"513468"</f>
        <v>513468</v>
      </c>
      <c r="B1812" s="2" t="str">
        <f>"BALDE INOX 10L"</f>
        <v>BALDE INOX 10L</v>
      </c>
      <c r="C1812" s="2" t="str">
        <f t="shared" si="69"/>
        <v>UN</v>
      </c>
      <c r="D1812" s="7">
        <v>400</v>
      </c>
      <c r="E1812" s="3">
        <v>4</v>
      </c>
      <c r="G1812" t="s">
        <v>512</v>
      </c>
    </row>
    <row r="1813" spans="1:7" x14ac:dyDescent="0.25">
      <c r="A1813" s="1" t="str">
        <f>"527427"</f>
        <v>527427</v>
      </c>
      <c r="B1813" s="2" t="str">
        <f>"BALDE MOP BRALIMPA NY108 C/ ESPREM. AMARELO"</f>
        <v>BALDE MOP BRALIMPA NY108 C/ ESPREM. AMARELO</v>
      </c>
      <c r="C1813" s="2" t="str">
        <f t="shared" si="69"/>
        <v>UN</v>
      </c>
      <c r="D1813" s="7">
        <v>99999</v>
      </c>
      <c r="E1813" s="3">
        <v>99</v>
      </c>
      <c r="G1813" t="s">
        <v>513</v>
      </c>
    </row>
    <row r="1814" spans="1:7" x14ac:dyDescent="0.25">
      <c r="A1814" s="1" t="str">
        <f>"521531"</f>
        <v>521531</v>
      </c>
      <c r="B1814" s="2" t="str">
        <f>"BALDE PLASTICO 12 LITROS GRADUADO"</f>
        <v>BALDE PLASTICO 12 LITROS GRADUADO</v>
      </c>
      <c r="C1814" s="2" t="str">
        <f t="shared" si="69"/>
        <v>UN</v>
      </c>
      <c r="D1814" s="7">
        <v>99999</v>
      </c>
      <c r="E1814" s="3">
        <v>99</v>
      </c>
      <c r="G1814" t="s">
        <v>514</v>
      </c>
    </row>
    <row r="1815" spans="1:7" x14ac:dyDescent="0.25">
      <c r="A1815" s="1" t="str">
        <f>"6067"</f>
        <v>6067</v>
      </c>
      <c r="B1815" s="2" t="str">
        <f>"BALDE POLIPROPILENO GRAD AUTOCLA C/ALCA2"</f>
        <v>BALDE POLIPROPILENO GRAD AUTOCLA C/ALCA2</v>
      </c>
      <c r="C1815" s="2" t="str">
        <f t="shared" si="69"/>
        <v>UN</v>
      </c>
      <c r="D1815" s="7">
        <v>408</v>
      </c>
      <c r="E1815" s="3">
        <v>4</v>
      </c>
      <c r="G1815" t="s">
        <v>514</v>
      </c>
    </row>
    <row r="1816" spans="1:7" x14ac:dyDescent="0.25">
      <c r="A1816" s="1" t="str">
        <f>"506050"</f>
        <v>506050</v>
      </c>
      <c r="B1816" s="2" t="str">
        <f>"BALIZA VOLVO"</f>
        <v>BALIZA VOLVO</v>
      </c>
      <c r="C1816" s="2" t="str">
        <f t="shared" si="69"/>
        <v>UN</v>
      </c>
      <c r="D1816" s="7">
        <v>704</v>
      </c>
      <c r="E1816" s="3">
        <v>9</v>
      </c>
      <c r="G1816" t="s">
        <v>512</v>
      </c>
    </row>
    <row r="1817" spans="1:7" x14ac:dyDescent="0.25">
      <c r="A1817" s="1" t="str">
        <f>"515001"</f>
        <v>515001</v>
      </c>
      <c r="B1817" s="2" t="str">
        <f>"BALIZADOR SOB QUADRADO"</f>
        <v>BALIZADOR SOB QUADRADO</v>
      </c>
      <c r="C1817" s="2" t="str">
        <f t="shared" si="69"/>
        <v>UN</v>
      </c>
      <c r="D1817" s="7">
        <v>601</v>
      </c>
      <c r="E1817" s="3">
        <v>8</v>
      </c>
      <c r="G1817" t="s">
        <v>513</v>
      </c>
    </row>
    <row r="1818" spans="1:7" x14ac:dyDescent="0.25">
      <c r="A1818" s="1" t="str">
        <f>"511221"</f>
        <v>511221</v>
      </c>
      <c r="B1818" s="2" t="str">
        <f>"BALL BEARING COD. 228275"</f>
        <v>BALL BEARING COD. 228275</v>
      </c>
      <c r="C1818" s="2" t="str">
        <f t="shared" si="69"/>
        <v>UN</v>
      </c>
      <c r="D1818" s="7">
        <v>918</v>
      </c>
      <c r="E1818" s="3">
        <v>11</v>
      </c>
      <c r="G1818" t="s">
        <v>514</v>
      </c>
    </row>
    <row r="1819" spans="1:7" x14ac:dyDescent="0.25">
      <c r="A1819" s="1" t="str">
        <f>"511211"</f>
        <v>511211</v>
      </c>
      <c r="B1819" s="2" t="str">
        <f>"BALL COD. 20065"</f>
        <v>BALL COD. 20065</v>
      </c>
      <c r="C1819" s="2" t="str">
        <f t="shared" ref="C1819:C1855" si="70">"UN"</f>
        <v>UN</v>
      </c>
      <c r="D1819" s="7">
        <v>918</v>
      </c>
      <c r="E1819" s="3">
        <v>11</v>
      </c>
      <c r="G1819" t="s">
        <v>514</v>
      </c>
    </row>
    <row r="1820" spans="1:7" x14ac:dyDescent="0.25">
      <c r="A1820" s="1" t="str">
        <f>"511204"</f>
        <v>511204</v>
      </c>
      <c r="B1820" s="2" t="str">
        <f>"BALL COD. 22055"</f>
        <v>BALL COD. 22055</v>
      </c>
      <c r="C1820" s="2" t="str">
        <f t="shared" si="70"/>
        <v>UN</v>
      </c>
      <c r="D1820" s="7">
        <v>918</v>
      </c>
      <c r="E1820" s="3">
        <v>11</v>
      </c>
      <c r="G1820" t="s">
        <v>514</v>
      </c>
    </row>
    <row r="1821" spans="1:7" x14ac:dyDescent="0.25">
      <c r="A1821" s="1" t="str">
        <f>"525086"</f>
        <v>525086</v>
      </c>
      <c r="B1821" s="2" t="str">
        <f>"BALSA MANUAL PARA FIXAÇÃO DE BOMBA"</f>
        <v>BALSA MANUAL PARA FIXAÇÃO DE BOMBA</v>
      </c>
      <c r="C1821" s="2" t="str">
        <f t="shared" si="70"/>
        <v>UN</v>
      </c>
      <c r="D1821" s="7">
        <v>814</v>
      </c>
      <c r="E1821" s="3">
        <v>8</v>
      </c>
      <c r="G1821" t="s">
        <v>513</v>
      </c>
    </row>
    <row r="1822" spans="1:7" x14ac:dyDescent="0.25">
      <c r="A1822" s="1" t="str">
        <f>"519859"</f>
        <v>519859</v>
      </c>
      <c r="B1822" s="2" t="str">
        <f>"BALUN PASSIVO VIDEO E ALIMENTAÇÃO TECVOZ UTP 101PV"</f>
        <v>BALUN PASSIVO VIDEO E ALIMENTAÇÃO TECVOZ UTP 101PV</v>
      </c>
      <c r="C1822" s="2" t="str">
        <f t="shared" si="70"/>
        <v>UN</v>
      </c>
      <c r="D1822" s="7">
        <v>814</v>
      </c>
      <c r="E1822" s="3">
        <v>8</v>
      </c>
      <c r="G1822" t="s">
        <v>512</v>
      </c>
    </row>
    <row r="1823" spans="1:7" x14ac:dyDescent="0.25">
      <c r="A1823" s="1" t="str">
        <f>"515701"</f>
        <v>515701</v>
      </c>
      <c r="B1823" s="2" t="str">
        <f>"BANANA"</f>
        <v>BANANA</v>
      </c>
      <c r="C1823" s="2" t="str">
        <f t="shared" si="70"/>
        <v>UN</v>
      </c>
      <c r="D1823" s="7">
        <v>401</v>
      </c>
      <c r="E1823" s="3">
        <v>4</v>
      </c>
      <c r="G1823" t="s">
        <v>513</v>
      </c>
    </row>
    <row r="1824" spans="1:7" x14ac:dyDescent="0.25">
      <c r="A1824" s="1" t="str">
        <f>"513240"</f>
        <v>513240</v>
      </c>
      <c r="B1824" s="2" t="str">
        <f>"BANCADA C/ GAVETEIROS EM VERNIZ"</f>
        <v>BANCADA C/ GAVETEIROS EM VERNIZ</v>
      </c>
      <c r="C1824" s="2" t="str">
        <f t="shared" si="70"/>
        <v>UN</v>
      </c>
      <c r="D1824" s="7">
        <v>401</v>
      </c>
      <c r="E1824" s="3">
        <v>4</v>
      </c>
      <c r="G1824" t="s">
        <v>514</v>
      </c>
    </row>
    <row r="1825" spans="1:7" x14ac:dyDescent="0.25">
      <c r="A1825" s="1" t="str">
        <f>"519516"</f>
        <v>519516</v>
      </c>
      <c r="B1825" s="2" t="str">
        <f>"BANCADA CINZA CRISTAL ARAUCO"</f>
        <v>BANCADA CINZA CRISTAL ARAUCO</v>
      </c>
      <c r="C1825" s="2" t="str">
        <f t="shared" si="70"/>
        <v>UN</v>
      </c>
      <c r="D1825" s="7">
        <v>1200</v>
      </c>
      <c r="E1825" s="3">
        <v>13</v>
      </c>
      <c r="G1825" t="s">
        <v>514</v>
      </c>
    </row>
    <row r="1826" spans="1:7" x14ac:dyDescent="0.25">
      <c r="A1826" s="1" t="str">
        <f>"514142"</f>
        <v>514142</v>
      </c>
      <c r="B1826" s="2" t="str">
        <f>"BANCADA COM GAVETEIRO"</f>
        <v>BANCADA COM GAVETEIRO</v>
      </c>
      <c r="C1826" s="2" t="str">
        <f t="shared" si="70"/>
        <v>UN</v>
      </c>
      <c r="D1826" s="7">
        <v>99999</v>
      </c>
      <c r="E1826" s="3">
        <v>99</v>
      </c>
      <c r="G1826" t="s">
        <v>514</v>
      </c>
    </row>
    <row r="1827" spans="1:7" x14ac:dyDescent="0.25">
      <c r="A1827" s="1" t="str">
        <f>"513066"</f>
        <v>513066</v>
      </c>
      <c r="B1827" s="2" t="str">
        <f>"BANCADA COR IMBUIA ESCURA"</f>
        <v>BANCADA COR IMBUIA ESCURA</v>
      </c>
      <c r="C1827" s="2" t="str">
        <f t="shared" si="70"/>
        <v>UN</v>
      </c>
      <c r="D1827" s="7">
        <v>1200</v>
      </c>
      <c r="E1827" s="3">
        <v>13</v>
      </c>
      <c r="G1827" t="s">
        <v>513</v>
      </c>
    </row>
    <row r="1828" spans="1:7" x14ac:dyDescent="0.25">
      <c r="A1828" s="1" t="str">
        <f>"513804"</f>
        <v>513804</v>
      </c>
      <c r="B1828" s="2" t="str">
        <f>"BANCO"</f>
        <v>BANCO</v>
      </c>
      <c r="C1828" s="2" t="str">
        <f t="shared" si="70"/>
        <v>UN</v>
      </c>
      <c r="D1828" s="7">
        <v>704</v>
      </c>
      <c r="E1828" s="3">
        <v>9</v>
      </c>
      <c r="G1828" t="s">
        <v>513</v>
      </c>
    </row>
    <row r="1829" spans="1:7" x14ac:dyDescent="0.25">
      <c r="A1829" s="1" t="str">
        <f>"520916"</f>
        <v>520916</v>
      </c>
      <c r="B1829" s="2" t="str">
        <f>"BANCO ACUMULADOR DE GELO 50.000"</f>
        <v>BANCO ACUMULADOR DE GELO 50.000</v>
      </c>
      <c r="C1829" s="2" t="str">
        <f t="shared" si="70"/>
        <v>UN</v>
      </c>
      <c r="D1829" s="7">
        <v>1002</v>
      </c>
      <c r="E1829" s="3">
        <v>10</v>
      </c>
      <c r="G1829" t="s">
        <v>513</v>
      </c>
    </row>
    <row r="1830" spans="1:7" x14ac:dyDescent="0.25">
      <c r="A1830" s="1" t="str">
        <f>"526472"</f>
        <v>526472</v>
      </c>
      <c r="B1830" s="2" t="str">
        <f>"BANCO DE CAPACITOR 300KVAr - 380V"</f>
        <v>BANCO DE CAPACITOR 300KVAr - 380V</v>
      </c>
      <c r="C1830" s="2" t="str">
        <f t="shared" si="70"/>
        <v>UN</v>
      </c>
      <c r="D1830" s="7">
        <v>900</v>
      </c>
      <c r="E1830" s="3">
        <v>11</v>
      </c>
      <c r="G1830" t="s">
        <v>512</v>
      </c>
    </row>
    <row r="1831" spans="1:7" x14ac:dyDescent="0.25">
      <c r="A1831" s="1" t="str">
        <f>"522979"</f>
        <v>522979</v>
      </c>
      <c r="B1831" s="8" t="s">
        <v>354</v>
      </c>
      <c r="C1831" s="2" t="str">
        <f t="shared" si="70"/>
        <v>UN</v>
      </c>
      <c r="D1831" s="7">
        <v>99999</v>
      </c>
      <c r="E1831" s="3">
        <v>99</v>
      </c>
      <c r="G1831" t="s">
        <v>513</v>
      </c>
    </row>
    <row r="1832" spans="1:7" x14ac:dyDescent="0.25">
      <c r="A1832" s="1" t="str">
        <f>"525488"</f>
        <v>525488</v>
      </c>
      <c r="B1832" s="2" t="str">
        <f>"BANDEIRA"</f>
        <v>BANDEIRA</v>
      </c>
      <c r="C1832" s="2" t="str">
        <f t="shared" si="70"/>
        <v>UN</v>
      </c>
      <c r="D1832" s="7">
        <v>917</v>
      </c>
      <c r="E1832" s="3">
        <v>10</v>
      </c>
      <c r="G1832" t="s">
        <v>514</v>
      </c>
    </row>
    <row r="1833" spans="1:7" x14ac:dyDescent="0.25">
      <c r="A1833" s="1" t="str">
        <f>"513382"</f>
        <v>513382</v>
      </c>
      <c r="B1833" s="2" t="str">
        <f>"BANDEIRA TERGAL BORDADA"</f>
        <v>BANDEIRA TERGAL BORDADA</v>
      </c>
      <c r="C1833" s="2" t="str">
        <f t="shared" si="70"/>
        <v>UN</v>
      </c>
      <c r="D1833" s="7">
        <v>401</v>
      </c>
      <c r="E1833" s="3">
        <v>4</v>
      </c>
      <c r="G1833" t="s">
        <v>515</v>
      </c>
    </row>
    <row r="1834" spans="1:7" x14ac:dyDescent="0.25">
      <c r="A1834" s="1" t="str">
        <f>"521088"</f>
        <v>521088</v>
      </c>
      <c r="B1834" s="2" t="str">
        <f>"BANDEJA"</f>
        <v>BANDEJA</v>
      </c>
      <c r="C1834" s="2" t="str">
        <f t="shared" si="70"/>
        <v>UN</v>
      </c>
      <c r="D1834" s="7">
        <v>99999</v>
      </c>
      <c r="E1834" s="3">
        <v>99</v>
      </c>
      <c r="G1834" t="s">
        <v>512</v>
      </c>
    </row>
    <row r="1835" spans="1:7" x14ac:dyDescent="0.25">
      <c r="A1835" s="1" t="str">
        <f>"514681"</f>
        <v>514681</v>
      </c>
      <c r="B1835" s="2" t="str">
        <f>"BANDEJA CARBONO"</f>
        <v>BANDEJA CARBONO</v>
      </c>
      <c r="C1835" s="2" t="str">
        <f t="shared" si="70"/>
        <v>UN</v>
      </c>
      <c r="D1835" s="7">
        <v>401</v>
      </c>
      <c r="E1835" s="3">
        <v>4</v>
      </c>
      <c r="G1835" t="s">
        <v>516</v>
      </c>
    </row>
    <row r="1836" spans="1:7" x14ac:dyDescent="0.25">
      <c r="A1836" s="1" t="str">
        <f>"521742"</f>
        <v>521742</v>
      </c>
      <c r="B1836" s="2" t="str">
        <f>"BANDEJA CLASS BRANCA COM ALÇAS AZUIS ADESIVO FRENTE"</f>
        <v>BANDEJA CLASS BRANCA COM ALÇAS AZUIS ADESIVO FRENTE</v>
      </c>
      <c r="C1836" s="2" t="str">
        <f t="shared" si="70"/>
        <v>UN</v>
      </c>
      <c r="D1836" s="7">
        <v>99999</v>
      </c>
      <c r="E1836" s="3">
        <v>99</v>
      </c>
      <c r="G1836" t="s">
        <v>515</v>
      </c>
    </row>
    <row r="1837" spans="1:7" x14ac:dyDescent="0.25">
      <c r="A1837" s="1" t="str">
        <f>"510924"</f>
        <v>510924</v>
      </c>
      <c r="B1837" s="2" t="str">
        <f>"BANDEJA DE INOX"</f>
        <v>BANDEJA DE INOX</v>
      </c>
      <c r="C1837" s="2" t="str">
        <f t="shared" si="70"/>
        <v>UN</v>
      </c>
      <c r="D1837" s="7">
        <v>402</v>
      </c>
      <c r="E1837" s="3">
        <v>4</v>
      </c>
      <c r="G1837" t="s">
        <v>514</v>
      </c>
    </row>
    <row r="1838" spans="1:7" x14ac:dyDescent="0.25">
      <c r="A1838" s="1" t="str">
        <f>"672"</f>
        <v>672</v>
      </c>
      <c r="B1838" s="2" t="str">
        <f>"BANDEJA DEGUSTADORA DE PRODUTO"</f>
        <v>BANDEJA DEGUSTADORA DE PRODUTO</v>
      </c>
      <c r="C1838" s="2" t="str">
        <f t="shared" si="70"/>
        <v>UN</v>
      </c>
      <c r="D1838" s="7">
        <v>1200</v>
      </c>
      <c r="E1838" s="3">
        <v>13</v>
      </c>
      <c r="G1838" t="s">
        <v>512</v>
      </c>
    </row>
    <row r="1839" spans="1:7" x14ac:dyDescent="0.25">
      <c r="A1839" s="1" t="str">
        <f>"512395"</f>
        <v>512395</v>
      </c>
      <c r="B1839" s="2" t="str">
        <f>"BANDEJA DESLIZANTE 19 1V P550"</f>
        <v>BANDEJA DESLIZANTE 19 1V P550</v>
      </c>
      <c r="C1839" s="2" t="str">
        <f t="shared" si="70"/>
        <v>UN</v>
      </c>
      <c r="D1839" s="7">
        <v>401</v>
      </c>
      <c r="E1839" s="3">
        <v>4</v>
      </c>
      <c r="G1839" t="s">
        <v>513</v>
      </c>
    </row>
    <row r="1840" spans="1:7" x14ac:dyDescent="0.25">
      <c r="A1840" s="1" t="str">
        <f>"523754"</f>
        <v>523754</v>
      </c>
      <c r="B1840" s="2" t="str">
        <f>"BANDEJA EXPRESS BRANCA COM ALÇAS AZUIS ADESIVO FRENTE"</f>
        <v>BANDEJA EXPRESS BRANCA COM ALÇAS AZUIS ADESIVO FRENTE</v>
      </c>
      <c r="C1840" s="2" t="str">
        <f t="shared" si="70"/>
        <v>UN</v>
      </c>
      <c r="D1840" s="7">
        <v>99999</v>
      </c>
      <c r="E1840" s="3">
        <v>99</v>
      </c>
      <c r="G1840" t="s">
        <v>514</v>
      </c>
    </row>
    <row r="1841" spans="1:7" x14ac:dyDescent="0.25">
      <c r="A1841" s="1" t="str">
        <f>"521502"</f>
        <v>521502</v>
      </c>
      <c r="B1841" s="2" t="str">
        <f>"BANDEJA FIXA 300MM PRETO"</f>
        <v>BANDEJA FIXA 300MM PRETO</v>
      </c>
      <c r="C1841" s="2" t="str">
        <f t="shared" si="70"/>
        <v>UN</v>
      </c>
      <c r="D1841" s="7">
        <v>811</v>
      </c>
      <c r="E1841" s="3">
        <v>8</v>
      </c>
      <c r="G1841" t="s">
        <v>514</v>
      </c>
    </row>
    <row r="1842" spans="1:7" x14ac:dyDescent="0.25">
      <c r="A1842" s="1" t="str">
        <f>"523459"</f>
        <v>523459</v>
      </c>
      <c r="B1842" s="2" t="str">
        <f>"BANDEJA FIXA RACK 19'' X 300MM"</f>
        <v>BANDEJA FIXA RACK 19'' X 300MM</v>
      </c>
      <c r="C1842" s="2" t="str">
        <f t="shared" si="70"/>
        <v>UN</v>
      </c>
      <c r="D1842" s="7">
        <v>601</v>
      </c>
      <c r="E1842" s="3">
        <v>8</v>
      </c>
      <c r="G1842" t="s">
        <v>512</v>
      </c>
    </row>
    <row r="1843" spans="1:7" x14ac:dyDescent="0.25">
      <c r="A1843" s="1" t="str">
        <f>"513808"</f>
        <v>513808</v>
      </c>
      <c r="B1843" s="2" t="str">
        <f>"BANDEJA FRONTAL  1V X 250MM"</f>
        <v>BANDEJA FRONTAL  1V X 250MM</v>
      </c>
      <c r="C1843" s="2" t="str">
        <f t="shared" si="70"/>
        <v>UN</v>
      </c>
      <c r="D1843" s="7">
        <v>99999</v>
      </c>
      <c r="E1843" s="3">
        <v>99</v>
      </c>
      <c r="G1843" t="s">
        <v>513</v>
      </c>
    </row>
    <row r="1844" spans="1:7" x14ac:dyDescent="0.25">
      <c r="A1844" s="1" t="str">
        <f>"515574"</f>
        <v>515574</v>
      </c>
      <c r="B1844" s="2" t="str">
        <f>"BANDEJA LAMINADA"</f>
        <v>BANDEJA LAMINADA</v>
      </c>
      <c r="C1844" s="2" t="str">
        <f t="shared" si="70"/>
        <v>UN</v>
      </c>
      <c r="D1844" s="7">
        <v>401</v>
      </c>
      <c r="E1844" s="3">
        <v>4</v>
      </c>
      <c r="G1844" t="s">
        <v>514</v>
      </c>
    </row>
    <row r="1845" spans="1:7" x14ac:dyDescent="0.25">
      <c r="A1845" s="1" t="str">
        <f>"518295"</f>
        <v>518295</v>
      </c>
      <c r="B1845" s="2" t="str">
        <f>"BANDEJA P/ CMT (MASTITE)"</f>
        <v>BANDEJA P/ CMT (MASTITE)</v>
      </c>
      <c r="C1845" s="2" t="str">
        <f t="shared" si="70"/>
        <v>UN</v>
      </c>
      <c r="D1845" s="7">
        <v>406</v>
      </c>
      <c r="E1845" s="3">
        <v>4</v>
      </c>
      <c r="G1845" t="s">
        <v>514</v>
      </c>
    </row>
    <row r="1846" spans="1:7" x14ac:dyDescent="0.25">
      <c r="A1846" s="1" t="str">
        <f>"514732"</f>
        <v>514732</v>
      </c>
      <c r="B1846" s="2" t="str">
        <f>"BANDEJA PARA CARRINHO"</f>
        <v>BANDEJA PARA CARRINHO</v>
      </c>
      <c r="C1846" s="2" t="str">
        <f t="shared" si="70"/>
        <v>UN</v>
      </c>
      <c r="D1846" s="7">
        <v>918</v>
      </c>
      <c r="E1846" s="3">
        <v>10</v>
      </c>
      <c r="G1846" t="s">
        <v>514</v>
      </c>
    </row>
    <row r="1847" spans="1:7" x14ac:dyDescent="0.25">
      <c r="A1847" s="1" t="str">
        <f>"515594"</f>
        <v>515594</v>
      </c>
      <c r="B1847" s="2" t="str">
        <f>"BANDEJA PINTURA"</f>
        <v>BANDEJA PINTURA</v>
      </c>
      <c r="C1847" s="2" t="str">
        <f t="shared" si="70"/>
        <v>UN</v>
      </c>
      <c r="D1847" s="7">
        <v>917</v>
      </c>
      <c r="E1847" s="3">
        <v>4</v>
      </c>
      <c r="G1847" t="s">
        <v>513</v>
      </c>
    </row>
    <row r="1848" spans="1:7" x14ac:dyDescent="0.25">
      <c r="A1848" s="1" t="str">
        <f>"510359"</f>
        <v>510359</v>
      </c>
      <c r="B1848" s="2" t="str">
        <f>"BANDEJAS"</f>
        <v>BANDEJAS</v>
      </c>
      <c r="C1848" s="2" t="str">
        <f t="shared" si="70"/>
        <v>UN</v>
      </c>
      <c r="D1848" s="7">
        <v>402</v>
      </c>
      <c r="E1848" s="3">
        <v>4</v>
      </c>
      <c r="G1848" t="s">
        <v>512</v>
      </c>
    </row>
    <row r="1849" spans="1:7" x14ac:dyDescent="0.25">
      <c r="A1849" s="1" t="str">
        <f>"520803"</f>
        <v>520803</v>
      </c>
      <c r="B1849" s="2" t="str">
        <f>"BANHO MARIA 300X1500X600X700MM"</f>
        <v>BANHO MARIA 300X1500X600X700MM</v>
      </c>
      <c r="C1849" s="2" t="str">
        <f t="shared" si="70"/>
        <v>UN</v>
      </c>
      <c r="D1849" s="7">
        <v>99999</v>
      </c>
      <c r="E1849" s="3">
        <v>99</v>
      </c>
      <c r="G1849" t="s">
        <v>513</v>
      </c>
    </row>
    <row r="1850" spans="1:7" x14ac:dyDescent="0.25">
      <c r="A1850" s="1" t="str">
        <f>"523163"</f>
        <v>523163</v>
      </c>
      <c r="B1850" s="2" t="str">
        <f>"BANHO MARIA ANALOGICO -INOX - CAP. 2L - TEMP.+5°C a"</f>
        <v>BANHO MARIA ANALOGICO -INOX - CAP. 2L - TEMP.+5°C a</v>
      </c>
      <c r="C1850" s="2" t="str">
        <f t="shared" si="70"/>
        <v>UN</v>
      </c>
      <c r="D1850" s="7">
        <v>1300</v>
      </c>
      <c r="E1850" s="3">
        <v>13</v>
      </c>
      <c r="G1850" t="s">
        <v>514</v>
      </c>
    </row>
    <row r="1851" spans="1:7" x14ac:dyDescent="0.25">
      <c r="A1851" s="1" t="str">
        <f>"525219"</f>
        <v>525219</v>
      </c>
      <c r="B1851" s="2" t="str">
        <f>"BANHO MARIA DIGITAL 3 LITROS - NI 1215-220V"</f>
        <v>BANHO MARIA DIGITAL 3 LITROS - NI 1215-220V</v>
      </c>
      <c r="C1851" s="2" t="str">
        <f t="shared" si="70"/>
        <v>UN</v>
      </c>
      <c r="D1851" s="7">
        <v>406</v>
      </c>
      <c r="E1851" s="3">
        <v>10</v>
      </c>
      <c r="G1851" t="s">
        <v>514</v>
      </c>
    </row>
    <row r="1852" spans="1:7" x14ac:dyDescent="0.25">
      <c r="A1852" s="1" t="str">
        <f>"512854"</f>
        <v>512854</v>
      </c>
      <c r="B1852" s="2" t="str">
        <f>"BANHO MARIA ELETRONICO 72 TUBOS 16X150 220V REF 364"</f>
        <v>BANHO MARIA ELETRONICO 72 TUBOS 16X150 220V REF 364</v>
      </c>
      <c r="C1852" s="2" t="str">
        <f t="shared" si="70"/>
        <v>UN</v>
      </c>
      <c r="D1852" s="7">
        <v>1500</v>
      </c>
      <c r="E1852" s="3">
        <v>13</v>
      </c>
      <c r="G1852" t="s">
        <v>514</v>
      </c>
    </row>
    <row r="1853" spans="1:7" x14ac:dyDescent="0.25">
      <c r="A1853" s="1" t="str">
        <f>"515344"</f>
        <v>515344</v>
      </c>
      <c r="B1853" s="2" t="str">
        <f>"BANHO MARIA SEM AGITAÇAO 72 TUBOS TERMOSTATO ELETRONICO"</f>
        <v>BANHO MARIA SEM AGITAÇAO 72 TUBOS TERMOSTATO ELETRONICO</v>
      </c>
      <c r="C1853" s="2" t="str">
        <f t="shared" si="70"/>
        <v>UN</v>
      </c>
      <c r="D1853" s="7">
        <v>900</v>
      </c>
      <c r="E1853" s="3">
        <v>4</v>
      </c>
      <c r="G1853" t="s">
        <v>513</v>
      </c>
    </row>
    <row r="1854" spans="1:7" x14ac:dyDescent="0.25">
      <c r="A1854" s="1" t="str">
        <f>"528042"</f>
        <v>528042</v>
      </c>
      <c r="B1854" s="2" t="str">
        <f>"BANHO TERMICO P/ TWINSENSOR - HEATSENSOR DUO"</f>
        <v>BANHO TERMICO P/ TWINSENSOR - HEATSENSOR DUO</v>
      </c>
      <c r="C1854" s="2" t="str">
        <f t="shared" si="70"/>
        <v>UN</v>
      </c>
      <c r="D1854" s="7">
        <v>406</v>
      </c>
      <c r="E1854" s="3">
        <v>4</v>
      </c>
      <c r="G1854" t="s">
        <v>513</v>
      </c>
    </row>
    <row r="1855" spans="1:7" x14ac:dyDescent="0.25">
      <c r="A1855" s="1" t="str">
        <f>"515040"</f>
        <v>515040</v>
      </c>
      <c r="B1855" s="2" t="str">
        <f>"BANHO TERMICO TIPO BLOCO SECO"</f>
        <v>BANHO TERMICO TIPO BLOCO SECO</v>
      </c>
      <c r="C1855" s="2" t="str">
        <f t="shared" si="70"/>
        <v>UN</v>
      </c>
      <c r="D1855" s="7">
        <v>406</v>
      </c>
      <c r="E1855" s="3">
        <v>4</v>
      </c>
      <c r="G1855" t="s">
        <v>513</v>
      </c>
    </row>
    <row r="1856" spans="1:7" x14ac:dyDescent="0.25">
      <c r="A1856" s="1" t="str">
        <f>"510174"</f>
        <v>510174</v>
      </c>
      <c r="B1856" s="2" t="str">
        <f>"BANJO C/ CONTR FLUXO G M5X06MM 193139"</f>
        <v>BANJO C/ CONTR FLUXO G M5X06MM 193139</v>
      </c>
      <c r="C1856" s="2" t="str">
        <f>"PC"</f>
        <v>PC</v>
      </c>
      <c r="D1856" s="7">
        <v>808</v>
      </c>
      <c r="E1856" s="3">
        <v>10</v>
      </c>
      <c r="G1856" t="s">
        <v>512</v>
      </c>
    </row>
    <row r="1857" spans="1:7" x14ac:dyDescent="0.25">
      <c r="A1857" s="1" t="str">
        <f>"500793"</f>
        <v>500793</v>
      </c>
      <c r="B1857" s="2" t="str">
        <f>"BANJO C/ CONTR FLUXO G1/4X06MM COSA00628"</f>
        <v>BANJO C/ CONTR FLUXO G1/4X06MM COSA00628</v>
      </c>
      <c r="C1857" s="2" t="str">
        <f t="shared" ref="C1857:C1895" si="71">"UN"</f>
        <v>UN</v>
      </c>
      <c r="D1857" s="7">
        <v>808</v>
      </c>
      <c r="E1857" s="3">
        <v>10</v>
      </c>
      <c r="G1857" t="s">
        <v>513</v>
      </c>
    </row>
    <row r="1858" spans="1:7" x14ac:dyDescent="0.25">
      <c r="A1858" s="1" t="str">
        <f>"505038"</f>
        <v>505038</v>
      </c>
      <c r="B1858" s="2" t="str">
        <f>"BANJO C/ CONTR FLUXO G1/4X08MM COSA00828"</f>
        <v>BANJO C/ CONTR FLUXO G1/4X08MM COSA00828</v>
      </c>
      <c r="C1858" s="2" t="str">
        <f t="shared" si="71"/>
        <v>UN</v>
      </c>
      <c r="D1858" s="7">
        <v>808</v>
      </c>
      <c r="E1858" s="3">
        <v>10</v>
      </c>
      <c r="G1858" t="s">
        <v>514</v>
      </c>
    </row>
    <row r="1859" spans="1:7" x14ac:dyDescent="0.25">
      <c r="A1859" s="1" t="str">
        <f>"502647"</f>
        <v>502647</v>
      </c>
      <c r="B1859" s="2" t="str">
        <f>"BANJO C/ CONTR FLUXO G1/4X10MM 193148"</f>
        <v>BANJO C/ CONTR FLUXO G1/4X10MM 193148</v>
      </c>
      <c r="C1859" s="2" t="str">
        <f t="shared" si="71"/>
        <v>UN</v>
      </c>
      <c r="D1859" s="7">
        <v>808</v>
      </c>
      <c r="E1859" s="3">
        <v>10</v>
      </c>
      <c r="G1859" t="s">
        <v>515</v>
      </c>
    </row>
    <row r="1860" spans="1:7" x14ac:dyDescent="0.25">
      <c r="A1860" s="1" t="str">
        <f>"517911"</f>
        <v>517911</v>
      </c>
      <c r="B1860" s="2" t="str">
        <f>"BANJO C/ CONTR FLUXO G1/4X12MM COSA00828"</f>
        <v>BANJO C/ CONTR FLUXO G1/4X12MM COSA00828</v>
      </c>
      <c r="C1860" s="2" t="str">
        <f t="shared" si="71"/>
        <v>UN</v>
      </c>
      <c r="D1860" s="7">
        <v>913</v>
      </c>
      <c r="E1860" s="3">
        <v>11</v>
      </c>
      <c r="G1860" t="s">
        <v>512</v>
      </c>
    </row>
    <row r="1861" spans="1:7" x14ac:dyDescent="0.25">
      <c r="A1861" s="1" t="str">
        <f>"505037"</f>
        <v>505037</v>
      </c>
      <c r="B1861" s="2" t="str">
        <f>"BANJO C/ CONTR FLUXO G1/8X06MM 193144"</f>
        <v>BANJO C/ CONTR FLUXO G1/8X06MM 193144</v>
      </c>
      <c r="C1861" s="2" t="str">
        <f t="shared" si="71"/>
        <v>UN</v>
      </c>
      <c r="D1861" s="7">
        <v>808</v>
      </c>
      <c r="E1861" s="3">
        <v>10</v>
      </c>
      <c r="G1861" t="s">
        <v>516</v>
      </c>
    </row>
    <row r="1862" spans="1:7" x14ac:dyDescent="0.25">
      <c r="A1862" s="1" t="str">
        <f>"505036"</f>
        <v>505036</v>
      </c>
      <c r="B1862" s="2" t="str">
        <f>"BANJO C/ CONTR FLUXO G1/8X08MM 193145"</f>
        <v>BANJO C/ CONTR FLUXO G1/8X08MM 193145</v>
      </c>
      <c r="C1862" s="2" t="str">
        <f t="shared" si="71"/>
        <v>UN</v>
      </c>
      <c r="D1862" s="7">
        <v>808</v>
      </c>
      <c r="E1862" s="3">
        <v>10</v>
      </c>
      <c r="G1862" t="s">
        <v>515</v>
      </c>
    </row>
    <row r="1863" spans="1:7" x14ac:dyDescent="0.25">
      <c r="A1863" s="1" t="str">
        <f>"502492"</f>
        <v>502492</v>
      </c>
      <c r="B1863" s="2" t="str">
        <f>"BANJO C/ CONTR FLUXO G3/8X08MM 193150"</f>
        <v>BANJO C/ CONTR FLUXO G3/8X08MM 193150</v>
      </c>
      <c r="C1863" s="2" t="str">
        <f t="shared" si="71"/>
        <v>UN</v>
      </c>
      <c r="D1863" s="7">
        <v>808</v>
      </c>
      <c r="E1863" s="3">
        <v>10</v>
      </c>
      <c r="G1863" t="s">
        <v>514</v>
      </c>
    </row>
    <row r="1864" spans="1:7" x14ac:dyDescent="0.25">
      <c r="A1864" s="1" t="str">
        <f>"500845"</f>
        <v>500845</v>
      </c>
      <c r="B1864" s="2" t="str">
        <f>"BANJO C/ CONTR FLUXO G3/8X10MM 193151"</f>
        <v>BANJO C/ CONTR FLUXO G3/8X10MM 193151</v>
      </c>
      <c r="C1864" s="2" t="str">
        <f t="shared" si="71"/>
        <v>UN</v>
      </c>
      <c r="D1864" s="7">
        <v>808</v>
      </c>
      <c r="E1864" s="3">
        <v>10</v>
      </c>
      <c r="G1864" t="s">
        <v>512</v>
      </c>
    </row>
    <row r="1865" spans="1:7" x14ac:dyDescent="0.25">
      <c r="A1865" s="1" t="str">
        <f>"527148"</f>
        <v>527148</v>
      </c>
      <c r="B1865" s="2" t="str">
        <f>"BANJO C/ CONTR FLUXO G3/8X12MM FESTO"</f>
        <v>BANJO C/ CONTR FLUXO G3/8X12MM FESTO</v>
      </c>
      <c r="C1865" s="2" t="str">
        <f t="shared" si="71"/>
        <v>UN</v>
      </c>
      <c r="D1865" s="7">
        <v>808</v>
      </c>
      <c r="E1865" s="3">
        <v>10</v>
      </c>
      <c r="G1865" t="s">
        <v>513</v>
      </c>
    </row>
    <row r="1866" spans="1:7" x14ac:dyDescent="0.25">
      <c r="A1866" s="1" t="str">
        <f>"522118"</f>
        <v>522118</v>
      </c>
      <c r="B1866" s="2" t="str">
        <f>"BANNER 120 X 70CM IMP DIGITAL LONA BASTÃO/PONTEIRA/CORDÃO"</f>
        <v>BANNER 120 X 70CM IMP DIGITAL LONA BASTÃO/PONTEIRA/CORDÃO</v>
      </c>
      <c r="C1866" s="2" t="str">
        <f t="shared" si="71"/>
        <v>UN</v>
      </c>
      <c r="D1866" s="7">
        <v>99999</v>
      </c>
      <c r="E1866" s="3">
        <v>99</v>
      </c>
      <c r="G1866" t="s">
        <v>514</v>
      </c>
    </row>
    <row r="1867" spans="1:7" x14ac:dyDescent="0.25">
      <c r="A1867" s="1" t="str">
        <f>"512769"</f>
        <v>512769</v>
      </c>
      <c r="B1867" s="2" t="str">
        <f>"BANNER LONA"</f>
        <v>BANNER LONA</v>
      </c>
      <c r="C1867" s="2" t="str">
        <f t="shared" si="71"/>
        <v>UN</v>
      </c>
      <c r="D1867" s="7">
        <v>402</v>
      </c>
      <c r="E1867" s="3">
        <v>4</v>
      </c>
      <c r="G1867" t="s">
        <v>514</v>
      </c>
    </row>
    <row r="1868" spans="1:7" x14ac:dyDescent="0.25">
      <c r="A1868" s="1" t="str">
        <f>"509931"</f>
        <v>509931</v>
      </c>
      <c r="B1868" s="2" t="str">
        <f>"BANNER TAM. 1,00X2,00MT"</f>
        <v>BANNER TAM. 1,00X2,00MT</v>
      </c>
      <c r="C1868" s="2" t="str">
        <f t="shared" si="71"/>
        <v>UN</v>
      </c>
      <c r="D1868" s="7">
        <v>402</v>
      </c>
      <c r="E1868" s="3">
        <v>4</v>
      </c>
      <c r="G1868" t="s">
        <v>512</v>
      </c>
    </row>
    <row r="1869" spans="1:7" x14ac:dyDescent="0.25">
      <c r="A1869" s="1" t="str">
        <f>"518237"</f>
        <v>518237</v>
      </c>
      <c r="B1869" s="2" t="str">
        <f>"BANNER TAM. 4,00X0,60"</f>
        <v>BANNER TAM. 4,00X0,60</v>
      </c>
      <c r="C1869" s="2" t="str">
        <f t="shared" si="71"/>
        <v>UN</v>
      </c>
      <c r="D1869" s="7">
        <v>402</v>
      </c>
      <c r="E1869" s="3">
        <v>4</v>
      </c>
      <c r="G1869" t="s">
        <v>513</v>
      </c>
    </row>
    <row r="1870" spans="1:7" x14ac:dyDescent="0.25">
      <c r="A1870" s="1" t="str">
        <f>"573786"</f>
        <v>573786</v>
      </c>
      <c r="B1870" s="2" t="str">
        <f>"BANNER TAM.1,0 X 1,5 MT"</f>
        <v>BANNER TAM.1,0 X 1,5 MT</v>
      </c>
      <c r="C1870" s="2" t="str">
        <f t="shared" si="71"/>
        <v>UN</v>
      </c>
      <c r="D1870" s="7">
        <v>402</v>
      </c>
      <c r="E1870" s="3">
        <v>4</v>
      </c>
      <c r="G1870" t="s">
        <v>514</v>
      </c>
    </row>
    <row r="1871" spans="1:7" x14ac:dyDescent="0.25">
      <c r="A1871" s="1" t="str">
        <f>"518461"</f>
        <v>518461</v>
      </c>
      <c r="B1871" s="2" t="str">
        <f>"BANNER TAM.1,5 X 1,5 MT"</f>
        <v>BANNER TAM.1,5 X 1,5 MT</v>
      </c>
      <c r="C1871" s="2" t="str">
        <f t="shared" si="71"/>
        <v>UN</v>
      </c>
      <c r="D1871" s="7">
        <v>402</v>
      </c>
      <c r="E1871" s="3">
        <v>4</v>
      </c>
      <c r="G1871" t="s">
        <v>514</v>
      </c>
    </row>
    <row r="1872" spans="1:7" x14ac:dyDescent="0.25">
      <c r="A1872" s="1" t="str">
        <f>"518238"</f>
        <v>518238</v>
      </c>
      <c r="B1872" s="2" t="str">
        <f>"BANNER TAM.2,00 X 0,60"</f>
        <v>BANNER TAM.2,00 X 0,60</v>
      </c>
      <c r="C1872" s="2" t="str">
        <f t="shared" si="71"/>
        <v>UN</v>
      </c>
      <c r="D1872" s="7">
        <v>402</v>
      </c>
      <c r="E1872" s="3">
        <v>4</v>
      </c>
      <c r="G1872" t="s">
        <v>514</v>
      </c>
    </row>
    <row r="1873" spans="1:7" x14ac:dyDescent="0.25">
      <c r="A1873" s="1" t="str">
        <f>"509518"</f>
        <v>509518</v>
      </c>
      <c r="B1873" s="2" t="str">
        <f>"BANNER'S IMPRESSAO DIGITAL 1000X1500"</f>
        <v>BANNER'S IMPRESSAO DIGITAL 1000X1500</v>
      </c>
      <c r="C1873" s="2" t="str">
        <f t="shared" si="71"/>
        <v>UN</v>
      </c>
      <c r="D1873" s="7">
        <v>402</v>
      </c>
      <c r="E1873" s="3">
        <v>4</v>
      </c>
      <c r="G1873" t="s">
        <v>513</v>
      </c>
    </row>
    <row r="1874" spans="1:7" x14ac:dyDescent="0.25">
      <c r="A1874" s="1" t="str">
        <f>"518627"</f>
        <v>518627</v>
      </c>
      <c r="B1874" s="2" t="str">
        <f>"BANNER'S IMPRESSAO DIGITAL 2,00 X 0,35M"</f>
        <v>BANNER'S IMPRESSAO DIGITAL 2,00 X 0,35M</v>
      </c>
      <c r="C1874" s="2" t="str">
        <f t="shared" si="71"/>
        <v>UN</v>
      </c>
      <c r="D1874" s="7">
        <v>402</v>
      </c>
      <c r="E1874" s="3">
        <v>4</v>
      </c>
      <c r="G1874" t="s">
        <v>512</v>
      </c>
    </row>
    <row r="1875" spans="1:7" x14ac:dyDescent="0.25">
      <c r="A1875" s="1" t="str">
        <f>"518626"</f>
        <v>518626</v>
      </c>
      <c r="B1875" s="2" t="str">
        <f>"BANNER'S IMPRESSAO DIGITAL 2,30 X 1,50M"</f>
        <v>BANNER'S IMPRESSAO DIGITAL 2,30 X 1,50M</v>
      </c>
      <c r="C1875" s="2" t="str">
        <f t="shared" si="71"/>
        <v>UN</v>
      </c>
      <c r="D1875" s="7">
        <v>402</v>
      </c>
      <c r="E1875" s="3">
        <v>4</v>
      </c>
      <c r="G1875" t="s">
        <v>513</v>
      </c>
    </row>
    <row r="1876" spans="1:7" x14ac:dyDescent="0.25">
      <c r="A1876" s="1" t="str">
        <f>"527552"</f>
        <v>527552</v>
      </c>
      <c r="B1876" s="2" t="str">
        <f>"BANNER'S IMPRESSAO DIGITAL 2.000X0.800MM"</f>
        <v>BANNER'S IMPRESSAO DIGITAL 2.000X0.800MM</v>
      </c>
      <c r="C1876" s="2" t="str">
        <f t="shared" si="71"/>
        <v>UN</v>
      </c>
      <c r="D1876" s="7">
        <v>402</v>
      </c>
      <c r="E1876" s="3">
        <v>4</v>
      </c>
      <c r="G1876" t="s">
        <v>514</v>
      </c>
    </row>
    <row r="1877" spans="1:7" x14ac:dyDescent="0.25">
      <c r="A1877" s="1" t="str">
        <f>"515108"</f>
        <v>515108</v>
      </c>
      <c r="B1877" s="2" t="str">
        <f>"BANQUETA"</f>
        <v>BANQUETA</v>
      </c>
      <c r="C1877" s="2" t="str">
        <f t="shared" si="71"/>
        <v>UN</v>
      </c>
      <c r="D1877" s="7">
        <v>401</v>
      </c>
      <c r="E1877" s="3">
        <v>4</v>
      </c>
      <c r="G1877" t="s">
        <v>514</v>
      </c>
    </row>
    <row r="1878" spans="1:7" x14ac:dyDescent="0.25">
      <c r="A1878" s="1" t="str">
        <f>"525194"</f>
        <v>525194</v>
      </c>
      <c r="B1878" s="2" t="str">
        <f>"BAP PUSH DUPLA CEGA PRETO"</f>
        <v>BAP PUSH DUPLA CEGA PRETO</v>
      </c>
      <c r="C1878" s="2" t="str">
        <f t="shared" si="71"/>
        <v>UN</v>
      </c>
      <c r="D1878" s="7">
        <v>917</v>
      </c>
      <c r="E1878" s="3">
        <v>10</v>
      </c>
      <c r="G1878" t="s">
        <v>514</v>
      </c>
    </row>
    <row r="1879" spans="1:7" x14ac:dyDescent="0.25">
      <c r="A1879" s="1" t="str">
        <f>"525192"</f>
        <v>525192</v>
      </c>
      <c r="B1879" s="2" t="str">
        <f>"BAP PUSH SIMPLES CEGA PRETO LISO BRIL RAL 9005 1M C/ MICROSW"</f>
        <v>BAP PUSH SIMPLES CEGA PRETO LISO BRIL RAL 9005 1M C/ MICROSW</v>
      </c>
      <c r="C1879" s="2" t="str">
        <f t="shared" si="71"/>
        <v>UN</v>
      </c>
      <c r="D1879" s="7">
        <v>917</v>
      </c>
      <c r="E1879" s="3">
        <v>10</v>
      </c>
      <c r="G1879" t="s">
        <v>513</v>
      </c>
    </row>
    <row r="1880" spans="1:7" x14ac:dyDescent="0.25">
      <c r="A1880" s="1" t="str">
        <f>"515126"</f>
        <v>515126</v>
      </c>
      <c r="B1880" s="2" t="str">
        <f>"BARBANTE"</f>
        <v>BARBANTE</v>
      </c>
      <c r="C1880" s="2" t="str">
        <f t="shared" si="71"/>
        <v>UN</v>
      </c>
      <c r="D1880" s="7">
        <v>401</v>
      </c>
      <c r="E1880" s="3">
        <v>4</v>
      </c>
      <c r="G1880" t="s">
        <v>513</v>
      </c>
    </row>
    <row r="1881" spans="1:7" x14ac:dyDescent="0.25">
      <c r="A1881" s="1" t="str">
        <f>"514153"</f>
        <v>514153</v>
      </c>
      <c r="B1881" s="2" t="str">
        <f>"BARBELA"</f>
        <v>BARBELA</v>
      </c>
      <c r="C1881" s="2" t="str">
        <f t="shared" si="71"/>
        <v>UN</v>
      </c>
      <c r="D1881" s="7">
        <v>704</v>
      </c>
      <c r="E1881" s="3">
        <v>9</v>
      </c>
      <c r="G1881" t="s">
        <v>513</v>
      </c>
    </row>
    <row r="1882" spans="1:7" x14ac:dyDescent="0.25">
      <c r="A1882" s="1" t="str">
        <f>"512871"</f>
        <v>512871</v>
      </c>
      <c r="B1882" s="2" t="str">
        <f>"BARQUINHO DATADOR 1 VIA"</f>
        <v>BARQUINHO DATADOR 1 VIA</v>
      </c>
      <c r="C1882" s="2" t="str">
        <f t="shared" si="71"/>
        <v>UN</v>
      </c>
      <c r="D1882" s="7">
        <v>918</v>
      </c>
      <c r="E1882" s="3">
        <v>11</v>
      </c>
      <c r="G1882" t="s">
        <v>512</v>
      </c>
    </row>
    <row r="1883" spans="1:7" x14ac:dyDescent="0.25">
      <c r="A1883" s="1" t="str">
        <f>"522887"</f>
        <v>522887</v>
      </c>
      <c r="B1883" s="2" t="str">
        <f>"BARRA ACOPLAM. INF."</f>
        <v>BARRA ACOPLAM. INF.</v>
      </c>
      <c r="C1883" s="2" t="str">
        <f t="shared" si="71"/>
        <v>UN</v>
      </c>
      <c r="D1883" s="7">
        <v>918</v>
      </c>
      <c r="E1883" s="3">
        <v>10</v>
      </c>
      <c r="G1883" t="s">
        <v>513</v>
      </c>
    </row>
    <row r="1884" spans="1:7" x14ac:dyDescent="0.25">
      <c r="A1884" s="1" t="str">
        <f>"522886"</f>
        <v>522886</v>
      </c>
      <c r="B1884" s="2" t="str">
        <f>"BARRA ACOPLAM. SUP."</f>
        <v>BARRA ACOPLAM. SUP.</v>
      </c>
      <c r="C1884" s="2" t="str">
        <f t="shared" si="71"/>
        <v>UN</v>
      </c>
      <c r="D1884" s="7">
        <v>918</v>
      </c>
      <c r="E1884" s="3">
        <v>10</v>
      </c>
      <c r="G1884" t="s">
        <v>514</v>
      </c>
    </row>
    <row r="1885" spans="1:7" x14ac:dyDescent="0.25">
      <c r="A1885" s="1" t="str">
        <f>"525006"</f>
        <v>525006</v>
      </c>
      <c r="B1885" s="2" t="str">
        <f>"BARRA AGUA 5LTS"</f>
        <v>BARRA AGUA 5LTS</v>
      </c>
      <c r="C1885" s="2" t="str">
        <f t="shared" si="71"/>
        <v>UN</v>
      </c>
      <c r="D1885" s="7">
        <v>917</v>
      </c>
      <c r="E1885" s="3">
        <v>10</v>
      </c>
      <c r="G1885" t="s">
        <v>515</v>
      </c>
    </row>
    <row r="1886" spans="1:7" x14ac:dyDescent="0.25">
      <c r="A1886" s="1" t="str">
        <f>"520674"</f>
        <v>520674</v>
      </c>
      <c r="B1886" s="2" t="str">
        <f>"BARRA ALMINADA 2X500 8641"</f>
        <v>BARRA ALMINADA 2X500 8641</v>
      </c>
      <c r="C1886" s="2" t="str">
        <f t="shared" si="71"/>
        <v>UN</v>
      </c>
      <c r="D1886" s="7">
        <v>1700</v>
      </c>
      <c r="E1886" s="3">
        <v>10</v>
      </c>
      <c r="G1886" t="s">
        <v>512</v>
      </c>
    </row>
    <row r="1887" spans="1:7" x14ac:dyDescent="0.25">
      <c r="A1887" s="1" t="str">
        <f>"520672"</f>
        <v>520672</v>
      </c>
      <c r="B1887" s="2" t="str">
        <f>"BARRA ALMINADA 4.1/2X300 304"</f>
        <v>BARRA ALMINADA 4.1/2X300 304</v>
      </c>
      <c r="C1887" s="2" t="str">
        <f t="shared" si="71"/>
        <v>UN</v>
      </c>
      <c r="D1887" s="7">
        <v>1700</v>
      </c>
      <c r="E1887" s="3">
        <v>10</v>
      </c>
      <c r="G1887" t="s">
        <v>516</v>
      </c>
    </row>
    <row r="1888" spans="1:7" x14ac:dyDescent="0.25">
      <c r="A1888" s="1" t="str">
        <f>"520673"</f>
        <v>520673</v>
      </c>
      <c r="B1888" s="2" t="str">
        <f>"BARRA ALMINADA 4.1/2X300 8641"</f>
        <v>BARRA ALMINADA 4.1/2X300 8641</v>
      </c>
      <c r="C1888" s="2" t="str">
        <f t="shared" si="71"/>
        <v>UN</v>
      </c>
      <c r="D1888" s="7">
        <v>1700</v>
      </c>
      <c r="E1888" s="3">
        <v>10</v>
      </c>
      <c r="G1888" t="s">
        <v>515</v>
      </c>
    </row>
    <row r="1889" spans="1:7" x14ac:dyDescent="0.25">
      <c r="A1889" s="1" t="str">
        <f>"519219"</f>
        <v>519219</v>
      </c>
      <c r="B1889" s="2" t="str">
        <f>"BARRA ALUMINIO DIAMETRO 110MMX1000MM"</f>
        <v>BARRA ALUMINIO DIAMETRO 110MMX1000MM</v>
      </c>
      <c r="C1889" s="2" t="str">
        <f t="shared" si="71"/>
        <v>UN</v>
      </c>
      <c r="D1889" s="7">
        <v>1700</v>
      </c>
      <c r="E1889" s="3">
        <v>10</v>
      </c>
      <c r="G1889" t="s">
        <v>514</v>
      </c>
    </row>
    <row r="1890" spans="1:7" x14ac:dyDescent="0.25">
      <c r="A1890" s="1" t="str">
        <f>"524972"</f>
        <v>524972</v>
      </c>
      <c r="B1890" s="2" t="str">
        <f>"BARRA ANTIESTÁTICA C0-24025"</f>
        <v>BARRA ANTIESTÁTICA C0-24025</v>
      </c>
      <c r="C1890" s="2" t="str">
        <f t="shared" si="71"/>
        <v>UN</v>
      </c>
      <c r="D1890" s="7">
        <v>811</v>
      </c>
      <c r="E1890" s="3">
        <v>11</v>
      </c>
      <c r="G1890" t="s">
        <v>512</v>
      </c>
    </row>
    <row r="1891" spans="1:7" x14ac:dyDescent="0.25">
      <c r="A1891" s="1" t="str">
        <f>"520857"</f>
        <v>520857</v>
      </c>
      <c r="B1891" s="2" t="str">
        <f>"BARRA ANTIESTÁTICA E ASPIRADOR DE PARTICULAS - PSAI"</f>
        <v>BARRA ANTIESTÁTICA E ASPIRADOR DE PARTICULAS - PSAI</v>
      </c>
      <c r="C1891" s="2" t="str">
        <f t="shared" si="71"/>
        <v>UN</v>
      </c>
      <c r="D1891" s="7">
        <v>1300</v>
      </c>
      <c r="E1891" s="3">
        <v>11</v>
      </c>
      <c r="G1891" t="s">
        <v>513</v>
      </c>
    </row>
    <row r="1892" spans="1:7" x14ac:dyDescent="0.25">
      <c r="A1892" s="1" t="str">
        <f>"509986"</f>
        <v>509986</v>
      </c>
      <c r="B1892" s="2" t="str">
        <f>"BARRA ANTIPANICO C/ FECHADURA HOR. SIMPL"</f>
        <v>BARRA ANTIPANICO C/ FECHADURA HOR. SIMPL</v>
      </c>
      <c r="C1892" s="2" t="str">
        <f t="shared" si="71"/>
        <v>UN</v>
      </c>
      <c r="D1892" s="7">
        <v>1700</v>
      </c>
      <c r="E1892" s="3">
        <v>13</v>
      </c>
      <c r="G1892" t="s">
        <v>514</v>
      </c>
    </row>
    <row r="1893" spans="1:7" x14ac:dyDescent="0.25">
      <c r="A1893" s="1" t="str">
        <f>"518044"</f>
        <v>518044</v>
      </c>
      <c r="B1893" s="2" t="str">
        <f>"BARRA ANTI-PANICO CEGA DUPLA"</f>
        <v>BARRA ANTI-PANICO CEGA DUPLA</v>
      </c>
      <c r="C1893" s="2" t="str">
        <f t="shared" si="71"/>
        <v>UN</v>
      </c>
      <c r="D1893" s="7">
        <v>917</v>
      </c>
      <c r="E1893" s="3">
        <v>10</v>
      </c>
      <c r="G1893" t="s">
        <v>514</v>
      </c>
    </row>
    <row r="1894" spans="1:7" x14ac:dyDescent="0.25">
      <c r="A1894" s="1" t="str">
        <f>"527991"</f>
        <v>527991</v>
      </c>
      <c r="B1894" s="2" t="str">
        <f>"BARRA ANTI-PANICO DUPLA C/VARETA, MAÇANETA C/CHAVE E REF.EXT"</f>
        <v>BARRA ANTI-PANICO DUPLA C/VARETA, MAÇANETA C/CHAVE E REF.EXT</v>
      </c>
      <c r="C1894" s="2" t="str">
        <f t="shared" si="71"/>
        <v>UN</v>
      </c>
      <c r="D1894" s="7">
        <v>1700</v>
      </c>
      <c r="E1894" s="3">
        <v>13</v>
      </c>
      <c r="G1894" t="s">
        <v>512</v>
      </c>
    </row>
    <row r="1895" spans="1:7" x14ac:dyDescent="0.25">
      <c r="A1895" s="1" t="str">
        <f>"527082"</f>
        <v>527082</v>
      </c>
      <c r="B1895" s="2" t="str">
        <f>"BARRA CHATA"</f>
        <v>BARRA CHATA</v>
      </c>
      <c r="C1895" s="2" t="str">
        <f t="shared" si="71"/>
        <v>UN</v>
      </c>
      <c r="D1895" s="7">
        <v>99999</v>
      </c>
      <c r="E1895" s="3">
        <v>10</v>
      </c>
      <c r="G1895" t="s">
        <v>513</v>
      </c>
    </row>
    <row r="1896" spans="1:7" x14ac:dyDescent="0.25">
      <c r="A1896" s="1" t="str">
        <f>"519593"</f>
        <v>519593</v>
      </c>
      <c r="B1896" s="2" t="str">
        <f>"BARRA CHATA 1 1/2 X 3/16"" AÇO INOX ESCOVADO"</f>
        <v>BARRA CHATA 1 1/2 X 3/16" AÇO INOX ESCOVADO</v>
      </c>
      <c r="C1896" s="2" t="str">
        <f>"PC"</f>
        <v>PC</v>
      </c>
      <c r="D1896" s="7">
        <v>806</v>
      </c>
      <c r="E1896" s="3">
        <v>10</v>
      </c>
      <c r="G1896" t="s">
        <v>514</v>
      </c>
    </row>
    <row r="1897" spans="1:7" x14ac:dyDescent="0.25">
      <c r="A1897" s="1" t="str">
        <f>"518379"</f>
        <v>518379</v>
      </c>
      <c r="B1897" s="2" t="str">
        <f>"BARRA CHATA 1 1/2"" X 1/8"" INOX"</f>
        <v>BARRA CHATA 1 1/2" X 1/8" INOX</v>
      </c>
      <c r="C1897" s="2" t="str">
        <f t="shared" ref="C1897:C1902" si="72">"UN"</f>
        <v>UN</v>
      </c>
      <c r="D1897" s="7">
        <v>1700</v>
      </c>
      <c r="E1897" s="3">
        <v>10</v>
      </c>
      <c r="G1897" t="s">
        <v>514</v>
      </c>
    </row>
    <row r="1898" spans="1:7" x14ac:dyDescent="0.25">
      <c r="A1898" s="1" t="str">
        <f>"515991"</f>
        <v>515991</v>
      </c>
      <c r="B1898" s="2" t="str">
        <f>"BARRA CHATA 1 1/2"" X 3/16"" AÇO CARBONO"</f>
        <v>BARRA CHATA 1 1/2" X 3/16" AÇO CARBONO</v>
      </c>
      <c r="C1898" s="2" t="str">
        <f t="shared" si="72"/>
        <v>UN</v>
      </c>
      <c r="D1898" s="7">
        <v>917</v>
      </c>
      <c r="E1898" s="3">
        <v>10</v>
      </c>
      <c r="G1898" t="s">
        <v>514</v>
      </c>
    </row>
    <row r="1899" spans="1:7" x14ac:dyDescent="0.25">
      <c r="A1899" s="1" t="str">
        <f>"518619"</f>
        <v>518619</v>
      </c>
      <c r="B1899" s="2" t="str">
        <f>"BARRA CHATA 1 1/4"" X 1/4"" INOX"</f>
        <v>BARRA CHATA 1 1/4" X 1/4" INOX</v>
      </c>
      <c r="C1899" s="2" t="str">
        <f t="shared" si="72"/>
        <v>UN</v>
      </c>
      <c r="D1899" s="7">
        <v>1700</v>
      </c>
      <c r="E1899" s="3">
        <v>10</v>
      </c>
      <c r="G1899" t="s">
        <v>513</v>
      </c>
    </row>
    <row r="1900" spans="1:7" x14ac:dyDescent="0.25">
      <c r="A1900" s="1" t="str">
        <f>"522544"</f>
        <v>522544</v>
      </c>
      <c r="B1900" s="2" t="str">
        <f>"BARRA CHATA 1 1/4"" X 3/16"" AÇO CARBONO"</f>
        <v>BARRA CHATA 1 1/4" X 3/16" AÇO CARBONO</v>
      </c>
      <c r="C1900" s="2" t="str">
        <f t="shared" si="72"/>
        <v>UN</v>
      </c>
      <c r="D1900" s="7">
        <v>917</v>
      </c>
      <c r="E1900" s="3">
        <v>10</v>
      </c>
      <c r="G1900" t="s">
        <v>512</v>
      </c>
    </row>
    <row r="1901" spans="1:7" x14ac:dyDescent="0.25">
      <c r="A1901" s="1" t="str">
        <f>"524667"</f>
        <v>524667</v>
      </c>
      <c r="B1901" s="2" t="str">
        <f>"BARRA CHATA 1 X 1/4 GG"</f>
        <v>BARRA CHATA 1 X 1/4 GG</v>
      </c>
      <c r="C1901" s="2" t="str">
        <f t="shared" si="72"/>
        <v>UN</v>
      </c>
      <c r="D1901" s="7">
        <v>807</v>
      </c>
      <c r="E1901" s="3">
        <v>99</v>
      </c>
      <c r="G1901" t="s">
        <v>513</v>
      </c>
    </row>
    <row r="1902" spans="1:7" x14ac:dyDescent="0.25">
      <c r="A1902" s="1" t="str">
        <f>"524541"</f>
        <v>524541</v>
      </c>
      <c r="B1902" s="2" t="str">
        <f>"BARRA CHATA 1 X 1/8"""</f>
        <v>BARRA CHATA 1 X 1/8"</v>
      </c>
      <c r="C1902" s="2" t="str">
        <f t="shared" si="72"/>
        <v>UN</v>
      </c>
      <c r="D1902" s="7">
        <v>807</v>
      </c>
      <c r="E1902" s="3">
        <v>10</v>
      </c>
      <c r="G1902" t="s">
        <v>514</v>
      </c>
    </row>
    <row r="1903" spans="1:7" x14ac:dyDescent="0.25">
      <c r="A1903" s="1" t="str">
        <f>"512048"</f>
        <v>512048</v>
      </c>
      <c r="B1903" s="2" t="str">
        <f>"BARRA CHATA 1"" X 1/8"" AÇO CARBONO"</f>
        <v>BARRA CHATA 1" X 1/8" AÇO CARBONO</v>
      </c>
      <c r="C1903" s="2" t="str">
        <f>"PC"</f>
        <v>PC</v>
      </c>
      <c r="D1903" s="7">
        <v>806</v>
      </c>
      <c r="E1903" s="3">
        <v>10</v>
      </c>
      <c r="G1903" t="s">
        <v>514</v>
      </c>
    </row>
    <row r="1904" spans="1:7" x14ac:dyDescent="0.25">
      <c r="A1904" s="1" t="str">
        <f>"518428"</f>
        <v>518428</v>
      </c>
      <c r="B1904" s="2" t="str">
        <f>"BARRA CHATA 1"" X 1/8"" AÇO INOX"</f>
        <v>BARRA CHATA 1" X 1/8" AÇO INOX</v>
      </c>
      <c r="C1904" s="2" t="str">
        <f>"UN"</f>
        <v>UN</v>
      </c>
      <c r="D1904" s="7">
        <v>917</v>
      </c>
      <c r="E1904" s="3">
        <v>10</v>
      </c>
      <c r="G1904" t="s">
        <v>514</v>
      </c>
    </row>
    <row r="1905" spans="1:7" x14ac:dyDescent="0.25">
      <c r="A1905" s="1" t="str">
        <f>"511568"</f>
        <v>511568</v>
      </c>
      <c r="B1905" s="2" t="str">
        <f>"BARRA CHATA 1"" X 3/16"" AÇO CARBONO"</f>
        <v>BARRA CHATA 1" X 3/16" AÇO CARBONO</v>
      </c>
      <c r="C1905" s="2" t="str">
        <f>"PC"</f>
        <v>PC</v>
      </c>
      <c r="D1905" s="7">
        <v>806</v>
      </c>
      <c r="E1905" s="3">
        <v>10</v>
      </c>
      <c r="G1905" t="s">
        <v>513</v>
      </c>
    </row>
    <row r="1906" spans="1:7" x14ac:dyDescent="0.25">
      <c r="A1906" s="1" t="str">
        <f>"512754"</f>
        <v>512754</v>
      </c>
      <c r="B1906" s="2" t="str">
        <f>"BARRA CHATA 1.1/2 X 1/4"" AÇO INOX"</f>
        <v>BARRA CHATA 1.1/2 X 1/4" AÇO INOX</v>
      </c>
      <c r="C1906" s="2" t="str">
        <f>"BR"</f>
        <v>BR</v>
      </c>
      <c r="D1906" s="7">
        <v>806</v>
      </c>
      <c r="E1906" s="3">
        <v>10</v>
      </c>
      <c r="G1906" t="s">
        <v>513</v>
      </c>
    </row>
    <row r="1907" spans="1:7" x14ac:dyDescent="0.25">
      <c r="A1907" s="1" t="str">
        <f>"517949"</f>
        <v>517949</v>
      </c>
      <c r="B1907" s="2" t="str">
        <f>"BARRA CHATA 1.1/2 X 1/8"" AÇO CARBONO"</f>
        <v>BARRA CHATA 1.1/2 X 1/8" AÇO CARBONO</v>
      </c>
      <c r="C1907" s="2" t="str">
        <f>"UN"</f>
        <v>UN</v>
      </c>
      <c r="D1907" s="7">
        <v>1700</v>
      </c>
      <c r="E1907" s="3">
        <v>10</v>
      </c>
      <c r="G1907" t="s">
        <v>513</v>
      </c>
    </row>
    <row r="1908" spans="1:7" x14ac:dyDescent="0.25">
      <c r="A1908" s="1" t="str">
        <f>"516590"</f>
        <v>516590</v>
      </c>
      <c r="B1908" s="2" t="str">
        <f>"BARRA CHATA 1.1/2 X 1/8"" AÇO INOX"</f>
        <v>BARRA CHATA 1.1/2 X 1/8" AÇO INOX</v>
      </c>
      <c r="C1908" s="2" t="str">
        <f>"BR"</f>
        <v>BR</v>
      </c>
      <c r="D1908" s="7">
        <v>806</v>
      </c>
      <c r="E1908" s="3">
        <v>10</v>
      </c>
      <c r="G1908" t="s">
        <v>512</v>
      </c>
    </row>
    <row r="1909" spans="1:7" x14ac:dyDescent="0.25">
      <c r="A1909" s="1" t="str">
        <f>"526660"</f>
        <v>526660</v>
      </c>
      <c r="B1909" s="2" t="str">
        <f>"BARRA CHATA 1.1/2X1/4  AÇO CARBONO"</f>
        <v>BARRA CHATA 1.1/2X1/4  AÇO CARBONO</v>
      </c>
      <c r="C1909" s="2" t="str">
        <f>"BR"</f>
        <v>BR</v>
      </c>
      <c r="D1909" s="7">
        <v>807</v>
      </c>
      <c r="E1909" s="3">
        <v>10</v>
      </c>
      <c r="G1909" t="s">
        <v>513</v>
      </c>
    </row>
    <row r="1910" spans="1:7" x14ac:dyDescent="0.25">
      <c r="A1910" s="1" t="str">
        <f>"511761"</f>
        <v>511761</v>
      </c>
      <c r="B1910" s="2" t="str">
        <f>"BARRA CHATA 1/2 X 3/16"""</f>
        <v>BARRA CHATA 1/2 X 3/16"</v>
      </c>
      <c r="C1910" s="2" t="str">
        <f>"PC"</f>
        <v>PC</v>
      </c>
      <c r="D1910" s="7">
        <v>806</v>
      </c>
      <c r="E1910" s="3">
        <v>10</v>
      </c>
      <c r="G1910" t="s">
        <v>514</v>
      </c>
    </row>
    <row r="1911" spans="1:7" x14ac:dyDescent="0.25">
      <c r="A1911" s="1" t="str">
        <f>"512997"</f>
        <v>512997</v>
      </c>
      <c r="B1911" s="2" t="str">
        <f>"BARRA CHATA 2"" X 3/16"" AÇO INOX ESCOVADO"</f>
        <v>BARRA CHATA 2" X 3/16" AÇO INOX ESCOVADO</v>
      </c>
      <c r="C1911" s="2" t="str">
        <f>"PC"</f>
        <v>PC</v>
      </c>
      <c r="D1911" s="7">
        <v>806</v>
      </c>
      <c r="E1911" s="3">
        <v>10</v>
      </c>
      <c r="G1911" t="s">
        <v>515</v>
      </c>
    </row>
    <row r="1912" spans="1:7" x14ac:dyDescent="0.25">
      <c r="A1912" s="1" t="str">
        <f>"519300"</f>
        <v>519300</v>
      </c>
      <c r="B1912" s="2" t="str">
        <f>"BARRA CHATA 2""X3/8"" AÇO CARBONO"</f>
        <v>BARRA CHATA 2"X3/8" AÇO CARBONO</v>
      </c>
      <c r="C1912" s="2" t="str">
        <f>"BR"</f>
        <v>BR</v>
      </c>
      <c r="D1912" s="7">
        <v>806</v>
      </c>
      <c r="E1912" s="3">
        <v>10</v>
      </c>
      <c r="G1912" t="s">
        <v>512</v>
      </c>
    </row>
    <row r="1913" spans="1:7" x14ac:dyDescent="0.25">
      <c r="A1913" s="1" t="str">
        <f>"524542"</f>
        <v>524542</v>
      </c>
      <c r="B1913" s="2" t="str">
        <f>"BARRA CHATA 2.1/2 X 3/16"" AÇO CARBONO"</f>
        <v>BARRA CHATA 2.1/2 X 3/16" AÇO CARBONO</v>
      </c>
      <c r="C1913" s="2" t="str">
        <f>"BR"</f>
        <v>BR</v>
      </c>
      <c r="D1913" s="7">
        <v>806</v>
      </c>
      <c r="E1913" s="3">
        <v>10</v>
      </c>
      <c r="G1913" t="s">
        <v>516</v>
      </c>
    </row>
    <row r="1914" spans="1:7" x14ac:dyDescent="0.25">
      <c r="A1914" s="1" t="str">
        <f>"513033"</f>
        <v>513033</v>
      </c>
      <c r="B1914" s="2" t="str">
        <f>"BARRA CHATA 2.1/2 X 5/16"" AÇO CARBONO"</f>
        <v>BARRA CHATA 2.1/2 X 5/16" AÇO CARBONO</v>
      </c>
      <c r="C1914" s="2" t="str">
        <f>"BR"</f>
        <v>BR</v>
      </c>
      <c r="D1914" s="7">
        <v>806</v>
      </c>
      <c r="E1914" s="3">
        <v>10</v>
      </c>
      <c r="G1914" t="s">
        <v>515</v>
      </c>
    </row>
    <row r="1915" spans="1:7" x14ac:dyDescent="0.25">
      <c r="A1915" s="1" t="str">
        <f>"519104"</f>
        <v>519104</v>
      </c>
      <c r="B1915" s="2" t="str">
        <f>"BARRA CHATA 2.1/2 X 5/8"" AÇO CARBONO"</f>
        <v>BARRA CHATA 2.1/2 X 5/8" AÇO CARBONO</v>
      </c>
      <c r="C1915" s="2" t="str">
        <f>"BR"</f>
        <v>BR</v>
      </c>
      <c r="D1915" s="7">
        <v>806</v>
      </c>
      <c r="E1915" s="3">
        <v>10</v>
      </c>
      <c r="G1915" t="s">
        <v>514</v>
      </c>
    </row>
    <row r="1916" spans="1:7" x14ac:dyDescent="0.25">
      <c r="A1916" s="1" t="str">
        <f>"526476"</f>
        <v>526476</v>
      </c>
      <c r="B1916" s="2" t="str">
        <f>"BARRA CHATA 20MM X 3MM X 6MTS"</f>
        <v>BARRA CHATA 20MM X 3MM X 6MTS</v>
      </c>
      <c r="C1916" s="2" t="str">
        <f>"UN"</f>
        <v>UN</v>
      </c>
      <c r="D1916" s="7">
        <v>99999</v>
      </c>
      <c r="E1916" s="3">
        <v>99</v>
      </c>
      <c r="G1916" t="s">
        <v>512</v>
      </c>
    </row>
    <row r="1917" spans="1:7" x14ac:dyDescent="0.25">
      <c r="A1917" s="1" t="str">
        <f>"518534"</f>
        <v>518534</v>
      </c>
      <c r="B1917" s="2" t="str">
        <f>"BARRA CHATA 3""X3/8"" INOX 304"</f>
        <v>BARRA CHATA 3"X3/8" INOX 304</v>
      </c>
      <c r="C1917" s="2" t="str">
        <f>"BR"</f>
        <v>BR</v>
      </c>
      <c r="D1917" s="7">
        <v>806</v>
      </c>
      <c r="E1917" s="3">
        <v>10</v>
      </c>
      <c r="G1917" t="s">
        <v>513</v>
      </c>
    </row>
    <row r="1918" spans="1:7" x14ac:dyDescent="0.25">
      <c r="A1918" s="1" t="str">
        <f>"510718"</f>
        <v>510718</v>
      </c>
      <c r="B1918" s="2" t="str">
        <f>"BARRA CHATA 3/16 X 1"" AÇO CARBONO"</f>
        <v>BARRA CHATA 3/16 X 1" AÇO CARBONO</v>
      </c>
      <c r="C1918" s="2" t="str">
        <f>"UN"</f>
        <v>UN</v>
      </c>
      <c r="D1918" s="7">
        <v>917</v>
      </c>
      <c r="E1918" s="3">
        <v>11</v>
      </c>
      <c r="G1918" t="s">
        <v>514</v>
      </c>
    </row>
    <row r="1919" spans="1:7" x14ac:dyDescent="0.25">
      <c r="A1919" s="1" t="str">
        <f>"523180"</f>
        <v>523180</v>
      </c>
      <c r="B1919" s="2" t="str">
        <f>"BARRA CHATA 3/4 X 1/8 ALUMINIO"</f>
        <v>BARRA CHATA 3/4 X 1/8 ALUMINIO</v>
      </c>
      <c r="C1919" s="2" t="str">
        <f>"UN"</f>
        <v>UN</v>
      </c>
      <c r="D1919" s="7">
        <v>811</v>
      </c>
      <c r="E1919" s="3">
        <v>4</v>
      </c>
      <c r="G1919" t="s">
        <v>514</v>
      </c>
    </row>
    <row r="1920" spans="1:7" x14ac:dyDescent="0.25">
      <c r="A1920" s="1" t="str">
        <f>"509683"</f>
        <v>509683</v>
      </c>
      <c r="B1920" s="2" t="str">
        <f>"BARRA CHATA 3/4 X 1/8"" AÇO CARBONO"</f>
        <v>BARRA CHATA 3/4 X 1/8" AÇO CARBONO</v>
      </c>
      <c r="C1920" s="2" t="str">
        <f>"UN"</f>
        <v>UN</v>
      </c>
      <c r="D1920" s="7">
        <v>403</v>
      </c>
      <c r="E1920" s="3">
        <v>4</v>
      </c>
      <c r="G1920" t="s">
        <v>512</v>
      </c>
    </row>
    <row r="1921" spans="1:7" x14ac:dyDescent="0.25">
      <c r="A1921" s="1" t="str">
        <f>"523214"</f>
        <v>523214</v>
      </c>
      <c r="B1921" s="2" t="str">
        <f>"BARRA CHATA 3/4 X 3/16"" X100MM AÇO INOX"</f>
        <v>BARRA CHATA 3/4 X 3/16" X100MM AÇO INOX</v>
      </c>
      <c r="C1921" s="2" t="str">
        <f>"BR"</f>
        <v>BR</v>
      </c>
      <c r="D1921" s="7">
        <v>917</v>
      </c>
      <c r="E1921" s="3">
        <v>10</v>
      </c>
      <c r="G1921" t="s">
        <v>513</v>
      </c>
    </row>
    <row r="1922" spans="1:7" x14ac:dyDescent="0.25">
      <c r="A1922" s="1" t="str">
        <f>"522875"</f>
        <v>522875</v>
      </c>
      <c r="B1922" s="2" t="str">
        <f>"BARRA CHATA 3/4 X 3/16"" X50MM AÇO INOX"</f>
        <v>BARRA CHATA 3/4 X 3/16" X50MM AÇO INOX</v>
      </c>
      <c r="C1922" s="2" t="str">
        <f>"BR"</f>
        <v>BR</v>
      </c>
      <c r="D1922" s="7">
        <v>917</v>
      </c>
      <c r="E1922" s="3">
        <v>10</v>
      </c>
      <c r="G1922" t="s">
        <v>514</v>
      </c>
    </row>
    <row r="1923" spans="1:7" x14ac:dyDescent="0.25">
      <c r="A1923" s="1" t="str">
        <f>"509658"</f>
        <v>509658</v>
      </c>
      <c r="B1923" s="2" t="str">
        <f>"BARRA CHATA 3/4 X 3/8"" AÇO INOX"</f>
        <v>BARRA CHATA 3/4 X 3/8" AÇO INOX</v>
      </c>
      <c r="C1923" s="2" t="str">
        <f>"UN"</f>
        <v>UN</v>
      </c>
      <c r="D1923" s="7">
        <v>917</v>
      </c>
      <c r="E1923" s="3">
        <v>10</v>
      </c>
      <c r="G1923" t="s">
        <v>514</v>
      </c>
    </row>
    <row r="1924" spans="1:7" x14ac:dyDescent="0.25">
      <c r="A1924" s="1" t="str">
        <f>"519368"</f>
        <v>519368</v>
      </c>
      <c r="B1924" s="2" t="str">
        <f>"BARRA CHATA 350X65#1/2""  AÇO CARBONO"</f>
        <v>BARRA CHATA 350X65#1/2"  AÇO CARBONO</v>
      </c>
      <c r="C1924" s="2" t="str">
        <f>"PC"</f>
        <v>PC</v>
      </c>
      <c r="D1924" s="7">
        <v>806</v>
      </c>
      <c r="E1924" s="3">
        <v>10</v>
      </c>
      <c r="G1924" t="s">
        <v>514</v>
      </c>
    </row>
    <row r="1925" spans="1:7" x14ac:dyDescent="0.25">
      <c r="A1925" s="1" t="str">
        <f>"512916"</f>
        <v>512916</v>
      </c>
      <c r="B1925" s="2" t="str">
        <f>"BARRA CHATA 5/8 X 3/16"</f>
        <v>BARRA CHATA 5/8 X 3/16</v>
      </c>
      <c r="C1925" s="2" t="str">
        <f>"UN"</f>
        <v>UN</v>
      </c>
      <c r="D1925" s="7">
        <v>917</v>
      </c>
      <c r="E1925" s="3">
        <v>11</v>
      </c>
      <c r="G1925" t="s">
        <v>513</v>
      </c>
    </row>
    <row r="1926" spans="1:7" x14ac:dyDescent="0.25">
      <c r="A1926" s="1" t="str">
        <f>"511860"</f>
        <v>511860</v>
      </c>
      <c r="B1926" s="2" t="str">
        <f>"BARRA CHATA 7/8 X 1/8"""</f>
        <v>BARRA CHATA 7/8 X 1/8"</v>
      </c>
      <c r="C1926" s="2" t="str">
        <f>"PC"</f>
        <v>PC</v>
      </c>
      <c r="D1926" s="7">
        <v>806</v>
      </c>
      <c r="E1926" s="3">
        <v>10</v>
      </c>
      <c r="G1926" t="s">
        <v>512</v>
      </c>
    </row>
    <row r="1927" spans="1:7" x14ac:dyDescent="0.25">
      <c r="A1927" s="1" t="str">
        <f>"521786"</f>
        <v>521786</v>
      </c>
      <c r="B1927" s="2" t="str">
        <f>"BARRA CHATA AÇO CARBONO 1020 2"" X 1/2"""</f>
        <v>BARRA CHATA AÇO CARBONO 1020 2" X 1/2"</v>
      </c>
      <c r="C1927" s="2" t="str">
        <f>"PC"</f>
        <v>PC</v>
      </c>
      <c r="D1927" s="7">
        <v>806</v>
      </c>
      <c r="E1927" s="3">
        <v>10</v>
      </c>
      <c r="G1927" t="s">
        <v>513</v>
      </c>
    </row>
    <row r="1928" spans="1:7" x14ac:dyDescent="0.25">
      <c r="A1928" s="1" t="str">
        <f>"505707"</f>
        <v>505707</v>
      </c>
      <c r="B1928" s="2" t="str">
        <f>"BARRA CHATA AÇO CARBONO 2""X1/4"""</f>
        <v>BARRA CHATA AÇO CARBONO 2"X1/4"</v>
      </c>
      <c r="C1928" s="2" t="str">
        <f>"PC"</f>
        <v>PC</v>
      </c>
      <c r="D1928" s="7">
        <v>806</v>
      </c>
      <c r="E1928" s="3">
        <v>10</v>
      </c>
      <c r="G1928" t="s">
        <v>514</v>
      </c>
    </row>
    <row r="1929" spans="1:7" x14ac:dyDescent="0.25">
      <c r="A1929" s="1" t="str">
        <f>"523473"</f>
        <v>523473</v>
      </c>
      <c r="B1929" s="2" t="str">
        <f>"BARRA CHATA AÇO CARBONO 2""X3/16"""</f>
        <v>BARRA CHATA AÇO CARBONO 2"X3/16"</v>
      </c>
      <c r="C1929" s="2" t="str">
        <f>"PC"</f>
        <v>PC</v>
      </c>
      <c r="D1929" s="7">
        <v>806</v>
      </c>
      <c r="E1929" s="3">
        <v>10</v>
      </c>
      <c r="G1929" t="s">
        <v>514</v>
      </c>
    </row>
    <row r="1930" spans="1:7" x14ac:dyDescent="0.25">
      <c r="A1930" s="1" t="str">
        <f>"522495"</f>
        <v>522495</v>
      </c>
      <c r="B1930" s="2" t="str">
        <f>"BARRA CHATA AÇO CARBONO 2/12 # 3/16"</f>
        <v>BARRA CHATA AÇO CARBONO 2/12 # 3/16</v>
      </c>
      <c r="C1930" s="2" t="str">
        <f t="shared" ref="C1930:C1936" si="73">"UN"</f>
        <v>UN</v>
      </c>
      <c r="D1930" s="7">
        <v>807</v>
      </c>
      <c r="E1930" s="3">
        <v>10</v>
      </c>
      <c r="G1930" t="s">
        <v>514</v>
      </c>
    </row>
    <row r="1931" spans="1:7" x14ac:dyDescent="0.25">
      <c r="A1931" s="1" t="str">
        <f>"522729"</f>
        <v>522729</v>
      </c>
      <c r="B1931" s="2" t="str">
        <f>"BARRA CHATA AÇO CARBONO 3"" # 3/8"</f>
        <v>BARRA CHATA AÇO CARBONO 3" # 3/8</v>
      </c>
      <c r="C1931" s="2" t="str">
        <f t="shared" si="73"/>
        <v>UN</v>
      </c>
      <c r="D1931" s="7">
        <v>807</v>
      </c>
      <c r="E1931" s="3">
        <v>10</v>
      </c>
      <c r="G1931" t="s">
        <v>513</v>
      </c>
    </row>
    <row r="1932" spans="1:7" x14ac:dyDescent="0.25">
      <c r="A1932" s="1" t="str">
        <f>"522494"</f>
        <v>522494</v>
      </c>
      <c r="B1932" s="2" t="str">
        <f>"BARRA CHATA AÇO CARBONO 4"" # 3/16"</f>
        <v>BARRA CHATA AÇO CARBONO 4" # 3/16</v>
      </c>
      <c r="C1932" s="2" t="str">
        <f t="shared" si="73"/>
        <v>UN</v>
      </c>
      <c r="D1932" s="7">
        <v>807</v>
      </c>
      <c r="E1932" s="3">
        <v>10</v>
      </c>
      <c r="G1932" t="s">
        <v>513</v>
      </c>
    </row>
    <row r="1933" spans="1:7" x14ac:dyDescent="0.25">
      <c r="A1933" s="1" t="str">
        <f>"524990"</f>
        <v>524990</v>
      </c>
      <c r="B1933" s="2" t="str">
        <f>"BARRA CHATA AÇO CARBONO 4"" X 1/2"</f>
        <v>BARRA CHATA AÇO CARBONO 4" X 1/2</v>
      </c>
      <c r="C1933" s="2" t="str">
        <f t="shared" si="73"/>
        <v>UN</v>
      </c>
      <c r="D1933" s="7">
        <v>99999</v>
      </c>
      <c r="E1933" s="3">
        <v>99</v>
      </c>
      <c r="G1933" t="s">
        <v>513</v>
      </c>
    </row>
    <row r="1934" spans="1:7" x14ac:dyDescent="0.25">
      <c r="A1934" s="1" t="str">
        <f>"524557"</f>
        <v>524557</v>
      </c>
      <c r="B1934" s="2" t="str">
        <f>"BARRA CHATA AÇO CARBONO 4"" X 4"" X 1/4"</f>
        <v>BARRA CHATA AÇO CARBONO 4" X 4" X 1/4</v>
      </c>
      <c r="C1934" s="2" t="str">
        <f t="shared" si="73"/>
        <v>UN</v>
      </c>
      <c r="D1934" s="7">
        <v>917</v>
      </c>
      <c r="E1934" s="3">
        <v>10</v>
      </c>
      <c r="G1934" t="s">
        <v>512</v>
      </c>
    </row>
    <row r="1935" spans="1:7" x14ac:dyDescent="0.25">
      <c r="A1935" s="1" t="str">
        <f>"503945"</f>
        <v>503945</v>
      </c>
      <c r="B1935" s="2" t="str">
        <f>"BARRA CHATA ACO INOX 2000X30MM #1,2MM"</f>
        <v>BARRA CHATA ACO INOX 2000X30MM #1,2MM</v>
      </c>
      <c r="C1935" s="2" t="str">
        <f t="shared" si="73"/>
        <v>UN</v>
      </c>
      <c r="D1935" s="7">
        <v>402</v>
      </c>
      <c r="E1935" s="3">
        <v>4</v>
      </c>
      <c r="G1935" t="s">
        <v>513</v>
      </c>
    </row>
    <row r="1936" spans="1:7" x14ac:dyDescent="0.25">
      <c r="A1936" s="1" t="str">
        <f>"518592"</f>
        <v>518592</v>
      </c>
      <c r="B1936" s="2" t="str">
        <f>"BARRA CHATA INOX 150 X 50 X 1/2"</f>
        <v>BARRA CHATA INOX 150 X 50 X 1/2</v>
      </c>
      <c r="C1936" s="2" t="str">
        <f t="shared" si="73"/>
        <v>UN</v>
      </c>
      <c r="D1936" s="7">
        <v>918</v>
      </c>
      <c r="E1936" s="3">
        <v>10</v>
      </c>
      <c r="G1936" t="s">
        <v>514</v>
      </c>
    </row>
    <row r="1937" spans="1:7" x14ac:dyDescent="0.25">
      <c r="A1937" s="1" t="str">
        <f>"525257"</f>
        <v>525257</v>
      </c>
      <c r="B1937" s="2" t="str">
        <f>"BARRA CHATA INOX 304 POLIDO 1"" X 1"" X 1/8 - 6MT"</f>
        <v>BARRA CHATA INOX 304 POLIDO 1" X 1" X 1/8 - 6MT</v>
      </c>
      <c r="C1937" s="2" t="str">
        <f>"BR"</f>
        <v>BR</v>
      </c>
      <c r="D1937" s="7">
        <v>816</v>
      </c>
      <c r="E1937" s="3">
        <v>10</v>
      </c>
      <c r="G1937" t="s">
        <v>515</v>
      </c>
    </row>
    <row r="1938" spans="1:7" x14ac:dyDescent="0.25">
      <c r="A1938" s="1" t="str">
        <f>"525268"</f>
        <v>525268</v>
      </c>
      <c r="B1938" s="2" t="str">
        <f>"BARRA CHATA INOX 4"" x 3/16"</f>
        <v>BARRA CHATA INOX 4" x 3/16</v>
      </c>
      <c r="C1938" s="2" t="str">
        <f>"BR"</f>
        <v>BR</v>
      </c>
      <c r="D1938" s="7">
        <v>99999</v>
      </c>
      <c r="E1938" s="3">
        <v>99</v>
      </c>
      <c r="G1938" t="s">
        <v>512</v>
      </c>
    </row>
    <row r="1939" spans="1:7" x14ac:dyDescent="0.25">
      <c r="A1939" s="1" t="str">
        <f>"525181"</f>
        <v>525181</v>
      </c>
      <c r="B1939" s="2" t="str">
        <f>"BARRA CHATA INOX LARG. 30MM X COMP. 40MM X ESP. 6MM"</f>
        <v>BARRA CHATA INOX LARG. 30MM X COMP. 40MM X ESP. 6MM</v>
      </c>
      <c r="C1939" s="2" t="str">
        <f t="shared" ref="C1939:C1985" si="74">"UN"</f>
        <v>UN</v>
      </c>
      <c r="D1939" s="7">
        <v>99999</v>
      </c>
      <c r="E1939" s="3">
        <v>10</v>
      </c>
      <c r="G1939" t="s">
        <v>516</v>
      </c>
    </row>
    <row r="1940" spans="1:7" x14ac:dyDescent="0.25">
      <c r="A1940" s="1" t="str">
        <f>"518495"</f>
        <v>518495</v>
      </c>
      <c r="B1940" s="2" t="str">
        <f>"BARRA CHATA LATÃO"</f>
        <v>BARRA CHATA LATÃO</v>
      </c>
      <c r="C1940" s="2" t="str">
        <f t="shared" si="74"/>
        <v>UN</v>
      </c>
      <c r="D1940" s="7">
        <v>918</v>
      </c>
      <c r="E1940" s="3">
        <v>11</v>
      </c>
      <c r="G1940" t="s">
        <v>515</v>
      </c>
    </row>
    <row r="1941" spans="1:7" x14ac:dyDescent="0.25">
      <c r="A1941" s="1" t="str">
        <f>"502578"</f>
        <v>502578</v>
      </c>
      <c r="B1941" s="2" t="str">
        <f>"BARRA CURTA DIREÇAO"</f>
        <v>BARRA CURTA DIREÇAO</v>
      </c>
      <c r="C1941" s="2" t="str">
        <f t="shared" si="74"/>
        <v>UN</v>
      </c>
      <c r="D1941" s="7">
        <v>704</v>
      </c>
      <c r="E1941" s="3">
        <v>9</v>
      </c>
      <c r="G1941" t="s">
        <v>514</v>
      </c>
    </row>
    <row r="1942" spans="1:7" x14ac:dyDescent="0.25">
      <c r="A1942" s="1" t="str">
        <f>"522905"</f>
        <v>522905</v>
      </c>
      <c r="B1942" s="2" t="str">
        <f>"BARRA DE AÇO CA-50 DN=10,0MM X 12MTS"</f>
        <v>BARRA DE AÇO CA-50 DN=10,0MM X 12MTS</v>
      </c>
      <c r="C1942" s="2" t="str">
        <f t="shared" si="74"/>
        <v>UN</v>
      </c>
      <c r="D1942" s="7">
        <v>917</v>
      </c>
      <c r="E1942" s="3">
        <v>10</v>
      </c>
      <c r="G1942" t="s">
        <v>512</v>
      </c>
    </row>
    <row r="1943" spans="1:7" x14ac:dyDescent="0.25">
      <c r="A1943" s="1" t="str">
        <f>"522906"</f>
        <v>522906</v>
      </c>
      <c r="B1943" s="2" t="str">
        <f>"BARRA DE AÇO CA-50 DN=12,5MM X 12MTS"</f>
        <v>BARRA DE AÇO CA-50 DN=12,5MM X 12MTS</v>
      </c>
      <c r="C1943" s="2" t="str">
        <f t="shared" si="74"/>
        <v>UN</v>
      </c>
      <c r="D1943" s="7">
        <v>917</v>
      </c>
      <c r="E1943" s="3">
        <v>10</v>
      </c>
      <c r="G1943" t="s">
        <v>513</v>
      </c>
    </row>
    <row r="1944" spans="1:7" x14ac:dyDescent="0.25">
      <c r="A1944" s="1" t="str">
        <f>"522903"</f>
        <v>522903</v>
      </c>
      <c r="B1944" s="2" t="str">
        <f>"BARRA DE AÇO CA-50 DN=6,3MM X 12MTS"</f>
        <v>BARRA DE AÇO CA-50 DN=6,3MM X 12MTS</v>
      </c>
      <c r="C1944" s="2" t="str">
        <f t="shared" si="74"/>
        <v>UN</v>
      </c>
      <c r="D1944" s="7">
        <v>917</v>
      </c>
      <c r="E1944" s="3">
        <v>10</v>
      </c>
      <c r="G1944" t="s">
        <v>514</v>
      </c>
    </row>
    <row r="1945" spans="1:7" x14ac:dyDescent="0.25">
      <c r="A1945" s="1" t="str">
        <f>"522904"</f>
        <v>522904</v>
      </c>
      <c r="B1945" s="2" t="str">
        <f>"BARRA DE AÇO CA-50 DN=8,0MM X 12MTS"</f>
        <v>BARRA DE AÇO CA-50 DN=8,0MM X 12MTS</v>
      </c>
      <c r="C1945" s="2" t="str">
        <f t="shared" si="74"/>
        <v>UN</v>
      </c>
      <c r="D1945" s="7">
        <v>917</v>
      </c>
      <c r="E1945" s="3">
        <v>10</v>
      </c>
      <c r="G1945" t="s">
        <v>514</v>
      </c>
    </row>
    <row r="1946" spans="1:7" x14ac:dyDescent="0.25">
      <c r="A1946" s="1" t="str">
        <f>"522902"</f>
        <v>522902</v>
      </c>
      <c r="B1946" s="2" t="str">
        <f>"BARRA DE AÇO CA-60 DN=4,2MM X 12MTS"</f>
        <v>BARRA DE AÇO CA-60 DN=4,2MM X 12MTS</v>
      </c>
      <c r="C1946" s="2" t="str">
        <f t="shared" si="74"/>
        <v>UN</v>
      </c>
      <c r="D1946" s="7">
        <v>917</v>
      </c>
      <c r="E1946" s="3">
        <v>10</v>
      </c>
      <c r="G1946" t="s">
        <v>512</v>
      </c>
    </row>
    <row r="1947" spans="1:7" x14ac:dyDescent="0.25">
      <c r="A1947" s="1" t="str">
        <f>"508158"</f>
        <v>508158</v>
      </c>
      <c r="B1947" s="2" t="str">
        <f>"BARRA DE AÇO CARBONO LISO 3/4"""</f>
        <v>BARRA DE AÇO CARBONO LISO 3/4"</v>
      </c>
      <c r="C1947" s="2" t="str">
        <f t="shared" si="74"/>
        <v>UN</v>
      </c>
      <c r="D1947" s="7">
        <v>1700</v>
      </c>
      <c r="E1947" s="3">
        <v>13</v>
      </c>
      <c r="G1947" t="s">
        <v>513</v>
      </c>
    </row>
    <row r="1948" spans="1:7" x14ac:dyDescent="0.25">
      <c r="A1948" s="1" t="str">
        <f>"515231"</f>
        <v>515231</v>
      </c>
      <c r="B1948" s="2" t="str">
        <f>"BARRA DE CEREAL"</f>
        <v>BARRA DE CEREAL</v>
      </c>
      <c r="C1948" s="2" t="str">
        <f t="shared" si="74"/>
        <v>UN</v>
      </c>
      <c r="D1948" s="7">
        <v>401</v>
      </c>
      <c r="E1948" s="3">
        <v>4</v>
      </c>
      <c r="G1948" t="s">
        <v>514</v>
      </c>
    </row>
    <row r="1949" spans="1:7" x14ac:dyDescent="0.25">
      <c r="A1949" s="1" t="str">
        <f>"502854"</f>
        <v>502854</v>
      </c>
      <c r="B1949" s="2" t="str">
        <f>"BARRA DE DIREÇAO NAKATA N-237"</f>
        <v>BARRA DE DIREÇAO NAKATA N-237</v>
      </c>
      <c r="C1949" s="2" t="str">
        <f t="shared" si="74"/>
        <v>UN</v>
      </c>
      <c r="D1949" s="7">
        <v>704</v>
      </c>
      <c r="E1949" s="3">
        <v>9</v>
      </c>
      <c r="G1949" t="s">
        <v>514</v>
      </c>
    </row>
    <row r="1950" spans="1:7" x14ac:dyDescent="0.25">
      <c r="A1950" s="1" t="str">
        <f>"500558"</f>
        <v>500558</v>
      </c>
      <c r="B1950" s="2" t="str">
        <f>"BARRA DE ESTANHO 50 X 50"</f>
        <v>BARRA DE ESTANHO 50 X 50</v>
      </c>
      <c r="C1950" s="2" t="str">
        <f t="shared" si="74"/>
        <v>UN</v>
      </c>
      <c r="D1950" s="7">
        <v>402</v>
      </c>
      <c r="E1950" s="3">
        <v>4</v>
      </c>
      <c r="G1950" t="s">
        <v>514</v>
      </c>
    </row>
    <row r="1951" spans="1:7" x14ac:dyDescent="0.25">
      <c r="A1951" s="1" t="str">
        <f>"527851"</f>
        <v>527851</v>
      </c>
      <c r="B1951" s="2" t="str">
        <f>"BARRA DE FERRO 1"""</f>
        <v>BARRA DE FERRO 1"</v>
      </c>
      <c r="C1951" s="2" t="str">
        <f t="shared" si="74"/>
        <v>UN</v>
      </c>
      <c r="D1951" s="7">
        <v>402</v>
      </c>
      <c r="E1951" s="3">
        <v>4</v>
      </c>
      <c r="G1951" t="s">
        <v>513</v>
      </c>
    </row>
    <row r="1952" spans="1:7" x14ac:dyDescent="0.25">
      <c r="A1952" s="1" t="str">
        <f>"500133"</f>
        <v>500133</v>
      </c>
      <c r="B1952" s="2" t="str">
        <f>"BARRA DE FERRO 1/4"</f>
        <v>BARRA DE FERRO 1/4</v>
      </c>
      <c r="C1952" s="2" t="str">
        <f t="shared" si="74"/>
        <v>UN</v>
      </c>
      <c r="D1952" s="7">
        <v>403</v>
      </c>
      <c r="E1952" s="3">
        <v>4</v>
      </c>
      <c r="G1952" t="s">
        <v>512</v>
      </c>
    </row>
    <row r="1953" spans="1:7" x14ac:dyDescent="0.25">
      <c r="A1953" s="1" t="str">
        <f>"522259"</f>
        <v>522259</v>
      </c>
      <c r="B1953" s="2" t="str">
        <f>"BARRA DE FERRO 10,0 MM"</f>
        <v>BARRA DE FERRO 10,0 MM</v>
      </c>
      <c r="C1953" s="2" t="str">
        <f t="shared" si="74"/>
        <v>UN</v>
      </c>
      <c r="D1953" s="7">
        <v>402</v>
      </c>
      <c r="E1953" s="3">
        <v>4</v>
      </c>
      <c r="G1953" t="s">
        <v>513</v>
      </c>
    </row>
    <row r="1954" spans="1:7" x14ac:dyDescent="0.25">
      <c r="A1954" s="1" t="str">
        <f>"505356"</f>
        <v>505356</v>
      </c>
      <c r="B1954" s="2" t="str">
        <f>"BARRA DE FERRO 12.5"</f>
        <v>BARRA DE FERRO 12.5</v>
      </c>
      <c r="C1954" s="2" t="str">
        <f t="shared" si="74"/>
        <v>UN</v>
      </c>
      <c r="D1954" s="7">
        <v>402</v>
      </c>
      <c r="E1954" s="3">
        <v>4</v>
      </c>
      <c r="G1954" t="s">
        <v>514</v>
      </c>
    </row>
    <row r="1955" spans="1:7" x14ac:dyDescent="0.25">
      <c r="A1955" s="1" t="str">
        <f>"521787"</f>
        <v>521787</v>
      </c>
      <c r="B1955" s="2" t="str">
        <f>"BARRA DE FERRO 16 MM"</f>
        <v>BARRA DE FERRO 16 MM</v>
      </c>
      <c r="C1955" s="2" t="str">
        <f t="shared" si="74"/>
        <v>UN</v>
      </c>
      <c r="D1955" s="7">
        <v>403</v>
      </c>
      <c r="E1955" s="3">
        <v>4</v>
      </c>
      <c r="G1955" t="s">
        <v>514</v>
      </c>
    </row>
    <row r="1956" spans="1:7" x14ac:dyDescent="0.25">
      <c r="A1956" s="1" t="str">
        <f>"524455"</f>
        <v>524455</v>
      </c>
      <c r="B1956" s="2" t="str">
        <f>"BARRA DE FERRO 3,6MM"</f>
        <v>BARRA DE FERRO 3,6MM</v>
      </c>
      <c r="C1956" s="2" t="str">
        <f t="shared" si="74"/>
        <v>UN</v>
      </c>
      <c r="D1956" s="7">
        <v>403</v>
      </c>
      <c r="E1956" s="3">
        <v>4</v>
      </c>
      <c r="G1956" t="s">
        <v>514</v>
      </c>
    </row>
    <row r="1957" spans="1:7" x14ac:dyDescent="0.25">
      <c r="A1957" s="1" t="str">
        <f>"513129"</f>
        <v>513129</v>
      </c>
      <c r="B1957" s="2" t="str">
        <f>"BARRA DE FERRO 3/4"</f>
        <v>BARRA DE FERRO 3/4</v>
      </c>
      <c r="C1957" s="2" t="str">
        <f t="shared" si="74"/>
        <v>UN</v>
      </c>
      <c r="D1957" s="7">
        <v>803</v>
      </c>
      <c r="E1957" s="3">
        <v>10</v>
      </c>
      <c r="G1957" t="s">
        <v>513</v>
      </c>
    </row>
    <row r="1958" spans="1:7" x14ac:dyDescent="0.25">
      <c r="A1958" s="1" t="str">
        <f>"500131"</f>
        <v>500131</v>
      </c>
      <c r="B1958" s="2" t="str">
        <f>"BARRA DE FERRO 3/8"</f>
        <v>BARRA DE FERRO 3/8</v>
      </c>
      <c r="C1958" s="2" t="str">
        <f t="shared" si="74"/>
        <v>UN</v>
      </c>
      <c r="D1958" s="7">
        <v>403</v>
      </c>
      <c r="E1958" s="3">
        <v>4</v>
      </c>
      <c r="G1958" t="s">
        <v>513</v>
      </c>
    </row>
    <row r="1959" spans="1:7" x14ac:dyDescent="0.25">
      <c r="A1959" s="1" t="str">
        <f>"500104"</f>
        <v>500104</v>
      </c>
      <c r="B1959" s="2" t="str">
        <f>"BARRA DE FERRO 4.2"</f>
        <v>BARRA DE FERRO 4.2</v>
      </c>
      <c r="C1959" s="2" t="str">
        <f t="shared" si="74"/>
        <v>UN</v>
      </c>
      <c r="D1959" s="7">
        <v>403</v>
      </c>
      <c r="E1959" s="3">
        <v>4</v>
      </c>
      <c r="G1959" t="s">
        <v>513</v>
      </c>
    </row>
    <row r="1960" spans="1:7" x14ac:dyDescent="0.25">
      <c r="A1960" s="1" t="str">
        <f>"522469"</f>
        <v>522469</v>
      </c>
      <c r="B1960" s="2" t="str">
        <f>"BARRA DE FERRO 5,0 MM"</f>
        <v>BARRA DE FERRO 5,0 MM</v>
      </c>
      <c r="C1960" s="2" t="str">
        <f t="shared" si="74"/>
        <v>UN</v>
      </c>
      <c r="D1960" s="7">
        <v>402</v>
      </c>
      <c r="E1960" s="3">
        <v>4</v>
      </c>
      <c r="G1960" t="s">
        <v>512</v>
      </c>
    </row>
    <row r="1961" spans="1:7" x14ac:dyDescent="0.25">
      <c r="A1961" s="1" t="str">
        <f>"500132"</f>
        <v>500132</v>
      </c>
      <c r="B1961" s="2" t="str">
        <f>"BARRA DE FERRO 5/16"</f>
        <v>BARRA DE FERRO 5/16</v>
      </c>
      <c r="C1961" s="2" t="str">
        <f t="shared" si="74"/>
        <v>UN</v>
      </c>
      <c r="D1961" s="7">
        <v>403</v>
      </c>
      <c r="E1961" s="3">
        <v>4</v>
      </c>
      <c r="G1961" t="s">
        <v>513</v>
      </c>
    </row>
    <row r="1962" spans="1:7" x14ac:dyDescent="0.25">
      <c r="A1962" s="1" t="str">
        <f>"521788"</f>
        <v>521788</v>
      </c>
      <c r="B1962" s="2" t="str">
        <f>"BARRA DE FERRO 6,3 MM"</f>
        <v>BARRA DE FERRO 6,3 MM</v>
      </c>
      <c r="C1962" s="2" t="str">
        <f t="shared" si="74"/>
        <v>UN</v>
      </c>
      <c r="D1962" s="7">
        <v>402</v>
      </c>
      <c r="E1962" s="3">
        <v>4</v>
      </c>
      <c r="G1962" t="s">
        <v>514</v>
      </c>
    </row>
    <row r="1963" spans="1:7" x14ac:dyDescent="0.25">
      <c r="A1963" s="1" t="str">
        <f>"522258"</f>
        <v>522258</v>
      </c>
      <c r="B1963" s="2" t="str">
        <f>"BARRA DE FERRO 8,0 MM"</f>
        <v>BARRA DE FERRO 8,0 MM</v>
      </c>
      <c r="C1963" s="2" t="str">
        <f t="shared" si="74"/>
        <v>UN</v>
      </c>
      <c r="D1963" s="7">
        <v>402</v>
      </c>
      <c r="E1963" s="3">
        <v>4</v>
      </c>
      <c r="G1963" t="s">
        <v>515</v>
      </c>
    </row>
    <row r="1964" spans="1:7" x14ac:dyDescent="0.25">
      <c r="A1964" s="1" t="str">
        <f>"524419"</f>
        <v>524419</v>
      </c>
      <c r="B1964" s="2" t="str">
        <f>"BARRA DE REQUALQUE"</f>
        <v>BARRA DE REQUALQUE</v>
      </c>
      <c r="C1964" s="2" t="str">
        <f t="shared" si="74"/>
        <v>UN</v>
      </c>
      <c r="D1964" s="7">
        <v>99999</v>
      </c>
      <c r="E1964" s="3">
        <v>99</v>
      </c>
      <c r="G1964" t="s">
        <v>512</v>
      </c>
    </row>
    <row r="1965" spans="1:7" x14ac:dyDescent="0.25">
      <c r="A1965" s="1" t="str">
        <f>"522899"</f>
        <v>522899</v>
      </c>
      <c r="B1965" s="2" t="str">
        <f>"BARRA DIREÇÃO CURTA"</f>
        <v>BARRA DIREÇÃO CURTA</v>
      </c>
      <c r="C1965" s="2" t="str">
        <f t="shared" si="74"/>
        <v>UN</v>
      </c>
      <c r="D1965" s="7">
        <v>918</v>
      </c>
      <c r="E1965" s="3">
        <v>11</v>
      </c>
      <c r="G1965" t="s">
        <v>516</v>
      </c>
    </row>
    <row r="1966" spans="1:7" x14ac:dyDescent="0.25">
      <c r="A1966" s="1" t="str">
        <f>"513606"</f>
        <v>513606</v>
      </c>
      <c r="B1966" s="2" t="str">
        <f>"BARRA DIREÇÃO CURTA IVECO STRALLIS HD"</f>
        <v>BARRA DIREÇÃO CURTA IVECO STRALLIS HD</v>
      </c>
      <c r="C1966" s="2" t="str">
        <f t="shared" si="74"/>
        <v>UN</v>
      </c>
      <c r="D1966" s="7">
        <v>918</v>
      </c>
      <c r="E1966" s="3">
        <v>11</v>
      </c>
      <c r="G1966" t="s">
        <v>515</v>
      </c>
    </row>
    <row r="1967" spans="1:7" x14ac:dyDescent="0.25">
      <c r="A1967" s="1" t="str">
        <f>"518900"</f>
        <v>518900</v>
      </c>
      <c r="B1967" s="2" t="str">
        <f>"BARRA DIREÇÃO FORD CARGO 1722E"</f>
        <v>BARRA DIREÇÃO FORD CARGO 1722E</v>
      </c>
      <c r="C1967" s="2" t="str">
        <f t="shared" si="74"/>
        <v>UN</v>
      </c>
      <c r="D1967" s="7">
        <v>918</v>
      </c>
      <c r="E1967" s="3">
        <v>11</v>
      </c>
      <c r="G1967" t="s">
        <v>514</v>
      </c>
    </row>
    <row r="1968" spans="1:7" x14ac:dyDescent="0.25">
      <c r="A1968" s="1" t="str">
        <f>"526371"</f>
        <v>526371</v>
      </c>
      <c r="B1968" s="2" t="str">
        <f>"BARRA DIREÇÃO LONGA"</f>
        <v>BARRA DIREÇÃO LONGA</v>
      </c>
      <c r="C1968" s="2" t="str">
        <f t="shared" si="74"/>
        <v>UN</v>
      </c>
      <c r="D1968" s="7">
        <v>918</v>
      </c>
      <c r="E1968" s="3">
        <v>11</v>
      </c>
      <c r="G1968" t="s">
        <v>512</v>
      </c>
    </row>
    <row r="1969" spans="1:7" x14ac:dyDescent="0.25">
      <c r="A1969" s="1" t="str">
        <f>"528044"</f>
        <v>528044</v>
      </c>
      <c r="B1969" s="2" t="str">
        <f>"BARRA DO ATUADOR DE EMBREAGEM"</f>
        <v>BARRA DO ATUADOR DE EMBREAGEM</v>
      </c>
      <c r="C1969" s="2" t="str">
        <f t="shared" si="74"/>
        <v>UN</v>
      </c>
      <c r="D1969" s="7">
        <v>704</v>
      </c>
      <c r="E1969" s="3">
        <v>9</v>
      </c>
      <c r="G1969" t="s">
        <v>513</v>
      </c>
    </row>
    <row r="1970" spans="1:7" x14ac:dyDescent="0.25">
      <c r="A1970" s="1" t="str">
        <f>"515556"</f>
        <v>515556</v>
      </c>
      <c r="B1970" s="2" t="str">
        <f>"BARRA EXTENSORA DE CONEXAO"</f>
        <v>BARRA EXTENSORA DE CONEXAO</v>
      </c>
      <c r="C1970" s="2" t="str">
        <f t="shared" si="74"/>
        <v>UN</v>
      </c>
      <c r="D1970" s="7">
        <v>811</v>
      </c>
      <c r="E1970" s="3">
        <v>8</v>
      </c>
      <c r="G1970" t="s">
        <v>514</v>
      </c>
    </row>
    <row r="1971" spans="1:7" x14ac:dyDescent="0.25">
      <c r="A1971" s="1" t="str">
        <f>"519729"</f>
        <v>519729</v>
      </c>
      <c r="B1971" s="2" t="str">
        <f>"BARRA INOX 1"" X 6 MT"</f>
        <v>BARRA INOX 1" X 6 MT</v>
      </c>
      <c r="C1971" s="2" t="str">
        <f t="shared" si="74"/>
        <v>UN</v>
      </c>
      <c r="D1971" s="7">
        <v>811</v>
      </c>
      <c r="E1971" s="3">
        <v>4</v>
      </c>
      <c r="G1971" t="s">
        <v>514</v>
      </c>
    </row>
    <row r="1972" spans="1:7" x14ac:dyDescent="0.25">
      <c r="A1972" s="1" t="str">
        <f>"519730"</f>
        <v>519730</v>
      </c>
      <c r="B1972" s="2" t="str">
        <f>"BARRA INOX 2 3/4"" X 6 MT"</f>
        <v>BARRA INOX 2 3/4" X 6 MT</v>
      </c>
      <c r="C1972" s="2" t="str">
        <f t="shared" si="74"/>
        <v>UN</v>
      </c>
      <c r="D1972" s="7">
        <v>811</v>
      </c>
      <c r="E1972" s="3">
        <v>4</v>
      </c>
      <c r="G1972" t="s">
        <v>512</v>
      </c>
    </row>
    <row r="1973" spans="1:7" x14ac:dyDescent="0.25">
      <c r="A1973" s="1" t="str">
        <f>"519727"</f>
        <v>519727</v>
      </c>
      <c r="B1973" s="2" t="str">
        <f>"BARRA INOX 3/4"" X 6 MT"</f>
        <v>BARRA INOX 3/4" X 6 MT</v>
      </c>
      <c r="C1973" s="2" t="str">
        <f t="shared" si="74"/>
        <v>UN</v>
      </c>
      <c r="D1973" s="7">
        <v>811</v>
      </c>
      <c r="E1973" s="3">
        <v>4</v>
      </c>
      <c r="G1973" t="s">
        <v>513</v>
      </c>
    </row>
    <row r="1974" spans="1:7" x14ac:dyDescent="0.25">
      <c r="A1974" s="1" t="str">
        <f>"527155"</f>
        <v>527155</v>
      </c>
      <c r="B1974" s="2" t="str">
        <f>"BARRA INOX 3/8  6METROS"</f>
        <v>BARRA INOX 3/8  6METROS</v>
      </c>
      <c r="C1974" s="2" t="str">
        <f t="shared" si="74"/>
        <v>UN</v>
      </c>
      <c r="D1974" s="7">
        <v>811</v>
      </c>
      <c r="E1974" s="3">
        <v>4</v>
      </c>
      <c r="G1974" t="s">
        <v>514</v>
      </c>
    </row>
    <row r="1975" spans="1:7" x14ac:dyDescent="0.25">
      <c r="A1975" s="1" t="str">
        <f>"513061"</f>
        <v>513061</v>
      </c>
      <c r="B1975" s="2" t="str">
        <f>"BARRA INOX 5/8"""</f>
        <v>BARRA INOX 5/8"</v>
      </c>
      <c r="C1975" s="2" t="str">
        <f t="shared" si="74"/>
        <v>UN</v>
      </c>
      <c r="D1975" s="7">
        <v>811</v>
      </c>
      <c r="E1975" s="3">
        <v>4</v>
      </c>
      <c r="G1975" t="s">
        <v>514</v>
      </c>
    </row>
    <row r="1976" spans="1:7" x14ac:dyDescent="0.25">
      <c r="A1976" s="1" t="str">
        <f>"519728"</f>
        <v>519728</v>
      </c>
      <c r="B1976" s="2" t="str">
        <f>"BARRA INOX 7/8"" X 6 MT"</f>
        <v>BARRA INOX 7/8" X 6 MT</v>
      </c>
      <c r="C1976" s="2" t="str">
        <f t="shared" si="74"/>
        <v>UN</v>
      </c>
      <c r="D1976" s="7">
        <v>811</v>
      </c>
      <c r="E1976" s="3">
        <v>4</v>
      </c>
      <c r="G1976" t="s">
        <v>514</v>
      </c>
    </row>
    <row r="1977" spans="1:7" x14ac:dyDescent="0.25">
      <c r="A1977" s="1" t="str">
        <f>"519704"</f>
        <v>519704</v>
      </c>
      <c r="B1977" s="2" t="str">
        <f>"BARRA INOX TRATADO (CROMADO) 25MM"</f>
        <v>BARRA INOX TRATADO (CROMADO) 25MM</v>
      </c>
      <c r="C1977" s="2" t="str">
        <f t="shared" si="74"/>
        <v>UN</v>
      </c>
      <c r="D1977" s="7">
        <v>811</v>
      </c>
      <c r="E1977" s="3">
        <v>4</v>
      </c>
      <c r="G1977" t="s">
        <v>513</v>
      </c>
    </row>
    <row r="1978" spans="1:7" x14ac:dyDescent="0.25">
      <c r="A1978" s="1" t="str">
        <f>"513012"</f>
        <v>513012</v>
      </c>
      <c r="B1978" s="2" t="str">
        <f>"BARRA LATAO SEXTAVADO"</f>
        <v>BARRA LATAO SEXTAVADO</v>
      </c>
      <c r="C1978" s="2" t="str">
        <f t="shared" si="74"/>
        <v>UN</v>
      </c>
      <c r="D1978" s="7">
        <v>918</v>
      </c>
      <c r="E1978" s="3">
        <v>11</v>
      </c>
      <c r="G1978" t="s">
        <v>512</v>
      </c>
    </row>
    <row r="1979" spans="1:7" x14ac:dyDescent="0.25">
      <c r="A1979" s="1" t="str">
        <f>"526912"</f>
        <v>526912</v>
      </c>
      <c r="B1979" s="2" t="str">
        <f>"BARRA LATÃO TREFILADO 4 MM"</f>
        <v>BARRA LATÃO TREFILADO 4 MM</v>
      </c>
      <c r="C1979" s="2" t="str">
        <f t="shared" si="74"/>
        <v>UN</v>
      </c>
      <c r="D1979" s="7">
        <v>402</v>
      </c>
      <c r="E1979" s="3">
        <v>4</v>
      </c>
      <c r="G1979" t="s">
        <v>513</v>
      </c>
    </row>
    <row r="1980" spans="1:7" x14ac:dyDescent="0.25">
      <c r="A1980" s="1" t="str">
        <f>"514155"</f>
        <v>514155</v>
      </c>
      <c r="B1980" s="2" t="str">
        <f>"BARRA LED VERMELHA"</f>
        <v>BARRA LED VERMELHA</v>
      </c>
      <c r="C1980" s="2" t="str">
        <f t="shared" si="74"/>
        <v>UN</v>
      </c>
      <c r="D1980" s="7">
        <v>704</v>
      </c>
      <c r="E1980" s="3">
        <v>9</v>
      </c>
      <c r="G1980" t="s">
        <v>514</v>
      </c>
    </row>
    <row r="1981" spans="1:7" x14ac:dyDescent="0.25">
      <c r="A1981" s="1" t="str">
        <f>"513585"</f>
        <v>513585</v>
      </c>
      <c r="B1981" s="2" t="str">
        <f>"BARRA LIGAÇÃO 200MM VW CONSTELATION"</f>
        <v>BARRA LIGAÇÃO 200MM VW CONSTELATION</v>
      </c>
      <c r="C1981" s="2" t="str">
        <f t="shared" si="74"/>
        <v>UN</v>
      </c>
      <c r="D1981" s="7">
        <v>704</v>
      </c>
      <c r="E1981" s="3">
        <v>9</v>
      </c>
      <c r="G1981" t="s">
        <v>514</v>
      </c>
    </row>
    <row r="1982" spans="1:7" x14ac:dyDescent="0.25">
      <c r="A1982" s="1" t="str">
        <f>"518796"</f>
        <v>518796</v>
      </c>
      <c r="B1982" s="2" t="str">
        <f>"BARRA LISA 1/2"" INOX C/ 6MTS"</f>
        <v>BARRA LISA 1/2" INOX C/ 6MTS</v>
      </c>
      <c r="C1982" s="2" t="str">
        <f t="shared" si="74"/>
        <v>UN</v>
      </c>
      <c r="D1982" s="7">
        <v>1700</v>
      </c>
      <c r="E1982" s="3">
        <v>11</v>
      </c>
      <c r="G1982" t="s">
        <v>514</v>
      </c>
    </row>
    <row r="1983" spans="1:7" x14ac:dyDescent="0.25">
      <c r="A1983" s="1" t="str">
        <f>"522424"</f>
        <v>522424</v>
      </c>
      <c r="B1983" s="2" t="str">
        <f>"BARRA LISA 1/4 INOX c/ 6MTS"</f>
        <v>BARRA LISA 1/4 INOX c/ 6MTS</v>
      </c>
      <c r="C1983" s="2" t="str">
        <f t="shared" si="74"/>
        <v>UN</v>
      </c>
      <c r="D1983" s="7">
        <v>811</v>
      </c>
      <c r="E1983" s="3">
        <v>10</v>
      </c>
      <c r="G1983" t="s">
        <v>513</v>
      </c>
    </row>
    <row r="1984" spans="1:7" x14ac:dyDescent="0.25">
      <c r="A1984" s="1" t="str">
        <f>"512753"</f>
        <v>512753</v>
      </c>
      <c r="B1984" s="2" t="str">
        <f>"BARRA MACIÇA INOX 2"" REDONDA"</f>
        <v>BARRA MACIÇA INOX 2" REDONDA</v>
      </c>
      <c r="C1984" s="2" t="str">
        <f t="shared" si="74"/>
        <v>UN</v>
      </c>
      <c r="D1984" s="7">
        <v>918</v>
      </c>
      <c r="E1984" s="3">
        <v>11</v>
      </c>
      <c r="G1984" t="s">
        <v>513</v>
      </c>
    </row>
    <row r="1985" spans="1:7" x14ac:dyDescent="0.25">
      <c r="A1985" s="1" t="str">
        <f>"525993"</f>
        <v>525993</v>
      </c>
      <c r="B1985" s="2" t="str">
        <f>"BARRA PROTETORA DE RESPINGOS"</f>
        <v>BARRA PROTETORA DE RESPINGOS</v>
      </c>
      <c r="C1985" s="2" t="str">
        <f t="shared" si="74"/>
        <v>UN</v>
      </c>
      <c r="D1985" s="7">
        <v>918</v>
      </c>
      <c r="E1985" s="3">
        <v>10</v>
      </c>
      <c r="G1985" t="s">
        <v>513</v>
      </c>
    </row>
    <row r="1986" spans="1:7" x14ac:dyDescent="0.25">
      <c r="A1986" s="1" t="str">
        <f>"527179"</f>
        <v>527179</v>
      </c>
      <c r="B1986" s="2" t="str">
        <f>"BARRA QUADRADA AÇO INOX 304 -1. 1/4"</f>
        <v>BARRA QUADRADA AÇO INOX 304 -1. 1/4</v>
      </c>
      <c r="C1986" s="2" t="str">
        <f>"MT"</f>
        <v>MT</v>
      </c>
      <c r="D1986" s="7">
        <v>1700</v>
      </c>
      <c r="E1986" s="3">
        <v>10</v>
      </c>
      <c r="G1986" t="s">
        <v>512</v>
      </c>
    </row>
    <row r="1987" spans="1:7" x14ac:dyDescent="0.25">
      <c r="A1987" s="1" t="str">
        <f>"527178"</f>
        <v>527178</v>
      </c>
      <c r="B1987" s="2" t="str">
        <f>"BARRA QUADRADA AÇO INOX 304 -3/4"</f>
        <v>BARRA QUADRADA AÇO INOX 304 -3/4</v>
      </c>
      <c r="C1987" s="2" t="str">
        <f>"MT"</f>
        <v>MT</v>
      </c>
      <c r="D1987" s="7">
        <v>1700</v>
      </c>
      <c r="E1987" s="3">
        <v>10</v>
      </c>
      <c r="G1987" t="s">
        <v>513</v>
      </c>
    </row>
    <row r="1988" spans="1:7" x14ac:dyDescent="0.25">
      <c r="A1988" s="1" t="str">
        <f>"527944"</f>
        <v>527944</v>
      </c>
      <c r="B1988" s="2" t="str">
        <f>"BARRA REDONDA"</f>
        <v>BARRA REDONDA</v>
      </c>
      <c r="C1988" s="2" t="str">
        <f>"UN"</f>
        <v>UN</v>
      </c>
      <c r="D1988" s="7">
        <v>1700</v>
      </c>
      <c r="E1988" s="3">
        <v>10</v>
      </c>
      <c r="G1988" t="s">
        <v>514</v>
      </c>
    </row>
    <row r="1989" spans="1:7" x14ac:dyDescent="0.25">
      <c r="A1989" s="1" t="str">
        <f>"518692"</f>
        <v>518692</v>
      </c>
      <c r="B1989" s="2" t="str">
        <f>"BARRA REDONDA 1 1/2"""</f>
        <v>BARRA REDONDA 1 1/2"</v>
      </c>
      <c r="C1989" s="2" t="str">
        <f>"UN"</f>
        <v>UN</v>
      </c>
      <c r="D1989" s="7">
        <v>1700</v>
      </c>
      <c r="E1989" s="3">
        <v>10</v>
      </c>
      <c r="G1989" t="s">
        <v>515</v>
      </c>
    </row>
    <row r="1990" spans="1:7" x14ac:dyDescent="0.25">
      <c r="A1990" s="1" t="str">
        <f>"517985"</f>
        <v>517985</v>
      </c>
      <c r="B1990" s="2" t="str">
        <f>"BARRA REDONDA 1 1/4"""</f>
        <v>BARRA REDONDA 1 1/4"</v>
      </c>
      <c r="C1990" s="2" t="str">
        <f>"UN"</f>
        <v>UN</v>
      </c>
      <c r="D1990" s="7">
        <v>1700</v>
      </c>
      <c r="E1990" s="3">
        <v>10</v>
      </c>
      <c r="G1990" t="s">
        <v>512</v>
      </c>
    </row>
    <row r="1991" spans="1:7" x14ac:dyDescent="0.25">
      <c r="A1991" s="1" t="str">
        <f>"512917"</f>
        <v>512917</v>
      </c>
      <c r="B1991" s="2" t="str">
        <f>"BARRA REDONDA 3/4"""</f>
        <v>BARRA REDONDA 3/4"</v>
      </c>
      <c r="C1991" s="2" t="str">
        <f>"UN"</f>
        <v>UN</v>
      </c>
      <c r="D1991" s="7">
        <v>1700</v>
      </c>
      <c r="E1991" s="3">
        <v>10</v>
      </c>
      <c r="G1991" t="s">
        <v>516</v>
      </c>
    </row>
    <row r="1992" spans="1:7" x14ac:dyDescent="0.25">
      <c r="A1992" s="1" t="str">
        <f>"520578"</f>
        <v>520578</v>
      </c>
      <c r="B1992" s="2" t="str">
        <f>"BARRA REDONDA 3/8 INOX  6MTS"</f>
        <v>BARRA REDONDA 3/8 INOX  6MTS</v>
      </c>
      <c r="C1992" s="2" t="str">
        <f>"UN"</f>
        <v>UN</v>
      </c>
      <c r="D1992" s="7">
        <v>1700</v>
      </c>
      <c r="E1992" s="3">
        <v>10</v>
      </c>
      <c r="G1992" t="s">
        <v>515</v>
      </c>
    </row>
    <row r="1993" spans="1:7" x14ac:dyDescent="0.25">
      <c r="A1993" s="1" t="str">
        <f>"501327"</f>
        <v>501327</v>
      </c>
      <c r="B1993" s="2" t="str">
        <f>"BARRA REDONDA INOX 304 1/2"""</f>
        <v>BARRA REDONDA INOX 304 1/2"</v>
      </c>
      <c r="C1993" s="2" t="str">
        <f>"MT"</f>
        <v>MT</v>
      </c>
      <c r="D1993" s="7">
        <v>806</v>
      </c>
      <c r="E1993" s="3">
        <v>10</v>
      </c>
      <c r="G1993" t="s">
        <v>514</v>
      </c>
    </row>
    <row r="1994" spans="1:7" x14ac:dyDescent="0.25">
      <c r="A1994" s="1" t="str">
        <f>"501326"</f>
        <v>501326</v>
      </c>
      <c r="B1994" s="2" t="str">
        <f>"BARRA REDONDA INOX 304 1/4"""</f>
        <v>BARRA REDONDA INOX 304 1/4"</v>
      </c>
      <c r="C1994" s="2" t="str">
        <f t="shared" ref="C1994:C1999" si="75">"PC"</f>
        <v>PC</v>
      </c>
      <c r="D1994" s="7">
        <v>806</v>
      </c>
      <c r="E1994" s="3">
        <v>10</v>
      </c>
      <c r="G1994" t="s">
        <v>512</v>
      </c>
    </row>
    <row r="1995" spans="1:7" x14ac:dyDescent="0.25">
      <c r="A1995" s="1" t="str">
        <f>"518026"</f>
        <v>518026</v>
      </c>
      <c r="B1995" s="2" t="str">
        <f>"BARRA REDONDA INOX 304 25,40MM"</f>
        <v>BARRA REDONDA INOX 304 25,40MM</v>
      </c>
      <c r="C1995" s="2" t="str">
        <f t="shared" si="75"/>
        <v>PC</v>
      </c>
      <c r="D1995" s="7">
        <v>806</v>
      </c>
      <c r="E1995" s="3">
        <v>10</v>
      </c>
      <c r="G1995" t="s">
        <v>513</v>
      </c>
    </row>
    <row r="1996" spans="1:7" x14ac:dyDescent="0.25">
      <c r="A1996" s="1" t="str">
        <f>"511697"</f>
        <v>511697</v>
      </c>
      <c r="B1996" s="2" t="str">
        <f>"BARRA REDONDA INOX 304 31,70MM"</f>
        <v>BARRA REDONDA INOX 304 31,70MM</v>
      </c>
      <c r="C1996" s="2" t="str">
        <f t="shared" si="75"/>
        <v>PC</v>
      </c>
      <c r="D1996" s="7">
        <v>806</v>
      </c>
      <c r="E1996" s="3">
        <v>10</v>
      </c>
      <c r="G1996" t="s">
        <v>514</v>
      </c>
    </row>
    <row r="1997" spans="1:7" x14ac:dyDescent="0.25">
      <c r="A1997" s="1" t="str">
        <f>"511696"</f>
        <v>511696</v>
      </c>
      <c r="B1997" s="2" t="str">
        <f>"BARRA REDONDA INOX 304 63,50MM"</f>
        <v>BARRA REDONDA INOX 304 63,50MM</v>
      </c>
      <c r="C1997" s="2" t="str">
        <f t="shared" si="75"/>
        <v>PC</v>
      </c>
      <c r="D1997" s="7">
        <v>806</v>
      </c>
      <c r="E1997" s="3">
        <v>10</v>
      </c>
      <c r="G1997" t="s">
        <v>514</v>
      </c>
    </row>
    <row r="1998" spans="1:7" x14ac:dyDescent="0.25">
      <c r="A1998" s="1" t="str">
        <f>"518741"</f>
        <v>518741</v>
      </c>
      <c r="B1998" s="2" t="str">
        <f>"BARRA REDONDA INOX 76,2MM  2MTS DE COMPRIMENTO"</f>
        <v>BARRA REDONDA INOX 76,2MM  2MTS DE COMPRIMENTO</v>
      </c>
      <c r="C1998" s="2" t="str">
        <f t="shared" si="75"/>
        <v>PC</v>
      </c>
      <c r="D1998" s="7">
        <v>806</v>
      </c>
      <c r="E1998" s="3">
        <v>10</v>
      </c>
      <c r="G1998" t="s">
        <v>512</v>
      </c>
    </row>
    <row r="1999" spans="1:7" x14ac:dyDescent="0.25">
      <c r="A1999" s="1" t="str">
        <f>"520594"</f>
        <v>520594</v>
      </c>
      <c r="B1999" s="2" t="str">
        <f>"BARRA REDONDA INOX 88,9MM  2MTS DE COMPRIMENTO"</f>
        <v>BARRA REDONDA INOX 88,9MM  2MTS DE COMPRIMENTO</v>
      </c>
      <c r="C1999" s="2" t="str">
        <f t="shared" si="75"/>
        <v>PC</v>
      </c>
      <c r="D1999" s="7">
        <v>806</v>
      </c>
      <c r="E1999" s="3">
        <v>10</v>
      </c>
      <c r="G1999" t="s">
        <v>513</v>
      </c>
    </row>
    <row r="2000" spans="1:7" x14ac:dyDescent="0.25">
      <c r="A2000" s="1" t="str">
        <f>"522307"</f>
        <v>522307</v>
      </c>
      <c r="B2000" s="2" t="str">
        <f>"BARRA REDONDA RETIFICADA INOX 30 MM"</f>
        <v>BARRA REDONDA RETIFICADA INOX 30 MM</v>
      </c>
      <c r="C2000" s="2" t="str">
        <f>"UN"</f>
        <v>UN</v>
      </c>
      <c r="D2000" s="7">
        <v>1700</v>
      </c>
      <c r="E2000" s="3">
        <v>10</v>
      </c>
      <c r="G2000" t="s">
        <v>514</v>
      </c>
    </row>
    <row r="2001" spans="1:7" x14ac:dyDescent="0.25">
      <c r="A2001" s="1" t="str">
        <f>"CO73181900"</f>
        <v>CO73181900</v>
      </c>
      <c r="B2001" s="2" t="str">
        <f>"BARRA ROSCADA"</f>
        <v>BARRA ROSCADA</v>
      </c>
      <c r="C2001" s="2" t="str">
        <f>"UN"</f>
        <v>UN</v>
      </c>
      <c r="D2001" s="7">
        <v>99999</v>
      </c>
      <c r="E2001" s="3">
        <v>99</v>
      </c>
      <c r="G2001" t="s">
        <v>514</v>
      </c>
    </row>
    <row r="2002" spans="1:7" x14ac:dyDescent="0.25">
      <c r="A2002" s="1" t="str">
        <f>"527163"</f>
        <v>527163</v>
      </c>
      <c r="B2002" s="2" t="str">
        <f>"BARRA ROSCADA INOX 1/2"</f>
        <v>BARRA ROSCADA INOX 1/2</v>
      </c>
      <c r="C2002" s="2" t="str">
        <f>"UN"</f>
        <v>UN</v>
      </c>
      <c r="D2002" s="7">
        <v>800</v>
      </c>
      <c r="E2002" s="3">
        <v>10</v>
      </c>
      <c r="G2002" t="s">
        <v>514</v>
      </c>
    </row>
    <row r="2003" spans="1:7" x14ac:dyDescent="0.25">
      <c r="A2003" s="1" t="str">
        <f>"527165"</f>
        <v>527165</v>
      </c>
      <c r="B2003" s="2" t="str">
        <f>"BARRA ROSCADA INOX 1/4"</f>
        <v>BARRA ROSCADA INOX 1/4</v>
      </c>
      <c r="C2003" s="2" t="str">
        <f>"UN"</f>
        <v>UN</v>
      </c>
      <c r="D2003" s="7">
        <v>800</v>
      </c>
      <c r="E2003" s="3">
        <v>10</v>
      </c>
      <c r="G2003" t="s">
        <v>513</v>
      </c>
    </row>
    <row r="2004" spans="1:7" x14ac:dyDescent="0.25">
      <c r="A2004" s="1" t="str">
        <f>"527748"</f>
        <v>527748</v>
      </c>
      <c r="B2004" s="2" t="str">
        <f>"BARRA ROSCADA INOX 8 MM X 3000MM"</f>
        <v>BARRA ROSCADA INOX 8 MM X 3000MM</v>
      </c>
      <c r="C2004" s="2" t="str">
        <f>"UN"</f>
        <v>UN</v>
      </c>
      <c r="D2004" s="7">
        <v>800</v>
      </c>
      <c r="E2004" s="3">
        <v>10</v>
      </c>
      <c r="G2004" t="s">
        <v>512</v>
      </c>
    </row>
    <row r="2005" spans="1:7" x14ac:dyDescent="0.25">
      <c r="A2005" s="1" t="str">
        <f>"508614"</f>
        <v>508614</v>
      </c>
      <c r="B2005" s="2" t="str">
        <f>"BARRA ROSQUEADA 1/2 X 1000MM"</f>
        <v>BARRA ROSQUEADA 1/2 X 1000MM</v>
      </c>
      <c r="C2005" s="2" t="str">
        <f>"PC"</f>
        <v>PC</v>
      </c>
      <c r="D2005" s="7">
        <v>806</v>
      </c>
      <c r="E2005" s="3">
        <v>10</v>
      </c>
      <c r="G2005" t="s">
        <v>513</v>
      </c>
    </row>
    <row r="2006" spans="1:7" x14ac:dyDescent="0.25">
      <c r="A2006" s="1" t="str">
        <f>"503935"</f>
        <v>503935</v>
      </c>
      <c r="B2006" s="2" t="str">
        <f>"BARRA ROSQUEADA 1/4 X 1000MM"</f>
        <v>BARRA ROSQUEADA 1/4 X 1000MM</v>
      </c>
      <c r="C2006" s="2" t="str">
        <f>"UN"</f>
        <v>UN</v>
      </c>
      <c r="D2006" s="7">
        <v>402</v>
      </c>
      <c r="E2006" s="3">
        <v>4</v>
      </c>
      <c r="G2006" t="s">
        <v>514</v>
      </c>
    </row>
    <row r="2007" spans="1:7" x14ac:dyDescent="0.25">
      <c r="A2007" s="1" t="str">
        <f>"520792"</f>
        <v>520792</v>
      </c>
      <c r="B2007" s="2" t="str">
        <f>"BARRA ROSQUEADA 1/4"" C/ 3MTS"</f>
        <v>BARRA ROSQUEADA 1/4" C/ 3MTS</v>
      </c>
      <c r="C2007" s="2" t="str">
        <f>"UN"</f>
        <v>UN</v>
      </c>
      <c r="D2007" s="7">
        <v>402</v>
      </c>
      <c r="E2007" s="3">
        <v>4</v>
      </c>
      <c r="G2007" t="s">
        <v>514</v>
      </c>
    </row>
    <row r="2008" spans="1:7" x14ac:dyDescent="0.25">
      <c r="A2008" s="1" t="str">
        <f>"525198"</f>
        <v>525198</v>
      </c>
      <c r="B2008" s="2" t="str">
        <f>"BARRA ROSQUEADA 15/16"</f>
        <v>BARRA ROSQUEADA 15/16</v>
      </c>
      <c r="C2008" s="2" t="str">
        <f>"PC"</f>
        <v>PC</v>
      </c>
      <c r="D2008" s="7">
        <v>806</v>
      </c>
      <c r="E2008" s="3">
        <v>10</v>
      </c>
      <c r="G2008" t="s">
        <v>514</v>
      </c>
    </row>
    <row r="2009" spans="1:7" x14ac:dyDescent="0.25">
      <c r="A2009" s="1" t="str">
        <f>"503934"</f>
        <v>503934</v>
      </c>
      <c r="B2009" s="2" t="str">
        <f>"BARRA ROSQUEADA 3/16"""</f>
        <v>BARRA ROSQUEADA 3/16"</v>
      </c>
      <c r="C2009" s="2" t="str">
        <f>"UN"</f>
        <v>UN</v>
      </c>
      <c r="D2009" s="7">
        <v>402</v>
      </c>
      <c r="E2009" s="3">
        <v>4</v>
      </c>
      <c r="G2009" t="s">
        <v>513</v>
      </c>
    </row>
    <row r="2010" spans="1:7" x14ac:dyDescent="0.25">
      <c r="A2010" s="1" t="str">
        <f>"508159"</f>
        <v>508159</v>
      </c>
      <c r="B2010" s="2" t="str">
        <f>"BARRA ROSQUEADA 3/4"" INOX"</f>
        <v>BARRA ROSQUEADA 3/4" INOX</v>
      </c>
      <c r="C2010" s="2" t="str">
        <f>"UN"</f>
        <v>UN</v>
      </c>
      <c r="D2010" s="7">
        <v>1700</v>
      </c>
      <c r="E2010" s="3">
        <v>13</v>
      </c>
      <c r="G2010" t="s">
        <v>513</v>
      </c>
    </row>
    <row r="2011" spans="1:7" x14ac:dyDescent="0.25">
      <c r="A2011" s="1" t="str">
        <f>"508575"</f>
        <v>508575</v>
      </c>
      <c r="B2011" s="2" t="str">
        <f>"BARRA ROSQUEADA 3/8 X 1000MM"</f>
        <v>BARRA ROSQUEADA 3/8 X 1000MM</v>
      </c>
      <c r="C2011" s="2" t="str">
        <f>"UN"</f>
        <v>UN</v>
      </c>
      <c r="D2011" s="7">
        <v>99999</v>
      </c>
      <c r="E2011" s="3">
        <v>10</v>
      </c>
      <c r="G2011" t="s">
        <v>513</v>
      </c>
    </row>
    <row r="2012" spans="1:7" x14ac:dyDescent="0.25">
      <c r="A2012" s="1" t="str">
        <f>"522339"</f>
        <v>522339</v>
      </c>
      <c r="B2012" s="2" t="str">
        <f>"BARRA ROSQUEADA 3/8 X 1000MM INOX"</f>
        <v>BARRA ROSQUEADA 3/8 X 1000MM INOX</v>
      </c>
      <c r="C2012" s="2" t="str">
        <f>"UN"</f>
        <v>UN</v>
      </c>
      <c r="D2012" s="7">
        <v>99999</v>
      </c>
      <c r="E2012" s="3">
        <v>10</v>
      </c>
      <c r="G2012" t="s">
        <v>512</v>
      </c>
    </row>
    <row r="2013" spans="1:7" x14ac:dyDescent="0.25">
      <c r="A2013" s="1" t="str">
        <f>"503938"</f>
        <v>503938</v>
      </c>
      <c r="B2013" s="2" t="str">
        <f>"BARRA ROSQUEADA 5/16 X 1000MM"</f>
        <v>BARRA ROSQUEADA 5/16 X 1000MM</v>
      </c>
      <c r="C2013" s="2" t="str">
        <f>"PÇ"</f>
        <v>PÇ</v>
      </c>
      <c r="D2013" s="7">
        <v>800</v>
      </c>
      <c r="E2013" s="3">
        <v>10</v>
      </c>
      <c r="G2013" t="s">
        <v>513</v>
      </c>
    </row>
    <row r="2014" spans="1:7" x14ac:dyDescent="0.25">
      <c r="A2014" s="1" t="str">
        <f>"510684"</f>
        <v>510684</v>
      </c>
      <c r="B2014" s="2" t="str">
        <f>"BARRA ROSQUEADA 5/8"""</f>
        <v>BARRA ROSQUEADA 5/8"</v>
      </c>
      <c r="C2014" s="2" t="str">
        <f>"UN"</f>
        <v>UN</v>
      </c>
      <c r="D2014" s="7">
        <v>917</v>
      </c>
      <c r="E2014" s="3">
        <v>11</v>
      </c>
      <c r="G2014" t="s">
        <v>514</v>
      </c>
    </row>
    <row r="2015" spans="1:7" x14ac:dyDescent="0.25">
      <c r="A2015" s="1" t="str">
        <f>"518103"</f>
        <v>518103</v>
      </c>
      <c r="B2015" s="2" t="str">
        <f>"BARRA ROSQUEADA 5/8"" INOX"</f>
        <v>BARRA ROSQUEADA 5/8" INOX</v>
      </c>
      <c r="C2015" s="2" t="str">
        <f>"UN"</f>
        <v>UN</v>
      </c>
      <c r="D2015" s="7">
        <v>1700</v>
      </c>
      <c r="E2015" s="3">
        <v>11</v>
      </c>
      <c r="G2015" t="s">
        <v>515</v>
      </c>
    </row>
    <row r="2016" spans="1:7" x14ac:dyDescent="0.25">
      <c r="A2016" s="1" t="str">
        <f>"520011"</f>
        <v>520011</v>
      </c>
      <c r="B2016" s="2" t="str">
        <f>"BARRA ROSQUEADA 7/8"</f>
        <v>BARRA ROSQUEADA 7/8</v>
      </c>
      <c r="C2016" s="2" t="str">
        <f>"PC"</f>
        <v>PC</v>
      </c>
      <c r="D2016" s="7">
        <v>806</v>
      </c>
      <c r="E2016" s="3">
        <v>10</v>
      </c>
      <c r="G2016" t="s">
        <v>512</v>
      </c>
    </row>
    <row r="2017" spans="1:7" x14ac:dyDescent="0.25">
      <c r="A2017" s="1" t="str">
        <f>"516035"</f>
        <v>516035</v>
      </c>
      <c r="B2017" s="2" t="str">
        <f>"BARRA ROSQUEADA INOX 1"" X 2000MM GEA"</f>
        <v>BARRA ROSQUEADA INOX 1" X 2000MM GEA</v>
      </c>
      <c r="C2017" s="2" t="str">
        <f>"UN"</f>
        <v>UN</v>
      </c>
      <c r="D2017" s="7">
        <v>915</v>
      </c>
      <c r="E2017" s="3">
        <v>11</v>
      </c>
      <c r="G2017" t="s">
        <v>516</v>
      </c>
    </row>
    <row r="2018" spans="1:7" x14ac:dyDescent="0.25">
      <c r="A2018" s="1" t="str">
        <f>"519664"</f>
        <v>519664</v>
      </c>
      <c r="B2018" s="2" t="str">
        <f>"BARRA ROSQUEADA M10 INOX"</f>
        <v>BARRA ROSQUEADA M10 INOX</v>
      </c>
      <c r="C2018" s="2" t="str">
        <f>"PC"</f>
        <v>PC</v>
      </c>
      <c r="D2018" s="7">
        <v>806</v>
      </c>
      <c r="E2018" s="3">
        <v>10</v>
      </c>
      <c r="G2018" t="s">
        <v>515</v>
      </c>
    </row>
    <row r="2019" spans="1:7" x14ac:dyDescent="0.25">
      <c r="A2019" s="1" t="str">
        <f>"520010"</f>
        <v>520010</v>
      </c>
      <c r="B2019" s="2" t="str">
        <f>"BARRA ROSQUEADA M12"</f>
        <v>BARRA ROSQUEADA M12</v>
      </c>
      <c r="C2019" s="2" t="str">
        <f>"PC"</f>
        <v>PC</v>
      </c>
      <c r="D2019" s="7">
        <v>806</v>
      </c>
      <c r="E2019" s="3">
        <v>10</v>
      </c>
      <c r="G2019" t="s">
        <v>514</v>
      </c>
    </row>
    <row r="2020" spans="1:7" x14ac:dyDescent="0.25">
      <c r="A2020" s="1" t="str">
        <f>"516226"</f>
        <v>516226</v>
      </c>
      <c r="B2020" s="2" t="str">
        <f>"BARRA SAIDA DE EMERGENCIA"</f>
        <v>BARRA SAIDA DE EMERGENCIA</v>
      </c>
      <c r="C2020" s="2" t="str">
        <f t="shared" ref="C2020:C2032" si="76">"UN"</f>
        <v>UN</v>
      </c>
      <c r="D2020" s="7">
        <v>917</v>
      </c>
      <c r="E2020" s="3">
        <v>10</v>
      </c>
      <c r="G2020" t="s">
        <v>512</v>
      </c>
    </row>
    <row r="2021" spans="1:7" x14ac:dyDescent="0.25">
      <c r="A2021" s="1" t="str">
        <f>"524935"</f>
        <v>524935</v>
      </c>
      <c r="B2021" s="2" t="str">
        <f>"BARRA TERRA E NEUTRO 04200 SCHNEIDER"</f>
        <v>BARRA TERRA E NEUTRO 04200 SCHNEIDER</v>
      </c>
      <c r="C2021" s="2" t="str">
        <f t="shared" si="76"/>
        <v>UN</v>
      </c>
      <c r="D2021" s="7">
        <v>811</v>
      </c>
      <c r="E2021" s="3">
        <v>8</v>
      </c>
      <c r="G2021" t="s">
        <v>513</v>
      </c>
    </row>
    <row r="2022" spans="1:7" x14ac:dyDescent="0.25">
      <c r="A2022" s="1" t="str">
        <f>"512574"</f>
        <v>512574</v>
      </c>
      <c r="B2022" s="2" t="str">
        <f>"BARRA THOMPSON"</f>
        <v>BARRA THOMPSON</v>
      </c>
      <c r="C2022" s="2" t="str">
        <f t="shared" si="76"/>
        <v>UN</v>
      </c>
      <c r="D2022" s="7">
        <v>918</v>
      </c>
      <c r="E2022" s="3">
        <v>11</v>
      </c>
      <c r="G2022" t="s">
        <v>514</v>
      </c>
    </row>
    <row r="2023" spans="1:7" x14ac:dyDescent="0.25">
      <c r="A2023" s="1" t="str">
        <f>"507770"</f>
        <v>507770</v>
      </c>
      <c r="B2023" s="2" t="str">
        <f>"BARRA TRILHO STANDER 3MTS #16"</f>
        <v>BARRA TRILHO STANDER 3MTS #16</v>
      </c>
      <c r="C2023" s="2" t="str">
        <f t="shared" si="76"/>
        <v>UN</v>
      </c>
      <c r="D2023" s="7">
        <v>402</v>
      </c>
      <c r="E2023" s="3">
        <v>4</v>
      </c>
      <c r="G2023" t="s">
        <v>514</v>
      </c>
    </row>
    <row r="2024" spans="1:7" x14ac:dyDescent="0.25">
      <c r="A2024" s="1" t="str">
        <f>"515134"</f>
        <v>515134</v>
      </c>
      <c r="B2024" s="2" t="str">
        <f>"BARRACA NAUTIKA"</f>
        <v>BARRACA NAUTIKA</v>
      </c>
      <c r="C2024" s="2" t="str">
        <f t="shared" si="76"/>
        <v>UN</v>
      </c>
      <c r="D2024" s="7">
        <v>401</v>
      </c>
      <c r="E2024" s="3">
        <v>4</v>
      </c>
      <c r="G2024" t="s">
        <v>512</v>
      </c>
    </row>
    <row r="2025" spans="1:7" x14ac:dyDescent="0.25">
      <c r="A2025" s="1" t="str">
        <f>"509972"</f>
        <v>509972</v>
      </c>
      <c r="B2025" s="2" t="str">
        <f>"BARRAMENTO 1/16 X 3/4"</f>
        <v>BARRAMENTO 1/16 X 3/4</v>
      </c>
      <c r="C2025" s="2" t="str">
        <f t="shared" si="76"/>
        <v>UN</v>
      </c>
      <c r="D2025" s="7">
        <v>900</v>
      </c>
      <c r="E2025" s="3">
        <v>11</v>
      </c>
      <c r="G2025" t="s">
        <v>513</v>
      </c>
    </row>
    <row r="2026" spans="1:7" x14ac:dyDescent="0.25">
      <c r="A2026" s="1" t="str">
        <f>"509733"</f>
        <v>509733</v>
      </c>
      <c r="B2026" s="2" t="str">
        <f>"BARRAMENTO 1/4 X 2.1/2"</f>
        <v>BARRAMENTO 1/4 X 2.1/2</v>
      </c>
      <c r="C2026" s="2" t="str">
        <f t="shared" si="76"/>
        <v>UN</v>
      </c>
      <c r="D2026" s="7">
        <v>900</v>
      </c>
      <c r="E2026" s="3">
        <v>11</v>
      </c>
      <c r="G2026" t="s">
        <v>514</v>
      </c>
    </row>
    <row r="2027" spans="1:7" x14ac:dyDescent="0.25">
      <c r="A2027" s="1" t="str">
        <f>"509659"</f>
        <v>509659</v>
      </c>
      <c r="B2027" s="2" t="str">
        <f>"BARRAMENTO 5/16 X 1"" TERMOMECANICA"</f>
        <v>BARRAMENTO 5/16 X 1" TERMOMECANICA</v>
      </c>
      <c r="C2027" s="2" t="str">
        <f t="shared" si="76"/>
        <v>UN</v>
      </c>
      <c r="D2027" s="7">
        <v>600</v>
      </c>
      <c r="E2027" s="3">
        <v>8</v>
      </c>
      <c r="G2027" t="s">
        <v>514</v>
      </c>
    </row>
    <row r="2028" spans="1:7" x14ac:dyDescent="0.25">
      <c r="A2028" s="1" t="str">
        <f>"510691"</f>
        <v>510691</v>
      </c>
      <c r="B2028" s="2" t="str">
        <f>"BARRAMENTO COBRE 1 1/2"" X 1/2"""</f>
        <v>BARRAMENTO COBRE 1 1/2" X 1/2"</v>
      </c>
      <c r="C2028" s="2" t="str">
        <f t="shared" si="76"/>
        <v>UN</v>
      </c>
      <c r="D2028" s="7">
        <v>600</v>
      </c>
      <c r="E2028" s="3">
        <v>8</v>
      </c>
      <c r="G2028" t="s">
        <v>514</v>
      </c>
    </row>
    <row r="2029" spans="1:7" x14ac:dyDescent="0.25">
      <c r="A2029" s="1" t="str">
        <f>"510400"</f>
        <v>510400</v>
      </c>
      <c r="B2029" s="2" t="str">
        <f>"BARRAMENTO COBRE 1 1/2"" X 3/8"""</f>
        <v>BARRAMENTO COBRE 1 1/2" X 3/8"</v>
      </c>
      <c r="C2029" s="2" t="str">
        <f t="shared" si="76"/>
        <v>UN</v>
      </c>
      <c r="D2029" s="7">
        <v>600</v>
      </c>
      <c r="E2029" s="3">
        <v>8</v>
      </c>
      <c r="G2029" t="s">
        <v>513</v>
      </c>
    </row>
    <row r="2030" spans="1:7" x14ac:dyDescent="0.25">
      <c r="A2030" s="1" t="str">
        <f>"510590"</f>
        <v>510590</v>
      </c>
      <c r="B2030" s="2" t="str">
        <f>"BARRAMENTO COBRE 1 1/2"" X 5/16"""</f>
        <v>BARRAMENTO COBRE 1 1/2" X 5/16"</v>
      </c>
      <c r="C2030" s="2" t="str">
        <f t="shared" si="76"/>
        <v>UN</v>
      </c>
      <c r="D2030" s="7">
        <v>600</v>
      </c>
      <c r="E2030" s="3">
        <v>8</v>
      </c>
      <c r="G2030" t="s">
        <v>512</v>
      </c>
    </row>
    <row r="2031" spans="1:7" x14ac:dyDescent="0.25">
      <c r="A2031" s="1" t="str">
        <f>"510703"</f>
        <v>510703</v>
      </c>
      <c r="B2031" s="2" t="str">
        <f>"BARRAMENTO COBRE 1 1/4"" X 3/8"</f>
        <v>BARRAMENTO COBRE 1 1/4" X 3/8</v>
      </c>
      <c r="C2031" s="2" t="str">
        <f t="shared" si="76"/>
        <v>UN</v>
      </c>
      <c r="D2031" s="7">
        <v>600</v>
      </c>
      <c r="E2031" s="3">
        <v>8</v>
      </c>
      <c r="G2031" t="s">
        <v>513</v>
      </c>
    </row>
    <row r="2032" spans="1:7" x14ac:dyDescent="0.25">
      <c r="A2032" s="1" t="str">
        <f>"511290"</f>
        <v>511290</v>
      </c>
      <c r="B2032" s="2" t="str">
        <f>"BARRAMENTO COBRE 1 X 1/2"</f>
        <v>BARRAMENTO COBRE 1 X 1/2</v>
      </c>
      <c r="C2032" s="2" t="str">
        <f t="shared" si="76"/>
        <v>UN</v>
      </c>
      <c r="D2032" s="7">
        <v>600</v>
      </c>
      <c r="E2032" s="3">
        <v>8</v>
      </c>
      <c r="G2032" t="s">
        <v>514</v>
      </c>
    </row>
    <row r="2033" spans="1:7" x14ac:dyDescent="0.25">
      <c r="A2033" s="1" t="str">
        <f>"516268"</f>
        <v>516268</v>
      </c>
      <c r="B2033" s="2" t="str">
        <f>"BARRAMENTO COBRE 1"" X 5/16"""</f>
        <v>BARRAMENTO COBRE 1" X 5/16"</v>
      </c>
      <c r="C2033" s="2" t="str">
        <f>"MT"</f>
        <v>MT</v>
      </c>
      <c r="D2033" s="7">
        <v>600</v>
      </c>
      <c r="E2033" s="3">
        <v>8</v>
      </c>
      <c r="G2033" t="s">
        <v>514</v>
      </c>
    </row>
    <row r="2034" spans="1:7" x14ac:dyDescent="0.25">
      <c r="A2034" s="1" t="str">
        <f>"511261"</f>
        <v>511261</v>
      </c>
      <c r="B2034" s="2" t="str">
        <f>"BARRAMENTO COBRE 1/2"" X 1 1/2"""</f>
        <v>BARRAMENTO COBRE 1/2" X 1 1/2"</v>
      </c>
      <c r="C2034" s="2" t="str">
        <f>"UN"</f>
        <v>UN</v>
      </c>
      <c r="D2034" s="7">
        <v>600</v>
      </c>
      <c r="E2034" s="3">
        <v>8</v>
      </c>
      <c r="G2034" t="s">
        <v>514</v>
      </c>
    </row>
    <row r="2035" spans="1:7" x14ac:dyDescent="0.25">
      <c r="A2035" s="1" t="str">
        <f>"508430"</f>
        <v>508430</v>
      </c>
      <c r="B2035" s="2" t="str">
        <f>"BARRAMENTO COBRE 1/2"" X 1/8"""</f>
        <v>BARRAMENTO COBRE 1/2" X 1/8"</v>
      </c>
      <c r="C2035" s="2" t="str">
        <f>"UN"</f>
        <v>UN</v>
      </c>
      <c r="D2035" s="7">
        <v>811</v>
      </c>
      <c r="E2035" s="3">
        <v>10</v>
      </c>
      <c r="G2035" t="s">
        <v>513</v>
      </c>
    </row>
    <row r="2036" spans="1:7" x14ac:dyDescent="0.25">
      <c r="A2036" s="1" t="str">
        <f>"516277"</f>
        <v>516277</v>
      </c>
      <c r="B2036" s="2" t="str">
        <f>"BARRAMENTO COBRE 1/2"" X 3/16"""</f>
        <v>BARRAMENTO COBRE 1/2" X 3/16"</v>
      </c>
      <c r="C2036" s="2" t="str">
        <f>"MT"</f>
        <v>MT</v>
      </c>
      <c r="D2036" s="7">
        <v>811</v>
      </c>
      <c r="E2036" s="3">
        <v>8</v>
      </c>
      <c r="G2036" t="s">
        <v>513</v>
      </c>
    </row>
    <row r="2037" spans="1:7" x14ac:dyDescent="0.25">
      <c r="A2037" s="1" t="str">
        <f>"520528"</f>
        <v>520528</v>
      </c>
      <c r="B2037" s="2" t="str">
        <f>"BARRAMENTO COBRE 1/2""X1/4"""</f>
        <v>BARRAMENTO COBRE 1/2"X1/4"</v>
      </c>
      <c r="C2037" s="2" t="str">
        <f>"UN"</f>
        <v>UN</v>
      </c>
      <c r="D2037" s="7">
        <v>600</v>
      </c>
      <c r="E2037" s="3">
        <v>8</v>
      </c>
      <c r="G2037" t="s">
        <v>513</v>
      </c>
    </row>
    <row r="2038" spans="1:7" x14ac:dyDescent="0.25">
      <c r="A2038" s="1" t="str">
        <f>"519090"</f>
        <v>519090</v>
      </c>
      <c r="B2038" s="2" t="str">
        <f>"BARRAMENTO COBRE 1/4 X 3/4'"</f>
        <v>BARRAMENTO COBRE 1/4 X 3/4'</v>
      </c>
      <c r="C2038" s="2" t="str">
        <f>"UN"</f>
        <v>UN</v>
      </c>
      <c r="D2038" s="7">
        <v>600</v>
      </c>
      <c r="E2038" s="3">
        <v>8</v>
      </c>
      <c r="G2038" t="s">
        <v>512</v>
      </c>
    </row>
    <row r="2039" spans="1:7" x14ac:dyDescent="0.25">
      <c r="A2039" s="1" t="str">
        <f>"503078"</f>
        <v>503078</v>
      </c>
      <c r="B2039" s="2" t="str">
        <f>"BARRAMENTO COBRE 1/4 X 3/8'"</f>
        <v>BARRAMENTO COBRE 1/4 X 3/8'</v>
      </c>
      <c r="C2039" s="2" t="str">
        <f>"UN"</f>
        <v>UN</v>
      </c>
      <c r="D2039" s="7">
        <v>600</v>
      </c>
      <c r="E2039" s="3">
        <v>8</v>
      </c>
      <c r="G2039" t="s">
        <v>513</v>
      </c>
    </row>
    <row r="2040" spans="1:7" x14ac:dyDescent="0.25">
      <c r="A2040" s="1" t="str">
        <f>"503847"</f>
        <v>503847</v>
      </c>
      <c r="B2040" s="2" t="str">
        <f>"BARRAMENTO COBRE 1/4X X 1/4'"</f>
        <v>BARRAMENTO COBRE 1/4X X 1/4'</v>
      </c>
      <c r="C2040" s="2" t="str">
        <f>"UN"</f>
        <v>UN</v>
      </c>
      <c r="D2040" s="7">
        <v>600</v>
      </c>
      <c r="E2040" s="3">
        <v>8</v>
      </c>
      <c r="G2040" t="s">
        <v>514</v>
      </c>
    </row>
    <row r="2041" spans="1:7" x14ac:dyDescent="0.25">
      <c r="A2041" s="1" t="str">
        <f>"505417"</f>
        <v>505417</v>
      </c>
      <c r="B2041" s="2" t="str">
        <f>"BARRAMENTO COBRE 2 1/2"" X 3/8"""</f>
        <v>BARRAMENTO COBRE 2 1/2" X 3/8"</v>
      </c>
      <c r="C2041" s="2" t="str">
        <f>"MT"</f>
        <v>MT</v>
      </c>
      <c r="D2041" s="7">
        <v>600</v>
      </c>
      <c r="E2041" s="3">
        <v>8</v>
      </c>
      <c r="G2041" t="s">
        <v>515</v>
      </c>
    </row>
    <row r="2042" spans="1:7" x14ac:dyDescent="0.25">
      <c r="A2042" s="1" t="str">
        <f>"516271"</f>
        <v>516271</v>
      </c>
      <c r="B2042" s="2" t="str">
        <f>"BARRAMENTO COBRE 2"" X 1/2"""</f>
        <v>BARRAMENTO COBRE 2" X 1/2"</v>
      </c>
      <c r="C2042" s="2" t="str">
        <f>"MT"</f>
        <v>MT</v>
      </c>
      <c r="D2042" s="7">
        <v>600</v>
      </c>
      <c r="E2042" s="3">
        <v>8</v>
      </c>
      <c r="G2042" t="s">
        <v>512</v>
      </c>
    </row>
    <row r="2043" spans="1:7" x14ac:dyDescent="0.25">
      <c r="A2043" s="1" t="str">
        <f>"514873"</f>
        <v>514873</v>
      </c>
      <c r="B2043" s="2" t="str">
        <f>"BARRAMENTO COBRE 2"" X 5/8"""</f>
        <v>BARRAMENTO COBRE 2" X 5/8"</v>
      </c>
      <c r="C2043" s="2" t="str">
        <f>"MT"</f>
        <v>MT</v>
      </c>
      <c r="D2043" s="7">
        <v>811</v>
      </c>
      <c r="E2043" s="3">
        <v>8</v>
      </c>
      <c r="G2043" t="s">
        <v>516</v>
      </c>
    </row>
    <row r="2044" spans="1:7" x14ac:dyDescent="0.25">
      <c r="A2044" s="1" t="str">
        <f>"516274"</f>
        <v>516274</v>
      </c>
      <c r="B2044" s="2" t="str">
        <f>"BARRAMENTO COBRE 3"" X 3/8"""</f>
        <v>BARRAMENTO COBRE 3" X 3/8"</v>
      </c>
      <c r="C2044" s="2" t="str">
        <f>"MT"</f>
        <v>MT</v>
      </c>
      <c r="D2044" s="7">
        <v>811</v>
      </c>
      <c r="E2044" s="3">
        <v>10</v>
      </c>
      <c r="G2044" t="s">
        <v>515</v>
      </c>
    </row>
    <row r="2045" spans="1:7" x14ac:dyDescent="0.25">
      <c r="A2045" s="1" t="str">
        <f>"516157"</f>
        <v>516157</v>
      </c>
      <c r="B2045" s="2" t="str">
        <f>"BARRAMENTO COBRE 3/4"" X 3/16"""</f>
        <v>BARRAMENTO COBRE 3/4" X 3/16"</v>
      </c>
      <c r="C2045" s="2" t="str">
        <f t="shared" ref="C2045:C2055" si="77">"UN"</f>
        <v>UN</v>
      </c>
      <c r="D2045" s="7">
        <v>811</v>
      </c>
      <c r="E2045" s="3">
        <v>8</v>
      </c>
      <c r="G2045" t="s">
        <v>514</v>
      </c>
    </row>
    <row r="2046" spans="1:7" x14ac:dyDescent="0.25">
      <c r="A2046" s="1" t="str">
        <f>"505617"</f>
        <v>505617</v>
      </c>
      <c r="B2046" s="2" t="str">
        <f>"BARRAMENTO COBRE 3/4"" X 3/8"""</f>
        <v>BARRAMENTO COBRE 3/4" X 3/8"</v>
      </c>
      <c r="C2046" s="2" t="str">
        <f t="shared" si="77"/>
        <v>UN</v>
      </c>
      <c r="D2046" s="7">
        <v>600</v>
      </c>
      <c r="E2046" s="3">
        <v>8</v>
      </c>
      <c r="G2046" t="s">
        <v>512</v>
      </c>
    </row>
    <row r="2047" spans="1:7" x14ac:dyDescent="0.25">
      <c r="A2047" s="1" t="str">
        <f>"506152"</f>
        <v>506152</v>
      </c>
      <c r="B2047" s="2" t="str">
        <f>"BARRAMENTO COBRE 3/4""X1/4"""</f>
        <v>BARRAMENTO COBRE 3/4"X1/4"</v>
      </c>
      <c r="C2047" s="2" t="str">
        <f t="shared" si="77"/>
        <v>UN</v>
      </c>
      <c r="D2047" s="7">
        <v>600</v>
      </c>
      <c r="E2047" s="3">
        <v>8</v>
      </c>
      <c r="G2047" t="s">
        <v>513</v>
      </c>
    </row>
    <row r="2048" spans="1:7" x14ac:dyDescent="0.25">
      <c r="A2048" s="1" t="str">
        <f>"516426"</f>
        <v>516426</v>
      </c>
      <c r="B2048" s="2" t="str">
        <f>"BARRAMENTO COBRE 3/8"" X 3/16"""</f>
        <v>BARRAMENTO COBRE 3/8" X 3/16"</v>
      </c>
      <c r="C2048" s="2" t="str">
        <f t="shared" si="77"/>
        <v>UN</v>
      </c>
      <c r="D2048" s="7">
        <v>811</v>
      </c>
      <c r="E2048" s="3">
        <v>10</v>
      </c>
      <c r="G2048" t="s">
        <v>514</v>
      </c>
    </row>
    <row r="2049" spans="1:7" x14ac:dyDescent="0.25">
      <c r="A2049" s="1" t="str">
        <f>"520529"</f>
        <v>520529</v>
      </c>
      <c r="B2049" s="2" t="str">
        <f>"BARRAMENTO COBRE 5/8""X5/16"""</f>
        <v>BARRAMENTO COBRE 5/8"X5/16"</v>
      </c>
      <c r="C2049" s="2" t="str">
        <f t="shared" si="77"/>
        <v>UN</v>
      </c>
      <c r="D2049" s="7">
        <v>600</v>
      </c>
      <c r="E2049" s="3">
        <v>8</v>
      </c>
      <c r="G2049" t="s">
        <v>514</v>
      </c>
    </row>
    <row r="2050" spans="1:7" x14ac:dyDescent="0.25">
      <c r="A2050" s="1" t="str">
        <f>"511289"</f>
        <v>511289</v>
      </c>
      <c r="B2050" s="2" t="str">
        <f>"BARRAMENTO COBRE REDONDO 3/8"""</f>
        <v>BARRAMENTO COBRE REDONDO 3/8"</v>
      </c>
      <c r="C2050" s="2" t="str">
        <f t="shared" si="77"/>
        <v>UN</v>
      </c>
      <c r="D2050" s="7">
        <v>600</v>
      </c>
      <c r="E2050" s="3">
        <v>8</v>
      </c>
      <c r="G2050" t="s">
        <v>512</v>
      </c>
    </row>
    <row r="2051" spans="1:7" x14ac:dyDescent="0.25">
      <c r="A2051" s="1" t="str">
        <f>"506535"</f>
        <v>506535</v>
      </c>
      <c r="B2051" s="2" t="str">
        <f>"BARRAMENTO DE FASES P/DIS.DIN TRIF. 3X4"</f>
        <v>BARRAMENTO DE FASES P/DIS.DIN TRIF. 3X4</v>
      </c>
      <c r="C2051" s="2" t="str">
        <f t="shared" si="77"/>
        <v>UN</v>
      </c>
      <c r="D2051" s="7">
        <v>900</v>
      </c>
      <c r="E2051" s="3">
        <v>11</v>
      </c>
      <c r="G2051" t="s">
        <v>513</v>
      </c>
    </row>
    <row r="2052" spans="1:7" x14ac:dyDescent="0.25">
      <c r="A2052" s="1" t="str">
        <f>"511263"</f>
        <v>511263</v>
      </c>
      <c r="B2052" s="2" t="str">
        <f>"BARRAMENTO DESOXIDANTE AD 035"</f>
        <v>BARRAMENTO DESOXIDANTE AD 035</v>
      </c>
      <c r="C2052" s="2" t="str">
        <f t="shared" si="77"/>
        <v>UN</v>
      </c>
      <c r="D2052" s="7">
        <v>600</v>
      </c>
      <c r="E2052" s="3">
        <v>8</v>
      </c>
      <c r="G2052" t="s">
        <v>514</v>
      </c>
    </row>
    <row r="2053" spans="1:7" x14ac:dyDescent="0.25">
      <c r="A2053" s="1" t="str">
        <f>"518575"</f>
        <v>518575</v>
      </c>
      <c r="B2053" s="2" t="str">
        <f>"BARRAMENTO DISJUNTOR DIN BIF 2 X 4 CEMAR"</f>
        <v>BARRAMENTO DISJUNTOR DIN BIF 2 X 4 CEMAR</v>
      </c>
      <c r="C2053" s="2" t="str">
        <f t="shared" si="77"/>
        <v>UN</v>
      </c>
      <c r="D2053" s="7">
        <v>811</v>
      </c>
      <c r="E2053" s="3">
        <v>8</v>
      </c>
      <c r="G2053" t="s">
        <v>514</v>
      </c>
    </row>
    <row r="2054" spans="1:7" x14ac:dyDescent="0.25">
      <c r="A2054" s="1" t="str">
        <f>"510716"</f>
        <v>510716</v>
      </c>
      <c r="B2054" s="2" t="str">
        <f>"BARRAMENTO DISJUNTOR DIN S-3F1000.B"</f>
        <v>BARRAMENTO DISJUNTOR DIN S-3F1000.B</v>
      </c>
      <c r="C2054" s="2" t="str">
        <f t="shared" si="77"/>
        <v>UN</v>
      </c>
      <c r="D2054" s="7">
        <v>600</v>
      </c>
      <c r="E2054" s="3">
        <v>8</v>
      </c>
      <c r="G2054" t="s">
        <v>514</v>
      </c>
    </row>
    <row r="2055" spans="1:7" x14ac:dyDescent="0.25">
      <c r="A2055" s="1" t="str">
        <f>"510415"</f>
        <v>510415</v>
      </c>
      <c r="B2055" s="2" t="str">
        <f>"BARRAMENTO DISJUNTOR DIN TRIFASICO 3X19"</f>
        <v>BARRAMENTO DISJUNTOR DIN TRIFASICO 3X19</v>
      </c>
      <c r="C2055" s="2" t="str">
        <f t="shared" si="77"/>
        <v>UN</v>
      </c>
      <c r="D2055" s="7">
        <v>600</v>
      </c>
      <c r="E2055" s="3">
        <v>8</v>
      </c>
      <c r="G2055" t="s">
        <v>513</v>
      </c>
    </row>
    <row r="2056" spans="1:7" x14ac:dyDescent="0.25">
      <c r="A2056" s="1" t="str">
        <f>"516315"</f>
        <v>516315</v>
      </c>
      <c r="B2056" s="2" t="str">
        <f>"BARRAMENTO DISJUNTOR DINN TRIFASICO 80A CEMAR"</f>
        <v>BARRAMENTO DISJUNTOR DINN TRIFASICO 80A CEMAR</v>
      </c>
      <c r="C2056" s="2" t="str">
        <f>"KG"</f>
        <v>KG</v>
      </c>
      <c r="D2056" s="7">
        <v>800</v>
      </c>
      <c r="E2056" s="3">
        <v>8</v>
      </c>
      <c r="G2056" t="s">
        <v>512</v>
      </c>
    </row>
    <row r="2057" spans="1:7" x14ac:dyDescent="0.25">
      <c r="A2057" s="1" t="str">
        <f>"515957"</f>
        <v>515957</v>
      </c>
      <c r="B2057" s="2" t="str">
        <f>"BARRAMENTO FASE 80MM TRIFASICO TIPO PENTE"</f>
        <v>BARRAMENTO FASE 80MM TRIFASICO TIPO PENTE</v>
      </c>
      <c r="C2057" s="2" t="str">
        <f t="shared" ref="C2057:C2076" si="78">"UN"</f>
        <v>UN</v>
      </c>
      <c r="D2057" s="7">
        <v>99999</v>
      </c>
      <c r="E2057" s="3">
        <v>99</v>
      </c>
      <c r="G2057" t="s">
        <v>513</v>
      </c>
    </row>
    <row r="2058" spans="1:7" x14ac:dyDescent="0.25">
      <c r="A2058" s="1" t="str">
        <f>"520697"</f>
        <v>520697</v>
      </c>
      <c r="B2058" s="2" t="str">
        <f>"BARRAMENTO FLEXIVEL ISOLADO"</f>
        <v>BARRAMENTO FLEXIVEL ISOLADO</v>
      </c>
      <c r="C2058" s="2" t="str">
        <f t="shared" si="78"/>
        <v>UN</v>
      </c>
      <c r="D2058" s="7">
        <v>900</v>
      </c>
      <c r="E2058" s="3">
        <v>11</v>
      </c>
      <c r="G2058" t="s">
        <v>514</v>
      </c>
    </row>
    <row r="2059" spans="1:7" x14ac:dyDescent="0.25">
      <c r="A2059" s="1" t="str">
        <f>"511262"</f>
        <v>511262</v>
      </c>
      <c r="B2059" s="2" t="str">
        <f>"BARRAMENTO LIQUIDO PRATA TP. 056/040REF1"</f>
        <v>BARRAMENTO LIQUIDO PRATA TP. 056/040REF1</v>
      </c>
      <c r="C2059" s="2" t="str">
        <f t="shared" si="78"/>
        <v>UN</v>
      </c>
      <c r="D2059" s="7">
        <v>600</v>
      </c>
      <c r="E2059" s="3">
        <v>8</v>
      </c>
      <c r="G2059" t="s">
        <v>514</v>
      </c>
    </row>
    <row r="2060" spans="1:7" x14ac:dyDescent="0.25">
      <c r="A2060" s="1" t="str">
        <f>"526746"</f>
        <v>526746</v>
      </c>
      <c r="B2060" s="2" t="str">
        <f>"BARRAMENTO MONOFASICO (PENTE MONOFASICO)"</f>
        <v>BARRAMENTO MONOFASICO (PENTE MONOFASICO)</v>
      </c>
      <c r="C2060" s="2" t="str">
        <f t="shared" si="78"/>
        <v>UN</v>
      </c>
      <c r="D2060" s="7">
        <v>811</v>
      </c>
      <c r="E2060" s="3">
        <v>8</v>
      </c>
      <c r="G2060" t="s">
        <v>514</v>
      </c>
    </row>
    <row r="2061" spans="1:7" x14ac:dyDescent="0.25">
      <c r="A2061" s="1" t="str">
        <f>"512251"</f>
        <v>512251</v>
      </c>
      <c r="B2061" s="2" t="str">
        <f>"BARRAMENTO NEUTRO 1,5 A 16MM"</f>
        <v>BARRAMENTO NEUTRO 1,5 A 16MM</v>
      </c>
      <c r="C2061" s="2" t="str">
        <f t="shared" si="78"/>
        <v>UN</v>
      </c>
      <c r="D2061" s="7">
        <v>600</v>
      </c>
      <c r="E2061" s="3">
        <v>8</v>
      </c>
      <c r="G2061" t="s">
        <v>513</v>
      </c>
    </row>
    <row r="2062" spans="1:7" x14ac:dyDescent="0.25">
      <c r="A2062" s="1" t="str">
        <f>"511711"</f>
        <v>511711</v>
      </c>
      <c r="B2062" s="2" t="str">
        <f>"BARRAMENTO NEUTRO/TERRA 12 FUROS AZ"</f>
        <v>BARRAMENTO NEUTRO/TERRA 12 FUROS AZ</v>
      </c>
      <c r="C2062" s="2" t="str">
        <f t="shared" si="78"/>
        <v>UN</v>
      </c>
      <c r="D2062" s="7">
        <v>600</v>
      </c>
      <c r="E2062" s="3">
        <v>8</v>
      </c>
      <c r="G2062" t="s">
        <v>513</v>
      </c>
    </row>
    <row r="2063" spans="1:7" x14ac:dyDescent="0.25">
      <c r="A2063" s="1" t="str">
        <f>"511710"</f>
        <v>511710</v>
      </c>
      <c r="B2063" s="2" t="str">
        <f>"BARRAMENTO NEUTRO/TERRA 12 FUROS VD"</f>
        <v>BARRAMENTO NEUTRO/TERRA 12 FUROS VD</v>
      </c>
      <c r="C2063" s="2" t="str">
        <f t="shared" si="78"/>
        <v>UN</v>
      </c>
      <c r="D2063" s="7">
        <v>600</v>
      </c>
      <c r="E2063" s="3">
        <v>8</v>
      </c>
      <c r="G2063" t="s">
        <v>513</v>
      </c>
    </row>
    <row r="2064" spans="1:7" x14ac:dyDescent="0.25">
      <c r="A2064" s="1" t="str">
        <f>"517407"</f>
        <v>517407</v>
      </c>
      <c r="B2064" s="2" t="str">
        <f>"BARRAMENTO P/ NEUTRO AZBN12A"</f>
        <v>BARRAMENTO P/ NEUTRO AZBN12A</v>
      </c>
      <c r="C2064" s="2" t="str">
        <f t="shared" si="78"/>
        <v>UN</v>
      </c>
      <c r="D2064" s="7">
        <v>811</v>
      </c>
      <c r="E2064" s="3">
        <v>8</v>
      </c>
      <c r="G2064" t="s">
        <v>512</v>
      </c>
    </row>
    <row r="2065" spans="1:7" x14ac:dyDescent="0.25">
      <c r="A2065" s="1" t="str">
        <f>"517408"</f>
        <v>517408</v>
      </c>
      <c r="B2065" s="2" t="str">
        <f>"BARRAMENTO P/ TERRA VDBT12V"</f>
        <v>BARRAMENTO P/ TERRA VDBT12V</v>
      </c>
      <c r="C2065" s="2" t="str">
        <f t="shared" si="78"/>
        <v>UN</v>
      </c>
      <c r="D2065" s="7">
        <v>811</v>
      </c>
      <c r="E2065" s="3">
        <v>8</v>
      </c>
      <c r="G2065" t="s">
        <v>513</v>
      </c>
    </row>
    <row r="2066" spans="1:7" x14ac:dyDescent="0.25">
      <c r="A2066" s="1" t="str">
        <f>"511713"</f>
        <v>511713</v>
      </c>
      <c r="B2066" s="2" t="str">
        <f>"BARRAMENTO P/DISJ. CONECTOR UNIP."</f>
        <v>BARRAMENTO P/DISJ. CONECTOR UNIP.</v>
      </c>
      <c r="C2066" s="2" t="str">
        <f t="shared" si="78"/>
        <v>UN</v>
      </c>
      <c r="D2066" s="7">
        <v>600</v>
      </c>
      <c r="E2066" s="3">
        <v>8</v>
      </c>
      <c r="G2066" t="s">
        <v>514</v>
      </c>
    </row>
    <row r="2067" spans="1:7" x14ac:dyDescent="0.25">
      <c r="A2067" s="1" t="str">
        <f>"524936"</f>
        <v>524936</v>
      </c>
      <c r="B2067" s="2" t="str">
        <f>"BARRAMENTO PENTE DE CONEXAO A9XPH312 SCHNEIDE"</f>
        <v>BARRAMENTO PENTE DE CONEXAO A9XPH312 SCHNEIDE</v>
      </c>
      <c r="C2067" s="2" t="str">
        <f t="shared" si="78"/>
        <v>UN</v>
      </c>
      <c r="D2067" s="7">
        <v>811</v>
      </c>
      <c r="E2067" s="3">
        <v>8</v>
      </c>
      <c r="G2067" t="s">
        <v>515</v>
      </c>
    </row>
    <row r="2068" spans="1:7" x14ac:dyDescent="0.25">
      <c r="A2068" s="1" t="str">
        <f>"513025"</f>
        <v>513025</v>
      </c>
      <c r="B2068" s="2" t="str">
        <f>"BARRAMENTO REDONDO 3/8"""</f>
        <v>BARRAMENTO REDONDO 3/8"</v>
      </c>
      <c r="C2068" s="2" t="str">
        <f t="shared" si="78"/>
        <v>UN</v>
      </c>
      <c r="D2068" s="7">
        <v>811</v>
      </c>
      <c r="E2068" s="3">
        <v>8</v>
      </c>
      <c r="G2068" t="s">
        <v>512</v>
      </c>
    </row>
    <row r="2069" spans="1:7" x14ac:dyDescent="0.25">
      <c r="A2069" s="1" t="str">
        <f>"528058"</f>
        <v>528058</v>
      </c>
      <c r="B2069" s="8" t="s">
        <v>509</v>
      </c>
      <c r="C2069" s="2" t="str">
        <f t="shared" si="78"/>
        <v>UN</v>
      </c>
      <c r="D2069" s="7">
        <v>915</v>
      </c>
      <c r="E2069" s="3">
        <v>11</v>
      </c>
      <c r="G2069" t="s">
        <v>516</v>
      </c>
    </row>
    <row r="2070" spans="1:7" x14ac:dyDescent="0.25">
      <c r="A2070" s="1" t="str">
        <f>"512252"</f>
        <v>512252</v>
      </c>
      <c r="B2070" s="2" t="str">
        <f>"BARRAMENTO TERRA 1,5 A 16MM"</f>
        <v>BARRAMENTO TERRA 1,5 A 16MM</v>
      </c>
      <c r="C2070" s="2" t="str">
        <f t="shared" si="78"/>
        <v>UN</v>
      </c>
      <c r="D2070" s="7">
        <v>600</v>
      </c>
      <c r="E2070" s="3">
        <v>8</v>
      </c>
      <c r="G2070" t="s">
        <v>515</v>
      </c>
    </row>
    <row r="2071" spans="1:7" x14ac:dyDescent="0.25">
      <c r="A2071" s="1" t="str">
        <f>"511712"</f>
        <v>511712</v>
      </c>
      <c r="B2071" s="2" t="str">
        <f>"BARRAMENTO TIPO PENTE TRIFASICO 63A 1MT"</f>
        <v>BARRAMENTO TIPO PENTE TRIFASICO 63A 1MT</v>
      </c>
      <c r="C2071" s="2" t="str">
        <f t="shared" si="78"/>
        <v>UN</v>
      </c>
      <c r="D2071" s="7">
        <v>600</v>
      </c>
      <c r="E2071" s="3">
        <v>8</v>
      </c>
      <c r="G2071" t="s">
        <v>514</v>
      </c>
    </row>
    <row r="2072" spans="1:7" x14ac:dyDescent="0.25">
      <c r="A2072" s="1" t="str">
        <f>"516521"</f>
        <v>516521</v>
      </c>
      <c r="B2072" s="2" t="str">
        <f>"BARRAMENTO TRIFASICO (PENTE TRIFASICO)"</f>
        <v>BARRAMENTO TRIFASICO (PENTE TRIFASICO)</v>
      </c>
      <c r="C2072" s="2" t="str">
        <f t="shared" si="78"/>
        <v>UN</v>
      </c>
      <c r="D2072" s="7">
        <v>811</v>
      </c>
      <c r="E2072" s="3">
        <v>8</v>
      </c>
      <c r="G2072" t="s">
        <v>512</v>
      </c>
    </row>
    <row r="2073" spans="1:7" x14ac:dyDescent="0.25">
      <c r="A2073" s="1" t="str">
        <f>"504016"</f>
        <v>504016</v>
      </c>
      <c r="B2073" s="2" t="str">
        <f>"BARRAS METALON 50X50 CHAPA 1,5MM"</f>
        <v>BARRAS METALON 50X50 CHAPA 1,5MM</v>
      </c>
      <c r="C2073" s="2" t="str">
        <f t="shared" si="78"/>
        <v>UN</v>
      </c>
      <c r="D2073" s="7">
        <v>402</v>
      </c>
      <c r="E2073" s="3">
        <v>4</v>
      </c>
      <c r="G2073" t="s">
        <v>513</v>
      </c>
    </row>
    <row r="2074" spans="1:7" x14ac:dyDescent="0.25">
      <c r="A2074" s="1" t="str">
        <f>"504014"</f>
        <v>504014</v>
      </c>
      <c r="B2074" s="2" t="str">
        <f>"BARRAS METALON 80X80 CHAPA 14"</f>
        <v>BARRAS METALON 80X80 CHAPA 14</v>
      </c>
      <c r="C2074" s="2" t="str">
        <f t="shared" si="78"/>
        <v>UN</v>
      </c>
      <c r="D2074" s="7">
        <v>402</v>
      </c>
      <c r="E2074" s="3">
        <v>4</v>
      </c>
      <c r="G2074" t="s">
        <v>514</v>
      </c>
    </row>
    <row r="2075" spans="1:7" x14ac:dyDescent="0.25">
      <c r="A2075" s="1" t="str">
        <f>"502718"</f>
        <v>502718</v>
      </c>
      <c r="B2075" s="2" t="str">
        <f>"BARRAS METALON ACO INOX 25X25X1,5MM"</f>
        <v>BARRAS METALON ACO INOX 25X25X1,5MM</v>
      </c>
      <c r="C2075" s="2" t="str">
        <f t="shared" si="78"/>
        <v>UN</v>
      </c>
      <c r="D2075" s="7">
        <v>402</v>
      </c>
      <c r="E2075" s="3">
        <v>4</v>
      </c>
      <c r="G2075" t="s">
        <v>514</v>
      </c>
    </row>
    <row r="2076" spans="1:7" x14ac:dyDescent="0.25">
      <c r="A2076" s="1" t="str">
        <f>"504015"</f>
        <v>504015</v>
      </c>
      <c r="B2076" s="2" t="str">
        <f>"BARRAS TERCA 4""X2"" NA CHAPA 2,25MM"</f>
        <v>BARRAS TERCA 4"X2" NA CHAPA 2,25MM</v>
      </c>
      <c r="C2076" s="2" t="str">
        <f t="shared" si="78"/>
        <v>UN</v>
      </c>
      <c r="D2076" s="7">
        <v>402</v>
      </c>
      <c r="E2076" s="3">
        <v>4</v>
      </c>
      <c r="G2076" t="s">
        <v>512</v>
      </c>
    </row>
    <row r="2077" spans="1:7" x14ac:dyDescent="0.25">
      <c r="A2077" s="1" t="str">
        <f>"527816"</f>
        <v>527816</v>
      </c>
      <c r="B2077" s="2" t="str">
        <f>"BARREIRA ELETRONICA M1NS001 (1MT)"</f>
        <v>BARREIRA ELETRONICA M1NS001 (1MT)</v>
      </c>
      <c r="C2077" s="2" t="str">
        <f>"BR"</f>
        <v>BR</v>
      </c>
      <c r="D2077" s="7">
        <v>808</v>
      </c>
      <c r="E2077" s="3">
        <v>10</v>
      </c>
      <c r="G2077" t="s">
        <v>513</v>
      </c>
    </row>
    <row r="2078" spans="1:7" x14ac:dyDescent="0.25">
      <c r="A2078" s="1" t="str">
        <f>"520752"</f>
        <v>520752</v>
      </c>
      <c r="B2078" s="8" t="s">
        <v>176</v>
      </c>
      <c r="C2078" s="2" t="str">
        <f>"BR"</f>
        <v>BR</v>
      </c>
      <c r="D2078" s="7">
        <v>808</v>
      </c>
      <c r="E2078" s="3">
        <v>10</v>
      </c>
      <c r="G2078" t="s">
        <v>514</v>
      </c>
    </row>
    <row r="2079" spans="1:7" x14ac:dyDescent="0.25">
      <c r="A2079" s="1" t="str">
        <f>"516975"</f>
        <v>516975</v>
      </c>
      <c r="B2079" s="2" t="str">
        <f>"BARRICA D'AGUA PLASTICA 25L C/ CINTA FERRO PRETA JB"</f>
        <v>BARRICA D'AGUA PLASTICA 25L C/ CINTA FERRO PRETA JB</v>
      </c>
      <c r="C2079" s="2" t="str">
        <f>"UN"</f>
        <v>UN</v>
      </c>
      <c r="D2079" s="7">
        <v>918</v>
      </c>
      <c r="E2079" s="3">
        <v>16</v>
      </c>
      <c r="G2079" t="s">
        <v>514</v>
      </c>
    </row>
    <row r="2080" spans="1:7" x14ac:dyDescent="0.25">
      <c r="A2080" s="1" t="str">
        <f>"511075"</f>
        <v>511075</v>
      </c>
      <c r="B2080" s="2" t="str">
        <f>"BARRILETE PVC 10 LITROS"</f>
        <v>BARRILETE PVC 10 LITROS</v>
      </c>
      <c r="C2080" s="2" t="str">
        <f>"UN"</f>
        <v>UN</v>
      </c>
      <c r="D2080" s="7">
        <v>406</v>
      </c>
      <c r="E2080" s="3">
        <v>4</v>
      </c>
      <c r="G2080" t="s">
        <v>514</v>
      </c>
    </row>
    <row r="2081" spans="1:7" x14ac:dyDescent="0.25">
      <c r="A2081" s="1" t="str">
        <f>"525992"</f>
        <v>525992</v>
      </c>
      <c r="B2081" s="2" t="str">
        <f>"BASCÚLA BARRA DE ASPIRAÇÃO"</f>
        <v>BASCÚLA BARRA DE ASPIRAÇÃO</v>
      </c>
      <c r="C2081" s="2" t="str">
        <f>"UN"</f>
        <v>UN</v>
      </c>
      <c r="D2081" s="7">
        <v>918</v>
      </c>
      <c r="E2081" s="3">
        <v>10</v>
      </c>
      <c r="G2081" t="s">
        <v>513</v>
      </c>
    </row>
    <row r="2082" spans="1:7" x14ac:dyDescent="0.25">
      <c r="A2082" s="1" t="str">
        <f>"511791"</f>
        <v>511791</v>
      </c>
      <c r="B2082" s="2" t="str">
        <f>"BASE"</f>
        <v>BASE</v>
      </c>
      <c r="C2082" s="2" t="str">
        <f>"UN"</f>
        <v>UN</v>
      </c>
      <c r="D2082" s="7">
        <v>918</v>
      </c>
      <c r="E2082" s="3">
        <v>11</v>
      </c>
      <c r="G2082" t="s">
        <v>512</v>
      </c>
    </row>
    <row r="2083" spans="1:7" x14ac:dyDescent="0.25">
      <c r="A2083" s="1" t="str">
        <f>"10032"</f>
        <v>10032</v>
      </c>
      <c r="B2083" s="2" t="str">
        <f>"BASE  FLAN DE IOGURTE GOURMET FORMULACAO"</f>
        <v>BASE  FLAN DE IOGURTE GOURMET FORMULACAO</v>
      </c>
      <c r="C2083" s="2" t="str">
        <f>"KG"</f>
        <v>KG</v>
      </c>
      <c r="D2083" s="7">
        <v>1103</v>
      </c>
      <c r="E2083" s="3">
        <v>7</v>
      </c>
      <c r="G2083" t="s">
        <v>513</v>
      </c>
    </row>
    <row r="2084" spans="1:7" x14ac:dyDescent="0.25">
      <c r="A2084" s="1" t="str">
        <f>"10032B"</f>
        <v>10032B</v>
      </c>
      <c r="B2084" s="2" t="str">
        <f>"BASE  FLAN DE IOGURTE GOURMET PASTEURIZACAO E FERMENTACAO"</f>
        <v>BASE  FLAN DE IOGURTE GOURMET PASTEURIZACAO E FERMENTACAO</v>
      </c>
      <c r="C2084" s="2" t="str">
        <f>"KG"</f>
        <v>KG</v>
      </c>
      <c r="D2084" s="7">
        <v>1103</v>
      </c>
      <c r="E2084" s="3">
        <v>7</v>
      </c>
      <c r="G2084" t="s">
        <v>514</v>
      </c>
    </row>
    <row r="2085" spans="1:7" x14ac:dyDescent="0.25">
      <c r="A2085" s="1" t="str">
        <f>"524581"</f>
        <v>524581</v>
      </c>
      <c r="B2085" s="2" t="str">
        <f>"BASE 6ES71934CB300AA0 -SIEMENS"</f>
        <v>BASE 6ES71934CB300AA0 -SIEMENS</v>
      </c>
      <c r="C2085" s="2" t="str">
        <f>"UN"</f>
        <v>UN</v>
      </c>
      <c r="D2085" s="7">
        <v>811</v>
      </c>
      <c r="E2085" s="3">
        <v>11</v>
      </c>
      <c r="G2085" t="s">
        <v>514</v>
      </c>
    </row>
    <row r="2086" spans="1:7" x14ac:dyDescent="0.25">
      <c r="A2086" s="1" t="str">
        <f>"10051"</f>
        <v>10051</v>
      </c>
      <c r="B2086" s="2" t="str">
        <f>"BASE BEB.LAC.BANDEJA CAROL FORMULACAO"</f>
        <v>BASE BEB.LAC.BANDEJA CAROL FORMULACAO</v>
      </c>
      <c r="C2086" s="2" t="str">
        <f t="shared" ref="C2086:C2107" si="79">"KG"</f>
        <v>KG</v>
      </c>
      <c r="D2086" s="7">
        <v>1102</v>
      </c>
      <c r="E2086" s="3">
        <v>7</v>
      </c>
      <c r="G2086" t="s">
        <v>514</v>
      </c>
    </row>
    <row r="2087" spans="1:7" x14ac:dyDescent="0.25">
      <c r="A2087" s="1" t="str">
        <f>"10051R"</f>
        <v>10051R</v>
      </c>
      <c r="B2087" s="2" t="str">
        <f>"BASE BEB.LAC.BANDEJA CAROL FORMULACAO RECONSTITIOCAO"</f>
        <v>BASE BEB.LAC.BANDEJA CAROL FORMULACAO RECONSTITIOCAO</v>
      </c>
      <c r="C2087" s="2" t="str">
        <f t="shared" si="79"/>
        <v>KG</v>
      </c>
      <c r="D2087" s="7">
        <v>1102</v>
      </c>
      <c r="E2087" s="3">
        <v>7</v>
      </c>
      <c r="G2087" t="s">
        <v>513</v>
      </c>
    </row>
    <row r="2088" spans="1:7" x14ac:dyDescent="0.25">
      <c r="A2088" s="1" t="str">
        <f>"10051B"</f>
        <v>10051B</v>
      </c>
      <c r="B2088" s="2" t="str">
        <f>"BASE BEB.LAC.BANDEJA CAROLINA PASTEURIZACAO E FERMENTACAO"</f>
        <v>BASE BEB.LAC.BANDEJA CAROLINA PASTEURIZACAO E FERMENTACAO</v>
      </c>
      <c r="C2088" s="2" t="str">
        <f t="shared" si="79"/>
        <v>KG</v>
      </c>
      <c r="D2088" s="7">
        <v>1102</v>
      </c>
      <c r="E2088" s="3">
        <v>7</v>
      </c>
      <c r="G2088" t="s">
        <v>513</v>
      </c>
    </row>
    <row r="2089" spans="1:7" x14ac:dyDescent="0.25">
      <c r="A2089" s="1" t="str">
        <f>"10052"</f>
        <v>10052</v>
      </c>
      <c r="B2089" s="2" t="str">
        <f>"BASE BEB.LAC.PACOTE/FRASCO CAROL FORMULACAO"</f>
        <v>BASE BEB.LAC.PACOTE/FRASCO CAROL FORMULACAO</v>
      </c>
      <c r="C2089" s="2" t="str">
        <f t="shared" si="79"/>
        <v>KG</v>
      </c>
      <c r="D2089" s="7">
        <v>1102</v>
      </c>
      <c r="E2089" s="3">
        <v>7</v>
      </c>
      <c r="G2089" t="s">
        <v>513</v>
      </c>
    </row>
    <row r="2090" spans="1:7" x14ac:dyDescent="0.25">
      <c r="A2090" s="1" t="str">
        <f>"10052R"</f>
        <v>10052R</v>
      </c>
      <c r="B2090" s="2" t="str">
        <f>"BASE BEB.LAC.PACOTE/FRASCO CAROL FORMULACAO RECONSTITIOCAO"</f>
        <v>BASE BEB.LAC.PACOTE/FRASCO CAROL FORMULACAO RECONSTITIOCAO</v>
      </c>
      <c r="C2090" s="2" t="str">
        <f t="shared" si="79"/>
        <v>KG</v>
      </c>
      <c r="D2090" s="7">
        <v>1102</v>
      </c>
      <c r="E2090" s="3">
        <v>7</v>
      </c>
      <c r="G2090" t="s">
        <v>512</v>
      </c>
    </row>
    <row r="2091" spans="1:7" x14ac:dyDescent="0.25">
      <c r="A2091" s="1" t="str">
        <f>"10052B"</f>
        <v>10052B</v>
      </c>
      <c r="B2091" s="2" t="str">
        <f>"BASE BEB.LAC.PACOTE/FRASCO CAROL PASTEURIZACAO E FERMENTACAO"</f>
        <v>BASE BEB.LAC.PACOTE/FRASCO CAROL PASTEURIZACAO E FERMENTACAO</v>
      </c>
      <c r="C2091" s="2" t="str">
        <f t="shared" si="79"/>
        <v>KG</v>
      </c>
      <c r="D2091" s="7">
        <v>1102</v>
      </c>
      <c r="E2091" s="3">
        <v>7</v>
      </c>
      <c r="G2091" t="s">
        <v>513</v>
      </c>
    </row>
    <row r="2092" spans="1:7" x14ac:dyDescent="0.25">
      <c r="A2092" s="1" t="str">
        <f>"10017B"</f>
        <v>10017B</v>
      </c>
      <c r="B2092" s="2" t="str">
        <f>"BASE BEB.LACT.  BIBI BITS PASTEURIZACAO E FERMENTACAO"</f>
        <v>BASE BEB.LACT.  BIBI BITS PASTEURIZACAO E FERMENTACAO</v>
      </c>
      <c r="C2092" s="2" t="str">
        <f t="shared" si="79"/>
        <v>KG</v>
      </c>
      <c r="D2092" s="7">
        <v>1103</v>
      </c>
      <c r="E2092" s="3">
        <v>7</v>
      </c>
      <c r="G2092" t="s">
        <v>514</v>
      </c>
    </row>
    <row r="2093" spans="1:7" x14ac:dyDescent="0.25">
      <c r="A2093" s="1" t="str">
        <f>"10017"</f>
        <v>10017</v>
      </c>
      <c r="B2093" s="2" t="str">
        <f>"BASE BEB.LACT. BIBI BITS FORMULACAO"</f>
        <v>BASE BEB.LACT. BIBI BITS FORMULACAO</v>
      </c>
      <c r="C2093" s="2" t="str">
        <f t="shared" si="79"/>
        <v>KG</v>
      </c>
      <c r="D2093" s="7">
        <v>1103</v>
      </c>
      <c r="E2093" s="3">
        <v>7</v>
      </c>
      <c r="G2093" t="s">
        <v>515</v>
      </c>
    </row>
    <row r="2094" spans="1:7" x14ac:dyDescent="0.25">
      <c r="A2094" s="1" t="str">
        <f>"10028"</f>
        <v>10028</v>
      </c>
      <c r="B2094" s="2" t="str">
        <f>"BASE BEB.LACT. CHOCOLATE FRASCO/BIBI BIT'S"</f>
        <v>BASE BEB.LACT. CHOCOLATE FRASCO/BIBI BIT'S</v>
      </c>
      <c r="C2094" s="2" t="str">
        <f t="shared" si="79"/>
        <v>KG</v>
      </c>
      <c r="D2094" s="7">
        <v>1102</v>
      </c>
      <c r="E2094" s="3">
        <v>7</v>
      </c>
      <c r="G2094" t="s">
        <v>512</v>
      </c>
    </row>
    <row r="2095" spans="1:7" x14ac:dyDescent="0.25">
      <c r="A2095" s="1" t="str">
        <f>"10028B"</f>
        <v>10028B</v>
      </c>
      <c r="B2095" s="2" t="str">
        <f>"BASE BEB.LACT. CHOCOLATE FRASCO/BIBI BIT'S"</f>
        <v>BASE BEB.LACT. CHOCOLATE FRASCO/BIBI BIT'S</v>
      </c>
      <c r="C2095" s="2" t="str">
        <f t="shared" si="79"/>
        <v>KG</v>
      </c>
      <c r="D2095" s="7">
        <v>1102</v>
      </c>
      <c r="E2095" s="3">
        <v>7</v>
      </c>
      <c r="G2095" t="s">
        <v>516</v>
      </c>
    </row>
    <row r="2096" spans="1:7" x14ac:dyDescent="0.25">
      <c r="A2096" s="1" t="str">
        <f>"10040B"</f>
        <v>10040B</v>
      </c>
      <c r="B2096" s="2" t="str">
        <f>"BASE BEB.LACT. ESTERELIZADA CHOCOLATE"</f>
        <v>BASE BEB.LACT. ESTERELIZADA CHOCOLATE</v>
      </c>
      <c r="C2096" s="2" t="str">
        <f t="shared" si="79"/>
        <v>KG</v>
      </c>
      <c r="D2096" s="7">
        <v>1106</v>
      </c>
      <c r="E2096" s="3">
        <v>7</v>
      </c>
      <c r="G2096" t="s">
        <v>515</v>
      </c>
    </row>
    <row r="2097" spans="1:7" x14ac:dyDescent="0.25">
      <c r="A2097" s="1" t="str">
        <f>"10007"</f>
        <v>10007</v>
      </c>
      <c r="B2097" s="2" t="str">
        <f>"BASE BEB.LACT.BANDEJA FORMULACAO"</f>
        <v>BASE BEB.LACT.BANDEJA FORMULACAO</v>
      </c>
      <c r="C2097" s="2" t="str">
        <f t="shared" si="79"/>
        <v>KG</v>
      </c>
      <c r="D2097" s="7">
        <v>1101</v>
      </c>
      <c r="E2097" s="3">
        <v>7</v>
      </c>
      <c r="G2097" t="s">
        <v>514</v>
      </c>
    </row>
    <row r="2098" spans="1:7" x14ac:dyDescent="0.25">
      <c r="A2098" s="1" t="str">
        <f>"10007R"</f>
        <v>10007R</v>
      </c>
      <c r="B2098" s="2" t="str">
        <f>"BASE BEB.LACT.BANDEJA FORMULACAO RECONSTITUICAO"</f>
        <v>BASE BEB.LACT.BANDEJA FORMULACAO RECONSTITUICAO</v>
      </c>
      <c r="C2098" s="2" t="str">
        <f t="shared" si="79"/>
        <v>KG</v>
      </c>
      <c r="D2098" s="7">
        <v>1101</v>
      </c>
      <c r="E2098" s="3">
        <v>7</v>
      </c>
      <c r="G2098" t="s">
        <v>512</v>
      </c>
    </row>
    <row r="2099" spans="1:7" x14ac:dyDescent="0.25">
      <c r="A2099" s="1" t="str">
        <f>"10007B"</f>
        <v>10007B</v>
      </c>
      <c r="B2099" s="2" t="str">
        <f>"BASE BEB.LACT.BANDEJA PASTEURIZACAO E FERMENTACAO"</f>
        <v>BASE BEB.LACT.BANDEJA PASTEURIZACAO E FERMENTACAO</v>
      </c>
      <c r="C2099" s="2" t="str">
        <f t="shared" si="79"/>
        <v>KG</v>
      </c>
      <c r="D2099" s="7">
        <v>1101</v>
      </c>
      <c r="E2099" s="3">
        <v>7</v>
      </c>
      <c r="G2099" t="s">
        <v>513</v>
      </c>
    </row>
    <row r="2100" spans="1:7" x14ac:dyDescent="0.25">
      <c r="A2100" s="1" t="str">
        <f>"10040"</f>
        <v>10040</v>
      </c>
      <c r="B2100" s="2" t="str">
        <f>"BASE BEB.LACT.ESTERELIZADA CHOCOLATE"</f>
        <v>BASE BEB.LACT.ESTERELIZADA CHOCOLATE</v>
      </c>
      <c r="C2100" s="2" t="str">
        <f t="shared" si="79"/>
        <v>KG</v>
      </c>
      <c r="D2100" s="7">
        <v>1106</v>
      </c>
      <c r="E2100" s="3">
        <v>7</v>
      </c>
      <c r="G2100" t="s">
        <v>514</v>
      </c>
    </row>
    <row r="2101" spans="1:7" x14ac:dyDescent="0.25">
      <c r="A2101" s="1" t="str">
        <f>"10006"</f>
        <v>10006</v>
      </c>
      <c r="B2101" s="2" t="str">
        <f>"BASE BEB.LACT.FRASCO/BIBI BIT'S FORMULACAO"</f>
        <v>BASE BEB.LACT.FRASCO/BIBI BIT'S FORMULACAO</v>
      </c>
      <c r="C2101" s="2" t="str">
        <f t="shared" si="79"/>
        <v>KG</v>
      </c>
      <c r="D2101" s="7">
        <v>1102</v>
      </c>
      <c r="E2101" s="3">
        <v>7</v>
      </c>
      <c r="G2101" t="s">
        <v>514</v>
      </c>
    </row>
    <row r="2102" spans="1:7" x14ac:dyDescent="0.25">
      <c r="A2102" s="1" t="str">
        <f>"10006R"</f>
        <v>10006R</v>
      </c>
      <c r="B2102" s="2" t="str">
        <f>"BASE BEB.LACT.FRASCO/BIBI BIT'S FORMULACAO RECONSTITUICAO"</f>
        <v>BASE BEB.LACT.FRASCO/BIBI BIT'S FORMULACAO RECONSTITUICAO</v>
      </c>
      <c r="C2102" s="2" t="str">
        <f t="shared" si="79"/>
        <v>KG</v>
      </c>
      <c r="D2102" s="7">
        <v>1102</v>
      </c>
      <c r="E2102" s="3">
        <v>7</v>
      </c>
      <c r="G2102" t="s">
        <v>512</v>
      </c>
    </row>
    <row r="2103" spans="1:7" x14ac:dyDescent="0.25">
      <c r="A2103" s="1" t="str">
        <f>"10006B"</f>
        <v>10006B</v>
      </c>
      <c r="B2103" s="2" t="str">
        <f>"BASE BEB.LACT.FRASCO/BIBI BIT'S PASTEURIZACAO E FERMENTACAO"</f>
        <v>BASE BEB.LACT.FRASCO/BIBI BIT'S PASTEURIZACAO E FERMENTACAO</v>
      </c>
      <c r="C2103" s="2" t="str">
        <f t="shared" si="79"/>
        <v>KG</v>
      </c>
      <c r="D2103" s="7">
        <v>1102</v>
      </c>
      <c r="E2103" s="3">
        <v>7</v>
      </c>
      <c r="G2103" t="s">
        <v>513</v>
      </c>
    </row>
    <row r="2104" spans="1:7" x14ac:dyDescent="0.25">
      <c r="A2104" s="1" t="str">
        <f>"10005"</f>
        <v>10005</v>
      </c>
      <c r="B2104" s="2" t="str">
        <f>"BASE BEB.LACT.SAQUINHO FORMULACAO"</f>
        <v>BASE BEB.LACT.SAQUINHO FORMULACAO</v>
      </c>
      <c r="C2104" s="2" t="str">
        <f t="shared" si="79"/>
        <v>KG</v>
      </c>
      <c r="D2104" s="7">
        <v>1106</v>
      </c>
      <c r="E2104" s="3">
        <v>7</v>
      </c>
      <c r="G2104" t="s">
        <v>514</v>
      </c>
    </row>
    <row r="2105" spans="1:7" x14ac:dyDescent="0.25">
      <c r="A2105" s="1" t="str">
        <f>"10005R"</f>
        <v>10005R</v>
      </c>
      <c r="B2105" s="2" t="str">
        <f>"BASE BEB.LACT.SAQUINHO FORMULACAO RECONSTITUICAO"</f>
        <v>BASE BEB.LACT.SAQUINHO FORMULACAO RECONSTITUICAO</v>
      </c>
      <c r="C2105" s="2" t="str">
        <f t="shared" si="79"/>
        <v>KG</v>
      </c>
      <c r="D2105" s="7">
        <v>1106</v>
      </c>
      <c r="E2105" s="3">
        <v>7</v>
      </c>
      <c r="G2105" t="s">
        <v>514</v>
      </c>
    </row>
    <row r="2106" spans="1:7" x14ac:dyDescent="0.25">
      <c r="A2106" s="1" t="str">
        <f>"10005B"</f>
        <v>10005B</v>
      </c>
      <c r="B2106" s="2" t="str">
        <f>"BASE BEB.LACT.SAQUINHO PASTEURIZACAO E FERMENTACAO"</f>
        <v>BASE BEB.LACT.SAQUINHO PASTEURIZACAO E FERMENTACAO</v>
      </c>
      <c r="C2106" s="2" t="str">
        <f t="shared" si="79"/>
        <v>KG</v>
      </c>
      <c r="D2106" s="7">
        <v>1106</v>
      </c>
      <c r="E2106" s="3">
        <v>7</v>
      </c>
      <c r="G2106" t="s">
        <v>514</v>
      </c>
    </row>
    <row r="2107" spans="1:7" x14ac:dyDescent="0.25">
      <c r="A2107" s="1" t="str">
        <f>"10026"</f>
        <v>10026</v>
      </c>
      <c r="B2107" s="2" t="str">
        <f>"BASE BEBIDA LACTEA SORO COM SUCO"</f>
        <v>BASE BEBIDA LACTEA SORO COM SUCO</v>
      </c>
      <c r="C2107" s="2" t="str">
        <f t="shared" si="79"/>
        <v>KG</v>
      </c>
      <c r="D2107" s="7">
        <v>16</v>
      </c>
      <c r="E2107" s="3">
        <v>7</v>
      </c>
      <c r="G2107" t="s">
        <v>513</v>
      </c>
    </row>
    <row r="2108" spans="1:7" x14ac:dyDescent="0.25">
      <c r="A2108" s="1" t="str">
        <f>"523623"</f>
        <v>523623</v>
      </c>
      <c r="B2108" s="2" t="str">
        <f>"BASE BIG ISOLEAN EM ABS"</f>
        <v>BASE BIG ISOLEAN EM ABS</v>
      </c>
      <c r="C2108" s="2" t="str">
        <f t="shared" ref="C2108:C2114" si="80">"UN"</f>
        <v>UN</v>
      </c>
      <c r="D2108" s="7">
        <v>401</v>
      </c>
      <c r="E2108" s="3">
        <v>4</v>
      </c>
      <c r="G2108" t="s">
        <v>512</v>
      </c>
    </row>
    <row r="2109" spans="1:7" x14ac:dyDescent="0.25">
      <c r="A2109" s="1" t="str">
        <f>"521849"</f>
        <v>521849</v>
      </c>
      <c r="B2109" s="8" t="s">
        <v>231</v>
      </c>
      <c r="C2109" s="2" t="str">
        <f t="shared" si="80"/>
        <v>UN</v>
      </c>
      <c r="D2109" s="7">
        <v>913</v>
      </c>
      <c r="E2109" s="3">
        <v>11</v>
      </c>
      <c r="F2109" s="3">
        <v>11</v>
      </c>
      <c r="G2109" t="s">
        <v>513</v>
      </c>
    </row>
    <row r="2110" spans="1:7" x14ac:dyDescent="0.25">
      <c r="A2110" s="1" t="str">
        <f>"526795"</f>
        <v>526795</v>
      </c>
      <c r="B2110" s="2" t="str">
        <f>"BASE C/ CONEX. PARAF. P/ MOD PM6ES7138-4CA01-0AA0"</f>
        <v>BASE C/ CONEX. PARAF. P/ MOD PM6ES7138-4CA01-0AA0</v>
      </c>
      <c r="C2110" s="2" t="str">
        <f t="shared" si="80"/>
        <v>UN</v>
      </c>
      <c r="D2110" s="7">
        <v>811</v>
      </c>
      <c r="E2110" s="3">
        <v>8</v>
      </c>
      <c r="F2110" s="3">
        <v>8</v>
      </c>
      <c r="G2110" t="s">
        <v>514</v>
      </c>
    </row>
    <row r="2111" spans="1:7" x14ac:dyDescent="0.25">
      <c r="A2111" s="1" t="str">
        <f>"509493"</f>
        <v>509493</v>
      </c>
      <c r="B2111" s="2" t="str">
        <f>"BASE CILINDRO DNC BK GL 15812503"</f>
        <v>BASE CILINDRO DNC BK GL 15812503</v>
      </c>
      <c r="C2111" s="2" t="str">
        <f t="shared" si="80"/>
        <v>UN</v>
      </c>
      <c r="D2111" s="7">
        <v>913</v>
      </c>
      <c r="E2111" s="3">
        <v>11</v>
      </c>
      <c r="F2111" s="3">
        <v>11</v>
      </c>
      <c r="G2111" t="s">
        <v>514</v>
      </c>
    </row>
    <row r="2112" spans="1:7" x14ac:dyDescent="0.25">
      <c r="A2112" s="1" t="str">
        <f>"503848"</f>
        <v>503848</v>
      </c>
      <c r="B2112" s="2" t="str">
        <f>"BASE CILINDRO PNEUM D63521 COD.17589203"</f>
        <v>BASE CILINDRO PNEUM D63521 COD.17589203</v>
      </c>
      <c r="C2112" s="2" t="str">
        <f t="shared" si="80"/>
        <v>UN</v>
      </c>
      <c r="D2112" s="7">
        <v>913</v>
      </c>
      <c r="E2112" s="3">
        <v>11</v>
      </c>
      <c r="F2112" s="3">
        <v>11</v>
      </c>
      <c r="G2112" t="s">
        <v>514</v>
      </c>
    </row>
    <row r="2113" spans="1:7" x14ac:dyDescent="0.25">
      <c r="A2113" s="1" t="str">
        <f>"523679"</f>
        <v>523679</v>
      </c>
      <c r="B2113" s="2" t="str">
        <f>"BASE CIRCULAR"</f>
        <v>BASE CIRCULAR</v>
      </c>
      <c r="C2113" s="2" t="str">
        <f t="shared" si="80"/>
        <v>UN</v>
      </c>
      <c r="D2113" s="7">
        <v>99999</v>
      </c>
      <c r="E2113" s="3">
        <v>99</v>
      </c>
      <c r="F2113" s="3">
        <v>99</v>
      </c>
      <c r="G2113" t="s">
        <v>513</v>
      </c>
    </row>
    <row r="2114" spans="1:7" x14ac:dyDescent="0.25">
      <c r="A2114" s="1" t="str">
        <f>"526652"</f>
        <v>526652</v>
      </c>
      <c r="B2114" s="2" t="str">
        <f>"BASE CONTRA FACA"</f>
        <v>BASE CONTRA FACA</v>
      </c>
      <c r="C2114" s="2" t="str">
        <f t="shared" si="80"/>
        <v>UN</v>
      </c>
      <c r="D2114" s="7">
        <v>918</v>
      </c>
      <c r="E2114" s="3">
        <v>11</v>
      </c>
      <c r="F2114" s="3">
        <v>11</v>
      </c>
      <c r="G2114" t="s">
        <v>513</v>
      </c>
    </row>
    <row r="2115" spans="1:7" x14ac:dyDescent="0.25">
      <c r="A2115" s="1" t="str">
        <f>"10013"</f>
        <v>10013</v>
      </c>
      <c r="B2115" s="2" t="str">
        <f>"BASE COPO COALHADA TRADICIONAL FORMULACAO"</f>
        <v>BASE COPO COALHADA TRADICIONAL FORMULACAO</v>
      </c>
      <c r="C2115" s="2" t="str">
        <f>"KG"</f>
        <v>KG</v>
      </c>
      <c r="D2115" s="7">
        <v>1103</v>
      </c>
      <c r="E2115" s="3">
        <v>7</v>
      </c>
      <c r="F2115" s="3">
        <v>7</v>
      </c>
      <c r="G2115" t="s">
        <v>513</v>
      </c>
    </row>
    <row r="2116" spans="1:7" x14ac:dyDescent="0.25">
      <c r="A2116" s="1" t="str">
        <f>"10013B"</f>
        <v>10013B</v>
      </c>
      <c r="B2116" s="2" t="str">
        <f>"BASE COPO COALHADA TRADICIONAL PASTEURIZACAO"</f>
        <v>BASE COPO COALHADA TRADICIONAL PASTEURIZACAO</v>
      </c>
      <c r="C2116" s="2" t="str">
        <f>"KG"</f>
        <v>KG</v>
      </c>
      <c r="D2116" s="7">
        <v>1103</v>
      </c>
      <c r="E2116" s="3">
        <v>7</v>
      </c>
      <c r="F2116" s="3">
        <v>7</v>
      </c>
      <c r="G2116" t="s">
        <v>512</v>
      </c>
    </row>
    <row r="2117" spans="1:7" x14ac:dyDescent="0.25">
      <c r="A2117" s="1" t="str">
        <f>"10042"</f>
        <v>10042</v>
      </c>
      <c r="B2117" s="2" t="str">
        <f>"BASE CREME DE LEITE (NATA)"</f>
        <v>BASE CREME DE LEITE (NATA)</v>
      </c>
      <c r="C2117" s="2" t="str">
        <f>"KG"</f>
        <v>KG</v>
      </c>
      <c r="D2117" s="7">
        <v>216</v>
      </c>
      <c r="E2117" s="3">
        <v>7</v>
      </c>
      <c r="F2117" s="3">
        <v>7</v>
      </c>
      <c r="G2117" t="s">
        <v>513</v>
      </c>
    </row>
    <row r="2118" spans="1:7" x14ac:dyDescent="0.25">
      <c r="A2118" s="1" t="str">
        <f>"514445"</f>
        <v>514445</v>
      </c>
      <c r="B2118" s="2" t="str">
        <f>"BASE CROMADA GIRATORIA"</f>
        <v>BASE CROMADA GIRATORIA</v>
      </c>
      <c r="C2118" s="2" t="str">
        <f t="shared" ref="C2118:C2128" si="81">"UN"</f>
        <v>UN</v>
      </c>
      <c r="D2118" s="7">
        <v>401</v>
      </c>
      <c r="E2118" s="3">
        <v>4</v>
      </c>
      <c r="F2118" s="3">
        <v>4</v>
      </c>
      <c r="G2118" t="s">
        <v>514</v>
      </c>
    </row>
    <row r="2119" spans="1:7" x14ac:dyDescent="0.25">
      <c r="A2119" s="1" t="str">
        <f>"504981"</f>
        <v>504981</v>
      </c>
      <c r="B2119" s="2" t="str">
        <f>"BASE DA BOLSA"</f>
        <v>BASE DA BOLSA</v>
      </c>
      <c r="C2119" s="2" t="str">
        <f t="shared" si="81"/>
        <v>UN</v>
      </c>
      <c r="D2119" s="7">
        <v>704</v>
      </c>
      <c r="E2119" s="3">
        <v>9</v>
      </c>
      <c r="F2119" s="3">
        <v>9</v>
      </c>
      <c r="G2119" t="s">
        <v>515</v>
      </c>
    </row>
    <row r="2120" spans="1:7" x14ac:dyDescent="0.25">
      <c r="A2120" s="1" t="str">
        <f>"526651"</f>
        <v>526651</v>
      </c>
      <c r="B2120" s="2" t="str">
        <f>"BASE DAS FACAS"</f>
        <v>BASE DAS FACAS</v>
      </c>
      <c r="C2120" s="2" t="str">
        <f t="shared" si="81"/>
        <v>UN</v>
      </c>
      <c r="D2120" s="7">
        <v>918</v>
      </c>
      <c r="E2120" s="3">
        <v>11</v>
      </c>
      <c r="F2120" s="3">
        <v>11</v>
      </c>
      <c r="G2120" t="s">
        <v>512</v>
      </c>
    </row>
    <row r="2121" spans="1:7" x14ac:dyDescent="0.25">
      <c r="A2121" s="1" t="str">
        <f>"509372"</f>
        <v>509372</v>
      </c>
      <c r="B2121" s="2" t="str">
        <f>"BASE DO MOTOR GEIGER 110KG"</f>
        <v>BASE DO MOTOR GEIGER 110KG</v>
      </c>
      <c r="C2121" s="2" t="str">
        <f t="shared" si="81"/>
        <v>UN</v>
      </c>
      <c r="D2121" s="7">
        <v>1400</v>
      </c>
      <c r="E2121" s="3">
        <v>13</v>
      </c>
      <c r="F2121" s="3">
        <v>13</v>
      </c>
      <c r="G2121" t="s">
        <v>516</v>
      </c>
    </row>
    <row r="2122" spans="1:7" x14ac:dyDescent="0.25">
      <c r="A2122" s="1" t="str">
        <f>"518392"</f>
        <v>518392</v>
      </c>
      <c r="B2122" s="2" t="str">
        <f>"BASE ELETRICA CPX-GE-EV-S"</f>
        <v>BASE ELETRICA CPX-GE-EV-S</v>
      </c>
      <c r="C2122" s="2" t="str">
        <f t="shared" si="81"/>
        <v>UN</v>
      </c>
      <c r="D2122" s="7">
        <v>913</v>
      </c>
      <c r="E2122" s="3">
        <v>11</v>
      </c>
      <c r="F2122" s="3">
        <v>11</v>
      </c>
      <c r="G2122" t="s">
        <v>515</v>
      </c>
    </row>
    <row r="2123" spans="1:7" x14ac:dyDescent="0.25">
      <c r="A2123" s="1" t="str">
        <f>"509637"</f>
        <v>509637</v>
      </c>
      <c r="B2123" s="2" t="str">
        <f>"BASE ELETRODO SELAGEM 12 CAVIDADES"</f>
        <v>BASE ELETRODO SELAGEM 12 CAVIDADES</v>
      </c>
      <c r="C2123" s="2" t="str">
        <f t="shared" si="81"/>
        <v>UN</v>
      </c>
      <c r="D2123" s="7">
        <v>918</v>
      </c>
      <c r="E2123" s="3">
        <v>11</v>
      </c>
      <c r="F2123" s="3">
        <v>11</v>
      </c>
      <c r="G2123" t="s">
        <v>514</v>
      </c>
    </row>
    <row r="2124" spans="1:7" x14ac:dyDescent="0.25">
      <c r="A2124" s="1" t="str">
        <f>"523061"</f>
        <v>523061</v>
      </c>
      <c r="B2124" s="2" t="str">
        <f>"BASE EM ABS P/ ESCANINHO ISOLEAN A4R"</f>
        <v>BASE EM ABS P/ ESCANINHO ISOLEAN A4R</v>
      </c>
      <c r="C2124" s="2" t="str">
        <f t="shared" si="81"/>
        <v>UN</v>
      </c>
      <c r="D2124" s="7">
        <v>401</v>
      </c>
      <c r="E2124" s="3">
        <v>4</v>
      </c>
      <c r="F2124" s="3">
        <v>4</v>
      </c>
      <c r="G2124" t="s">
        <v>512</v>
      </c>
    </row>
    <row r="2125" spans="1:7" x14ac:dyDescent="0.25">
      <c r="A2125" s="1" t="str">
        <f>"512552"</f>
        <v>512552</v>
      </c>
      <c r="B2125" s="2" t="str">
        <f>"BASE EM AÇO UTILIZADO COMO EMBALAGEM"</f>
        <v>BASE EM AÇO UTILIZADO COMO EMBALAGEM</v>
      </c>
      <c r="C2125" s="2" t="str">
        <f t="shared" si="81"/>
        <v>UN</v>
      </c>
      <c r="D2125" s="7">
        <v>402</v>
      </c>
      <c r="E2125" s="3">
        <v>4</v>
      </c>
      <c r="F2125" s="3">
        <v>4</v>
      </c>
      <c r="G2125" t="s">
        <v>513</v>
      </c>
    </row>
    <row r="2126" spans="1:7" x14ac:dyDescent="0.25">
      <c r="A2126" s="1" t="str">
        <f>"503558"</f>
        <v>503558</v>
      </c>
      <c r="B2126" s="2" t="str">
        <f>"BASE FESTO REF.11898 PRS G1/8-2-B"</f>
        <v>BASE FESTO REF.11898 PRS G1/8-2-B</v>
      </c>
      <c r="C2126" s="2" t="str">
        <f t="shared" si="81"/>
        <v>UN</v>
      </c>
      <c r="D2126" s="7">
        <v>913</v>
      </c>
      <c r="E2126" s="3">
        <v>11</v>
      </c>
      <c r="F2126" s="3">
        <v>11</v>
      </c>
      <c r="G2126" t="s">
        <v>514</v>
      </c>
    </row>
    <row r="2127" spans="1:7" x14ac:dyDescent="0.25">
      <c r="A2127" s="1" t="str">
        <f>"505062"</f>
        <v>505062</v>
      </c>
      <c r="B2127" s="2" t="str">
        <f>"BASE FESTO REF.11902 PRS G1/8-6-B"</f>
        <v>BASE FESTO REF.11902 PRS G1/8-6-B</v>
      </c>
      <c r="C2127" s="2" t="str">
        <f t="shared" si="81"/>
        <v>UN</v>
      </c>
      <c r="D2127" s="7">
        <v>913</v>
      </c>
      <c r="E2127" s="3">
        <v>11</v>
      </c>
      <c r="F2127" s="3">
        <v>11</v>
      </c>
      <c r="G2127" t="s">
        <v>514</v>
      </c>
    </row>
    <row r="2128" spans="1:7" x14ac:dyDescent="0.25">
      <c r="A2128" s="1" t="str">
        <f>"505761"</f>
        <v>505761</v>
      </c>
      <c r="B2128" s="2" t="str">
        <f>"BASE FIXACAO INTERNA 38X38MM"</f>
        <v>BASE FIXACAO INTERNA 38X38MM</v>
      </c>
      <c r="C2128" s="2" t="str">
        <f t="shared" si="81"/>
        <v>UN</v>
      </c>
      <c r="D2128" s="7">
        <v>601</v>
      </c>
      <c r="E2128" s="3">
        <v>8</v>
      </c>
      <c r="F2128" s="3">
        <v>8</v>
      </c>
      <c r="G2128" t="s">
        <v>512</v>
      </c>
    </row>
    <row r="2129" spans="1:7" x14ac:dyDescent="0.25">
      <c r="A2129" s="1" t="str">
        <f>"10043B"</f>
        <v>10043B</v>
      </c>
      <c r="B2129" s="2" t="str">
        <f>"BASE FRASCO BATIDO COM ACUCAR CARREFOUR FERMENTACAO"</f>
        <v>BASE FRASCO BATIDO COM ACUCAR CARREFOUR FERMENTACAO</v>
      </c>
      <c r="C2129" s="2" t="str">
        <f>"KG"</f>
        <v>KG</v>
      </c>
      <c r="D2129" s="7">
        <v>1103</v>
      </c>
      <c r="E2129" s="3">
        <v>7</v>
      </c>
      <c r="F2129" s="3">
        <v>7</v>
      </c>
      <c r="G2129" t="s">
        <v>513</v>
      </c>
    </row>
    <row r="2130" spans="1:7" x14ac:dyDescent="0.25">
      <c r="A2130" s="1" t="str">
        <f>"10043"</f>
        <v>10043</v>
      </c>
      <c r="B2130" s="2" t="str">
        <f>"BASE FRASCO BATIDO COM ACUCAR CARREFOUR FORMULACAO"</f>
        <v>BASE FRASCO BATIDO COM ACUCAR CARREFOUR FORMULACAO</v>
      </c>
      <c r="C2130" s="2" t="str">
        <f>"KG"</f>
        <v>KG</v>
      </c>
      <c r="D2130" s="7">
        <v>1103</v>
      </c>
      <c r="E2130" s="3">
        <v>7</v>
      </c>
      <c r="F2130" s="3">
        <v>7</v>
      </c>
      <c r="G2130" t="s">
        <v>514</v>
      </c>
    </row>
    <row r="2131" spans="1:7" x14ac:dyDescent="0.25">
      <c r="A2131" s="1" t="str">
        <f>"509510"</f>
        <v>509510</v>
      </c>
      <c r="B2131" s="2" t="str">
        <f>"BASE GARRAFA BRASKOP - LEITE FERMENTADO"</f>
        <v>BASE GARRAFA BRASKOP - LEITE FERMENTADO</v>
      </c>
      <c r="C2131" s="2" t="str">
        <f>"UN"</f>
        <v>UN</v>
      </c>
      <c r="D2131" s="7">
        <v>918</v>
      </c>
      <c r="E2131" s="3">
        <v>11</v>
      </c>
      <c r="F2131" s="3">
        <v>11</v>
      </c>
      <c r="G2131" t="s">
        <v>514</v>
      </c>
    </row>
    <row r="2132" spans="1:7" x14ac:dyDescent="0.25">
      <c r="A2132" s="1" t="str">
        <f>"509481"</f>
        <v>509481</v>
      </c>
      <c r="B2132" s="2" t="str">
        <f>"BASE HASTE EM ALUMINIO DE 70CM"</f>
        <v>BASE HASTE EM ALUMINIO DE 70CM</v>
      </c>
      <c r="C2132" s="2" t="str">
        <f>"UN"</f>
        <v>UN</v>
      </c>
      <c r="D2132" s="7">
        <v>406</v>
      </c>
      <c r="E2132" s="3">
        <v>4</v>
      </c>
      <c r="F2132" s="3">
        <v>4</v>
      </c>
      <c r="G2132" t="s">
        <v>514</v>
      </c>
    </row>
    <row r="2133" spans="1:7" x14ac:dyDescent="0.25">
      <c r="A2133" s="1" t="str">
        <f>"10016"</f>
        <v>10016</v>
      </c>
      <c r="B2133" s="2" t="str">
        <f>"BASE IOG BANDEJA, DUET, MEL E LCM PASTEURIZACAO E FERMENTACA"</f>
        <v>BASE IOG BANDEJA, DUET, MEL E LCM PASTEURIZACAO E FERMENTACA</v>
      </c>
      <c r="C2133" s="2" t="str">
        <f t="shared" ref="C2133:C2164" si="82">"KG"</f>
        <v>KG</v>
      </c>
      <c r="D2133" s="7">
        <v>1103</v>
      </c>
      <c r="E2133" s="3">
        <v>7</v>
      </c>
      <c r="F2133" s="3">
        <v>7</v>
      </c>
      <c r="G2133" t="s">
        <v>513</v>
      </c>
    </row>
    <row r="2134" spans="1:7" x14ac:dyDescent="0.25">
      <c r="A2134" s="1" t="str">
        <f>"10016B"</f>
        <v>10016B</v>
      </c>
      <c r="B2134" s="2" t="str">
        <f>"BASE IOG BANDEJA, DUET, MEL E LCM PASTEURIZACAO E FERMENTACA"</f>
        <v>BASE IOG BANDEJA, DUET, MEL E LCM PASTEURIZACAO E FERMENTACA</v>
      </c>
      <c r="C2134" s="2" t="str">
        <f t="shared" si="82"/>
        <v>KG</v>
      </c>
      <c r="D2134" s="7">
        <v>1103</v>
      </c>
      <c r="E2134" s="3">
        <v>7</v>
      </c>
      <c r="F2134" s="3">
        <v>7</v>
      </c>
      <c r="G2134" t="s">
        <v>512</v>
      </c>
    </row>
    <row r="2135" spans="1:7" x14ac:dyDescent="0.25">
      <c r="A2135" s="1" t="str">
        <f>"10036B"</f>
        <v>10036B</v>
      </c>
      <c r="B2135" s="2" t="str">
        <f>"BASE IOG. COPO NATURAL DESNATADO SEM LACTOSE FERMENTACAO"</f>
        <v>BASE IOG. COPO NATURAL DESNATADO SEM LACTOSE FERMENTACAO</v>
      </c>
      <c r="C2135" s="2" t="str">
        <f t="shared" si="82"/>
        <v>KG</v>
      </c>
      <c r="D2135" s="7">
        <v>1103</v>
      </c>
      <c r="E2135" s="3">
        <v>7</v>
      </c>
      <c r="F2135" s="3">
        <v>7</v>
      </c>
      <c r="G2135" t="s">
        <v>513</v>
      </c>
    </row>
    <row r="2136" spans="1:7" x14ac:dyDescent="0.25">
      <c r="A2136" s="1" t="str">
        <f>"10036"</f>
        <v>10036</v>
      </c>
      <c r="B2136" s="2" t="str">
        <f>"BASE IOG. COPO NATURAL DESNATADO SEM LACTOSE FORMULACAO"</f>
        <v>BASE IOG. COPO NATURAL DESNATADO SEM LACTOSE FORMULACAO</v>
      </c>
      <c r="C2136" s="2" t="str">
        <f t="shared" si="82"/>
        <v>KG</v>
      </c>
      <c r="D2136" s="7">
        <v>1103</v>
      </c>
      <c r="E2136" s="3">
        <v>7</v>
      </c>
      <c r="F2136" s="3">
        <v>7</v>
      </c>
      <c r="G2136" t="s">
        <v>514</v>
      </c>
    </row>
    <row r="2137" spans="1:7" x14ac:dyDescent="0.25">
      <c r="A2137" s="1" t="str">
        <f>"10035B"</f>
        <v>10035B</v>
      </c>
      <c r="B2137" s="2" t="str">
        <f>"BASE IOG. COPO NATURAL INTEGRAL SEM LACTOSE FERMENTACAO"</f>
        <v>BASE IOG. COPO NATURAL INTEGRAL SEM LACTOSE FERMENTACAO</v>
      </c>
      <c r="C2137" s="2" t="str">
        <f t="shared" si="82"/>
        <v>KG</v>
      </c>
      <c r="D2137" s="7">
        <v>1103</v>
      </c>
      <c r="E2137" s="3">
        <v>7</v>
      </c>
      <c r="F2137" s="3">
        <v>7</v>
      </c>
      <c r="G2137" t="s">
        <v>514</v>
      </c>
    </row>
    <row r="2138" spans="1:7" x14ac:dyDescent="0.25">
      <c r="A2138" s="1" t="str">
        <f>"10035"</f>
        <v>10035</v>
      </c>
      <c r="B2138" s="2" t="str">
        <f>"BASE IOG. COPO NATURAL INTEGRAL SEM LACTOSE FORMULACAO"</f>
        <v>BASE IOG. COPO NATURAL INTEGRAL SEM LACTOSE FORMULACAO</v>
      </c>
      <c r="C2138" s="2" t="str">
        <f t="shared" si="82"/>
        <v>KG</v>
      </c>
      <c r="D2138" s="7">
        <v>1103</v>
      </c>
      <c r="E2138" s="3">
        <v>7</v>
      </c>
      <c r="F2138" s="3">
        <v>7</v>
      </c>
      <c r="G2138" t="s">
        <v>514</v>
      </c>
    </row>
    <row r="2139" spans="1:7" x14ac:dyDescent="0.25">
      <c r="A2139" s="1" t="str">
        <f>"10046"</f>
        <v>10046</v>
      </c>
      <c r="B2139" s="2" t="str">
        <f>"BASE IOG. FRASCO FORMULACAO"</f>
        <v>BASE IOG. FRASCO FORMULACAO</v>
      </c>
      <c r="C2139" s="2" t="str">
        <f t="shared" si="82"/>
        <v>KG</v>
      </c>
      <c r="D2139" s="7">
        <v>1102</v>
      </c>
      <c r="E2139" s="3">
        <v>7</v>
      </c>
      <c r="F2139" s="3">
        <v>7</v>
      </c>
      <c r="G2139" t="s">
        <v>513</v>
      </c>
    </row>
    <row r="2140" spans="1:7" x14ac:dyDescent="0.25">
      <c r="A2140" s="1" t="str">
        <f>"10046B"</f>
        <v>10046B</v>
      </c>
      <c r="B2140" s="2" t="str">
        <f>"BASE IOG. FRASCO PASTEURIZACAO E FERMENTACAO"</f>
        <v>BASE IOG. FRASCO PASTEURIZACAO E FERMENTACAO</v>
      </c>
      <c r="C2140" s="2" t="str">
        <f t="shared" si="82"/>
        <v>KG</v>
      </c>
      <c r="D2140" s="7">
        <v>1102</v>
      </c>
      <c r="E2140" s="3">
        <v>7</v>
      </c>
      <c r="F2140" s="3">
        <v>7</v>
      </c>
      <c r="G2140" t="s">
        <v>513</v>
      </c>
    </row>
    <row r="2141" spans="1:7" x14ac:dyDescent="0.25">
      <c r="A2141" s="1" t="str">
        <f>"10034B"</f>
        <v>10034B</v>
      </c>
      <c r="B2141" s="2" t="str">
        <f>"BASE IOG. FRASCO SEM LACTOSE FERMENTACAO"</f>
        <v>BASE IOG. FRASCO SEM LACTOSE FERMENTACAO</v>
      </c>
      <c r="C2141" s="2" t="str">
        <f t="shared" si="82"/>
        <v>KG</v>
      </c>
      <c r="D2141" s="7">
        <v>1102</v>
      </c>
      <c r="E2141" s="3">
        <v>7</v>
      </c>
      <c r="F2141" s="3">
        <v>7</v>
      </c>
      <c r="G2141" t="s">
        <v>513</v>
      </c>
    </row>
    <row r="2142" spans="1:7" x14ac:dyDescent="0.25">
      <c r="A2142" s="1" t="str">
        <f>"10034"</f>
        <v>10034</v>
      </c>
      <c r="B2142" s="2" t="str">
        <f>"BASE IOG. FRASCO SEM LACTOSE FORMULACAO"</f>
        <v>BASE IOG. FRASCO SEM LACTOSE FORMULACAO</v>
      </c>
      <c r="C2142" s="2" t="str">
        <f t="shared" si="82"/>
        <v>KG</v>
      </c>
      <c r="D2142" s="7">
        <v>1102</v>
      </c>
      <c r="E2142" s="3">
        <v>7</v>
      </c>
      <c r="F2142" s="3">
        <v>7</v>
      </c>
      <c r="G2142" t="s">
        <v>512</v>
      </c>
    </row>
    <row r="2143" spans="1:7" x14ac:dyDescent="0.25">
      <c r="A2143" s="1" t="str">
        <f>"10049B"</f>
        <v>10049B</v>
      </c>
      <c r="B2143" s="2" t="str">
        <f>"BASE IOG.BERLIM SEM LACTOSE  FRASCO PASTEURIZACAO E FERMENTA"</f>
        <v>BASE IOG.BERLIM SEM LACTOSE  FRASCO PASTEURIZACAO E FERMENTA</v>
      </c>
      <c r="C2143" s="2" t="str">
        <f t="shared" si="82"/>
        <v>KG</v>
      </c>
      <c r="D2143" s="7">
        <v>1102</v>
      </c>
      <c r="E2143" s="3">
        <v>7</v>
      </c>
      <c r="F2143" s="3">
        <v>7</v>
      </c>
      <c r="G2143" t="s">
        <v>513</v>
      </c>
    </row>
    <row r="2144" spans="1:7" x14ac:dyDescent="0.25">
      <c r="A2144" s="1" t="str">
        <f>"10049"</f>
        <v>10049</v>
      </c>
      <c r="B2144" s="2" t="str">
        <f>"BASE IOG.BERLIM SEM LACTOSE FRASCO FORMULACAO"</f>
        <v>BASE IOG.BERLIM SEM LACTOSE FRASCO FORMULACAO</v>
      </c>
      <c r="C2144" s="2" t="str">
        <f t="shared" si="82"/>
        <v>KG</v>
      </c>
      <c r="D2144" s="7">
        <v>1102</v>
      </c>
      <c r="E2144" s="3">
        <v>7</v>
      </c>
      <c r="F2144" s="3">
        <v>7</v>
      </c>
      <c r="G2144" t="s">
        <v>514</v>
      </c>
    </row>
    <row r="2145" spans="1:7" x14ac:dyDescent="0.25">
      <c r="A2145" s="1" t="str">
        <f>"10048"</f>
        <v>10048</v>
      </c>
      <c r="B2145" s="2" t="str">
        <f>"BASE IOG.BUZIOS FRASCO FORMULACAO"</f>
        <v>BASE IOG.BUZIOS FRASCO FORMULACAO</v>
      </c>
      <c r="C2145" s="2" t="str">
        <f t="shared" si="82"/>
        <v>KG</v>
      </c>
      <c r="D2145" s="7">
        <v>1102</v>
      </c>
      <c r="E2145" s="3">
        <v>7</v>
      </c>
      <c r="F2145" s="3">
        <v>7</v>
      </c>
      <c r="G2145" t="s">
        <v>515</v>
      </c>
    </row>
    <row r="2146" spans="1:7" x14ac:dyDescent="0.25">
      <c r="A2146" s="1" t="str">
        <f>"10048B"</f>
        <v>10048B</v>
      </c>
      <c r="B2146" s="2" t="str">
        <f>"BASE IOG.BUZIOS FRASCO PASTEURIZACAO E FERMENTACAO"</f>
        <v>BASE IOG.BUZIOS FRASCO PASTEURIZACAO E FERMENTACAO</v>
      </c>
      <c r="C2146" s="2" t="str">
        <f t="shared" si="82"/>
        <v>KG</v>
      </c>
      <c r="D2146" s="7">
        <v>1102</v>
      </c>
      <c r="E2146" s="3">
        <v>7</v>
      </c>
      <c r="F2146" s="3">
        <v>7</v>
      </c>
      <c r="G2146" t="s">
        <v>512</v>
      </c>
    </row>
    <row r="2147" spans="1:7" x14ac:dyDescent="0.25">
      <c r="A2147" s="1" t="str">
        <f>"10037B"</f>
        <v>10037B</v>
      </c>
      <c r="B2147" s="2" t="str">
        <f>"BASE IOG.COPO COM PEDACOS DE FRUTAS SEM LACTOSE FERMENTACAO"</f>
        <v>BASE IOG.COPO COM PEDACOS DE FRUTAS SEM LACTOSE FERMENTACAO</v>
      </c>
      <c r="C2147" s="2" t="str">
        <f t="shared" si="82"/>
        <v>KG</v>
      </c>
      <c r="D2147" s="7">
        <v>1103</v>
      </c>
      <c r="E2147" s="3">
        <v>7</v>
      </c>
      <c r="F2147" s="3">
        <v>7</v>
      </c>
      <c r="G2147" t="s">
        <v>516</v>
      </c>
    </row>
    <row r="2148" spans="1:7" x14ac:dyDescent="0.25">
      <c r="A2148" s="1" t="str">
        <f>"10037"</f>
        <v>10037</v>
      </c>
      <c r="B2148" s="2" t="str">
        <f>"BASE IOG.COPO COM PEDACOS DE FRUTAS SEM LACTOSE FORMULACAO"</f>
        <v>BASE IOG.COPO COM PEDACOS DE FRUTAS SEM LACTOSE FORMULACAO</v>
      </c>
      <c r="C2148" s="2" t="str">
        <f t="shared" si="82"/>
        <v>KG</v>
      </c>
      <c r="D2148" s="7">
        <v>1103</v>
      </c>
      <c r="E2148" s="3">
        <v>7</v>
      </c>
      <c r="F2148" s="3">
        <v>7</v>
      </c>
      <c r="G2148" t="s">
        <v>515</v>
      </c>
    </row>
    <row r="2149" spans="1:7" x14ac:dyDescent="0.25">
      <c r="A2149" s="1" t="str">
        <f>"10039B"</f>
        <v>10039B</v>
      </c>
      <c r="B2149" s="2" t="str">
        <f>"BASE IOG.COPO PROBIOTICO BIOBALANCE FERMENTACAO"</f>
        <v>BASE IOG.COPO PROBIOTICO BIOBALANCE FERMENTACAO</v>
      </c>
      <c r="C2149" s="2" t="str">
        <f t="shared" si="82"/>
        <v>KG</v>
      </c>
      <c r="D2149" s="7">
        <v>1103</v>
      </c>
      <c r="E2149" s="3">
        <v>7</v>
      </c>
      <c r="F2149" s="3">
        <v>7</v>
      </c>
      <c r="G2149" t="s">
        <v>514</v>
      </c>
    </row>
    <row r="2150" spans="1:7" x14ac:dyDescent="0.25">
      <c r="A2150" s="1" t="str">
        <f>"10039"</f>
        <v>10039</v>
      </c>
      <c r="B2150" s="2" t="str">
        <f>"BASE IOG.COPO PROBIOTICO BIOBALANCE FORMULACAO"</f>
        <v>BASE IOG.COPO PROBIOTICO BIOBALANCE FORMULACAO</v>
      </c>
      <c r="C2150" s="2" t="str">
        <f t="shared" si="82"/>
        <v>KG</v>
      </c>
      <c r="D2150" s="7">
        <v>1103</v>
      </c>
      <c r="E2150" s="3">
        <v>7</v>
      </c>
      <c r="F2150" s="3">
        <v>7</v>
      </c>
      <c r="G2150" t="s">
        <v>512</v>
      </c>
    </row>
    <row r="2151" spans="1:7" x14ac:dyDescent="0.25">
      <c r="A2151" s="1" t="str">
        <f>"10045B"</f>
        <v>10045B</v>
      </c>
      <c r="B2151" s="2" t="str">
        <f>"BASE IOG.GREGO ZERO FERMENTACAO"</f>
        <v>BASE IOG.GREGO ZERO FERMENTACAO</v>
      </c>
      <c r="C2151" s="2" t="str">
        <f t="shared" si="82"/>
        <v>KG</v>
      </c>
      <c r="D2151" s="7">
        <v>1103</v>
      </c>
      <c r="E2151" s="3">
        <v>7</v>
      </c>
      <c r="F2151" s="3">
        <v>7</v>
      </c>
      <c r="G2151" t="s">
        <v>513</v>
      </c>
    </row>
    <row r="2152" spans="1:7" x14ac:dyDescent="0.25">
      <c r="A2152" s="1" t="str">
        <f>"10045"</f>
        <v>10045</v>
      </c>
      <c r="B2152" s="2" t="str">
        <f>"BASE IOG.GREGO ZERO FORMULACAO"</f>
        <v>BASE IOG.GREGO ZERO FORMULACAO</v>
      </c>
      <c r="C2152" s="2" t="str">
        <f t="shared" si="82"/>
        <v>KG</v>
      </c>
      <c r="D2152" s="7">
        <v>1103</v>
      </c>
      <c r="E2152" s="3">
        <v>7</v>
      </c>
      <c r="F2152" s="3">
        <v>7</v>
      </c>
      <c r="G2152" t="s">
        <v>514</v>
      </c>
    </row>
    <row r="2153" spans="1:7" x14ac:dyDescent="0.25">
      <c r="A2153" s="1" t="str">
        <f>"10000"</f>
        <v>10000</v>
      </c>
      <c r="B2153" s="2" t="str">
        <f>"BASE IOGURTE BANDEJA FORMULACAO"</f>
        <v>BASE IOGURTE BANDEJA FORMULACAO</v>
      </c>
      <c r="C2153" s="2" t="str">
        <f t="shared" si="82"/>
        <v>KG</v>
      </c>
      <c r="D2153" s="7">
        <v>1101</v>
      </c>
      <c r="E2153" s="3">
        <v>7</v>
      </c>
      <c r="F2153" s="3">
        <v>7</v>
      </c>
      <c r="G2153" t="s">
        <v>514</v>
      </c>
    </row>
    <row r="2154" spans="1:7" x14ac:dyDescent="0.25">
      <c r="A2154" s="1" t="str">
        <f>"10000B"</f>
        <v>10000B</v>
      </c>
      <c r="B2154" s="2" t="str">
        <f>"BASE IOGURTE BANDEJA PASTEURIZACAO E FERMENTACAO"</f>
        <v>BASE IOGURTE BANDEJA PASTEURIZACAO E FERMENTACAO</v>
      </c>
      <c r="C2154" s="2" t="str">
        <f t="shared" si="82"/>
        <v>KG</v>
      </c>
      <c r="D2154" s="7">
        <v>1101</v>
      </c>
      <c r="E2154" s="3">
        <v>7</v>
      </c>
      <c r="F2154" s="3">
        <v>7</v>
      </c>
      <c r="G2154" t="s">
        <v>512</v>
      </c>
    </row>
    <row r="2155" spans="1:7" x14ac:dyDescent="0.25">
      <c r="A2155" s="1" t="str">
        <f>"10024"</f>
        <v>10024</v>
      </c>
      <c r="B2155" s="2" t="str">
        <f>"BASE IOGURTE COM SOJA - BANDEJA"</f>
        <v>BASE IOGURTE COM SOJA - BANDEJA</v>
      </c>
      <c r="C2155" s="2" t="str">
        <f t="shared" si="82"/>
        <v>KG</v>
      </c>
      <c r="D2155" s="7">
        <v>1101</v>
      </c>
      <c r="E2155" s="3">
        <v>7</v>
      </c>
      <c r="F2155" s="3">
        <v>7</v>
      </c>
      <c r="G2155" t="s">
        <v>513</v>
      </c>
    </row>
    <row r="2156" spans="1:7" x14ac:dyDescent="0.25">
      <c r="A2156" s="1" t="str">
        <f>"10023"</f>
        <v>10023</v>
      </c>
      <c r="B2156" s="2" t="str">
        <f>"BASE IOGURTE COM SOJA FRASCO"</f>
        <v>BASE IOGURTE COM SOJA FRASCO</v>
      </c>
      <c r="C2156" s="2" t="str">
        <f t="shared" si="82"/>
        <v>KG</v>
      </c>
      <c r="D2156" s="7">
        <v>1102</v>
      </c>
      <c r="E2156" s="3">
        <v>7</v>
      </c>
      <c r="F2156" s="3">
        <v>7</v>
      </c>
      <c r="G2156" t="s">
        <v>514</v>
      </c>
    </row>
    <row r="2157" spans="1:7" x14ac:dyDescent="0.25">
      <c r="A2157" s="1" t="str">
        <f>"10031"</f>
        <v>10031</v>
      </c>
      <c r="B2157" s="2" t="str">
        <f>"BASE IOGURTE COPO COM PEDAÇOS FRUTAS FORMULACAO"</f>
        <v>BASE IOGURTE COPO COM PEDAÇOS FRUTAS FORMULACAO</v>
      </c>
      <c r="C2157" s="2" t="str">
        <f t="shared" si="82"/>
        <v>KG</v>
      </c>
      <c r="D2157" s="7">
        <v>1103</v>
      </c>
      <c r="E2157" s="3">
        <v>7</v>
      </c>
      <c r="F2157" s="3">
        <v>7</v>
      </c>
      <c r="G2157" t="s">
        <v>514</v>
      </c>
    </row>
    <row r="2158" spans="1:7" x14ac:dyDescent="0.25">
      <c r="A2158" s="1" t="str">
        <f>"10012B"</f>
        <v>10012B</v>
      </c>
      <c r="B2158" s="2" t="str">
        <f>"BASE IOGURTE COPO MEL / LCM E MIX LAVITA PASTE. E FERMENTACA"</f>
        <v>BASE IOGURTE COPO MEL / LCM E MIX LAVITA PASTE. E FERMENTACA</v>
      </c>
      <c r="C2158" s="2" t="str">
        <f t="shared" si="82"/>
        <v>KG</v>
      </c>
      <c r="D2158" s="7">
        <v>1103</v>
      </c>
      <c r="E2158" s="3">
        <v>7</v>
      </c>
      <c r="F2158" s="3">
        <v>7</v>
      </c>
      <c r="G2158" t="s">
        <v>514</v>
      </c>
    </row>
    <row r="2159" spans="1:7" x14ac:dyDescent="0.25">
      <c r="A2159" s="1" t="str">
        <f>"10012"</f>
        <v>10012</v>
      </c>
      <c r="B2159" s="2" t="str">
        <f>"BASE IOGURTE COPO MEL / LCM FORMULACAO"</f>
        <v>BASE IOGURTE COPO MEL / LCM FORMULACAO</v>
      </c>
      <c r="C2159" s="2" t="str">
        <f t="shared" si="82"/>
        <v>KG</v>
      </c>
      <c r="D2159" s="7">
        <v>1103</v>
      </c>
      <c r="E2159" s="3">
        <v>7</v>
      </c>
      <c r="F2159" s="3">
        <v>7</v>
      </c>
      <c r="G2159" t="s">
        <v>513</v>
      </c>
    </row>
    <row r="2160" spans="1:7" x14ac:dyDescent="0.25">
      <c r="A2160" s="1" t="str">
        <f>"10009"</f>
        <v>10009</v>
      </c>
      <c r="B2160" s="2" t="str">
        <f>"BASE IOGURTE COPO NATURAL DESNATADO FORMULACAO"</f>
        <v>BASE IOGURTE COPO NATURAL DESNATADO FORMULACAO</v>
      </c>
      <c r="C2160" s="2" t="str">
        <f t="shared" si="82"/>
        <v>KG</v>
      </c>
      <c r="D2160" s="7">
        <v>1103</v>
      </c>
      <c r="E2160" s="3">
        <v>7</v>
      </c>
      <c r="F2160" s="3">
        <v>7</v>
      </c>
      <c r="G2160" t="s">
        <v>512</v>
      </c>
    </row>
    <row r="2161" spans="1:7" x14ac:dyDescent="0.25">
      <c r="A2161" s="1" t="str">
        <f>"10009B"</f>
        <v>10009B</v>
      </c>
      <c r="B2161" s="2" t="str">
        <f>"BASE IOGURTE COPO NATURAL DESNATADO PASTEURIZACAO"</f>
        <v>BASE IOGURTE COPO NATURAL DESNATADO PASTEURIZACAO</v>
      </c>
      <c r="C2161" s="2" t="str">
        <f t="shared" si="82"/>
        <v>KG</v>
      </c>
      <c r="D2161" s="7">
        <v>1103</v>
      </c>
      <c r="E2161" s="3">
        <v>7</v>
      </c>
      <c r="F2161" s="3">
        <v>7</v>
      </c>
      <c r="G2161" t="s">
        <v>513</v>
      </c>
    </row>
    <row r="2162" spans="1:7" x14ac:dyDescent="0.25">
      <c r="A2162" s="1" t="str">
        <f>"10003"</f>
        <v>10003</v>
      </c>
      <c r="B2162" s="2" t="str">
        <f>"BASE IOGURTE COPO NATURAL INTEGRAL FORMULACAO"</f>
        <v>BASE IOGURTE COPO NATURAL INTEGRAL FORMULACAO</v>
      </c>
      <c r="C2162" s="2" t="str">
        <f t="shared" si="82"/>
        <v>KG</v>
      </c>
      <c r="D2162" s="7">
        <v>1103</v>
      </c>
      <c r="E2162" s="3">
        <v>7</v>
      </c>
      <c r="F2162" s="3">
        <v>7</v>
      </c>
      <c r="G2162" t="s">
        <v>514</v>
      </c>
    </row>
    <row r="2163" spans="1:7" x14ac:dyDescent="0.25">
      <c r="A2163" s="1" t="str">
        <f>"10003B"</f>
        <v>10003B</v>
      </c>
      <c r="B2163" s="2" t="str">
        <f>"BASE IOGURTE COPO NATURAL INTEGRAL PASTEURIZACAO"</f>
        <v>BASE IOGURTE COPO NATURAL INTEGRAL PASTEURIZACAO</v>
      </c>
      <c r="C2163" s="2" t="str">
        <f t="shared" si="82"/>
        <v>KG</v>
      </c>
      <c r="D2163" s="7">
        <v>1103</v>
      </c>
      <c r="E2163" s="3">
        <v>7</v>
      </c>
      <c r="F2163" s="3">
        <v>7</v>
      </c>
      <c r="G2163" t="s">
        <v>514</v>
      </c>
    </row>
    <row r="2164" spans="1:7" x14ac:dyDescent="0.25">
      <c r="A2164" s="1" t="str">
        <f>"10031B"</f>
        <v>10031B</v>
      </c>
      <c r="B2164" s="2" t="str">
        <f>"BASE IOGURTE COPO PED.FRUTAS PASTEURIZACAO E FERMENTACAO"</f>
        <v>BASE IOGURTE COPO PED.FRUTAS PASTEURIZACAO E FERMENTACAO</v>
      </c>
      <c r="C2164" s="2" t="str">
        <f t="shared" si="82"/>
        <v>KG</v>
      </c>
      <c r="D2164" s="7">
        <v>1103</v>
      </c>
      <c r="E2164" s="3">
        <v>7</v>
      </c>
      <c r="F2164" s="3">
        <v>7</v>
      </c>
      <c r="G2164" t="s">
        <v>514</v>
      </c>
    </row>
    <row r="2165" spans="1:7" x14ac:dyDescent="0.25">
      <c r="A2165" s="1" t="str">
        <f>"10001"</f>
        <v>10001</v>
      </c>
      <c r="B2165" s="2" t="str">
        <f>"BASE IOGURTE FRASCO FORMULACAO"</f>
        <v>BASE IOGURTE FRASCO FORMULACAO</v>
      </c>
      <c r="C2165" s="2" t="str">
        <f t="shared" ref="C2165:C2196" si="83">"KG"</f>
        <v>KG</v>
      </c>
      <c r="D2165" s="7">
        <v>1102</v>
      </c>
      <c r="E2165" s="3">
        <v>7</v>
      </c>
      <c r="F2165" s="3">
        <v>7</v>
      </c>
      <c r="G2165" t="s">
        <v>513</v>
      </c>
    </row>
    <row r="2166" spans="1:7" x14ac:dyDescent="0.25">
      <c r="A2166" s="1" t="str">
        <f>"10001B"</f>
        <v>10001B</v>
      </c>
      <c r="B2166" s="2" t="str">
        <f>"BASE IOGURTE FRASCO PASTEURIZACAO E FERMENTACAO"</f>
        <v>BASE IOGURTE FRASCO PASTEURIZACAO E FERMENTACAO</v>
      </c>
      <c r="C2166" s="2" t="str">
        <f t="shared" si="83"/>
        <v>KG</v>
      </c>
      <c r="D2166" s="7">
        <v>1102</v>
      </c>
      <c r="E2166" s="3">
        <v>7</v>
      </c>
      <c r="F2166" s="3">
        <v>7</v>
      </c>
      <c r="G2166" t="s">
        <v>513</v>
      </c>
    </row>
    <row r="2167" spans="1:7" x14ac:dyDescent="0.25">
      <c r="A2167" s="1" t="str">
        <f>"10002"</f>
        <v>10002</v>
      </c>
      <c r="B2167" s="2" t="str">
        <f>"BASE IOGURTE FRASCOS PQ."</f>
        <v>BASE IOGURTE FRASCOS PQ.</v>
      </c>
      <c r="C2167" s="2" t="str">
        <f t="shared" si="83"/>
        <v>KG</v>
      </c>
      <c r="D2167" s="7">
        <v>1102</v>
      </c>
      <c r="E2167" s="3">
        <v>7</v>
      </c>
      <c r="F2167" s="3">
        <v>7</v>
      </c>
      <c r="G2167" t="s">
        <v>513</v>
      </c>
    </row>
    <row r="2168" spans="1:7" x14ac:dyDescent="0.25">
      <c r="A2168" s="1" t="str">
        <f>"10041"</f>
        <v>10041</v>
      </c>
      <c r="B2168" s="2" t="str">
        <f>"BASE IOGURTE GREGO (2) FORMULACAO"</f>
        <v>BASE IOGURTE GREGO (2) FORMULACAO</v>
      </c>
      <c r="C2168" s="2" t="str">
        <f t="shared" si="83"/>
        <v>KG</v>
      </c>
      <c r="D2168" s="7">
        <v>1103</v>
      </c>
      <c r="E2168" s="3">
        <v>7</v>
      </c>
      <c r="F2168" s="3">
        <v>7</v>
      </c>
      <c r="G2168" t="s">
        <v>512</v>
      </c>
    </row>
    <row r="2169" spans="1:7" x14ac:dyDescent="0.25">
      <c r="A2169" s="1" t="str">
        <f>"10041B"</f>
        <v>10041B</v>
      </c>
      <c r="B2169" s="2" t="str">
        <f>"BASE IOGURTE GREGO (2) PASTEURIZACAO E FERMENTACAO"</f>
        <v>BASE IOGURTE GREGO (2) PASTEURIZACAO E FERMENTACAO</v>
      </c>
      <c r="C2169" s="2" t="str">
        <f t="shared" si="83"/>
        <v>KG</v>
      </c>
      <c r="D2169" s="7">
        <v>1103</v>
      </c>
      <c r="E2169" s="3">
        <v>7</v>
      </c>
      <c r="F2169" s="3">
        <v>7</v>
      </c>
      <c r="G2169" t="s">
        <v>513</v>
      </c>
    </row>
    <row r="2170" spans="1:7" x14ac:dyDescent="0.25">
      <c r="A2170" s="1" t="str">
        <f>"10055"</f>
        <v>10055</v>
      </c>
      <c r="B2170" s="2" t="str">
        <f>"BASE IOGURTE GREGO CAROL"</f>
        <v>BASE IOGURTE GREGO CAROL</v>
      </c>
      <c r="C2170" s="2" t="str">
        <f t="shared" si="83"/>
        <v>KG</v>
      </c>
      <c r="D2170" s="7">
        <v>1102</v>
      </c>
      <c r="E2170" s="3">
        <v>7</v>
      </c>
      <c r="F2170" s="3">
        <v>7</v>
      </c>
      <c r="G2170" t="s">
        <v>514</v>
      </c>
    </row>
    <row r="2171" spans="1:7" x14ac:dyDescent="0.25">
      <c r="A2171" s="1" t="str">
        <f>"10055B"</f>
        <v>10055B</v>
      </c>
      <c r="B2171" s="2" t="str">
        <f>"BASE IOGURTE GREGO CAROL FERMENTACAO"</f>
        <v>BASE IOGURTE GREGO CAROL FERMENTACAO</v>
      </c>
      <c r="C2171" s="2" t="str">
        <f t="shared" si="83"/>
        <v>KG</v>
      </c>
      <c r="D2171" s="7">
        <v>1102</v>
      </c>
      <c r="E2171" s="3">
        <v>7</v>
      </c>
      <c r="F2171" s="3">
        <v>7</v>
      </c>
      <c r="G2171" t="s">
        <v>515</v>
      </c>
    </row>
    <row r="2172" spans="1:7" x14ac:dyDescent="0.25">
      <c r="A2172" s="1" t="str">
        <f>"10044B"</f>
        <v>10044B</v>
      </c>
      <c r="B2172" s="2" t="str">
        <f>"BASE IOGURTE GREGO FERMENTACAO BANDEJA"</f>
        <v>BASE IOGURTE GREGO FERMENTACAO BANDEJA</v>
      </c>
      <c r="C2172" s="2" t="str">
        <f t="shared" si="83"/>
        <v>KG</v>
      </c>
      <c r="D2172" s="7">
        <v>1103</v>
      </c>
      <c r="E2172" s="3">
        <v>7</v>
      </c>
      <c r="F2172" s="3">
        <v>7</v>
      </c>
      <c r="G2172" t="s">
        <v>512</v>
      </c>
    </row>
    <row r="2173" spans="1:7" x14ac:dyDescent="0.25">
      <c r="A2173" s="1" t="str">
        <f>"10030"</f>
        <v>10030</v>
      </c>
      <c r="B2173" s="2" t="str">
        <f>"BASE IOGURTE GREGO FORMULACAO"</f>
        <v>BASE IOGURTE GREGO FORMULACAO</v>
      </c>
      <c r="C2173" s="2" t="str">
        <f t="shared" si="83"/>
        <v>KG</v>
      </c>
      <c r="D2173" s="7">
        <v>1103</v>
      </c>
      <c r="E2173" s="3">
        <v>7</v>
      </c>
      <c r="F2173" s="3">
        <v>7</v>
      </c>
      <c r="G2173" t="s">
        <v>516</v>
      </c>
    </row>
    <row r="2174" spans="1:7" x14ac:dyDescent="0.25">
      <c r="A2174" s="1" t="str">
        <f>"10044"</f>
        <v>10044</v>
      </c>
      <c r="B2174" s="2" t="str">
        <f>"BASE IOGURTE GREGO FORMULACAO BANDEJA"</f>
        <v>BASE IOGURTE GREGO FORMULACAO BANDEJA</v>
      </c>
      <c r="C2174" s="2" t="str">
        <f t="shared" si="83"/>
        <v>KG</v>
      </c>
      <c r="D2174" s="7">
        <v>1103</v>
      </c>
      <c r="E2174" s="3">
        <v>7</v>
      </c>
      <c r="F2174" s="3">
        <v>7</v>
      </c>
      <c r="G2174" t="s">
        <v>515</v>
      </c>
    </row>
    <row r="2175" spans="1:7" x14ac:dyDescent="0.25">
      <c r="A2175" s="1" t="str">
        <f>"10033"</f>
        <v>10033</v>
      </c>
      <c r="B2175" s="2" t="str">
        <f>"BASE IOGURTE GREGO LIGHT FORMULACAO"</f>
        <v>BASE IOGURTE GREGO LIGHT FORMULACAO</v>
      </c>
      <c r="C2175" s="2" t="str">
        <f t="shared" si="83"/>
        <v>KG</v>
      </c>
      <c r="D2175" s="7">
        <v>1103</v>
      </c>
      <c r="E2175" s="3">
        <v>7</v>
      </c>
      <c r="F2175" s="3">
        <v>7</v>
      </c>
      <c r="G2175" t="s">
        <v>514</v>
      </c>
    </row>
    <row r="2176" spans="1:7" x14ac:dyDescent="0.25">
      <c r="A2176" s="1" t="str">
        <f>"10033B"</f>
        <v>10033B</v>
      </c>
      <c r="B2176" s="2" t="str">
        <f>"BASE IOGURTE GREGO LIGHT PASTEURIZACAO E FERMENTACAO"</f>
        <v>BASE IOGURTE GREGO LIGHT PASTEURIZACAO E FERMENTACAO</v>
      </c>
      <c r="C2176" s="2" t="str">
        <f t="shared" si="83"/>
        <v>KG</v>
      </c>
      <c r="D2176" s="7">
        <v>1103</v>
      </c>
      <c r="E2176" s="3">
        <v>7</v>
      </c>
      <c r="F2176" s="3">
        <v>7</v>
      </c>
      <c r="G2176" t="s">
        <v>512</v>
      </c>
    </row>
    <row r="2177" spans="1:7" x14ac:dyDescent="0.25">
      <c r="A2177" s="1" t="str">
        <f>"10030B"</f>
        <v>10030B</v>
      </c>
      <c r="B2177" s="2" t="str">
        <f>"BASE IOGURTE GREGO PASTEURIZACAO E FERMENTACAO"</f>
        <v>BASE IOGURTE GREGO PASTEURIZACAO E FERMENTACAO</v>
      </c>
      <c r="C2177" s="2" t="str">
        <f t="shared" si="83"/>
        <v>KG</v>
      </c>
      <c r="D2177" s="7">
        <v>1103</v>
      </c>
      <c r="E2177" s="3">
        <v>7</v>
      </c>
      <c r="F2177" s="3">
        <v>7</v>
      </c>
      <c r="G2177" t="s">
        <v>513</v>
      </c>
    </row>
    <row r="2178" spans="1:7" x14ac:dyDescent="0.25">
      <c r="A2178" s="1" t="str">
        <f>"10010"</f>
        <v>10010</v>
      </c>
      <c r="B2178" s="2" t="str">
        <f>"BASE IOGURTE LIGHT FRASCO"</f>
        <v>BASE IOGURTE LIGHT FRASCO</v>
      </c>
      <c r="C2178" s="2" t="str">
        <f t="shared" si="83"/>
        <v>KG</v>
      </c>
      <c r="D2178" s="7">
        <v>1102</v>
      </c>
      <c r="E2178" s="3">
        <v>7</v>
      </c>
      <c r="F2178" s="3">
        <v>7</v>
      </c>
      <c r="G2178" t="s">
        <v>514</v>
      </c>
    </row>
    <row r="2179" spans="1:7" x14ac:dyDescent="0.25">
      <c r="A2179" s="1" t="str">
        <f>"10018"</f>
        <v>10018</v>
      </c>
      <c r="B2179" s="2" t="str">
        <f>"BASE IOGURTE NATURAL DESNATADO COM MEL FORMULACAO"</f>
        <v>BASE IOGURTE NATURAL DESNATADO COM MEL FORMULACAO</v>
      </c>
      <c r="C2179" s="2" t="str">
        <f t="shared" si="83"/>
        <v>KG</v>
      </c>
      <c r="D2179" s="7">
        <v>1103</v>
      </c>
      <c r="E2179" s="3">
        <v>7</v>
      </c>
      <c r="F2179" s="3">
        <v>7</v>
      </c>
      <c r="G2179" t="s">
        <v>514</v>
      </c>
    </row>
    <row r="2180" spans="1:7" x14ac:dyDescent="0.25">
      <c r="A2180" s="1" t="str">
        <f>"10018B"</f>
        <v>10018B</v>
      </c>
      <c r="B2180" s="2" t="str">
        <f>"BASE IOGURTE NATURAL DESNATADO COM MEL PASTEURIZACAO"</f>
        <v>BASE IOGURTE NATURAL DESNATADO COM MEL PASTEURIZACAO</v>
      </c>
      <c r="C2180" s="2" t="str">
        <f t="shared" si="83"/>
        <v>KG</v>
      </c>
      <c r="D2180" s="7">
        <v>1103</v>
      </c>
      <c r="E2180" s="3">
        <v>7</v>
      </c>
      <c r="F2180" s="3">
        <v>7</v>
      </c>
      <c r="G2180" t="s">
        <v>512</v>
      </c>
    </row>
    <row r="2181" spans="1:7" x14ac:dyDescent="0.25">
      <c r="A2181" s="1" t="str">
        <f>"10054"</f>
        <v>10054</v>
      </c>
      <c r="B2181" s="2" t="str">
        <f>"BASE IOGURTE PEDACOS / DUET / MEL CAROL"</f>
        <v>BASE IOGURTE PEDACOS / DUET / MEL CAROL</v>
      </c>
      <c r="C2181" s="2" t="str">
        <f t="shared" si="83"/>
        <v>KG</v>
      </c>
      <c r="D2181" s="7">
        <v>1102</v>
      </c>
      <c r="E2181" s="3">
        <v>7</v>
      </c>
      <c r="F2181" s="3">
        <v>7</v>
      </c>
      <c r="G2181" t="s">
        <v>513</v>
      </c>
    </row>
    <row r="2182" spans="1:7" x14ac:dyDescent="0.25">
      <c r="A2182" s="1" t="str">
        <f>"10054B"</f>
        <v>10054B</v>
      </c>
      <c r="B2182" s="2" t="str">
        <f>"BASE IOGURTE PEDACOS / DUET / MEL CAROL FERMENTACAO"</f>
        <v>BASE IOGURTE PEDACOS / DUET / MEL CAROL FERMENTACAO</v>
      </c>
      <c r="C2182" s="2" t="str">
        <f t="shared" si="83"/>
        <v>KG</v>
      </c>
      <c r="D2182" s="7">
        <v>1102</v>
      </c>
      <c r="E2182" s="3">
        <v>7</v>
      </c>
      <c r="F2182" s="3">
        <v>7</v>
      </c>
      <c r="G2182" t="s">
        <v>514</v>
      </c>
    </row>
    <row r="2183" spans="1:7" x14ac:dyDescent="0.25">
      <c r="A2183" s="1" t="str">
        <f>"10015"</f>
        <v>10015</v>
      </c>
      <c r="B2183" s="2" t="str">
        <f>"BASE IOGURTE PROBIOTICO BANDEJA FORMULACAO"</f>
        <v>BASE IOGURTE PROBIOTICO BANDEJA FORMULACAO</v>
      </c>
      <c r="C2183" s="2" t="str">
        <f t="shared" si="83"/>
        <v>KG</v>
      </c>
      <c r="D2183" s="7">
        <v>1101</v>
      </c>
      <c r="E2183" s="3">
        <v>7</v>
      </c>
      <c r="F2183" s="3">
        <v>7</v>
      </c>
      <c r="G2183" t="s">
        <v>514</v>
      </c>
    </row>
    <row r="2184" spans="1:7" x14ac:dyDescent="0.25">
      <c r="A2184" s="1" t="str">
        <f>"10015B"</f>
        <v>10015B</v>
      </c>
      <c r="B2184" s="2" t="str">
        <f>"BASE IOGURTE PROBIOTICO BANDEJA PASTEURIZACAO E FERMENTACAO"</f>
        <v>BASE IOGURTE PROBIOTICO BANDEJA PASTEURIZACAO E FERMENTACAO</v>
      </c>
      <c r="C2184" s="2" t="str">
        <f t="shared" si="83"/>
        <v>KG</v>
      </c>
      <c r="D2184" s="7">
        <v>1101</v>
      </c>
      <c r="E2184" s="3">
        <v>7</v>
      </c>
      <c r="F2184" s="3">
        <v>7</v>
      </c>
      <c r="G2184" t="s">
        <v>514</v>
      </c>
    </row>
    <row r="2185" spans="1:7" x14ac:dyDescent="0.25">
      <c r="A2185" s="1" t="str">
        <f>"10014"</f>
        <v>10014</v>
      </c>
      <c r="B2185" s="2" t="str">
        <f>"BASE IOGURTE PROBIOTICO FRASCO FORMULACAO"</f>
        <v>BASE IOGURTE PROBIOTICO FRASCO FORMULACAO</v>
      </c>
      <c r="C2185" s="2" t="str">
        <f t="shared" si="83"/>
        <v>KG</v>
      </c>
      <c r="D2185" s="7">
        <v>1102</v>
      </c>
      <c r="E2185" s="3">
        <v>7</v>
      </c>
      <c r="F2185" s="3">
        <v>7</v>
      </c>
      <c r="G2185" t="s">
        <v>513</v>
      </c>
    </row>
    <row r="2186" spans="1:7" x14ac:dyDescent="0.25">
      <c r="A2186" s="1" t="str">
        <f>"10014B"</f>
        <v>10014B</v>
      </c>
      <c r="B2186" s="2" t="str">
        <f>"BASE IOGURTE PROBIOTICO FRASCO PASTEURIZACAO E FERMENTACAO"</f>
        <v>BASE IOGURTE PROBIOTICO FRASCO PASTEURIZACAO E FERMENTACAO</v>
      </c>
      <c r="C2186" s="2" t="str">
        <f t="shared" si="83"/>
        <v>KG</v>
      </c>
      <c r="D2186" s="7">
        <v>1102</v>
      </c>
      <c r="E2186" s="3">
        <v>7</v>
      </c>
      <c r="F2186" s="3">
        <v>7</v>
      </c>
      <c r="G2186" t="s">
        <v>512</v>
      </c>
    </row>
    <row r="2187" spans="1:7" x14ac:dyDescent="0.25">
      <c r="A2187" s="1" t="str">
        <f>"10019"</f>
        <v>10019</v>
      </c>
      <c r="B2187" s="2" t="str">
        <f>"BASE IOGURTE QUALA"</f>
        <v>BASE IOGURTE QUALA</v>
      </c>
      <c r="C2187" s="2" t="str">
        <f t="shared" si="83"/>
        <v>KG</v>
      </c>
      <c r="D2187" s="7">
        <v>1108</v>
      </c>
      <c r="E2187" s="3">
        <v>7</v>
      </c>
      <c r="F2187" s="3">
        <v>7</v>
      </c>
      <c r="G2187" t="s">
        <v>513</v>
      </c>
    </row>
    <row r="2188" spans="1:7" x14ac:dyDescent="0.25">
      <c r="A2188" s="1" t="str">
        <f>"1217"</f>
        <v>1217</v>
      </c>
      <c r="B2188" s="2" t="str">
        <f>"BASE IOGURTE SEM LACTOSE"</f>
        <v>BASE IOGURTE SEM LACTOSE</v>
      </c>
      <c r="C2188" s="2" t="str">
        <f t="shared" si="83"/>
        <v>KG</v>
      </c>
      <c r="D2188" s="7">
        <v>1900</v>
      </c>
      <c r="E2188" s="3">
        <v>7</v>
      </c>
      <c r="F2188" s="3">
        <v>7</v>
      </c>
      <c r="G2188" t="s">
        <v>514</v>
      </c>
    </row>
    <row r="2189" spans="1:7" x14ac:dyDescent="0.25">
      <c r="A2189" s="1" t="str">
        <f>"10011"</f>
        <v>10011</v>
      </c>
      <c r="B2189" s="2" t="str">
        <f>"BASE IOGURTE ZERO BANDEJA FORMULACAO"</f>
        <v>BASE IOGURTE ZERO BANDEJA FORMULACAO</v>
      </c>
      <c r="C2189" s="2" t="str">
        <f t="shared" si="83"/>
        <v>KG</v>
      </c>
      <c r="D2189" s="7">
        <v>1101</v>
      </c>
      <c r="E2189" s="3">
        <v>7</v>
      </c>
      <c r="F2189" s="3">
        <v>7</v>
      </c>
      <c r="G2189" t="s">
        <v>514</v>
      </c>
    </row>
    <row r="2190" spans="1:7" x14ac:dyDescent="0.25">
      <c r="A2190" s="1" t="str">
        <f>"10011B"</f>
        <v>10011B</v>
      </c>
      <c r="B2190" s="2" t="str">
        <f>"BASE IOGURTE ZERO BANDEJA PASTEURIZACAO E FERMENTACAO"</f>
        <v>BASE IOGURTE ZERO BANDEJA PASTEURIZACAO E FERMENTACAO</v>
      </c>
      <c r="C2190" s="2" t="str">
        <f t="shared" si="83"/>
        <v>KG</v>
      </c>
      <c r="D2190" s="7">
        <v>1101</v>
      </c>
      <c r="E2190" s="3">
        <v>7</v>
      </c>
      <c r="F2190" s="3">
        <v>7</v>
      </c>
      <c r="G2190" t="s">
        <v>514</v>
      </c>
    </row>
    <row r="2191" spans="1:7" x14ac:dyDescent="0.25">
      <c r="A2191" s="1" t="str">
        <f>"10025"</f>
        <v>10025</v>
      </c>
      <c r="B2191" s="2" t="str">
        <f>"BASE IOGURTE ZERO FRASCO FORMULACAO"</f>
        <v>BASE IOGURTE ZERO FRASCO FORMULACAO</v>
      </c>
      <c r="C2191" s="2" t="str">
        <f t="shared" si="83"/>
        <v>KG</v>
      </c>
      <c r="D2191" s="7">
        <v>1101</v>
      </c>
      <c r="E2191" s="3">
        <v>7</v>
      </c>
      <c r="F2191" s="3">
        <v>7</v>
      </c>
      <c r="G2191" t="s">
        <v>513</v>
      </c>
    </row>
    <row r="2192" spans="1:7" x14ac:dyDescent="0.25">
      <c r="A2192" s="1" t="str">
        <f>"10025B"</f>
        <v>10025B</v>
      </c>
      <c r="B2192" s="2" t="str">
        <f>"BASE IOGURTE ZERO FRASCO PASTEURIZACAO E FERMENTACAO"</f>
        <v>BASE IOGURTE ZERO FRASCO PASTEURIZACAO E FERMENTACAO</v>
      </c>
      <c r="C2192" s="2" t="str">
        <f t="shared" si="83"/>
        <v>KG</v>
      </c>
      <c r="D2192" s="7">
        <v>1101</v>
      </c>
      <c r="E2192" s="3">
        <v>7</v>
      </c>
      <c r="F2192" s="3">
        <v>7</v>
      </c>
      <c r="G2192" t="s">
        <v>513</v>
      </c>
    </row>
    <row r="2193" spans="1:7" x14ac:dyDescent="0.25">
      <c r="A2193" s="1" t="str">
        <f>"10021"</f>
        <v>10021</v>
      </c>
      <c r="B2193" s="2" t="str">
        <f>"BASE LEITE FERMENTADO FORMULACAO"</f>
        <v>BASE LEITE FERMENTADO FORMULACAO</v>
      </c>
      <c r="C2193" s="2" t="str">
        <f t="shared" si="83"/>
        <v>KG</v>
      </c>
      <c r="D2193" s="7">
        <v>1102</v>
      </c>
      <c r="E2193" s="3">
        <v>7</v>
      </c>
      <c r="F2193" s="3">
        <v>7</v>
      </c>
      <c r="G2193" t="s">
        <v>513</v>
      </c>
    </row>
    <row r="2194" spans="1:7" x14ac:dyDescent="0.25">
      <c r="A2194" s="1" t="str">
        <f>"10021B"</f>
        <v>10021B</v>
      </c>
      <c r="B2194" s="2" t="str">
        <f>"BASE LEITE FERMENTADO PASTEURIZACAO E FERMENTACAO"</f>
        <v>BASE LEITE FERMENTADO PASTEURIZACAO E FERMENTACAO</v>
      </c>
      <c r="C2194" s="2" t="str">
        <f t="shared" si="83"/>
        <v>KG</v>
      </c>
      <c r="D2194" s="7">
        <v>1102</v>
      </c>
      <c r="E2194" s="3">
        <v>7</v>
      </c>
      <c r="F2194" s="3">
        <v>7</v>
      </c>
      <c r="G2194" t="s">
        <v>512</v>
      </c>
    </row>
    <row r="2195" spans="1:7" x14ac:dyDescent="0.25">
      <c r="A2195" s="1" t="str">
        <f>"10038B"</f>
        <v>10038B</v>
      </c>
      <c r="B2195" s="2" t="str">
        <f>"BASE LEITE FERMENTADO SEM LACTOSE FERMENTACAO"</f>
        <v>BASE LEITE FERMENTADO SEM LACTOSE FERMENTACAO</v>
      </c>
      <c r="C2195" s="2" t="str">
        <f t="shared" si="83"/>
        <v>KG</v>
      </c>
      <c r="D2195" s="7">
        <v>1102</v>
      </c>
      <c r="E2195" s="3">
        <v>7</v>
      </c>
      <c r="F2195" s="3">
        <v>7</v>
      </c>
      <c r="G2195" t="s">
        <v>513</v>
      </c>
    </row>
    <row r="2196" spans="1:7" x14ac:dyDescent="0.25">
      <c r="A2196" s="1" t="str">
        <f>"10038"</f>
        <v>10038</v>
      </c>
      <c r="B2196" s="2" t="str">
        <f>"BASE LEITE FERMENTADO SEM LACTOSE FORMULACAO"</f>
        <v>BASE LEITE FERMENTADO SEM LACTOSE FORMULACAO</v>
      </c>
      <c r="C2196" s="2" t="str">
        <f t="shared" si="83"/>
        <v>KG</v>
      </c>
      <c r="D2196" s="7">
        <v>1102</v>
      </c>
      <c r="E2196" s="3">
        <v>7</v>
      </c>
      <c r="F2196" s="3">
        <v>7</v>
      </c>
      <c r="G2196" t="s">
        <v>514</v>
      </c>
    </row>
    <row r="2197" spans="1:7" x14ac:dyDescent="0.25">
      <c r="A2197" s="1" t="str">
        <f>"504154"</f>
        <v>504154</v>
      </c>
      <c r="B2197" s="2" t="str">
        <f>"BASE MANIFOLD COD. 0.200.000.504"</f>
        <v>BASE MANIFOLD COD. 0.200.000.504</v>
      </c>
      <c r="C2197" s="2" t="str">
        <f>"BR"</f>
        <v>BR</v>
      </c>
      <c r="D2197" s="7">
        <v>808</v>
      </c>
      <c r="E2197" s="3">
        <v>10</v>
      </c>
      <c r="F2197" s="3">
        <v>10</v>
      </c>
      <c r="G2197" t="s">
        <v>515</v>
      </c>
    </row>
    <row r="2198" spans="1:7" x14ac:dyDescent="0.25">
      <c r="A2198" s="1" t="str">
        <f>"504153"</f>
        <v>504153</v>
      </c>
      <c r="B2198" s="2" t="str">
        <f>"BASE MANIFOLD COD. 0.200.000.505"</f>
        <v>BASE MANIFOLD COD. 0.200.000.505</v>
      </c>
      <c r="C2198" s="2" t="str">
        <f>"BR"</f>
        <v>BR</v>
      </c>
      <c r="D2198" s="7">
        <v>808</v>
      </c>
      <c r="E2198" s="3">
        <v>10</v>
      </c>
      <c r="F2198" s="3">
        <v>10</v>
      </c>
      <c r="G2198" t="s">
        <v>512</v>
      </c>
    </row>
    <row r="2199" spans="1:7" x14ac:dyDescent="0.25">
      <c r="A2199" s="1" t="str">
        <f>"503543"</f>
        <v>503543</v>
      </c>
      <c r="B2199" s="2" t="str">
        <f>"BASE MANIFOLD COD. 0.200.000.506"</f>
        <v>BASE MANIFOLD COD. 0.200.000.506</v>
      </c>
      <c r="C2199" s="2" t="str">
        <f>"BR"</f>
        <v>BR</v>
      </c>
      <c r="D2199" s="7">
        <v>808</v>
      </c>
      <c r="E2199" s="3">
        <v>10</v>
      </c>
      <c r="F2199" s="3">
        <v>10</v>
      </c>
      <c r="G2199" t="s">
        <v>516</v>
      </c>
    </row>
    <row r="2200" spans="1:7" x14ac:dyDescent="0.25">
      <c r="A2200" s="1" t="str">
        <f>"504206"</f>
        <v>504206</v>
      </c>
      <c r="B2200" s="2" t="str">
        <f>"BASE MANIFOLD COD. 0.200.000.507"</f>
        <v>BASE MANIFOLD COD. 0.200.000.507</v>
      </c>
      <c r="C2200" s="2" t="str">
        <f>"BR"</f>
        <v>BR</v>
      </c>
      <c r="D2200" s="7">
        <v>808</v>
      </c>
      <c r="E2200" s="3">
        <v>10</v>
      </c>
      <c r="F2200" s="3">
        <v>10</v>
      </c>
      <c r="G2200" t="s">
        <v>515</v>
      </c>
    </row>
    <row r="2201" spans="1:7" x14ac:dyDescent="0.25">
      <c r="A2201" s="1" t="str">
        <f>"504207"</f>
        <v>504207</v>
      </c>
      <c r="B2201" s="2" t="str">
        <f>"BASE MANIFOLD COD. 0.200.000.508"</f>
        <v>BASE MANIFOLD COD. 0.200.000.508</v>
      </c>
      <c r="C2201" s="2" t="str">
        <f>"BR"</f>
        <v>BR</v>
      </c>
      <c r="D2201" s="7">
        <v>808</v>
      </c>
      <c r="E2201" s="3">
        <v>10</v>
      </c>
      <c r="F2201" s="3">
        <v>10</v>
      </c>
      <c r="G2201" t="s">
        <v>514</v>
      </c>
    </row>
    <row r="2202" spans="1:7" x14ac:dyDescent="0.25">
      <c r="A2202" s="1" t="str">
        <f>"505063"</f>
        <v>505063</v>
      </c>
      <c r="B2202" s="2" t="str">
        <f>"BASE MANIFOLD NORGREN REF.2639048 8LUGAR"</f>
        <v>BASE MANIFOLD NORGREN REF.2639048 8LUGAR</v>
      </c>
      <c r="C2202" s="2" t="str">
        <f>"UN"</f>
        <v>UN</v>
      </c>
      <c r="D2202" s="7">
        <v>913</v>
      </c>
      <c r="E2202" s="3">
        <v>11</v>
      </c>
      <c r="F2202" s="3">
        <v>11</v>
      </c>
      <c r="G2202" t="s">
        <v>512</v>
      </c>
    </row>
    <row r="2203" spans="1:7" x14ac:dyDescent="0.25">
      <c r="A2203" s="1" t="str">
        <f>"517140"</f>
        <v>517140</v>
      </c>
      <c r="B2203" s="2" t="str">
        <f>"BASE MANIFOLD PRS-1/4-4 FESTO"</f>
        <v>BASE MANIFOLD PRS-1/4-4 FESTO</v>
      </c>
      <c r="C2203" s="2" t="str">
        <f>"UN"</f>
        <v>UN</v>
      </c>
      <c r="D2203" s="7">
        <v>913</v>
      </c>
      <c r="E2203" s="3">
        <v>11</v>
      </c>
      <c r="F2203" s="3">
        <v>11</v>
      </c>
      <c r="G2203" t="s">
        <v>513</v>
      </c>
    </row>
    <row r="2204" spans="1:7" x14ac:dyDescent="0.25">
      <c r="A2204" s="1" t="str">
        <f>"513744"</f>
        <v>513744</v>
      </c>
      <c r="B2204" s="2" t="str">
        <f>"BASE MANIFOLD PRS-1/4-5 FESTO"</f>
        <v>BASE MANIFOLD PRS-1/4-5 FESTO</v>
      </c>
      <c r="C2204" s="2" t="str">
        <f>"UN"</f>
        <v>UN</v>
      </c>
      <c r="D2204" s="7">
        <v>918</v>
      </c>
      <c r="E2204" s="3">
        <v>11</v>
      </c>
      <c r="F2204" s="3">
        <v>11</v>
      </c>
      <c r="G2204" t="s">
        <v>514</v>
      </c>
    </row>
    <row r="2205" spans="1:7" x14ac:dyDescent="0.25">
      <c r="A2205" s="1" t="str">
        <f>"517073"</f>
        <v>517073</v>
      </c>
      <c r="B2205" s="2" t="str">
        <f>"BASE MANIFOLD PRS-1/4-6 FESTO"</f>
        <v>BASE MANIFOLD PRS-1/4-6 FESTO</v>
      </c>
      <c r="C2205" s="2" t="str">
        <f>"UN"</f>
        <v>UN</v>
      </c>
      <c r="D2205" s="7">
        <v>913</v>
      </c>
      <c r="E2205" s="3">
        <v>11</v>
      </c>
      <c r="F2205" s="3">
        <v>11</v>
      </c>
      <c r="G2205" t="s">
        <v>514</v>
      </c>
    </row>
    <row r="2206" spans="1:7" x14ac:dyDescent="0.25">
      <c r="A2206" s="1" t="str">
        <f>"517771"</f>
        <v>517771</v>
      </c>
      <c r="B2206" s="2" t="str">
        <f>"BASE MANIFOLD VABM-L1-14W-G14-10"</f>
        <v>BASE MANIFOLD VABM-L1-14W-G14-10</v>
      </c>
      <c r="C2206" s="2" t="str">
        <f>"UN"</f>
        <v>UN</v>
      </c>
      <c r="D2206" s="7">
        <v>913</v>
      </c>
      <c r="E2206" s="3">
        <v>11</v>
      </c>
      <c r="F2206" s="3">
        <v>11</v>
      </c>
      <c r="G2206" t="s">
        <v>512</v>
      </c>
    </row>
    <row r="2207" spans="1:7" x14ac:dyDescent="0.25">
      <c r="A2207" s="1" t="str">
        <f>"10008"</f>
        <v>10008</v>
      </c>
      <c r="B2207" s="2" t="str">
        <f>"BASE MASSA PARA REQUEIJAO"</f>
        <v>BASE MASSA PARA REQUEIJAO</v>
      </c>
      <c r="C2207" s="2" t="str">
        <f>"KG"</f>
        <v>KG</v>
      </c>
      <c r="D2207" s="7">
        <v>1107</v>
      </c>
      <c r="E2207" s="3">
        <v>7</v>
      </c>
      <c r="F2207" s="3">
        <v>7</v>
      </c>
      <c r="G2207" t="s">
        <v>513</v>
      </c>
    </row>
    <row r="2208" spans="1:7" x14ac:dyDescent="0.25">
      <c r="A2208" s="1" t="str">
        <f>"10008T"</f>
        <v>10008T</v>
      </c>
      <c r="B2208" s="2" t="str">
        <f>"BASE MASSA PARA REQUEIJAO TERCEIRIZADO"</f>
        <v>BASE MASSA PARA REQUEIJAO TERCEIRIZADO</v>
      </c>
      <c r="C2208" s="2" t="str">
        <f>"KG"</f>
        <v>KG</v>
      </c>
      <c r="D2208" s="7">
        <v>1107</v>
      </c>
      <c r="E2208" s="3">
        <v>7</v>
      </c>
      <c r="F2208" s="3">
        <v>7</v>
      </c>
      <c r="G2208" t="s">
        <v>514</v>
      </c>
    </row>
    <row r="2209" spans="1:7" x14ac:dyDescent="0.25">
      <c r="A2209" s="1" t="str">
        <f>"510445"</f>
        <v>510445</v>
      </c>
      <c r="B2209" s="2" t="str">
        <f>"BASE MOTOR"</f>
        <v>BASE MOTOR</v>
      </c>
      <c r="C2209" s="2" t="str">
        <f t="shared" ref="C2209:C2216" si="84">"UN"</f>
        <v>UN</v>
      </c>
      <c r="D2209" s="7">
        <v>813</v>
      </c>
      <c r="E2209" s="3">
        <v>10</v>
      </c>
      <c r="F2209" s="3">
        <v>10</v>
      </c>
      <c r="G2209" t="s">
        <v>514</v>
      </c>
    </row>
    <row r="2210" spans="1:7" x14ac:dyDescent="0.25">
      <c r="A2210" s="1" t="str">
        <f>"511011"</f>
        <v>511011</v>
      </c>
      <c r="B2210" s="2" t="str">
        <f>"BASE NYLON GIRATORIA SECRETARIA ARCADA"</f>
        <v>BASE NYLON GIRATORIA SECRETARIA ARCADA</v>
      </c>
      <c r="C2210" s="2" t="str">
        <f t="shared" si="84"/>
        <v>UN</v>
      </c>
      <c r="D2210" s="7">
        <v>401</v>
      </c>
      <c r="E2210" s="3">
        <v>4</v>
      </c>
      <c r="F2210" s="3">
        <v>4</v>
      </c>
      <c r="G2210" t="s">
        <v>514</v>
      </c>
    </row>
    <row r="2211" spans="1:7" x14ac:dyDescent="0.25">
      <c r="A2211" s="1" t="str">
        <f>"526030"</f>
        <v>526030</v>
      </c>
      <c r="B2211" s="2" t="str">
        <f>"BASE P/ COLUNA LUMINOSA XVB-C2B4 C 70MM SCHNEIDER"</f>
        <v>BASE P/ COLUNA LUMINOSA XVB-C2B4 C 70MM SCHNEIDER</v>
      </c>
      <c r="C2211" s="2" t="str">
        <f t="shared" si="84"/>
        <v>UN</v>
      </c>
      <c r="D2211" s="7">
        <v>601</v>
      </c>
      <c r="E2211" s="3">
        <v>8</v>
      </c>
      <c r="F2211" s="3">
        <v>8</v>
      </c>
      <c r="G2211" t="s">
        <v>513</v>
      </c>
    </row>
    <row r="2212" spans="1:7" x14ac:dyDescent="0.25">
      <c r="A2212" s="1" t="str">
        <f>"507794"</f>
        <v>507794</v>
      </c>
      <c r="B2212" s="2" t="str">
        <f>"BASE P/ COMPRESSOR MK1/2/3"</f>
        <v>BASE P/ COMPRESSOR MK1/2/3</v>
      </c>
      <c r="C2212" s="2" t="str">
        <f t="shared" si="84"/>
        <v>UN</v>
      </c>
      <c r="D2212" s="7">
        <v>916</v>
      </c>
      <c r="E2212" s="3">
        <v>11</v>
      </c>
      <c r="F2212" s="3">
        <v>11</v>
      </c>
      <c r="G2212" t="s">
        <v>512</v>
      </c>
    </row>
    <row r="2213" spans="1:7" x14ac:dyDescent="0.25">
      <c r="A2213" s="1" t="str">
        <f>"516070"</f>
        <v>516070</v>
      </c>
      <c r="B2213" s="2" t="str">
        <f>"BASE P/ REDUTOR M-04"</f>
        <v>BASE P/ REDUTOR M-04</v>
      </c>
      <c r="C2213" s="2" t="str">
        <f t="shared" si="84"/>
        <v>UN</v>
      </c>
      <c r="D2213" s="7">
        <v>918</v>
      </c>
      <c r="E2213" s="3">
        <v>11</v>
      </c>
      <c r="F2213" s="3">
        <v>11</v>
      </c>
      <c r="G2213" t="s">
        <v>513</v>
      </c>
    </row>
    <row r="2214" spans="1:7" x14ac:dyDescent="0.25">
      <c r="A2214" s="1" t="str">
        <f>"508879"</f>
        <v>508879</v>
      </c>
      <c r="B2214" s="2" t="str">
        <f>"BASE P/ RELE FOTOELETRICO NBA BLP"</f>
        <v>BASE P/ RELE FOTOELETRICO NBA BLP</v>
      </c>
      <c r="C2214" s="2" t="str">
        <f t="shared" si="84"/>
        <v>UN</v>
      </c>
      <c r="D2214" s="7">
        <v>601</v>
      </c>
      <c r="E2214" s="3">
        <v>8</v>
      </c>
      <c r="F2214" s="3">
        <v>8</v>
      </c>
      <c r="G2214" t="s">
        <v>514</v>
      </c>
    </row>
    <row r="2215" spans="1:7" x14ac:dyDescent="0.25">
      <c r="A2215" s="1" t="str">
        <f>"515547"</f>
        <v>515547</v>
      </c>
      <c r="B2215" s="2" t="str">
        <f>"BASE PARA FUSIVEL"</f>
        <v>BASE PARA FUSIVEL</v>
      </c>
      <c r="C2215" s="2" t="str">
        <f t="shared" si="84"/>
        <v>UN</v>
      </c>
      <c r="D2215" s="7">
        <v>811</v>
      </c>
      <c r="E2215" s="3">
        <v>8</v>
      </c>
      <c r="F2215" s="3">
        <v>8</v>
      </c>
      <c r="G2215" t="s">
        <v>514</v>
      </c>
    </row>
    <row r="2216" spans="1:7" x14ac:dyDescent="0.25">
      <c r="A2216" s="1" t="str">
        <f>"509766"</f>
        <v>509766</v>
      </c>
      <c r="B2216" s="2" t="str">
        <f>"BASE PARA GLOBO"</f>
        <v>BASE PARA GLOBO</v>
      </c>
      <c r="C2216" s="2" t="str">
        <f t="shared" si="84"/>
        <v>UN</v>
      </c>
      <c r="D2216" s="7">
        <v>601</v>
      </c>
      <c r="E2216" s="3">
        <v>8</v>
      </c>
      <c r="F2216" s="3">
        <v>8</v>
      </c>
      <c r="G2216" t="s">
        <v>514</v>
      </c>
    </row>
    <row r="2217" spans="1:7" x14ac:dyDescent="0.25">
      <c r="A2217" s="1" t="str">
        <f>"10027"</f>
        <v>10027</v>
      </c>
      <c r="B2217" s="2" t="str">
        <f>"BASE PETIT CHOCOLATE"</f>
        <v>BASE PETIT CHOCOLATE</v>
      </c>
      <c r="C2217" s="2" t="str">
        <f>"KG"</f>
        <v>KG</v>
      </c>
      <c r="D2217" s="7">
        <v>1104</v>
      </c>
      <c r="E2217" s="3">
        <v>7</v>
      </c>
      <c r="F2217" s="3">
        <v>7</v>
      </c>
      <c r="G2217" t="s">
        <v>513</v>
      </c>
    </row>
    <row r="2218" spans="1:7" x14ac:dyDescent="0.25">
      <c r="A2218" s="1" t="str">
        <f>"10053"</f>
        <v>10053</v>
      </c>
      <c r="B2218" s="2" t="str">
        <f>"BASE PETIT SUISSE CAROL"</f>
        <v>BASE PETIT SUISSE CAROL</v>
      </c>
      <c r="C2218" s="2" t="str">
        <f>"KG"</f>
        <v>KG</v>
      </c>
      <c r="D2218" s="7">
        <v>1102</v>
      </c>
      <c r="E2218" s="3">
        <v>7</v>
      </c>
      <c r="F2218" s="3">
        <v>7</v>
      </c>
      <c r="G2218" t="s">
        <v>513</v>
      </c>
    </row>
    <row r="2219" spans="1:7" x14ac:dyDescent="0.25">
      <c r="A2219" s="1" t="str">
        <f>"10053B"</f>
        <v>10053B</v>
      </c>
      <c r="B2219" s="2" t="str">
        <f>"BASE PETIT SUISSE CAROL FERMENTACAO"</f>
        <v>BASE PETIT SUISSE CAROL FERMENTACAO</v>
      </c>
      <c r="C2219" s="2" t="str">
        <f>"KG"</f>
        <v>KG</v>
      </c>
      <c r="D2219" s="7">
        <v>1102</v>
      </c>
      <c r="E2219" s="3">
        <v>7</v>
      </c>
      <c r="F2219" s="3">
        <v>7</v>
      </c>
      <c r="G2219" t="s">
        <v>513</v>
      </c>
    </row>
    <row r="2220" spans="1:7" x14ac:dyDescent="0.25">
      <c r="A2220" s="1" t="str">
        <f>"517726"</f>
        <v>517726</v>
      </c>
      <c r="B2220" s="2" t="str">
        <f>"BASE PORTA DIGITO"</f>
        <v>BASE PORTA DIGITO</v>
      </c>
      <c r="C2220" s="2" t="str">
        <f>"UN"</f>
        <v>UN</v>
      </c>
      <c r="D2220" s="7">
        <v>811</v>
      </c>
      <c r="E2220" s="3">
        <v>8</v>
      </c>
      <c r="F2220" s="3">
        <v>8</v>
      </c>
      <c r="G2220" t="s">
        <v>512</v>
      </c>
    </row>
    <row r="2221" spans="1:7" x14ac:dyDescent="0.25">
      <c r="A2221" s="1" t="str">
        <f>"527539"</f>
        <v>527539</v>
      </c>
      <c r="B2221" s="2" t="str">
        <f>"BASE PORTA FACAS - GTCM-340"</f>
        <v>BASE PORTA FACAS - GTCM-340</v>
      </c>
      <c r="C2221" s="2" t="str">
        <f>"UN"</f>
        <v>UN</v>
      </c>
      <c r="D2221" s="7">
        <v>99999</v>
      </c>
      <c r="E2221" s="3">
        <v>99</v>
      </c>
      <c r="F2221" s="3">
        <v>99</v>
      </c>
      <c r="G2221" t="s">
        <v>513</v>
      </c>
    </row>
    <row r="2222" spans="1:7" x14ac:dyDescent="0.25">
      <c r="A2222" s="1" t="str">
        <f>"518137"</f>
        <v>518137</v>
      </c>
      <c r="B2222" s="2" t="str">
        <f>"BASE PREMIUM S/B ""A"" 0,8LTS PLUS"</f>
        <v>BASE PREMIUM S/B "A" 0,8LTS PLUS</v>
      </c>
      <c r="C2222" s="2" t="str">
        <f>"UN"</f>
        <v>UN</v>
      </c>
      <c r="D2222" s="7">
        <v>917</v>
      </c>
      <c r="E2222" s="3">
        <v>10</v>
      </c>
      <c r="F2222" s="3">
        <v>10</v>
      </c>
      <c r="G2222" t="s">
        <v>514</v>
      </c>
    </row>
    <row r="2223" spans="1:7" x14ac:dyDescent="0.25">
      <c r="A2223" s="1" t="str">
        <f>"517659"</f>
        <v>517659</v>
      </c>
      <c r="B2223" s="2" t="str">
        <f>"BASE PREMIUM S/B ""A"" 3,2LTS PLUS"</f>
        <v>BASE PREMIUM S/B "A" 3,2LTS PLUS</v>
      </c>
      <c r="C2223" s="2" t="str">
        <f>"UN"</f>
        <v>UN</v>
      </c>
      <c r="D2223" s="7">
        <v>917</v>
      </c>
      <c r="E2223" s="3">
        <v>10</v>
      </c>
      <c r="F2223" s="3">
        <v>10</v>
      </c>
      <c r="G2223" t="s">
        <v>515</v>
      </c>
    </row>
    <row r="2224" spans="1:7" x14ac:dyDescent="0.25">
      <c r="A2224" s="1" t="str">
        <f>"511408"</f>
        <v>511408</v>
      </c>
      <c r="B2224" s="2" t="str">
        <f>"BASE QUADRO INFERIOR"</f>
        <v>BASE QUADRO INFERIOR</v>
      </c>
      <c r="C2224" s="2" t="str">
        <f>"UN"</f>
        <v>UN</v>
      </c>
      <c r="D2224" s="7">
        <v>704</v>
      </c>
      <c r="E2224" s="3">
        <v>9</v>
      </c>
      <c r="F2224" s="3">
        <v>9</v>
      </c>
      <c r="G2224" t="s">
        <v>512</v>
      </c>
    </row>
    <row r="2225" spans="1:7" x14ac:dyDescent="0.25">
      <c r="A2225" s="1" t="str">
        <f>"10004"</f>
        <v>10004</v>
      </c>
      <c r="B2225" s="2" t="str">
        <f>"BASE QUEIJO PETIT SUISSE FORMULACAO"</f>
        <v>BASE QUEIJO PETIT SUISSE FORMULACAO</v>
      </c>
      <c r="C2225" s="2" t="str">
        <f>"KG"</f>
        <v>KG</v>
      </c>
      <c r="D2225" s="7">
        <v>1104</v>
      </c>
      <c r="E2225" s="3">
        <v>7</v>
      </c>
      <c r="F2225" s="3">
        <v>7</v>
      </c>
      <c r="G2225" t="s">
        <v>516</v>
      </c>
    </row>
    <row r="2226" spans="1:7" x14ac:dyDescent="0.25">
      <c r="A2226" s="1" t="str">
        <f>"10004B"</f>
        <v>10004B</v>
      </c>
      <c r="B2226" s="2" t="str">
        <f>"BASE QUEIJO PETIT SUISSE PASTEURIZACAO E FERMENTACAO"</f>
        <v>BASE QUEIJO PETIT SUISSE PASTEURIZACAO E FERMENTACAO</v>
      </c>
      <c r="C2226" s="2" t="str">
        <f>"KG"</f>
        <v>KG</v>
      </c>
      <c r="D2226" s="7">
        <v>1104</v>
      </c>
      <c r="E2226" s="3">
        <v>7</v>
      </c>
      <c r="F2226" s="3">
        <v>7</v>
      </c>
      <c r="G2226" t="s">
        <v>515</v>
      </c>
    </row>
    <row r="2227" spans="1:7" x14ac:dyDescent="0.25">
      <c r="A2227" s="1" t="str">
        <f>"511301"</f>
        <v>511301</v>
      </c>
      <c r="B2227" s="2" t="str">
        <f>"BASE RELE FOTOELETRICO"</f>
        <v>BASE RELE FOTOELETRICO</v>
      </c>
      <c r="C2227" s="2" t="str">
        <f>"UN"</f>
        <v>UN</v>
      </c>
      <c r="D2227" s="7">
        <v>601</v>
      </c>
      <c r="E2227" s="3">
        <v>8</v>
      </c>
      <c r="F2227" s="3">
        <v>8</v>
      </c>
      <c r="G2227" t="s">
        <v>514</v>
      </c>
    </row>
    <row r="2228" spans="1:7" x14ac:dyDescent="0.25">
      <c r="A2228" s="1" t="str">
        <f>"512547"</f>
        <v>512547</v>
      </c>
      <c r="B2228" s="2" t="str">
        <f>"BASE RELE P2RF-05-E"</f>
        <v>BASE RELE P2RF-05-E</v>
      </c>
      <c r="C2228" s="2" t="str">
        <f>"PC"</f>
        <v>PC</v>
      </c>
      <c r="D2228" s="7">
        <v>900</v>
      </c>
      <c r="E2228" s="3">
        <v>11</v>
      </c>
      <c r="F2228" s="3">
        <v>11</v>
      </c>
      <c r="G2228" t="s">
        <v>512</v>
      </c>
    </row>
    <row r="2229" spans="1:7" x14ac:dyDescent="0.25">
      <c r="A2229" s="1" t="str">
        <f>"502156"</f>
        <v>502156</v>
      </c>
      <c r="B2229" s="2" t="str">
        <f>"BASE SOLENOIDE 158.303-20 COD09099050002"</f>
        <v>BASE SOLENOIDE 158.303-20 COD09099050002</v>
      </c>
      <c r="C2229" s="2" t="str">
        <f>"BR"</f>
        <v>BR</v>
      </c>
      <c r="D2229" s="7">
        <v>808</v>
      </c>
      <c r="E2229" s="3">
        <v>10</v>
      </c>
      <c r="F2229" s="3">
        <v>10</v>
      </c>
      <c r="G2229" t="s">
        <v>513</v>
      </c>
    </row>
    <row r="2230" spans="1:7" x14ac:dyDescent="0.25">
      <c r="A2230" s="1" t="str">
        <f>"501815"</f>
        <v>501815</v>
      </c>
      <c r="B2230" s="2" t="str">
        <f>"BASE SUPERIOR SUSP. PNEUMATICO"</f>
        <v>BASE SUPERIOR SUSP. PNEUMATICO</v>
      </c>
      <c r="C2230" s="2" t="str">
        <f>"UN"</f>
        <v>UN</v>
      </c>
      <c r="D2230" s="7">
        <v>704</v>
      </c>
      <c r="E2230" s="3">
        <v>9</v>
      </c>
      <c r="F2230" s="3">
        <v>9</v>
      </c>
      <c r="G2230" t="s">
        <v>514</v>
      </c>
    </row>
    <row r="2231" spans="1:7" x14ac:dyDescent="0.25">
      <c r="A2231" s="1" t="str">
        <f>"516120"</f>
        <v>516120</v>
      </c>
      <c r="B2231" s="2" t="str">
        <f>"BASE SUPORTE PORTA FACA"</f>
        <v>BASE SUPORTE PORTA FACA</v>
      </c>
      <c r="C2231" s="2" t="str">
        <f>"UN"</f>
        <v>UN</v>
      </c>
      <c r="D2231" s="7">
        <v>918</v>
      </c>
      <c r="E2231" s="3">
        <v>11</v>
      </c>
      <c r="F2231" s="3">
        <v>11</v>
      </c>
      <c r="G2231" t="s">
        <v>514</v>
      </c>
    </row>
    <row r="2232" spans="1:7" x14ac:dyDescent="0.25">
      <c r="A2232" s="1" t="str">
        <f>"522192"</f>
        <v>522192</v>
      </c>
      <c r="B2232" s="2" t="str">
        <f>"BASE TERMINAL ALLEN BRADLEY"</f>
        <v>BASE TERMINAL ALLEN BRADLEY</v>
      </c>
      <c r="C2232" s="2" t="str">
        <f>"UN"</f>
        <v>UN</v>
      </c>
      <c r="D2232" s="7">
        <v>915</v>
      </c>
      <c r="E2232" s="3">
        <v>4</v>
      </c>
      <c r="F2232" s="3">
        <v>4</v>
      </c>
      <c r="G2232" t="s">
        <v>512</v>
      </c>
    </row>
    <row r="2233" spans="1:7" x14ac:dyDescent="0.25">
      <c r="A2233" s="1" t="str">
        <f>"527662"</f>
        <v>527662</v>
      </c>
      <c r="B2233" s="2" t="str">
        <f>"BASE TERN. CPL CM71-112 COD 13355058"</f>
        <v>BASE TERN. CPL CM71-112 COD 13355058</v>
      </c>
      <c r="C2233" s="2" t="str">
        <f>"UN"</f>
        <v>UN</v>
      </c>
      <c r="D2233" s="7">
        <v>811</v>
      </c>
      <c r="E2233" s="3">
        <v>11</v>
      </c>
      <c r="F2233" s="3">
        <v>11</v>
      </c>
      <c r="G2233" t="s">
        <v>513</v>
      </c>
    </row>
    <row r="2234" spans="1:7" x14ac:dyDescent="0.25">
      <c r="A2234" s="1" t="str">
        <f>"10099B"</f>
        <v>10099B</v>
      </c>
      <c r="B2234" s="2" t="str">
        <f>"BASE TESTE FERMENTACAO"</f>
        <v>BASE TESTE FERMENTACAO</v>
      </c>
      <c r="C2234" s="2" t="str">
        <f>"KG"</f>
        <v>KG</v>
      </c>
      <c r="D2234" s="7">
        <v>1102</v>
      </c>
      <c r="E2234" s="3">
        <v>7</v>
      </c>
      <c r="F2234" s="3">
        <v>7</v>
      </c>
      <c r="G2234" t="s">
        <v>514</v>
      </c>
    </row>
    <row r="2235" spans="1:7" x14ac:dyDescent="0.25">
      <c r="A2235" s="1" t="str">
        <f>"10099"</f>
        <v>10099</v>
      </c>
      <c r="B2235" s="2" t="str">
        <f>"BASE TESTE FORMULACAO"</f>
        <v>BASE TESTE FORMULACAO</v>
      </c>
      <c r="C2235" s="2" t="str">
        <f>"KG"</f>
        <v>KG</v>
      </c>
      <c r="D2235" s="7">
        <v>1102</v>
      </c>
      <c r="E2235" s="3">
        <v>7</v>
      </c>
      <c r="F2235" s="3">
        <v>7</v>
      </c>
      <c r="G2235" t="s">
        <v>514</v>
      </c>
    </row>
    <row r="2236" spans="1:7" x14ac:dyDescent="0.25">
      <c r="A2236" s="1" t="str">
        <f>"527321"</f>
        <v>527321</v>
      </c>
      <c r="B2236" s="2" t="str">
        <f>"BASE TM-P15S23-A0 6S71934CD200AA TERMINAL MOD. ALIMEN. 15M"</f>
        <v>BASE TM-P15S23-A0 6S71934CD200AA TERMINAL MOD. ALIMEN. 15M</v>
      </c>
      <c r="C2236" s="2" t="str">
        <f>"UN"</f>
        <v>UN</v>
      </c>
      <c r="D2236" s="7">
        <v>811</v>
      </c>
      <c r="E2236" s="3">
        <v>11</v>
      </c>
      <c r="F2236" s="3">
        <v>11</v>
      </c>
      <c r="G2236" t="s">
        <v>514</v>
      </c>
    </row>
    <row r="2237" spans="1:7" x14ac:dyDescent="0.25">
      <c r="A2237" s="1" t="str">
        <f>"512449"</f>
        <v>512449</v>
      </c>
      <c r="B2237" s="2" t="str">
        <f>"BASE VALVULA - PRS-1/8-2-B"</f>
        <v>BASE VALVULA - PRS-1/8-2-B</v>
      </c>
      <c r="C2237" s="2" t="str">
        <f>"UN"</f>
        <v>UN</v>
      </c>
      <c r="D2237" s="7">
        <v>913</v>
      </c>
      <c r="E2237" s="3">
        <v>11</v>
      </c>
      <c r="F2237" s="3">
        <v>11</v>
      </c>
      <c r="G2237" t="s">
        <v>513</v>
      </c>
    </row>
    <row r="2238" spans="1:7" x14ac:dyDescent="0.25">
      <c r="A2238" s="1" t="str">
        <f>"513115"</f>
        <v>513115</v>
      </c>
      <c r="B2238" s="2" t="str">
        <f>"BASE VALVULA PRS-1/8-2-B"</f>
        <v>BASE VALVULA PRS-1/8-2-B</v>
      </c>
      <c r="C2238" s="2" t="str">
        <f>"PC"</f>
        <v>PC</v>
      </c>
      <c r="D2238" s="7">
        <v>913</v>
      </c>
      <c r="E2238" s="3">
        <v>11</v>
      </c>
      <c r="F2238" s="3">
        <v>11</v>
      </c>
      <c r="G2238" t="s">
        <v>512</v>
      </c>
    </row>
    <row r="2239" spans="1:7" x14ac:dyDescent="0.25">
      <c r="A2239" s="1" t="str">
        <f>"502077"</f>
        <v>502077</v>
      </c>
      <c r="B2239" s="2" t="str">
        <f>"BASE VALVULA VAPOR 3/4""COD.170190551409"</f>
        <v>BASE VALVULA VAPOR 3/4"COD.170190551409</v>
      </c>
      <c r="C2239" s="2" t="str">
        <f>"BR"</f>
        <v>BR</v>
      </c>
      <c r="D2239" s="7">
        <v>808</v>
      </c>
      <c r="E2239" s="3">
        <v>10</v>
      </c>
      <c r="F2239" s="3">
        <v>10</v>
      </c>
      <c r="G2239" t="s">
        <v>513</v>
      </c>
    </row>
    <row r="2240" spans="1:7" x14ac:dyDescent="0.25">
      <c r="A2240" s="1" t="str">
        <f>"10050"</f>
        <v>10050</v>
      </c>
      <c r="B2240" s="2" t="str">
        <f>"BASE XAROPE BERLIM SEM LACTOSE FORMULACAO"</f>
        <v>BASE XAROPE BERLIM SEM LACTOSE FORMULACAO</v>
      </c>
      <c r="C2240" s="2" t="str">
        <f t="shared" ref="C2240:C2246" si="85">"KG"</f>
        <v>KG</v>
      </c>
      <c r="D2240" s="7">
        <v>1102</v>
      </c>
      <c r="E2240" s="3">
        <v>7</v>
      </c>
      <c r="F2240" s="3">
        <v>7</v>
      </c>
      <c r="G2240" t="s">
        <v>514</v>
      </c>
    </row>
    <row r="2241" spans="1:7" x14ac:dyDescent="0.25">
      <c r="A2241" s="1" t="str">
        <f>"10047B"</f>
        <v>10047B</v>
      </c>
      <c r="B2241" s="2" t="str">
        <f>"BASE XAROPE IOGURTE FRASCO PASTEURIZACAO"</f>
        <v>BASE XAROPE IOGURTE FRASCO PASTEURIZACAO</v>
      </c>
      <c r="C2241" s="2" t="str">
        <f t="shared" si="85"/>
        <v>KG</v>
      </c>
      <c r="D2241" s="7">
        <v>1102</v>
      </c>
      <c r="E2241" s="3">
        <v>7</v>
      </c>
      <c r="F2241" s="3">
        <v>7</v>
      </c>
      <c r="G2241" t="s">
        <v>514</v>
      </c>
    </row>
    <row r="2242" spans="1:7" x14ac:dyDescent="0.25">
      <c r="A2242" s="1" t="str">
        <f>"10047"</f>
        <v>10047</v>
      </c>
      <c r="B2242" s="2" t="str">
        <f>"BASE XAROPE IOGURTE FRASCO/BUZIOS FORMULACAO"</f>
        <v>BASE XAROPE IOGURTE FRASCO/BUZIOS FORMULACAO</v>
      </c>
      <c r="C2242" s="2" t="str">
        <f t="shared" si="85"/>
        <v>KG</v>
      </c>
      <c r="D2242" s="7">
        <v>1102</v>
      </c>
      <c r="E2242" s="3">
        <v>7</v>
      </c>
      <c r="F2242" s="3">
        <v>7</v>
      </c>
      <c r="G2242" t="s">
        <v>514</v>
      </c>
    </row>
    <row r="2243" spans="1:7" x14ac:dyDescent="0.25">
      <c r="A2243" s="1" t="str">
        <f>"10022"</f>
        <v>10022</v>
      </c>
      <c r="B2243" s="2" t="str">
        <f>"BASE XAROPE LEITE FERMENTADO FORMULACAO"</f>
        <v>BASE XAROPE LEITE FERMENTADO FORMULACAO</v>
      </c>
      <c r="C2243" s="2" t="str">
        <f t="shared" si="85"/>
        <v>KG</v>
      </c>
      <c r="D2243" s="7">
        <v>1102</v>
      </c>
      <c r="E2243" s="3">
        <v>7</v>
      </c>
      <c r="F2243" s="3">
        <v>7</v>
      </c>
      <c r="G2243" t="s">
        <v>513</v>
      </c>
    </row>
    <row r="2244" spans="1:7" x14ac:dyDescent="0.25">
      <c r="A2244" s="1" t="str">
        <f>"10022B"</f>
        <v>10022B</v>
      </c>
      <c r="B2244" s="2" t="str">
        <f>"BASE XAROPE LEITE FERMENTADO PASTEURIZACAO"</f>
        <v>BASE XAROPE LEITE FERMENTADO PASTEURIZACAO</v>
      </c>
      <c r="C2244" s="2" t="str">
        <f t="shared" si="85"/>
        <v>KG</v>
      </c>
      <c r="D2244" s="7">
        <v>1102</v>
      </c>
      <c r="E2244" s="3">
        <v>7</v>
      </c>
      <c r="F2244" s="3">
        <v>7</v>
      </c>
      <c r="G2244" t="s">
        <v>513</v>
      </c>
    </row>
    <row r="2245" spans="1:7" x14ac:dyDescent="0.25">
      <c r="A2245" s="1" t="str">
        <f>"10020"</f>
        <v>10020</v>
      </c>
      <c r="B2245" s="2" t="str">
        <f>"BASE XAROPE QUALA"</f>
        <v>BASE XAROPE QUALA</v>
      </c>
      <c r="C2245" s="2" t="str">
        <f t="shared" si="85"/>
        <v>KG</v>
      </c>
      <c r="D2245" s="7">
        <v>1108</v>
      </c>
      <c r="E2245" s="3">
        <v>7</v>
      </c>
      <c r="F2245" s="3">
        <v>7</v>
      </c>
      <c r="G2245" t="s">
        <v>513</v>
      </c>
    </row>
    <row r="2246" spans="1:7" x14ac:dyDescent="0.25">
      <c r="A2246" s="1" t="str">
        <f>"10050B"</f>
        <v>10050B</v>
      </c>
      <c r="B2246" s="2" t="str">
        <f>"BASE XAROPE SEM LACTOSE PASTEURIZACAO"</f>
        <v>BASE XAROPE SEM LACTOSE PASTEURIZACAO</v>
      </c>
      <c r="C2246" s="2" t="str">
        <f t="shared" si="85"/>
        <v>KG</v>
      </c>
      <c r="D2246" s="7">
        <v>1102</v>
      </c>
      <c r="E2246" s="3">
        <v>7</v>
      </c>
      <c r="F2246" s="3">
        <v>7</v>
      </c>
      <c r="G2246" t="s">
        <v>512</v>
      </c>
    </row>
    <row r="2247" spans="1:7" x14ac:dyDescent="0.25">
      <c r="A2247" s="1" t="str">
        <f>"523855"</f>
        <v>523855</v>
      </c>
      <c r="B2247" s="2" t="str">
        <f>"BASTÃO AGITADOR POLIPROPILENO 8X300MM HX0045-00112"</f>
        <v>BASTÃO AGITADOR POLIPROPILENO 8X300MM HX0045-00112</v>
      </c>
      <c r="C2247" s="2" t="str">
        <f>"UN"</f>
        <v>UN</v>
      </c>
      <c r="D2247" s="7">
        <v>99999</v>
      </c>
      <c r="E2247" s="3">
        <v>99</v>
      </c>
      <c r="F2247" s="3">
        <v>99</v>
      </c>
      <c r="G2247" t="s">
        <v>513</v>
      </c>
    </row>
    <row r="2248" spans="1:7" x14ac:dyDescent="0.25">
      <c r="A2248" s="1" t="str">
        <f>"522501"</f>
        <v>522501</v>
      </c>
      <c r="B2248" s="2" t="str">
        <f>"BASTÃO CONEXÃO P/ LINHA DE VIDA PROVISORIA"</f>
        <v>BASTÃO CONEXÃO P/ LINHA DE VIDA PROVISORIA</v>
      </c>
      <c r="C2248" s="2" t="str">
        <f>"PC"</f>
        <v>PC</v>
      </c>
      <c r="D2248" s="7">
        <v>501</v>
      </c>
      <c r="E2248" s="3">
        <v>5</v>
      </c>
      <c r="F2248" s="3">
        <v>5</v>
      </c>
      <c r="G2248" t="s">
        <v>514</v>
      </c>
    </row>
    <row r="2249" spans="1:7" x14ac:dyDescent="0.25">
      <c r="A2249" s="1" t="str">
        <f>"515359"</f>
        <v>515359</v>
      </c>
      <c r="B2249" s="2" t="str">
        <f>"BASTAO DE COLA QUENTE"</f>
        <v>BASTAO DE COLA QUENTE</v>
      </c>
      <c r="C2249" s="2" t="str">
        <f t="shared" ref="C2249:C2286" si="86">"UN"</f>
        <v>UN</v>
      </c>
      <c r="D2249" s="7">
        <v>401</v>
      </c>
      <c r="E2249" s="3">
        <v>4</v>
      </c>
      <c r="F2249" s="3">
        <v>4</v>
      </c>
      <c r="G2249" t="s">
        <v>515</v>
      </c>
    </row>
    <row r="2250" spans="1:7" x14ac:dyDescent="0.25">
      <c r="A2250" s="1" t="str">
        <f>"515668"</f>
        <v>515668</v>
      </c>
      <c r="B2250" s="2" t="str">
        <f>"BASTAO DE UHMW"</f>
        <v>BASTAO DE UHMW</v>
      </c>
      <c r="C2250" s="2" t="str">
        <f t="shared" si="86"/>
        <v>UN</v>
      </c>
      <c r="D2250" s="7">
        <v>812</v>
      </c>
      <c r="E2250" s="3">
        <v>4</v>
      </c>
      <c r="F2250" s="3">
        <v>4</v>
      </c>
      <c r="G2250" t="s">
        <v>512</v>
      </c>
    </row>
    <row r="2251" spans="1:7" x14ac:dyDescent="0.25">
      <c r="A2251" s="1" t="str">
        <f>"519311"</f>
        <v>519311</v>
      </c>
      <c r="B2251" s="2" t="str">
        <f>"BASTÃO DE VIDRO DM X 8 X 300MM"</f>
        <v>BASTÃO DE VIDRO DM X 8 X 300MM</v>
      </c>
      <c r="C2251" s="2" t="str">
        <f t="shared" si="86"/>
        <v>UN</v>
      </c>
      <c r="D2251" s="7">
        <v>406</v>
      </c>
      <c r="E2251" s="3">
        <v>4</v>
      </c>
      <c r="F2251" s="3">
        <v>4</v>
      </c>
      <c r="G2251" t="s">
        <v>516</v>
      </c>
    </row>
    <row r="2252" spans="1:7" x14ac:dyDescent="0.25">
      <c r="A2252" s="1" t="str">
        <f>"521220"</f>
        <v>521220</v>
      </c>
      <c r="B2252" s="2" t="str">
        <f>"BASTÃO POLIPROPILENO 30X1000MM"</f>
        <v>BASTÃO POLIPROPILENO 30X1000MM</v>
      </c>
      <c r="C2252" s="2" t="str">
        <f t="shared" si="86"/>
        <v>UN</v>
      </c>
      <c r="D2252" s="7">
        <v>406</v>
      </c>
      <c r="E2252" s="3">
        <v>4</v>
      </c>
      <c r="F2252" s="3">
        <v>4</v>
      </c>
      <c r="G2252" t="s">
        <v>515</v>
      </c>
    </row>
    <row r="2253" spans="1:7" x14ac:dyDescent="0.25">
      <c r="A2253" s="1" t="str">
        <f>"515674"</f>
        <v>515674</v>
      </c>
      <c r="B2253" s="2" t="str">
        <f>"BATA EM MALHA VISCO"</f>
        <v>BATA EM MALHA VISCO</v>
      </c>
      <c r="C2253" s="2" t="str">
        <f t="shared" si="86"/>
        <v>UN</v>
      </c>
      <c r="D2253" s="7">
        <v>500</v>
      </c>
      <c r="E2253" s="3">
        <v>5</v>
      </c>
      <c r="F2253" s="3">
        <v>5</v>
      </c>
      <c r="G2253" t="s">
        <v>514</v>
      </c>
    </row>
    <row r="2254" spans="1:7" x14ac:dyDescent="0.25">
      <c r="A2254" s="1" t="str">
        <f>"514606"</f>
        <v>514606</v>
      </c>
      <c r="B2254" s="2" t="str">
        <f>"BATATA"</f>
        <v>BATATA</v>
      </c>
      <c r="C2254" s="2" t="str">
        <f t="shared" si="86"/>
        <v>UN</v>
      </c>
      <c r="D2254" s="7">
        <v>401</v>
      </c>
      <c r="E2254" s="3">
        <v>4</v>
      </c>
      <c r="F2254" s="3">
        <v>4</v>
      </c>
      <c r="G2254" t="s">
        <v>512</v>
      </c>
    </row>
    <row r="2255" spans="1:7" x14ac:dyDescent="0.25">
      <c r="A2255" s="1" t="str">
        <f>"510866"</f>
        <v>510866</v>
      </c>
      <c r="B2255" s="2" t="str">
        <f>"BATATA PALHA"</f>
        <v>BATATA PALHA</v>
      </c>
      <c r="C2255" s="2" t="str">
        <f t="shared" si="86"/>
        <v>UN</v>
      </c>
      <c r="D2255" s="7">
        <v>401</v>
      </c>
      <c r="E2255" s="3">
        <v>4</v>
      </c>
      <c r="F2255" s="3">
        <v>4</v>
      </c>
      <c r="G2255" t="s">
        <v>513</v>
      </c>
    </row>
    <row r="2256" spans="1:7" x14ac:dyDescent="0.25">
      <c r="A2256" s="1" t="str">
        <f>"515704"</f>
        <v>515704</v>
      </c>
      <c r="B2256" s="2" t="str">
        <f>"BATATA PRINGLES"</f>
        <v>BATATA PRINGLES</v>
      </c>
      <c r="C2256" s="2" t="str">
        <f t="shared" si="86"/>
        <v>UN</v>
      </c>
      <c r="D2256" s="7">
        <v>401</v>
      </c>
      <c r="E2256" s="3">
        <v>4</v>
      </c>
      <c r="F2256" s="3">
        <v>4</v>
      </c>
      <c r="G2256" t="s">
        <v>514</v>
      </c>
    </row>
    <row r="2257" spans="1:7" x14ac:dyDescent="0.25">
      <c r="A2257" s="1" t="str">
        <f>"514709"</f>
        <v>514709</v>
      </c>
      <c r="B2257" s="2" t="str">
        <f>"BATEDEIRA BRITANIA"</f>
        <v>BATEDEIRA BRITANIA</v>
      </c>
      <c r="C2257" s="2" t="str">
        <f t="shared" si="86"/>
        <v>UN</v>
      </c>
      <c r="D2257" s="7">
        <v>401</v>
      </c>
      <c r="E2257" s="3">
        <v>4</v>
      </c>
      <c r="F2257" s="3">
        <v>4</v>
      </c>
      <c r="G2257" t="s">
        <v>514</v>
      </c>
    </row>
    <row r="2258" spans="1:7" x14ac:dyDescent="0.25">
      <c r="A2258" s="1" t="str">
        <f>"504961"</f>
        <v>504961</v>
      </c>
      <c r="B2258" s="2" t="str">
        <f>"BATEDOR DE BORRACHA"</f>
        <v>BATEDOR DE BORRACHA</v>
      </c>
      <c r="C2258" s="2" t="str">
        <f t="shared" si="86"/>
        <v>UN</v>
      </c>
      <c r="D2258" s="7">
        <v>704</v>
      </c>
      <c r="E2258" s="3">
        <v>9</v>
      </c>
      <c r="F2258" s="3">
        <v>9</v>
      </c>
      <c r="G2258" t="s">
        <v>512</v>
      </c>
    </row>
    <row r="2259" spans="1:7" x14ac:dyDescent="0.25">
      <c r="A2259" s="1" t="str">
        <f>"509740"</f>
        <v>509740</v>
      </c>
      <c r="B2259" s="2" t="str">
        <f>"BATENTE 45 # 16"</f>
        <v>BATENTE 45 # 16</v>
      </c>
      <c r="C2259" s="2" t="str">
        <f t="shared" si="86"/>
        <v>UN</v>
      </c>
      <c r="D2259" s="7">
        <v>917</v>
      </c>
      <c r="E2259" s="3">
        <v>11</v>
      </c>
      <c r="F2259" s="3">
        <v>11</v>
      </c>
      <c r="G2259" t="s">
        <v>513</v>
      </c>
    </row>
    <row r="2260" spans="1:7" x14ac:dyDescent="0.25">
      <c r="A2260" s="1" t="str">
        <f>"523160"</f>
        <v>523160</v>
      </c>
      <c r="B2260" s="2" t="str">
        <f>"BATENTE 45 # 16"</f>
        <v>BATENTE 45 # 16</v>
      </c>
      <c r="C2260" s="2" t="str">
        <f t="shared" si="86"/>
        <v>UN</v>
      </c>
      <c r="D2260" s="7">
        <v>917</v>
      </c>
      <c r="E2260" s="3">
        <v>11</v>
      </c>
      <c r="F2260" s="3">
        <v>11</v>
      </c>
      <c r="G2260" t="s">
        <v>514</v>
      </c>
    </row>
    <row r="2261" spans="1:7" x14ac:dyDescent="0.25">
      <c r="A2261" s="1" t="str">
        <f>"527134"</f>
        <v>527134</v>
      </c>
      <c r="B2261" s="2" t="str">
        <f>"BATENTE BORRACHA"</f>
        <v>BATENTE BORRACHA</v>
      </c>
      <c r="C2261" s="2" t="str">
        <f t="shared" si="86"/>
        <v>UN</v>
      </c>
      <c r="D2261" s="7">
        <v>917</v>
      </c>
      <c r="E2261" s="3">
        <v>11</v>
      </c>
      <c r="F2261" s="3">
        <v>11</v>
      </c>
      <c r="G2261" t="s">
        <v>514</v>
      </c>
    </row>
    <row r="2262" spans="1:7" x14ac:dyDescent="0.25">
      <c r="A2262" s="1" t="str">
        <f>"525196"</f>
        <v>525196</v>
      </c>
      <c r="B2262" s="2" t="str">
        <f>"BATENTE CORTA FOGO DP VRM SEGURANÇA"</f>
        <v>BATENTE CORTA FOGO DP VRM SEGURANÇA</v>
      </c>
      <c r="C2262" s="2" t="str">
        <f t="shared" si="86"/>
        <v>UN</v>
      </c>
      <c r="D2262" s="7">
        <v>917</v>
      </c>
      <c r="E2262" s="3">
        <v>10</v>
      </c>
      <c r="F2262" s="3">
        <v>10</v>
      </c>
      <c r="G2262" t="s">
        <v>514</v>
      </c>
    </row>
    <row r="2263" spans="1:7" x14ac:dyDescent="0.25">
      <c r="A2263" s="1" t="str">
        <f>"525190"</f>
        <v>525190</v>
      </c>
      <c r="B2263" s="2" t="str">
        <f>"BATENTE CORTA FOGO SP VRM SEGURANÇA"</f>
        <v>BATENTE CORTA FOGO SP VRM SEGURANÇA</v>
      </c>
      <c r="C2263" s="2" t="str">
        <f t="shared" si="86"/>
        <v>UN</v>
      </c>
      <c r="D2263" s="7">
        <v>917</v>
      </c>
      <c r="E2263" s="3">
        <v>10</v>
      </c>
      <c r="F2263" s="3">
        <v>10</v>
      </c>
      <c r="G2263" t="s">
        <v>513</v>
      </c>
    </row>
    <row r="2264" spans="1:7" x14ac:dyDescent="0.25">
      <c r="A2264" s="1" t="str">
        <f>"515389"</f>
        <v>515389</v>
      </c>
      <c r="B2264" s="2" t="str">
        <f>"BATENTE DA COLUNA"</f>
        <v>BATENTE DA COLUNA</v>
      </c>
      <c r="C2264" s="2" t="str">
        <f t="shared" si="86"/>
        <v>UN</v>
      </c>
      <c r="D2264" s="7">
        <v>704</v>
      </c>
      <c r="E2264" s="3">
        <v>9</v>
      </c>
      <c r="F2264" s="3">
        <v>9</v>
      </c>
      <c r="G2264" t="s">
        <v>512</v>
      </c>
    </row>
    <row r="2265" spans="1:7" x14ac:dyDescent="0.25">
      <c r="A2265" s="1" t="str">
        <f>"503525"</f>
        <v>503525</v>
      </c>
      <c r="B2265" s="2" t="str">
        <f>"BATENTE DE 70 CM CAIXA 19 PEROBA AMARELA"</f>
        <v>BATENTE DE 70 CM CAIXA 19 PEROBA AMARELA</v>
      </c>
      <c r="C2265" s="2" t="str">
        <f t="shared" si="86"/>
        <v>UN</v>
      </c>
      <c r="D2265" s="7">
        <v>403</v>
      </c>
      <c r="E2265" s="3">
        <v>4</v>
      </c>
      <c r="F2265" s="3">
        <v>4</v>
      </c>
      <c r="G2265" t="s">
        <v>513</v>
      </c>
    </row>
    <row r="2266" spans="1:7" x14ac:dyDescent="0.25">
      <c r="A2266" s="1" t="str">
        <f>"503526"</f>
        <v>503526</v>
      </c>
      <c r="B2266" s="2" t="str">
        <f>"BATENTE DE 80 CM CAIXA 18 PEROBA AMARELA"</f>
        <v>BATENTE DE 80 CM CAIXA 18 PEROBA AMARELA</v>
      </c>
      <c r="C2266" s="2" t="str">
        <f t="shared" si="86"/>
        <v>UN</v>
      </c>
      <c r="D2266" s="7">
        <v>403</v>
      </c>
      <c r="E2266" s="3">
        <v>4</v>
      </c>
      <c r="F2266" s="3">
        <v>4</v>
      </c>
      <c r="G2266" t="s">
        <v>514</v>
      </c>
    </row>
    <row r="2267" spans="1:7" x14ac:dyDescent="0.25">
      <c r="A2267" s="1" t="str">
        <f>"503527"</f>
        <v>503527</v>
      </c>
      <c r="B2267" s="2" t="str">
        <f>"BATENTE DE 80 CM CAIXA 19 PEROBA AMARELA"</f>
        <v>BATENTE DE 80 CM CAIXA 19 PEROBA AMARELA</v>
      </c>
      <c r="C2267" s="2" t="str">
        <f t="shared" si="86"/>
        <v>UN</v>
      </c>
      <c r="D2267" s="7">
        <v>403</v>
      </c>
      <c r="E2267" s="3">
        <v>4</v>
      </c>
      <c r="F2267" s="3">
        <v>4</v>
      </c>
      <c r="G2267" t="s">
        <v>514</v>
      </c>
    </row>
    <row r="2268" spans="1:7" x14ac:dyDescent="0.25">
      <c r="A2268" s="1" t="str">
        <f>"503528"</f>
        <v>503528</v>
      </c>
      <c r="B2268" s="2" t="str">
        <f>"BATENTE DE 80 CM CAIXA 20 PEROBA AMARELA"</f>
        <v>BATENTE DE 80 CM CAIXA 20 PEROBA AMARELA</v>
      </c>
      <c r="C2268" s="2" t="str">
        <f t="shared" si="86"/>
        <v>UN</v>
      </c>
      <c r="D2268" s="7">
        <v>403</v>
      </c>
      <c r="E2268" s="3">
        <v>4</v>
      </c>
      <c r="F2268" s="3">
        <v>4</v>
      </c>
      <c r="G2268" t="s">
        <v>514</v>
      </c>
    </row>
    <row r="2269" spans="1:7" x14ac:dyDescent="0.25">
      <c r="A2269" s="1" t="str">
        <f>"527549"</f>
        <v>527549</v>
      </c>
      <c r="B2269" s="2" t="str">
        <f>"BATENTE DE BORRACHA PARA DOCA 40 X 8 X 6,5 COM 2 FUROS"</f>
        <v>BATENTE DE BORRACHA PARA DOCA 40 X 8 X 6,5 COM 2 FUROS</v>
      </c>
      <c r="C2269" s="2" t="str">
        <f t="shared" si="86"/>
        <v>UN</v>
      </c>
      <c r="D2269" s="7">
        <v>917</v>
      </c>
      <c r="E2269" s="3">
        <v>10</v>
      </c>
      <c r="F2269" s="3">
        <v>10</v>
      </c>
      <c r="G2269" t="s">
        <v>513</v>
      </c>
    </row>
    <row r="2270" spans="1:7" x14ac:dyDescent="0.25">
      <c r="A2270" s="1" t="str">
        <f>"505021"</f>
        <v>505021</v>
      </c>
      <c r="B2270" s="2" t="str">
        <f>"BATENTE DE BORRACHAS C/PARAFUSO DA CUBA"</f>
        <v>BATENTE DE BORRACHAS C/PARAFUSO DA CUBA</v>
      </c>
      <c r="C2270" s="2" t="str">
        <f t="shared" si="86"/>
        <v>UN</v>
      </c>
      <c r="D2270" s="7">
        <v>918</v>
      </c>
      <c r="E2270" s="3">
        <v>11</v>
      </c>
      <c r="F2270" s="3">
        <v>11</v>
      </c>
      <c r="G2270" t="s">
        <v>513</v>
      </c>
    </row>
    <row r="2271" spans="1:7" x14ac:dyDescent="0.25">
      <c r="A2271" s="1" t="str">
        <f>"502649"</f>
        <v>502649</v>
      </c>
      <c r="B2271" s="2" t="str">
        <f>"BATENTE FERRO Nº41"</f>
        <v>BATENTE FERRO Nº41</v>
      </c>
      <c r="C2271" s="2" t="str">
        <f t="shared" si="86"/>
        <v>UN</v>
      </c>
      <c r="D2271" s="7">
        <v>402</v>
      </c>
      <c r="E2271" s="3">
        <v>4</v>
      </c>
      <c r="F2271" s="3">
        <v>4</v>
      </c>
      <c r="G2271" t="s">
        <v>513</v>
      </c>
    </row>
    <row r="2272" spans="1:7" x14ac:dyDescent="0.25">
      <c r="A2272" s="1" t="str">
        <f>"521861"</f>
        <v>521861</v>
      </c>
      <c r="B2272" s="2" t="str">
        <f>"BATENTE MOLEJO"</f>
        <v>BATENTE MOLEJO</v>
      </c>
      <c r="C2272" s="2" t="str">
        <f t="shared" si="86"/>
        <v>UN</v>
      </c>
      <c r="D2272" s="7">
        <v>704</v>
      </c>
      <c r="E2272" s="3">
        <v>9</v>
      </c>
      <c r="F2272" s="3">
        <v>9</v>
      </c>
      <c r="G2272" t="s">
        <v>512</v>
      </c>
    </row>
    <row r="2273" spans="1:7" x14ac:dyDescent="0.25">
      <c r="A2273" s="1" t="str">
        <f>"527193"</f>
        <v>527193</v>
      </c>
      <c r="B2273" s="2" t="str">
        <f>"BATENTE PORTA MALA GOL 20655"</f>
        <v>BATENTE PORTA MALA GOL 20655</v>
      </c>
      <c r="C2273" s="2" t="str">
        <f t="shared" si="86"/>
        <v>UN</v>
      </c>
      <c r="D2273" s="7">
        <v>918</v>
      </c>
      <c r="E2273" s="3">
        <v>11</v>
      </c>
      <c r="F2273" s="3">
        <v>11</v>
      </c>
      <c r="G2273" t="s">
        <v>513</v>
      </c>
    </row>
    <row r="2274" spans="1:7" x14ac:dyDescent="0.25">
      <c r="A2274" s="1" t="str">
        <f>"512075"</f>
        <v>512075</v>
      </c>
      <c r="B2274" s="2" t="str">
        <f>"BATENTE PORTAO"</f>
        <v>BATENTE PORTAO</v>
      </c>
      <c r="C2274" s="2" t="str">
        <f t="shared" si="86"/>
        <v>UN</v>
      </c>
      <c r="D2274" s="7">
        <v>803</v>
      </c>
      <c r="E2274" s="3">
        <v>10</v>
      </c>
      <c r="F2274" s="3">
        <v>10</v>
      </c>
      <c r="G2274" t="s">
        <v>514</v>
      </c>
    </row>
    <row r="2275" spans="1:7" x14ac:dyDescent="0.25">
      <c r="A2275" s="1" t="str">
        <f>"523161"</f>
        <v>523161</v>
      </c>
      <c r="B2275" s="2" t="str">
        <f>"BATENTE POSICIONADORA DE FRASCOS"</f>
        <v>BATENTE POSICIONADORA DE FRASCOS</v>
      </c>
      <c r="C2275" s="2" t="str">
        <f t="shared" si="86"/>
        <v>UN</v>
      </c>
      <c r="D2275" s="7">
        <v>917</v>
      </c>
      <c r="E2275" s="3">
        <v>11</v>
      </c>
      <c r="F2275" s="3">
        <v>11</v>
      </c>
      <c r="G2275" t="s">
        <v>515</v>
      </c>
    </row>
    <row r="2276" spans="1:7" x14ac:dyDescent="0.25">
      <c r="A2276" s="1" t="str">
        <f>"524315"</f>
        <v>524315</v>
      </c>
      <c r="B2276" s="2" t="str">
        <f>"BATENTE SP CADEIRINHA 890X2100X50MM GALVANIZADO"</f>
        <v>BATENTE SP CADEIRINHA 890X2100X50MM GALVANIZADO</v>
      </c>
      <c r="C2276" s="2" t="str">
        <f t="shared" si="86"/>
        <v>UN</v>
      </c>
      <c r="D2276" s="7">
        <v>917</v>
      </c>
      <c r="E2276" s="3">
        <v>10</v>
      </c>
      <c r="F2276" s="3">
        <v>10</v>
      </c>
      <c r="G2276" t="s">
        <v>512</v>
      </c>
    </row>
    <row r="2277" spans="1:7" x14ac:dyDescent="0.25">
      <c r="A2277" s="1" t="str">
        <f>"526101"</f>
        <v>526101</v>
      </c>
      <c r="B2277" s="2" t="str">
        <f>"BATENTE TERMOPLÁSTICO"</f>
        <v>BATENTE TERMOPLÁSTICO</v>
      </c>
      <c r="C2277" s="2" t="str">
        <f t="shared" si="86"/>
        <v>UN</v>
      </c>
      <c r="D2277" s="7">
        <v>704</v>
      </c>
      <c r="E2277" s="3">
        <v>9</v>
      </c>
      <c r="F2277" s="3">
        <v>9</v>
      </c>
      <c r="G2277" t="s">
        <v>516</v>
      </c>
    </row>
    <row r="2278" spans="1:7" x14ac:dyDescent="0.25">
      <c r="A2278" s="1" t="str">
        <f>"522188"</f>
        <v>522188</v>
      </c>
      <c r="B2278" s="2" t="str">
        <f>"BATERIA"</f>
        <v>BATERIA</v>
      </c>
      <c r="C2278" s="2" t="str">
        <f t="shared" si="86"/>
        <v>UN</v>
      </c>
      <c r="D2278" s="7">
        <v>704</v>
      </c>
      <c r="E2278" s="3">
        <v>16</v>
      </c>
      <c r="F2278" s="3">
        <v>16</v>
      </c>
      <c r="G2278" t="s">
        <v>515</v>
      </c>
    </row>
    <row r="2279" spans="1:7" x14ac:dyDescent="0.25">
      <c r="A2279" s="1" t="str">
        <f>"525613"</f>
        <v>525613</v>
      </c>
      <c r="B2279" s="2" t="str">
        <f>"BATERIA"</f>
        <v>BATERIA</v>
      </c>
      <c r="C2279" s="2" t="str">
        <f t="shared" si="86"/>
        <v>UN</v>
      </c>
      <c r="D2279" s="7">
        <v>704</v>
      </c>
      <c r="E2279" s="3">
        <v>4</v>
      </c>
      <c r="F2279" s="3">
        <v>4</v>
      </c>
      <c r="G2279" t="s">
        <v>514</v>
      </c>
    </row>
    <row r="2280" spans="1:7" x14ac:dyDescent="0.25">
      <c r="A2280" s="1" t="str">
        <f>"527269"</f>
        <v>527269</v>
      </c>
      <c r="B2280" s="2" t="str">
        <f>"BATERIA  HAWKER MODELO40/690 TENSÃO48 CONECTO NT350 690AH"</f>
        <v>BATERIA  HAWKER MODELO40/690 TENSÃO48 CONECTO NT350 690AH</v>
      </c>
      <c r="C2280" s="2" t="str">
        <f t="shared" si="86"/>
        <v>UN</v>
      </c>
      <c r="D2280" s="7">
        <v>900</v>
      </c>
      <c r="E2280" s="3">
        <v>11</v>
      </c>
      <c r="F2280" s="3">
        <v>11</v>
      </c>
      <c r="G2280" t="s">
        <v>512</v>
      </c>
    </row>
    <row r="2281" spans="1:7" x14ac:dyDescent="0.25">
      <c r="A2281" s="1" t="str">
        <f>"513988"</f>
        <v>513988</v>
      </c>
      <c r="B2281" s="2" t="str">
        <f>"BATERIA 100AH"</f>
        <v>BATERIA 100AH</v>
      </c>
      <c r="C2281" s="2" t="str">
        <f t="shared" si="86"/>
        <v>UN</v>
      </c>
      <c r="D2281" s="7">
        <v>704</v>
      </c>
      <c r="E2281" s="3">
        <v>9</v>
      </c>
      <c r="F2281" s="3">
        <v>9</v>
      </c>
      <c r="G2281" t="s">
        <v>513</v>
      </c>
    </row>
    <row r="2282" spans="1:7" x14ac:dyDescent="0.25">
      <c r="A2282" s="1" t="str">
        <f>"509275"</f>
        <v>509275</v>
      </c>
      <c r="B2282" s="2" t="str">
        <f>"BATERIA 12V - 7 AMPERES"</f>
        <v>BATERIA 12V - 7 AMPERES</v>
      </c>
      <c r="C2282" s="2" t="str">
        <f t="shared" si="86"/>
        <v>UN</v>
      </c>
      <c r="D2282" s="7">
        <v>402</v>
      </c>
      <c r="E2282" s="3">
        <v>4</v>
      </c>
      <c r="F2282" s="3">
        <v>4</v>
      </c>
      <c r="G2282" t="s">
        <v>514</v>
      </c>
    </row>
    <row r="2283" spans="1:7" x14ac:dyDescent="0.25">
      <c r="A2283" s="1" t="str">
        <f>"502693"</f>
        <v>502693</v>
      </c>
      <c r="B2283" s="2" t="str">
        <f>"BATERIA 24 V 648A/H EM 8 HORAS ATE 1,7"</f>
        <v>BATERIA 24 V 648A/H EM 8 HORAS ATE 1,7</v>
      </c>
      <c r="C2283" s="2" t="str">
        <f t="shared" si="86"/>
        <v>UN</v>
      </c>
      <c r="D2283" s="7">
        <v>900</v>
      </c>
      <c r="E2283" s="3">
        <v>11</v>
      </c>
      <c r="F2283" s="3">
        <v>11</v>
      </c>
      <c r="G2283" t="s">
        <v>514</v>
      </c>
    </row>
    <row r="2284" spans="1:7" x14ac:dyDescent="0.25">
      <c r="A2284" s="1" t="str">
        <f>"521467"</f>
        <v>521467</v>
      </c>
      <c r="B2284" s="2" t="str">
        <f>"BATERIA 24 VOLTS 260 AMP.  MOD. 4PZB 260 DIM. 645X245X524MM"</f>
        <v>BATERIA 24 VOLTS 260 AMP.  MOD. 4PZB 260 DIM. 645X245X524MM</v>
      </c>
      <c r="C2284" s="2" t="str">
        <f t="shared" si="86"/>
        <v>UN</v>
      </c>
      <c r="D2284" s="7">
        <v>900</v>
      </c>
      <c r="E2284" s="3">
        <v>11</v>
      </c>
      <c r="F2284" s="3">
        <v>11</v>
      </c>
      <c r="G2284" t="s">
        <v>512</v>
      </c>
    </row>
    <row r="2285" spans="1:7" x14ac:dyDescent="0.25">
      <c r="A2285" s="1" t="str">
        <f>"517849"</f>
        <v>517849</v>
      </c>
      <c r="B2285" s="2" t="str">
        <f>"BATERIA 24 VOLTS 600 AMP.  MOD. 6PZS 540 DIM. 1000X330X560MM"</f>
        <v>BATERIA 24 VOLTS 600 AMP.  MOD. 6PZS 540 DIM. 1000X330X560MM</v>
      </c>
      <c r="C2285" s="2" t="str">
        <f t="shared" si="86"/>
        <v>UN</v>
      </c>
      <c r="D2285" s="7">
        <v>900</v>
      </c>
      <c r="E2285" s="3">
        <v>11</v>
      </c>
      <c r="F2285" s="3">
        <v>11</v>
      </c>
      <c r="G2285" t="s">
        <v>513</v>
      </c>
    </row>
    <row r="2286" spans="1:7" x14ac:dyDescent="0.25">
      <c r="A2286" s="1" t="str">
        <f>"527124"</f>
        <v>527124</v>
      </c>
      <c r="B2286" s="2" t="str">
        <f>"BATERIA 24/354"</f>
        <v>BATERIA 24/354</v>
      </c>
      <c r="C2286" s="2" t="str">
        <f t="shared" si="86"/>
        <v>UN</v>
      </c>
      <c r="D2286" s="7">
        <v>1300</v>
      </c>
      <c r="E2286" s="3">
        <v>13</v>
      </c>
      <c r="F2286" s="3">
        <v>13</v>
      </c>
      <c r="G2286" t="s">
        <v>514</v>
      </c>
    </row>
    <row r="2287" spans="1:7" x14ac:dyDescent="0.25">
      <c r="A2287" s="1" t="str">
        <f>"515722"</f>
        <v>515722</v>
      </c>
      <c r="B2287" s="2" t="str">
        <f>"BATERIA 24V 648A/H EM 8 HORAS ATE 1,7"</f>
        <v>BATERIA 24V 648A/H EM 8 HORAS ATE 1,7</v>
      </c>
      <c r="C2287" s="2" t="str">
        <f>"KG"</f>
        <v>KG</v>
      </c>
      <c r="D2287" s="7">
        <v>900</v>
      </c>
      <c r="E2287" s="3">
        <v>11</v>
      </c>
      <c r="F2287" s="3">
        <v>11</v>
      </c>
      <c r="G2287" t="s">
        <v>514</v>
      </c>
    </row>
    <row r="2288" spans="1:7" x14ac:dyDescent="0.25">
      <c r="A2288" s="1" t="str">
        <f>"521615"</f>
        <v>521615</v>
      </c>
      <c r="B2288" s="2" t="str">
        <f>"BATERIA 45 AMPERES"</f>
        <v>BATERIA 45 AMPERES</v>
      </c>
      <c r="C2288" s="2" t="str">
        <f t="shared" ref="C2288:C2319" si="87">"UN"</f>
        <v>UN</v>
      </c>
      <c r="D2288" s="7">
        <v>704</v>
      </c>
      <c r="E2288" s="3">
        <v>9</v>
      </c>
      <c r="F2288" s="3">
        <v>9</v>
      </c>
      <c r="G2288" t="s">
        <v>514</v>
      </c>
    </row>
    <row r="2289" spans="1:7" x14ac:dyDescent="0.25">
      <c r="A2289" s="1" t="str">
        <f>"521466"</f>
        <v>521466</v>
      </c>
      <c r="B2289" s="2" t="str">
        <f>"BATERIA 48 VOLTS 840 AMP.  MOD. 5PZS 775 DIM. 1212X419X784M"</f>
        <v>BATERIA 48 VOLTS 840 AMP.  MOD. 5PZS 775 DIM. 1212X419X784M</v>
      </c>
      <c r="C2289" s="2" t="str">
        <f t="shared" si="87"/>
        <v>UN</v>
      </c>
      <c r="D2289" s="7">
        <v>900</v>
      </c>
      <c r="E2289" s="3">
        <v>11</v>
      </c>
      <c r="F2289" s="3">
        <v>11</v>
      </c>
      <c r="G2289" t="s">
        <v>513</v>
      </c>
    </row>
    <row r="2290" spans="1:7" x14ac:dyDescent="0.25">
      <c r="A2290" s="1" t="str">
        <f>"527632"</f>
        <v>527632</v>
      </c>
      <c r="B2290" s="2" t="str">
        <f>"BATERIA 48/800"</f>
        <v>BATERIA 48/800</v>
      </c>
      <c r="C2290" s="2" t="str">
        <f t="shared" si="87"/>
        <v>UN</v>
      </c>
      <c r="D2290" s="7">
        <v>99999</v>
      </c>
      <c r="E2290" s="3">
        <v>99</v>
      </c>
      <c r="F2290" s="3">
        <v>99</v>
      </c>
      <c r="G2290" t="s">
        <v>512</v>
      </c>
    </row>
    <row r="2291" spans="1:7" x14ac:dyDescent="0.25">
      <c r="A2291" s="1" t="str">
        <f>"519139"</f>
        <v>519139</v>
      </c>
      <c r="B2291" s="2" t="str">
        <f>"BATERIA 60 AMPERES"</f>
        <v>BATERIA 60 AMPERES</v>
      </c>
      <c r="C2291" s="2" t="str">
        <f t="shared" si="87"/>
        <v>UN</v>
      </c>
      <c r="D2291" s="7">
        <v>704</v>
      </c>
      <c r="E2291" s="3">
        <v>9</v>
      </c>
      <c r="F2291" s="3">
        <v>9</v>
      </c>
      <c r="G2291" t="s">
        <v>513</v>
      </c>
    </row>
    <row r="2292" spans="1:7" x14ac:dyDescent="0.25">
      <c r="A2292" s="1" t="str">
        <f>"503399"</f>
        <v>503399</v>
      </c>
      <c r="B2292" s="2" t="str">
        <f>"BATERIA 75 AMPERES MARCA MOURA"</f>
        <v>BATERIA 75 AMPERES MARCA MOURA</v>
      </c>
      <c r="C2292" s="2" t="str">
        <f t="shared" si="87"/>
        <v>UN</v>
      </c>
      <c r="D2292" s="7">
        <v>704</v>
      </c>
      <c r="E2292" s="3">
        <v>9</v>
      </c>
      <c r="F2292" s="3">
        <v>9</v>
      </c>
      <c r="G2292" t="s">
        <v>514</v>
      </c>
    </row>
    <row r="2293" spans="1:7" x14ac:dyDescent="0.25">
      <c r="A2293" s="1" t="str">
        <f>"519762"</f>
        <v>519762</v>
      </c>
      <c r="B2293" s="2" t="str">
        <f>"BATERIA 80 AMPERES MARCA MOURA"</f>
        <v>BATERIA 80 AMPERES MARCA MOURA</v>
      </c>
      <c r="C2293" s="2" t="str">
        <f t="shared" si="87"/>
        <v>UN</v>
      </c>
      <c r="D2293" s="7">
        <v>704</v>
      </c>
      <c r="E2293" s="3">
        <v>9</v>
      </c>
      <c r="F2293" s="3">
        <v>9</v>
      </c>
      <c r="G2293" t="s">
        <v>514</v>
      </c>
    </row>
    <row r="2294" spans="1:7" x14ac:dyDescent="0.25">
      <c r="A2294" s="1" t="str">
        <f>"512804"</f>
        <v>512804</v>
      </c>
      <c r="B2294" s="2" t="str">
        <f>"BATERIA 95 AMPERES MARCA MOURA"</f>
        <v>BATERIA 95 AMPERES MARCA MOURA</v>
      </c>
      <c r="C2294" s="2" t="str">
        <f t="shared" si="87"/>
        <v>UN</v>
      </c>
      <c r="D2294" s="7">
        <v>704</v>
      </c>
      <c r="E2294" s="3">
        <v>9</v>
      </c>
      <c r="F2294" s="3">
        <v>9</v>
      </c>
      <c r="G2294" t="s">
        <v>514</v>
      </c>
    </row>
    <row r="2295" spans="1:7" x14ac:dyDescent="0.25">
      <c r="A2295" s="1" t="str">
        <f>"500694"</f>
        <v>500694</v>
      </c>
      <c r="B2295" s="2" t="str">
        <f>"BATERIA 9V - ALCALINA"</f>
        <v>BATERIA 9V - ALCALINA</v>
      </c>
      <c r="C2295" s="2" t="str">
        <f t="shared" si="87"/>
        <v>UN</v>
      </c>
      <c r="D2295" s="7">
        <v>99999</v>
      </c>
      <c r="E2295" s="3">
        <v>99</v>
      </c>
      <c r="F2295" s="3">
        <v>99</v>
      </c>
      <c r="G2295" t="s">
        <v>513</v>
      </c>
    </row>
    <row r="2296" spans="1:7" x14ac:dyDescent="0.25">
      <c r="A2296" s="1" t="str">
        <f>"519287"</f>
        <v>519287</v>
      </c>
      <c r="B2296" s="2" t="str">
        <f>"BATERIA ALTA CAPACIDADE 3300MAH"</f>
        <v>BATERIA ALTA CAPACIDADE 3300MAH</v>
      </c>
      <c r="C2296" s="2" t="str">
        <f t="shared" si="87"/>
        <v>UN</v>
      </c>
      <c r="D2296" s="7">
        <v>811</v>
      </c>
      <c r="E2296" s="3">
        <v>8</v>
      </c>
      <c r="F2296" s="3">
        <v>8</v>
      </c>
      <c r="G2296" t="s">
        <v>513</v>
      </c>
    </row>
    <row r="2297" spans="1:7" x14ac:dyDescent="0.25">
      <c r="A2297" s="1" t="str">
        <f>"506443"</f>
        <v>506443</v>
      </c>
      <c r="B2297" s="2" t="str">
        <f>"BATERIA BOSCH 100A S5XE"</f>
        <v>BATERIA BOSCH 100A S5XE</v>
      </c>
      <c r="C2297" s="2" t="str">
        <f t="shared" si="87"/>
        <v>UN</v>
      </c>
      <c r="D2297" s="7">
        <v>900</v>
      </c>
      <c r="E2297" s="3">
        <v>11</v>
      </c>
      <c r="F2297" s="3">
        <v>11</v>
      </c>
      <c r="G2297" t="s">
        <v>513</v>
      </c>
    </row>
    <row r="2298" spans="1:7" x14ac:dyDescent="0.25">
      <c r="A2298" s="1" t="str">
        <f>"521305"</f>
        <v>521305</v>
      </c>
      <c r="B2298" s="2" t="str">
        <f>"BATERIA CHARGER FOR SAS SUPER ISO PBIB89130"</f>
        <v>BATERIA CHARGER FOR SAS SUPER ISO PBIB89130</v>
      </c>
      <c r="C2298" s="2" t="str">
        <f t="shared" si="87"/>
        <v>UN</v>
      </c>
      <c r="D2298" s="7">
        <v>1300</v>
      </c>
      <c r="E2298" s="3">
        <v>13</v>
      </c>
      <c r="F2298" s="3">
        <v>13</v>
      </c>
      <c r="G2298" t="s">
        <v>512</v>
      </c>
    </row>
    <row r="2299" spans="1:7" x14ac:dyDescent="0.25">
      <c r="A2299" s="1" t="str">
        <f>"518063"</f>
        <v>518063</v>
      </c>
      <c r="B2299" s="2" t="str">
        <f>"BATERIA CR 2032 MAXELL"</f>
        <v>BATERIA CR 2032 MAXELL</v>
      </c>
      <c r="C2299" s="2" t="str">
        <f t="shared" si="87"/>
        <v>UN</v>
      </c>
      <c r="D2299" s="7">
        <v>811</v>
      </c>
      <c r="E2299" s="3">
        <v>8</v>
      </c>
      <c r="F2299" s="3">
        <v>8</v>
      </c>
      <c r="G2299" t="s">
        <v>513</v>
      </c>
    </row>
    <row r="2300" spans="1:7" x14ac:dyDescent="0.25">
      <c r="A2300" s="1" t="str">
        <f>"527104"</f>
        <v>527104</v>
      </c>
      <c r="B2300" s="2" t="str">
        <f>"BATERIA ESTACIONARIA 50AH 12V"</f>
        <v>BATERIA ESTACIONARIA 50AH 12V</v>
      </c>
      <c r="C2300" s="2" t="str">
        <f t="shared" si="87"/>
        <v>UN</v>
      </c>
      <c r="D2300" s="7">
        <v>1300</v>
      </c>
      <c r="E2300" s="3">
        <v>13</v>
      </c>
      <c r="F2300" s="3">
        <v>13</v>
      </c>
      <c r="G2300" t="s">
        <v>514</v>
      </c>
    </row>
    <row r="2301" spans="1:7" x14ac:dyDescent="0.25">
      <c r="A2301" s="1" t="str">
        <f>"509612"</f>
        <v>509612</v>
      </c>
      <c r="B2301" s="2" t="str">
        <f>"BATERIA EVEREADY 6 VOLTS FAROLETE"</f>
        <v>BATERIA EVEREADY 6 VOLTS FAROLETE</v>
      </c>
      <c r="C2301" s="2" t="str">
        <f t="shared" si="87"/>
        <v>UN</v>
      </c>
      <c r="D2301" s="7">
        <v>601</v>
      </c>
      <c r="E2301" s="3">
        <v>8</v>
      </c>
      <c r="F2301" s="3">
        <v>8</v>
      </c>
      <c r="G2301" t="s">
        <v>515</v>
      </c>
    </row>
    <row r="2302" spans="1:7" x14ac:dyDescent="0.25">
      <c r="A2302" s="1" t="str">
        <f>"527123"</f>
        <v>527123</v>
      </c>
      <c r="B2302" s="2" t="str">
        <f>"BATERIA FULGURIS 24/324"</f>
        <v>BATERIA FULGURIS 24/324</v>
      </c>
      <c r="C2302" s="2" t="str">
        <f t="shared" si="87"/>
        <v>UN</v>
      </c>
      <c r="D2302" s="7">
        <v>1300</v>
      </c>
      <c r="E2302" s="3">
        <v>13</v>
      </c>
      <c r="F2302" s="3">
        <v>13</v>
      </c>
      <c r="G2302" t="s">
        <v>512</v>
      </c>
    </row>
    <row r="2303" spans="1:7" x14ac:dyDescent="0.25">
      <c r="A2303" s="1" t="str">
        <f>"518404"</f>
        <v>518404</v>
      </c>
      <c r="B2303" s="2" t="str">
        <f>"BATERIA HP DV4 DV5 DV6 COMPAQ. CQ40 CQ50 CQ60 G60 4910MAH"</f>
        <v>BATERIA HP DV4 DV5 DV6 COMPAQ. CQ40 CQ50 CQ60 G60 4910MAH</v>
      </c>
      <c r="C2303" s="2" t="str">
        <f t="shared" si="87"/>
        <v>UN</v>
      </c>
      <c r="D2303" s="7">
        <v>811</v>
      </c>
      <c r="E2303" s="3">
        <v>8</v>
      </c>
      <c r="F2303" s="3">
        <v>8</v>
      </c>
      <c r="G2303" t="s">
        <v>516</v>
      </c>
    </row>
    <row r="2304" spans="1:7" x14ac:dyDescent="0.25">
      <c r="A2304" s="1" t="str">
        <f>"518126"</f>
        <v>518126</v>
      </c>
      <c r="B2304" s="2" t="str">
        <f>"BATERIA HP G42 CQ42 SERIE 4400MAH"</f>
        <v>BATERIA HP G42 CQ42 SERIE 4400MAH</v>
      </c>
      <c r="C2304" s="2" t="str">
        <f t="shared" si="87"/>
        <v>UN</v>
      </c>
      <c r="D2304" s="7">
        <v>811</v>
      </c>
      <c r="E2304" s="3">
        <v>8</v>
      </c>
      <c r="F2304" s="3">
        <v>8</v>
      </c>
      <c r="G2304" t="s">
        <v>515</v>
      </c>
    </row>
    <row r="2305" spans="1:7" x14ac:dyDescent="0.25">
      <c r="A2305" s="1" t="str">
        <f>"523764"</f>
        <v>523764</v>
      </c>
      <c r="B2305" s="2" t="str">
        <f>"BATERIA LITIO SPS 3C 48WHR 4 21AH LI CI 03048XL PR CIRCUS14"</f>
        <v>BATERIA LITIO SPS 3C 48WHR 4 21AH LI CI 03048XL PR CIRCUS14</v>
      </c>
      <c r="C2305" s="2" t="str">
        <f t="shared" si="87"/>
        <v>UN</v>
      </c>
      <c r="D2305" s="7">
        <v>99999</v>
      </c>
      <c r="E2305" s="3">
        <v>99</v>
      </c>
      <c r="F2305" s="3">
        <v>99</v>
      </c>
      <c r="G2305" t="s">
        <v>514</v>
      </c>
    </row>
    <row r="2306" spans="1:7" x14ac:dyDescent="0.25">
      <c r="A2306" s="1" t="str">
        <f>"502167"</f>
        <v>502167</v>
      </c>
      <c r="B2306" s="2" t="str">
        <f>"BATERIA MARCA AJAX DE 175 AMP.12 VOLTS"</f>
        <v>BATERIA MARCA AJAX DE 175 AMP.12 VOLTS</v>
      </c>
      <c r="C2306" s="2" t="str">
        <f t="shared" si="87"/>
        <v>UN</v>
      </c>
      <c r="D2306" s="7">
        <v>402</v>
      </c>
      <c r="E2306" s="3">
        <v>4</v>
      </c>
      <c r="F2306" s="3">
        <v>4</v>
      </c>
      <c r="G2306" t="s">
        <v>512</v>
      </c>
    </row>
    <row r="2307" spans="1:7" x14ac:dyDescent="0.25">
      <c r="A2307" s="1" t="str">
        <f>"502166"</f>
        <v>502166</v>
      </c>
      <c r="B2307" s="2" t="str">
        <f>"BATERIA MARCA MOTORALT 100 AMP. 12 VOLTS"</f>
        <v>BATERIA MARCA MOTORALT 100 AMP. 12 VOLTS</v>
      </c>
      <c r="C2307" s="2" t="str">
        <f t="shared" si="87"/>
        <v>UN</v>
      </c>
      <c r="D2307" s="7">
        <v>402</v>
      </c>
      <c r="E2307" s="3">
        <v>4</v>
      </c>
      <c r="F2307" s="3">
        <v>4</v>
      </c>
      <c r="G2307" t="s">
        <v>513</v>
      </c>
    </row>
    <row r="2308" spans="1:7" x14ac:dyDescent="0.25">
      <c r="A2308" s="1" t="str">
        <f>"502583"</f>
        <v>502583</v>
      </c>
      <c r="B2308" s="2" t="str">
        <f>"BATERIA MAX 24 AMPERES"</f>
        <v>BATERIA MAX 24 AMPERES</v>
      </c>
      <c r="C2308" s="2" t="str">
        <f t="shared" si="87"/>
        <v>UN</v>
      </c>
      <c r="D2308" s="7">
        <v>402</v>
      </c>
      <c r="E2308" s="3">
        <v>4</v>
      </c>
      <c r="F2308" s="3">
        <v>4</v>
      </c>
      <c r="G2308" t="s">
        <v>514</v>
      </c>
    </row>
    <row r="2309" spans="1:7" x14ac:dyDescent="0.25">
      <c r="A2309" s="1" t="str">
        <f>"517586"</f>
        <v>517586</v>
      </c>
      <c r="B2309" s="2" t="str">
        <f>"BATERIA MOD. 4PZ505560 48V 608A - EMPILHADEIRA STILL FMX-17"</f>
        <v>BATERIA MOD. 4PZ505560 48V 608A - EMPILHADEIRA STILL FMX-17</v>
      </c>
      <c r="C2309" s="2" t="str">
        <f t="shared" si="87"/>
        <v>UN</v>
      </c>
      <c r="D2309" s="7">
        <v>811</v>
      </c>
      <c r="E2309" s="3">
        <v>8</v>
      </c>
      <c r="F2309" s="3">
        <v>8</v>
      </c>
      <c r="G2309" t="s">
        <v>514</v>
      </c>
    </row>
    <row r="2310" spans="1:7" x14ac:dyDescent="0.25">
      <c r="A2310" s="1" t="str">
        <f>"518391"</f>
        <v>518391</v>
      </c>
      <c r="B2310" s="2" t="str">
        <f>"BATERIA MOURA 100A M100HE"</f>
        <v>BATERIA MOURA 100A M100HE</v>
      </c>
      <c r="C2310" s="2" t="str">
        <f t="shared" si="87"/>
        <v>UN</v>
      </c>
      <c r="D2310" s="7">
        <v>704</v>
      </c>
      <c r="E2310" s="3">
        <v>9</v>
      </c>
      <c r="F2310" s="3">
        <v>9</v>
      </c>
      <c r="G2310" t="s">
        <v>512</v>
      </c>
    </row>
    <row r="2311" spans="1:7" x14ac:dyDescent="0.25">
      <c r="A2311" s="1" t="str">
        <f>"518363"</f>
        <v>518363</v>
      </c>
      <c r="B2311" s="2" t="str">
        <f>"BATERIA MOURA 150A MP150BD"</f>
        <v>BATERIA MOURA 150A MP150BD</v>
      </c>
      <c r="C2311" s="2" t="str">
        <f t="shared" si="87"/>
        <v>UN</v>
      </c>
      <c r="D2311" s="7">
        <v>704</v>
      </c>
      <c r="E2311" s="3">
        <v>9</v>
      </c>
      <c r="F2311" s="3">
        <v>9</v>
      </c>
      <c r="G2311" t="s">
        <v>513</v>
      </c>
    </row>
    <row r="2312" spans="1:7" x14ac:dyDescent="0.25">
      <c r="A2312" s="1" t="str">
        <f>"515958"</f>
        <v>515958</v>
      </c>
      <c r="B2312" s="2" t="str">
        <f>"BATERIA MOURA 170A MP170BD"</f>
        <v>BATERIA MOURA 170A MP170BD</v>
      </c>
      <c r="C2312" s="2" t="str">
        <f t="shared" si="87"/>
        <v>UN</v>
      </c>
      <c r="D2312" s="7">
        <v>99999</v>
      </c>
      <c r="E2312" s="3">
        <v>99</v>
      </c>
      <c r="F2312" s="3">
        <v>99</v>
      </c>
      <c r="G2312" t="s">
        <v>514</v>
      </c>
    </row>
    <row r="2313" spans="1:7" x14ac:dyDescent="0.25">
      <c r="A2313" s="1" t="str">
        <f>"519398"</f>
        <v>519398</v>
      </c>
      <c r="B2313" s="2" t="str">
        <f>"BATERIA MOURA 180A 12V POLO INVERTIDO (MAN)"</f>
        <v>BATERIA MOURA 180A 12V POLO INVERTIDO (MAN)</v>
      </c>
      <c r="C2313" s="2" t="str">
        <f t="shared" si="87"/>
        <v>UN</v>
      </c>
      <c r="D2313" s="7">
        <v>704</v>
      </c>
      <c r="E2313" s="3">
        <v>9</v>
      </c>
      <c r="F2313" s="3">
        <v>9</v>
      </c>
      <c r="G2313" t="s">
        <v>514</v>
      </c>
    </row>
    <row r="2314" spans="1:7" x14ac:dyDescent="0.25">
      <c r="A2314" s="1" t="str">
        <f>"518543"</f>
        <v>518543</v>
      </c>
      <c r="B2314" s="2" t="str">
        <f>"BATERIA MOURA 180A MP180BD"</f>
        <v>BATERIA MOURA 180A MP180BD</v>
      </c>
      <c r="C2314" s="2" t="str">
        <f t="shared" si="87"/>
        <v>UN</v>
      </c>
      <c r="D2314" s="7">
        <v>704</v>
      </c>
      <c r="E2314" s="3">
        <v>16</v>
      </c>
      <c r="F2314" s="3">
        <v>16</v>
      </c>
      <c r="G2314" t="s">
        <v>514</v>
      </c>
    </row>
    <row r="2315" spans="1:7" x14ac:dyDescent="0.25">
      <c r="A2315" s="1" t="str">
        <f>"520457"</f>
        <v>520457</v>
      </c>
      <c r="B2315" s="2" t="str">
        <f>"BATERIA MOURA 48A"</f>
        <v>BATERIA MOURA 48A</v>
      </c>
      <c r="C2315" s="2" t="str">
        <f t="shared" si="87"/>
        <v>UN</v>
      </c>
      <c r="D2315" s="7">
        <v>704</v>
      </c>
      <c r="E2315" s="3">
        <v>9</v>
      </c>
      <c r="F2315" s="3">
        <v>9</v>
      </c>
      <c r="G2315" t="s">
        <v>513</v>
      </c>
    </row>
    <row r="2316" spans="1:7" x14ac:dyDescent="0.25">
      <c r="A2316" s="1" t="str">
        <f>"518650"</f>
        <v>518650</v>
      </c>
      <c r="B2316" s="2" t="str">
        <f>"BATERIA MOURA 60A"</f>
        <v>BATERIA MOURA 60A</v>
      </c>
      <c r="C2316" s="2" t="str">
        <f t="shared" si="87"/>
        <v>UN</v>
      </c>
      <c r="D2316" s="7">
        <v>704</v>
      </c>
      <c r="E2316" s="3">
        <v>9</v>
      </c>
      <c r="F2316" s="3">
        <v>9</v>
      </c>
      <c r="G2316" t="s">
        <v>512</v>
      </c>
    </row>
    <row r="2317" spans="1:7" x14ac:dyDescent="0.25">
      <c r="A2317" s="1" t="str">
        <f>"519556"</f>
        <v>519556</v>
      </c>
      <c r="B2317" s="2" t="str">
        <f>"BATERIA MOURA 70A"</f>
        <v>BATERIA MOURA 70A</v>
      </c>
      <c r="C2317" s="2" t="str">
        <f t="shared" si="87"/>
        <v>UN</v>
      </c>
      <c r="D2317" s="7">
        <v>704</v>
      </c>
      <c r="E2317" s="3">
        <v>9</v>
      </c>
      <c r="F2317" s="3">
        <v>9</v>
      </c>
      <c r="G2317" t="s">
        <v>513</v>
      </c>
    </row>
    <row r="2318" spans="1:7" x14ac:dyDescent="0.25">
      <c r="A2318" s="1" t="str">
        <f>"523636"</f>
        <v>523636</v>
      </c>
      <c r="B2318" s="2" t="str">
        <f>"BATERIA NNTN4970"</f>
        <v>BATERIA NNTN4970</v>
      </c>
      <c r="C2318" s="2" t="str">
        <f t="shared" si="87"/>
        <v>UN</v>
      </c>
      <c r="D2318" s="7">
        <v>99999</v>
      </c>
      <c r="E2318" s="3">
        <v>99</v>
      </c>
      <c r="F2318" s="3">
        <v>99</v>
      </c>
      <c r="G2318" t="s">
        <v>514</v>
      </c>
    </row>
    <row r="2319" spans="1:7" x14ac:dyDescent="0.25">
      <c r="A2319" s="1" t="str">
        <f>"523824"</f>
        <v>523824</v>
      </c>
      <c r="B2319" s="2" t="str">
        <f>"BATERIA P/ NOTEBOOK"</f>
        <v>BATERIA P/ NOTEBOOK</v>
      </c>
      <c r="C2319" s="2" t="str">
        <f t="shared" si="87"/>
        <v>UN</v>
      </c>
      <c r="D2319" s="7">
        <v>811</v>
      </c>
      <c r="E2319" s="3">
        <v>8</v>
      </c>
      <c r="F2319" s="3">
        <v>8</v>
      </c>
      <c r="G2319" t="s">
        <v>514</v>
      </c>
    </row>
    <row r="2320" spans="1:7" x14ac:dyDescent="0.25">
      <c r="A2320" s="1" t="str">
        <f>"509374"</f>
        <v>509374</v>
      </c>
      <c r="B2320" s="2" t="str">
        <f>"BATERIA P/ TERMINAL 7525 3000MAH ALTA"</f>
        <v>BATERIA P/ TERMINAL 7525 3000MAH ALTA</v>
      </c>
      <c r="C2320" s="2" t="str">
        <f t="shared" ref="C2320:C2338" si="88">"UN"</f>
        <v>UN</v>
      </c>
      <c r="D2320" s="7">
        <v>402</v>
      </c>
      <c r="E2320" s="3">
        <v>4</v>
      </c>
      <c r="F2320" s="3">
        <v>4</v>
      </c>
      <c r="G2320" t="s">
        <v>514</v>
      </c>
    </row>
    <row r="2321" spans="1:7" x14ac:dyDescent="0.25">
      <c r="A2321" s="1" t="str">
        <f>"523823"</f>
        <v>523823</v>
      </c>
      <c r="B2321" s="2" t="str">
        <f>"BATERIA SELADA 12V 7AH"</f>
        <v>BATERIA SELADA 12V 7AH</v>
      </c>
      <c r="C2321" s="2" t="str">
        <f t="shared" si="88"/>
        <v>UN</v>
      </c>
      <c r="D2321" s="7">
        <v>811</v>
      </c>
      <c r="E2321" s="3">
        <v>8</v>
      </c>
      <c r="F2321" s="3">
        <v>8</v>
      </c>
      <c r="G2321" t="s">
        <v>513</v>
      </c>
    </row>
    <row r="2322" spans="1:7" x14ac:dyDescent="0.25">
      <c r="A2322" s="1" t="str">
        <f>"509333"</f>
        <v>509333</v>
      </c>
      <c r="B2322" s="2" t="str">
        <f>"BATERIA SELADA 12V 7AH ACUMUL ELET CHUMBO SMS"</f>
        <v>BATERIA SELADA 12V 7AH ACUMUL ELET CHUMBO SMS</v>
      </c>
      <c r="C2322" s="2" t="str">
        <f t="shared" si="88"/>
        <v>UN</v>
      </c>
      <c r="D2322" s="7">
        <v>601</v>
      </c>
      <c r="E2322" s="3">
        <v>8</v>
      </c>
      <c r="F2322" s="3">
        <v>8</v>
      </c>
      <c r="G2322" t="s">
        <v>513</v>
      </c>
    </row>
    <row r="2323" spans="1:7" x14ac:dyDescent="0.25">
      <c r="A2323" s="1" t="str">
        <f>"518383"</f>
        <v>518383</v>
      </c>
      <c r="B2323" s="2" t="str">
        <f>"BATERIA SELADA P/ NO-BREAK 127V 7A"</f>
        <v>BATERIA SELADA P/ NO-BREAK 127V 7A</v>
      </c>
      <c r="C2323" s="2" t="str">
        <f t="shared" si="88"/>
        <v>UN</v>
      </c>
      <c r="D2323" s="7">
        <v>811</v>
      </c>
      <c r="E2323" s="3">
        <v>8</v>
      </c>
      <c r="F2323" s="3">
        <v>8</v>
      </c>
      <c r="G2323" t="s">
        <v>513</v>
      </c>
    </row>
    <row r="2324" spans="1:7" x14ac:dyDescent="0.25">
      <c r="A2324" s="1" t="str">
        <f>"523490"</f>
        <v>523490</v>
      </c>
      <c r="B2324" s="2" t="str">
        <f>"BATERIA SOBRESSALENTE NNTN40970A"</f>
        <v>BATERIA SOBRESSALENTE NNTN40970A</v>
      </c>
      <c r="C2324" s="2" t="str">
        <f t="shared" si="88"/>
        <v>UN</v>
      </c>
      <c r="D2324" s="7">
        <v>99999</v>
      </c>
      <c r="E2324" s="3">
        <v>99</v>
      </c>
      <c r="F2324" s="3">
        <v>99</v>
      </c>
      <c r="G2324" t="s">
        <v>512</v>
      </c>
    </row>
    <row r="2325" spans="1:7" x14ac:dyDescent="0.25">
      <c r="A2325" s="1" t="str">
        <f>"528105"</f>
        <v>528105</v>
      </c>
      <c r="B2325" s="2" t="str">
        <f>"BATERIA TRACIONARIA T6 - 12V - 120AH"</f>
        <v>BATERIA TRACIONARIA T6 - 12V - 120AH</v>
      </c>
      <c r="C2325" s="2" t="str">
        <f t="shared" si="88"/>
        <v>UN</v>
      </c>
      <c r="D2325" s="7">
        <v>402</v>
      </c>
      <c r="E2325" s="3">
        <v>11</v>
      </c>
      <c r="F2325" s="3">
        <v>11</v>
      </c>
      <c r="G2325" t="s">
        <v>513</v>
      </c>
    </row>
    <row r="2326" spans="1:7" x14ac:dyDescent="0.25">
      <c r="A2326" s="1" t="str">
        <f>"511821"</f>
        <v>511821</v>
      </c>
      <c r="B2326" s="2" t="str">
        <f>"BATERIA TSF 110-3/12 24V - EMPILHADEIRA"</f>
        <v>BATERIA TSF 110-3/12 24V - EMPILHADEIRA</v>
      </c>
      <c r="C2326" s="2" t="str">
        <f t="shared" si="88"/>
        <v>UN</v>
      </c>
      <c r="D2326" s="7">
        <v>900</v>
      </c>
      <c r="E2326" s="3">
        <v>11</v>
      </c>
      <c r="F2326" s="3">
        <v>11</v>
      </c>
      <c r="G2326" t="s">
        <v>514</v>
      </c>
    </row>
    <row r="2327" spans="1:7" x14ac:dyDescent="0.25">
      <c r="A2327" s="1" t="str">
        <f>"517557"</f>
        <v>517557</v>
      </c>
      <c r="B2327" s="2" t="str">
        <f>"BATERIA VW45 S/ MANUTENÇÃO"</f>
        <v>BATERIA VW45 S/ MANUTENÇÃO</v>
      </c>
      <c r="C2327" s="2" t="str">
        <f t="shared" si="88"/>
        <v>UN</v>
      </c>
      <c r="D2327" s="7">
        <v>811</v>
      </c>
      <c r="E2327" s="3">
        <v>8</v>
      </c>
      <c r="F2327" s="3">
        <v>8</v>
      </c>
      <c r="G2327" t="s">
        <v>515</v>
      </c>
    </row>
    <row r="2328" spans="1:7" x14ac:dyDescent="0.25">
      <c r="A2328" s="1" t="str">
        <f>"517298"</f>
        <v>517298</v>
      </c>
      <c r="B2328" s="2" t="str">
        <f>"BATERIA XT-CPU-BAT1"</f>
        <v>BATERIA XT-CPU-BAT1</v>
      </c>
      <c r="C2328" s="2" t="str">
        <f t="shared" si="88"/>
        <v>UN</v>
      </c>
      <c r="D2328" s="7">
        <v>811</v>
      </c>
      <c r="E2328" s="3">
        <v>8</v>
      </c>
      <c r="F2328" s="3">
        <v>8</v>
      </c>
      <c r="G2328" t="s">
        <v>512</v>
      </c>
    </row>
    <row r="2329" spans="1:7" x14ac:dyDescent="0.25">
      <c r="A2329" s="1" t="str">
        <f>"518275"</f>
        <v>518275</v>
      </c>
      <c r="B2329" s="2" t="str">
        <f>"BAU"</f>
        <v>BAU</v>
      </c>
      <c r="C2329" s="2" t="str">
        <f t="shared" si="88"/>
        <v>UN</v>
      </c>
      <c r="D2329" s="7">
        <v>401</v>
      </c>
      <c r="E2329" s="3">
        <v>4</v>
      </c>
      <c r="F2329" s="3">
        <v>4</v>
      </c>
      <c r="G2329" t="s">
        <v>516</v>
      </c>
    </row>
    <row r="2330" spans="1:7" x14ac:dyDescent="0.25">
      <c r="A2330" s="1" t="str">
        <f>"523028"</f>
        <v>523028</v>
      </c>
      <c r="B2330" s="2" t="str">
        <f>"BAU ISOTERMICO 400X220X220 ANO 2005 SERIE 996"</f>
        <v>BAU ISOTERMICO 400X220X220 ANO 2005 SERIE 996</v>
      </c>
      <c r="C2330" s="2" t="str">
        <f t="shared" si="88"/>
        <v>UN</v>
      </c>
      <c r="D2330" s="7">
        <v>99999</v>
      </c>
      <c r="E2330" s="3">
        <v>99</v>
      </c>
      <c r="F2330" s="3">
        <v>99</v>
      </c>
      <c r="G2330" t="s">
        <v>515</v>
      </c>
    </row>
    <row r="2331" spans="1:7" x14ac:dyDescent="0.25">
      <c r="A2331" s="1" t="str">
        <f>"503740"</f>
        <v>503740</v>
      </c>
      <c r="B2331" s="2" t="str">
        <f>"BAU P/ FERRAMENTA REF.SR35"</f>
        <v>BAU P/ FERRAMENTA REF.SR35</v>
      </c>
      <c r="C2331" s="2" t="str">
        <f t="shared" si="88"/>
        <v>UN</v>
      </c>
      <c r="D2331" s="7">
        <v>402</v>
      </c>
      <c r="E2331" s="3">
        <v>4</v>
      </c>
      <c r="F2331" s="3">
        <v>4</v>
      </c>
      <c r="G2331" t="s">
        <v>514</v>
      </c>
    </row>
    <row r="2332" spans="1:7" x14ac:dyDescent="0.25">
      <c r="A2332" s="1" t="str">
        <f>"515457"</f>
        <v>515457</v>
      </c>
      <c r="B2332" s="2" t="str">
        <f>"BAYGON ACAO TOTAL"</f>
        <v>BAYGON ACAO TOTAL</v>
      </c>
      <c r="C2332" s="2" t="str">
        <f t="shared" si="88"/>
        <v>UN</v>
      </c>
      <c r="D2332" s="7">
        <v>401</v>
      </c>
      <c r="E2332" s="3">
        <v>4</v>
      </c>
      <c r="F2332" s="3">
        <v>4</v>
      </c>
      <c r="G2332" t="s">
        <v>512</v>
      </c>
    </row>
    <row r="2333" spans="1:7" x14ac:dyDescent="0.25">
      <c r="A2333" s="1" t="str">
        <f>"512033"</f>
        <v>512033</v>
      </c>
      <c r="B2333" s="2" t="str">
        <f>"BBA SANIT.15000L/H PERCA 4KG MACHO SMS 2"</f>
        <v>BBA SANIT.15000L/H PERCA 4KG MACHO SMS 2</v>
      </c>
      <c r="C2333" s="2" t="str">
        <f t="shared" si="88"/>
        <v>UN</v>
      </c>
      <c r="D2333" s="7">
        <v>813</v>
      </c>
      <c r="E2333" s="3">
        <v>10</v>
      </c>
      <c r="F2333" s="3">
        <v>10</v>
      </c>
      <c r="G2333" t="s">
        <v>513</v>
      </c>
    </row>
    <row r="2334" spans="1:7" x14ac:dyDescent="0.25">
      <c r="A2334" s="1" t="str">
        <f>"512034"</f>
        <v>512034</v>
      </c>
      <c r="B2334" s="2" t="str">
        <f>"BBA SANIT.30000L/H PERCA 4KG MACHO SMS 2"</f>
        <v>BBA SANIT.30000L/H PERCA 4KG MACHO SMS 2</v>
      </c>
      <c r="C2334" s="2" t="str">
        <f t="shared" si="88"/>
        <v>UN</v>
      </c>
      <c r="D2334" s="7">
        <v>813</v>
      </c>
      <c r="E2334" s="3">
        <v>10</v>
      </c>
      <c r="F2334" s="3">
        <v>10</v>
      </c>
      <c r="G2334" t="s">
        <v>514</v>
      </c>
    </row>
    <row r="2335" spans="1:7" x14ac:dyDescent="0.25">
      <c r="A2335" s="1" t="str">
        <f>"514222"</f>
        <v>514222</v>
      </c>
      <c r="B2335" s="2" t="str">
        <f>"BBA SNT CAST MT WEG NBR7094 05/00AV67789"</f>
        <v>BBA SNT CAST MT WEG NBR7094 05/00AV67789</v>
      </c>
      <c r="C2335" s="2" t="str">
        <f t="shared" si="88"/>
        <v>UN</v>
      </c>
      <c r="D2335" s="7">
        <v>813</v>
      </c>
      <c r="E2335" s="3">
        <v>13</v>
      </c>
      <c r="F2335" s="3">
        <v>13</v>
      </c>
      <c r="G2335" t="s">
        <v>514</v>
      </c>
    </row>
    <row r="2336" spans="1:7" x14ac:dyDescent="0.25">
      <c r="A2336" s="1" t="str">
        <f>"1473"</f>
        <v>1473</v>
      </c>
      <c r="B2336" s="2" t="str">
        <f>"BEB LAC FERM POLPA MOR 540 G COOP PLUS"</f>
        <v>BEB LAC FERM POLPA MOR 540 G COOP PLUS</v>
      </c>
      <c r="C2336" s="2" t="str">
        <f t="shared" si="88"/>
        <v>UN</v>
      </c>
      <c r="D2336" s="7">
        <v>19</v>
      </c>
      <c r="E2336" s="3">
        <v>6</v>
      </c>
      <c r="F2336" s="3">
        <v>6</v>
      </c>
      <c r="G2336" t="s">
        <v>512</v>
      </c>
    </row>
    <row r="2337" spans="1:7" x14ac:dyDescent="0.25">
      <c r="A2337" s="1" t="str">
        <f>"3805"</f>
        <v>3805</v>
      </c>
      <c r="B2337" s="2" t="str">
        <f>"BEB LAC UHT BIBI BITS CHOCOLATE 200 ML"</f>
        <v>BEB LAC UHT BIBI BITS CHOCOLATE 200 ML</v>
      </c>
      <c r="C2337" s="2" t="str">
        <f t="shared" si="88"/>
        <v>UN</v>
      </c>
      <c r="D2337" s="7">
        <v>38</v>
      </c>
      <c r="E2337" s="3">
        <v>6</v>
      </c>
      <c r="F2337" s="3">
        <v>6</v>
      </c>
      <c r="G2337" t="s">
        <v>513</v>
      </c>
    </row>
    <row r="2338" spans="1:7" x14ac:dyDescent="0.25">
      <c r="A2338" s="1" t="str">
        <f>"1570"</f>
        <v>1570</v>
      </c>
      <c r="B2338" s="2" t="str">
        <f>"BEB LACTEA ESTER SABOR CHOCOLATE 180G BIBI BITS"</f>
        <v>BEB LACTEA ESTER SABOR CHOCOLATE 180G BIBI BITS</v>
      </c>
      <c r="C2338" s="2" t="str">
        <f t="shared" si="88"/>
        <v>UN</v>
      </c>
      <c r="D2338" s="7">
        <v>46</v>
      </c>
      <c r="E2338" s="3">
        <v>6</v>
      </c>
      <c r="F2338" s="3">
        <v>6</v>
      </c>
      <c r="G2338" t="s">
        <v>514</v>
      </c>
    </row>
    <row r="2339" spans="1:7" x14ac:dyDescent="0.25">
      <c r="A2339" s="1" t="str">
        <f>"7141"</f>
        <v>7141</v>
      </c>
      <c r="B2339" s="2" t="str">
        <f>"BEB LACTEA ESTERELIZADA ACHOCOLATADO"</f>
        <v>BEB LACTEA ESTERELIZADA ACHOCOLATADO</v>
      </c>
      <c r="C2339" s="2" t="str">
        <f>"LT"</f>
        <v>LT</v>
      </c>
      <c r="D2339" s="7">
        <v>200</v>
      </c>
      <c r="E2339" s="3">
        <v>2</v>
      </c>
      <c r="F2339" s="3">
        <v>2</v>
      </c>
      <c r="G2339" t="s">
        <v>514</v>
      </c>
    </row>
    <row r="2340" spans="1:7" x14ac:dyDescent="0.25">
      <c r="A2340" s="1" t="str">
        <f>"3005"</f>
        <v>3005</v>
      </c>
      <c r="B2340" s="2" t="str">
        <f>"BEB LACTEA FERM BAND MOR/ SAL FR 540G DIA"</f>
        <v>BEB LACTEA FERM BAND MOR/ SAL FR 540G DIA</v>
      </c>
      <c r="C2340" s="2" t="str">
        <f t="shared" ref="C2340:C2346" si="89">"UN"</f>
        <v>UN</v>
      </c>
      <c r="D2340" s="7">
        <v>19</v>
      </c>
      <c r="E2340" s="3">
        <v>6</v>
      </c>
      <c r="F2340" s="3">
        <v>6</v>
      </c>
      <c r="G2340" t="s">
        <v>514</v>
      </c>
    </row>
    <row r="2341" spans="1:7" x14ac:dyDescent="0.25">
      <c r="A2341" s="1" t="str">
        <f>"3004"</f>
        <v>3004</v>
      </c>
      <c r="B2341" s="2" t="str">
        <f>"BEB LACTEA FERM BAND MOR/COCO 540G DIA"</f>
        <v>BEB LACTEA FERM BAND MOR/COCO 540G DIA</v>
      </c>
      <c r="C2341" s="2" t="str">
        <f t="shared" si="89"/>
        <v>UN</v>
      </c>
      <c r="D2341" s="7">
        <v>19</v>
      </c>
      <c r="E2341" s="3">
        <v>6</v>
      </c>
      <c r="F2341" s="3">
        <v>6</v>
      </c>
      <c r="G2341" t="s">
        <v>513</v>
      </c>
    </row>
    <row r="2342" spans="1:7" x14ac:dyDescent="0.25">
      <c r="A2342" s="1" t="str">
        <f>"3003"</f>
        <v>3003</v>
      </c>
      <c r="B2342" s="2" t="str">
        <f>"BEB LACTEA FERM BAND MORANGO 540G DIA"</f>
        <v>BEB LACTEA FERM BAND MORANGO 540G DIA</v>
      </c>
      <c r="C2342" s="2" t="str">
        <f t="shared" si="89"/>
        <v>UN</v>
      </c>
      <c r="D2342" s="7">
        <v>19</v>
      </c>
      <c r="E2342" s="3">
        <v>6</v>
      </c>
      <c r="F2342" s="3">
        <v>6</v>
      </c>
      <c r="G2342" t="s">
        <v>512</v>
      </c>
    </row>
    <row r="2343" spans="1:7" x14ac:dyDescent="0.25">
      <c r="A2343" s="1" t="str">
        <f>"1571"</f>
        <v>1571</v>
      </c>
      <c r="B2343" s="2" t="str">
        <f>"BEB LACTEA FERM C/ POLPA MOR 180G BIBI BITS"</f>
        <v>BEB LACTEA FERM C/ POLPA MOR 180G BIBI BITS</v>
      </c>
      <c r="C2343" s="2" t="str">
        <f t="shared" si="89"/>
        <v>UN</v>
      </c>
      <c r="D2343" s="7">
        <v>46</v>
      </c>
      <c r="E2343" s="3">
        <v>6</v>
      </c>
      <c r="F2343" s="3">
        <v>6</v>
      </c>
      <c r="G2343" t="s">
        <v>513</v>
      </c>
    </row>
    <row r="2344" spans="1:7" x14ac:dyDescent="0.25">
      <c r="A2344" s="1" t="str">
        <f>"1572"</f>
        <v>1572</v>
      </c>
      <c r="B2344" s="2" t="str">
        <f>"BEB LACTEA FERM C/ POLPA SAL FRUTAS 180G BIBI BITS"</f>
        <v>BEB LACTEA FERM C/ POLPA SAL FRUTAS 180G BIBI BITS</v>
      </c>
      <c r="C2344" s="2" t="str">
        <f t="shared" si="89"/>
        <v>UN</v>
      </c>
      <c r="D2344" s="7">
        <v>46</v>
      </c>
      <c r="E2344" s="3">
        <v>6</v>
      </c>
      <c r="F2344" s="3">
        <v>6</v>
      </c>
      <c r="G2344" t="s">
        <v>514</v>
      </c>
    </row>
    <row r="2345" spans="1:7" x14ac:dyDescent="0.25">
      <c r="A2345" s="1" t="str">
        <f>"1574"</f>
        <v>1574</v>
      </c>
      <c r="B2345" s="2" t="str">
        <f>"BEB LACTEA FERM C/ SUCO LARANJA 180G BIBI BITS"</f>
        <v>BEB LACTEA FERM C/ SUCO LARANJA 180G BIBI BITS</v>
      </c>
      <c r="C2345" s="2" t="str">
        <f t="shared" si="89"/>
        <v>UN</v>
      </c>
      <c r="D2345" s="7">
        <v>46</v>
      </c>
      <c r="E2345" s="3">
        <v>6</v>
      </c>
      <c r="F2345" s="3">
        <v>6</v>
      </c>
      <c r="G2345" t="s">
        <v>514</v>
      </c>
    </row>
    <row r="2346" spans="1:7" x14ac:dyDescent="0.25">
      <c r="A2346" s="1" t="str">
        <f>"1573"</f>
        <v>1573</v>
      </c>
      <c r="B2346" s="2" t="str">
        <f>"BEB LACTEA FERM C/ SUCO LIMAO 180G BIBI BITS"</f>
        <v>BEB LACTEA FERM C/ SUCO LIMAO 180G BIBI BITS</v>
      </c>
      <c r="C2346" s="2" t="str">
        <f t="shared" si="89"/>
        <v>UN</v>
      </c>
      <c r="D2346" s="7">
        <v>46</v>
      </c>
      <c r="E2346" s="3">
        <v>6</v>
      </c>
      <c r="F2346" s="3">
        <v>6</v>
      </c>
      <c r="G2346" t="s">
        <v>514</v>
      </c>
    </row>
    <row r="2347" spans="1:7" x14ac:dyDescent="0.25">
      <c r="A2347" s="1" t="str">
        <f>"7135"</f>
        <v>7135</v>
      </c>
      <c r="B2347" s="2" t="str">
        <f>"BEB LACTEA UHT ACHOCOLATADO"</f>
        <v>BEB LACTEA UHT ACHOCOLATADO</v>
      </c>
      <c r="C2347" s="2" t="str">
        <f>"LT"</f>
        <v>LT</v>
      </c>
      <c r="D2347" s="7">
        <v>200</v>
      </c>
      <c r="E2347" s="3">
        <v>2</v>
      </c>
      <c r="F2347" s="3">
        <v>2</v>
      </c>
      <c r="G2347" t="s">
        <v>513</v>
      </c>
    </row>
    <row r="2348" spans="1:7" x14ac:dyDescent="0.25">
      <c r="A2348" s="1" t="str">
        <f>"515635"</f>
        <v>515635</v>
      </c>
      <c r="B2348" s="2" t="str">
        <f>"BEB. LAC. CHOCOLATE LATCO"</f>
        <v>BEB. LAC. CHOCOLATE LATCO</v>
      </c>
      <c r="C2348" s="2" t="str">
        <f t="shared" ref="C2348:C2384" si="90">"UN"</f>
        <v>UN</v>
      </c>
      <c r="D2348" s="7">
        <v>401</v>
      </c>
      <c r="E2348" s="3">
        <v>4</v>
      </c>
      <c r="F2348" s="3">
        <v>4</v>
      </c>
      <c r="G2348" t="s">
        <v>513</v>
      </c>
    </row>
    <row r="2349" spans="1:7" x14ac:dyDescent="0.25">
      <c r="A2349" s="1" t="str">
        <f>"1265"</f>
        <v>1265</v>
      </c>
      <c r="B2349" s="2" t="str">
        <f>"BEB. LACTEA BAND CARREFOUR MOR/SAL 510G"</f>
        <v>BEB. LACTEA BAND CARREFOUR MOR/SAL 510G</v>
      </c>
      <c r="C2349" s="2" t="str">
        <f t="shared" si="90"/>
        <v>UN</v>
      </c>
      <c r="D2349" s="7">
        <v>21</v>
      </c>
      <c r="E2349" s="3">
        <v>6</v>
      </c>
      <c r="F2349" s="3">
        <v>6</v>
      </c>
      <c r="G2349" t="s">
        <v>513</v>
      </c>
    </row>
    <row r="2350" spans="1:7" x14ac:dyDescent="0.25">
      <c r="A2350" s="1" t="str">
        <f>"1403"</f>
        <v>1403</v>
      </c>
      <c r="B2350" s="2" t="str">
        <f>"BEB. LACTEA FERM C/ PREP COCO 900G CARREFOUR"</f>
        <v>BEB. LACTEA FERM C/ PREP COCO 900G CARREFOUR</v>
      </c>
      <c r="C2350" s="2" t="str">
        <f t="shared" si="90"/>
        <v>UN</v>
      </c>
      <c r="D2350" s="7">
        <v>16</v>
      </c>
      <c r="E2350" s="3">
        <v>6</v>
      </c>
      <c r="F2350" s="3">
        <v>6</v>
      </c>
      <c r="G2350" t="s">
        <v>512</v>
      </c>
    </row>
    <row r="2351" spans="1:7" x14ac:dyDescent="0.25">
      <c r="A2351" s="1" t="str">
        <f>"1400"</f>
        <v>1400</v>
      </c>
      <c r="B2351" s="2" t="str">
        <f>"BEB. LACTEA FERM C/ PREP MOR 900G CARREFOUR"</f>
        <v>BEB. LACTEA FERM C/ PREP MOR 900G CARREFOUR</v>
      </c>
      <c r="C2351" s="2" t="str">
        <f t="shared" si="90"/>
        <v>UN</v>
      </c>
      <c r="D2351" s="7">
        <v>16</v>
      </c>
      <c r="E2351" s="3">
        <v>6</v>
      </c>
      <c r="F2351" s="3">
        <v>6</v>
      </c>
      <c r="G2351" t="s">
        <v>513</v>
      </c>
    </row>
    <row r="2352" spans="1:7" x14ac:dyDescent="0.25">
      <c r="A2352" s="1" t="str">
        <f>"1266"</f>
        <v>1266</v>
      </c>
      <c r="B2352" s="2" t="str">
        <f>"BEB. LACTEA FERM C/ PREP MOR/COCO 510G CARREFOUR"</f>
        <v>BEB. LACTEA FERM C/ PREP MOR/COCO 510G CARREFOUR</v>
      </c>
      <c r="C2352" s="2" t="str">
        <f t="shared" si="90"/>
        <v>UN</v>
      </c>
      <c r="D2352" s="7">
        <v>21</v>
      </c>
      <c r="E2352" s="3">
        <v>6</v>
      </c>
      <c r="F2352" s="3">
        <v>6</v>
      </c>
      <c r="G2352" t="s">
        <v>514</v>
      </c>
    </row>
    <row r="2353" spans="1:7" x14ac:dyDescent="0.25">
      <c r="A2353" s="1" t="str">
        <f>"1264"</f>
        <v>1264</v>
      </c>
      <c r="B2353" s="2" t="str">
        <f>"BEB. LACTEA FERM C/ PREP MORANGO 510G CARREFOUR"</f>
        <v>BEB. LACTEA FERM C/ PREP MORANGO 510G CARREFOUR</v>
      </c>
      <c r="C2353" s="2" t="str">
        <f t="shared" si="90"/>
        <v>UN</v>
      </c>
      <c r="D2353" s="7">
        <v>21</v>
      </c>
      <c r="E2353" s="3">
        <v>6</v>
      </c>
      <c r="F2353" s="3">
        <v>6</v>
      </c>
      <c r="G2353" t="s">
        <v>515</v>
      </c>
    </row>
    <row r="2354" spans="1:7" x14ac:dyDescent="0.25">
      <c r="A2354" s="1" t="str">
        <f>"1402"</f>
        <v>1402</v>
      </c>
      <c r="B2354" s="2" t="str">
        <f>"BEB. LACTEA FERM C/ PREP S. FRUTAS 900G CARREFOUR"</f>
        <v>BEB. LACTEA FERM C/ PREP S. FRUTAS 900G CARREFOUR</v>
      </c>
      <c r="C2354" s="2" t="str">
        <f t="shared" si="90"/>
        <v>UN</v>
      </c>
      <c r="D2354" s="7">
        <v>16</v>
      </c>
      <c r="E2354" s="3">
        <v>6</v>
      </c>
      <c r="F2354" s="3">
        <v>6</v>
      </c>
      <c r="G2354" t="s">
        <v>512</v>
      </c>
    </row>
    <row r="2355" spans="1:7" x14ac:dyDescent="0.25">
      <c r="A2355" s="1" t="str">
        <f>"369"</f>
        <v>369</v>
      </c>
      <c r="B2355" s="2" t="str">
        <f>"BEB.LAC.C/P.FRUT. COC VERY GURT 1000 G"</f>
        <v>BEB.LAC.C/P.FRUT. COC VERY GURT 1000 G</v>
      </c>
      <c r="C2355" s="2" t="str">
        <f t="shared" si="90"/>
        <v>UN</v>
      </c>
      <c r="D2355" s="7">
        <v>18</v>
      </c>
      <c r="E2355" s="3">
        <v>6</v>
      </c>
      <c r="F2355" s="3">
        <v>6</v>
      </c>
      <c r="G2355" t="s">
        <v>516</v>
      </c>
    </row>
    <row r="2356" spans="1:7" x14ac:dyDescent="0.25">
      <c r="A2356" s="1" t="str">
        <f>"64"</f>
        <v>64</v>
      </c>
      <c r="B2356" s="2" t="str">
        <f>"BEB.LAC.C/P.FRUT. MOR VERY GURT 1000 G"</f>
        <v>BEB.LAC.C/P.FRUT. MOR VERY GURT 1000 G</v>
      </c>
      <c r="C2356" s="2" t="str">
        <f t="shared" si="90"/>
        <v>UN</v>
      </c>
      <c r="D2356" s="7">
        <v>18</v>
      </c>
      <c r="E2356" s="3">
        <v>6</v>
      </c>
      <c r="F2356" s="3">
        <v>6</v>
      </c>
      <c r="G2356" t="s">
        <v>515</v>
      </c>
    </row>
    <row r="2357" spans="1:7" x14ac:dyDescent="0.25">
      <c r="A2357" s="1" t="str">
        <f>"368"</f>
        <v>368</v>
      </c>
      <c r="B2357" s="2" t="str">
        <f>"BEB.LAC.C/P.FRUT. PES VERY GURT 1000 G"</f>
        <v>BEB.LAC.C/P.FRUT. PES VERY GURT 1000 G</v>
      </c>
      <c r="C2357" s="2" t="str">
        <f t="shared" si="90"/>
        <v>UN</v>
      </c>
      <c r="D2357" s="7">
        <v>18</v>
      </c>
      <c r="E2357" s="3">
        <v>6</v>
      </c>
      <c r="F2357" s="3">
        <v>6</v>
      </c>
      <c r="G2357" t="s">
        <v>514</v>
      </c>
    </row>
    <row r="2358" spans="1:7" x14ac:dyDescent="0.25">
      <c r="A2358" s="1" t="str">
        <f>"1642"</f>
        <v>1642</v>
      </c>
      <c r="B2358" s="2" t="str">
        <f>"BEB.LAC.C/P.FRUT.COCO VERY GURT 550 G"</f>
        <v>BEB.LAC.C/P.FRUT.COCO VERY GURT 550 G</v>
      </c>
      <c r="C2358" s="2" t="str">
        <f t="shared" si="90"/>
        <v>UN</v>
      </c>
      <c r="D2358" s="7">
        <v>17</v>
      </c>
      <c r="E2358" s="3">
        <v>6</v>
      </c>
      <c r="F2358" s="3">
        <v>6</v>
      </c>
      <c r="G2358" t="s">
        <v>512</v>
      </c>
    </row>
    <row r="2359" spans="1:7" x14ac:dyDescent="0.25">
      <c r="A2359" s="1" t="str">
        <f>"1641"</f>
        <v>1641</v>
      </c>
      <c r="B2359" s="2" t="str">
        <f>"BEB.LAC.C/P.FRUT.MORANGO VERY GURT 550 G"</f>
        <v>BEB.LAC.C/P.FRUT.MORANGO VERY GURT 550 G</v>
      </c>
      <c r="C2359" s="2" t="str">
        <f t="shared" si="90"/>
        <v>UN</v>
      </c>
      <c r="D2359" s="7">
        <v>17</v>
      </c>
      <c r="E2359" s="3">
        <v>6</v>
      </c>
      <c r="F2359" s="3">
        <v>6</v>
      </c>
      <c r="G2359" t="s">
        <v>513</v>
      </c>
    </row>
    <row r="2360" spans="1:7" x14ac:dyDescent="0.25">
      <c r="A2360" s="1" t="str">
        <f>"1643"</f>
        <v>1643</v>
      </c>
      <c r="B2360" s="2" t="str">
        <f>"BEB.LAC.C/P.FRUT.PESSEGO VERY GURT 550 G"</f>
        <v>BEB.LAC.C/P.FRUT.PESSEGO VERY GURT 550 G</v>
      </c>
      <c r="C2360" s="2" t="str">
        <f t="shared" si="90"/>
        <v>UN</v>
      </c>
      <c r="D2360" s="7">
        <v>17</v>
      </c>
      <c r="E2360" s="3">
        <v>6</v>
      </c>
      <c r="F2360" s="3">
        <v>6</v>
      </c>
      <c r="G2360" t="s">
        <v>514</v>
      </c>
    </row>
    <row r="2361" spans="1:7" x14ac:dyDescent="0.25">
      <c r="A2361" s="1" t="str">
        <f>"1186R"</f>
        <v>1186R</v>
      </c>
      <c r="B2361" s="2" t="str">
        <f>"BEB.LAC.C/POLPA VERY MOR BJ.510G C/10"</f>
        <v>BEB.LAC.C/POLPA VERY MOR BJ.510G C/10</v>
      </c>
      <c r="C2361" s="2" t="str">
        <f t="shared" si="90"/>
        <v>UN</v>
      </c>
      <c r="D2361" s="7">
        <v>21</v>
      </c>
      <c r="E2361" s="3">
        <v>6</v>
      </c>
      <c r="F2361" s="3">
        <v>6</v>
      </c>
      <c r="G2361" t="s">
        <v>514</v>
      </c>
    </row>
    <row r="2362" spans="1:7" x14ac:dyDescent="0.25">
      <c r="A2362" s="1" t="str">
        <f>"1637"</f>
        <v>1637</v>
      </c>
      <c r="B2362" s="2" t="str">
        <f>"BEB.LAC.GLUCK CHOC.C/ BAUNILHA 170 G C/25UN"</f>
        <v>BEB.LAC.GLUCK CHOC.C/ BAUNILHA 170 G C/25UN</v>
      </c>
      <c r="C2362" s="2" t="str">
        <f t="shared" si="90"/>
        <v>UN</v>
      </c>
      <c r="D2362" s="7">
        <v>10</v>
      </c>
      <c r="E2362" s="3">
        <v>6</v>
      </c>
      <c r="F2362" s="3">
        <v>6</v>
      </c>
      <c r="G2362" t="s">
        <v>512</v>
      </c>
    </row>
    <row r="2363" spans="1:7" x14ac:dyDescent="0.25">
      <c r="A2363" s="1" t="str">
        <f>"1636"</f>
        <v>1636</v>
      </c>
      <c r="B2363" s="2" t="str">
        <f>"BEB.LAC.GLUCK CHOC.C/ CEREJA 170G C/25UN"</f>
        <v>BEB.LAC.GLUCK CHOC.C/ CEREJA 170G C/25UN</v>
      </c>
      <c r="C2363" s="2" t="str">
        <f t="shared" si="90"/>
        <v>UN</v>
      </c>
      <c r="D2363" s="7">
        <v>10</v>
      </c>
      <c r="E2363" s="3">
        <v>6</v>
      </c>
      <c r="F2363" s="3">
        <v>6</v>
      </c>
      <c r="G2363" t="s">
        <v>513</v>
      </c>
    </row>
    <row r="2364" spans="1:7" x14ac:dyDescent="0.25">
      <c r="A2364" s="1" t="str">
        <f>"1638"</f>
        <v>1638</v>
      </c>
      <c r="B2364" s="2" t="str">
        <f>"BEB.LAC.GLUCK CHOC.C/ COCO 170G C/25UN"</f>
        <v>BEB.LAC.GLUCK CHOC.C/ COCO 170G C/25UN</v>
      </c>
      <c r="C2364" s="2" t="str">
        <f t="shared" si="90"/>
        <v>UN</v>
      </c>
      <c r="D2364" s="7">
        <v>10</v>
      </c>
      <c r="E2364" s="3">
        <v>6</v>
      </c>
      <c r="F2364" s="3">
        <v>6</v>
      </c>
      <c r="G2364" t="s">
        <v>514</v>
      </c>
    </row>
    <row r="2365" spans="1:7" x14ac:dyDescent="0.25">
      <c r="A2365" s="1" t="str">
        <f>"1635"</f>
        <v>1635</v>
      </c>
      <c r="B2365" s="2" t="str">
        <f>"BEB.LAC.GLUCK CHOC.C/ MORANGO 170G C/25UN"</f>
        <v>BEB.LAC.GLUCK CHOC.C/ MORANGO 170G C/25UN</v>
      </c>
      <c r="C2365" s="2" t="str">
        <f t="shared" si="90"/>
        <v>UN</v>
      </c>
      <c r="D2365" s="7">
        <v>10</v>
      </c>
      <c r="E2365" s="3">
        <v>6</v>
      </c>
      <c r="F2365" s="3">
        <v>6</v>
      </c>
      <c r="G2365" t="s">
        <v>514</v>
      </c>
    </row>
    <row r="2366" spans="1:7" x14ac:dyDescent="0.25">
      <c r="A2366" s="1" t="str">
        <f>"1768"</f>
        <v>1768</v>
      </c>
      <c r="B2366" s="2" t="str">
        <f>"BEB.LAC.GLUCK CHOCOLATE 170G C/25UN"</f>
        <v>BEB.LAC.GLUCK CHOCOLATE 170G C/25UN</v>
      </c>
      <c r="C2366" s="2" t="str">
        <f t="shared" si="90"/>
        <v>UN</v>
      </c>
      <c r="D2366" s="7">
        <v>10</v>
      </c>
      <c r="E2366" s="3">
        <v>6</v>
      </c>
      <c r="F2366" s="3">
        <v>6</v>
      </c>
      <c r="G2366" t="s">
        <v>514</v>
      </c>
    </row>
    <row r="2367" spans="1:7" x14ac:dyDescent="0.25">
      <c r="A2367" s="1" t="str">
        <f>"1242"</f>
        <v>1242</v>
      </c>
      <c r="B2367" s="2" t="str">
        <f>"BEB.LAC.MORANGO SAQ.850 G (COOP)"</f>
        <v>BEB.LAC.MORANGO SAQ.850 G (COOP)</v>
      </c>
      <c r="C2367" s="2" t="str">
        <f t="shared" si="90"/>
        <v>UN</v>
      </c>
      <c r="D2367" s="7">
        <v>26</v>
      </c>
      <c r="E2367" s="3">
        <v>6</v>
      </c>
      <c r="F2367" s="3">
        <v>6</v>
      </c>
      <c r="G2367" t="s">
        <v>513</v>
      </c>
    </row>
    <row r="2368" spans="1:7" x14ac:dyDescent="0.25">
      <c r="A2368" s="1" t="str">
        <f>"2902"</f>
        <v>2902</v>
      </c>
      <c r="B2368" s="2" t="str">
        <f>"BEB.LAC.MORANGO SAQ.ECON 1000 G"</f>
        <v>BEB.LAC.MORANGO SAQ.ECON 1000 G</v>
      </c>
      <c r="C2368" s="2" t="str">
        <f t="shared" si="90"/>
        <v>UN</v>
      </c>
      <c r="D2368" s="7">
        <v>27</v>
      </c>
      <c r="E2368" s="3">
        <v>6</v>
      </c>
      <c r="F2368" s="3">
        <v>6</v>
      </c>
      <c r="G2368" t="s">
        <v>512</v>
      </c>
    </row>
    <row r="2369" spans="1:7" x14ac:dyDescent="0.25">
      <c r="A2369" s="1" t="str">
        <f>"1243"</f>
        <v>1243</v>
      </c>
      <c r="B2369" s="2" t="str">
        <f>"BEB.LAC.SALADA SAQ. 850 G (COOP)"</f>
        <v>BEB.LAC.SALADA SAQ. 850 G (COOP)</v>
      </c>
      <c r="C2369" s="2" t="str">
        <f t="shared" si="90"/>
        <v>UN</v>
      </c>
      <c r="D2369" s="7">
        <v>26</v>
      </c>
      <c r="E2369" s="3">
        <v>6</v>
      </c>
      <c r="F2369" s="3">
        <v>6</v>
      </c>
      <c r="G2369" t="s">
        <v>513</v>
      </c>
    </row>
    <row r="2370" spans="1:7" x14ac:dyDescent="0.25">
      <c r="A2370" s="1" t="str">
        <f>"3002"</f>
        <v>3002</v>
      </c>
      <c r="B2370" s="2" t="str">
        <f>"BEB.LACT.MOR.BOLITAS DIA 130G"</f>
        <v>BEB.LACT.MOR.BOLITAS DIA 130G</v>
      </c>
      <c r="C2370" s="2" t="str">
        <f t="shared" si="90"/>
        <v>UN</v>
      </c>
      <c r="D2370" s="7">
        <v>2</v>
      </c>
      <c r="E2370" s="3">
        <v>6</v>
      </c>
      <c r="F2370" s="3">
        <v>6</v>
      </c>
      <c r="G2370" t="s">
        <v>514</v>
      </c>
    </row>
    <row r="2371" spans="1:7" x14ac:dyDescent="0.25">
      <c r="A2371" s="1" t="str">
        <f>"1682"</f>
        <v>1682</v>
      </c>
      <c r="B2371" s="2" t="str">
        <f>"BEB.LACTE.MORAN.SACO DIA 850G"</f>
        <v>BEB.LACTE.MORAN.SACO DIA 850G</v>
      </c>
      <c r="C2371" s="2" t="str">
        <f t="shared" si="90"/>
        <v>UN</v>
      </c>
      <c r="D2371" s="7">
        <v>26</v>
      </c>
      <c r="E2371" s="3">
        <v>6</v>
      </c>
      <c r="F2371" s="3">
        <v>6</v>
      </c>
      <c r="G2371" t="s">
        <v>514</v>
      </c>
    </row>
    <row r="2372" spans="1:7" x14ac:dyDescent="0.25">
      <c r="A2372" s="1" t="str">
        <f>"2903"</f>
        <v>2903</v>
      </c>
      <c r="B2372" s="2" t="str">
        <f>"BEB.LACTEA COCO SAQ.ECON 1000 G"</f>
        <v>BEB.LACTEA COCO SAQ.ECON 1000 G</v>
      </c>
      <c r="C2372" s="2" t="str">
        <f t="shared" si="90"/>
        <v>UN</v>
      </c>
      <c r="D2372" s="7">
        <v>27</v>
      </c>
      <c r="E2372" s="3">
        <v>6</v>
      </c>
      <c r="F2372" s="3">
        <v>6</v>
      </c>
      <c r="G2372" t="s">
        <v>514</v>
      </c>
    </row>
    <row r="2373" spans="1:7" x14ac:dyDescent="0.25">
      <c r="A2373" s="1" t="str">
        <f>"1683"</f>
        <v>1683</v>
      </c>
      <c r="B2373" s="2" t="str">
        <f>"BEB.LACTEA SAL.FRUT DIA 850G"</f>
        <v>BEB.LACTEA SAL.FRUT DIA 850G</v>
      </c>
      <c r="C2373" s="2" t="str">
        <f t="shared" si="90"/>
        <v>UN</v>
      </c>
      <c r="D2373" s="7">
        <v>26</v>
      </c>
      <c r="E2373" s="3">
        <v>6</v>
      </c>
      <c r="F2373" s="3">
        <v>6</v>
      </c>
      <c r="G2373" t="s">
        <v>513</v>
      </c>
    </row>
    <row r="2374" spans="1:7" x14ac:dyDescent="0.25">
      <c r="A2374" s="1" t="str">
        <f>"512862"</f>
        <v>512862</v>
      </c>
      <c r="B2374" s="2" t="str">
        <f>"BEBEDOURO AGUA"</f>
        <v>BEBEDOURO AGUA</v>
      </c>
      <c r="C2374" s="2" t="str">
        <f t="shared" si="90"/>
        <v>UN</v>
      </c>
      <c r="D2374" s="7">
        <v>1500</v>
      </c>
      <c r="E2374" s="3">
        <v>13</v>
      </c>
      <c r="F2374" s="3">
        <v>13</v>
      </c>
      <c r="G2374" t="s">
        <v>513</v>
      </c>
    </row>
    <row r="2375" spans="1:7" x14ac:dyDescent="0.25">
      <c r="A2375" s="1" t="str">
        <f>"515316"</f>
        <v>515316</v>
      </c>
      <c r="B2375" s="2" t="str">
        <f>"BEBEDOURO BELIERE"</f>
        <v>BEBEDOURO BELIERE</v>
      </c>
      <c r="C2375" s="2" t="str">
        <f t="shared" si="90"/>
        <v>UN</v>
      </c>
      <c r="D2375" s="7">
        <v>1500</v>
      </c>
      <c r="E2375" s="3">
        <v>13</v>
      </c>
      <c r="F2375" s="3">
        <v>13</v>
      </c>
      <c r="G2375" t="s">
        <v>513</v>
      </c>
    </row>
    <row r="2376" spans="1:7" x14ac:dyDescent="0.25">
      <c r="A2376" s="1" t="str">
        <f>"511029"</f>
        <v>511029</v>
      </c>
      <c r="B2376" s="2" t="str">
        <f>"BEBEDOURO EVIDENCE NEWMAQ 110V"</f>
        <v>BEBEDOURO EVIDENCE NEWMAQ 110V</v>
      </c>
      <c r="C2376" s="2" t="str">
        <f t="shared" si="90"/>
        <v>UN</v>
      </c>
      <c r="D2376" s="7">
        <v>402</v>
      </c>
      <c r="E2376" s="3">
        <v>4</v>
      </c>
      <c r="F2376" s="3">
        <v>4</v>
      </c>
      <c r="G2376" t="s">
        <v>512</v>
      </c>
    </row>
    <row r="2377" spans="1:7" x14ac:dyDescent="0.25">
      <c r="A2377" s="1" t="str">
        <f>"527597"</f>
        <v>527597</v>
      </c>
      <c r="B2377" s="2" t="str">
        <f>"BEBEDOURO INDUSTRIAL BANCADA 25 L KNOX"</f>
        <v>BEBEDOURO INDUSTRIAL BANCADA 25 L KNOX</v>
      </c>
      <c r="C2377" s="2" t="str">
        <f t="shared" si="90"/>
        <v>UN</v>
      </c>
      <c r="D2377" s="7">
        <v>811</v>
      </c>
      <c r="E2377" s="3">
        <v>13</v>
      </c>
      <c r="F2377" s="3">
        <v>13</v>
      </c>
      <c r="G2377" t="s">
        <v>513</v>
      </c>
    </row>
    <row r="2378" spans="1:7" x14ac:dyDescent="0.25">
      <c r="A2378" s="1" t="str">
        <f>"510833"</f>
        <v>510833</v>
      </c>
      <c r="B2378" s="2" t="str">
        <f>"BEBEDOURO MASTER FRIO"</f>
        <v>BEBEDOURO MASTER FRIO</v>
      </c>
      <c r="C2378" s="2" t="str">
        <f t="shared" si="90"/>
        <v>UN</v>
      </c>
      <c r="D2378" s="7">
        <v>402</v>
      </c>
      <c r="E2378" s="3">
        <v>4</v>
      </c>
      <c r="F2378" s="3">
        <v>4</v>
      </c>
      <c r="G2378" t="s">
        <v>514</v>
      </c>
    </row>
    <row r="2379" spans="1:7" x14ac:dyDescent="0.25">
      <c r="A2379" s="1" t="str">
        <f>"522003"</f>
        <v>522003</v>
      </c>
      <c r="B2379" s="2" t="str">
        <f>"BEBEDOURO MOD. 100 LITROS 3 TORNEIRAS CÂNOVAS"</f>
        <v>BEBEDOURO MOD. 100 LITROS 3 TORNEIRAS CÂNOVAS</v>
      </c>
      <c r="C2379" s="2" t="str">
        <f t="shared" si="90"/>
        <v>UN</v>
      </c>
      <c r="D2379" s="7">
        <v>402</v>
      </c>
      <c r="E2379" s="3">
        <v>4</v>
      </c>
      <c r="F2379" s="3">
        <v>4</v>
      </c>
      <c r="G2379" t="s">
        <v>515</v>
      </c>
    </row>
    <row r="2380" spans="1:7" x14ac:dyDescent="0.25">
      <c r="A2380" s="1" t="str">
        <f>"518749"</f>
        <v>518749</v>
      </c>
      <c r="B2380" s="2" t="str">
        <f>"BEBEDOURO REFRIG. COMPACTO IBBL BRANCO"</f>
        <v>BEBEDOURO REFRIG. COMPACTO IBBL BRANCO</v>
      </c>
      <c r="C2380" s="2" t="str">
        <f t="shared" si="90"/>
        <v>UN</v>
      </c>
      <c r="D2380" s="7">
        <v>1500</v>
      </c>
      <c r="E2380" s="3">
        <v>13</v>
      </c>
      <c r="F2380" s="3">
        <v>13</v>
      </c>
      <c r="G2380" t="s">
        <v>512</v>
      </c>
    </row>
    <row r="2381" spans="1:7" x14ac:dyDescent="0.25">
      <c r="A2381" s="1" t="str">
        <f>"520579"</f>
        <v>520579</v>
      </c>
      <c r="B2381" s="2" t="str">
        <f>"BEBEDOURO REFRIG. MAX GEL 3 TORN - 220 VOLTS MAQ NEW"</f>
        <v>BEBEDOURO REFRIG. MAX GEL 3 TORN - 220 VOLTS MAQ NEW</v>
      </c>
      <c r="C2381" s="2" t="str">
        <f t="shared" si="90"/>
        <v>UN</v>
      </c>
      <c r="D2381" s="7">
        <v>1500</v>
      </c>
      <c r="E2381" s="3">
        <v>13</v>
      </c>
      <c r="F2381" s="3">
        <v>13</v>
      </c>
      <c r="G2381" t="s">
        <v>516</v>
      </c>
    </row>
    <row r="2382" spans="1:7" x14ac:dyDescent="0.25">
      <c r="A2382" s="1" t="str">
        <f>"1657"</f>
        <v>1657</v>
      </c>
      <c r="B2382" s="2" t="str">
        <f>"BEBEIDA LACTEA SALADA DE FRUTAS GARRAFA CAROLINA 850/800G"</f>
        <v>BEBEIDA LACTEA SALADA DE FRUTAS GARRAFA CAROLINA 850/800G</v>
      </c>
      <c r="C2382" s="2" t="str">
        <f t="shared" si="90"/>
        <v>UN</v>
      </c>
      <c r="D2382" s="7">
        <v>63</v>
      </c>
      <c r="E2382" s="3">
        <v>6</v>
      </c>
      <c r="F2382" s="3">
        <v>6</v>
      </c>
      <c r="G2382" t="s">
        <v>515</v>
      </c>
    </row>
    <row r="2383" spans="1:7" x14ac:dyDescent="0.25">
      <c r="A2383" s="1" t="str">
        <f>"1185"</f>
        <v>1185</v>
      </c>
      <c r="B2383" s="2" t="str">
        <f>"BEBIDA LAC. FERM. VERY GURT GRAVIOLA SAQ 850G C/12"</f>
        <v>BEBIDA LAC. FERM. VERY GURT GRAVIOLA SAQ 850G C/12</v>
      </c>
      <c r="C2383" s="2" t="str">
        <f t="shared" si="90"/>
        <v>UN</v>
      </c>
      <c r="D2383" s="7">
        <v>26</v>
      </c>
      <c r="E2383" s="3">
        <v>6</v>
      </c>
      <c r="F2383" s="3">
        <v>6</v>
      </c>
      <c r="G2383" t="s">
        <v>514</v>
      </c>
    </row>
    <row r="2384" spans="1:7" x14ac:dyDescent="0.25">
      <c r="A2384" s="1" t="str">
        <f>"1180"</f>
        <v>1180</v>
      </c>
      <c r="B2384" s="2" t="str">
        <f>"BEBIDA LAC.VERY GURT PESSEGO SAQ. 850 G C/12 UND"</f>
        <v>BEBIDA LAC.VERY GURT PESSEGO SAQ. 850 G C/12 UND</v>
      </c>
      <c r="C2384" s="2" t="str">
        <f t="shared" si="90"/>
        <v>UN</v>
      </c>
      <c r="D2384" s="7">
        <v>26</v>
      </c>
      <c r="E2384" s="3">
        <v>6</v>
      </c>
      <c r="F2384" s="3">
        <v>6</v>
      </c>
      <c r="G2384" t="s">
        <v>512</v>
      </c>
    </row>
    <row r="2385" spans="1:7" x14ac:dyDescent="0.25">
      <c r="A2385" s="1" t="str">
        <f>"4690"</f>
        <v>4690</v>
      </c>
      <c r="B2385" s="2" t="str">
        <f>"BEBIDA LACTEA ACAI COM BANANA- FRASCO"</f>
        <v>BEBIDA LACTEA ACAI COM BANANA- FRASCO</v>
      </c>
      <c r="C2385" s="2" t="str">
        <f>"KG"</f>
        <v>KG</v>
      </c>
      <c r="D2385" s="7">
        <v>1900</v>
      </c>
      <c r="E2385" s="3">
        <v>7</v>
      </c>
      <c r="F2385" s="3">
        <v>7</v>
      </c>
      <c r="G2385" t="s">
        <v>513</v>
      </c>
    </row>
    <row r="2386" spans="1:7" x14ac:dyDescent="0.25">
      <c r="A2386" s="1" t="str">
        <f>"1730"</f>
        <v>1730</v>
      </c>
      <c r="B2386" s="2" t="str">
        <f>"BEBIDA LACTEA ACAI COM BANANA GARRAFA CAROLINA 150G"</f>
        <v>BEBIDA LACTEA ACAI COM BANANA GARRAFA CAROLINA 150G</v>
      </c>
      <c r="C2386" s="2" t="str">
        <f>"UN"</f>
        <v>UN</v>
      </c>
      <c r="D2386" s="7">
        <v>8</v>
      </c>
      <c r="E2386" s="3">
        <v>6</v>
      </c>
      <c r="F2386" s="3">
        <v>6</v>
      </c>
      <c r="G2386" t="s">
        <v>514</v>
      </c>
    </row>
    <row r="2387" spans="1:7" x14ac:dyDescent="0.25">
      <c r="A2387" s="1" t="str">
        <f>"1733"</f>
        <v>1733</v>
      </c>
      <c r="B2387" s="2" t="str">
        <f>"BEBIDA LACTEA ACAI COM BANANA GARRAFA CAROLINA 800G"</f>
        <v>BEBIDA LACTEA ACAI COM BANANA GARRAFA CAROLINA 800G</v>
      </c>
      <c r="C2387" s="2" t="str">
        <f>"UN"</f>
        <v>UN</v>
      </c>
      <c r="D2387" s="7">
        <v>63</v>
      </c>
      <c r="E2387" s="3">
        <v>6</v>
      </c>
      <c r="F2387" s="3">
        <v>6</v>
      </c>
      <c r="G2387" t="s">
        <v>514</v>
      </c>
    </row>
    <row r="2388" spans="1:7" x14ac:dyDescent="0.25">
      <c r="A2388" s="1" t="str">
        <f>"4692"</f>
        <v>4692</v>
      </c>
      <c r="B2388" s="2" t="str">
        <f>"BEBIDA LACTEA ACAI COM GUARANA- FRASCO"</f>
        <v>BEBIDA LACTEA ACAI COM GUARANA- FRASCO</v>
      </c>
      <c r="C2388" s="2" t="str">
        <f>"KG"</f>
        <v>KG</v>
      </c>
      <c r="D2388" s="7">
        <v>1900</v>
      </c>
      <c r="E2388" s="3">
        <v>7</v>
      </c>
      <c r="F2388" s="3">
        <v>7</v>
      </c>
      <c r="G2388" t="s">
        <v>512</v>
      </c>
    </row>
    <row r="2389" spans="1:7" x14ac:dyDescent="0.25">
      <c r="A2389" s="1" t="str">
        <f>"1732"</f>
        <v>1732</v>
      </c>
      <c r="B2389" s="2" t="str">
        <f>"BEBIDA LACTEA ACAI COM GUARANA GARRAFA CAROLINA 150G"</f>
        <v>BEBIDA LACTEA ACAI COM GUARANA GARRAFA CAROLINA 150G</v>
      </c>
      <c r="C2389" s="2" t="str">
        <f>"UN"</f>
        <v>UN</v>
      </c>
      <c r="D2389" s="7">
        <v>8</v>
      </c>
      <c r="E2389" s="3">
        <v>6</v>
      </c>
      <c r="F2389" s="3">
        <v>6</v>
      </c>
      <c r="G2389" t="s">
        <v>513</v>
      </c>
    </row>
    <row r="2390" spans="1:7" x14ac:dyDescent="0.25">
      <c r="A2390" s="1" t="str">
        <f>"1735"</f>
        <v>1735</v>
      </c>
      <c r="B2390" s="2" t="str">
        <f>"BEBIDA LACTEA ACAI COM GUARANA GARRAFA CAROLINA 800G"</f>
        <v>BEBIDA LACTEA ACAI COM GUARANA GARRAFA CAROLINA 800G</v>
      </c>
      <c r="C2390" s="2" t="str">
        <f>"UN"</f>
        <v>UN</v>
      </c>
      <c r="D2390" s="7">
        <v>63</v>
      </c>
      <c r="E2390" s="3">
        <v>6</v>
      </c>
      <c r="F2390" s="3">
        <v>6</v>
      </c>
      <c r="G2390" t="s">
        <v>514</v>
      </c>
    </row>
    <row r="2391" spans="1:7" x14ac:dyDescent="0.25">
      <c r="A2391" s="1" t="str">
        <f>"4691"</f>
        <v>4691</v>
      </c>
      <c r="B2391" s="2" t="str">
        <f>"BEBIDA LACTEA ACAI COM MORANGO- FRASCO"</f>
        <v>BEBIDA LACTEA ACAI COM MORANGO- FRASCO</v>
      </c>
      <c r="C2391" s="2" t="str">
        <f>"KG"</f>
        <v>KG</v>
      </c>
      <c r="D2391" s="7">
        <v>1900</v>
      </c>
      <c r="E2391" s="3">
        <v>7</v>
      </c>
      <c r="F2391" s="3">
        <v>7</v>
      </c>
      <c r="G2391" t="s">
        <v>514</v>
      </c>
    </row>
    <row r="2392" spans="1:7" x14ac:dyDescent="0.25">
      <c r="A2392" s="1" t="str">
        <f>"1734"</f>
        <v>1734</v>
      </c>
      <c r="B2392" s="2" t="str">
        <f>"BEBIDA LACTEA ACAI COM MORANGO GARRAFA CAROLINA  800G"</f>
        <v>BEBIDA LACTEA ACAI COM MORANGO GARRAFA CAROLINA  800G</v>
      </c>
      <c r="C2392" s="2" t="str">
        <f>"UN"</f>
        <v>UN</v>
      </c>
      <c r="D2392" s="7">
        <v>63</v>
      </c>
      <c r="E2392" s="3">
        <v>6</v>
      </c>
      <c r="F2392" s="3">
        <v>6</v>
      </c>
      <c r="G2392" t="s">
        <v>514</v>
      </c>
    </row>
    <row r="2393" spans="1:7" x14ac:dyDescent="0.25">
      <c r="A2393" s="1" t="str">
        <f>"1731"</f>
        <v>1731</v>
      </c>
      <c r="B2393" s="2" t="str">
        <f>"BEBIDA LACTEA ACAI COM MORANGO GARRAFA CAROLINA 150G"</f>
        <v>BEBIDA LACTEA ACAI COM MORANGO GARRAFA CAROLINA 150G</v>
      </c>
      <c r="C2393" s="2" t="str">
        <f>"UN"</f>
        <v>UN</v>
      </c>
      <c r="D2393" s="7">
        <v>8</v>
      </c>
      <c r="E2393" s="3">
        <v>6</v>
      </c>
      <c r="F2393" s="3">
        <v>6</v>
      </c>
      <c r="G2393" t="s">
        <v>513</v>
      </c>
    </row>
    <row r="2394" spans="1:7" x14ac:dyDescent="0.25">
      <c r="A2394" s="1" t="str">
        <f>"1662"</f>
        <v>1662</v>
      </c>
      <c r="B2394" s="2" t="str">
        <f>"BEBIDA LACTEA ACAI E BANANA CAROLINA 1250G"</f>
        <v>BEBIDA LACTEA ACAI E BANANA CAROLINA 1250G</v>
      </c>
      <c r="C2394" s="2" t="str">
        <f>"UN"</f>
        <v>UN</v>
      </c>
      <c r="D2394" s="7">
        <v>51</v>
      </c>
      <c r="E2394" s="3">
        <v>6</v>
      </c>
      <c r="F2394" s="3">
        <v>6</v>
      </c>
      <c r="G2394" t="s">
        <v>512</v>
      </c>
    </row>
    <row r="2395" spans="1:7" x14ac:dyDescent="0.25">
      <c r="A2395" s="1" t="str">
        <f>"1663"</f>
        <v>1663</v>
      </c>
      <c r="B2395" s="2" t="str">
        <f>"BEBIDA LACTEA ACAI E MORANGO CAROLINA 1250G"</f>
        <v>BEBIDA LACTEA ACAI E MORANGO CAROLINA 1250G</v>
      </c>
      <c r="C2395" s="2" t="str">
        <f>"UN"</f>
        <v>UN</v>
      </c>
      <c r="D2395" s="7">
        <v>51</v>
      </c>
      <c r="E2395" s="3">
        <v>6</v>
      </c>
      <c r="F2395" s="3">
        <v>6</v>
      </c>
      <c r="G2395" t="s">
        <v>513</v>
      </c>
    </row>
    <row r="2396" spans="1:7" x14ac:dyDescent="0.25">
      <c r="A2396" s="1" t="str">
        <f>"71"</f>
        <v>71</v>
      </c>
      <c r="B2396" s="2" t="str">
        <f>"BEBIDA LACTEA AMEIXA - SAQUINHO"</f>
        <v>BEBIDA LACTEA AMEIXA - SAQUINHO</v>
      </c>
      <c r="C2396" s="2" t="str">
        <f>"KG"</f>
        <v>KG</v>
      </c>
      <c r="D2396" s="7">
        <v>1900</v>
      </c>
      <c r="E2396" s="3">
        <v>7</v>
      </c>
      <c r="F2396" s="3">
        <v>7</v>
      </c>
      <c r="G2396" t="s">
        <v>514</v>
      </c>
    </row>
    <row r="2397" spans="1:7" x14ac:dyDescent="0.25">
      <c r="A2397" s="1" t="str">
        <f>"1181"</f>
        <v>1181</v>
      </c>
      <c r="B2397" s="2" t="str">
        <f>"BEBIDA LACTEA AMEIXA PACOTE 850G"</f>
        <v>BEBIDA LACTEA AMEIXA PACOTE 850G</v>
      </c>
      <c r="C2397" s="2" t="str">
        <f>"UN"</f>
        <v>UN</v>
      </c>
      <c r="D2397" s="7">
        <v>26</v>
      </c>
      <c r="E2397" s="3">
        <v>6</v>
      </c>
      <c r="F2397" s="3">
        <v>6</v>
      </c>
      <c r="G2397" t="s">
        <v>514</v>
      </c>
    </row>
    <row r="2398" spans="1:7" x14ac:dyDescent="0.25">
      <c r="A2398" s="1" t="str">
        <f>"92"</f>
        <v>92</v>
      </c>
      <c r="B2398" s="2" t="str">
        <f>"BEBIDA LACTEA CHOCOLATE"</f>
        <v>BEBIDA LACTEA CHOCOLATE</v>
      </c>
      <c r="C2398" s="2" t="str">
        <f t="shared" ref="C2398:C2405" si="91">"KG"</f>
        <v>KG</v>
      </c>
      <c r="D2398" s="7">
        <v>1900</v>
      </c>
      <c r="E2398" s="3">
        <v>7</v>
      </c>
      <c r="F2398" s="3">
        <v>7</v>
      </c>
      <c r="G2398" t="s">
        <v>514</v>
      </c>
    </row>
    <row r="2399" spans="1:7" x14ac:dyDescent="0.25">
      <c r="A2399" s="1" t="str">
        <f>"67"</f>
        <v>67</v>
      </c>
      <c r="B2399" s="2" t="str">
        <f>"BEBIDA LACTEA CHOCOLATE COM BAUNILHA - FRASCO"</f>
        <v>BEBIDA LACTEA CHOCOLATE COM BAUNILHA - FRASCO</v>
      </c>
      <c r="C2399" s="2" t="str">
        <f t="shared" si="91"/>
        <v>KG</v>
      </c>
      <c r="D2399" s="7">
        <v>1900</v>
      </c>
      <c r="E2399" s="3">
        <v>7</v>
      </c>
      <c r="F2399" s="3">
        <v>7</v>
      </c>
      <c r="G2399" t="s">
        <v>513</v>
      </c>
    </row>
    <row r="2400" spans="1:7" x14ac:dyDescent="0.25">
      <c r="A2400" s="1" t="str">
        <f>"70"</f>
        <v>70</v>
      </c>
      <c r="B2400" s="2" t="str">
        <f>"BEBIDA LACTEA CHOCOLATE COM CEREJA - FRASCO"</f>
        <v>BEBIDA LACTEA CHOCOLATE COM CEREJA - FRASCO</v>
      </c>
      <c r="C2400" s="2" t="str">
        <f t="shared" si="91"/>
        <v>KG</v>
      </c>
      <c r="D2400" s="7">
        <v>1900</v>
      </c>
      <c r="E2400" s="3">
        <v>7</v>
      </c>
      <c r="F2400" s="3">
        <v>7</v>
      </c>
      <c r="G2400" t="s">
        <v>513</v>
      </c>
    </row>
    <row r="2401" spans="1:7" x14ac:dyDescent="0.25">
      <c r="A2401" s="1" t="str">
        <f>"68"</f>
        <v>68</v>
      </c>
      <c r="B2401" s="2" t="str">
        <f>"BEBIDA LACTEA CHOCOLATE COM COCO - FRASCO"</f>
        <v>BEBIDA LACTEA CHOCOLATE COM COCO - FRASCO</v>
      </c>
      <c r="C2401" s="2" t="str">
        <f t="shared" si="91"/>
        <v>KG</v>
      </c>
      <c r="D2401" s="7">
        <v>1900</v>
      </c>
      <c r="E2401" s="3">
        <v>7</v>
      </c>
      <c r="F2401" s="3">
        <v>7</v>
      </c>
      <c r="G2401" t="s">
        <v>513</v>
      </c>
    </row>
    <row r="2402" spans="1:7" x14ac:dyDescent="0.25">
      <c r="A2402" s="1" t="str">
        <f>"69"</f>
        <v>69</v>
      </c>
      <c r="B2402" s="2" t="str">
        <f>"BEBIDA LACTEA CHOCOLATE COM MORANGO - FRASCO"</f>
        <v>BEBIDA LACTEA CHOCOLATE COM MORANGO - FRASCO</v>
      </c>
      <c r="C2402" s="2" t="str">
        <f t="shared" si="91"/>
        <v>KG</v>
      </c>
      <c r="D2402" s="7">
        <v>1900</v>
      </c>
      <c r="E2402" s="3">
        <v>7</v>
      </c>
      <c r="F2402" s="3">
        <v>7</v>
      </c>
      <c r="G2402" t="s">
        <v>512</v>
      </c>
    </row>
    <row r="2403" spans="1:7" x14ac:dyDescent="0.25">
      <c r="A2403" s="1" t="str">
        <f>"40"</f>
        <v>40</v>
      </c>
      <c r="B2403" s="2" t="str">
        <f>"BEBIDA LACTEA COCO - BANDEJA"</f>
        <v>BEBIDA LACTEA COCO - BANDEJA</v>
      </c>
      <c r="C2403" s="2" t="str">
        <f t="shared" si="91"/>
        <v>KG</v>
      </c>
      <c r="D2403" s="7">
        <v>1900</v>
      </c>
      <c r="E2403" s="3">
        <v>7</v>
      </c>
      <c r="F2403" s="3">
        <v>7</v>
      </c>
      <c r="G2403" t="s">
        <v>513</v>
      </c>
    </row>
    <row r="2404" spans="1:7" x14ac:dyDescent="0.25">
      <c r="A2404" s="1" t="str">
        <f>"28"</f>
        <v>28</v>
      </c>
      <c r="B2404" s="2" t="str">
        <f>"BEBIDA LACTEA COCO - FRASCO"</f>
        <v>BEBIDA LACTEA COCO - FRASCO</v>
      </c>
      <c r="C2404" s="2" t="str">
        <f t="shared" si="91"/>
        <v>KG</v>
      </c>
      <c r="D2404" s="7">
        <v>1900</v>
      </c>
      <c r="E2404" s="3">
        <v>7</v>
      </c>
      <c r="F2404" s="3">
        <v>7</v>
      </c>
      <c r="G2404" t="s">
        <v>514</v>
      </c>
    </row>
    <row r="2405" spans="1:7" x14ac:dyDescent="0.25">
      <c r="A2405" s="1" t="str">
        <f>"42"</f>
        <v>42</v>
      </c>
      <c r="B2405" s="2" t="str">
        <f>"BEBIDA LACTEA COCO - SAQUINHO"</f>
        <v>BEBIDA LACTEA COCO - SAQUINHO</v>
      </c>
      <c r="C2405" s="2" t="str">
        <f t="shared" si="91"/>
        <v>KG</v>
      </c>
      <c r="D2405" s="7">
        <v>1900</v>
      </c>
      <c r="E2405" s="3">
        <v>7</v>
      </c>
      <c r="F2405" s="3">
        <v>7</v>
      </c>
      <c r="G2405" t="s">
        <v>515</v>
      </c>
    </row>
    <row r="2406" spans="1:7" x14ac:dyDescent="0.25">
      <c r="A2406" s="1" t="str">
        <f>"1407"</f>
        <v>1407</v>
      </c>
      <c r="B2406" s="2" t="str">
        <f>"BEBIDA LACTEA COCO CRRF 160G"</f>
        <v>BEBIDA LACTEA COCO CRRF 160G</v>
      </c>
      <c r="C2406" s="2" t="str">
        <f t="shared" ref="C2406:C2420" si="92">"UN"</f>
        <v>UN</v>
      </c>
      <c r="D2406" s="7">
        <v>9</v>
      </c>
      <c r="E2406" s="3">
        <v>6</v>
      </c>
      <c r="F2406" s="3">
        <v>6</v>
      </c>
      <c r="G2406" t="s">
        <v>512</v>
      </c>
    </row>
    <row r="2407" spans="1:7" x14ac:dyDescent="0.25">
      <c r="A2407" s="1" t="str">
        <f>"1719"</f>
        <v>1719</v>
      </c>
      <c r="B2407" s="2" t="str">
        <f>"BEBIDA LACTEA COCO DIA % 160 G"</f>
        <v>BEBIDA LACTEA COCO DIA % 160 G</v>
      </c>
      <c r="C2407" s="2" t="str">
        <f t="shared" si="92"/>
        <v>UN</v>
      </c>
      <c r="D2407" s="7">
        <v>9</v>
      </c>
      <c r="E2407" s="3">
        <v>6</v>
      </c>
      <c r="F2407" s="3">
        <v>6</v>
      </c>
      <c r="G2407" t="s">
        <v>516</v>
      </c>
    </row>
    <row r="2408" spans="1:7" x14ac:dyDescent="0.25">
      <c r="A2408" s="1" t="str">
        <f>"1714"</f>
        <v>1714</v>
      </c>
      <c r="B2408" s="2" t="str">
        <f>"BEBIDA LACTEA COCO DIA% 850G"</f>
        <v>BEBIDA LACTEA COCO DIA% 850G</v>
      </c>
      <c r="C2408" s="2" t="str">
        <f t="shared" si="92"/>
        <v>UN</v>
      </c>
      <c r="D2408" s="7">
        <v>15</v>
      </c>
      <c r="E2408" s="3">
        <v>6</v>
      </c>
      <c r="F2408" s="3">
        <v>6</v>
      </c>
      <c r="G2408" t="s">
        <v>515</v>
      </c>
    </row>
    <row r="2409" spans="1:7" x14ac:dyDescent="0.25">
      <c r="A2409" s="1" t="str">
        <f>"1645"</f>
        <v>1645</v>
      </c>
      <c r="B2409" s="2" t="str">
        <f>"BEBIDA LACTEA COCO GARRAFA 150G"</f>
        <v>BEBIDA LACTEA COCO GARRAFA 150G</v>
      </c>
      <c r="C2409" s="2" t="str">
        <f t="shared" si="92"/>
        <v>UN</v>
      </c>
      <c r="D2409" s="7">
        <v>8</v>
      </c>
      <c r="E2409" s="3">
        <v>6</v>
      </c>
      <c r="F2409" s="3">
        <v>6</v>
      </c>
      <c r="G2409" t="s">
        <v>514</v>
      </c>
    </row>
    <row r="2410" spans="1:7" x14ac:dyDescent="0.25">
      <c r="A2410" s="1" t="str">
        <f>"1667"</f>
        <v>1667</v>
      </c>
      <c r="B2410" s="2" t="str">
        <f>"BEBIDA LACTEA COCO GARRAFA CAROLINA 850/800G"</f>
        <v>BEBIDA LACTEA COCO GARRAFA CAROLINA 850/800G</v>
      </c>
      <c r="C2410" s="2" t="str">
        <f t="shared" si="92"/>
        <v>UN</v>
      </c>
      <c r="D2410" s="7">
        <v>15</v>
      </c>
      <c r="E2410" s="3">
        <v>6</v>
      </c>
      <c r="F2410" s="3">
        <v>6</v>
      </c>
      <c r="G2410" t="s">
        <v>512</v>
      </c>
    </row>
    <row r="2411" spans="1:7" x14ac:dyDescent="0.25">
      <c r="A2411" s="1" t="str">
        <f>"1183"</f>
        <v>1183</v>
      </c>
      <c r="B2411" s="2" t="str">
        <f>"BEBIDA LACTEA COCO PACOTE 850G"</f>
        <v>BEBIDA LACTEA COCO PACOTE 850G</v>
      </c>
      <c r="C2411" s="2" t="str">
        <f t="shared" si="92"/>
        <v>UN</v>
      </c>
      <c r="D2411" s="7">
        <v>26</v>
      </c>
      <c r="E2411" s="3">
        <v>6</v>
      </c>
      <c r="F2411" s="3">
        <v>6</v>
      </c>
      <c r="G2411" t="s">
        <v>513</v>
      </c>
    </row>
    <row r="2412" spans="1:7" x14ac:dyDescent="0.25">
      <c r="A2412" s="1" t="str">
        <f>"1821"</f>
        <v>1821</v>
      </c>
      <c r="B2412" s="2" t="str">
        <f>"BEBIDA LACTEA F VERM COOP PLUS 900G"</f>
        <v>BEBIDA LACTEA F VERM COOP PLUS 900G</v>
      </c>
      <c r="C2412" s="2" t="str">
        <f t="shared" si="92"/>
        <v>UN</v>
      </c>
      <c r="D2412" s="7">
        <v>16</v>
      </c>
      <c r="E2412" s="3">
        <v>6</v>
      </c>
      <c r="F2412" s="3">
        <v>6</v>
      </c>
      <c r="G2412" t="s">
        <v>514</v>
      </c>
    </row>
    <row r="2413" spans="1:7" x14ac:dyDescent="0.25">
      <c r="A2413" s="1" t="str">
        <f>"1405"</f>
        <v>1405</v>
      </c>
      <c r="B2413" s="2" t="str">
        <f>"BEBIDA LACTEA F VERMELHAS CRRF 160G"</f>
        <v>BEBIDA LACTEA F VERMELHAS CRRF 160G</v>
      </c>
      <c r="C2413" s="2" t="str">
        <f t="shared" si="92"/>
        <v>UN</v>
      </c>
      <c r="D2413" s="7">
        <v>9</v>
      </c>
      <c r="E2413" s="3">
        <v>6</v>
      </c>
      <c r="F2413" s="3">
        <v>6</v>
      </c>
      <c r="G2413" t="s">
        <v>514</v>
      </c>
    </row>
    <row r="2414" spans="1:7" x14ac:dyDescent="0.25">
      <c r="A2414" s="1" t="str">
        <f>"1401"</f>
        <v>1401</v>
      </c>
      <c r="B2414" s="2" t="str">
        <f>"BEBIDA LACTEA F VERMELHAS CRRF 900G"</f>
        <v>BEBIDA LACTEA F VERMELHAS CRRF 900G</v>
      </c>
      <c r="C2414" s="2" t="str">
        <f t="shared" si="92"/>
        <v>UN</v>
      </c>
      <c r="D2414" s="7">
        <v>16</v>
      </c>
      <c r="E2414" s="3">
        <v>6</v>
      </c>
      <c r="F2414" s="3">
        <v>6</v>
      </c>
      <c r="G2414" t="s">
        <v>512</v>
      </c>
    </row>
    <row r="2415" spans="1:7" x14ac:dyDescent="0.25">
      <c r="A2415" s="1" t="str">
        <f>"1720"</f>
        <v>1720</v>
      </c>
      <c r="B2415" s="2" t="str">
        <f>"BEBIDA LACTEA F VERMELHAS DIA % 160 G"</f>
        <v>BEBIDA LACTEA F VERMELHAS DIA % 160 G</v>
      </c>
      <c r="C2415" s="2" t="str">
        <f t="shared" si="92"/>
        <v>UN</v>
      </c>
      <c r="D2415" s="7">
        <v>9</v>
      </c>
      <c r="E2415" s="3">
        <v>6</v>
      </c>
      <c r="F2415" s="3">
        <v>6</v>
      </c>
      <c r="G2415" t="s">
        <v>513</v>
      </c>
    </row>
    <row r="2416" spans="1:7" x14ac:dyDescent="0.25">
      <c r="A2416" s="1" t="str">
        <f>"1723"</f>
        <v>1723</v>
      </c>
      <c r="B2416" s="2" t="str">
        <f>"BEBIDA LACTEA F VERMELHAS DIA% 1250G"</f>
        <v>BEBIDA LACTEA F VERMELHAS DIA% 1250G</v>
      </c>
      <c r="C2416" s="2" t="str">
        <f t="shared" si="92"/>
        <v>UN</v>
      </c>
      <c r="D2416" s="7">
        <v>51</v>
      </c>
      <c r="E2416" s="3">
        <v>6</v>
      </c>
      <c r="F2416" s="3">
        <v>6</v>
      </c>
      <c r="G2416" t="s">
        <v>514</v>
      </c>
    </row>
    <row r="2417" spans="1:7" x14ac:dyDescent="0.25">
      <c r="A2417" s="1" t="str">
        <f>"1715"</f>
        <v>1715</v>
      </c>
      <c r="B2417" s="2" t="str">
        <f>"BEBIDA LACTEA F VERMELHAS DIA% 850G"</f>
        <v>BEBIDA LACTEA F VERMELHAS DIA% 850G</v>
      </c>
      <c r="C2417" s="2" t="str">
        <f t="shared" si="92"/>
        <v>UN</v>
      </c>
      <c r="D2417" s="7">
        <v>15</v>
      </c>
      <c r="E2417" s="3">
        <v>6</v>
      </c>
      <c r="F2417" s="3">
        <v>6</v>
      </c>
      <c r="G2417" t="s">
        <v>514</v>
      </c>
    </row>
    <row r="2418" spans="1:7" x14ac:dyDescent="0.25">
      <c r="A2418" s="1" t="str">
        <f>"1898"</f>
        <v>1898</v>
      </c>
      <c r="B2418" s="2" t="str">
        <f>"BEBIDA LACTEA FERM AMEIXA DIA 850G"</f>
        <v>BEBIDA LACTEA FERM AMEIXA DIA 850G</v>
      </c>
      <c r="C2418" s="2" t="str">
        <f t="shared" si="92"/>
        <v>UN</v>
      </c>
      <c r="D2418" s="7">
        <v>26</v>
      </c>
      <c r="E2418" s="3">
        <v>6</v>
      </c>
      <c r="F2418" s="3">
        <v>6</v>
      </c>
      <c r="G2418" t="s">
        <v>514</v>
      </c>
    </row>
    <row r="2419" spans="1:7" x14ac:dyDescent="0.25">
      <c r="A2419" s="1" t="str">
        <f>"1899"</f>
        <v>1899</v>
      </c>
      <c r="B2419" s="2" t="str">
        <f>"BEBIDA LACTEA FERM COCO DIA 850G"</f>
        <v>BEBIDA LACTEA FERM COCO DIA 850G</v>
      </c>
      <c r="C2419" s="2" t="str">
        <f t="shared" si="92"/>
        <v>UN</v>
      </c>
      <c r="D2419" s="7">
        <v>26</v>
      </c>
      <c r="E2419" s="3">
        <v>6</v>
      </c>
      <c r="F2419" s="3">
        <v>6</v>
      </c>
      <c r="G2419" t="s">
        <v>513</v>
      </c>
    </row>
    <row r="2420" spans="1:7" x14ac:dyDescent="0.25">
      <c r="A2420" s="1" t="str">
        <f>"1664"</f>
        <v>1664</v>
      </c>
      <c r="B2420" s="2" t="str">
        <f>"BEBIDA LACTEA FERM. FRUTAS VERMELHAS CAROLINA 1250G"</f>
        <v>BEBIDA LACTEA FERM. FRUTAS VERMELHAS CAROLINA 1250G</v>
      </c>
      <c r="C2420" s="2" t="str">
        <f t="shared" si="92"/>
        <v>UN</v>
      </c>
      <c r="D2420" s="7">
        <v>51</v>
      </c>
      <c r="E2420" s="3">
        <v>6</v>
      </c>
      <c r="F2420" s="3">
        <v>6</v>
      </c>
      <c r="G2420" t="s">
        <v>512</v>
      </c>
    </row>
    <row r="2421" spans="1:7" x14ac:dyDescent="0.25">
      <c r="A2421" s="1" t="str">
        <f>"34"</f>
        <v>34</v>
      </c>
      <c r="B2421" s="2" t="str">
        <f>"BEBIDA LACTEA FRUTAS COM CEREAIS - FRASCO"</f>
        <v>BEBIDA LACTEA FRUTAS COM CEREAIS - FRASCO</v>
      </c>
      <c r="C2421" s="2" t="str">
        <f>"KG"</f>
        <v>KG</v>
      </c>
      <c r="D2421" s="7">
        <v>1900</v>
      </c>
      <c r="E2421" s="3">
        <v>7</v>
      </c>
      <c r="F2421" s="3">
        <v>7</v>
      </c>
      <c r="G2421" t="s">
        <v>513</v>
      </c>
    </row>
    <row r="2422" spans="1:7" x14ac:dyDescent="0.25">
      <c r="A2422" s="1" t="str">
        <f>"1825"</f>
        <v>1825</v>
      </c>
      <c r="B2422" s="2" t="str">
        <f>"BEBIDA LACTEA FRUTAS VERM COOP PLUS 160G"</f>
        <v>BEBIDA LACTEA FRUTAS VERM COOP PLUS 160G</v>
      </c>
      <c r="C2422" s="2" t="str">
        <f>"UN"</f>
        <v>UN</v>
      </c>
      <c r="D2422" s="7">
        <v>9</v>
      </c>
      <c r="E2422" s="3">
        <v>6</v>
      </c>
      <c r="F2422" s="3">
        <v>6</v>
      </c>
      <c r="G2422" t="s">
        <v>514</v>
      </c>
    </row>
    <row r="2423" spans="1:7" x14ac:dyDescent="0.25">
      <c r="A2423" s="1" t="str">
        <f>"31"</f>
        <v>31</v>
      </c>
      <c r="B2423" s="2" t="str">
        <f>"BEBIDA LACTEA FRUTAS VERMELHAS - FRASCO"</f>
        <v>BEBIDA LACTEA FRUTAS VERMELHAS - FRASCO</v>
      </c>
      <c r="C2423" s="2" t="str">
        <f>"KG"</f>
        <v>KG</v>
      </c>
      <c r="D2423" s="7">
        <v>1900</v>
      </c>
      <c r="E2423" s="3">
        <v>7</v>
      </c>
      <c r="F2423" s="3">
        <v>7</v>
      </c>
      <c r="G2423" t="s">
        <v>514</v>
      </c>
    </row>
    <row r="2424" spans="1:7" x14ac:dyDescent="0.25">
      <c r="A2424" s="1" t="str">
        <f>"1647"</f>
        <v>1647</v>
      </c>
      <c r="B2424" s="2" t="str">
        <f>"BEBIDA LACTEA FRUTAS VERMELHAS GARRAFA VERY 150G"</f>
        <v>BEBIDA LACTEA FRUTAS VERMELHAS GARRAFA VERY 150G</v>
      </c>
      <c r="C2424" s="2" t="str">
        <f t="shared" ref="C2424:C2433" si="93">"UN"</f>
        <v>UN</v>
      </c>
      <c r="D2424" s="7">
        <v>8</v>
      </c>
      <c r="E2424" s="3">
        <v>6</v>
      </c>
      <c r="F2424" s="3">
        <v>6</v>
      </c>
      <c r="G2424" t="s">
        <v>514</v>
      </c>
    </row>
    <row r="2425" spans="1:7" x14ac:dyDescent="0.25">
      <c r="A2425" s="1" t="str">
        <f>"1656"</f>
        <v>1656</v>
      </c>
      <c r="B2425" s="2" t="str">
        <f>"BEBIDA LACTEA FRUTAS VERMELHAS GARRAFA VERY 850/800G"</f>
        <v>BEBIDA LACTEA FRUTAS VERMELHAS GARRAFA VERY 850/800G</v>
      </c>
      <c r="C2425" s="2" t="str">
        <f t="shared" si="93"/>
        <v>UN</v>
      </c>
      <c r="D2425" s="7">
        <v>15</v>
      </c>
      <c r="E2425" s="3">
        <v>6</v>
      </c>
      <c r="F2425" s="3">
        <v>6</v>
      </c>
      <c r="G2425" t="s">
        <v>513</v>
      </c>
    </row>
    <row r="2426" spans="1:7" x14ac:dyDescent="0.25">
      <c r="A2426" s="1" t="str">
        <f>"7444"</f>
        <v>7444</v>
      </c>
      <c r="B2426" s="2" t="str">
        <f>"BEBIDA LACTEA GARRAFA UNIBABY ACAI COM BANANA 1250G"</f>
        <v>BEBIDA LACTEA GARRAFA UNIBABY ACAI COM BANANA 1250G</v>
      </c>
      <c r="C2426" s="2" t="str">
        <f t="shared" si="93"/>
        <v>UN</v>
      </c>
      <c r="D2426" s="7">
        <v>51</v>
      </c>
      <c r="E2426" s="3">
        <v>6</v>
      </c>
      <c r="F2426" s="3">
        <v>6</v>
      </c>
      <c r="G2426" t="s">
        <v>513</v>
      </c>
    </row>
    <row r="2427" spans="1:7" x14ac:dyDescent="0.25">
      <c r="A2427" s="1" t="str">
        <f>"7443"</f>
        <v>7443</v>
      </c>
      <c r="B2427" s="2" t="str">
        <f>"BEBIDA LACTEA GARRAFA UNIBABY ACAI COM MORANGO 1250G"</f>
        <v>BEBIDA LACTEA GARRAFA UNIBABY ACAI COM MORANGO 1250G</v>
      </c>
      <c r="C2427" s="2" t="str">
        <f t="shared" si="93"/>
        <v>UN</v>
      </c>
      <c r="D2427" s="7">
        <v>51</v>
      </c>
      <c r="E2427" s="3">
        <v>6</v>
      </c>
      <c r="F2427" s="3">
        <v>6</v>
      </c>
      <c r="G2427" t="s">
        <v>513</v>
      </c>
    </row>
    <row r="2428" spans="1:7" x14ac:dyDescent="0.25">
      <c r="A2428" s="1" t="str">
        <f>"7442"</f>
        <v>7442</v>
      </c>
      <c r="B2428" s="2" t="str">
        <f>"BEBIDA LACTEA GARRAFA UNIBABY FRUTAS VERMELHAS 1250G"</f>
        <v>BEBIDA LACTEA GARRAFA UNIBABY FRUTAS VERMELHAS 1250G</v>
      </c>
      <c r="C2428" s="2" t="str">
        <f t="shared" si="93"/>
        <v>UN</v>
      </c>
      <c r="D2428" s="7">
        <v>51</v>
      </c>
      <c r="E2428" s="3">
        <v>6</v>
      </c>
      <c r="F2428" s="3">
        <v>6</v>
      </c>
      <c r="G2428" t="s">
        <v>512</v>
      </c>
    </row>
    <row r="2429" spans="1:7" x14ac:dyDescent="0.25">
      <c r="A2429" s="1" t="str">
        <f>"7440"</f>
        <v>7440</v>
      </c>
      <c r="B2429" s="2" t="str">
        <f>"BEBIDA LACTEA GARRAFA UNIBABY MORANGO 1250G"</f>
        <v>BEBIDA LACTEA GARRAFA UNIBABY MORANGO 1250G</v>
      </c>
      <c r="C2429" s="2" t="str">
        <f t="shared" si="93"/>
        <v>UN</v>
      </c>
      <c r="D2429" s="7">
        <v>51</v>
      </c>
      <c r="E2429" s="3">
        <v>6</v>
      </c>
      <c r="F2429" s="3">
        <v>6</v>
      </c>
      <c r="G2429" t="s">
        <v>513</v>
      </c>
    </row>
    <row r="2430" spans="1:7" x14ac:dyDescent="0.25">
      <c r="A2430" s="1" t="str">
        <f>"7441"</f>
        <v>7441</v>
      </c>
      <c r="B2430" s="2" t="str">
        <f>"BEBIDA LACTEA GARRAFA UNIBABY SALADA DE FRUTAS 1250G"</f>
        <v>BEBIDA LACTEA GARRAFA UNIBABY SALADA DE FRUTAS 1250G</v>
      </c>
      <c r="C2430" s="2" t="str">
        <f t="shared" si="93"/>
        <v>UN</v>
      </c>
      <c r="D2430" s="7">
        <v>51</v>
      </c>
      <c r="E2430" s="3">
        <v>6</v>
      </c>
      <c r="F2430" s="3">
        <v>6</v>
      </c>
      <c r="G2430" t="s">
        <v>514</v>
      </c>
    </row>
    <row r="2431" spans="1:7" x14ac:dyDescent="0.25">
      <c r="A2431" s="1" t="str">
        <f>"1165"</f>
        <v>1165</v>
      </c>
      <c r="B2431" s="2" t="str">
        <f>"BEBIDA LACTEA GLUCK COCO SAQUIN 1000 G"</f>
        <v>BEBIDA LACTEA GLUCK COCO SAQUIN 1000 G</v>
      </c>
      <c r="C2431" s="2" t="str">
        <f t="shared" si="93"/>
        <v>UN</v>
      </c>
      <c r="D2431" s="7">
        <v>27</v>
      </c>
      <c r="E2431" s="3">
        <v>6</v>
      </c>
      <c r="F2431" s="3">
        <v>6</v>
      </c>
      <c r="G2431" t="s">
        <v>515</v>
      </c>
    </row>
    <row r="2432" spans="1:7" x14ac:dyDescent="0.25">
      <c r="A2432" s="1" t="str">
        <f>"1166"</f>
        <v>1166</v>
      </c>
      <c r="B2432" s="2" t="str">
        <f>"BEBIDA LACTEA GLUCK MORANGO SAQ 1000 G - C/12"</f>
        <v>BEBIDA LACTEA GLUCK MORANGO SAQ 1000 G - C/12</v>
      </c>
      <c r="C2432" s="2" t="str">
        <f t="shared" si="93"/>
        <v>UN</v>
      </c>
      <c r="D2432" s="7">
        <v>27</v>
      </c>
      <c r="E2432" s="3">
        <v>6</v>
      </c>
      <c r="F2432" s="3">
        <v>6</v>
      </c>
      <c r="G2432" t="s">
        <v>512</v>
      </c>
    </row>
    <row r="2433" spans="1:7" x14ac:dyDescent="0.25">
      <c r="A2433" s="1" t="str">
        <f>"1718"</f>
        <v>1718</v>
      </c>
      <c r="B2433" s="2" t="str">
        <f>"BEBIDA LACTEA GRAVIOLA  DIA % 160 G"</f>
        <v>BEBIDA LACTEA GRAVIOLA  DIA % 160 G</v>
      </c>
      <c r="C2433" s="2" t="str">
        <f t="shared" si="93"/>
        <v>UN</v>
      </c>
      <c r="D2433" s="7">
        <v>9</v>
      </c>
      <c r="E2433" s="3">
        <v>6</v>
      </c>
      <c r="F2433" s="3">
        <v>6</v>
      </c>
      <c r="G2433" t="s">
        <v>516</v>
      </c>
    </row>
    <row r="2434" spans="1:7" x14ac:dyDescent="0.25">
      <c r="A2434" s="1" t="str">
        <f>"85"</f>
        <v>85</v>
      </c>
      <c r="B2434" s="2" t="str">
        <f>"BEBIDA LACTEA GRAVIOLA - FRASCO"</f>
        <v>BEBIDA LACTEA GRAVIOLA - FRASCO</v>
      </c>
      <c r="C2434" s="2" t="str">
        <f>"KG"</f>
        <v>KG</v>
      </c>
      <c r="D2434" s="7">
        <v>1900</v>
      </c>
      <c r="E2434" s="3">
        <v>7</v>
      </c>
      <c r="F2434" s="3">
        <v>7</v>
      </c>
      <c r="G2434" t="s">
        <v>515</v>
      </c>
    </row>
    <row r="2435" spans="1:7" x14ac:dyDescent="0.25">
      <c r="A2435" s="1" t="str">
        <f>"1713"</f>
        <v>1713</v>
      </c>
      <c r="B2435" s="2" t="str">
        <f>"BEBIDA LACTEA GRAVIOLA DIA% 850G"</f>
        <v>BEBIDA LACTEA GRAVIOLA DIA% 850G</v>
      </c>
      <c r="C2435" s="2" t="str">
        <f>"UN"</f>
        <v>UN</v>
      </c>
      <c r="D2435" s="7">
        <v>15</v>
      </c>
      <c r="E2435" s="3">
        <v>6</v>
      </c>
      <c r="F2435" s="3">
        <v>6</v>
      </c>
      <c r="G2435" t="s">
        <v>514</v>
      </c>
    </row>
    <row r="2436" spans="1:7" x14ac:dyDescent="0.25">
      <c r="A2436" s="1" t="str">
        <f>"1646"</f>
        <v>1646</v>
      </c>
      <c r="B2436" s="2" t="str">
        <f>"BEBIDA LACTEA GRAVIOLA GARRAFA 150G"</f>
        <v>BEBIDA LACTEA GRAVIOLA GARRAFA 150G</v>
      </c>
      <c r="C2436" s="2" t="str">
        <f>"UN"</f>
        <v>UN</v>
      </c>
      <c r="D2436" s="7">
        <v>8</v>
      </c>
      <c r="E2436" s="3">
        <v>6</v>
      </c>
      <c r="F2436" s="3">
        <v>6</v>
      </c>
      <c r="G2436" t="s">
        <v>512</v>
      </c>
    </row>
    <row r="2437" spans="1:7" x14ac:dyDescent="0.25">
      <c r="A2437" s="1" t="str">
        <f>"1655"</f>
        <v>1655</v>
      </c>
      <c r="B2437" s="2" t="str">
        <f>"BEBIDA LACTEA GRAVIOLA GARRAFA 800/850G"</f>
        <v>BEBIDA LACTEA GRAVIOLA GARRAFA 800/850G</v>
      </c>
      <c r="C2437" s="2" t="str">
        <f>"UN"</f>
        <v>UN</v>
      </c>
      <c r="D2437" s="7">
        <v>15</v>
      </c>
      <c r="E2437" s="3">
        <v>6</v>
      </c>
      <c r="F2437" s="3">
        <v>6</v>
      </c>
      <c r="G2437" t="s">
        <v>513</v>
      </c>
    </row>
    <row r="2438" spans="1:7" x14ac:dyDescent="0.25">
      <c r="A2438" s="1" t="str">
        <f>"127"</f>
        <v>127</v>
      </c>
      <c r="B2438" s="2" t="str">
        <f>"BEBIDA LACTEA LARANJA - SAQUINHO"</f>
        <v>BEBIDA LACTEA LARANJA - SAQUINHO</v>
      </c>
      <c r="C2438" s="2" t="str">
        <f>"KG"</f>
        <v>KG</v>
      </c>
      <c r="D2438" s="7">
        <v>1900</v>
      </c>
      <c r="E2438" s="3">
        <v>7</v>
      </c>
      <c r="F2438" s="3">
        <v>7</v>
      </c>
      <c r="G2438" t="s">
        <v>514</v>
      </c>
    </row>
    <row r="2439" spans="1:7" x14ac:dyDescent="0.25">
      <c r="A2439" s="1" t="str">
        <f>"126"</f>
        <v>126</v>
      </c>
      <c r="B2439" s="2" t="str">
        <f>"BEBIDA LACTEA LIMAO - SAQUINHO"</f>
        <v>BEBIDA LACTEA LIMAO - SAQUINHO</v>
      </c>
      <c r="C2439" s="2" t="str">
        <f>"KG"</f>
        <v>KG</v>
      </c>
      <c r="D2439" s="7">
        <v>1900</v>
      </c>
      <c r="E2439" s="3">
        <v>7</v>
      </c>
      <c r="F2439" s="3">
        <v>7</v>
      </c>
      <c r="G2439" t="s">
        <v>514</v>
      </c>
    </row>
    <row r="2440" spans="1:7" x14ac:dyDescent="0.25">
      <c r="A2440" s="1" t="str">
        <f>"1537"</f>
        <v>1537</v>
      </c>
      <c r="B2440" s="2" t="str">
        <f>"BEBIDA LACTEA LIQUIDA PESSEGO 180 G - BOMPREÇO"</f>
        <v>BEBIDA LACTEA LIQUIDA PESSEGO 180 G - BOMPREÇO</v>
      </c>
      <c r="C2440" s="2" t="str">
        <f t="shared" ref="C2440:C2447" si="94">"UN"</f>
        <v>UN</v>
      </c>
      <c r="D2440" s="7">
        <v>11</v>
      </c>
      <c r="E2440" s="3">
        <v>6</v>
      </c>
      <c r="F2440" s="3">
        <v>6</v>
      </c>
      <c r="G2440" t="s">
        <v>512</v>
      </c>
    </row>
    <row r="2441" spans="1:7" x14ac:dyDescent="0.25">
      <c r="A2441" s="1" t="str">
        <f>"1536"</f>
        <v>1536</v>
      </c>
      <c r="B2441" s="2" t="str">
        <f>"BEBIDA LACTEA LIQUIDO FRUTAS VERMELHAS 180 G - BOMPREÇO"</f>
        <v>BEBIDA LACTEA LIQUIDO FRUTAS VERMELHAS 180 G - BOMPREÇO</v>
      </c>
      <c r="C2441" s="2" t="str">
        <f t="shared" si="94"/>
        <v>UN</v>
      </c>
      <c r="D2441" s="7">
        <v>11</v>
      </c>
      <c r="E2441" s="3">
        <v>6</v>
      </c>
      <c r="F2441" s="3">
        <v>6</v>
      </c>
      <c r="G2441" t="s">
        <v>513</v>
      </c>
    </row>
    <row r="2442" spans="1:7" x14ac:dyDescent="0.25">
      <c r="A2442" s="1" t="str">
        <f>"1532"</f>
        <v>1532</v>
      </c>
      <c r="B2442" s="2" t="str">
        <f>"BEBIDA LACTEA LIQUIDO FRUTAS VERMELHAS 900 G - BOMPREÇO"</f>
        <v>BEBIDA LACTEA LIQUIDO FRUTAS VERMELHAS 900 G - BOMPREÇO</v>
      </c>
      <c r="C2442" s="2" t="str">
        <f t="shared" si="94"/>
        <v>UN</v>
      </c>
      <c r="D2442" s="7">
        <v>16</v>
      </c>
      <c r="E2442" s="3">
        <v>6</v>
      </c>
      <c r="F2442" s="3">
        <v>6</v>
      </c>
      <c r="G2442" t="s">
        <v>514</v>
      </c>
    </row>
    <row r="2443" spans="1:7" x14ac:dyDescent="0.25">
      <c r="A2443" s="1" t="str">
        <f>"1535"</f>
        <v>1535</v>
      </c>
      <c r="B2443" s="2" t="str">
        <f>"BEBIDA LACTEA LIQUIDO MORANGO 180 G - BOMPREÇO"</f>
        <v>BEBIDA LACTEA LIQUIDO MORANGO 180 G - BOMPREÇO</v>
      </c>
      <c r="C2443" s="2" t="str">
        <f t="shared" si="94"/>
        <v>UN</v>
      </c>
      <c r="D2443" s="7">
        <v>11</v>
      </c>
      <c r="E2443" s="3">
        <v>6</v>
      </c>
      <c r="F2443" s="3">
        <v>6</v>
      </c>
      <c r="G2443" t="s">
        <v>514</v>
      </c>
    </row>
    <row r="2444" spans="1:7" x14ac:dyDescent="0.25">
      <c r="A2444" s="1" t="str">
        <f>"1531"</f>
        <v>1531</v>
      </c>
      <c r="B2444" s="2" t="str">
        <f>"BEBIDA LACTEA LIQUIDO MORANGO 900 G - BOMPREÇO"</f>
        <v>BEBIDA LACTEA LIQUIDO MORANGO 900 G - BOMPREÇO</v>
      </c>
      <c r="C2444" s="2" t="str">
        <f t="shared" si="94"/>
        <v>UN</v>
      </c>
      <c r="D2444" s="7">
        <v>16</v>
      </c>
      <c r="E2444" s="3">
        <v>6</v>
      </c>
      <c r="F2444" s="3">
        <v>6</v>
      </c>
      <c r="G2444" t="s">
        <v>514</v>
      </c>
    </row>
    <row r="2445" spans="1:7" x14ac:dyDescent="0.25">
      <c r="A2445" s="1" t="str">
        <f>"1533"</f>
        <v>1533</v>
      </c>
      <c r="B2445" s="2" t="str">
        <f>"BEBIDA LACTEA LIQUIDO PESSEGO 900 G - BOMPREÇO"</f>
        <v>BEBIDA LACTEA LIQUIDO PESSEGO 900 G - BOMPREÇO</v>
      </c>
      <c r="C2445" s="2" t="str">
        <f t="shared" si="94"/>
        <v>UN</v>
      </c>
      <c r="D2445" s="7">
        <v>16</v>
      </c>
      <c r="E2445" s="3">
        <v>6</v>
      </c>
      <c r="F2445" s="3">
        <v>6</v>
      </c>
      <c r="G2445" t="s">
        <v>513</v>
      </c>
    </row>
    <row r="2446" spans="1:7" x14ac:dyDescent="0.25">
      <c r="A2446" s="1" t="str">
        <f>"1538"</f>
        <v>1538</v>
      </c>
      <c r="B2446" s="2" t="str">
        <f>"BEBIDA LACTEA LIQUIDO SALADA DE FRUTAS 180 G - BOMPREÇO"</f>
        <v>BEBIDA LACTEA LIQUIDO SALADA DE FRUTAS 180 G - BOMPREÇO</v>
      </c>
      <c r="C2446" s="2" t="str">
        <f t="shared" si="94"/>
        <v>UN</v>
      </c>
      <c r="D2446" s="7">
        <v>11</v>
      </c>
      <c r="E2446" s="3">
        <v>6</v>
      </c>
      <c r="F2446" s="3">
        <v>6</v>
      </c>
      <c r="G2446" t="s">
        <v>512</v>
      </c>
    </row>
    <row r="2447" spans="1:7" x14ac:dyDescent="0.25">
      <c r="A2447" s="1" t="str">
        <f>"1534"</f>
        <v>1534</v>
      </c>
      <c r="B2447" s="2" t="str">
        <f>"BEBIDA LACTEA LIQUIDO SALADA DE FRUTAS 900 G - BOMPREÇO"</f>
        <v>BEBIDA LACTEA LIQUIDO SALADA DE FRUTAS 900 G - BOMPREÇO</v>
      </c>
      <c r="C2447" s="2" t="str">
        <f t="shared" si="94"/>
        <v>UN</v>
      </c>
      <c r="D2447" s="7">
        <v>16</v>
      </c>
      <c r="E2447" s="3">
        <v>6</v>
      </c>
      <c r="F2447" s="3">
        <v>6</v>
      </c>
      <c r="G2447" t="s">
        <v>513</v>
      </c>
    </row>
    <row r="2448" spans="1:7" x14ac:dyDescent="0.25">
      <c r="A2448" s="1" t="str">
        <f>"35"</f>
        <v>35</v>
      </c>
      <c r="B2448" s="2" t="str">
        <f>"BEBIDA LACTEA MORANGO - BANDEJA"</f>
        <v>BEBIDA LACTEA MORANGO - BANDEJA</v>
      </c>
      <c r="C2448" s="2" t="str">
        <f>"KG"</f>
        <v>KG</v>
      </c>
      <c r="D2448" s="7">
        <v>1900</v>
      </c>
      <c r="E2448" s="3">
        <v>7</v>
      </c>
      <c r="F2448" s="3">
        <v>7</v>
      </c>
      <c r="G2448" t="s">
        <v>514</v>
      </c>
    </row>
    <row r="2449" spans="1:7" x14ac:dyDescent="0.25">
      <c r="A2449" s="1" t="str">
        <f>"27"</f>
        <v>27</v>
      </c>
      <c r="B2449" s="2" t="str">
        <f>"BEBIDA LACTEA MORANGO - FRASCO"</f>
        <v>BEBIDA LACTEA MORANGO - FRASCO</v>
      </c>
      <c r="C2449" s="2" t="str">
        <f>"KG"</f>
        <v>KG</v>
      </c>
      <c r="D2449" s="7">
        <v>1900</v>
      </c>
      <c r="E2449" s="3">
        <v>7</v>
      </c>
      <c r="F2449" s="3">
        <v>7</v>
      </c>
      <c r="G2449" t="s">
        <v>514</v>
      </c>
    </row>
    <row r="2450" spans="1:7" x14ac:dyDescent="0.25">
      <c r="A2450" s="1" t="str">
        <f>"41"</f>
        <v>41</v>
      </c>
      <c r="B2450" s="2" t="str">
        <f>"BEBIDA LACTEA MORANGO - SAQUINHO"</f>
        <v>BEBIDA LACTEA MORANGO - SAQUINHO</v>
      </c>
      <c r="C2450" s="2" t="str">
        <f>"KG"</f>
        <v>KG</v>
      </c>
      <c r="D2450" s="7">
        <v>1900</v>
      </c>
      <c r="E2450" s="3">
        <v>7</v>
      </c>
      <c r="F2450" s="3">
        <v>7</v>
      </c>
      <c r="G2450" t="s">
        <v>514</v>
      </c>
    </row>
    <row r="2451" spans="1:7" x14ac:dyDescent="0.25">
      <c r="A2451" s="1" t="str">
        <f>"3580"</f>
        <v>3580</v>
      </c>
      <c r="B2451" s="2" t="str">
        <f>"BEBIDA LACTEA MORANGO BANDEJA 360G"</f>
        <v>BEBIDA LACTEA MORANGO BANDEJA 360G</v>
      </c>
      <c r="C2451" s="2" t="str">
        <f>"UN"</f>
        <v>UN</v>
      </c>
      <c r="D2451" s="7">
        <v>52</v>
      </c>
      <c r="E2451" s="3">
        <v>6</v>
      </c>
      <c r="F2451" s="3">
        <v>6</v>
      </c>
      <c r="G2451" t="s">
        <v>513</v>
      </c>
    </row>
    <row r="2452" spans="1:7" x14ac:dyDescent="0.25">
      <c r="A2452" s="1" t="str">
        <f>"1186"</f>
        <v>1186</v>
      </c>
      <c r="B2452" s="2" t="str">
        <f>"BEBIDA LACTEA MORANGO BANDEJA CAROLINA 510G"</f>
        <v>BEBIDA LACTEA MORANGO BANDEJA CAROLINA 510G</v>
      </c>
      <c r="C2452" s="2" t="str">
        <f>"UN"</f>
        <v>UN</v>
      </c>
      <c r="D2452" s="7">
        <v>21</v>
      </c>
      <c r="E2452" s="3">
        <v>6</v>
      </c>
      <c r="F2452" s="3">
        <v>6</v>
      </c>
      <c r="G2452" t="s">
        <v>513</v>
      </c>
    </row>
    <row r="2453" spans="1:7" x14ac:dyDescent="0.25">
      <c r="A2453" s="1" t="str">
        <f>"3554"</f>
        <v>3554</v>
      </c>
      <c r="B2453" s="2" t="str">
        <f>"BEBIDA LACTEA MORANGO BANDEJA CAROLINA 510G"</f>
        <v>BEBIDA LACTEA MORANGO BANDEJA CAROLINA 510G</v>
      </c>
      <c r="C2453" s="2" t="str">
        <f>"UN"</f>
        <v>UN</v>
      </c>
      <c r="D2453" s="7">
        <v>21</v>
      </c>
      <c r="E2453" s="3">
        <v>6</v>
      </c>
      <c r="F2453" s="3">
        <v>6</v>
      </c>
      <c r="G2453" t="s">
        <v>513</v>
      </c>
    </row>
    <row r="2454" spans="1:7" x14ac:dyDescent="0.25">
      <c r="A2454" s="1" t="str">
        <f>"72"</f>
        <v>72</v>
      </c>
      <c r="B2454" s="2" t="str">
        <f>"BEBIDA LACTEA MORANGO BIBI BITS - COPO"</f>
        <v>BEBIDA LACTEA MORANGO BIBI BITS - COPO</v>
      </c>
      <c r="C2454" s="2" t="str">
        <f>"KG"</f>
        <v>KG</v>
      </c>
      <c r="D2454" s="7">
        <v>1900</v>
      </c>
      <c r="E2454" s="3">
        <v>7</v>
      </c>
      <c r="F2454" s="3">
        <v>7</v>
      </c>
      <c r="G2454" t="s">
        <v>512</v>
      </c>
    </row>
    <row r="2455" spans="1:7" x14ac:dyDescent="0.25">
      <c r="A2455" s="1" t="str">
        <f>"33"</f>
        <v>33</v>
      </c>
      <c r="B2455" s="2" t="str">
        <f>"BEBIDA LACTEA MORANGO COM CEREAIS - FRASCO"</f>
        <v>BEBIDA LACTEA MORANGO COM CEREAIS - FRASCO</v>
      </c>
      <c r="C2455" s="2" t="str">
        <f>"KG"</f>
        <v>KG</v>
      </c>
      <c r="D2455" s="7">
        <v>1900</v>
      </c>
      <c r="E2455" s="3">
        <v>7</v>
      </c>
      <c r="F2455" s="3">
        <v>7</v>
      </c>
      <c r="G2455" t="s">
        <v>513</v>
      </c>
    </row>
    <row r="2456" spans="1:7" x14ac:dyDescent="0.25">
      <c r="A2456" s="1" t="str">
        <f>"1830"</f>
        <v>1830</v>
      </c>
      <c r="B2456" s="2" t="str">
        <f>"BEBIDA LACTEA MORANGO COOP PLUS 150G"</f>
        <v>BEBIDA LACTEA MORANGO COOP PLUS 150G</v>
      </c>
      <c r="C2456" s="2" t="str">
        <f t="shared" ref="C2456:C2474" si="95">"UN"</f>
        <v>UN</v>
      </c>
      <c r="D2456" s="7">
        <v>8</v>
      </c>
      <c r="E2456" s="3">
        <v>6</v>
      </c>
      <c r="F2456" s="3">
        <v>6</v>
      </c>
      <c r="G2456" t="s">
        <v>514</v>
      </c>
    </row>
    <row r="2457" spans="1:7" x14ac:dyDescent="0.25">
      <c r="A2457" s="1" t="str">
        <f>"1824"</f>
        <v>1824</v>
      </c>
      <c r="B2457" s="2" t="str">
        <f>"BEBIDA LACTEA MORANGO COOP PLUS 160G"</f>
        <v>BEBIDA LACTEA MORANGO COOP PLUS 160G</v>
      </c>
      <c r="C2457" s="2" t="str">
        <f t="shared" si="95"/>
        <v>UN</v>
      </c>
      <c r="D2457" s="7">
        <v>9</v>
      </c>
      <c r="E2457" s="3">
        <v>6</v>
      </c>
      <c r="F2457" s="3">
        <v>6</v>
      </c>
      <c r="G2457" t="s">
        <v>515</v>
      </c>
    </row>
    <row r="2458" spans="1:7" x14ac:dyDescent="0.25">
      <c r="A2458" s="1" t="str">
        <f>"1826"</f>
        <v>1826</v>
      </c>
      <c r="B2458" s="2" t="str">
        <f>"BEBIDA LACTEA MORANGO COOP PLUS 850G"</f>
        <v>BEBIDA LACTEA MORANGO COOP PLUS 850G</v>
      </c>
      <c r="C2458" s="2" t="str">
        <f t="shared" si="95"/>
        <v>UN</v>
      </c>
      <c r="D2458" s="7">
        <v>15</v>
      </c>
      <c r="E2458" s="3">
        <v>6</v>
      </c>
      <c r="F2458" s="3">
        <v>6</v>
      </c>
      <c r="G2458" t="s">
        <v>512</v>
      </c>
    </row>
    <row r="2459" spans="1:7" x14ac:dyDescent="0.25">
      <c r="A2459" s="1" t="str">
        <f>"1820"</f>
        <v>1820</v>
      </c>
      <c r="B2459" s="2" t="str">
        <f>"BEBIDA LACTEA MORANGO COOP PLUS 900G"</f>
        <v>BEBIDA LACTEA MORANGO COOP PLUS 900G</v>
      </c>
      <c r="C2459" s="2" t="str">
        <f t="shared" si="95"/>
        <v>UN</v>
      </c>
      <c r="D2459" s="7">
        <v>16</v>
      </c>
      <c r="E2459" s="3">
        <v>6</v>
      </c>
      <c r="F2459" s="3">
        <v>6</v>
      </c>
      <c r="G2459" t="s">
        <v>516</v>
      </c>
    </row>
    <row r="2460" spans="1:7" x14ac:dyDescent="0.25">
      <c r="A2460" s="1" t="str">
        <f>"1404"</f>
        <v>1404</v>
      </c>
      <c r="B2460" s="2" t="str">
        <f>"BEBIDA LACTEA MORANGO CRRF 160G"</f>
        <v>BEBIDA LACTEA MORANGO CRRF 160G</v>
      </c>
      <c r="C2460" s="2" t="str">
        <f t="shared" si="95"/>
        <v>UN</v>
      </c>
      <c r="D2460" s="7">
        <v>9</v>
      </c>
      <c r="E2460" s="3">
        <v>6</v>
      </c>
      <c r="F2460" s="3">
        <v>6</v>
      </c>
      <c r="G2460" t="s">
        <v>515</v>
      </c>
    </row>
    <row r="2461" spans="1:7" x14ac:dyDescent="0.25">
      <c r="A2461" s="1" t="str">
        <f>"1716"</f>
        <v>1716</v>
      </c>
      <c r="B2461" s="2" t="str">
        <f>"BEBIDA LACTEA MORANGO DIA % 160 G"</f>
        <v>BEBIDA LACTEA MORANGO DIA % 160 G</v>
      </c>
      <c r="C2461" s="2" t="str">
        <f t="shared" si="95"/>
        <v>UN</v>
      </c>
      <c r="D2461" s="7">
        <v>9</v>
      </c>
      <c r="E2461" s="3">
        <v>6</v>
      </c>
      <c r="F2461" s="3">
        <v>6</v>
      </c>
      <c r="G2461" t="s">
        <v>514</v>
      </c>
    </row>
    <row r="2462" spans="1:7" x14ac:dyDescent="0.25">
      <c r="A2462" s="1" t="str">
        <f>"1721"</f>
        <v>1721</v>
      </c>
      <c r="B2462" s="2" t="str">
        <f>"BEBIDA LACTEA MORANGO DIA% 1250G"</f>
        <v>BEBIDA LACTEA MORANGO DIA% 1250G</v>
      </c>
      <c r="C2462" s="2" t="str">
        <f t="shared" si="95"/>
        <v>UN</v>
      </c>
      <c r="D2462" s="7">
        <v>51</v>
      </c>
      <c r="E2462" s="3">
        <v>6</v>
      </c>
      <c r="F2462" s="3">
        <v>6</v>
      </c>
      <c r="G2462" t="s">
        <v>512</v>
      </c>
    </row>
    <row r="2463" spans="1:7" x14ac:dyDescent="0.25">
      <c r="A2463" s="1" t="str">
        <f>"1711"</f>
        <v>1711</v>
      </c>
      <c r="B2463" s="2" t="str">
        <f>"BEBIDA LACTEA MORANGO DIA% 850G"</f>
        <v>BEBIDA LACTEA MORANGO DIA% 850G</v>
      </c>
      <c r="C2463" s="2" t="str">
        <f t="shared" si="95"/>
        <v>UN</v>
      </c>
      <c r="D2463" s="7">
        <v>15</v>
      </c>
      <c r="E2463" s="3">
        <v>6</v>
      </c>
      <c r="F2463" s="3">
        <v>6</v>
      </c>
      <c r="G2463" t="s">
        <v>513</v>
      </c>
    </row>
    <row r="2464" spans="1:7" x14ac:dyDescent="0.25">
      <c r="A2464" s="1" t="str">
        <f>"3581"</f>
        <v>3581</v>
      </c>
      <c r="B2464" s="2" t="str">
        <f>"BEBIDA LACTEA MORANGO E COCO BANDEJA CAROLINA 360G"</f>
        <v>BEBIDA LACTEA MORANGO E COCO BANDEJA CAROLINA 360G</v>
      </c>
      <c r="C2464" s="2" t="str">
        <f t="shared" si="95"/>
        <v>UN</v>
      </c>
      <c r="D2464" s="7">
        <v>52</v>
      </c>
      <c r="E2464" s="3">
        <v>6</v>
      </c>
      <c r="F2464" s="3">
        <v>6</v>
      </c>
      <c r="G2464" t="s">
        <v>514</v>
      </c>
    </row>
    <row r="2465" spans="1:7" x14ac:dyDescent="0.25">
      <c r="A2465" s="1" t="str">
        <f>"1187"</f>
        <v>1187</v>
      </c>
      <c r="B2465" s="2" t="str">
        <f>"BEBIDA LACTEA MORANGO E COCO BANDEJA CAROLINA 510G"</f>
        <v>BEBIDA LACTEA MORANGO E COCO BANDEJA CAROLINA 510G</v>
      </c>
      <c r="C2465" s="2" t="str">
        <f t="shared" si="95"/>
        <v>UN</v>
      </c>
      <c r="D2465" s="7">
        <v>21</v>
      </c>
      <c r="E2465" s="3">
        <v>6</v>
      </c>
      <c r="F2465" s="3">
        <v>6</v>
      </c>
      <c r="G2465" t="s">
        <v>514</v>
      </c>
    </row>
    <row r="2466" spans="1:7" x14ac:dyDescent="0.25">
      <c r="A2466" s="1" t="str">
        <f>"3555"</f>
        <v>3555</v>
      </c>
      <c r="B2466" s="2" t="str">
        <f>"BEBIDA LACTEA MORANGO E COCO BANDEJA CAROLINA 510G"</f>
        <v>BEBIDA LACTEA MORANGO E COCO BANDEJA CAROLINA 510G</v>
      </c>
      <c r="C2466" s="2" t="str">
        <f t="shared" si="95"/>
        <v>UN</v>
      </c>
      <c r="D2466" s="7">
        <v>21</v>
      </c>
      <c r="E2466" s="3">
        <v>6</v>
      </c>
      <c r="F2466" s="3">
        <v>6</v>
      </c>
      <c r="G2466" t="s">
        <v>512</v>
      </c>
    </row>
    <row r="2467" spans="1:7" x14ac:dyDescent="0.25">
      <c r="A2467" s="1" t="str">
        <f>"3582"</f>
        <v>3582</v>
      </c>
      <c r="B2467" s="2" t="str">
        <f>"BEBIDA LACTEA MORANGO E SALADA BANDEJA CAROLINA 360G"</f>
        <v>BEBIDA LACTEA MORANGO E SALADA BANDEJA CAROLINA 360G</v>
      </c>
      <c r="C2467" s="2" t="str">
        <f t="shared" si="95"/>
        <v>UN</v>
      </c>
      <c r="D2467" s="7">
        <v>52</v>
      </c>
      <c r="E2467" s="3">
        <v>6</v>
      </c>
      <c r="F2467" s="3">
        <v>6</v>
      </c>
      <c r="G2467" t="s">
        <v>513</v>
      </c>
    </row>
    <row r="2468" spans="1:7" x14ac:dyDescent="0.25">
      <c r="A2468" s="1" t="str">
        <f>"1188"</f>
        <v>1188</v>
      </c>
      <c r="B2468" s="2" t="str">
        <f>"BEBIDA LACTEA MORANGO E SALADA BANDEJA CAROLINA 510G"</f>
        <v>BEBIDA LACTEA MORANGO E SALADA BANDEJA CAROLINA 510G</v>
      </c>
      <c r="C2468" s="2" t="str">
        <f t="shared" si="95"/>
        <v>UN</v>
      </c>
      <c r="D2468" s="7">
        <v>21</v>
      </c>
      <c r="E2468" s="3">
        <v>6</v>
      </c>
      <c r="F2468" s="3">
        <v>6</v>
      </c>
      <c r="G2468" t="s">
        <v>514</v>
      </c>
    </row>
    <row r="2469" spans="1:7" x14ac:dyDescent="0.25">
      <c r="A2469" s="1" t="str">
        <f>"3556"</f>
        <v>3556</v>
      </c>
      <c r="B2469" s="2" t="str">
        <f>"BEBIDA LACTEA MORANGO E SALADA BANDEJA CAROLINA 510G"</f>
        <v>BEBIDA LACTEA MORANGO E SALADA BANDEJA CAROLINA 510G</v>
      </c>
      <c r="C2469" s="2" t="str">
        <f t="shared" si="95"/>
        <v>UN</v>
      </c>
      <c r="D2469" s="7">
        <v>21</v>
      </c>
      <c r="E2469" s="3">
        <v>6</v>
      </c>
      <c r="F2469" s="3">
        <v>6</v>
      </c>
      <c r="G2469" t="s">
        <v>514</v>
      </c>
    </row>
    <row r="2470" spans="1:7" x14ac:dyDescent="0.25">
      <c r="A2470" s="1" t="str">
        <f>"1660"</f>
        <v>1660</v>
      </c>
      <c r="B2470" s="2" t="str">
        <f>"BEBIDA LACTEA MORANGO GARRAFA 1250G"</f>
        <v>BEBIDA LACTEA MORANGO GARRAFA 1250G</v>
      </c>
      <c r="C2470" s="2" t="str">
        <f t="shared" si="95"/>
        <v>UN</v>
      </c>
      <c r="D2470" s="7">
        <v>51</v>
      </c>
      <c r="E2470" s="3">
        <v>6</v>
      </c>
      <c r="F2470" s="3">
        <v>6</v>
      </c>
      <c r="G2470" t="s">
        <v>514</v>
      </c>
    </row>
    <row r="2471" spans="1:7" x14ac:dyDescent="0.25">
      <c r="A2471" s="1" t="str">
        <f>"1644"</f>
        <v>1644</v>
      </c>
      <c r="B2471" s="2" t="str">
        <f>"BEBIDA LACTEA MORANGO GARRAFA 150G"</f>
        <v>BEBIDA LACTEA MORANGO GARRAFA 150G</v>
      </c>
      <c r="C2471" s="2" t="str">
        <f t="shared" si="95"/>
        <v>UN</v>
      </c>
      <c r="D2471" s="7">
        <v>8</v>
      </c>
      <c r="E2471" s="3">
        <v>6</v>
      </c>
      <c r="F2471" s="3">
        <v>6</v>
      </c>
      <c r="G2471" t="s">
        <v>513</v>
      </c>
    </row>
    <row r="2472" spans="1:7" x14ac:dyDescent="0.25">
      <c r="A2472" s="1" t="str">
        <f>"1620"</f>
        <v>1620</v>
      </c>
      <c r="B2472" s="2" t="str">
        <f>"BEBIDA LACTEA MORANGO GARRAFA CAROLINA 100G"</f>
        <v>BEBIDA LACTEA MORANGO GARRAFA CAROLINA 100G</v>
      </c>
      <c r="C2472" s="2" t="str">
        <f t="shared" si="95"/>
        <v>UN</v>
      </c>
      <c r="D2472" s="7">
        <v>54</v>
      </c>
      <c r="E2472" s="3">
        <v>6</v>
      </c>
      <c r="F2472" s="3">
        <v>6</v>
      </c>
      <c r="G2472" t="s">
        <v>512</v>
      </c>
    </row>
    <row r="2473" spans="1:7" x14ac:dyDescent="0.25">
      <c r="A2473" s="1" t="str">
        <f>"1666"</f>
        <v>1666</v>
      </c>
      <c r="B2473" s="2" t="str">
        <f>"BEBIDA LACTEA MORANGO GARRAFA CAROLINA 800G"</f>
        <v>BEBIDA LACTEA MORANGO GARRAFA CAROLINA 800G</v>
      </c>
      <c r="C2473" s="2" t="str">
        <f t="shared" si="95"/>
        <v>UN</v>
      </c>
      <c r="D2473" s="7">
        <v>63</v>
      </c>
      <c r="E2473" s="3">
        <v>6</v>
      </c>
      <c r="F2473" s="3">
        <v>6</v>
      </c>
      <c r="G2473" t="s">
        <v>513</v>
      </c>
    </row>
    <row r="2474" spans="1:7" x14ac:dyDescent="0.25">
      <c r="A2474" s="1" t="str">
        <f>"1182"</f>
        <v>1182</v>
      </c>
      <c r="B2474" s="2" t="str">
        <f>"BEBIDA LACTEA MORANGO PACOTE 850G"</f>
        <v>BEBIDA LACTEA MORANGO PACOTE 850G</v>
      </c>
      <c r="C2474" s="2" t="str">
        <f t="shared" si="95"/>
        <v>UN</v>
      </c>
      <c r="D2474" s="7">
        <v>26</v>
      </c>
      <c r="E2474" s="3">
        <v>6</v>
      </c>
      <c r="F2474" s="3">
        <v>6</v>
      </c>
      <c r="G2474" t="s">
        <v>514</v>
      </c>
    </row>
    <row r="2475" spans="1:7" x14ac:dyDescent="0.25">
      <c r="A2475" s="1" t="str">
        <f>"30"</f>
        <v>30</v>
      </c>
      <c r="B2475" s="2" t="str">
        <f>"BEBIDA LACTEA PESSEGO - FRASCO"</f>
        <v>BEBIDA LACTEA PESSEGO - FRASCO</v>
      </c>
      <c r="C2475" s="2" t="str">
        <f>"KG"</f>
        <v>KG</v>
      </c>
      <c r="D2475" s="7">
        <v>1900</v>
      </c>
      <c r="E2475" s="3">
        <v>7</v>
      </c>
      <c r="F2475" s="3">
        <v>7</v>
      </c>
      <c r="G2475" t="s">
        <v>514</v>
      </c>
    </row>
    <row r="2476" spans="1:7" x14ac:dyDescent="0.25">
      <c r="A2476" s="1" t="str">
        <f>"1722"</f>
        <v>1722</v>
      </c>
      <c r="B2476" s="2" t="str">
        <f>"BEBIDA LACTEA SAL. FRUTAS  DIA% 1250G"</f>
        <v>BEBIDA LACTEA SAL. FRUTAS  DIA% 1250G</v>
      </c>
      <c r="C2476" s="2" t="str">
        <f>"UN"</f>
        <v>UN</v>
      </c>
      <c r="D2476" s="7">
        <v>51</v>
      </c>
      <c r="E2476" s="3">
        <v>6</v>
      </c>
      <c r="F2476" s="3">
        <v>6</v>
      </c>
      <c r="G2476" t="s">
        <v>514</v>
      </c>
    </row>
    <row r="2477" spans="1:7" x14ac:dyDescent="0.25">
      <c r="A2477" s="1" t="str">
        <f>"1831"</f>
        <v>1831</v>
      </c>
      <c r="B2477" s="2" t="str">
        <f>"BEBIDA LACTEA SALADA COOP PLUS 150G"</f>
        <v>BEBIDA LACTEA SALADA COOP PLUS 150G</v>
      </c>
      <c r="C2477" s="2" t="str">
        <f>"UN"</f>
        <v>UN</v>
      </c>
      <c r="D2477" s="7">
        <v>8</v>
      </c>
      <c r="E2477" s="3">
        <v>6</v>
      </c>
      <c r="F2477" s="3">
        <v>6</v>
      </c>
      <c r="G2477" t="s">
        <v>513</v>
      </c>
    </row>
    <row r="2478" spans="1:7" x14ac:dyDescent="0.25">
      <c r="A2478" s="1" t="str">
        <f>"1823"</f>
        <v>1823</v>
      </c>
      <c r="B2478" s="2" t="str">
        <f>"BEBIDA LACTEA SALADA COOP PLUS 160G"</f>
        <v>BEBIDA LACTEA SALADA COOP PLUS 160G</v>
      </c>
      <c r="C2478" s="2" t="str">
        <f>"UN"</f>
        <v>UN</v>
      </c>
      <c r="D2478" s="7">
        <v>9</v>
      </c>
      <c r="E2478" s="3">
        <v>6</v>
      </c>
      <c r="F2478" s="3">
        <v>6</v>
      </c>
      <c r="G2478" t="s">
        <v>513</v>
      </c>
    </row>
    <row r="2479" spans="1:7" x14ac:dyDescent="0.25">
      <c r="A2479" s="1" t="str">
        <f>"1827"</f>
        <v>1827</v>
      </c>
      <c r="B2479" s="2" t="str">
        <f>"BEBIDA LACTEA SALADA COOP PLUS 850G"</f>
        <v>BEBIDA LACTEA SALADA COOP PLUS 850G</v>
      </c>
      <c r="C2479" s="2" t="str">
        <f>"UN"</f>
        <v>UN</v>
      </c>
      <c r="D2479" s="7">
        <v>15</v>
      </c>
      <c r="E2479" s="3">
        <v>6</v>
      </c>
      <c r="F2479" s="3">
        <v>6</v>
      </c>
      <c r="G2479" t="s">
        <v>513</v>
      </c>
    </row>
    <row r="2480" spans="1:7" x14ac:dyDescent="0.25">
      <c r="A2480" s="1" t="str">
        <f>"1822"</f>
        <v>1822</v>
      </c>
      <c r="B2480" s="2" t="str">
        <f>"BEBIDA LACTEA SALADA COOP PLUS 900G"</f>
        <v>BEBIDA LACTEA SALADA COOP PLUS 900G</v>
      </c>
      <c r="C2480" s="2" t="str">
        <f>"UN"</f>
        <v>UN</v>
      </c>
      <c r="D2480" s="7">
        <v>16</v>
      </c>
      <c r="E2480" s="3">
        <v>6</v>
      </c>
      <c r="F2480" s="3">
        <v>6</v>
      </c>
      <c r="G2480" t="s">
        <v>512</v>
      </c>
    </row>
    <row r="2481" spans="1:7" x14ac:dyDescent="0.25">
      <c r="A2481" s="1" t="str">
        <f>"88"</f>
        <v>88</v>
      </c>
      <c r="B2481" s="2" t="str">
        <f>"BEBIDA LACTEA SALADA DE FRUTAS - BANDEJA"</f>
        <v>BEBIDA LACTEA SALADA DE FRUTAS - BANDEJA</v>
      </c>
      <c r="C2481" s="2" t="str">
        <f>"KG"</f>
        <v>KG</v>
      </c>
      <c r="D2481" s="7">
        <v>1900</v>
      </c>
      <c r="E2481" s="3">
        <v>7</v>
      </c>
      <c r="F2481" s="3">
        <v>7</v>
      </c>
      <c r="G2481" t="s">
        <v>513</v>
      </c>
    </row>
    <row r="2482" spans="1:7" x14ac:dyDescent="0.25">
      <c r="A2482" s="1" t="str">
        <f>"84"</f>
        <v>84</v>
      </c>
      <c r="B2482" s="2" t="str">
        <f>"BEBIDA LACTEA SALADA DE FRUTAS - FRASCO"</f>
        <v>BEBIDA LACTEA SALADA DE FRUTAS - FRASCO</v>
      </c>
      <c r="C2482" s="2" t="str">
        <f>"KG"</f>
        <v>KG</v>
      </c>
      <c r="D2482" s="7">
        <v>1900</v>
      </c>
      <c r="E2482" s="3">
        <v>7</v>
      </c>
      <c r="F2482" s="3">
        <v>7</v>
      </c>
      <c r="G2482" t="s">
        <v>514</v>
      </c>
    </row>
    <row r="2483" spans="1:7" x14ac:dyDescent="0.25">
      <c r="A2483" s="1" t="str">
        <f>"43"</f>
        <v>43</v>
      </c>
      <c r="B2483" s="2" t="str">
        <f>"BEBIDA LACTEA SALADA DE FRUTAS - SAQUINHO"</f>
        <v>BEBIDA LACTEA SALADA DE FRUTAS - SAQUINHO</v>
      </c>
      <c r="C2483" s="2" t="str">
        <f>"KG"</f>
        <v>KG</v>
      </c>
      <c r="D2483" s="7">
        <v>1900</v>
      </c>
      <c r="E2483" s="3">
        <v>7</v>
      </c>
      <c r="F2483" s="3">
        <v>7</v>
      </c>
      <c r="G2483" t="s">
        <v>515</v>
      </c>
    </row>
    <row r="2484" spans="1:7" x14ac:dyDescent="0.25">
      <c r="A2484" s="1" t="str">
        <f>"1661"</f>
        <v>1661</v>
      </c>
      <c r="B2484" s="2" t="str">
        <f>"BEBIDA LACTEA SALADA DE FRUTAS GARRAFA VERY 1250G"</f>
        <v>BEBIDA LACTEA SALADA DE FRUTAS GARRAFA VERY 1250G</v>
      </c>
      <c r="C2484" s="2" t="str">
        <f t="shared" ref="C2484:C2504" si="96">"UN"</f>
        <v>UN</v>
      </c>
      <c r="D2484" s="7">
        <v>51</v>
      </c>
      <c r="E2484" s="3">
        <v>6</v>
      </c>
      <c r="F2484" s="3">
        <v>6</v>
      </c>
      <c r="G2484" t="s">
        <v>512</v>
      </c>
    </row>
    <row r="2485" spans="1:7" x14ac:dyDescent="0.25">
      <c r="A2485" s="1" t="str">
        <f>"1648"</f>
        <v>1648</v>
      </c>
      <c r="B2485" s="2" t="str">
        <f>"BEBIDA LACTEA SALADA DE FRUTAS GARRAFA VERY 150G"</f>
        <v>BEBIDA LACTEA SALADA DE FRUTAS GARRAFA VERY 150G</v>
      </c>
      <c r="C2485" s="2" t="str">
        <f t="shared" si="96"/>
        <v>UN</v>
      </c>
      <c r="D2485" s="7">
        <v>8</v>
      </c>
      <c r="E2485" s="3">
        <v>6</v>
      </c>
      <c r="F2485" s="3">
        <v>6</v>
      </c>
      <c r="G2485" t="s">
        <v>516</v>
      </c>
    </row>
    <row r="2486" spans="1:7" x14ac:dyDescent="0.25">
      <c r="A2486" s="1" t="str">
        <f>"1184"</f>
        <v>1184</v>
      </c>
      <c r="B2486" s="2" t="str">
        <f>"BEBIDA LACTEA SALADA DE FRUTAS PACOTE VERY 850G"</f>
        <v>BEBIDA LACTEA SALADA DE FRUTAS PACOTE VERY 850G</v>
      </c>
      <c r="C2486" s="2" t="str">
        <f t="shared" si="96"/>
        <v>UN</v>
      </c>
      <c r="D2486" s="7">
        <v>26</v>
      </c>
      <c r="E2486" s="3">
        <v>6</v>
      </c>
      <c r="F2486" s="3">
        <v>6</v>
      </c>
      <c r="G2486" t="s">
        <v>515</v>
      </c>
    </row>
    <row r="2487" spans="1:7" x14ac:dyDescent="0.25">
      <c r="A2487" s="1" t="str">
        <f>"1717"</f>
        <v>1717</v>
      </c>
      <c r="B2487" s="2" t="str">
        <f>"BEBIDA LACTEA SALADA DIA % 160 G"</f>
        <v>BEBIDA LACTEA SALADA DIA % 160 G</v>
      </c>
      <c r="C2487" s="2" t="str">
        <f t="shared" si="96"/>
        <v>UN</v>
      </c>
      <c r="D2487" s="7">
        <v>9</v>
      </c>
      <c r="E2487" s="3">
        <v>6</v>
      </c>
      <c r="F2487" s="3">
        <v>6</v>
      </c>
      <c r="G2487" t="s">
        <v>514</v>
      </c>
    </row>
    <row r="2488" spans="1:7" x14ac:dyDescent="0.25">
      <c r="A2488" s="1" t="str">
        <f>"1712"</f>
        <v>1712</v>
      </c>
      <c r="B2488" s="2" t="str">
        <f>"BEBIDA LACTEA SALADA DIA% 850G"</f>
        <v>BEBIDA LACTEA SALADA DIA% 850G</v>
      </c>
      <c r="C2488" s="2" t="str">
        <f t="shared" si="96"/>
        <v>UN</v>
      </c>
      <c r="D2488" s="7">
        <v>15</v>
      </c>
      <c r="E2488" s="3">
        <v>6</v>
      </c>
      <c r="F2488" s="3">
        <v>6</v>
      </c>
      <c r="G2488" t="s">
        <v>512</v>
      </c>
    </row>
    <row r="2489" spans="1:7" x14ac:dyDescent="0.25">
      <c r="A2489" s="1" t="str">
        <f>"1406"</f>
        <v>1406</v>
      </c>
      <c r="B2489" s="2" t="str">
        <f>"BEBIDA LACTEA VITAMINA CRRF 160G"</f>
        <v>BEBIDA LACTEA VITAMINA CRRF 160G</v>
      </c>
      <c r="C2489" s="2" t="str">
        <f t="shared" si="96"/>
        <v>UN</v>
      </c>
      <c r="D2489" s="7">
        <v>9</v>
      </c>
      <c r="E2489" s="3">
        <v>6</v>
      </c>
      <c r="F2489" s="3">
        <v>6</v>
      </c>
      <c r="G2489" t="s">
        <v>513</v>
      </c>
    </row>
    <row r="2490" spans="1:7" x14ac:dyDescent="0.25">
      <c r="A2490" s="1" t="str">
        <f>"515399"</f>
        <v>515399</v>
      </c>
      <c r="B2490" s="2" t="str">
        <f>"BECKER ERLEMMEYER 250ML"</f>
        <v>BECKER ERLEMMEYER 250ML</v>
      </c>
      <c r="C2490" s="2" t="str">
        <f t="shared" si="96"/>
        <v>UN</v>
      </c>
      <c r="D2490" s="7">
        <v>406</v>
      </c>
      <c r="E2490" s="3">
        <v>4</v>
      </c>
      <c r="F2490" s="3">
        <v>4</v>
      </c>
      <c r="G2490" t="s">
        <v>514</v>
      </c>
    </row>
    <row r="2491" spans="1:7" x14ac:dyDescent="0.25">
      <c r="A2491" s="1" t="str">
        <f>"513558"</f>
        <v>513558</v>
      </c>
      <c r="B2491" s="2" t="str">
        <f>"BECKER POLIPROPILENO AUTOCLAVAVEL 4000ML"</f>
        <v>BECKER POLIPROPILENO AUTOCLAVAVEL 4000ML</v>
      </c>
      <c r="C2491" s="2" t="str">
        <f t="shared" si="96"/>
        <v>UN</v>
      </c>
      <c r="D2491" s="7">
        <v>406</v>
      </c>
      <c r="E2491" s="3">
        <v>4</v>
      </c>
      <c r="F2491" s="3">
        <v>4</v>
      </c>
      <c r="G2491" t="s">
        <v>514</v>
      </c>
    </row>
    <row r="2492" spans="1:7" x14ac:dyDescent="0.25">
      <c r="A2492" s="1" t="str">
        <f>"515154"</f>
        <v>515154</v>
      </c>
      <c r="B2492" s="2" t="str">
        <f>"BECLONATO"</f>
        <v>BECLONATO</v>
      </c>
      <c r="C2492" s="2" t="str">
        <f t="shared" si="96"/>
        <v>UN</v>
      </c>
      <c r="D2492" s="7">
        <v>401</v>
      </c>
      <c r="E2492" s="3">
        <v>4</v>
      </c>
      <c r="F2492" s="3">
        <v>4</v>
      </c>
      <c r="G2492" t="s">
        <v>512</v>
      </c>
    </row>
    <row r="2493" spans="1:7" x14ac:dyDescent="0.25">
      <c r="A2493" s="1" t="str">
        <f>"514396"</f>
        <v>514396</v>
      </c>
      <c r="B2493" s="2" t="str">
        <f>"BELICHE MARIFLOR"</f>
        <v>BELICHE MARIFLOR</v>
      </c>
      <c r="C2493" s="2" t="str">
        <f t="shared" si="96"/>
        <v>UN</v>
      </c>
      <c r="D2493" s="7">
        <v>401</v>
      </c>
      <c r="E2493" s="3">
        <v>4</v>
      </c>
      <c r="F2493" s="3">
        <v>4</v>
      </c>
      <c r="G2493" t="s">
        <v>513</v>
      </c>
    </row>
    <row r="2494" spans="1:7" x14ac:dyDescent="0.25">
      <c r="A2494" s="1" t="str">
        <f>"512824"</f>
        <v>512824</v>
      </c>
      <c r="B2494" s="2" t="str">
        <f>"BENDIX PARTIDA 41MT MB CUMMINS"</f>
        <v>BENDIX PARTIDA 41MT MB CUMMINS</v>
      </c>
      <c r="C2494" s="2" t="str">
        <f t="shared" si="96"/>
        <v>UN</v>
      </c>
      <c r="D2494" s="7">
        <v>704</v>
      </c>
      <c r="E2494" s="3">
        <v>9</v>
      </c>
      <c r="F2494" s="3">
        <v>9</v>
      </c>
      <c r="G2494" t="s">
        <v>514</v>
      </c>
    </row>
    <row r="2495" spans="1:7" x14ac:dyDescent="0.25">
      <c r="A2495" s="1" t="str">
        <f>"517837"</f>
        <v>517837</v>
      </c>
      <c r="B2495" s="2" t="str">
        <f>"BENGALA P/ VALVULA HIDRA"</f>
        <v>BENGALA P/ VALVULA HIDRA</v>
      </c>
      <c r="C2495" s="2" t="str">
        <f t="shared" si="96"/>
        <v>UN</v>
      </c>
      <c r="D2495" s="7">
        <v>912</v>
      </c>
      <c r="E2495" s="3">
        <v>10</v>
      </c>
      <c r="F2495" s="3">
        <v>10</v>
      </c>
      <c r="G2495" t="s">
        <v>514</v>
      </c>
    </row>
    <row r="2496" spans="1:7" x14ac:dyDescent="0.25">
      <c r="A2496" s="1" t="str">
        <f>"522311"</f>
        <v>522311</v>
      </c>
      <c r="B2496" s="2" t="str">
        <f>"BENQ MX528 PROJETOR COM 330 ANSI LUMENS XGA RN 1024X768 HDMI"</f>
        <v>BENQ MX528 PROJETOR COM 330 ANSI LUMENS XGA RN 1024X768 HDMI</v>
      </c>
      <c r="C2496" s="2" t="str">
        <f t="shared" si="96"/>
        <v>UN</v>
      </c>
      <c r="D2496" s="7">
        <v>601</v>
      </c>
      <c r="E2496" s="3">
        <v>8</v>
      </c>
      <c r="F2496" s="3">
        <v>8</v>
      </c>
      <c r="G2496" t="s">
        <v>514</v>
      </c>
    </row>
    <row r="2497" spans="1:7" x14ac:dyDescent="0.25">
      <c r="A2497" s="1" t="str">
        <f>"514724"</f>
        <v>514724</v>
      </c>
      <c r="B2497" s="2" t="str">
        <f>"BENZETACIL"</f>
        <v>BENZETACIL</v>
      </c>
      <c r="C2497" s="2" t="str">
        <f t="shared" si="96"/>
        <v>UN</v>
      </c>
      <c r="D2497" s="7">
        <v>401</v>
      </c>
      <c r="E2497" s="3">
        <v>4</v>
      </c>
      <c r="F2497" s="3">
        <v>4</v>
      </c>
      <c r="G2497" t="s">
        <v>513</v>
      </c>
    </row>
    <row r="2498" spans="1:7" x14ac:dyDescent="0.25">
      <c r="A2498" s="1" t="str">
        <f>"522720"</f>
        <v>522720</v>
      </c>
      <c r="B2498" s="2" t="str">
        <f>"BEPANTOL"</f>
        <v>BEPANTOL</v>
      </c>
      <c r="C2498" s="2" t="str">
        <f t="shared" si="96"/>
        <v>UN</v>
      </c>
      <c r="D2498" s="7">
        <v>99999</v>
      </c>
      <c r="E2498" s="3">
        <v>99</v>
      </c>
      <c r="F2498" s="3">
        <v>99</v>
      </c>
      <c r="G2498" t="s">
        <v>512</v>
      </c>
    </row>
    <row r="2499" spans="1:7" x14ac:dyDescent="0.25">
      <c r="A2499" s="1" t="str">
        <f>"523850"</f>
        <v>523850</v>
      </c>
      <c r="B2499" s="2" t="str">
        <f>"BEQUER FORMA BAIXA VIDRO BORO 1000ML HX0004-01381"</f>
        <v>BEQUER FORMA BAIXA VIDRO BORO 1000ML HX0004-01381</v>
      </c>
      <c r="C2499" s="2" t="str">
        <f t="shared" si="96"/>
        <v>UN</v>
      </c>
      <c r="D2499" s="7">
        <v>99999</v>
      </c>
      <c r="E2499" s="3">
        <v>99</v>
      </c>
      <c r="F2499" s="3">
        <v>99</v>
      </c>
      <c r="G2499" t="s">
        <v>513</v>
      </c>
    </row>
    <row r="2500" spans="1:7" x14ac:dyDescent="0.25">
      <c r="A2500" s="1" t="str">
        <f>"3526"</f>
        <v>3526</v>
      </c>
      <c r="B2500" s="2" t="str">
        <f>"BEQUER FORMA BAIXA VIDRO BORO 100ML"</f>
        <v>BEQUER FORMA BAIXA VIDRO BORO 100ML</v>
      </c>
      <c r="C2500" s="2" t="str">
        <f t="shared" si="96"/>
        <v>UN</v>
      </c>
      <c r="D2500" s="7">
        <v>400</v>
      </c>
      <c r="E2500" s="3">
        <v>4</v>
      </c>
      <c r="F2500" s="3">
        <v>4</v>
      </c>
      <c r="G2500" t="s">
        <v>514</v>
      </c>
    </row>
    <row r="2501" spans="1:7" x14ac:dyDescent="0.25">
      <c r="A2501" s="1" t="str">
        <f>"523848"</f>
        <v>523848</v>
      </c>
      <c r="B2501" s="2" t="str">
        <f>"BEQUER FORMA BAIXA VIDRO BORO 250ML HX0004-00011"</f>
        <v>BEQUER FORMA BAIXA VIDRO BORO 250ML HX0004-00011</v>
      </c>
      <c r="C2501" s="2" t="str">
        <f t="shared" si="96"/>
        <v>UN</v>
      </c>
      <c r="D2501" s="7">
        <v>99999</v>
      </c>
      <c r="E2501" s="3">
        <v>99</v>
      </c>
      <c r="F2501" s="3">
        <v>99</v>
      </c>
      <c r="G2501" t="s">
        <v>514</v>
      </c>
    </row>
    <row r="2502" spans="1:7" x14ac:dyDescent="0.25">
      <c r="A2502" s="1" t="str">
        <f>"523849"</f>
        <v>523849</v>
      </c>
      <c r="B2502" s="2" t="str">
        <f>"BEQUER FORMA BAIXA VIDRO BORO 600ML HX0004-00021"</f>
        <v>BEQUER FORMA BAIXA VIDRO BORO 600ML HX0004-00021</v>
      </c>
      <c r="C2502" s="2" t="str">
        <f t="shared" si="96"/>
        <v>UN</v>
      </c>
      <c r="D2502" s="7">
        <v>99999</v>
      </c>
      <c r="E2502" s="3">
        <v>99</v>
      </c>
      <c r="F2502" s="3">
        <v>99</v>
      </c>
      <c r="G2502" t="s">
        <v>514</v>
      </c>
    </row>
    <row r="2503" spans="1:7" x14ac:dyDescent="0.25">
      <c r="A2503" s="1" t="str">
        <f>"521164"</f>
        <v>521164</v>
      </c>
      <c r="B2503" s="2" t="str">
        <f>"BEQUER HDPE GRAD ALCA 3L (JARRA)"</f>
        <v>BEQUER HDPE GRAD ALCA 3L (JARRA)</v>
      </c>
      <c r="C2503" s="2" t="str">
        <f t="shared" si="96"/>
        <v>UN</v>
      </c>
      <c r="D2503" s="7">
        <v>406</v>
      </c>
      <c r="E2503" s="3">
        <v>4</v>
      </c>
      <c r="F2503" s="3">
        <v>4</v>
      </c>
      <c r="G2503" t="s">
        <v>513</v>
      </c>
    </row>
    <row r="2504" spans="1:7" x14ac:dyDescent="0.25">
      <c r="A2504" s="1" t="str">
        <f>"526296"</f>
        <v>526296</v>
      </c>
      <c r="B2504" s="2" t="str">
        <f>"BERÇO 1 POSIÇÃO MOTOROLA MC3190 CRD3000-1001RR"</f>
        <v>BERÇO 1 POSIÇÃO MOTOROLA MC3190 CRD3000-1001RR</v>
      </c>
      <c r="C2504" s="2" t="str">
        <f t="shared" si="96"/>
        <v>UN</v>
      </c>
      <c r="D2504" s="7">
        <v>1500</v>
      </c>
      <c r="E2504" s="3">
        <v>13</v>
      </c>
      <c r="F2504" s="3">
        <v>13</v>
      </c>
      <c r="G2504" t="s">
        <v>513</v>
      </c>
    </row>
    <row r="2505" spans="1:7" x14ac:dyDescent="0.25">
      <c r="A2505" s="1" t="str">
        <f>"512562"</f>
        <v>512562</v>
      </c>
      <c r="B2505" s="2" t="str">
        <f>"BERÇO 2212 - PLACA DATADORA BANDEJA"</f>
        <v>BERÇO 2212 - PLACA DATADORA BANDEJA</v>
      </c>
      <c r="C2505" s="2" t="str">
        <f>"PC"</f>
        <v>PC</v>
      </c>
      <c r="D2505" s="7">
        <v>907</v>
      </c>
      <c r="E2505" s="3">
        <v>11</v>
      </c>
      <c r="F2505" s="3">
        <v>11</v>
      </c>
      <c r="G2505" t="s">
        <v>513</v>
      </c>
    </row>
    <row r="2506" spans="1:7" x14ac:dyDescent="0.25">
      <c r="A2506" s="1" t="str">
        <f>"518395"</f>
        <v>518395</v>
      </c>
      <c r="B2506" s="2" t="str">
        <f>"BERMUDA PERSONALIZADA"</f>
        <v>BERMUDA PERSONALIZADA</v>
      </c>
      <c r="C2506" s="2" t="str">
        <f t="shared" ref="C2506:C2515" si="97">"UN"</f>
        <v>UN</v>
      </c>
      <c r="D2506" s="7">
        <v>500</v>
      </c>
      <c r="E2506" s="3">
        <v>5</v>
      </c>
      <c r="F2506" s="3">
        <v>5</v>
      </c>
      <c r="G2506" t="s">
        <v>512</v>
      </c>
    </row>
    <row r="2507" spans="1:7" x14ac:dyDescent="0.25">
      <c r="A2507" s="1" t="str">
        <f>"514644"</f>
        <v>514644</v>
      </c>
      <c r="B2507" s="2" t="str">
        <f>"BESFLOX"</f>
        <v>BESFLOX</v>
      </c>
      <c r="C2507" s="2" t="str">
        <f t="shared" si="97"/>
        <v>UN</v>
      </c>
      <c r="D2507" s="7">
        <v>406</v>
      </c>
      <c r="E2507" s="3">
        <v>4</v>
      </c>
      <c r="F2507" s="3">
        <v>4</v>
      </c>
      <c r="G2507" t="s">
        <v>513</v>
      </c>
    </row>
    <row r="2508" spans="1:7" x14ac:dyDescent="0.25">
      <c r="A2508" s="1" t="str">
        <f>"514990"</f>
        <v>514990</v>
      </c>
      <c r="B2508" s="2" t="str">
        <f>"BETAPROSPAN"</f>
        <v>BETAPROSPAN</v>
      </c>
      <c r="C2508" s="2" t="str">
        <f t="shared" si="97"/>
        <v>UN</v>
      </c>
      <c r="D2508" s="7">
        <v>406</v>
      </c>
      <c r="E2508" s="3">
        <v>4</v>
      </c>
      <c r="F2508" s="3">
        <v>4</v>
      </c>
      <c r="G2508" t="s">
        <v>514</v>
      </c>
    </row>
    <row r="2509" spans="1:7" x14ac:dyDescent="0.25">
      <c r="A2509" s="1" t="str">
        <f>"523863"</f>
        <v>523863</v>
      </c>
      <c r="B2509" s="2" t="str">
        <f>"BETATRINTA AMPOLA 1ML"</f>
        <v>BETATRINTA AMPOLA 1ML</v>
      </c>
      <c r="C2509" s="2" t="str">
        <f t="shared" si="97"/>
        <v>UN</v>
      </c>
      <c r="D2509" s="7">
        <v>99999</v>
      </c>
      <c r="E2509" s="3">
        <v>99</v>
      </c>
      <c r="F2509" s="3">
        <v>99</v>
      </c>
      <c r="G2509" t="s">
        <v>515</v>
      </c>
    </row>
    <row r="2510" spans="1:7" x14ac:dyDescent="0.25">
      <c r="A2510" s="1" t="str">
        <f>"509286"</f>
        <v>509286</v>
      </c>
      <c r="B2510" s="2" t="str">
        <f>"BETONEIRA 400L - PROFISSIONAL 110-220V"</f>
        <v>BETONEIRA 400L - PROFISSIONAL 110-220V</v>
      </c>
      <c r="C2510" s="2" t="str">
        <f t="shared" si="97"/>
        <v>UN</v>
      </c>
      <c r="D2510" s="7">
        <v>403</v>
      </c>
      <c r="E2510" s="3">
        <v>4</v>
      </c>
      <c r="F2510" s="3">
        <v>4</v>
      </c>
      <c r="G2510" t="s">
        <v>512</v>
      </c>
    </row>
    <row r="2511" spans="1:7" x14ac:dyDescent="0.25">
      <c r="A2511" s="1" t="str">
        <f>"517422"</f>
        <v>517422</v>
      </c>
      <c r="B2511" s="2" t="str">
        <f>"BETUME OTTO BAUMGATR 131226"</f>
        <v>BETUME OTTO BAUMGATR 131226</v>
      </c>
      <c r="C2511" s="2" t="str">
        <f t="shared" si="97"/>
        <v>UN</v>
      </c>
      <c r="D2511" s="7">
        <v>803</v>
      </c>
      <c r="E2511" s="3">
        <v>10</v>
      </c>
      <c r="F2511" s="3">
        <v>10</v>
      </c>
      <c r="G2511" t="s">
        <v>516</v>
      </c>
    </row>
    <row r="2512" spans="1:7" x14ac:dyDescent="0.25">
      <c r="A2512" s="1" t="str">
        <f>"515149"</f>
        <v>515149</v>
      </c>
      <c r="B2512" s="2" t="str">
        <f>"BEXIGA"</f>
        <v>BEXIGA</v>
      </c>
      <c r="C2512" s="2" t="str">
        <f t="shared" si="97"/>
        <v>UN</v>
      </c>
      <c r="D2512" s="7">
        <v>401</v>
      </c>
      <c r="E2512" s="3">
        <v>4</v>
      </c>
      <c r="F2512" s="3">
        <v>4</v>
      </c>
      <c r="G2512" t="s">
        <v>515</v>
      </c>
    </row>
    <row r="2513" spans="1:7" x14ac:dyDescent="0.25">
      <c r="A2513" s="1" t="str">
        <f>"521202"</f>
        <v>521202</v>
      </c>
      <c r="B2513" s="2" t="str">
        <f>"BEXIGÃO CABINE IVECO"</f>
        <v>BEXIGÃO CABINE IVECO</v>
      </c>
      <c r="C2513" s="2" t="str">
        <f t="shared" si="97"/>
        <v>UN</v>
      </c>
      <c r="D2513" s="7">
        <v>704</v>
      </c>
      <c r="E2513" s="3">
        <v>9</v>
      </c>
      <c r="F2513" s="3">
        <v>9</v>
      </c>
      <c r="G2513" t="s">
        <v>514</v>
      </c>
    </row>
    <row r="2514" spans="1:7" x14ac:dyDescent="0.25">
      <c r="A2514" s="1" t="str">
        <f>"511820"</f>
        <v>511820</v>
      </c>
      <c r="B2514" s="2" t="str">
        <f>"BIANCO 18 LITROS"</f>
        <v>BIANCO 18 LITROS</v>
      </c>
      <c r="C2514" s="2" t="str">
        <f t="shared" si="97"/>
        <v>UN</v>
      </c>
      <c r="D2514" s="7">
        <v>803</v>
      </c>
      <c r="E2514" s="3">
        <v>10</v>
      </c>
      <c r="F2514" s="3">
        <v>10</v>
      </c>
      <c r="G2514" t="s">
        <v>512</v>
      </c>
    </row>
    <row r="2515" spans="1:7" x14ac:dyDescent="0.25">
      <c r="A2515" s="1" t="str">
        <f>"511822"</f>
        <v>511822</v>
      </c>
      <c r="B2515" s="2" t="str">
        <f>"BIANCO 3,6 LITROS"</f>
        <v>BIANCO 3,6 LITROS</v>
      </c>
      <c r="C2515" s="2" t="str">
        <f t="shared" si="97"/>
        <v>UN</v>
      </c>
      <c r="D2515" s="7">
        <v>917</v>
      </c>
      <c r="E2515" s="3">
        <v>10</v>
      </c>
      <c r="F2515" s="3">
        <v>10</v>
      </c>
      <c r="G2515" t="s">
        <v>513</v>
      </c>
    </row>
    <row r="2516" spans="1:7" x14ac:dyDescent="0.25">
      <c r="A2516" s="1" t="str">
        <f>"511593"</f>
        <v>511593</v>
      </c>
      <c r="B2516" s="2" t="str">
        <f>"BICA P/ MAQ. REQUEIJAO"</f>
        <v>BICA P/ MAQ. REQUEIJAO</v>
      </c>
      <c r="C2516" s="2" t="str">
        <f>"PC"</f>
        <v>PC</v>
      </c>
      <c r="D2516" s="7">
        <v>806</v>
      </c>
      <c r="E2516" s="3">
        <v>10</v>
      </c>
      <c r="F2516" s="3">
        <v>10</v>
      </c>
      <c r="G2516" t="s">
        <v>514</v>
      </c>
    </row>
    <row r="2517" spans="1:7" x14ac:dyDescent="0.25">
      <c r="A2517" s="1" t="str">
        <f>"511882"</f>
        <v>511882</v>
      </c>
      <c r="B2517" s="2" t="str">
        <f>"BICARBONATO DE SODIO PA 500G DINAMICA"</f>
        <v>BICARBONATO DE SODIO PA 500G DINAMICA</v>
      </c>
      <c r="C2517" s="2" t="str">
        <f t="shared" ref="C2517:C2531" si="98">"UN"</f>
        <v>UN</v>
      </c>
      <c r="D2517" s="7">
        <v>812</v>
      </c>
      <c r="E2517" s="3">
        <v>10</v>
      </c>
      <c r="F2517" s="3">
        <v>10</v>
      </c>
      <c r="G2517" t="s">
        <v>514</v>
      </c>
    </row>
    <row r="2518" spans="1:7" x14ac:dyDescent="0.25">
      <c r="A2518" s="1" t="str">
        <f>"513221"</f>
        <v>513221</v>
      </c>
      <c r="B2518" s="2" t="str">
        <f>"BICICLETA ARO 16"</f>
        <v>BICICLETA ARO 16</v>
      </c>
      <c r="C2518" s="2" t="str">
        <f t="shared" si="98"/>
        <v>UN</v>
      </c>
      <c r="D2518" s="7">
        <v>401</v>
      </c>
      <c r="E2518" s="3">
        <v>4</v>
      </c>
      <c r="F2518" s="3">
        <v>4</v>
      </c>
      <c r="G2518" t="s">
        <v>512</v>
      </c>
    </row>
    <row r="2519" spans="1:7" x14ac:dyDescent="0.25">
      <c r="A2519" s="1" t="str">
        <f>"513222"</f>
        <v>513222</v>
      </c>
      <c r="B2519" s="2" t="str">
        <f>"BICICLETA ARO 20"</f>
        <v>BICICLETA ARO 20</v>
      </c>
      <c r="C2519" s="2" t="str">
        <f t="shared" si="98"/>
        <v>UN</v>
      </c>
      <c r="D2519" s="7">
        <v>401</v>
      </c>
      <c r="E2519" s="3">
        <v>4</v>
      </c>
      <c r="F2519" s="3">
        <v>4</v>
      </c>
      <c r="G2519" t="s">
        <v>513</v>
      </c>
    </row>
    <row r="2520" spans="1:7" x14ac:dyDescent="0.25">
      <c r="A2520" s="1" t="str">
        <f>"513223"</f>
        <v>513223</v>
      </c>
      <c r="B2520" s="2" t="str">
        <f>"BICICLETA ARO 24"</f>
        <v>BICICLETA ARO 24</v>
      </c>
      <c r="C2520" s="2" t="str">
        <f t="shared" si="98"/>
        <v>UN</v>
      </c>
      <c r="D2520" s="7">
        <v>401</v>
      </c>
      <c r="E2520" s="3">
        <v>4</v>
      </c>
      <c r="F2520" s="3">
        <v>4</v>
      </c>
      <c r="G2520" t="s">
        <v>514</v>
      </c>
    </row>
    <row r="2521" spans="1:7" x14ac:dyDescent="0.25">
      <c r="A2521" s="1" t="str">
        <f>"513224"</f>
        <v>513224</v>
      </c>
      <c r="B2521" s="2" t="str">
        <f>"BICICLETA ARO 26"</f>
        <v>BICICLETA ARO 26</v>
      </c>
      <c r="C2521" s="2" t="str">
        <f t="shared" si="98"/>
        <v>UN</v>
      </c>
      <c r="D2521" s="7">
        <v>401</v>
      </c>
      <c r="E2521" s="3">
        <v>4</v>
      </c>
      <c r="F2521" s="3">
        <v>4</v>
      </c>
      <c r="G2521" t="s">
        <v>514</v>
      </c>
    </row>
    <row r="2522" spans="1:7" x14ac:dyDescent="0.25">
      <c r="A2522" s="1" t="str">
        <f>"521632"</f>
        <v>521632</v>
      </c>
      <c r="B2522" s="2" t="str">
        <f>"BICICLETA ARO 29 MTB 21M MASC. ALUMINIO LEGEND"</f>
        <v>BICICLETA ARO 29 MTB 21M MASC. ALUMINIO LEGEND</v>
      </c>
      <c r="C2522" s="2" t="str">
        <f t="shared" si="98"/>
        <v>UN</v>
      </c>
      <c r="D2522" s="7">
        <v>99999</v>
      </c>
      <c r="E2522" s="3">
        <v>99</v>
      </c>
      <c r="F2522" s="3">
        <v>99</v>
      </c>
      <c r="G2522" t="s">
        <v>514</v>
      </c>
    </row>
    <row r="2523" spans="1:7" x14ac:dyDescent="0.25">
      <c r="A2523" s="1" t="str">
        <f>"518878"</f>
        <v>518878</v>
      </c>
      <c r="B2523" s="2" t="str">
        <f>"BICICLETA FREEACTION A16 FEM F-16-JOY PRETA"</f>
        <v>BICICLETA FREEACTION A16 FEM F-16-JOY PRETA</v>
      </c>
      <c r="C2523" s="2" t="str">
        <f t="shared" si="98"/>
        <v>UN</v>
      </c>
      <c r="D2523" s="7">
        <v>99999</v>
      </c>
      <c r="E2523" s="3">
        <v>99</v>
      </c>
      <c r="F2523" s="3">
        <v>99</v>
      </c>
      <c r="G2523" t="s">
        <v>513</v>
      </c>
    </row>
    <row r="2524" spans="1:7" x14ac:dyDescent="0.25">
      <c r="A2524" s="1" t="str">
        <f>"518877"</f>
        <v>518877</v>
      </c>
      <c r="B2524" s="2" t="str">
        <f>"BICICLETA FREEACTION A16 FEM F-16-KISS ROSA"</f>
        <v>BICICLETA FREEACTION A16 FEM F-16-KISS ROSA</v>
      </c>
      <c r="C2524" s="2" t="str">
        <f t="shared" si="98"/>
        <v>UN</v>
      </c>
      <c r="D2524" s="7">
        <v>99999</v>
      </c>
      <c r="E2524" s="3">
        <v>99</v>
      </c>
      <c r="F2524" s="3">
        <v>99</v>
      </c>
      <c r="G2524" t="s">
        <v>512</v>
      </c>
    </row>
    <row r="2525" spans="1:7" x14ac:dyDescent="0.25">
      <c r="A2525" s="1" t="str">
        <f>"515596"</f>
        <v>515596</v>
      </c>
      <c r="B2525" s="2" t="str">
        <f>"BICO"</f>
        <v>BICO</v>
      </c>
      <c r="C2525" s="2" t="str">
        <f t="shared" si="98"/>
        <v>UN</v>
      </c>
      <c r="D2525" s="7">
        <v>812</v>
      </c>
      <c r="E2525" s="3">
        <v>11</v>
      </c>
      <c r="F2525" s="3">
        <v>11</v>
      </c>
      <c r="G2525" t="s">
        <v>513</v>
      </c>
    </row>
    <row r="2526" spans="1:7" x14ac:dyDescent="0.25">
      <c r="A2526" s="1" t="str">
        <f>"526324"</f>
        <v>526324</v>
      </c>
      <c r="B2526" s="2" t="str">
        <f>"BICO ASPERSOR 4.0MM ROSCA BSP 1/4-19 PM-1271 P/ BIC"</f>
        <v>BICO ASPERSOR 4.0MM ROSCA BSP 1/4-19 PM-1271 P/ BIC</v>
      </c>
      <c r="C2526" s="2" t="str">
        <f t="shared" si="98"/>
        <v>UN</v>
      </c>
      <c r="D2526" s="7">
        <v>99999</v>
      </c>
      <c r="E2526" s="3">
        <v>99</v>
      </c>
      <c r="F2526" s="3">
        <v>99</v>
      </c>
      <c r="G2526" t="s">
        <v>514</v>
      </c>
    </row>
    <row r="2527" spans="1:7" x14ac:dyDescent="0.25">
      <c r="A2527" s="1" t="str">
        <f>"520679"</f>
        <v>520679</v>
      </c>
      <c r="B2527" s="2" t="str">
        <f>"BICO AUTOMATICO DE COMBUSTIVEL 1"""</f>
        <v>BICO AUTOMATICO DE COMBUSTIVEL 1"</v>
      </c>
      <c r="C2527" s="2" t="str">
        <f t="shared" si="98"/>
        <v>UN</v>
      </c>
      <c r="D2527" s="7">
        <v>817</v>
      </c>
      <c r="E2527" s="3">
        <v>11</v>
      </c>
      <c r="F2527" s="3">
        <v>11</v>
      </c>
      <c r="G2527" t="s">
        <v>514</v>
      </c>
    </row>
    <row r="2528" spans="1:7" x14ac:dyDescent="0.25">
      <c r="A2528" s="1" t="str">
        <f>"515022"</f>
        <v>515022</v>
      </c>
      <c r="B2528" s="2" t="str">
        <f>"BICO AUTOMATICO DE COMBUSTIVEL 3/4"</f>
        <v>BICO AUTOMATICO DE COMBUSTIVEL 3/4</v>
      </c>
      <c r="C2528" s="2" t="str">
        <f t="shared" si="98"/>
        <v>UN</v>
      </c>
      <c r="D2528" s="7">
        <v>817</v>
      </c>
      <c r="E2528" s="3">
        <v>11</v>
      </c>
      <c r="F2528" s="3">
        <v>11</v>
      </c>
      <c r="G2528" t="s">
        <v>514</v>
      </c>
    </row>
    <row r="2529" spans="1:7" x14ac:dyDescent="0.25">
      <c r="A2529" s="1" t="str">
        <f>"521512"</f>
        <v>521512</v>
      </c>
      <c r="B2529" s="2" t="str">
        <f>"BICO BO2"</f>
        <v>BICO BO2</v>
      </c>
      <c r="C2529" s="2" t="str">
        <f t="shared" si="98"/>
        <v>UN</v>
      </c>
      <c r="D2529" s="7">
        <v>99999</v>
      </c>
      <c r="E2529" s="3">
        <v>99</v>
      </c>
      <c r="F2529" s="3">
        <v>99</v>
      </c>
      <c r="G2529" t="s">
        <v>513</v>
      </c>
    </row>
    <row r="2530" spans="1:7" x14ac:dyDescent="0.25">
      <c r="A2530" s="1" t="str">
        <f>"505351"</f>
        <v>505351</v>
      </c>
      <c r="B2530" s="2" t="str">
        <f>"BICO CORTE 1503"</f>
        <v>BICO CORTE 1503</v>
      </c>
      <c r="C2530" s="2" t="str">
        <f t="shared" si="98"/>
        <v>UN</v>
      </c>
      <c r="D2530" s="7">
        <v>816</v>
      </c>
      <c r="E2530" s="3">
        <v>4</v>
      </c>
      <c r="F2530" s="3">
        <v>4</v>
      </c>
      <c r="G2530" t="s">
        <v>513</v>
      </c>
    </row>
    <row r="2531" spans="1:7" x14ac:dyDescent="0.25">
      <c r="A2531" s="1" t="str">
        <f>"511807"</f>
        <v>511807</v>
      </c>
      <c r="B2531" s="2" t="str">
        <f>"BICO CORTE FOX SM 1506 GLP Nº 4/6/8/10"</f>
        <v>BICO CORTE FOX SM 1506 GLP Nº 4/6/8/10</v>
      </c>
      <c r="C2531" s="2" t="str">
        <f t="shared" si="98"/>
        <v>UN</v>
      </c>
      <c r="D2531" s="7">
        <v>402</v>
      </c>
      <c r="E2531" s="3">
        <v>4</v>
      </c>
      <c r="F2531" s="3">
        <v>4</v>
      </c>
      <c r="G2531" t="s">
        <v>513</v>
      </c>
    </row>
    <row r="2532" spans="1:7" x14ac:dyDescent="0.25">
      <c r="A2532" s="1" t="str">
        <f>"509393"</f>
        <v>509393</v>
      </c>
      <c r="B2532" s="2" t="str">
        <f>"BICO DE AR-2"</f>
        <v>BICO DE AR-2</v>
      </c>
      <c r="C2532" s="2" t="str">
        <f>"BR"</f>
        <v>BR</v>
      </c>
      <c r="D2532" s="7">
        <v>808</v>
      </c>
      <c r="E2532" s="3">
        <v>10</v>
      </c>
      <c r="F2532" s="3">
        <v>10</v>
      </c>
      <c r="G2532" t="s">
        <v>512</v>
      </c>
    </row>
    <row r="2533" spans="1:7" x14ac:dyDescent="0.25">
      <c r="A2533" s="1" t="str">
        <f>"515114"</f>
        <v>515114</v>
      </c>
      <c r="B2533" s="2" t="str">
        <f>"BICO DE BUNSEN"</f>
        <v>BICO DE BUNSEN</v>
      </c>
      <c r="C2533" s="2" t="str">
        <f t="shared" ref="C2533:C2538" si="99">"UN"</f>
        <v>UN</v>
      </c>
      <c r="D2533" s="7">
        <v>406</v>
      </c>
      <c r="E2533" s="3">
        <v>4</v>
      </c>
      <c r="F2533" s="3">
        <v>4</v>
      </c>
      <c r="G2533" t="s">
        <v>513</v>
      </c>
    </row>
    <row r="2534" spans="1:7" x14ac:dyDescent="0.25">
      <c r="A2534" s="1" t="str">
        <f>"521681"</f>
        <v>521681</v>
      </c>
      <c r="B2534" s="2" t="str">
        <f>"BICO DE CORTE 50A MODELO LPH 35/37 CURTO"</f>
        <v>BICO DE CORTE 50A MODELO LPH 35/37 CURTO</v>
      </c>
      <c r="C2534" s="2" t="str">
        <f t="shared" si="99"/>
        <v>UN</v>
      </c>
      <c r="D2534" s="7">
        <v>99999</v>
      </c>
      <c r="E2534" s="3">
        <v>99</v>
      </c>
      <c r="F2534" s="3">
        <v>99</v>
      </c>
      <c r="G2534" t="s">
        <v>514</v>
      </c>
    </row>
    <row r="2535" spans="1:7" x14ac:dyDescent="0.25">
      <c r="A2535" s="1" t="str">
        <f>"521682"</f>
        <v>521682</v>
      </c>
      <c r="B2535" s="2" t="str">
        <f>"BICO DE CORTE N53 MODELO LPH 35/37 MEDIO"</f>
        <v>BICO DE CORTE N53 MODELO LPH 35/37 MEDIO</v>
      </c>
      <c r="C2535" s="2" t="str">
        <f t="shared" si="99"/>
        <v>UN</v>
      </c>
      <c r="D2535" s="7">
        <v>99999</v>
      </c>
      <c r="E2535" s="3">
        <v>99</v>
      </c>
      <c r="F2535" s="3">
        <v>99</v>
      </c>
      <c r="G2535" t="s">
        <v>515</v>
      </c>
    </row>
    <row r="2536" spans="1:7" x14ac:dyDescent="0.25">
      <c r="A2536" s="1" t="str">
        <f>"514210"</f>
        <v>514210</v>
      </c>
      <c r="B2536" s="2" t="str">
        <f>"BICO DE PAPAGAIO 1 ML COMPLETO (CALIBRADO)"</f>
        <v>BICO DE PAPAGAIO 1 ML COMPLETO (CALIBRADO)</v>
      </c>
      <c r="C2536" s="2" t="str">
        <f t="shared" si="99"/>
        <v>UN</v>
      </c>
      <c r="D2536" s="7">
        <v>406</v>
      </c>
      <c r="E2536" s="3">
        <v>4</v>
      </c>
      <c r="F2536" s="3">
        <v>4</v>
      </c>
      <c r="G2536" t="s">
        <v>512</v>
      </c>
    </row>
    <row r="2537" spans="1:7" x14ac:dyDescent="0.25">
      <c r="A2537" s="1" t="str">
        <f>"514211"</f>
        <v>514211</v>
      </c>
      <c r="B2537" s="2" t="str">
        <f>"BICO DE PAPAGAIO 10 ML COMPLETO (CALIBRADO)"</f>
        <v>BICO DE PAPAGAIO 10 ML COMPLETO (CALIBRADO)</v>
      </c>
      <c r="C2537" s="2" t="str">
        <f t="shared" si="99"/>
        <v>UN</v>
      </c>
      <c r="D2537" s="7">
        <v>406</v>
      </c>
      <c r="E2537" s="3">
        <v>4</v>
      </c>
      <c r="F2537" s="3">
        <v>4</v>
      </c>
      <c r="G2537" t="s">
        <v>516</v>
      </c>
    </row>
    <row r="2538" spans="1:7" x14ac:dyDescent="0.25">
      <c r="A2538" s="1" t="str">
        <f>"524269"</f>
        <v>524269</v>
      </c>
      <c r="B2538" s="2" t="str">
        <f>"BICO DE PAPAGAIO 2 ML COMPLETO (CALIBRADO)"</f>
        <v>BICO DE PAPAGAIO 2 ML COMPLETO (CALIBRADO)</v>
      </c>
      <c r="C2538" s="2" t="str">
        <f t="shared" si="99"/>
        <v>UN</v>
      </c>
      <c r="D2538" s="7">
        <v>406</v>
      </c>
      <c r="E2538" s="3">
        <v>4</v>
      </c>
      <c r="F2538" s="3">
        <v>4</v>
      </c>
      <c r="G2538" t="s">
        <v>515</v>
      </c>
    </row>
    <row r="2539" spans="1:7" x14ac:dyDescent="0.25">
      <c r="A2539" s="1" t="str">
        <f>"511469"</f>
        <v>511469</v>
      </c>
      <c r="B2539" s="2" t="str">
        <f>"BICO DE TORNEIRA 3/4 X 1/2"</f>
        <v>BICO DE TORNEIRA 3/4 X 1/2</v>
      </c>
      <c r="C2539" s="2" t="str">
        <f>"BR"</f>
        <v>BR</v>
      </c>
      <c r="D2539" s="7">
        <v>808</v>
      </c>
      <c r="E2539" s="3">
        <v>10</v>
      </c>
      <c r="F2539" s="3">
        <v>10</v>
      </c>
      <c r="G2539" t="s">
        <v>514</v>
      </c>
    </row>
    <row r="2540" spans="1:7" x14ac:dyDescent="0.25">
      <c r="A2540" s="1" t="str">
        <f>"503296"</f>
        <v>503296</v>
      </c>
      <c r="B2540" s="2" t="str">
        <f>"BICO DOSADOR BANDEJA DINI-470P"</f>
        <v>BICO DOSADOR BANDEJA DINI-470P</v>
      </c>
      <c r="C2540" s="2" t="str">
        <f t="shared" ref="C2540:C2563" si="100">"UN"</f>
        <v>UN</v>
      </c>
      <c r="D2540" s="7">
        <v>918</v>
      </c>
      <c r="E2540" s="3">
        <v>11</v>
      </c>
      <c r="F2540" s="3">
        <v>11</v>
      </c>
      <c r="G2540" t="s">
        <v>512</v>
      </c>
    </row>
    <row r="2541" spans="1:7" x14ac:dyDescent="0.25">
      <c r="A2541" s="1" t="str">
        <f>"526323"</f>
        <v>526323</v>
      </c>
      <c r="B2541" s="2" t="str">
        <f>"BICO FURO 3.5MM ASPERSOR TORN FRIG 1/4-19 BSP INO"</f>
        <v>BICO FURO 3.5MM ASPERSOR TORN FRIG 1/4-19 BSP INO</v>
      </c>
      <c r="C2541" s="2" t="str">
        <f t="shared" si="100"/>
        <v>UN</v>
      </c>
      <c r="D2541" s="7">
        <v>99999</v>
      </c>
      <c r="E2541" s="3">
        <v>99</v>
      </c>
      <c r="F2541" s="3">
        <v>99</v>
      </c>
      <c r="G2541" t="s">
        <v>513</v>
      </c>
    </row>
    <row r="2542" spans="1:7" x14ac:dyDescent="0.25">
      <c r="A2542" s="1" t="str">
        <f>"515875"</f>
        <v>515875</v>
      </c>
      <c r="B2542" s="2" t="str">
        <f>"BICO INJETOR FUROS"</f>
        <v>BICO INJETOR FUROS</v>
      </c>
      <c r="C2542" s="2" t="str">
        <f t="shared" si="100"/>
        <v>UN</v>
      </c>
      <c r="D2542" s="7">
        <v>704</v>
      </c>
      <c r="E2542" s="3">
        <v>9</v>
      </c>
      <c r="F2542" s="3">
        <v>9</v>
      </c>
      <c r="G2542" t="s">
        <v>514</v>
      </c>
    </row>
    <row r="2543" spans="1:7" x14ac:dyDescent="0.25">
      <c r="A2543" s="1" t="str">
        <f>"526322"</f>
        <v>526322</v>
      </c>
      <c r="B2543" s="2" t="str">
        <f>"BICO LEQUE TORNEIRA FURO 3,5MM MANNES VERM 85"</f>
        <v>BICO LEQUE TORNEIRA FURO 3,5MM MANNES VERM 85</v>
      </c>
      <c r="C2543" s="2" t="str">
        <f t="shared" si="100"/>
        <v>UN</v>
      </c>
      <c r="D2543" s="7">
        <v>99999</v>
      </c>
      <c r="E2543" s="3">
        <v>99</v>
      </c>
      <c r="F2543" s="3">
        <v>99</v>
      </c>
      <c r="G2543" t="s">
        <v>514</v>
      </c>
    </row>
    <row r="2544" spans="1:7" x14ac:dyDescent="0.25">
      <c r="A2544" s="1" t="str">
        <f>"511893"</f>
        <v>511893</v>
      </c>
      <c r="B2544" s="2" t="str">
        <f>"BICO LIMPEZA 6 - ARPLEX"</f>
        <v>BICO LIMPEZA 6 - ARPLEX</v>
      </c>
      <c r="C2544" s="2" t="str">
        <f t="shared" si="100"/>
        <v>UN</v>
      </c>
      <c r="D2544" s="7">
        <v>913</v>
      </c>
      <c r="E2544" s="3">
        <v>11</v>
      </c>
      <c r="F2544" s="3">
        <v>11</v>
      </c>
      <c r="G2544" t="s">
        <v>512</v>
      </c>
    </row>
    <row r="2545" spans="1:7" x14ac:dyDescent="0.25">
      <c r="A2545" s="1" t="str">
        <f>"511894"</f>
        <v>511894</v>
      </c>
      <c r="B2545" s="2" t="str">
        <f>"BICO LIMPEZA AR-02 MAC LOREN"</f>
        <v>BICO LIMPEZA AR-02 MAC LOREN</v>
      </c>
      <c r="C2545" s="2" t="str">
        <f t="shared" si="100"/>
        <v>UN</v>
      </c>
      <c r="D2545" s="7">
        <v>913</v>
      </c>
      <c r="E2545" s="3">
        <v>11</v>
      </c>
      <c r="F2545" s="3">
        <v>11</v>
      </c>
      <c r="G2545" t="s">
        <v>513</v>
      </c>
    </row>
    <row r="2546" spans="1:7" x14ac:dyDescent="0.25">
      <c r="A2546" s="1" t="str">
        <f>"526342"</f>
        <v>526342</v>
      </c>
      <c r="B2546" s="2" t="str">
        <f>"BICO NALQUILL 6"" INOX 304"</f>
        <v>BICO NALQUILL 6" INOX 304</v>
      </c>
      <c r="C2546" s="2" t="str">
        <f t="shared" si="100"/>
        <v>UN</v>
      </c>
      <c r="D2546" s="7">
        <v>99999</v>
      </c>
      <c r="E2546" s="3">
        <v>99</v>
      </c>
      <c r="F2546" s="3">
        <v>99</v>
      </c>
      <c r="G2546" t="s">
        <v>514</v>
      </c>
    </row>
    <row r="2547" spans="1:7" x14ac:dyDescent="0.25">
      <c r="A2547" s="1" t="str">
        <f>"511960"</f>
        <v>511960</v>
      </c>
      <c r="B2547" s="2" t="str">
        <f>"BICO P/ ENCHER PNEU"</f>
        <v>BICO P/ ENCHER PNEU</v>
      </c>
      <c r="C2547" s="2" t="str">
        <f t="shared" si="100"/>
        <v>UN</v>
      </c>
      <c r="D2547" s="7">
        <v>918</v>
      </c>
      <c r="E2547" s="3">
        <v>11</v>
      </c>
      <c r="F2547" s="3">
        <v>11</v>
      </c>
      <c r="G2547" t="s">
        <v>514</v>
      </c>
    </row>
    <row r="2548" spans="1:7" x14ac:dyDescent="0.25">
      <c r="A2548" s="1" t="str">
        <f>"519962"</f>
        <v>519962</v>
      </c>
      <c r="B2548" s="2" t="str">
        <f>"BICO P/ MANGUEIRA 1/2 C/ ROSCA 1/2"</f>
        <v>BICO P/ MANGUEIRA 1/2 C/ ROSCA 1/2</v>
      </c>
      <c r="C2548" s="2" t="str">
        <f t="shared" si="100"/>
        <v>UN</v>
      </c>
      <c r="D2548" s="7">
        <v>808</v>
      </c>
      <c r="E2548" s="3">
        <v>10</v>
      </c>
      <c r="F2548" s="3">
        <v>10</v>
      </c>
      <c r="G2548" t="s">
        <v>514</v>
      </c>
    </row>
    <row r="2549" spans="1:7" x14ac:dyDescent="0.25">
      <c r="A2549" s="1" t="str">
        <f>"514240"</f>
        <v>514240</v>
      </c>
      <c r="B2549" s="2" t="str">
        <f>"BICO PNEU SEM CAMARA"</f>
        <v>BICO PNEU SEM CAMARA</v>
      </c>
      <c r="C2549" s="2" t="str">
        <f t="shared" si="100"/>
        <v>UN</v>
      </c>
      <c r="D2549" s="7">
        <v>704</v>
      </c>
      <c r="E2549" s="3">
        <v>9</v>
      </c>
      <c r="F2549" s="3">
        <v>9</v>
      </c>
      <c r="G2549" t="s">
        <v>513</v>
      </c>
    </row>
    <row r="2550" spans="1:7" x14ac:dyDescent="0.25">
      <c r="A2550" s="1" t="str">
        <f>"513842"</f>
        <v>513842</v>
      </c>
      <c r="B2550" s="2" t="str">
        <f>"BICO PULVERIZADOR PL-02 TERUY"</f>
        <v>BICO PULVERIZADOR PL-02 TERUY</v>
      </c>
      <c r="C2550" s="2" t="str">
        <f t="shared" si="100"/>
        <v>UN</v>
      </c>
      <c r="D2550" s="7">
        <v>704</v>
      </c>
      <c r="E2550" s="3">
        <v>9</v>
      </c>
      <c r="F2550" s="3">
        <v>9</v>
      </c>
      <c r="G2550" t="s">
        <v>512</v>
      </c>
    </row>
    <row r="2551" spans="1:7" x14ac:dyDescent="0.25">
      <c r="A2551" s="1" t="str">
        <f>"522608"</f>
        <v>522608</v>
      </c>
      <c r="B2551" s="2" t="str">
        <f>"BICO SOPRADOR POS6/1433/96 CO-14101"</f>
        <v>BICO SOPRADOR POS6/1433/96 CO-14101</v>
      </c>
      <c r="C2551" s="2" t="str">
        <f t="shared" si="100"/>
        <v>UN</v>
      </c>
      <c r="D2551" s="7">
        <v>918</v>
      </c>
      <c r="E2551" s="3">
        <v>11</v>
      </c>
      <c r="F2551" s="3">
        <v>11</v>
      </c>
      <c r="G2551" t="s">
        <v>513</v>
      </c>
    </row>
    <row r="2552" spans="1:7" x14ac:dyDescent="0.25">
      <c r="A2552" s="1" t="str">
        <f>"506780"</f>
        <v>506780</v>
      </c>
      <c r="B2552" s="2" t="str">
        <f>"BICO SOPRO 160/200GR N° 508276"</f>
        <v>BICO SOPRO 160/200GR N° 508276</v>
      </c>
      <c r="C2552" s="2" t="str">
        <f t="shared" si="100"/>
        <v>UN</v>
      </c>
      <c r="D2552" s="7">
        <v>918</v>
      </c>
      <c r="E2552" s="3">
        <v>11</v>
      </c>
      <c r="F2552" s="3">
        <v>11</v>
      </c>
      <c r="G2552" t="s">
        <v>514</v>
      </c>
    </row>
    <row r="2553" spans="1:7" x14ac:dyDescent="0.25">
      <c r="A2553" s="1" t="str">
        <f>"510305"</f>
        <v>510305</v>
      </c>
      <c r="B2553" s="2" t="str">
        <f>"BICO TOCHA SOLDA MIG"</f>
        <v>BICO TOCHA SOLDA MIG</v>
      </c>
      <c r="C2553" s="2" t="str">
        <f t="shared" si="100"/>
        <v>UN</v>
      </c>
      <c r="D2553" s="7">
        <v>918</v>
      </c>
      <c r="E2553" s="3">
        <v>11</v>
      </c>
      <c r="F2553" s="3">
        <v>11</v>
      </c>
      <c r="G2553" t="s">
        <v>514</v>
      </c>
    </row>
    <row r="2554" spans="1:7" x14ac:dyDescent="0.25">
      <c r="A2554" s="1" t="str">
        <f>"514713"</f>
        <v>514713</v>
      </c>
      <c r="B2554" s="2" t="str">
        <f>"BIELA 100 P/BUCHA MK 1/2/3E"</f>
        <v>BIELA 100 P/BUCHA MK 1/2/3E</v>
      </c>
      <c r="C2554" s="2" t="str">
        <f t="shared" si="100"/>
        <v>UN</v>
      </c>
      <c r="D2554" s="7">
        <v>901</v>
      </c>
      <c r="E2554" s="3">
        <v>11</v>
      </c>
      <c r="F2554" s="3">
        <v>11</v>
      </c>
      <c r="G2554" t="s">
        <v>514</v>
      </c>
    </row>
    <row r="2555" spans="1:7" x14ac:dyDescent="0.25">
      <c r="A2555" s="1" t="str">
        <f>"510026"</f>
        <v>510026</v>
      </c>
      <c r="B2555" s="2" t="str">
        <f>"BIELA 65"</f>
        <v>BIELA 65</v>
      </c>
      <c r="C2555" s="2" t="str">
        <f t="shared" si="100"/>
        <v>UN</v>
      </c>
      <c r="D2555" s="7">
        <v>918</v>
      </c>
      <c r="E2555" s="3">
        <v>11</v>
      </c>
      <c r="F2555" s="3">
        <v>11</v>
      </c>
      <c r="G2555" t="s">
        <v>513</v>
      </c>
    </row>
    <row r="2556" spans="1:7" x14ac:dyDescent="0.25">
      <c r="A2556" s="1" t="str">
        <f>"521400"</f>
        <v>521400</v>
      </c>
      <c r="B2556" s="2" t="str">
        <f>"BIELA C/ BUCHA A (76)"</f>
        <v>BIELA C/ BUCHA A (76)</v>
      </c>
      <c r="C2556" s="2" t="str">
        <f t="shared" si="100"/>
        <v>UN</v>
      </c>
      <c r="D2556" s="7">
        <v>901</v>
      </c>
      <c r="E2556" s="3">
        <v>11</v>
      </c>
      <c r="F2556" s="3">
        <v>11</v>
      </c>
      <c r="G2556" t="s">
        <v>513</v>
      </c>
    </row>
    <row r="2557" spans="1:7" x14ac:dyDescent="0.25">
      <c r="A2557" s="1" t="str">
        <f>"518856"</f>
        <v>518856</v>
      </c>
      <c r="B2557" s="2" t="str">
        <f>"BIELA COMPLETA LAVADORA 400/500 JACTO"</f>
        <v>BIELA COMPLETA LAVADORA 400/500 JACTO</v>
      </c>
      <c r="C2557" s="2" t="str">
        <f t="shared" si="100"/>
        <v>UN</v>
      </c>
      <c r="D2557" s="7">
        <v>918</v>
      </c>
      <c r="E2557" s="3">
        <v>11</v>
      </c>
      <c r="F2557" s="3">
        <v>11</v>
      </c>
      <c r="G2557" t="s">
        <v>513</v>
      </c>
    </row>
    <row r="2558" spans="1:7" x14ac:dyDescent="0.25">
      <c r="A2558" s="1" t="str">
        <f>"503376"</f>
        <v>503376</v>
      </c>
      <c r="B2558" s="2" t="str">
        <f>"BIELA DA MP2"</f>
        <v>BIELA DA MP2</v>
      </c>
      <c r="C2558" s="2" t="str">
        <f t="shared" si="100"/>
        <v>UN</v>
      </c>
      <c r="D2558" s="7">
        <v>918</v>
      </c>
      <c r="E2558" s="3">
        <v>11</v>
      </c>
      <c r="F2558" s="3">
        <v>11</v>
      </c>
      <c r="G2558" t="s">
        <v>512</v>
      </c>
    </row>
    <row r="2559" spans="1:7" x14ac:dyDescent="0.25">
      <c r="A2559" s="1" t="str">
        <f>"528009"</f>
        <v>528009</v>
      </c>
      <c r="B2559" s="2" t="str">
        <f>"BIELA LAV. KARCHER HD10/20- CAGE FOOD"</f>
        <v>BIELA LAV. KARCHER HD10/20- CAGE FOOD</v>
      </c>
      <c r="C2559" s="2" t="str">
        <f t="shared" si="100"/>
        <v>UN</v>
      </c>
      <c r="D2559" s="7">
        <v>918</v>
      </c>
      <c r="E2559" s="3">
        <v>11</v>
      </c>
      <c r="F2559" s="3">
        <v>11</v>
      </c>
      <c r="G2559" t="s">
        <v>513</v>
      </c>
    </row>
    <row r="2560" spans="1:7" x14ac:dyDescent="0.25">
      <c r="A2560" s="1" t="str">
        <f>"515881"</f>
        <v>515881</v>
      </c>
      <c r="B2560" s="2" t="str">
        <f>"BIELA MOTOR CUMMINS"</f>
        <v>BIELA MOTOR CUMMINS</v>
      </c>
      <c r="C2560" s="2" t="str">
        <f t="shared" si="100"/>
        <v>UN</v>
      </c>
      <c r="D2560" s="7">
        <v>704</v>
      </c>
      <c r="E2560" s="3">
        <v>9</v>
      </c>
      <c r="F2560" s="3">
        <v>9</v>
      </c>
      <c r="G2560" t="s">
        <v>514</v>
      </c>
    </row>
    <row r="2561" spans="1:7" x14ac:dyDescent="0.25">
      <c r="A2561" s="1" t="str">
        <f>"515098"</f>
        <v>515098</v>
      </c>
      <c r="B2561" s="2" t="str">
        <f>"BIELA TM-3"</f>
        <v>BIELA TM-3</v>
      </c>
      <c r="C2561" s="2" t="str">
        <f t="shared" si="100"/>
        <v>UN</v>
      </c>
      <c r="D2561" s="7">
        <v>1003</v>
      </c>
      <c r="E2561" s="3">
        <v>11</v>
      </c>
      <c r="F2561" s="3">
        <v>11</v>
      </c>
      <c r="G2561" t="s">
        <v>515</v>
      </c>
    </row>
    <row r="2562" spans="1:7" x14ac:dyDescent="0.25">
      <c r="A2562" s="1" t="str">
        <f>"5848"</f>
        <v>5848</v>
      </c>
      <c r="B2562" s="2" t="str">
        <f>"BIELETA"</f>
        <v>BIELETA</v>
      </c>
      <c r="C2562" s="2" t="str">
        <f t="shared" si="100"/>
        <v>UN</v>
      </c>
      <c r="D2562" s="7">
        <v>704</v>
      </c>
      <c r="E2562" s="3">
        <v>9</v>
      </c>
      <c r="F2562" s="3">
        <v>9</v>
      </c>
      <c r="G2562" t="s">
        <v>512</v>
      </c>
    </row>
    <row r="2563" spans="1:7" x14ac:dyDescent="0.25">
      <c r="A2563" s="1" t="str">
        <f>"519181"</f>
        <v>519181</v>
      </c>
      <c r="B2563" s="2" t="str">
        <f>"BIG BAG POLIPROPILENO 1200KG"</f>
        <v>BIG BAG POLIPROPILENO 1200KG</v>
      </c>
      <c r="C2563" s="2" t="str">
        <f t="shared" si="100"/>
        <v>UN</v>
      </c>
      <c r="D2563" s="7">
        <v>408</v>
      </c>
      <c r="E2563" s="3">
        <v>4</v>
      </c>
      <c r="F2563" s="3">
        <v>4</v>
      </c>
      <c r="G2563" t="s">
        <v>516</v>
      </c>
    </row>
    <row r="2564" spans="1:7" x14ac:dyDescent="0.25">
      <c r="A2564" s="1" t="str">
        <f>"188"</f>
        <v>188</v>
      </c>
      <c r="B2564" s="2" t="str">
        <f>"BIG BLUE BB 60L(62) - CÓD. 44081 (ECOLAB)"</f>
        <v>BIG BLUE BB 60L(62) - CÓD. 44081 (ECOLAB)</v>
      </c>
      <c r="C2564" s="2" t="str">
        <f>"KG"</f>
        <v>KG</v>
      </c>
      <c r="D2564" s="7">
        <v>400</v>
      </c>
      <c r="E2564" s="3">
        <v>4</v>
      </c>
      <c r="F2564" s="3">
        <v>4</v>
      </c>
      <c r="G2564" t="s">
        <v>515</v>
      </c>
    </row>
    <row r="2565" spans="1:7" x14ac:dyDescent="0.25">
      <c r="A2565" s="1" t="str">
        <f>"516041"</f>
        <v>516041</v>
      </c>
      <c r="B2565" s="2" t="str">
        <f>"BIG EVOLUTION 2,6 685X1150MM DPL NYLON"</f>
        <v>BIG EVOLUTION 2,6 685X1150MM DPL NYLON</v>
      </c>
      <c r="C2565" s="2" t="str">
        <f t="shared" ref="C2565:C2570" si="101">"UN"</f>
        <v>UN</v>
      </c>
      <c r="D2565" s="7">
        <v>918</v>
      </c>
      <c r="E2565" s="3">
        <v>13</v>
      </c>
      <c r="F2565" s="3">
        <v>13</v>
      </c>
      <c r="G2565" t="s">
        <v>514</v>
      </c>
    </row>
    <row r="2566" spans="1:7" x14ac:dyDescent="0.25">
      <c r="A2566" s="1" t="str">
        <f>"516195"</f>
        <v>516195</v>
      </c>
      <c r="B2566" s="2" t="str">
        <f>"BIG EVOLUTION 3,5 685X1150X DPL NYLON"</f>
        <v>BIG EVOLUTION 3,5 685X1150X DPL NYLON</v>
      </c>
      <c r="C2566" s="2" t="str">
        <f t="shared" si="101"/>
        <v>UN</v>
      </c>
      <c r="D2566" s="7">
        <v>918</v>
      </c>
      <c r="E2566" s="3">
        <v>13</v>
      </c>
      <c r="F2566" s="3">
        <v>13</v>
      </c>
      <c r="G2566" t="s">
        <v>512</v>
      </c>
    </row>
    <row r="2567" spans="1:7" x14ac:dyDescent="0.25">
      <c r="A2567" s="1" t="str">
        <f>"511948"</f>
        <v>511948</v>
      </c>
      <c r="B2567" s="2" t="str">
        <f>"BILHA CABEÇOTE 3900"</f>
        <v>BILHA CABEÇOTE 3900</v>
      </c>
      <c r="C2567" s="2" t="str">
        <f t="shared" si="101"/>
        <v>UN</v>
      </c>
      <c r="D2567" s="7">
        <v>918</v>
      </c>
      <c r="E2567" s="3">
        <v>11</v>
      </c>
      <c r="F2567" s="3">
        <v>11</v>
      </c>
      <c r="G2567" t="s">
        <v>513</v>
      </c>
    </row>
    <row r="2568" spans="1:7" x14ac:dyDescent="0.25">
      <c r="A2568" s="1" t="str">
        <f>"519290"</f>
        <v>519290</v>
      </c>
      <c r="B2568" s="2" t="str">
        <f>"BIODIGESTOR 1300L 10 PESSOAS"</f>
        <v>BIODIGESTOR 1300L 10 PESSOAS</v>
      </c>
      <c r="C2568" s="2" t="str">
        <f t="shared" si="101"/>
        <v>UN</v>
      </c>
      <c r="D2568" s="7">
        <v>917</v>
      </c>
      <c r="E2568" s="3">
        <v>10</v>
      </c>
      <c r="F2568" s="3">
        <v>10</v>
      </c>
      <c r="G2568" t="s">
        <v>514</v>
      </c>
    </row>
    <row r="2569" spans="1:7" x14ac:dyDescent="0.25">
      <c r="A2569" s="1" t="str">
        <f>"519289"</f>
        <v>519289</v>
      </c>
      <c r="B2569" s="2" t="str">
        <f>"BIODIGESTOR 600L 5 PESSOAS"</f>
        <v>BIODIGESTOR 600L 5 PESSOAS</v>
      </c>
      <c r="C2569" s="2" t="str">
        <f t="shared" si="101"/>
        <v>UN</v>
      </c>
      <c r="D2569" s="7">
        <v>917</v>
      </c>
      <c r="E2569" s="3">
        <v>10</v>
      </c>
      <c r="F2569" s="3">
        <v>10</v>
      </c>
      <c r="G2569" t="s">
        <v>514</v>
      </c>
    </row>
    <row r="2570" spans="1:7" x14ac:dyDescent="0.25">
      <c r="A2570" s="1" t="str">
        <f>"523902"</f>
        <v>523902</v>
      </c>
      <c r="B2570" s="2" t="str">
        <f>"BIOFENAC SPRAY"</f>
        <v>BIOFENAC SPRAY</v>
      </c>
      <c r="C2570" s="2" t="str">
        <f t="shared" si="101"/>
        <v>UN</v>
      </c>
      <c r="D2570" s="7">
        <v>99999</v>
      </c>
      <c r="E2570" s="3">
        <v>99</v>
      </c>
      <c r="F2570" s="3">
        <v>99</v>
      </c>
      <c r="G2570" t="s">
        <v>512</v>
      </c>
    </row>
    <row r="2571" spans="1:7" x14ac:dyDescent="0.25">
      <c r="A2571" s="1" t="str">
        <f>"523096"</f>
        <v>523096</v>
      </c>
      <c r="B2571" s="2" t="str">
        <f>"BIOGENIUN I30 (GENÉTICA)"</f>
        <v>BIOGENIUN I30 (GENÉTICA)</v>
      </c>
      <c r="C2571" s="2" t="str">
        <f>"KG"</f>
        <v>KG</v>
      </c>
      <c r="D2571" s="7">
        <v>400</v>
      </c>
      <c r="E2571" s="3">
        <v>10</v>
      </c>
      <c r="F2571" s="3">
        <v>10</v>
      </c>
      <c r="G2571" t="s">
        <v>513</v>
      </c>
    </row>
    <row r="2572" spans="1:7" x14ac:dyDescent="0.25">
      <c r="A2572" s="1" t="str">
        <f>"523095"</f>
        <v>523095</v>
      </c>
      <c r="B2572" s="2" t="str">
        <f>"BIOGENIUN SUPERMIX GTI (GENÉTICA)"</f>
        <v>BIOGENIUN SUPERMIX GTI (GENÉTICA)</v>
      </c>
      <c r="C2572" s="2" t="str">
        <f>"LT"</f>
        <v>LT</v>
      </c>
      <c r="D2572" s="7">
        <v>400</v>
      </c>
      <c r="E2572" s="3">
        <v>10</v>
      </c>
      <c r="F2572" s="3">
        <v>10</v>
      </c>
      <c r="G2572" t="s">
        <v>514</v>
      </c>
    </row>
    <row r="2573" spans="1:7" x14ac:dyDescent="0.25">
      <c r="A2573" s="1" t="str">
        <f>"524841"</f>
        <v>524841</v>
      </c>
      <c r="B2573" s="2" t="str">
        <f>"BIOGENIUN V12 (GENÉTICA)"</f>
        <v>BIOGENIUN V12 (GENÉTICA)</v>
      </c>
      <c r="C2573" s="2" t="str">
        <f>"LT"</f>
        <v>LT</v>
      </c>
      <c r="D2573" s="7">
        <v>400</v>
      </c>
      <c r="E2573" s="3">
        <v>10</v>
      </c>
      <c r="F2573" s="3">
        <v>10</v>
      </c>
      <c r="G2573" t="s">
        <v>514</v>
      </c>
    </row>
    <row r="2574" spans="1:7" x14ac:dyDescent="0.25">
      <c r="A2574" s="1" t="str">
        <f>"527755"</f>
        <v>527755</v>
      </c>
      <c r="B2574" s="2" t="str">
        <f>"BIOLOGICOS"</f>
        <v>BIOLOGICOS</v>
      </c>
      <c r="C2574" s="2" t="str">
        <f t="shared" ref="C2574:C2605" si="102">"UN"</f>
        <v>UN</v>
      </c>
      <c r="D2574" s="7">
        <v>99999</v>
      </c>
      <c r="E2574" s="3">
        <v>99</v>
      </c>
      <c r="F2574" s="3">
        <v>99</v>
      </c>
      <c r="G2574" t="s">
        <v>514</v>
      </c>
    </row>
    <row r="2575" spans="1:7" x14ac:dyDescent="0.25">
      <c r="A2575" s="1" t="str">
        <f>"523930"</f>
        <v>523930</v>
      </c>
      <c r="B2575" s="2" t="str">
        <f>"BIRUTA HASTE 2MT 60CM COMP. SI-P2"</f>
        <v>BIRUTA HASTE 2MT 60CM COMP. SI-P2</v>
      </c>
      <c r="C2575" s="2" t="str">
        <f t="shared" si="102"/>
        <v>UN</v>
      </c>
      <c r="D2575" s="7">
        <v>99999</v>
      </c>
      <c r="E2575" s="3">
        <v>99</v>
      </c>
      <c r="F2575" s="3">
        <v>99</v>
      </c>
      <c r="G2575" t="s">
        <v>513</v>
      </c>
    </row>
    <row r="2576" spans="1:7" x14ac:dyDescent="0.25">
      <c r="A2576" s="1" t="str">
        <f>"515071"</f>
        <v>515071</v>
      </c>
      <c r="B2576" s="2" t="str">
        <f>"BISCOFIBRAS LINHACA"</f>
        <v>BISCOFIBRAS LINHACA</v>
      </c>
      <c r="C2576" s="2" t="str">
        <f t="shared" si="102"/>
        <v>UN</v>
      </c>
      <c r="D2576" s="7">
        <v>401</v>
      </c>
      <c r="E2576" s="3">
        <v>4</v>
      </c>
      <c r="F2576" s="3">
        <v>4</v>
      </c>
      <c r="G2576" t="s">
        <v>512</v>
      </c>
    </row>
    <row r="2577" spans="1:7" x14ac:dyDescent="0.25">
      <c r="A2577" s="1" t="str">
        <f>"514610"</f>
        <v>514610</v>
      </c>
      <c r="B2577" s="2" t="str">
        <f>"BISCOITO DOCE MAIZENA"</f>
        <v>BISCOITO DOCE MAIZENA</v>
      </c>
      <c r="C2577" s="2" t="str">
        <f t="shared" si="102"/>
        <v>UN</v>
      </c>
      <c r="D2577" s="7">
        <v>401</v>
      </c>
      <c r="E2577" s="3">
        <v>4</v>
      </c>
      <c r="F2577" s="3">
        <v>4</v>
      </c>
      <c r="G2577" t="s">
        <v>513</v>
      </c>
    </row>
    <row r="2578" spans="1:7" x14ac:dyDescent="0.25">
      <c r="A2578" s="1" t="str">
        <f>"514693"</f>
        <v>514693</v>
      </c>
      <c r="B2578" s="2" t="str">
        <f>"BISCOITO TORTINHAS"</f>
        <v>BISCOITO TORTINHAS</v>
      </c>
      <c r="C2578" s="2" t="str">
        <f t="shared" si="102"/>
        <v>UN</v>
      </c>
      <c r="D2578" s="7">
        <v>401</v>
      </c>
      <c r="E2578" s="3">
        <v>4</v>
      </c>
      <c r="F2578" s="3">
        <v>4</v>
      </c>
      <c r="G2578" t="s">
        <v>514</v>
      </c>
    </row>
    <row r="2579" spans="1:7" x14ac:dyDescent="0.25">
      <c r="A2579" s="1" t="str">
        <f>"514993"</f>
        <v>514993</v>
      </c>
      <c r="B2579" s="2" t="str">
        <f>"BISNAGUINHA"</f>
        <v>BISNAGUINHA</v>
      </c>
      <c r="C2579" s="2" t="str">
        <f t="shared" si="102"/>
        <v>UN</v>
      </c>
      <c r="D2579" s="7">
        <v>401</v>
      </c>
      <c r="E2579" s="3">
        <v>4</v>
      </c>
      <c r="F2579" s="3">
        <v>4</v>
      </c>
      <c r="G2579" t="s">
        <v>514</v>
      </c>
    </row>
    <row r="2580" spans="1:7" x14ac:dyDescent="0.25">
      <c r="A2580" s="1" t="str">
        <f>"523925"</f>
        <v>523925</v>
      </c>
      <c r="B2580" s="2" t="str">
        <f>"BITDEFENDER CLIPTOGRAFIA DE DISCO"</f>
        <v>BITDEFENDER CLIPTOGRAFIA DE DISCO</v>
      </c>
      <c r="C2580" s="2" t="str">
        <f t="shared" si="102"/>
        <v>UN</v>
      </c>
      <c r="D2580" s="7">
        <v>99999</v>
      </c>
      <c r="E2580" s="3">
        <v>99</v>
      </c>
      <c r="F2580" s="3">
        <v>99</v>
      </c>
      <c r="G2580" t="s">
        <v>514</v>
      </c>
    </row>
    <row r="2581" spans="1:7" x14ac:dyDescent="0.25">
      <c r="A2581" s="1" t="str">
        <f>"523924"</f>
        <v>523924</v>
      </c>
      <c r="B2581" s="2" t="str">
        <f>"BITDEFENDER GRAVITYZONE ADV BUS SEC 100-149 USUAR 2 ANOS"</f>
        <v>BITDEFENDER GRAVITYZONE ADV BUS SEC 100-149 USUAR 2 ANOS</v>
      </c>
      <c r="C2581" s="2" t="str">
        <f t="shared" si="102"/>
        <v>UN</v>
      </c>
      <c r="D2581" s="7">
        <v>99999</v>
      </c>
      <c r="E2581" s="3">
        <v>99</v>
      </c>
      <c r="F2581" s="3">
        <v>99</v>
      </c>
      <c r="G2581" t="s">
        <v>513</v>
      </c>
    </row>
    <row r="2582" spans="1:7" x14ac:dyDescent="0.25">
      <c r="A2582" s="1" t="str">
        <f>"507012"</f>
        <v>507012</v>
      </c>
      <c r="B2582" s="2" t="str">
        <f>"BL50 10HP 2P 220/380V 304 C/C 2M SMS 2X2 S-CGV COM CARRINHO"</f>
        <v>BL50 10HP 2P 220/380V 304 C/C 2M SMS 2X2 S-CGV COM CARRINHO</v>
      </c>
      <c r="C2582" s="2" t="str">
        <f t="shared" si="102"/>
        <v>UN</v>
      </c>
      <c r="D2582" s="7">
        <v>1400</v>
      </c>
      <c r="E2582" s="3">
        <v>13</v>
      </c>
      <c r="F2582" s="3">
        <v>13</v>
      </c>
      <c r="G2582" t="s">
        <v>513</v>
      </c>
    </row>
    <row r="2583" spans="1:7" x14ac:dyDescent="0.25">
      <c r="A2583" s="1" t="str">
        <f>"6705"</f>
        <v>6705</v>
      </c>
      <c r="B2583" s="2" t="str">
        <f>"BLAZER"</f>
        <v>BLAZER</v>
      </c>
      <c r="C2583" s="2" t="str">
        <f t="shared" si="102"/>
        <v>UN</v>
      </c>
      <c r="D2583" s="7">
        <v>500</v>
      </c>
      <c r="E2583" s="3">
        <v>5</v>
      </c>
      <c r="F2583" s="3">
        <v>5</v>
      </c>
      <c r="G2583" t="s">
        <v>513</v>
      </c>
    </row>
    <row r="2584" spans="1:7" x14ac:dyDescent="0.25">
      <c r="A2584" s="1" t="str">
        <f>"522502"</f>
        <v>522502</v>
      </c>
      <c r="B2584" s="2" t="str">
        <f>"BLIMP 3M DIAM. PRESO POR CORDA AMARRAÇÃO INFLADO GAS HELIO"</f>
        <v>BLIMP 3M DIAM. PRESO POR CORDA AMARRAÇÃO INFLADO GAS HELIO</v>
      </c>
      <c r="C2584" s="2" t="str">
        <f t="shared" si="102"/>
        <v>UN</v>
      </c>
      <c r="D2584" s="7">
        <v>99999</v>
      </c>
      <c r="E2584" s="3">
        <v>99</v>
      </c>
      <c r="F2584" s="3">
        <v>99</v>
      </c>
      <c r="G2584" t="s">
        <v>512</v>
      </c>
    </row>
    <row r="2585" spans="1:7" x14ac:dyDescent="0.25">
      <c r="A2585" s="1" t="str">
        <f>"522503"</f>
        <v>522503</v>
      </c>
      <c r="B2585" s="2" t="str">
        <f>"BLIMP 3M DIAM. PRESO POR PEDESTAL INFLADO AR COMPRIMIDO"</f>
        <v>BLIMP 3M DIAM. PRESO POR PEDESTAL INFLADO AR COMPRIMIDO</v>
      </c>
      <c r="C2585" s="2" t="str">
        <f t="shared" si="102"/>
        <v>UN</v>
      </c>
      <c r="D2585" s="7">
        <v>99999</v>
      </c>
      <c r="E2585" s="3">
        <v>99</v>
      </c>
      <c r="F2585" s="3">
        <v>99</v>
      </c>
      <c r="G2585" t="s">
        <v>513</v>
      </c>
    </row>
    <row r="2586" spans="1:7" x14ac:dyDescent="0.25">
      <c r="A2586" s="1" t="str">
        <f>"517819"</f>
        <v>517819</v>
      </c>
      <c r="B2586" s="2" t="str">
        <f>"BLOCO ADAPTADOR P/ CAMINHÕES (ANALISE DE ANTIBIOTICO)"</f>
        <v>BLOCO ADAPTADOR P/ CAMINHÕES (ANALISE DE ANTIBIOTICO)</v>
      </c>
      <c r="C2586" s="2" t="str">
        <f t="shared" si="102"/>
        <v>UN</v>
      </c>
      <c r="D2586" s="7">
        <v>1300</v>
      </c>
      <c r="E2586" s="3">
        <v>9</v>
      </c>
      <c r="F2586" s="3">
        <v>9</v>
      </c>
      <c r="G2586" t="s">
        <v>514</v>
      </c>
    </row>
    <row r="2587" spans="1:7" x14ac:dyDescent="0.25">
      <c r="A2587" s="1" t="str">
        <f>"521802"</f>
        <v>521802</v>
      </c>
      <c r="B2587" s="2" t="str">
        <f>"BLOCO ANOTAÇÃO 4X0 CORES OFF SET 75G"</f>
        <v>BLOCO ANOTAÇÃO 4X0 CORES OFF SET 75G</v>
      </c>
      <c r="C2587" s="2" t="str">
        <f t="shared" si="102"/>
        <v>UN</v>
      </c>
      <c r="D2587" s="7">
        <v>99999</v>
      </c>
      <c r="E2587" s="3">
        <v>99</v>
      </c>
      <c r="F2587" s="3">
        <v>99</v>
      </c>
      <c r="G2587" t="s">
        <v>515</v>
      </c>
    </row>
    <row r="2588" spans="1:7" x14ac:dyDescent="0.25">
      <c r="A2588" s="1" t="str">
        <f>"515182"</f>
        <v>515182</v>
      </c>
      <c r="B2588" s="2" t="str">
        <f>"BLOCO AQUECEDOR 220V"</f>
        <v>BLOCO AQUECEDOR 220V</v>
      </c>
      <c r="C2588" s="2" t="str">
        <f t="shared" si="102"/>
        <v>UN</v>
      </c>
      <c r="D2588" s="7">
        <v>406</v>
      </c>
      <c r="E2588" s="3">
        <v>4</v>
      </c>
      <c r="F2588" s="3">
        <v>4</v>
      </c>
      <c r="G2588" t="s">
        <v>512</v>
      </c>
    </row>
    <row r="2589" spans="1:7" x14ac:dyDescent="0.25">
      <c r="A2589" s="1" t="str">
        <f>"522312"</f>
        <v>522312</v>
      </c>
      <c r="B2589" s="2" t="str">
        <f>"BLOCO AQUECEDOR 220V BA-75"</f>
        <v>BLOCO AQUECEDOR 220V BA-75</v>
      </c>
      <c r="C2589" s="2" t="str">
        <f t="shared" si="102"/>
        <v>UN</v>
      </c>
      <c r="D2589" s="7">
        <v>99999</v>
      </c>
      <c r="E2589" s="3">
        <v>99</v>
      </c>
      <c r="F2589" s="3">
        <v>99</v>
      </c>
      <c r="G2589" t="s">
        <v>516</v>
      </c>
    </row>
    <row r="2590" spans="1:7" x14ac:dyDescent="0.25">
      <c r="A2590" s="1" t="str">
        <f>"527941"</f>
        <v>527941</v>
      </c>
      <c r="B2590" s="2" t="str">
        <f>"BLOCO ATESTADO 50 FOLHAS 21,5 X 15,5CM PRETO/BRANCO"</f>
        <v>BLOCO ATESTADO 50 FOLHAS 21,5 X 15,5CM PRETO/BRANCO</v>
      </c>
      <c r="C2590" s="2" t="str">
        <f t="shared" si="102"/>
        <v>UN</v>
      </c>
      <c r="D2590" s="7">
        <v>99999</v>
      </c>
      <c r="E2590" s="3">
        <v>99</v>
      </c>
      <c r="F2590" s="3">
        <v>99</v>
      </c>
      <c r="G2590" t="s">
        <v>515</v>
      </c>
    </row>
    <row r="2591" spans="1:7" x14ac:dyDescent="0.25">
      <c r="A2591" s="1" t="str">
        <f>"522873"</f>
        <v>522873</v>
      </c>
      <c r="B2591" s="2" t="str">
        <f>"BLOCO AUTONOMO ILUM. EMERGENCIA  IP20"</f>
        <v>BLOCO AUTONOMO ILUM. EMERGENCIA  IP20</v>
      </c>
      <c r="C2591" s="2" t="str">
        <f t="shared" si="102"/>
        <v>UN</v>
      </c>
      <c r="D2591" s="7">
        <v>601</v>
      </c>
      <c r="E2591" s="3">
        <v>8</v>
      </c>
      <c r="F2591" s="3">
        <v>8</v>
      </c>
      <c r="G2591" t="s">
        <v>514</v>
      </c>
    </row>
    <row r="2592" spans="1:7" x14ac:dyDescent="0.25">
      <c r="A2592" s="1" t="str">
        <f>"521962"</f>
        <v>521962</v>
      </c>
      <c r="B2592" s="2" t="str">
        <f>"BLOCO C/ ENCADERNAÇÃO "" A GENTE SE CUIDA''"</f>
        <v>BLOCO C/ ENCADERNAÇÃO " A GENTE SE CUIDA''</v>
      </c>
      <c r="C2592" s="2" t="str">
        <f t="shared" si="102"/>
        <v>UN</v>
      </c>
      <c r="D2592" s="7">
        <v>99999</v>
      </c>
      <c r="E2592" s="3">
        <v>99</v>
      </c>
      <c r="F2592" s="3">
        <v>99</v>
      </c>
      <c r="G2592" t="s">
        <v>512</v>
      </c>
    </row>
    <row r="2593" spans="1:7" x14ac:dyDescent="0.25">
      <c r="A2593" s="1" t="str">
        <f>"524687"</f>
        <v>524687</v>
      </c>
      <c r="B2593" s="2" t="str">
        <f>"BLOCO CARGA LODESTAR NH V2 2T 73269090"</f>
        <v>BLOCO CARGA LODESTAR NH V2 2T 73269090</v>
      </c>
      <c r="C2593" s="2" t="str">
        <f t="shared" si="102"/>
        <v>UN</v>
      </c>
      <c r="D2593" s="7">
        <v>918</v>
      </c>
      <c r="E2593" s="3">
        <v>10</v>
      </c>
      <c r="F2593" s="3">
        <v>10</v>
      </c>
      <c r="G2593" t="s">
        <v>513</v>
      </c>
    </row>
    <row r="2594" spans="1:7" x14ac:dyDescent="0.25">
      <c r="A2594" s="1" t="str">
        <f>"522358"</f>
        <v>522358</v>
      </c>
      <c r="B2594" s="2" t="str">
        <f>"BLOCO CHECK LIST ANDAIME"</f>
        <v>BLOCO CHECK LIST ANDAIME</v>
      </c>
      <c r="C2594" s="2" t="str">
        <f t="shared" si="102"/>
        <v>UN</v>
      </c>
      <c r="D2594" s="7">
        <v>501</v>
      </c>
      <c r="E2594" s="3">
        <v>4</v>
      </c>
      <c r="F2594" s="3">
        <v>4</v>
      </c>
      <c r="G2594" t="s">
        <v>514</v>
      </c>
    </row>
    <row r="2595" spans="1:7" x14ac:dyDescent="0.25">
      <c r="A2595" s="1" t="str">
        <f>"523585"</f>
        <v>523585</v>
      </c>
      <c r="B2595" s="2" t="str">
        <f>"BLOCO CHECK LIST BETONEIRA"</f>
        <v>BLOCO CHECK LIST BETONEIRA</v>
      </c>
      <c r="C2595" s="2" t="str">
        <f t="shared" si="102"/>
        <v>UN</v>
      </c>
      <c r="D2595" s="7">
        <v>501</v>
      </c>
      <c r="E2595" s="3">
        <v>4</v>
      </c>
      <c r="F2595" s="3">
        <v>4</v>
      </c>
      <c r="G2595" t="s">
        <v>514</v>
      </c>
    </row>
    <row r="2596" spans="1:7" x14ac:dyDescent="0.25">
      <c r="A2596" s="1" t="str">
        <f>"523884"</f>
        <v>523884</v>
      </c>
      <c r="B2596" s="2" t="str">
        <f>"BLOCO CHECK LIST CARRINHO PS"</f>
        <v>BLOCO CHECK LIST CARRINHO PS</v>
      </c>
      <c r="C2596" s="2" t="str">
        <f t="shared" si="102"/>
        <v>UN</v>
      </c>
      <c r="D2596" s="7">
        <v>501</v>
      </c>
      <c r="E2596" s="3">
        <v>4</v>
      </c>
      <c r="F2596" s="3">
        <v>4</v>
      </c>
      <c r="G2596" t="s">
        <v>512</v>
      </c>
    </row>
    <row r="2597" spans="1:7" x14ac:dyDescent="0.25">
      <c r="A2597" s="1" t="str">
        <f>"522359"</f>
        <v>522359</v>
      </c>
      <c r="B2597" s="2" t="str">
        <f>"BLOCO CHECK LIST CINTO"</f>
        <v>BLOCO CHECK LIST CINTO</v>
      </c>
      <c r="C2597" s="2" t="str">
        <f t="shared" si="102"/>
        <v>UN</v>
      </c>
      <c r="D2597" s="7">
        <v>501</v>
      </c>
      <c r="E2597" s="3">
        <v>4</v>
      </c>
      <c r="F2597" s="3">
        <v>4</v>
      </c>
      <c r="G2597" t="s">
        <v>513</v>
      </c>
    </row>
    <row r="2598" spans="1:7" x14ac:dyDescent="0.25">
      <c r="A2598" s="1" t="str">
        <f>"522360"</f>
        <v>522360</v>
      </c>
      <c r="B2598" s="2" t="str">
        <f>"BLOCO CHECK LIST ESCADA"</f>
        <v>BLOCO CHECK LIST ESCADA</v>
      </c>
      <c r="C2598" s="2" t="str">
        <f t="shared" si="102"/>
        <v>UN</v>
      </c>
      <c r="D2598" s="7">
        <v>501</v>
      </c>
      <c r="E2598" s="3">
        <v>4</v>
      </c>
      <c r="F2598" s="3">
        <v>4</v>
      </c>
      <c r="G2598" t="s">
        <v>514</v>
      </c>
    </row>
    <row r="2599" spans="1:7" x14ac:dyDescent="0.25">
      <c r="A2599" s="1" t="str">
        <f>"527974"</f>
        <v>527974</v>
      </c>
      <c r="B2599" s="2" t="str">
        <f>"BLOCO CHECK LIST FERRAMENTAS MANUAIS"</f>
        <v>BLOCO CHECK LIST FERRAMENTAS MANUAIS</v>
      </c>
      <c r="C2599" s="2" t="str">
        <f t="shared" si="102"/>
        <v>UN</v>
      </c>
      <c r="D2599" s="7">
        <v>501</v>
      </c>
      <c r="E2599" s="3">
        <v>4</v>
      </c>
      <c r="F2599" s="3">
        <v>4</v>
      </c>
      <c r="G2599" t="s">
        <v>514</v>
      </c>
    </row>
    <row r="2600" spans="1:7" x14ac:dyDescent="0.25">
      <c r="A2600" s="1" t="str">
        <f>"522361"</f>
        <v>522361</v>
      </c>
      <c r="B2600" s="2" t="str">
        <f>"BLOCO CHECK LIST FURADEIRA"</f>
        <v>BLOCO CHECK LIST FURADEIRA</v>
      </c>
      <c r="C2600" s="2" t="str">
        <f t="shared" si="102"/>
        <v>UN</v>
      </c>
      <c r="D2600" s="7">
        <v>501</v>
      </c>
      <c r="E2600" s="3">
        <v>4</v>
      </c>
      <c r="F2600" s="3">
        <v>4</v>
      </c>
      <c r="G2600" t="s">
        <v>514</v>
      </c>
    </row>
    <row r="2601" spans="1:7" x14ac:dyDescent="0.25">
      <c r="A2601" s="1" t="str">
        <f>"526253"</f>
        <v>526253</v>
      </c>
      <c r="B2601" s="2" t="str">
        <f>"BLOCO CHECK LIST GERADOR DE ESPUMA"</f>
        <v>BLOCO CHECK LIST GERADOR DE ESPUMA</v>
      </c>
      <c r="C2601" s="2" t="str">
        <f t="shared" si="102"/>
        <v>UN</v>
      </c>
      <c r="D2601" s="7">
        <v>501</v>
      </c>
      <c r="E2601" s="3">
        <v>4</v>
      </c>
      <c r="F2601" s="3">
        <v>4</v>
      </c>
      <c r="G2601" t="s">
        <v>513</v>
      </c>
    </row>
    <row r="2602" spans="1:7" x14ac:dyDescent="0.25">
      <c r="A2602" s="1" t="str">
        <f>"526254"</f>
        <v>526254</v>
      </c>
      <c r="B2602" s="2" t="str">
        <f>"BLOCO CHECK LIST GUINCHO GIRAFA"</f>
        <v>BLOCO CHECK LIST GUINCHO GIRAFA</v>
      </c>
      <c r="C2602" s="2" t="str">
        <f t="shared" si="102"/>
        <v>UN</v>
      </c>
      <c r="D2602" s="7">
        <v>501</v>
      </c>
      <c r="E2602" s="3">
        <v>4</v>
      </c>
      <c r="F2602" s="3">
        <v>4</v>
      </c>
      <c r="G2602" t="s">
        <v>512</v>
      </c>
    </row>
    <row r="2603" spans="1:7" x14ac:dyDescent="0.25">
      <c r="A2603" s="1" t="str">
        <f>"522362"</f>
        <v>522362</v>
      </c>
      <c r="B2603" s="2" t="str">
        <f>"BLOCO CHECK LIST JATO"</f>
        <v>BLOCO CHECK LIST JATO</v>
      </c>
      <c r="C2603" s="2" t="str">
        <f t="shared" si="102"/>
        <v>UN</v>
      </c>
      <c r="D2603" s="7">
        <v>501</v>
      </c>
      <c r="E2603" s="3">
        <v>4</v>
      </c>
      <c r="F2603" s="3">
        <v>4</v>
      </c>
      <c r="G2603" t="s">
        <v>513</v>
      </c>
    </row>
    <row r="2604" spans="1:7" x14ac:dyDescent="0.25">
      <c r="A2604" s="1" t="str">
        <f>"522363"</f>
        <v>522363</v>
      </c>
      <c r="B2604" s="2" t="str">
        <f>"BLOCO CHECK LIST LIXADEIRA"</f>
        <v>BLOCO CHECK LIST LIXADEIRA</v>
      </c>
      <c r="C2604" s="2" t="str">
        <f t="shared" si="102"/>
        <v>UN</v>
      </c>
      <c r="D2604" s="7">
        <v>501</v>
      </c>
      <c r="E2604" s="3">
        <v>4</v>
      </c>
      <c r="F2604" s="3">
        <v>4</v>
      </c>
      <c r="G2604" t="s">
        <v>514</v>
      </c>
    </row>
    <row r="2605" spans="1:7" x14ac:dyDescent="0.25">
      <c r="A2605" s="1" t="str">
        <f>"523516"</f>
        <v>523516</v>
      </c>
      <c r="B2605" s="2" t="str">
        <f>"BLOCO CHECK LIST LIXADEIRA PAREDE TREME-TREME"</f>
        <v>BLOCO CHECK LIST LIXADEIRA PAREDE TREME-TREME</v>
      </c>
      <c r="C2605" s="2" t="str">
        <f t="shared" si="102"/>
        <v>UN</v>
      </c>
      <c r="D2605" s="7">
        <v>501</v>
      </c>
      <c r="E2605" s="3">
        <v>4</v>
      </c>
      <c r="F2605" s="3">
        <v>4</v>
      </c>
      <c r="G2605" t="s">
        <v>514</v>
      </c>
    </row>
    <row r="2606" spans="1:7" x14ac:dyDescent="0.25">
      <c r="A2606" s="1" t="str">
        <f>"522364"</f>
        <v>522364</v>
      </c>
      <c r="B2606" s="2" t="str">
        <f>"BLOCO CHECK LIST MAÇARICO"</f>
        <v>BLOCO CHECK LIST MAÇARICO</v>
      </c>
      <c r="C2606" s="2" t="str">
        <f t="shared" ref="C2606:C2637" si="103">"UN"</f>
        <v>UN</v>
      </c>
      <c r="D2606" s="7">
        <v>501</v>
      </c>
      <c r="E2606" s="3">
        <v>4</v>
      </c>
      <c r="F2606" s="3">
        <v>4</v>
      </c>
      <c r="G2606" t="s">
        <v>514</v>
      </c>
    </row>
    <row r="2607" spans="1:7" x14ac:dyDescent="0.25">
      <c r="A2607" s="1" t="str">
        <f>"522365"</f>
        <v>522365</v>
      </c>
      <c r="B2607" s="2" t="str">
        <f>"BLOCO CHECK LIST MAQUINA DE SOLDA"</f>
        <v>BLOCO CHECK LIST MAQUINA DE SOLDA</v>
      </c>
      <c r="C2607" s="2" t="str">
        <f t="shared" si="103"/>
        <v>UN</v>
      </c>
      <c r="D2607" s="7">
        <v>501</v>
      </c>
      <c r="E2607" s="3">
        <v>4</v>
      </c>
      <c r="F2607" s="3">
        <v>4</v>
      </c>
      <c r="G2607" t="s">
        <v>513</v>
      </c>
    </row>
    <row r="2608" spans="1:7" x14ac:dyDescent="0.25">
      <c r="A2608" s="1" t="str">
        <f>"523517"</f>
        <v>523517</v>
      </c>
      <c r="B2608" s="2" t="str">
        <f>"BLOCO CHECK LIST MARTELETE CIVIL"</f>
        <v>BLOCO CHECK LIST MARTELETE CIVIL</v>
      </c>
      <c r="C2608" s="2" t="str">
        <f t="shared" si="103"/>
        <v>UN</v>
      </c>
      <c r="D2608" s="7">
        <v>501</v>
      </c>
      <c r="E2608" s="3">
        <v>4</v>
      </c>
      <c r="F2608" s="3">
        <v>4</v>
      </c>
      <c r="G2608" t="s">
        <v>513</v>
      </c>
    </row>
    <row r="2609" spans="1:7" x14ac:dyDescent="0.25">
      <c r="A2609" s="1" t="str">
        <f>"523518"</f>
        <v>523518</v>
      </c>
      <c r="B2609" s="2" t="str">
        <f>"BLOCO CHECK LIST MEXEDOR DE MASSA"</f>
        <v>BLOCO CHECK LIST MEXEDOR DE MASSA</v>
      </c>
      <c r="C2609" s="2" t="str">
        <f t="shared" si="103"/>
        <v>UN</v>
      </c>
      <c r="D2609" s="7">
        <v>501</v>
      </c>
      <c r="E2609" s="3">
        <v>4</v>
      </c>
      <c r="F2609" s="3">
        <v>4</v>
      </c>
      <c r="G2609" t="s">
        <v>513</v>
      </c>
    </row>
    <row r="2610" spans="1:7" x14ac:dyDescent="0.25">
      <c r="A2610" s="1" t="str">
        <f>"522367"</f>
        <v>522367</v>
      </c>
      <c r="B2610" s="2" t="str">
        <f>"BLOCO CHECK LIST MUNCK"</f>
        <v>BLOCO CHECK LIST MUNCK</v>
      </c>
      <c r="C2610" s="2" t="str">
        <f t="shared" si="103"/>
        <v>UN</v>
      </c>
      <c r="D2610" s="7">
        <v>501</v>
      </c>
      <c r="E2610" s="3">
        <v>4</v>
      </c>
      <c r="F2610" s="3">
        <v>4</v>
      </c>
      <c r="G2610" t="s">
        <v>512</v>
      </c>
    </row>
    <row r="2611" spans="1:7" x14ac:dyDescent="0.25">
      <c r="A2611" s="1" t="str">
        <f>"522366"</f>
        <v>522366</v>
      </c>
      <c r="B2611" s="2" t="str">
        <f>"BLOCO CHECK LIST PLATAFORMA"</f>
        <v>BLOCO CHECK LIST PLATAFORMA</v>
      </c>
      <c r="C2611" s="2" t="str">
        <f t="shared" si="103"/>
        <v>UN</v>
      </c>
      <c r="D2611" s="7">
        <v>501</v>
      </c>
      <c r="E2611" s="3">
        <v>4</v>
      </c>
      <c r="F2611" s="3">
        <v>4</v>
      </c>
      <c r="G2611" t="s">
        <v>513</v>
      </c>
    </row>
    <row r="2612" spans="1:7" x14ac:dyDescent="0.25">
      <c r="A2612" s="1" t="str">
        <f>"523883"</f>
        <v>523883</v>
      </c>
      <c r="B2612" s="2" t="str">
        <f>"BLOCO CHECK LIST RETROESCAVADEIRA"</f>
        <v>BLOCO CHECK LIST RETROESCAVADEIRA</v>
      </c>
      <c r="C2612" s="2" t="str">
        <f t="shared" si="103"/>
        <v>UN</v>
      </c>
      <c r="D2612" s="7">
        <v>501</v>
      </c>
      <c r="E2612" s="3">
        <v>4</v>
      </c>
      <c r="F2612" s="3">
        <v>4</v>
      </c>
      <c r="G2612" t="s">
        <v>514</v>
      </c>
    </row>
    <row r="2613" spans="1:7" x14ac:dyDescent="0.25">
      <c r="A2613" s="1" t="str">
        <f>"523451"</f>
        <v>523451</v>
      </c>
      <c r="B2613" s="2" t="str">
        <f>"BLOCO CHECK LIST SERRA CIRCULAR"</f>
        <v>BLOCO CHECK LIST SERRA CIRCULAR</v>
      </c>
      <c r="C2613" s="2" t="str">
        <f t="shared" si="103"/>
        <v>UN</v>
      </c>
      <c r="D2613" s="7">
        <v>501</v>
      </c>
      <c r="E2613" s="3">
        <v>4</v>
      </c>
      <c r="F2613" s="3">
        <v>4</v>
      </c>
      <c r="G2613" t="s">
        <v>515</v>
      </c>
    </row>
    <row r="2614" spans="1:7" x14ac:dyDescent="0.25">
      <c r="A2614" s="1" t="str">
        <f>"523520"</f>
        <v>523520</v>
      </c>
      <c r="B2614" s="2" t="str">
        <f>"BLOCO CHECK LIST SERRA MADEIRA MANUAL"</f>
        <v>BLOCO CHECK LIST SERRA MADEIRA MANUAL</v>
      </c>
      <c r="C2614" s="2" t="str">
        <f t="shared" si="103"/>
        <v>UN</v>
      </c>
      <c r="D2614" s="7">
        <v>501</v>
      </c>
      <c r="E2614" s="3">
        <v>4</v>
      </c>
      <c r="F2614" s="3">
        <v>4</v>
      </c>
      <c r="G2614" t="s">
        <v>512</v>
      </c>
    </row>
    <row r="2615" spans="1:7" x14ac:dyDescent="0.25">
      <c r="A2615" s="1" t="str">
        <f>"523519"</f>
        <v>523519</v>
      </c>
      <c r="B2615" s="2" t="str">
        <f>"BLOCO CHECK LIST SERRA MARMORE"</f>
        <v>BLOCO CHECK LIST SERRA MARMORE</v>
      </c>
      <c r="C2615" s="2" t="str">
        <f t="shared" si="103"/>
        <v>UN</v>
      </c>
      <c r="D2615" s="7">
        <v>501</v>
      </c>
      <c r="E2615" s="3">
        <v>4</v>
      </c>
      <c r="F2615" s="3">
        <v>4</v>
      </c>
      <c r="G2615" t="s">
        <v>516</v>
      </c>
    </row>
    <row r="2616" spans="1:7" x14ac:dyDescent="0.25">
      <c r="A2616" s="1" t="str">
        <f>"523882"</f>
        <v>523882</v>
      </c>
      <c r="B2616" s="2" t="str">
        <f>"BLOCO CHECK LIST SERRA TICO-TICO"</f>
        <v>BLOCO CHECK LIST SERRA TICO-TICO</v>
      </c>
      <c r="C2616" s="2" t="str">
        <f t="shared" si="103"/>
        <v>UN</v>
      </c>
      <c r="D2616" s="7">
        <v>501</v>
      </c>
      <c r="E2616" s="3">
        <v>4</v>
      </c>
      <c r="F2616" s="3">
        <v>4</v>
      </c>
      <c r="G2616" t="s">
        <v>515</v>
      </c>
    </row>
    <row r="2617" spans="1:7" x14ac:dyDescent="0.25">
      <c r="A2617" s="1" t="str">
        <f>"523571"</f>
        <v>523571</v>
      </c>
      <c r="B2617" s="2" t="str">
        <f>"BLOCO CHECK LIST TALHA ELETRICA"</f>
        <v>BLOCO CHECK LIST TALHA ELETRICA</v>
      </c>
      <c r="C2617" s="2" t="str">
        <f t="shared" si="103"/>
        <v>UN</v>
      </c>
      <c r="D2617" s="7">
        <v>501</v>
      </c>
      <c r="E2617" s="3">
        <v>4</v>
      </c>
      <c r="F2617" s="3">
        <v>4</v>
      </c>
      <c r="G2617" t="s">
        <v>514</v>
      </c>
    </row>
    <row r="2618" spans="1:7" x14ac:dyDescent="0.25">
      <c r="A2618" s="1" t="str">
        <f>"523452"</f>
        <v>523452</v>
      </c>
      <c r="B2618" s="2" t="str">
        <f>"BLOCO CHECK LIST TALHA MANUAL"</f>
        <v>BLOCO CHECK LIST TALHA MANUAL</v>
      </c>
      <c r="C2618" s="2" t="str">
        <f t="shared" si="103"/>
        <v>UN</v>
      </c>
      <c r="D2618" s="7">
        <v>501</v>
      </c>
      <c r="E2618" s="3">
        <v>4</v>
      </c>
      <c r="F2618" s="3">
        <v>4</v>
      </c>
      <c r="G2618" t="s">
        <v>512</v>
      </c>
    </row>
    <row r="2619" spans="1:7" x14ac:dyDescent="0.25">
      <c r="A2619" s="1" t="str">
        <f>"522369"</f>
        <v>522369</v>
      </c>
      <c r="B2619" s="2" t="str">
        <f>"BLOCO CHECK LIST TRAVA PORTA PALLETS"</f>
        <v>BLOCO CHECK LIST TRAVA PORTA PALLETS</v>
      </c>
      <c r="C2619" s="2" t="str">
        <f t="shared" si="103"/>
        <v>UN</v>
      </c>
      <c r="D2619" s="7">
        <v>501</v>
      </c>
      <c r="E2619" s="3">
        <v>4</v>
      </c>
      <c r="F2619" s="3">
        <v>4</v>
      </c>
      <c r="G2619" t="s">
        <v>513</v>
      </c>
    </row>
    <row r="2620" spans="1:7" x14ac:dyDescent="0.25">
      <c r="A2620" s="1" t="str">
        <f>"522368"</f>
        <v>522368</v>
      </c>
      <c r="B2620" s="2" t="str">
        <f>"BLOCO CHECK LIST TRAVA QUEDA"</f>
        <v>BLOCO CHECK LIST TRAVA QUEDA</v>
      </c>
      <c r="C2620" s="2" t="str">
        <f t="shared" si="103"/>
        <v>UN</v>
      </c>
      <c r="D2620" s="7">
        <v>501</v>
      </c>
      <c r="E2620" s="3">
        <v>4</v>
      </c>
      <c r="F2620" s="3">
        <v>4</v>
      </c>
      <c r="G2620" t="s">
        <v>514</v>
      </c>
    </row>
    <row r="2621" spans="1:7" x14ac:dyDescent="0.25">
      <c r="A2621" s="1" t="str">
        <f>"522316"</f>
        <v>522316</v>
      </c>
      <c r="B2621" s="2" t="str">
        <f>"BLOCO CIMENTO L-19CM 19X19X19CM"</f>
        <v>BLOCO CIMENTO L-19CM 19X19X19CM</v>
      </c>
      <c r="C2621" s="2" t="str">
        <f t="shared" si="103"/>
        <v>UN</v>
      </c>
      <c r="D2621" s="7">
        <v>403</v>
      </c>
      <c r="E2621" s="3">
        <v>4</v>
      </c>
      <c r="F2621" s="3">
        <v>4</v>
      </c>
      <c r="G2621" t="s">
        <v>514</v>
      </c>
    </row>
    <row r="2622" spans="1:7" x14ac:dyDescent="0.25">
      <c r="A2622" s="1" t="str">
        <f>"521886"</f>
        <v>521886</v>
      </c>
      <c r="B2622" s="2" t="str">
        <f>"BLOCO CIMENTO L-19CM 19X19X39CM"</f>
        <v>BLOCO CIMENTO L-19CM 19X19X39CM</v>
      </c>
      <c r="C2622" s="2" t="str">
        <f t="shared" si="103"/>
        <v>UN</v>
      </c>
      <c r="D2622" s="7">
        <v>403</v>
      </c>
      <c r="E2622" s="3">
        <v>4</v>
      </c>
      <c r="F2622" s="3">
        <v>4</v>
      </c>
      <c r="G2622" t="s">
        <v>512</v>
      </c>
    </row>
    <row r="2623" spans="1:7" x14ac:dyDescent="0.25">
      <c r="A2623" s="1" t="str">
        <f>"517958"</f>
        <v>517958</v>
      </c>
      <c r="B2623" s="2" t="str">
        <f>"BLOCO COMPLETO HOMO RANNIER 320T"</f>
        <v>BLOCO COMPLETO HOMO RANNIER 320T</v>
      </c>
      <c r="C2623" s="2" t="str">
        <f t="shared" si="103"/>
        <v>UN</v>
      </c>
      <c r="D2623" s="7">
        <v>914</v>
      </c>
      <c r="E2623" s="3">
        <v>11</v>
      </c>
      <c r="F2623" s="3">
        <v>11</v>
      </c>
      <c r="G2623" t="s">
        <v>513</v>
      </c>
    </row>
    <row r="2624" spans="1:7" x14ac:dyDescent="0.25">
      <c r="A2624" s="1" t="str">
        <f>"513495"</f>
        <v>513495</v>
      </c>
      <c r="B2624" s="2" t="str">
        <f>"BLOCO COMPRESSOR N-4WA"</f>
        <v>BLOCO COMPRESSOR N-4WA</v>
      </c>
      <c r="C2624" s="2" t="str">
        <f t="shared" si="103"/>
        <v>UN</v>
      </c>
      <c r="D2624" s="7">
        <v>812</v>
      </c>
      <c r="E2624" s="3">
        <v>11</v>
      </c>
      <c r="F2624" s="3">
        <v>11</v>
      </c>
      <c r="G2624" t="s">
        <v>514</v>
      </c>
    </row>
    <row r="2625" spans="1:7" x14ac:dyDescent="0.25">
      <c r="A2625" s="1" t="str">
        <f>"525212"</f>
        <v>525212</v>
      </c>
      <c r="B2625" s="2" t="str">
        <f>"BLOCO CONDENSADOR"</f>
        <v>BLOCO CONDENSADOR</v>
      </c>
      <c r="C2625" s="2" t="str">
        <f t="shared" si="103"/>
        <v>UN</v>
      </c>
      <c r="D2625" s="7">
        <v>916</v>
      </c>
      <c r="E2625" s="3">
        <v>10</v>
      </c>
      <c r="F2625" s="3">
        <v>10</v>
      </c>
      <c r="G2625" t="s">
        <v>514</v>
      </c>
    </row>
    <row r="2626" spans="1:7" x14ac:dyDescent="0.25">
      <c r="A2626" s="1" t="str">
        <f>"511146"</f>
        <v>511146</v>
      </c>
      <c r="B2626" s="2" t="str">
        <f>"BLOCO CONTATO 1NA+1NF E111"</f>
        <v>BLOCO CONTATO 1NA+1NF E111</v>
      </c>
      <c r="C2626" s="2" t="str">
        <f t="shared" si="103"/>
        <v>UN</v>
      </c>
      <c r="D2626" s="7">
        <v>600</v>
      </c>
      <c r="E2626" s="3">
        <v>8</v>
      </c>
      <c r="F2626" s="3">
        <v>8</v>
      </c>
      <c r="G2626" t="s">
        <v>514</v>
      </c>
    </row>
    <row r="2627" spans="1:7" x14ac:dyDescent="0.25">
      <c r="A2627" s="1" t="str">
        <f>"511147"</f>
        <v>511147</v>
      </c>
      <c r="B2627" s="2" t="str">
        <f>"BLOCO CONTATO 2NA E122"</f>
        <v>BLOCO CONTATO 2NA E122</v>
      </c>
      <c r="C2627" s="2" t="str">
        <f t="shared" si="103"/>
        <v>UN</v>
      </c>
      <c r="D2627" s="7">
        <v>600</v>
      </c>
      <c r="E2627" s="3">
        <v>8</v>
      </c>
      <c r="F2627" s="3">
        <v>8</v>
      </c>
      <c r="G2627" t="s">
        <v>513</v>
      </c>
    </row>
    <row r="2628" spans="1:7" x14ac:dyDescent="0.25">
      <c r="A2628" s="1" t="str">
        <f>"520394"</f>
        <v>520394</v>
      </c>
      <c r="B2628" s="2" t="str">
        <f>"BLOCO CONTATO 3RH1911-1AA10"</f>
        <v>BLOCO CONTATO 3RH1911-1AA10</v>
      </c>
      <c r="C2628" s="2" t="str">
        <f t="shared" si="103"/>
        <v>UN</v>
      </c>
      <c r="D2628" s="7">
        <v>600</v>
      </c>
      <c r="E2628" s="3">
        <v>8</v>
      </c>
      <c r="F2628" s="3">
        <v>8</v>
      </c>
      <c r="G2628" t="s">
        <v>512</v>
      </c>
    </row>
    <row r="2629" spans="1:7" x14ac:dyDescent="0.25">
      <c r="A2629" s="1" t="str">
        <f>"520393"</f>
        <v>520393</v>
      </c>
      <c r="B2629" s="2" t="str">
        <f>"BLOCO CONTATO 3RH1911-1FA31"</f>
        <v>BLOCO CONTATO 3RH1911-1FA31</v>
      </c>
      <c r="C2629" s="2" t="str">
        <f t="shared" si="103"/>
        <v>UN</v>
      </c>
      <c r="D2629" s="7">
        <v>600</v>
      </c>
      <c r="E2629" s="3">
        <v>8</v>
      </c>
      <c r="F2629" s="3">
        <v>8</v>
      </c>
      <c r="G2629" t="s">
        <v>513</v>
      </c>
    </row>
    <row r="2630" spans="1:7" x14ac:dyDescent="0.25">
      <c r="A2630" s="1" t="str">
        <f>"520965"</f>
        <v>520965</v>
      </c>
      <c r="B2630" s="2" t="str">
        <f>"BLOCO CONTATO 3RV19 01-1A"</f>
        <v>BLOCO CONTATO 3RV19 01-1A</v>
      </c>
      <c r="C2630" s="2" t="str">
        <f t="shared" si="103"/>
        <v>UN</v>
      </c>
      <c r="D2630" s="7">
        <v>811</v>
      </c>
      <c r="E2630" s="3">
        <v>8</v>
      </c>
      <c r="F2630" s="3">
        <v>8</v>
      </c>
      <c r="G2630" t="s">
        <v>514</v>
      </c>
    </row>
    <row r="2631" spans="1:7" x14ac:dyDescent="0.25">
      <c r="A2631" s="1" t="str">
        <f>"520392"</f>
        <v>520392</v>
      </c>
      <c r="B2631" s="2" t="str">
        <f>"BLOCO CONTATO 3RV1901-1E"</f>
        <v>BLOCO CONTATO 3RV1901-1E</v>
      </c>
      <c r="C2631" s="2" t="str">
        <f t="shared" si="103"/>
        <v>UN</v>
      </c>
      <c r="D2631" s="7">
        <v>600</v>
      </c>
      <c r="E2631" s="3">
        <v>8</v>
      </c>
      <c r="F2631" s="3">
        <v>8</v>
      </c>
      <c r="G2631" t="s">
        <v>514</v>
      </c>
    </row>
    <row r="2632" spans="1:7" x14ac:dyDescent="0.25">
      <c r="A2632" s="1" t="str">
        <f>"527878"</f>
        <v>527878</v>
      </c>
      <c r="B2632" s="2" t="str">
        <f>"BLOCO CONTATO AUXILIAR BC 1NA COMANDO E SINALIZACAO CSW WEG"</f>
        <v>BLOCO CONTATO AUXILIAR BC 1NA COMANDO E SINALIZACAO CSW WEG</v>
      </c>
      <c r="C2632" s="2" t="str">
        <f t="shared" si="103"/>
        <v>UN</v>
      </c>
      <c r="D2632" s="7">
        <v>600</v>
      </c>
      <c r="E2632" s="3">
        <v>8</v>
      </c>
      <c r="F2632" s="3">
        <v>8</v>
      </c>
      <c r="G2632" t="s">
        <v>514</v>
      </c>
    </row>
    <row r="2633" spans="1:7" x14ac:dyDescent="0.25">
      <c r="A2633" s="1" t="str">
        <f>"527879"</f>
        <v>527879</v>
      </c>
      <c r="B2633" s="2" t="str">
        <f>"BLOCO CONTATO AUXILIAR BC 1NF COMANDO E SINALIZACAO CSW WEG"</f>
        <v>BLOCO CONTATO AUXILIAR BC 1NF COMANDO E SINALIZACAO CSW WEG</v>
      </c>
      <c r="C2633" s="2" t="str">
        <f t="shared" si="103"/>
        <v>UN</v>
      </c>
      <c r="D2633" s="7">
        <v>600</v>
      </c>
      <c r="E2633" s="3">
        <v>8</v>
      </c>
      <c r="F2633" s="3">
        <v>8</v>
      </c>
      <c r="G2633" t="s">
        <v>513</v>
      </c>
    </row>
    <row r="2634" spans="1:7" x14ac:dyDescent="0.25">
      <c r="A2634" s="1" t="str">
        <f>"516327"</f>
        <v>516327</v>
      </c>
      <c r="B2634" s="2" t="str">
        <f>"BLOCO CONTATO SCHMERSAL COD. 13013301"</f>
        <v>BLOCO CONTATO SCHMERSAL COD. 13013301</v>
      </c>
      <c r="C2634" s="2" t="str">
        <f t="shared" si="103"/>
        <v>UN</v>
      </c>
      <c r="D2634" s="7">
        <v>600</v>
      </c>
      <c r="E2634" s="3">
        <v>8</v>
      </c>
      <c r="F2634" s="3">
        <v>8</v>
      </c>
      <c r="G2634" t="s">
        <v>513</v>
      </c>
    </row>
    <row r="2635" spans="1:7" x14ac:dyDescent="0.25">
      <c r="A2635" s="1" t="str">
        <f>"511930"</f>
        <v>511930</v>
      </c>
      <c r="B2635" s="2" t="str">
        <f>"BLOCO CONTATO SIEMENS 3RH1911-1FA20"</f>
        <v>BLOCO CONTATO SIEMENS 3RH1911-1FA20</v>
      </c>
      <c r="C2635" s="2" t="str">
        <f t="shared" si="103"/>
        <v>UN</v>
      </c>
      <c r="D2635" s="7">
        <v>600</v>
      </c>
      <c r="E2635" s="3">
        <v>8</v>
      </c>
      <c r="F2635" s="3">
        <v>8</v>
      </c>
      <c r="G2635" t="s">
        <v>513</v>
      </c>
    </row>
    <row r="2636" spans="1:7" x14ac:dyDescent="0.25">
      <c r="A2636" s="1" t="str">
        <f>"516506"</f>
        <v>516506</v>
      </c>
      <c r="B2636" s="2" t="str">
        <f>"BLOCO CONTATO SIEMENS 3RH1911-1FA40"</f>
        <v>BLOCO CONTATO SIEMENS 3RH1911-1FA40</v>
      </c>
      <c r="C2636" s="2" t="str">
        <f t="shared" si="103"/>
        <v>UN</v>
      </c>
      <c r="D2636" s="7">
        <v>811</v>
      </c>
      <c r="E2636" s="3">
        <v>8</v>
      </c>
      <c r="F2636" s="3">
        <v>8</v>
      </c>
      <c r="G2636" t="s">
        <v>512</v>
      </c>
    </row>
    <row r="2637" spans="1:7" x14ac:dyDescent="0.25">
      <c r="A2637" s="1" t="str">
        <f>"510726"</f>
        <v>510726</v>
      </c>
      <c r="B2637" s="2" t="str">
        <f>"BLOCO CONTATO SIEMENS 3RH1911-1GA22"</f>
        <v>BLOCO CONTATO SIEMENS 3RH1911-1GA22</v>
      </c>
      <c r="C2637" s="2" t="str">
        <f t="shared" si="103"/>
        <v>UN</v>
      </c>
      <c r="D2637" s="7">
        <v>600</v>
      </c>
      <c r="E2637" s="3">
        <v>8</v>
      </c>
      <c r="F2637" s="3">
        <v>8</v>
      </c>
      <c r="G2637" t="s">
        <v>513</v>
      </c>
    </row>
    <row r="2638" spans="1:7" x14ac:dyDescent="0.25">
      <c r="A2638" s="1" t="str">
        <f>"517991"</f>
        <v>517991</v>
      </c>
      <c r="B2638" s="2" t="str">
        <f>"BLOCO CONTATO SIEMENS 3RH1911-1GA31"</f>
        <v>BLOCO CONTATO SIEMENS 3RH1911-1GA31</v>
      </c>
      <c r="C2638" s="2" t="str">
        <f t="shared" ref="C2638:C2646" si="104">"UN"</f>
        <v>UN</v>
      </c>
      <c r="D2638" s="7">
        <v>811</v>
      </c>
      <c r="E2638" s="3">
        <v>8</v>
      </c>
      <c r="F2638" s="3">
        <v>8</v>
      </c>
      <c r="G2638" t="s">
        <v>514</v>
      </c>
    </row>
    <row r="2639" spans="1:7" x14ac:dyDescent="0.25">
      <c r="A2639" s="1" t="str">
        <f>"510725"</f>
        <v>510725</v>
      </c>
      <c r="B2639" s="2" t="str">
        <f>"BLOCO CONTATO SIEMENS 3RH1911-1GA40"</f>
        <v>BLOCO CONTATO SIEMENS 3RH1911-1GA40</v>
      </c>
      <c r="C2639" s="2" t="str">
        <f t="shared" si="104"/>
        <v>UN</v>
      </c>
      <c r="D2639" s="7">
        <v>600</v>
      </c>
      <c r="E2639" s="3">
        <v>8</v>
      </c>
      <c r="F2639" s="3">
        <v>8</v>
      </c>
      <c r="G2639" t="s">
        <v>515</v>
      </c>
    </row>
    <row r="2640" spans="1:7" x14ac:dyDescent="0.25">
      <c r="A2640" s="1" t="str">
        <f>"508835"</f>
        <v>508835</v>
      </c>
      <c r="B2640" s="2" t="str">
        <f>"BLOCO CONTATO SIEMENS 3RH1921-1CA01"</f>
        <v>BLOCO CONTATO SIEMENS 3RH1921-1CA01</v>
      </c>
      <c r="C2640" s="2" t="str">
        <f t="shared" si="104"/>
        <v>UN</v>
      </c>
      <c r="D2640" s="7">
        <v>600</v>
      </c>
      <c r="E2640" s="3">
        <v>8</v>
      </c>
      <c r="F2640" s="3">
        <v>8</v>
      </c>
      <c r="G2640" t="s">
        <v>512</v>
      </c>
    </row>
    <row r="2641" spans="1:7" x14ac:dyDescent="0.25">
      <c r="A2641" s="1" t="str">
        <f>"508836"</f>
        <v>508836</v>
      </c>
      <c r="B2641" s="2" t="str">
        <f>"BLOCO CONTATO SIEMENS 3RH1921-1CA10"</f>
        <v>BLOCO CONTATO SIEMENS 3RH1921-1CA10</v>
      </c>
      <c r="C2641" s="2" t="str">
        <f t="shared" si="104"/>
        <v>UN</v>
      </c>
      <c r="D2641" s="7">
        <v>600</v>
      </c>
      <c r="E2641" s="3">
        <v>8</v>
      </c>
      <c r="F2641" s="3">
        <v>8</v>
      </c>
      <c r="G2641" t="s">
        <v>516</v>
      </c>
    </row>
    <row r="2642" spans="1:7" x14ac:dyDescent="0.25">
      <c r="A2642" s="1" t="str">
        <f>"507860"</f>
        <v>507860</v>
      </c>
      <c r="B2642" s="2" t="str">
        <f>"BLOCO CONTATO SIEMENS 3RH1921-1EA11"</f>
        <v>BLOCO CONTATO SIEMENS 3RH1921-1EA11</v>
      </c>
      <c r="C2642" s="2" t="str">
        <f t="shared" si="104"/>
        <v>UN</v>
      </c>
      <c r="D2642" s="7">
        <v>600</v>
      </c>
      <c r="E2642" s="3">
        <v>8</v>
      </c>
      <c r="F2642" s="3">
        <v>8</v>
      </c>
      <c r="G2642" t="s">
        <v>515</v>
      </c>
    </row>
    <row r="2643" spans="1:7" x14ac:dyDescent="0.25">
      <c r="A2643" s="1" t="str">
        <f>"507975"</f>
        <v>507975</v>
      </c>
      <c r="B2643" s="2" t="str">
        <f>"BLOCO CONTATO SIEMENS 3RH1921-1EA20"</f>
        <v>BLOCO CONTATO SIEMENS 3RH1921-1EA20</v>
      </c>
      <c r="C2643" s="2" t="str">
        <f t="shared" si="104"/>
        <v>UN</v>
      </c>
      <c r="D2643" s="7">
        <v>600</v>
      </c>
      <c r="E2643" s="3">
        <v>8</v>
      </c>
      <c r="F2643" s="3">
        <v>8</v>
      </c>
      <c r="G2643" t="s">
        <v>514</v>
      </c>
    </row>
    <row r="2644" spans="1:7" x14ac:dyDescent="0.25">
      <c r="A2644" s="1" t="str">
        <f>"512371"</f>
        <v>512371</v>
      </c>
      <c r="B2644" s="2" t="str">
        <f>"BLOCO CONTATO SIEMENS 3RH1921-1FA40"</f>
        <v>BLOCO CONTATO SIEMENS 3RH1921-1FA40</v>
      </c>
      <c r="C2644" s="2" t="str">
        <f t="shared" si="104"/>
        <v>UN</v>
      </c>
      <c r="D2644" s="7">
        <v>600</v>
      </c>
      <c r="E2644" s="3">
        <v>8</v>
      </c>
      <c r="F2644" s="3">
        <v>8</v>
      </c>
      <c r="G2644" t="s">
        <v>512</v>
      </c>
    </row>
    <row r="2645" spans="1:7" x14ac:dyDescent="0.25">
      <c r="A2645" s="1" t="str">
        <f>"517984"</f>
        <v>517984</v>
      </c>
      <c r="B2645" s="2" t="str">
        <f>"BLOCO CONTATO SIEMENS 3RH1921-1GA31"</f>
        <v>BLOCO CONTATO SIEMENS 3RH1921-1GA31</v>
      </c>
      <c r="C2645" s="2" t="str">
        <f t="shared" si="104"/>
        <v>UN</v>
      </c>
      <c r="D2645" s="7">
        <v>811</v>
      </c>
      <c r="E2645" s="3">
        <v>8</v>
      </c>
      <c r="F2645" s="3">
        <v>8</v>
      </c>
      <c r="G2645" t="s">
        <v>513</v>
      </c>
    </row>
    <row r="2646" spans="1:7" x14ac:dyDescent="0.25">
      <c r="A2646" s="1" t="str">
        <f>"510724"</f>
        <v>510724</v>
      </c>
      <c r="B2646" s="2" t="str">
        <f>"BLOCO CONTATO SIEMENS 3RH1921-1GA40"</f>
        <v>BLOCO CONTATO SIEMENS 3RH1921-1GA40</v>
      </c>
      <c r="C2646" s="2" t="str">
        <f t="shared" si="104"/>
        <v>UN</v>
      </c>
      <c r="D2646" s="7">
        <v>600</v>
      </c>
      <c r="E2646" s="3">
        <v>8</v>
      </c>
      <c r="F2646" s="3">
        <v>8</v>
      </c>
      <c r="G2646" t="s">
        <v>514</v>
      </c>
    </row>
    <row r="2647" spans="1:7" x14ac:dyDescent="0.25">
      <c r="A2647" s="1" t="str">
        <f>"508525"</f>
        <v>508525</v>
      </c>
      <c r="B2647" s="2" t="str">
        <f>"BLOCO CONTATO SIEMENS 3RH1921-1HA22"</f>
        <v>BLOCO CONTATO SIEMENS 3RH1921-1HA22</v>
      </c>
      <c r="C2647" s="2" t="str">
        <f>"PC"</f>
        <v>PC</v>
      </c>
      <c r="D2647" s="7">
        <v>600</v>
      </c>
      <c r="E2647" s="3">
        <v>8</v>
      </c>
      <c r="F2647" s="3">
        <v>8</v>
      </c>
      <c r="G2647" t="s">
        <v>514</v>
      </c>
    </row>
    <row r="2648" spans="1:7" x14ac:dyDescent="0.25">
      <c r="A2648" s="1" t="str">
        <f>"512058"</f>
        <v>512058</v>
      </c>
      <c r="B2648" s="2" t="str">
        <f>"BLOCO CONTATO SIEMENS 3RV1901-1E 1NA+1NF"</f>
        <v>BLOCO CONTATO SIEMENS 3RV1901-1E 1NA+1NF</v>
      </c>
      <c r="C2648" s="2" t="str">
        <f t="shared" ref="C2648:C2661" si="105">"UN"</f>
        <v>UN</v>
      </c>
      <c r="D2648" s="7">
        <v>600</v>
      </c>
      <c r="E2648" s="3">
        <v>8</v>
      </c>
      <c r="F2648" s="3">
        <v>8</v>
      </c>
      <c r="G2648" t="s">
        <v>512</v>
      </c>
    </row>
    <row r="2649" spans="1:7" x14ac:dyDescent="0.25">
      <c r="A2649" s="1" t="str">
        <f>"502897"</f>
        <v>502897</v>
      </c>
      <c r="B2649" s="2" t="str">
        <f>"BLOCO CONTATO SIEMENS 3SB34 00-OA"</f>
        <v>BLOCO CONTATO SIEMENS 3SB34 00-OA</v>
      </c>
      <c r="C2649" s="2" t="str">
        <f t="shared" si="105"/>
        <v>UN</v>
      </c>
      <c r="D2649" s="7">
        <v>600</v>
      </c>
      <c r="E2649" s="3">
        <v>8</v>
      </c>
      <c r="F2649" s="3">
        <v>8</v>
      </c>
      <c r="G2649" t="s">
        <v>513</v>
      </c>
    </row>
    <row r="2650" spans="1:7" x14ac:dyDescent="0.25">
      <c r="A2650" s="1" t="str">
        <f>"502898"</f>
        <v>502898</v>
      </c>
      <c r="B2650" s="2" t="str">
        <f>"BLOCO CONTATO SIEMENS 3SB34 00-OB"</f>
        <v>BLOCO CONTATO SIEMENS 3SB34 00-OB</v>
      </c>
      <c r="C2650" s="2" t="str">
        <f t="shared" si="105"/>
        <v>UN</v>
      </c>
      <c r="D2650" s="7">
        <v>600</v>
      </c>
      <c r="E2650" s="3">
        <v>8</v>
      </c>
      <c r="F2650" s="3">
        <v>8</v>
      </c>
      <c r="G2650" t="s">
        <v>514</v>
      </c>
    </row>
    <row r="2651" spans="1:7" x14ac:dyDescent="0.25">
      <c r="A2651" s="1" t="str">
        <f>"502899"</f>
        <v>502899</v>
      </c>
      <c r="B2651" s="2" t="str">
        <f>"BLOCO CONTATO SIEMENS 3SB34 00-OC"</f>
        <v>BLOCO CONTATO SIEMENS 3SB34 00-OC</v>
      </c>
      <c r="C2651" s="2" t="str">
        <f t="shared" si="105"/>
        <v>UN</v>
      </c>
      <c r="D2651" s="7">
        <v>600</v>
      </c>
      <c r="E2651" s="3">
        <v>8</v>
      </c>
      <c r="F2651" s="3">
        <v>8</v>
      </c>
      <c r="G2651" t="s">
        <v>514</v>
      </c>
    </row>
    <row r="2652" spans="1:7" x14ac:dyDescent="0.25">
      <c r="A2652" s="1" t="str">
        <f>"511928"</f>
        <v>511928</v>
      </c>
      <c r="B2652" s="2" t="str">
        <f>"BLOCO CONTATO SIEMENS RV 1901-1E"</f>
        <v>BLOCO CONTATO SIEMENS RV 1901-1E</v>
      </c>
      <c r="C2652" s="2" t="str">
        <f t="shared" si="105"/>
        <v>UN</v>
      </c>
      <c r="D2652" s="7">
        <v>600</v>
      </c>
      <c r="E2652" s="3">
        <v>8</v>
      </c>
      <c r="F2652" s="3">
        <v>8</v>
      </c>
      <c r="G2652" t="s">
        <v>514</v>
      </c>
    </row>
    <row r="2653" spans="1:7" x14ac:dyDescent="0.25">
      <c r="A2653" s="1" t="str">
        <f>"517164"</f>
        <v>517164</v>
      </c>
      <c r="B2653" s="2" t="str">
        <f>"BLOCO CONTATO STECK NA VERDE"</f>
        <v>BLOCO CONTATO STECK NA VERDE</v>
      </c>
      <c r="C2653" s="2" t="str">
        <f t="shared" si="105"/>
        <v>UN</v>
      </c>
      <c r="D2653" s="7">
        <v>811</v>
      </c>
      <c r="E2653" s="3">
        <v>8</v>
      </c>
      <c r="F2653" s="3">
        <v>8</v>
      </c>
      <c r="G2653" t="s">
        <v>513</v>
      </c>
    </row>
    <row r="2654" spans="1:7" x14ac:dyDescent="0.25">
      <c r="A2654" s="1" t="str">
        <f>"517165"</f>
        <v>517165</v>
      </c>
      <c r="B2654" s="2" t="str">
        <f>"BLOCO CONTATO STECK NF VERMELHO"</f>
        <v>BLOCO CONTATO STECK NF VERMELHO</v>
      </c>
      <c r="C2654" s="2" t="str">
        <f t="shared" si="105"/>
        <v>UN</v>
      </c>
      <c r="D2654" s="7">
        <v>811</v>
      </c>
      <c r="E2654" s="3">
        <v>8</v>
      </c>
      <c r="F2654" s="3">
        <v>8</v>
      </c>
      <c r="G2654" t="s">
        <v>512</v>
      </c>
    </row>
    <row r="2655" spans="1:7" x14ac:dyDescent="0.25">
      <c r="A2655" s="1" t="str">
        <f>"510680"</f>
        <v>510680</v>
      </c>
      <c r="B2655" s="2" t="str">
        <f>"BLOCO CONTATO WEG AUX. BCXMF-01-1NF 10E"</f>
        <v>BLOCO CONTATO WEG AUX. BCXMF-01-1NF 10E</v>
      </c>
      <c r="C2655" s="2" t="str">
        <f t="shared" si="105"/>
        <v>UN</v>
      </c>
      <c r="D2655" s="7">
        <v>600</v>
      </c>
      <c r="E2655" s="3">
        <v>8</v>
      </c>
      <c r="F2655" s="3">
        <v>8</v>
      </c>
      <c r="G2655" t="s">
        <v>513</v>
      </c>
    </row>
    <row r="2656" spans="1:7" x14ac:dyDescent="0.25">
      <c r="A2656" s="1" t="str">
        <f>"510681"</f>
        <v>510681</v>
      </c>
      <c r="B2656" s="2" t="str">
        <f>"BLOCO CONTATO WEG AUX. BCXMF-10-1NA 10E"</f>
        <v>BLOCO CONTATO WEG AUX. BCXMF-10-1NA 10E</v>
      </c>
      <c r="C2656" s="2" t="str">
        <f t="shared" si="105"/>
        <v>UN</v>
      </c>
      <c r="D2656" s="7">
        <v>600</v>
      </c>
      <c r="E2656" s="3">
        <v>8</v>
      </c>
      <c r="F2656" s="3">
        <v>8</v>
      </c>
      <c r="G2656" t="s">
        <v>514</v>
      </c>
    </row>
    <row r="2657" spans="1:7" x14ac:dyDescent="0.25">
      <c r="A2657" s="1" t="str">
        <f>"502953"</f>
        <v>502953</v>
      </c>
      <c r="B2657" s="2" t="str">
        <f>"BLOCO CONTATO WEG REF. BC01"</f>
        <v>BLOCO CONTATO WEG REF. BC01</v>
      </c>
      <c r="C2657" s="2" t="str">
        <f t="shared" si="105"/>
        <v>UN</v>
      </c>
      <c r="D2657" s="7">
        <v>704</v>
      </c>
      <c r="E2657" s="3">
        <v>9</v>
      </c>
      <c r="F2657" s="3">
        <v>9</v>
      </c>
      <c r="G2657" t="s">
        <v>514</v>
      </c>
    </row>
    <row r="2658" spans="1:7" x14ac:dyDescent="0.25">
      <c r="A2658" s="1" t="str">
        <f>"503437"</f>
        <v>503437</v>
      </c>
      <c r="B2658" s="2" t="str">
        <f>"BLOCO CONTATO WEG REF. BC10"</f>
        <v>BLOCO CONTATO WEG REF. BC10</v>
      </c>
      <c r="C2658" s="2" t="str">
        <f t="shared" si="105"/>
        <v>UN</v>
      </c>
      <c r="D2658" s="7">
        <v>600</v>
      </c>
      <c r="E2658" s="3">
        <v>8</v>
      </c>
      <c r="F2658" s="3">
        <v>8</v>
      </c>
      <c r="G2658" t="s">
        <v>514</v>
      </c>
    </row>
    <row r="2659" spans="1:7" x14ac:dyDescent="0.25">
      <c r="A2659" s="1" t="str">
        <f>"503438"</f>
        <v>503438</v>
      </c>
      <c r="B2659" s="2" t="str">
        <f>"BLOCO CONTATO WEG REF. BC11"</f>
        <v>BLOCO CONTATO WEG REF. BC11</v>
      </c>
      <c r="C2659" s="2" t="str">
        <f t="shared" si="105"/>
        <v>UN</v>
      </c>
      <c r="D2659" s="7">
        <v>600</v>
      </c>
      <c r="E2659" s="3">
        <v>8</v>
      </c>
      <c r="F2659" s="3">
        <v>8</v>
      </c>
      <c r="G2659" t="s">
        <v>513</v>
      </c>
    </row>
    <row r="2660" spans="1:7" x14ac:dyDescent="0.25">
      <c r="A2660" s="1" t="str">
        <f>"510217"</f>
        <v>510217</v>
      </c>
      <c r="B2660" s="2" t="str">
        <f>"BLOCO CONTROLE MAQUINA RETROESCAVADEIRA"</f>
        <v>BLOCO CONTROLE MAQUINA RETROESCAVADEIRA</v>
      </c>
      <c r="C2660" s="2" t="str">
        <f t="shared" si="105"/>
        <v>UN</v>
      </c>
      <c r="D2660" s="7">
        <v>402</v>
      </c>
      <c r="E2660" s="3">
        <v>4</v>
      </c>
      <c r="F2660" s="3">
        <v>4</v>
      </c>
      <c r="G2660" t="s">
        <v>513</v>
      </c>
    </row>
    <row r="2661" spans="1:7" x14ac:dyDescent="0.25">
      <c r="A2661" s="1" t="str">
        <f>"525147"</f>
        <v>525147</v>
      </c>
      <c r="B2661" s="8" t="s">
        <v>437</v>
      </c>
      <c r="C2661" s="2" t="str">
        <f t="shared" si="105"/>
        <v>UN</v>
      </c>
      <c r="D2661" s="7">
        <v>811</v>
      </c>
      <c r="E2661" s="3">
        <v>11</v>
      </c>
      <c r="F2661" s="3">
        <v>11</v>
      </c>
      <c r="G2661" t="s">
        <v>513</v>
      </c>
    </row>
    <row r="2662" spans="1:7" x14ac:dyDescent="0.25">
      <c r="A2662" s="1" t="str">
        <f>"525123"</f>
        <v>525123</v>
      </c>
      <c r="B2662" s="2" t="str">
        <f>"BLOCO DE CONTATO 2NA+2NF FRONTAL LADN22"</f>
        <v>BLOCO DE CONTATO 2NA+2NF FRONTAL LADN22</v>
      </c>
      <c r="C2662" s="2" t="str">
        <f>"MT"</f>
        <v>MT</v>
      </c>
      <c r="D2662" s="7">
        <v>602</v>
      </c>
      <c r="E2662" s="3">
        <v>8</v>
      </c>
      <c r="F2662" s="3">
        <v>8</v>
      </c>
      <c r="G2662" t="s">
        <v>512</v>
      </c>
    </row>
    <row r="2663" spans="1:7" x14ac:dyDescent="0.25">
      <c r="A2663" s="1" t="str">
        <f>"525437"</f>
        <v>525437</v>
      </c>
      <c r="B2663" s="2" t="str">
        <f>"BLOCO DE CONTATO 3RV19011E FRONTAL 1NA+1NF"</f>
        <v>BLOCO DE CONTATO 3RV19011E FRONTAL 1NA+1NF</v>
      </c>
      <c r="C2663" s="2" t="str">
        <f>"UN"</f>
        <v>UN</v>
      </c>
      <c r="D2663" s="7">
        <v>900</v>
      </c>
      <c r="E2663" s="3">
        <v>11</v>
      </c>
      <c r="F2663" s="3">
        <v>11</v>
      </c>
      <c r="G2663" t="s">
        <v>513</v>
      </c>
    </row>
    <row r="2664" spans="1:7" x14ac:dyDescent="0.25">
      <c r="A2664" s="1" t="str">
        <f>"527894"</f>
        <v>527894</v>
      </c>
      <c r="B2664" s="2" t="str">
        <f>"BLOCO DE CONTATO AUXILIAR 1NA+1NF P/5TW30802/1002 SIEMENS"</f>
        <v>BLOCO DE CONTATO AUXILIAR 1NA+1NF P/5TW30802/1002 SIEMENS</v>
      </c>
      <c r="C2664" s="2" t="str">
        <f>"MT"</f>
        <v>MT</v>
      </c>
      <c r="D2664" s="7">
        <v>602</v>
      </c>
      <c r="E2664" s="3">
        <v>8</v>
      </c>
      <c r="F2664" s="3">
        <v>8</v>
      </c>
      <c r="G2664" t="s">
        <v>514</v>
      </c>
    </row>
    <row r="2665" spans="1:7" x14ac:dyDescent="0.25">
      <c r="A2665" s="1" t="str">
        <f>"527893"</f>
        <v>527893</v>
      </c>
      <c r="B2665" s="2" t="str">
        <f>"BLOCO DE CONTATO AUXILIAR 1NA+1NF SIEMENS"</f>
        <v>BLOCO DE CONTATO AUXILIAR 1NA+1NF SIEMENS</v>
      </c>
      <c r="C2665" s="2" t="str">
        <f>"MT"</f>
        <v>MT</v>
      </c>
      <c r="D2665" s="7">
        <v>602</v>
      </c>
      <c r="E2665" s="3">
        <v>8</v>
      </c>
      <c r="F2665" s="3">
        <v>8</v>
      </c>
      <c r="G2665" t="s">
        <v>515</v>
      </c>
    </row>
    <row r="2666" spans="1:7" x14ac:dyDescent="0.25">
      <c r="A2666" s="1" t="str">
        <f>"513004"</f>
        <v>513004</v>
      </c>
      <c r="B2666" s="2" t="str">
        <f>"BLOCO DE CONTATO AUXILIXAR FRONTAL ACBF 1NA 1NF WEG"</f>
        <v>BLOCO DE CONTATO AUXILIXAR FRONTAL ACBF 1NA 1NF WEG</v>
      </c>
      <c r="C2666" s="2" t="str">
        <f t="shared" ref="C2666:C2676" si="106">"UN"</f>
        <v>UN</v>
      </c>
      <c r="D2666" s="7">
        <v>811</v>
      </c>
      <c r="E2666" s="3">
        <v>8</v>
      </c>
      <c r="F2666" s="3">
        <v>8</v>
      </c>
      <c r="G2666" t="s">
        <v>512</v>
      </c>
    </row>
    <row r="2667" spans="1:7" x14ac:dyDescent="0.25">
      <c r="A2667" s="1" t="str">
        <f>"522295"</f>
        <v>522295</v>
      </c>
      <c r="B2667" s="2" t="str">
        <f>"BLOCO DE CONTATO LATERAL SIEMENS 3RV19011A"</f>
        <v>BLOCO DE CONTATO LATERAL SIEMENS 3RV19011A</v>
      </c>
      <c r="C2667" s="2" t="str">
        <f t="shared" si="106"/>
        <v>UN</v>
      </c>
      <c r="D2667" s="7">
        <v>811</v>
      </c>
      <c r="E2667" s="3">
        <v>8</v>
      </c>
      <c r="F2667" s="3">
        <v>8</v>
      </c>
      <c r="G2667" t="s">
        <v>516</v>
      </c>
    </row>
    <row r="2668" spans="1:7" x14ac:dyDescent="0.25">
      <c r="A2668" s="1" t="str">
        <f>"524995"</f>
        <v>524995</v>
      </c>
      <c r="B2668" s="8" t="s">
        <v>424</v>
      </c>
      <c r="C2668" s="2" t="str">
        <f t="shared" si="106"/>
        <v>UN</v>
      </c>
      <c r="D2668" s="7">
        <v>811</v>
      </c>
      <c r="E2668" s="3">
        <v>11</v>
      </c>
      <c r="F2668" s="3">
        <v>11</v>
      </c>
      <c r="G2668" t="s">
        <v>515</v>
      </c>
    </row>
    <row r="2669" spans="1:7" x14ac:dyDescent="0.25">
      <c r="A2669" s="1" t="str">
        <f>"524928"</f>
        <v>524928</v>
      </c>
      <c r="B2669" s="2" t="str">
        <f>"BLOCO DE DISTRIBUICAO 04033 SCHNEIDER"</f>
        <v>BLOCO DE DISTRIBUICAO 04033 SCHNEIDER</v>
      </c>
      <c r="C2669" s="2" t="str">
        <f t="shared" si="106"/>
        <v>UN</v>
      </c>
      <c r="D2669" s="7">
        <v>811</v>
      </c>
      <c r="E2669" s="3">
        <v>8</v>
      </c>
      <c r="F2669" s="3">
        <v>8</v>
      </c>
      <c r="G2669" t="s">
        <v>514</v>
      </c>
    </row>
    <row r="2670" spans="1:7" x14ac:dyDescent="0.25">
      <c r="A2670" s="1" t="str">
        <f>"526587"</f>
        <v>526587</v>
      </c>
      <c r="B2670" s="2" t="str">
        <f>"BLOCO DE DISTRIBUICAO LGY412560 SCHNEIDER"</f>
        <v>BLOCO DE DISTRIBUICAO LGY412560 SCHNEIDER</v>
      </c>
      <c r="C2670" s="2" t="str">
        <f t="shared" si="106"/>
        <v>UN</v>
      </c>
      <c r="D2670" s="7">
        <v>811</v>
      </c>
      <c r="E2670" s="3">
        <v>8</v>
      </c>
      <c r="F2670" s="3">
        <v>8</v>
      </c>
      <c r="G2670" t="s">
        <v>512</v>
      </c>
    </row>
    <row r="2671" spans="1:7" x14ac:dyDescent="0.25">
      <c r="A2671" s="1" t="str">
        <f>"521720"</f>
        <v>521720</v>
      </c>
      <c r="B2671" s="2" t="str">
        <f>"BLOCO DE HOMOGENIZAÇÃO DO HOMOGENIZADOR"</f>
        <v>BLOCO DE HOMOGENIZAÇÃO DO HOMOGENIZADOR</v>
      </c>
      <c r="C2671" s="2" t="str">
        <f t="shared" si="106"/>
        <v>UN</v>
      </c>
      <c r="D2671" s="7">
        <v>99999</v>
      </c>
      <c r="E2671" s="3">
        <v>99</v>
      </c>
      <c r="F2671" s="3">
        <v>99</v>
      </c>
      <c r="G2671" t="s">
        <v>513</v>
      </c>
    </row>
    <row r="2672" spans="1:7" x14ac:dyDescent="0.25">
      <c r="A2672" s="1" t="str">
        <f>"513671"</f>
        <v>513671</v>
      </c>
      <c r="B2672" s="2" t="str">
        <f>"BLOCO DE PROTEÇÃO 20 PARES JPA BARGOA"</f>
        <v>BLOCO DE PROTEÇÃO 20 PARES JPA BARGOA</v>
      </c>
      <c r="C2672" s="2" t="str">
        <f t="shared" si="106"/>
        <v>UN</v>
      </c>
      <c r="D2672" s="7">
        <v>811</v>
      </c>
      <c r="E2672" s="3">
        <v>8</v>
      </c>
      <c r="F2672" s="3">
        <v>8</v>
      </c>
      <c r="G2672" t="s">
        <v>514</v>
      </c>
    </row>
    <row r="2673" spans="1:7" x14ac:dyDescent="0.25">
      <c r="A2673" s="1" t="str">
        <f>"521813"</f>
        <v>521813</v>
      </c>
      <c r="B2673" s="2" t="str">
        <f>"BLOCO DE VALVULA DO HOMOGENEIZADOR SLH30"</f>
        <v>BLOCO DE VALVULA DO HOMOGENEIZADOR SLH30</v>
      </c>
      <c r="C2673" s="2" t="str">
        <f t="shared" si="106"/>
        <v>UN</v>
      </c>
      <c r="D2673" s="7">
        <v>1300</v>
      </c>
      <c r="E2673" s="3">
        <v>10</v>
      </c>
      <c r="F2673" s="3">
        <v>10</v>
      </c>
      <c r="G2673" t="s">
        <v>514</v>
      </c>
    </row>
    <row r="2674" spans="1:7" x14ac:dyDescent="0.25">
      <c r="A2674" s="1" t="str">
        <f>"508514"</f>
        <v>508514</v>
      </c>
      <c r="B2674" s="2" t="str">
        <f>"BLOCO DISTRIBUIDOR B-250.023"</f>
        <v>BLOCO DISTRIBUIDOR B-250.023</v>
      </c>
      <c r="C2674" s="2" t="str">
        <f t="shared" si="106"/>
        <v>UN</v>
      </c>
      <c r="D2674" s="7">
        <v>915</v>
      </c>
      <c r="E2674" s="3">
        <v>11</v>
      </c>
      <c r="F2674" s="3">
        <v>11</v>
      </c>
      <c r="G2674" t="s">
        <v>512</v>
      </c>
    </row>
    <row r="2675" spans="1:7" x14ac:dyDescent="0.25">
      <c r="A2675" s="1" t="str">
        <f>"502013"</f>
        <v>502013</v>
      </c>
      <c r="B2675" s="2" t="str">
        <f>"BLOCO DOSADOR 7002/1"</f>
        <v>BLOCO DOSADOR 7002/1</v>
      </c>
      <c r="C2675" s="2" t="str">
        <f t="shared" si="106"/>
        <v>UN</v>
      </c>
      <c r="D2675" s="7">
        <v>918</v>
      </c>
      <c r="E2675" s="3">
        <v>11</v>
      </c>
      <c r="F2675" s="3">
        <v>11</v>
      </c>
      <c r="G2675" t="s">
        <v>513</v>
      </c>
    </row>
    <row r="2676" spans="1:7" x14ac:dyDescent="0.25">
      <c r="A2676" s="1" t="str">
        <f>"510491"</f>
        <v>510491</v>
      </c>
      <c r="B2676" s="2" t="str">
        <f>"BLOCO DOSADOR BRASCOP 5000"</f>
        <v>BLOCO DOSADOR BRASCOP 5000</v>
      </c>
      <c r="C2676" s="2" t="str">
        <f t="shared" si="106"/>
        <v>UN</v>
      </c>
      <c r="D2676" s="7">
        <v>918</v>
      </c>
      <c r="E2676" s="3">
        <v>11</v>
      </c>
      <c r="F2676" s="3">
        <v>11</v>
      </c>
      <c r="G2676" t="s">
        <v>514</v>
      </c>
    </row>
    <row r="2677" spans="1:7" x14ac:dyDescent="0.25">
      <c r="A2677" s="1" t="str">
        <f>"520753"</f>
        <v>520753</v>
      </c>
      <c r="B2677" s="8" t="s">
        <v>177</v>
      </c>
      <c r="C2677" s="2" t="str">
        <f>"PC"</f>
        <v>PC</v>
      </c>
      <c r="D2677" s="7">
        <v>907</v>
      </c>
      <c r="E2677" s="3">
        <v>11</v>
      </c>
      <c r="F2677" s="3">
        <v>11</v>
      </c>
      <c r="G2677" t="s">
        <v>514</v>
      </c>
    </row>
    <row r="2678" spans="1:7" x14ac:dyDescent="0.25">
      <c r="A2678" s="1" t="str">
        <f>"513576"</f>
        <v>513576</v>
      </c>
      <c r="B2678" s="2" t="str">
        <f>"BLOCO FLIP CHARP"</f>
        <v>BLOCO FLIP CHARP</v>
      </c>
      <c r="C2678" s="2" t="str">
        <f t="shared" ref="C2678:C2701" si="107">"UN"</f>
        <v>UN</v>
      </c>
      <c r="D2678" s="7">
        <v>401</v>
      </c>
      <c r="E2678" s="3">
        <v>4</v>
      </c>
      <c r="F2678" s="3">
        <v>4</v>
      </c>
      <c r="G2678" t="s">
        <v>514</v>
      </c>
    </row>
    <row r="2679" spans="1:7" x14ac:dyDescent="0.25">
      <c r="A2679" s="1" t="str">
        <f>"518639"</f>
        <v>518639</v>
      </c>
      <c r="B2679" s="2" t="str">
        <f>"BLOCO FOR CARGO1722/2422/4331/4031"</f>
        <v>BLOCO FOR CARGO1722/2422/4331/4031</v>
      </c>
      <c r="C2679" s="2" t="str">
        <f t="shared" si="107"/>
        <v>UN</v>
      </c>
      <c r="D2679" s="7">
        <v>704</v>
      </c>
      <c r="E2679" s="3">
        <v>9</v>
      </c>
      <c r="F2679" s="3">
        <v>9</v>
      </c>
      <c r="G2679" t="s">
        <v>513</v>
      </c>
    </row>
    <row r="2680" spans="1:7" x14ac:dyDescent="0.25">
      <c r="A2680" s="1" t="str">
        <f>"524902"</f>
        <v>524902</v>
      </c>
      <c r="B2680" s="2" t="str">
        <f>"BLOCO FORD CARGO"</f>
        <v>BLOCO FORD CARGO</v>
      </c>
      <c r="C2680" s="2" t="str">
        <f t="shared" si="107"/>
        <v>UN</v>
      </c>
      <c r="D2680" s="7">
        <v>704</v>
      </c>
      <c r="E2680" s="3">
        <v>9</v>
      </c>
      <c r="F2680" s="3">
        <v>9</v>
      </c>
      <c r="G2680" t="s">
        <v>512</v>
      </c>
    </row>
    <row r="2681" spans="1:7" x14ac:dyDescent="0.25">
      <c r="A2681" s="1" t="str">
        <f>"519441"</f>
        <v>519441</v>
      </c>
      <c r="B2681" s="2" t="str">
        <f>"BLOCO INOX 420 28X64X213 (2) M-101"</f>
        <v>BLOCO INOX 420 28X64X213 (2) M-101</v>
      </c>
      <c r="C2681" s="2" t="str">
        <f t="shared" si="107"/>
        <v>UN</v>
      </c>
      <c r="D2681" s="7">
        <v>812</v>
      </c>
      <c r="E2681" s="3">
        <v>10</v>
      </c>
      <c r="F2681" s="3">
        <v>10</v>
      </c>
      <c r="G2681" t="s">
        <v>513</v>
      </c>
    </row>
    <row r="2682" spans="1:7" x14ac:dyDescent="0.25">
      <c r="A2682" s="1" t="str">
        <f>"519440"</f>
        <v>519440</v>
      </c>
      <c r="B2682" s="2" t="str">
        <f>"BLOCO INOX 420 28X64X281 (2) M-101"</f>
        <v>BLOCO INOX 420 28X64X281 (2) M-101</v>
      </c>
      <c r="C2682" s="2" t="str">
        <f t="shared" si="107"/>
        <v>UN</v>
      </c>
      <c r="D2682" s="7">
        <v>812</v>
      </c>
      <c r="E2682" s="3">
        <v>10</v>
      </c>
      <c r="F2682" s="3">
        <v>10</v>
      </c>
      <c r="G2682" t="s">
        <v>514</v>
      </c>
    </row>
    <row r="2683" spans="1:7" x14ac:dyDescent="0.25">
      <c r="A2683" s="1" t="str">
        <f>"519442"</f>
        <v>519442</v>
      </c>
      <c r="B2683" s="2" t="str">
        <f>"BLOCO INOX 420 36X64X473 (2) M-101"</f>
        <v>BLOCO INOX 420 36X64X473 (2) M-101</v>
      </c>
      <c r="C2683" s="2" t="str">
        <f t="shared" si="107"/>
        <v>UN</v>
      </c>
      <c r="D2683" s="7">
        <v>812</v>
      </c>
      <c r="E2683" s="3">
        <v>10</v>
      </c>
      <c r="F2683" s="3">
        <v>10</v>
      </c>
      <c r="G2683" t="s">
        <v>514</v>
      </c>
    </row>
    <row r="2684" spans="1:7" x14ac:dyDescent="0.25">
      <c r="A2684" s="1" t="str">
        <f>"519443"</f>
        <v>519443</v>
      </c>
      <c r="B2684" s="2" t="str">
        <f>"BLOCO INOX 420 38X63X73 (10) M-101"</f>
        <v>BLOCO INOX 420 38X63X73 (10) M-101</v>
      </c>
      <c r="C2684" s="2" t="str">
        <f t="shared" si="107"/>
        <v>UN</v>
      </c>
      <c r="D2684" s="7">
        <v>812</v>
      </c>
      <c r="E2684" s="3">
        <v>10</v>
      </c>
      <c r="F2684" s="3">
        <v>10</v>
      </c>
      <c r="G2684" t="s">
        <v>514</v>
      </c>
    </row>
    <row r="2685" spans="1:7" x14ac:dyDescent="0.25">
      <c r="A2685" s="1" t="str">
        <f>"518307"</f>
        <v>518307</v>
      </c>
      <c r="B2685" s="2" t="str">
        <f>"BLOCO INTERCOOLER VW CONSTELATION"</f>
        <v>BLOCO INTERCOOLER VW CONSTELATION</v>
      </c>
      <c r="C2685" s="2" t="str">
        <f t="shared" si="107"/>
        <v>UN</v>
      </c>
      <c r="D2685" s="7">
        <v>704</v>
      </c>
      <c r="E2685" s="3">
        <v>9</v>
      </c>
      <c r="F2685" s="3">
        <v>9</v>
      </c>
      <c r="G2685" t="s">
        <v>513</v>
      </c>
    </row>
    <row r="2686" spans="1:7" x14ac:dyDescent="0.25">
      <c r="A2686" s="1" t="str">
        <f>"517001"</f>
        <v>517001</v>
      </c>
      <c r="B2686" s="2" t="str">
        <f>"BLOCO MBB L1113 &gt; 2213 5OBV 8"</f>
        <v>BLOCO MBB L1113 &gt; 2213 5OBV 8</v>
      </c>
      <c r="C2686" s="2" t="str">
        <f t="shared" si="107"/>
        <v>UN</v>
      </c>
      <c r="D2686" s="7">
        <v>918</v>
      </c>
      <c r="E2686" s="3">
        <v>16</v>
      </c>
      <c r="F2686" s="3">
        <v>16</v>
      </c>
      <c r="G2686" t="s">
        <v>513</v>
      </c>
    </row>
    <row r="2687" spans="1:7" x14ac:dyDescent="0.25">
      <c r="A2687" s="1" t="str">
        <f>"515468"</f>
        <v>515468</v>
      </c>
      <c r="B2687" s="2" t="str">
        <f>"BLOCO NOTIFICACAO"</f>
        <v>BLOCO NOTIFICACAO</v>
      </c>
      <c r="C2687" s="2" t="str">
        <f t="shared" si="107"/>
        <v>UN</v>
      </c>
      <c r="D2687" s="7">
        <v>401</v>
      </c>
      <c r="E2687" s="3">
        <v>4</v>
      </c>
      <c r="F2687" s="3">
        <v>4</v>
      </c>
      <c r="G2687" t="s">
        <v>513</v>
      </c>
    </row>
    <row r="2688" spans="1:7" x14ac:dyDescent="0.25">
      <c r="A2688" s="1" t="str">
        <f>"522329"</f>
        <v>522329</v>
      </c>
      <c r="B2688" s="2" t="str">
        <f>"BLOCO P/ CX ACOPLADA"</f>
        <v>BLOCO P/ CX ACOPLADA</v>
      </c>
      <c r="C2688" s="2" t="str">
        <f t="shared" si="107"/>
        <v>UN</v>
      </c>
      <c r="D2688" s="7">
        <v>99999</v>
      </c>
      <c r="E2688" s="3">
        <v>99</v>
      </c>
      <c r="F2688" s="3">
        <v>99</v>
      </c>
      <c r="G2688" t="s">
        <v>512</v>
      </c>
    </row>
    <row r="2689" spans="1:7" x14ac:dyDescent="0.25">
      <c r="A2689" s="1" t="str">
        <f>"573827"</f>
        <v>573827</v>
      </c>
      <c r="B2689" s="2" t="str">
        <f>"BLOCO PARA RASCUNHO  - EVENTO"</f>
        <v>BLOCO PARA RASCUNHO  - EVENTO</v>
      </c>
      <c r="C2689" s="2" t="str">
        <f t="shared" si="107"/>
        <v>UN</v>
      </c>
      <c r="D2689" s="7">
        <v>99999</v>
      </c>
      <c r="E2689" s="3">
        <v>99</v>
      </c>
      <c r="F2689" s="3">
        <v>99</v>
      </c>
      <c r="G2689" t="s">
        <v>513</v>
      </c>
    </row>
    <row r="2690" spans="1:7" x14ac:dyDescent="0.25">
      <c r="A2690" s="1" t="str">
        <f>"521995"</f>
        <v>521995</v>
      </c>
      <c r="B2690" s="2" t="str">
        <f>"BLOCO PERMISSÃO TRAB 4X4 COLOR SÓ 1º C/ CARBONO"</f>
        <v>BLOCO PERMISSÃO TRAB 4X4 COLOR SÓ 1º C/ CARBONO</v>
      </c>
      <c r="C2690" s="2" t="str">
        <f t="shared" si="107"/>
        <v>UN</v>
      </c>
      <c r="D2690" s="7">
        <v>99999</v>
      </c>
      <c r="E2690" s="3">
        <v>99</v>
      </c>
      <c r="F2690" s="3">
        <v>99</v>
      </c>
      <c r="G2690" t="s">
        <v>514</v>
      </c>
    </row>
    <row r="2691" spans="1:7" x14ac:dyDescent="0.25">
      <c r="A2691" s="1" t="str">
        <f>"523880"</f>
        <v>523880</v>
      </c>
      <c r="B2691" s="2" t="str">
        <f>"BLOCO PERMISSÃO TRABALHO 2 VIAS AUTO COPIATIVO ESPECIAL I"</f>
        <v>BLOCO PERMISSÃO TRABALHO 2 VIAS AUTO COPIATIVO ESPECIAL I</v>
      </c>
      <c r="C2691" s="2" t="str">
        <f t="shared" si="107"/>
        <v>UN</v>
      </c>
      <c r="D2691" s="7">
        <v>99999</v>
      </c>
      <c r="E2691" s="3">
        <v>99</v>
      </c>
      <c r="F2691" s="3">
        <v>99</v>
      </c>
      <c r="G2691" t="s">
        <v>515</v>
      </c>
    </row>
    <row r="2692" spans="1:7" x14ac:dyDescent="0.25">
      <c r="A2692" s="1" t="str">
        <f>"523881"</f>
        <v>523881</v>
      </c>
      <c r="B2692" s="2" t="str">
        <f>"BLOCO PERMISSÃO TRABALHO 3 VIAS AUTO COPIATIVO ESPECIAL II"</f>
        <v>BLOCO PERMISSÃO TRABALHO 3 VIAS AUTO COPIATIVO ESPECIAL II</v>
      </c>
      <c r="C2692" s="2" t="str">
        <f t="shared" si="107"/>
        <v>UN</v>
      </c>
      <c r="D2692" s="7">
        <v>99999</v>
      </c>
      <c r="E2692" s="3">
        <v>99</v>
      </c>
      <c r="F2692" s="3">
        <v>99</v>
      </c>
      <c r="G2692" t="s">
        <v>512</v>
      </c>
    </row>
    <row r="2693" spans="1:7" x14ac:dyDescent="0.25">
      <c r="A2693" s="1" t="str">
        <f>"515513"</f>
        <v>515513</v>
      </c>
      <c r="B2693" s="2" t="str">
        <f>"BLOCO PROTETOR 20 PARES"</f>
        <v>BLOCO PROTETOR 20 PARES</v>
      </c>
      <c r="C2693" s="2" t="str">
        <f t="shared" si="107"/>
        <v>UN</v>
      </c>
      <c r="D2693" s="7">
        <v>811</v>
      </c>
      <c r="E2693" s="3">
        <v>8</v>
      </c>
      <c r="F2693" s="3">
        <v>8</v>
      </c>
      <c r="G2693" t="s">
        <v>516</v>
      </c>
    </row>
    <row r="2694" spans="1:7" x14ac:dyDescent="0.25">
      <c r="A2694" s="1" t="str">
        <f>"508473"</f>
        <v>508473</v>
      </c>
      <c r="B2694" s="2" t="str">
        <f>"BLOCO PRS-1/4-2"</f>
        <v>BLOCO PRS-1/4-2</v>
      </c>
      <c r="C2694" s="2" t="str">
        <f t="shared" si="107"/>
        <v>UN</v>
      </c>
      <c r="D2694" s="7">
        <v>913</v>
      </c>
      <c r="E2694" s="3">
        <v>11</v>
      </c>
      <c r="F2694" s="3">
        <v>11</v>
      </c>
      <c r="G2694" t="s">
        <v>515</v>
      </c>
    </row>
    <row r="2695" spans="1:7" x14ac:dyDescent="0.25">
      <c r="A2695" s="1" t="str">
        <f>"523990"</f>
        <v>523990</v>
      </c>
      <c r="B2695" s="2" t="str">
        <f>"BLOCO PT RECORTE CADEADO CAMINHÕES 100 FOLHAS"</f>
        <v>BLOCO PT RECORTE CADEADO CAMINHÕES 100 FOLHAS</v>
      </c>
      <c r="C2695" s="2" t="str">
        <f t="shared" si="107"/>
        <v>UN</v>
      </c>
      <c r="D2695" s="7">
        <v>99999</v>
      </c>
      <c r="E2695" s="3">
        <v>99</v>
      </c>
      <c r="F2695" s="3">
        <v>99</v>
      </c>
      <c r="G2695" t="s">
        <v>514</v>
      </c>
    </row>
    <row r="2696" spans="1:7" x14ac:dyDescent="0.25">
      <c r="A2696" s="1" t="str">
        <f>"521996"</f>
        <v>521996</v>
      </c>
      <c r="B2696" s="2" t="str">
        <f>"BLOCO PT RECORTE CADEADO LIMPEZA/MANUT. MAQUINAS 100 FOLHAS"</f>
        <v>BLOCO PT RECORTE CADEADO LIMPEZA/MANUT. MAQUINAS 100 FOLHAS</v>
      </c>
      <c r="C2696" s="2" t="str">
        <f t="shared" si="107"/>
        <v>UN</v>
      </c>
      <c r="D2696" s="7">
        <v>99999</v>
      </c>
      <c r="E2696" s="3">
        <v>99</v>
      </c>
      <c r="F2696" s="3">
        <v>99</v>
      </c>
      <c r="G2696" t="s">
        <v>512</v>
      </c>
    </row>
    <row r="2697" spans="1:7" x14ac:dyDescent="0.25">
      <c r="A2697" s="1" t="str">
        <f>"524290"</f>
        <v>524290</v>
      </c>
      <c r="B2697" s="2" t="str">
        <f>"BLOCO RECADO 100 FOLHAS 210 X 5CM"</f>
        <v>BLOCO RECADO 100 FOLHAS 210 X 5CM</v>
      </c>
      <c r="C2697" s="2" t="str">
        <f t="shared" si="107"/>
        <v>UN</v>
      </c>
      <c r="D2697" s="7">
        <v>99999</v>
      </c>
      <c r="E2697" s="3">
        <v>99</v>
      </c>
      <c r="F2697" s="3">
        <v>99</v>
      </c>
      <c r="G2697" t="s">
        <v>513</v>
      </c>
    </row>
    <row r="2698" spans="1:7" x14ac:dyDescent="0.25">
      <c r="A2698" s="1" t="str">
        <f>"524286"</f>
        <v>524286</v>
      </c>
      <c r="B2698" s="2" t="str">
        <f>"BLOCO RECEITUARIO 50 FOLHAS 21,5 X 15,5CM PRETO/BRANCO"</f>
        <v>BLOCO RECEITUARIO 50 FOLHAS 21,5 X 15,5CM PRETO/BRANCO</v>
      </c>
      <c r="C2698" s="2" t="str">
        <f t="shared" si="107"/>
        <v>UN</v>
      </c>
      <c r="D2698" s="7">
        <v>99999</v>
      </c>
      <c r="E2698" s="3">
        <v>99</v>
      </c>
      <c r="F2698" s="3">
        <v>99</v>
      </c>
      <c r="G2698" t="s">
        <v>514</v>
      </c>
    </row>
    <row r="2699" spans="1:7" x14ac:dyDescent="0.25">
      <c r="A2699" s="1" t="str">
        <f>"523714"</f>
        <v>523714</v>
      </c>
      <c r="B2699" s="2" t="str">
        <f>"BLOCO RELAT. VISITA TECNICA 50 X 2 VIAS - POLITICA LEITEIRA"</f>
        <v>BLOCO RELAT. VISITA TECNICA 50 X 2 VIAS - POLITICA LEITEIRA</v>
      </c>
      <c r="C2699" s="2" t="str">
        <f t="shared" si="107"/>
        <v>UN</v>
      </c>
      <c r="D2699" s="7">
        <v>99999</v>
      </c>
      <c r="E2699" s="3">
        <v>99</v>
      </c>
      <c r="F2699" s="3">
        <v>99</v>
      </c>
      <c r="G2699" t="s">
        <v>514</v>
      </c>
    </row>
    <row r="2700" spans="1:7" x14ac:dyDescent="0.25">
      <c r="A2700" s="1" t="str">
        <f>"512857"</f>
        <v>512857</v>
      </c>
      <c r="B2700" s="2" t="str">
        <f>"BLOCO RELATORIO LEITE"</f>
        <v>BLOCO RELATORIO LEITE</v>
      </c>
      <c r="C2700" s="2" t="str">
        <f t="shared" si="107"/>
        <v>UN</v>
      </c>
      <c r="D2700" s="7">
        <v>401</v>
      </c>
      <c r="E2700" s="3">
        <v>4</v>
      </c>
      <c r="F2700" s="3">
        <v>4</v>
      </c>
      <c r="G2700" t="s">
        <v>512</v>
      </c>
    </row>
    <row r="2701" spans="1:7" x14ac:dyDescent="0.25">
      <c r="A2701" s="1" t="str">
        <f>"517196"</f>
        <v>517196</v>
      </c>
      <c r="B2701" s="2" t="str">
        <f>"BLOQUEADOR DE LIMITE"</f>
        <v>BLOQUEADOR DE LIMITE</v>
      </c>
      <c r="C2701" s="2" t="str">
        <f t="shared" si="107"/>
        <v>UN</v>
      </c>
      <c r="D2701" s="7">
        <v>918</v>
      </c>
      <c r="E2701" s="3">
        <v>11</v>
      </c>
      <c r="F2701" s="3">
        <v>11</v>
      </c>
      <c r="G2701" t="s">
        <v>513</v>
      </c>
    </row>
    <row r="2702" spans="1:7" x14ac:dyDescent="0.25">
      <c r="A2702" s="1" t="str">
        <f>"521578"</f>
        <v>521578</v>
      </c>
      <c r="B2702" s="2" t="str">
        <f>"BLUE SPOT TS"</f>
        <v>BLUE SPOT TS</v>
      </c>
      <c r="C2702" s="2" t="str">
        <f>"PC"</f>
        <v>PC</v>
      </c>
      <c r="D2702" s="7">
        <v>908</v>
      </c>
      <c r="E2702" s="3">
        <v>10</v>
      </c>
      <c r="F2702" s="3">
        <v>10</v>
      </c>
      <c r="G2702" t="s">
        <v>514</v>
      </c>
    </row>
    <row r="2703" spans="1:7" x14ac:dyDescent="0.25">
      <c r="A2703" s="1" t="str">
        <f>"5856"</f>
        <v>5856</v>
      </c>
      <c r="B2703" s="2" t="str">
        <f>"BLUSA  DE MOLETON COR AZUL TAM. EGG"</f>
        <v>BLUSA  DE MOLETON COR AZUL TAM. EGG</v>
      </c>
      <c r="C2703" s="2" t="str">
        <f t="shared" ref="C2703:C2726" si="108">"UN"</f>
        <v>UN</v>
      </c>
      <c r="D2703" s="7">
        <v>500</v>
      </c>
      <c r="E2703" s="3">
        <v>5</v>
      </c>
      <c r="F2703" s="3">
        <v>5</v>
      </c>
      <c r="G2703" t="s">
        <v>514</v>
      </c>
    </row>
    <row r="2704" spans="1:7" x14ac:dyDescent="0.25">
      <c r="A2704" s="1" t="str">
        <f>"5978"</f>
        <v>5978</v>
      </c>
      <c r="B2704" s="2" t="str">
        <f>"BLUSA DE MOLETON COR AZUL TAM. G"</f>
        <v>BLUSA DE MOLETON COR AZUL TAM. G</v>
      </c>
      <c r="C2704" s="2" t="str">
        <f t="shared" si="108"/>
        <v>UN</v>
      </c>
      <c r="D2704" s="7">
        <v>500</v>
      </c>
      <c r="E2704" s="3">
        <v>5</v>
      </c>
      <c r="F2704" s="3">
        <v>5</v>
      </c>
      <c r="G2704" t="s">
        <v>514</v>
      </c>
    </row>
    <row r="2705" spans="1:7" x14ac:dyDescent="0.25">
      <c r="A2705" s="1" t="str">
        <f>"5979"</f>
        <v>5979</v>
      </c>
      <c r="B2705" s="2" t="str">
        <f>"BLUSA DE MOLETON COR AZUL TAM. GG"</f>
        <v>BLUSA DE MOLETON COR AZUL TAM. GG</v>
      </c>
      <c r="C2705" s="2" t="str">
        <f t="shared" si="108"/>
        <v>UN</v>
      </c>
      <c r="D2705" s="7">
        <v>500</v>
      </c>
      <c r="E2705" s="3">
        <v>5</v>
      </c>
      <c r="F2705" s="3">
        <v>5</v>
      </c>
      <c r="G2705" t="s">
        <v>513</v>
      </c>
    </row>
    <row r="2706" spans="1:7" x14ac:dyDescent="0.25">
      <c r="A2706" s="1" t="str">
        <f>"412"</f>
        <v>412</v>
      </c>
      <c r="B2706" s="2" t="str">
        <f>"BLUSA DE MOLETON COR AZUL TAM. M"</f>
        <v>BLUSA DE MOLETON COR AZUL TAM. M</v>
      </c>
      <c r="C2706" s="2" t="str">
        <f t="shared" si="108"/>
        <v>UN</v>
      </c>
      <c r="D2706" s="7">
        <v>500</v>
      </c>
      <c r="E2706" s="3">
        <v>5</v>
      </c>
      <c r="F2706" s="3">
        <v>5</v>
      </c>
      <c r="G2706" t="s">
        <v>512</v>
      </c>
    </row>
    <row r="2707" spans="1:7" x14ac:dyDescent="0.25">
      <c r="A2707" s="1" t="str">
        <f>"411"</f>
        <v>411</v>
      </c>
      <c r="B2707" s="2" t="str">
        <f>"BLUSA DE MOLETON COR AZUL TAM. P"</f>
        <v>BLUSA DE MOLETON COR AZUL TAM. P</v>
      </c>
      <c r="C2707" s="2" t="str">
        <f t="shared" si="108"/>
        <v>UN</v>
      </c>
      <c r="D2707" s="7">
        <v>500</v>
      </c>
      <c r="E2707" s="3">
        <v>5</v>
      </c>
      <c r="F2707" s="3">
        <v>5</v>
      </c>
      <c r="G2707" t="s">
        <v>513</v>
      </c>
    </row>
    <row r="2708" spans="1:7" x14ac:dyDescent="0.25">
      <c r="A2708" s="1" t="str">
        <f>"420"</f>
        <v>420</v>
      </c>
      <c r="B2708" s="2" t="str">
        <f>"BLUSA DE MOLETON COR BRANCA TAM. EGG"</f>
        <v>BLUSA DE MOLETON COR BRANCA TAM. EGG</v>
      </c>
      <c r="C2708" s="2" t="str">
        <f t="shared" si="108"/>
        <v>UN</v>
      </c>
      <c r="D2708" s="7">
        <v>500</v>
      </c>
      <c r="E2708" s="3">
        <v>5</v>
      </c>
      <c r="F2708" s="3">
        <v>5</v>
      </c>
      <c r="G2708" t="s">
        <v>514</v>
      </c>
    </row>
    <row r="2709" spans="1:7" x14ac:dyDescent="0.25">
      <c r="A2709" s="1" t="str">
        <f>"409"</f>
        <v>409</v>
      </c>
      <c r="B2709" s="2" t="str">
        <f>"BLUSA DE MOLETON COR BRANCA TAM. G"</f>
        <v>BLUSA DE MOLETON COR BRANCA TAM. G</v>
      </c>
      <c r="C2709" s="2" t="str">
        <f t="shared" si="108"/>
        <v>UN</v>
      </c>
      <c r="D2709" s="7">
        <v>500</v>
      </c>
      <c r="E2709" s="3">
        <v>5</v>
      </c>
      <c r="F2709" s="3">
        <v>5</v>
      </c>
      <c r="G2709" t="s">
        <v>514</v>
      </c>
    </row>
    <row r="2710" spans="1:7" x14ac:dyDescent="0.25">
      <c r="A2710" s="1" t="str">
        <f>"410"</f>
        <v>410</v>
      </c>
      <c r="B2710" s="2" t="str">
        <f>"BLUSA DE MOLETON COR BRANCA TAM. GG"</f>
        <v>BLUSA DE MOLETON COR BRANCA TAM. GG</v>
      </c>
      <c r="C2710" s="2" t="str">
        <f t="shared" si="108"/>
        <v>UN</v>
      </c>
      <c r="D2710" s="7">
        <v>500</v>
      </c>
      <c r="E2710" s="3">
        <v>5</v>
      </c>
      <c r="F2710" s="3">
        <v>5</v>
      </c>
      <c r="G2710" t="s">
        <v>514</v>
      </c>
    </row>
    <row r="2711" spans="1:7" x14ac:dyDescent="0.25">
      <c r="A2711" s="1" t="str">
        <f>"408"</f>
        <v>408</v>
      </c>
      <c r="B2711" s="2" t="str">
        <f>"BLUSA DE MOLETON COR BRANCA TAM. M"</f>
        <v>BLUSA DE MOLETON COR BRANCA TAM. M</v>
      </c>
      <c r="C2711" s="2" t="str">
        <f t="shared" si="108"/>
        <v>UN</v>
      </c>
      <c r="D2711" s="7">
        <v>500</v>
      </c>
      <c r="E2711" s="3">
        <v>5</v>
      </c>
      <c r="F2711" s="3">
        <v>5</v>
      </c>
      <c r="G2711" t="s">
        <v>513</v>
      </c>
    </row>
    <row r="2712" spans="1:7" x14ac:dyDescent="0.25">
      <c r="A2712" s="1" t="str">
        <f>"416"</f>
        <v>416</v>
      </c>
      <c r="B2712" s="2" t="str">
        <f>"BLUSA DE MOLETON COR BRANCA TAM. P"</f>
        <v>BLUSA DE MOLETON COR BRANCA TAM. P</v>
      </c>
      <c r="C2712" s="2" t="str">
        <f t="shared" si="108"/>
        <v>UN</v>
      </c>
      <c r="D2712" s="7">
        <v>500</v>
      </c>
      <c r="E2712" s="3">
        <v>5</v>
      </c>
      <c r="F2712" s="3">
        <v>5</v>
      </c>
      <c r="G2712" t="s">
        <v>513</v>
      </c>
    </row>
    <row r="2713" spans="1:7" x14ac:dyDescent="0.25">
      <c r="A2713" s="1" t="str">
        <f>"426"</f>
        <v>426</v>
      </c>
      <c r="B2713" s="2" t="str">
        <f>"BLUSA DE MOLETON COR CHUMBO TAM. EGG"</f>
        <v>BLUSA DE MOLETON COR CHUMBO TAM. EGG</v>
      </c>
      <c r="C2713" s="2" t="str">
        <f t="shared" si="108"/>
        <v>UN</v>
      </c>
      <c r="D2713" s="7">
        <v>500</v>
      </c>
      <c r="E2713" s="3">
        <v>5</v>
      </c>
      <c r="F2713" s="3">
        <v>5</v>
      </c>
      <c r="G2713" t="s">
        <v>513</v>
      </c>
    </row>
    <row r="2714" spans="1:7" x14ac:dyDescent="0.25">
      <c r="A2714" s="1" t="str">
        <f>"424"</f>
        <v>424</v>
      </c>
      <c r="B2714" s="2" t="str">
        <f>"BLUSA DE MOLETON COR CHUMBO TAM. G"</f>
        <v>BLUSA DE MOLETON COR CHUMBO TAM. G</v>
      </c>
      <c r="C2714" s="2" t="str">
        <f t="shared" si="108"/>
        <v>UN</v>
      </c>
      <c r="D2714" s="7">
        <v>500</v>
      </c>
      <c r="E2714" s="3">
        <v>5</v>
      </c>
      <c r="F2714" s="3">
        <v>5</v>
      </c>
      <c r="G2714" t="s">
        <v>512</v>
      </c>
    </row>
    <row r="2715" spans="1:7" x14ac:dyDescent="0.25">
      <c r="A2715" s="1" t="str">
        <f>"425"</f>
        <v>425</v>
      </c>
      <c r="B2715" s="2" t="str">
        <f>"BLUSA DE MOLETON COR CHUMBO TAM. GG"</f>
        <v>BLUSA DE MOLETON COR CHUMBO TAM. GG</v>
      </c>
      <c r="C2715" s="2" t="str">
        <f t="shared" si="108"/>
        <v>UN</v>
      </c>
      <c r="D2715" s="7">
        <v>500</v>
      </c>
      <c r="E2715" s="3">
        <v>5</v>
      </c>
      <c r="F2715" s="3">
        <v>5</v>
      </c>
      <c r="G2715" t="s">
        <v>513</v>
      </c>
    </row>
    <row r="2716" spans="1:7" x14ac:dyDescent="0.25">
      <c r="A2716" s="1" t="str">
        <f>"423"</f>
        <v>423</v>
      </c>
      <c r="B2716" s="2" t="str">
        <f>"BLUSA DE MOLETON COR CHUMBO TAM. M"</f>
        <v>BLUSA DE MOLETON COR CHUMBO TAM. M</v>
      </c>
      <c r="C2716" s="2" t="str">
        <f t="shared" si="108"/>
        <v>UN</v>
      </c>
      <c r="D2716" s="7">
        <v>500</v>
      </c>
      <c r="E2716" s="3">
        <v>5</v>
      </c>
      <c r="F2716" s="3">
        <v>5</v>
      </c>
      <c r="G2716" t="s">
        <v>514</v>
      </c>
    </row>
    <row r="2717" spans="1:7" x14ac:dyDescent="0.25">
      <c r="A2717" s="1" t="str">
        <f>"422"</f>
        <v>422</v>
      </c>
      <c r="B2717" s="2" t="str">
        <f>"BLUSA DE MOLETON COR CHUMBO TAM. P"</f>
        <v>BLUSA DE MOLETON COR CHUMBO TAM. P</v>
      </c>
      <c r="C2717" s="2" t="str">
        <f t="shared" si="108"/>
        <v>UN</v>
      </c>
      <c r="D2717" s="7">
        <v>500</v>
      </c>
      <c r="E2717" s="3">
        <v>5</v>
      </c>
      <c r="F2717" s="3">
        <v>5</v>
      </c>
      <c r="G2717" t="s">
        <v>515</v>
      </c>
    </row>
    <row r="2718" spans="1:7" x14ac:dyDescent="0.25">
      <c r="A2718" s="1" t="str">
        <f>"421"</f>
        <v>421</v>
      </c>
      <c r="B2718" s="2" t="str">
        <f>"BLUSA DE MOLETON COR CINZA TAM. EGG"</f>
        <v>BLUSA DE MOLETON COR CINZA TAM. EGG</v>
      </c>
      <c r="C2718" s="2" t="str">
        <f t="shared" si="108"/>
        <v>UN</v>
      </c>
      <c r="D2718" s="7">
        <v>500</v>
      </c>
      <c r="E2718" s="3">
        <v>5</v>
      </c>
      <c r="F2718" s="3">
        <v>5</v>
      </c>
      <c r="G2718" t="s">
        <v>512</v>
      </c>
    </row>
    <row r="2719" spans="1:7" x14ac:dyDescent="0.25">
      <c r="A2719" s="1" t="str">
        <f>"414"</f>
        <v>414</v>
      </c>
      <c r="B2719" s="2" t="str">
        <f>"BLUSA DE MOLETON COR CINZA TAM. G"</f>
        <v>BLUSA DE MOLETON COR CINZA TAM. G</v>
      </c>
      <c r="C2719" s="2" t="str">
        <f t="shared" si="108"/>
        <v>UN</v>
      </c>
      <c r="D2719" s="7">
        <v>500</v>
      </c>
      <c r="E2719" s="3">
        <v>5</v>
      </c>
      <c r="F2719" s="3">
        <v>5</v>
      </c>
      <c r="G2719" t="s">
        <v>516</v>
      </c>
    </row>
    <row r="2720" spans="1:7" x14ac:dyDescent="0.25">
      <c r="A2720" s="1" t="str">
        <f>"415"</f>
        <v>415</v>
      </c>
      <c r="B2720" s="2" t="str">
        <f>"BLUSA DE MOLETON COR CINZA TAM. GG"</f>
        <v>BLUSA DE MOLETON COR CINZA TAM. GG</v>
      </c>
      <c r="C2720" s="2" t="str">
        <f t="shared" si="108"/>
        <v>UN</v>
      </c>
      <c r="D2720" s="7">
        <v>500</v>
      </c>
      <c r="E2720" s="3">
        <v>5</v>
      </c>
      <c r="F2720" s="3">
        <v>5</v>
      </c>
      <c r="G2720" t="s">
        <v>515</v>
      </c>
    </row>
    <row r="2721" spans="1:7" x14ac:dyDescent="0.25">
      <c r="A2721" s="1" t="str">
        <f>"413"</f>
        <v>413</v>
      </c>
      <c r="B2721" s="2" t="str">
        <f>"BLUSA DE MOLETON COR CINZA TAM. M"</f>
        <v>BLUSA DE MOLETON COR CINZA TAM. M</v>
      </c>
      <c r="C2721" s="2" t="str">
        <f t="shared" si="108"/>
        <v>UN</v>
      </c>
      <c r="D2721" s="7">
        <v>500</v>
      </c>
      <c r="E2721" s="3">
        <v>5</v>
      </c>
      <c r="F2721" s="3">
        <v>5</v>
      </c>
      <c r="G2721" t="s">
        <v>514</v>
      </c>
    </row>
    <row r="2722" spans="1:7" x14ac:dyDescent="0.25">
      <c r="A2722" s="1" t="str">
        <f>"417"</f>
        <v>417</v>
      </c>
      <c r="B2722" s="2" t="str">
        <f>"BLUSA DE MOLETON COR CINZA TAM. P"</f>
        <v>BLUSA DE MOLETON COR CINZA TAM. P</v>
      </c>
      <c r="C2722" s="2" t="str">
        <f t="shared" si="108"/>
        <v>UN</v>
      </c>
      <c r="D2722" s="7">
        <v>500</v>
      </c>
      <c r="E2722" s="3">
        <v>5</v>
      </c>
      <c r="F2722" s="3">
        <v>5</v>
      </c>
      <c r="G2722" t="s">
        <v>512</v>
      </c>
    </row>
    <row r="2723" spans="1:7" x14ac:dyDescent="0.25">
      <c r="A2723" s="1" t="str">
        <f>"514749"</f>
        <v>514749</v>
      </c>
      <c r="B2723" s="2" t="str">
        <f>"BLUSA FEMININA (LIMPEZA ESCRITORIO)"</f>
        <v>BLUSA FEMININA (LIMPEZA ESCRITORIO)</v>
      </c>
      <c r="C2723" s="2" t="str">
        <f t="shared" si="108"/>
        <v>UN</v>
      </c>
      <c r="D2723" s="7">
        <v>500</v>
      </c>
      <c r="E2723" s="3">
        <v>5</v>
      </c>
      <c r="F2723" s="3">
        <v>5</v>
      </c>
      <c r="G2723" t="s">
        <v>513</v>
      </c>
    </row>
    <row r="2724" spans="1:7" x14ac:dyDescent="0.25">
      <c r="A2724" s="1" t="str">
        <f>"513634"</f>
        <v>513634</v>
      </c>
      <c r="B2724" s="2" t="str">
        <f>"BLUSA OLYMPIKUS WIN OIMWR56000"</f>
        <v>BLUSA OLYMPIKUS WIN OIMWR56000</v>
      </c>
      <c r="C2724" s="2" t="str">
        <f t="shared" si="108"/>
        <v>UN</v>
      </c>
      <c r="D2724" s="7">
        <v>99999</v>
      </c>
      <c r="E2724" s="3">
        <v>99</v>
      </c>
      <c r="F2724" s="3">
        <v>99</v>
      </c>
      <c r="G2724" t="s">
        <v>514</v>
      </c>
    </row>
    <row r="2725" spans="1:7" x14ac:dyDescent="0.25">
      <c r="A2725" s="1" t="str">
        <f>"289"</f>
        <v>289</v>
      </c>
      <c r="B2725" s="2" t="str">
        <f>"BLUSA P/ CAMARA FRIA AZUL NYLON BS G CA-28160"</f>
        <v>BLUSA P/ CAMARA FRIA AZUL NYLON BS G CA-28160</v>
      </c>
      <c r="C2725" s="2" t="str">
        <f t="shared" si="108"/>
        <v>UN</v>
      </c>
      <c r="D2725" s="7">
        <v>500</v>
      </c>
      <c r="E2725" s="3">
        <v>5</v>
      </c>
      <c r="F2725" s="3">
        <v>5</v>
      </c>
      <c r="G2725" t="s">
        <v>514</v>
      </c>
    </row>
    <row r="2726" spans="1:7" x14ac:dyDescent="0.25">
      <c r="A2726" s="1" t="str">
        <f>"2006"</f>
        <v>2006</v>
      </c>
      <c r="B2726" s="2" t="str">
        <f>"BLUSA P/ CAMARA FRIA AZUL NYLON BS GG CA-28160"</f>
        <v>BLUSA P/ CAMARA FRIA AZUL NYLON BS GG CA-28160</v>
      </c>
      <c r="C2726" s="2" t="str">
        <f t="shared" si="108"/>
        <v>UN</v>
      </c>
      <c r="D2726" s="7">
        <v>500</v>
      </c>
      <c r="E2726" s="3">
        <v>5</v>
      </c>
      <c r="F2726" s="3">
        <v>5</v>
      </c>
      <c r="G2726" t="s">
        <v>512</v>
      </c>
    </row>
    <row r="2727" spans="1:7" x14ac:dyDescent="0.25">
      <c r="A2727" s="1" t="str">
        <f>"2071"</f>
        <v>2071</v>
      </c>
      <c r="B2727" s="2" t="str">
        <f>"BLUSA P/ CAMARA FRIA AZUL NYLON BS GGG CA-28160"</f>
        <v>BLUSA P/ CAMARA FRIA AZUL NYLON BS GGG CA-28160</v>
      </c>
      <c r="C2727" s="2" t="str">
        <f>"PC"</f>
        <v>PC</v>
      </c>
      <c r="D2727" s="7">
        <v>500</v>
      </c>
      <c r="E2727" s="3">
        <v>5</v>
      </c>
      <c r="F2727" s="3">
        <v>5</v>
      </c>
      <c r="G2727" t="s">
        <v>513</v>
      </c>
    </row>
    <row r="2728" spans="1:7" x14ac:dyDescent="0.25">
      <c r="A2728" s="1" t="str">
        <f>"2069"</f>
        <v>2069</v>
      </c>
      <c r="B2728" s="2" t="str">
        <f>"BLUSA P/ CAMARA FRIA AZUL NYLON BS M CA-28160"</f>
        <v>BLUSA P/ CAMARA FRIA AZUL NYLON BS M CA-28160</v>
      </c>
      <c r="C2728" s="2" t="str">
        <f>"PC"</f>
        <v>PC</v>
      </c>
      <c r="D2728" s="7">
        <v>500</v>
      </c>
      <c r="E2728" s="3">
        <v>5</v>
      </c>
      <c r="F2728" s="3">
        <v>5</v>
      </c>
      <c r="G2728" t="s">
        <v>514</v>
      </c>
    </row>
    <row r="2729" spans="1:7" x14ac:dyDescent="0.25">
      <c r="A2729" s="1" t="str">
        <f>"290"</f>
        <v>290</v>
      </c>
      <c r="B2729" s="2" t="str">
        <f>"BLUSA P/ CAMARA FRIA AZUL NYLON BS P CA-28160"</f>
        <v>BLUSA P/ CAMARA FRIA AZUL NYLON BS P CA-28160</v>
      </c>
      <c r="C2729" s="2" t="str">
        <f t="shared" ref="C2729:C2752" si="109">"UN"</f>
        <v>UN</v>
      </c>
      <c r="D2729" s="7">
        <v>500</v>
      </c>
      <c r="E2729" s="3">
        <v>5</v>
      </c>
      <c r="F2729" s="3">
        <v>5</v>
      </c>
      <c r="G2729" t="s">
        <v>514</v>
      </c>
    </row>
    <row r="2730" spans="1:7" x14ac:dyDescent="0.25">
      <c r="A2730" s="1" t="str">
        <f>"291"</f>
        <v>291</v>
      </c>
      <c r="B2730" s="2" t="str">
        <f>"BLUSA P/ CAMARA FRIA AZUL NYLON PP"</f>
        <v>BLUSA P/ CAMARA FRIA AZUL NYLON PP</v>
      </c>
      <c r="C2730" s="2" t="str">
        <f t="shared" si="109"/>
        <v>UN</v>
      </c>
      <c r="D2730" s="7">
        <v>500</v>
      </c>
      <c r="E2730" s="3">
        <v>5</v>
      </c>
      <c r="F2730" s="3">
        <v>5</v>
      </c>
      <c r="G2730" t="s">
        <v>514</v>
      </c>
    </row>
    <row r="2731" spans="1:7" x14ac:dyDescent="0.25">
      <c r="A2731" s="1" t="str">
        <f>"1803"</f>
        <v>1803</v>
      </c>
      <c r="B2731" s="2" t="str">
        <f>"BLUSA P/ CAMARA FRIA BRCA NYLON BS G CA-28160"</f>
        <v>BLUSA P/ CAMARA FRIA BRCA NYLON BS G CA-28160</v>
      </c>
      <c r="C2731" s="2" t="str">
        <f t="shared" si="109"/>
        <v>UN</v>
      </c>
      <c r="D2731" s="7">
        <v>500</v>
      </c>
      <c r="E2731" s="3">
        <v>5</v>
      </c>
      <c r="F2731" s="3">
        <v>5</v>
      </c>
      <c r="G2731" t="s">
        <v>513</v>
      </c>
    </row>
    <row r="2732" spans="1:7" x14ac:dyDescent="0.25">
      <c r="A2732" s="1" t="str">
        <f>"1804"</f>
        <v>1804</v>
      </c>
      <c r="B2732" s="2" t="str">
        <f>"BLUSA P/ CAMARA FRIA BRCA NYLON BS GG CA-28160"</f>
        <v>BLUSA P/ CAMARA FRIA BRCA NYLON BS GG CA-28160</v>
      </c>
      <c r="C2732" s="2" t="str">
        <f t="shared" si="109"/>
        <v>UN</v>
      </c>
      <c r="D2732" s="7">
        <v>500</v>
      </c>
      <c r="E2732" s="3">
        <v>5</v>
      </c>
      <c r="F2732" s="3">
        <v>5</v>
      </c>
      <c r="G2732" t="s">
        <v>512</v>
      </c>
    </row>
    <row r="2733" spans="1:7" x14ac:dyDescent="0.25">
      <c r="A2733" s="1" t="str">
        <f>"2070"</f>
        <v>2070</v>
      </c>
      <c r="B2733" s="2" t="str">
        <f>"BLUSA P/ CAMARA FRIA BRCA NYLON M"</f>
        <v>BLUSA P/ CAMARA FRIA BRCA NYLON M</v>
      </c>
      <c r="C2733" s="2" t="str">
        <f t="shared" si="109"/>
        <v>UN</v>
      </c>
      <c r="D2733" s="7">
        <v>500</v>
      </c>
      <c r="E2733" s="3">
        <v>5</v>
      </c>
      <c r="F2733" s="3">
        <v>5</v>
      </c>
      <c r="G2733" t="s">
        <v>513</v>
      </c>
    </row>
    <row r="2734" spans="1:7" x14ac:dyDescent="0.25">
      <c r="A2734" s="1" t="str">
        <f>"2077"</f>
        <v>2077</v>
      </c>
      <c r="B2734" s="2" t="str">
        <f>"BLUSA P/ CAMARA FRIA BRCA NYLON P"</f>
        <v>BLUSA P/ CAMARA FRIA BRCA NYLON P</v>
      </c>
      <c r="C2734" s="2" t="str">
        <f t="shared" si="109"/>
        <v>UN</v>
      </c>
      <c r="D2734" s="7">
        <v>500</v>
      </c>
      <c r="E2734" s="3">
        <v>5</v>
      </c>
      <c r="F2734" s="3">
        <v>5</v>
      </c>
      <c r="G2734" t="s">
        <v>514</v>
      </c>
    </row>
    <row r="2735" spans="1:7" x14ac:dyDescent="0.25">
      <c r="A2735" s="1" t="str">
        <f>"2083"</f>
        <v>2083</v>
      </c>
      <c r="B2735" s="2" t="str">
        <f>"BLUSA P/ CAMARA FRIA EM NYLON CINZA EGG"</f>
        <v>BLUSA P/ CAMARA FRIA EM NYLON CINZA EGG</v>
      </c>
      <c r="C2735" s="2" t="str">
        <f t="shared" si="109"/>
        <v>UN</v>
      </c>
      <c r="D2735" s="7">
        <v>500</v>
      </c>
      <c r="E2735" s="3">
        <v>5</v>
      </c>
      <c r="F2735" s="3">
        <v>5</v>
      </c>
      <c r="G2735" t="s">
        <v>514</v>
      </c>
    </row>
    <row r="2736" spans="1:7" x14ac:dyDescent="0.25">
      <c r="A2736" s="1" t="str">
        <f>"2081"</f>
        <v>2081</v>
      </c>
      <c r="B2736" s="2" t="str">
        <f>"BLUSA P/ CAMARA FRIA EM NYLON CINZA G"</f>
        <v>BLUSA P/ CAMARA FRIA EM NYLON CINZA G</v>
      </c>
      <c r="C2736" s="2" t="str">
        <f t="shared" si="109"/>
        <v>UN</v>
      </c>
      <c r="D2736" s="7">
        <v>500</v>
      </c>
      <c r="E2736" s="3">
        <v>5</v>
      </c>
      <c r="F2736" s="3">
        <v>5</v>
      </c>
      <c r="G2736" t="s">
        <v>514</v>
      </c>
    </row>
    <row r="2737" spans="1:7" x14ac:dyDescent="0.25">
      <c r="A2737" s="1" t="str">
        <f>"2082"</f>
        <v>2082</v>
      </c>
      <c r="B2737" s="2" t="str">
        <f>"BLUSA P/ CAMARA FRIA EM NYLON CINZA GG"</f>
        <v>BLUSA P/ CAMARA FRIA EM NYLON CINZA GG</v>
      </c>
      <c r="C2737" s="2" t="str">
        <f t="shared" si="109"/>
        <v>UN</v>
      </c>
      <c r="D2737" s="7">
        <v>500</v>
      </c>
      <c r="E2737" s="3">
        <v>5</v>
      </c>
      <c r="F2737" s="3">
        <v>5</v>
      </c>
      <c r="G2737" t="s">
        <v>513</v>
      </c>
    </row>
    <row r="2738" spans="1:7" x14ac:dyDescent="0.25">
      <c r="A2738" s="1" t="str">
        <f>"524818"</f>
        <v>524818</v>
      </c>
      <c r="B2738" s="2" t="str">
        <f>"BLUSÃO DE SEG/EM RASPA DE COURO F/TOTAL EM VLC MARFE CA18157"</f>
        <v>BLUSÃO DE SEG/EM RASPA DE COURO F/TOTAL EM VLC MARFE CA18157</v>
      </c>
      <c r="C2738" s="2" t="str">
        <f t="shared" si="109"/>
        <v>UN</v>
      </c>
      <c r="D2738" s="7">
        <v>501</v>
      </c>
      <c r="E2738" s="3">
        <v>4</v>
      </c>
      <c r="F2738" s="3">
        <v>4</v>
      </c>
      <c r="G2738" t="s">
        <v>513</v>
      </c>
    </row>
    <row r="2739" spans="1:7" x14ac:dyDescent="0.25">
      <c r="A2739" s="1" t="str">
        <f>"525612"</f>
        <v>525612</v>
      </c>
      <c r="B2739" s="2" t="str">
        <f>"BLUSÃO EM CAMURÇA COM VELCRO E BOTÃO - CA 6385"</f>
        <v>BLUSÃO EM CAMURÇA COM VELCRO E BOTÃO - CA 6385</v>
      </c>
      <c r="C2739" s="2" t="str">
        <f t="shared" si="109"/>
        <v>UN</v>
      </c>
      <c r="D2739" s="7">
        <v>501</v>
      </c>
      <c r="E2739" s="3">
        <v>5</v>
      </c>
      <c r="F2739" s="3">
        <v>5</v>
      </c>
      <c r="G2739" t="s">
        <v>513</v>
      </c>
    </row>
    <row r="2740" spans="1:7" x14ac:dyDescent="0.25">
      <c r="A2740" s="1" t="str">
        <f>"6704"</f>
        <v>6704</v>
      </c>
      <c r="B2740" s="2" t="str">
        <f>"BLUSAS PROMOTORES DE VENDAS"</f>
        <v>BLUSAS PROMOTORES DE VENDAS</v>
      </c>
      <c r="C2740" s="2" t="str">
        <f t="shared" si="109"/>
        <v>UN</v>
      </c>
      <c r="D2740" s="7">
        <v>500</v>
      </c>
      <c r="E2740" s="3">
        <v>5</v>
      </c>
      <c r="F2740" s="3">
        <v>5</v>
      </c>
      <c r="G2740" t="s">
        <v>512</v>
      </c>
    </row>
    <row r="2741" spans="1:7" x14ac:dyDescent="0.25">
      <c r="A2741" s="1" t="str">
        <f>"511511"</f>
        <v>511511</v>
      </c>
      <c r="B2741" s="2" t="str">
        <f>"BOB AL PPRINT H26 0,8X1000"</f>
        <v>BOB AL PPRINT H26 0,8X1000</v>
      </c>
      <c r="C2741" s="2" t="str">
        <f t="shared" si="109"/>
        <v>UN</v>
      </c>
      <c r="D2741" s="7">
        <v>99999</v>
      </c>
      <c r="E2741" s="3">
        <v>99</v>
      </c>
      <c r="F2741" s="3">
        <v>99</v>
      </c>
      <c r="G2741" t="s">
        <v>513</v>
      </c>
    </row>
    <row r="2742" spans="1:7" x14ac:dyDescent="0.25">
      <c r="A2742" s="1" t="str">
        <f>"523385"</f>
        <v>523385</v>
      </c>
      <c r="B2742" s="2" t="str">
        <f>"BOB. PAP. TREM. L57 D.MAXX160MMX360MT SCBR-T56 (DMP)"</f>
        <v>BOB. PAP. TREM. L57 D.MAXX160MMX360MT SCBR-T56 (DMP)</v>
      </c>
      <c r="C2742" s="2" t="str">
        <f t="shared" si="109"/>
        <v>UN</v>
      </c>
      <c r="D2742" s="7">
        <v>99999</v>
      </c>
      <c r="E2742" s="3">
        <v>99</v>
      </c>
      <c r="F2742" s="3">
        <v>99</v>
      </c>
      <c r="G2742" t="s">
        <v>514</v>
      </c>
    </row>
    <row r="2743" spans="1:7" x14ac:dyDescent="0.25">
      <c r="A2743" s="1" t="str">
        <f>"509771"</f>
        <v>509771</v>
      </c>
      <c r="B2743" s="2" t="str">
        <f>"BOB.P/ VAL.RETORNO OLEO COM.AM200V EICA"</f>
        <v>BOB.P/ VAL.RETORNO OLEO COM.AM200V EICA</v>
      </c>
      <c r="C2743" s="2" t="str">
        <f t="shared" si="109"/>
        <v>UN</v>
      </c>
      <c r="D2743" s="7">
        <v>912</v>
      </c>
      <c r="E2743" s="3">
        <v>11</v>
      </c>
      <c r="F2743" s="3">
        <v>11</v>
      </c>
      <c r="G2743" t="s">
        <v>515</v>
      </c>
    </row>
    <row r="2744" spans="1:7" x14ac:dyDescent="0.25">
      <c r="A2744" s="1" t="str">
        <f>"511840"</f>
        <v>511840</v>
      </c>
      <c r="B2744" s="2" t="str">
        <f>"BOBINA"</f>
        <v>BOBINA</v>
      </c>
      <c r="C2744" s="2" t="str">
        <f t="shared" si="109"/>
        <v>UN</v>
      </c>
      <c r="D2744" s="7">
        <v>900</v>
      </c>
      <c r="E2744" s="3">
        <v>11</v>
      </c>
      <c r="F2744" s="3">
        <v>11</v>
      </c>
      <c r="G2744" t="s">
        <v>512</v>
      </c>
    </row>
    <row r="2745" spans="1:7" x14ac:dyDescent="0.25">
      <c r="A2745" s="1" t="str">
        <f>"521931"</f>
        <v>521931</v>
      </c>
      <c r="B2745" s="2" t="str">
        <f>"BOBINA # 26 GALVALUME 0,30 X 55M LINEAR"</f>
        <v>BOBINA # 26 GALVALUME 0,30 X 55M LINEAR</v>
      </c>
      <c r="C2745" s="2" t="str">
        <f t="shared" si="109"/>
        <v>UN</v>
      </c>
      <c r="D2745" s="7">
        <v>917</v>
      </c>
      <c r="E2745" s="3">
        <v>10</v>
      </c>
      <c r="F2745" s="3">
        <v>10</v>
      </c>
      <c r="G2745" t="s">
        <v>516</v>
      </c>
    </row>
    <row r="2746" spans="1:7" x14ac:dyDescent="0.25">
      <c r="A2746" s="1" t="str">
        <f>"521930"</f>
        <v>521930</v>
      </c>
      <c r="B2746" s="2" t="str">
        <f>"BOBINA # 26 GALVALUME 0,40 X 260M LINEAR"</f>
        <v>BOBINA # 26 GALVALUME 0,40 X 260M LINEAR</v>
      </c>
      <c r="C2746" s="2" t="str">
        <f t="shared" si="109"/>
        <v>UN</v>
      </c>
      <c r="D2746" s="7">
        <v>917</v>
      </c>
      <c r="E2746" s="3">
        <v>10</v>
      </c>
      <c r="F2746" s="3">
        <v>10</v>
      </c>
      <c r="G2746" t="s">
        <v>515</v>
      </c>
    </row>
    <row r="2747" spans="1:7" x14ac:dyDescent="0.25">
      <c r="A2747" s="1" t="str">
        <f>"518298"</f>
        <v>518298</v>
      </c>
      <c r="B2747" s="2" t="str">
        <f>"BOBINA 1,00 X 1000 2B"</f>
        <v>BOBINA 1,00 X 1000 2B</v>
      </c>
      <c r="C2747" s="2" t="str">
        <f t="shared" si="109"/>
        <v>UN</v>
      </c>
      <c r="D2747" s="7">
        <v>1700</v>
      </c>
      <c r="E2747" s="3">
        <v>10</v>
      </c>
      <c r="F2747" s="3">
        <v>10</v>
      </c>
      <c r="G2747" t="s">
        <v>514</v>
      </c>
    </row>
    <row r="2748" spans="1:7" x14ac:dyDescent="0.25">
      <c r="A2748" s="1" t="str">
        <f>"526720"</f>
        <v>526720</v>
      </c>
      <c r="B2748" s="2" t="str">
        <f>"BOBINA 220 VCA 800.026.WE"</f>
        <v>BOBINA 220 VCA 800.026.WE</v>
      </c>
      <c r="C2748" s="2" t="str">
        <f t="shared" si="109"/>
        <v>UN</v>
      </c>
      <c r="D2748" s="7">
        <v>914</v>
      </c>
      <c r="E2748" s="3">
        <v>11</v>
      </c>
      <c r="F2748" s="3">
        <v>11</v>
      </c>
      <c r="G2748" t="s">
        <v>512</v>
      </c>
    </row>
    <row r="2749" spans="1:7" x14ac:dyDescent="0.25">
      <c r="A2749" s="1" t="str">
        <f>"507299"</f>
        <v>507299</v>
      </c>
      <c r="B2749" s="2" t="str">
        <f>"BOBINA 42V 60HZ CC"</f>
        <v>BOBINA 42V 60HZ CC</v>
      </c>
      <c r="C2749" s="2" t="str">
        <f t="shared" si="109"/>
        <v>UN</v>
      </c>
      <c r="D2749" s="7">
        <v>900</v>
      </c>
      <c r="E2749" s="3">
        <v>11</v>
      </c>
      <c r="F2749" s="3">
        <v>11</v>
      </c>
      <c r="G2749" t="s">
        <v>513</v>
      </c>
    </row>
    <row r="2750" spans="1:7" x14ac:dyDescent="0.25">
      <c r="A2750" s="1" t="str">
        <f>"515618"</f>
        <v>515618</v>
      </c>
      <c r="B2750" s="2" t="str">
        <f>"BOBINA ALUMINIO"</f>
        <v>BOBINA ALUMINIO</v>
      </c>
      <c r="C2750" s="2" t="str">
        <f t="shared" si="109"/>
        <v>UN</v>
      </c>
      <c r="D2750" s="7">
        <v>704</v>
      </c>
      <c r="E2750" s="3">
        <v>9</v>
      </c>
      <c r="F2750" s="3">
        <v>9</v>
      </c>
      <c r="G2750" t="s">
        <v>514</v>
      </c>
    </row>
    <row r="2751" spans="1:7" x14ac:dyDescent="0.25">
      <c r="A2751" s="1" t="str">
        <f>"501079"</f>
        <v>501079</v>
      </c>
      <c r="B2751" s="2" t="str">
        <f>"BOBINA ASCO P/ VALV COD 216758-002B 220V"</f>
        <v>BOBINA ASCO P/ VALV COD 216758-002B 220V</v>
      </c>
      <c r="C2751" s="2" t="str">
        <f t="shared" si="109"/>
        <v>UN</v>
      </c>
      <c r="D2751" s="7">
        <v>600</v>
      </c>
      <c r="E2751" s="3">
        <v>8</v>
      </c>
      <c r="F2751" s="3">
        <v>8</v>
      </c>
      <c r="G2751" t="s">
        <v>514</v>
      </c>
    </row>
    <row r="2752" spans="1:7" x14ac:dyDescent="0.25">
      <c r="A2752" s="1" t="str">
        <f>"504904"</f>
        <v>504904</v>
      </c>
      <c r="B2752" s="2" t="str">
        <f>"BOBINA ASCO P/ VALV. REF.400325-128"</f>
        <v>BOBINA ASCO P/ VALV. REF.400325-128</v>
      </c>
      <c r="C2752" s="2" t="str">
        <f t="shared" si="109"/>
        <v>UN</v>
      </c>
      <c r="D2752" s="7">
        <v>912</v>
      </c>
      <c r="E2752" s="3">
        <v>11</v>
      </c>
      <c r="F2752" s="3">
        <v>11</v>
      </c>
      <c r="G2752" t="s">
        <v>512</v>
      </c>
    </row>
    <row r="2753" spans="1:7" x14ac:dyDescent="0.25">
      <c r="A2753" s="1" t="str">
        <f>"500967"</f>
        <v>500967</v>
      </c>
      <c r="B2753" s="2" t="str">
        <f>"BOBINA ASCO P/ VALV. REF.400426.228"</f>
        <v>BOBINA ASCO P/ VALV. REF.400426.228</v>
      </c>
      <c r="C2753" s="2" t="str">
        <f>"BR"</f>
        <v>BR</v>
      </c>
      <c r="D2753" s="7">
        <v>808</v>
      </c>
      <c r="E2753" s="3">
        <v>10</v>
      </c>
      <c r="F2753" s="3">
        <v>10</v>
      </c>
      <c r="G2753" t="s">
        <v>513</v>
      </c>
    </row>
    <row r="2754" spans="1:7" x14ac:dyDescent="0.25">
      <c r="A2754" s="1" t="str">
        <f>"505452"</f>
        <v>505452</v>
      </c>
      <c r="B2754" s="2" t="str">
        <f>"BOBINA ASCO P/ VALV. REF.400426-128"</f>
        <v>BOBINA ASCO P/ VALV. REF.400426-128</v>
      </c>
      <c r="C2754" s="2" t="str">
        <f>"UN"</f>
        <v>UN</v>
      </c>
      <c r="D2754" s="7">
        <v>900</v>
      </c>
      <c r="E2754" s="3">
        <v>11</v>
      </c>
      <c r="F2754" s="3">
        <v>11</v>
      </c>
      <c r="G2754" t="s">
        <v>514</v>
      </c>
    </row>
    <row r="2755" spans="1:7" x14ac:dyDescent="0.25">
      <c r="A2755" s="1" t="str">
        <f>"518078"</f>
        <v>518078</v>
      </c>
      <c r="B2755" s="2" t="str">
        <f>"BOBINA CALHA 1MM"</f>
        <v>BOBINA CALHA 1MM</v>
      </c>
      <c r="C2755" s="2" t="str">
        <f>"UN"</f>
        <v>UN</v>
      </c>
      <c r="D2755" s="7">
        <v>1700</v>
      </c>
      <c r="E2755" s="3">
        <v>10</v>
      </c>
      <c r="F2755" s="3">
        <v>10</v>
      </c>
      <c r="G2755" t="s">
        <v>514</v>
      </c>
    </row>
    <row r="2756" spans="1:7" x14ac:dyDescent="0.25">
      <c r="A2756" s="1" t="str">
        <f>"526839"</f>
        <v>526839</v>
      </c>
      <c r="B2756" s="2" t="str">
        <f>"BOBINA CALHA GALVANIZADA 30MTX600MM"</f>
        <v>BOBINA CALHA GALVANIZADA 30MTX600MM</v>
      </c>
      <c r="C2756" s="2" t="str">
        <f>"PC"</f>
        <v>PC</v>
      </c>
      <c r="D2756" s="7">
        <v>806</v>
      </c>
      <c r="E2756" s="3">
        <v>10</v>
      </c>
      <c r="F2756" s="3">
        <v>10</v>
      </c>
      <c r="G2756" t="s">
        <v>514</v>
      </c>
    </row>
    <row r="2757" spans="1:7" x14ac:dyDescent="0.25">
      <c r="A2757" s="1" t="str">
        <f>"510930"</f>
        <v>510930</v>
      </c>
      <c r="B2757" s="2" t="str">
        <f>"BOBINA CALHA GALVANIZADA 60MTX600MM"</f>
        <v>BOBINA CALHA GALVANIZADA 60MTX600MM</v>
      </c>
      <c r="C2757" s="2" t="str">
        <f>"BR"</f>
        <v>BR</v>
      </c>
      <c r="D2757" s="7">
        <v>808</v>
      </c>
      <c r="E2757" s="3">
        <v>10</v>
      </c>
      <c r="F2757" s="3">
        <v>10</v>
      </c>
      <c r="G2757" t="s">
        <v>513</v>
      </c>
    </row>
    <row r="2758" spans="1:7" x14ac:dyDescent="0.25">
      <c r="A2758" s="1" t="str">
        <f>"510188"</f>
        <v>510188</v>
      </c>
      <c r="B2758" s="2" t="str">
        <f>"BOBINA CAMPO JF DK 1736"</f>
        <v>BOBINA CAMPO JF DK 1736</v>
      </c>
      <c r="C2758" s="2" t="str">
        <f t="shared" ref="C2758:C2771" si="110">"UN"</f>
        <v>UN</v>
      </c>
      <c r="D2758" s="7">
        <v>900</v>
      </c>
      <c r="E2758" s="3">
        <v>11</v>
      </c>
      <c r="F2758" s="3">
        <v>11</v>
      </c>
      <c r="G2758" t="s">
        <v>512</v>
      </c>
    </row>
    <row r="2759" spans="1:7" x14ac:dyDescent="0.25">
      <c r="A2759" s="1" t="str">
        <f>"503564"</f>
        <v>503564</v>
      </c>
      <c r="B2759" s="2" t="str">
        <f>"BOBINA CM063000-24V(P5-4WE10-3X}15027001"</f>
        <v>BOBINA CM063000-24V(P5-4WE10-3X}15027001</v>
      </c>
      <c r="C2759" s="2" t="str">
        <f t="shared" si="110"/>
        <v>UN</v>
      </c>
      <c r="D2759" s="7">
        <v>900</v>
      </c>
      <c r="E2759" s="3">
        <v>11</v>
      </c>
      <c r="F2759" s="3">
        <v>11</v>
      </c>
      <c r="G2759" t="s">
        <v>513</v>
      </c>
    </row>
    <row r="2760" spans="1:7" x14ac:dyDescent="0.25">
      <c r="A2760" s="1" t="str">
        <f>"523532"</f>
        <v>523532</v>
      </c>
      <c r="B2760" s="2" t="str">
        <f>"BOBINA CROSS HATCH 300MX30CM DENS 40G/M2 BR LEVE 800UN"</f>
        <v>BOBINA CROSS HATCH 300MX30CM DENS 40G/M2 BR LEVE 800UN</v>
      </c>
      <c r="C2760" s="2" t="str">
        <f t="shared" si="110"/>
        <v>UN</v>
      </c>
      <c r="D2760" s="7">
        <v>400</v>
      </c>
      <c r="E2760" s="3">
        <v>4</v>
      </c>
      <c r="F2760" s="3">
        <v>4</v>
      </c>
      <c r="G2760" t="s">
        <v>514</v>
      </c>
    </row>
    <row r="2761" spans="1:7" x14ac:dyDescent="0.25">
      <c r="A2761" s="1" t="str">
        <f>"523533"</f>
        <v>523533</v>
      </c>
      <c r="B2761" s="2" t="str">
        <f>"BOBINA CROSS HATCH 300MX30CM DENS 70G/M2 VD PESADA 800UN"</f>
        <v>BOBINA CROSS HATCH 300MX30CM DENS 70G/M2 VD PESADA 800UN</v>
      </c>
      <c r="C2761" s="2" t="str">
        <f t="shared" si="110"/>
        <v>UN</v>
      </c>
      <c r="D2761" s="7">
        <v>400</v>
      </c>
      <c r="E2761" s="3">
        <v>4</v>
      </c>
      <c r="F2761" s="3">
        <v>4</v>
      </c>
      <c r="G2761" t="s">
        <v>514</v>
      </c>
    </row>
    <row r="2762" spans="1:7" x14ac:dyDescent="0.25">
      <c r="A2762" s="1" t="str">
        <f>"514797"</f>
        <v>514797</v>
      </c>
      <c r="B2762" s="2" t="str">
        <f>"BOBINA DANFOSS 018F7363 220V 10W 50/60HZ"</f>
        <v>BOBINA DANFOSS 018F7363 220V 10W 50/60HZ</v>
      </c>
      <c r="C2762" s="2" t="str">
        <f t="shared" si="110"/>
        <v>UN</v>
      </c>
      <c r="D2762" s="7">
        <v>811</v>
      </c>
      <c r="E2762" s="3">
        <v>8</v>
      </c>
      <c r="F2762" s="3">
        <v>8</v>
      </c>
      <c r="G2762" t="s">
        <v>514</v>
      </c>
    </row>
    <row r="2763" spans="1:7" x14ac:dyDescent="0.25">
      <c r="A2763" s="1" t="str">
        <f>"2162"</f>
        <v>2162</v>
      </c>
      <c r="B2763" s="2" t="str">
        <f>"BOBINA DE PAPEL SEMI-KRAFT40CM/80/40X200"</f>
        <v>BOBINA DE PAPEL SEMI-KRAFT40CM/80/40X200</v>
      </c>
      <c r="C2763" s="2" t="str">
        <f t="shared" si="110"/>
        <v>UN</v>
      </c>
      <c r="D2763" s="7">
        <v>401</v>
      </c>
      <c r="E2763" s="3">
        <v>4</v>
      </c>
      <c r="F2763" s="3">
        <v>4</v>
      </c>
      <c r="G2763" t="s">
        <v>513</v>
      </c>
    </row>
    <row r="2764" spans="1:7" x14ac:dyDescent="0.25">
      <c r="A2764" s="1" t="str">
        <f>"513334"</f>
        <v>513334</v>
      </c>
      <c r="B2764" s="2" t="str">
        <f>"BOBINA DE PAPEL TERMICO 57MM X 30MT"</f>
        <v>BOBINA DE PAPEL TERMICO 57MM X 30MT</v>
      </c>
      <c r="C2764" s="2" t="str">
        <f t="shared" si="110"/>
        <v>UN</v>
      </c>
      <c r="D2764" s="7">
        <v>406</v>
      </c>
      <c r="E2764" s="3">
        <v>4</v>
      </c>
      <c r="F2764" s="3">
        <v>4</v>
      </c>
      <c r="G2764" t="s">
        <v>513</v>
      </c>
    </row>
    <row r="2765" spans="1:7" x14ac:dyDescent="0.25">
      <c r="A2765" s="1" t="str">
        <f>"527429"</f>
        <v>527429</v>
      </c>
      <c r="B2765" s="2" t="str">
        <f>"BOBINA DE PAPEL TERMICO 80MM X 30MT CX C/ 30 UND"</f>
        <v>BOBINA DE PAPEL TERMICO 80MM X 30MT CX C/ 30 UND</v>
      </c>
      <c r="C2765" s="2" t="str">
        <f t="shared" si="110"/>
        <v>UN</v>
      </c>
      <c r="D2765" s="7">
        <v>406</v>
      </c>
      <c r="E2765" s="3">
        <v>4</v>
      </c>
      <c r="F2765" s="3">
        <v>4</v>
      </c>
      <c r="G2765" t="s">
        <v>513</v>
      </c>
    </row>
    <row r="2766" spans="1:7" x14ac:dyDescent="0.25">
      <c r="A2766" s="1" t="str">
        <f>"515659"</f>
        <v>515659</v>
      </c>
      <c r="B2766" s="2" t="str">
        <f>"BOBINA DE SUBTENSAO"</f>
        <v>BOBINA DE SUBTENSAO</v>
      </c>
      <c r="C2766" s="2" t="str">
        <f t="shared" si="110"/>
        <v>UN</v>
      </c>
      <c r="D2766" s="7">
        <v>811</v>
      </c>
      <c r="E2766" s="3">
        <v>8</v>
      </c>
      <c r="F2766" s="3">
        <v>8</v>
      </c>
      <c r="G2766" t="s">
        <v>512</v>
      </c>
    </row>
    <row r="2767" spans="1:7" x14ac:dyDescent="0.25">
      <c r="A2767" s="1" t="str">
        <f>"511622"</f>
        <v>511622</v>
      </c>
      <c r="B2767" s="2" t="str">
        <f>"BOBINA DOSADOR POR GRAVIDADE"</f>
        <v>BOBINA DOSADOR POR GRAVIDADE</v>
      </c>
      <c r="C2767" s="2" t="str">
        <f t="shared" si="110"/>
        <v>UN</v>
      </c>
      <c r="D2767" s="7">
        <v>900</v>
      </c>
      <c r="E2767" s="3">
        <v>11</v>
      </c>
      <c r="F2767" s="3">
        <v>11</v>
      </c>
      <c r="G2767" t="s">
        <v>513</v>
      </c>
    </row>
    <row r="2768" spans="1:7" x14ac:dyDescent="0.25">
      <c r="A2768" s="1" t="str">
        <f>"522349"</f>
        <v>522349</v>
      </c>
      <c r="B2768" s="2" t="str">
        <f>"BOBINA EDC 220 13W"</f>
        <v>BOBINA EDC 220 13W</v>
      </c>
      <c r="C2768" s="2" t="str">
        <f t="shared" si="110"/>
        <v>UN</v>
      </c>
      <c r="D2768" s="7">
        <v>918</v>
      </c>
      <c r="E2768" s="3">
        <v>10</v>
      </c>
      <c r="F2768" s="3">
        <v>10</v>
      </c>
      <c r="G2768" t="s">
        <v>514</v>
      </c>
    </row>
    <row r="2769" spans="1:7" x14ac:dyDescent="0.25">
      <c r="A2769" s="1" t="str">
        <f>"520294"</f>
        <v>520294</v>
      </c>
      <c r="B2769" s="2" t="str">
        <f>"BOBINA EICA 220V - 50/60HZ COD.B220"</f>
        <v>BOBINA EICA 220V - 50/60HZ COD.B220</v>
      </c>
      <c r="C2769" s="2" t="str">
        <f t="shared" si="110"/>
        <v>UN</v>
      </c>
      <c r="D2769" s="7">
        <v>900</v>
      </c>
      <c r="E2769" s="3">
        <v>11</v>
      </c>
      <c r="F2769" s="3">
        <v>11</v>
      </c>
      <c r="G2769" t="s">
        <v>515</v>
      </c>
    </row>
    <row r="2770" spans="1:7" x14ac:dyDescent="0.25">
      <c r="A2770" s="1" t="str">
        <f>"516366"</f>
        <v>516366</v>
      </c>
      <c r="B2770" s="2" t="str">
        <f>"BOBINA EICA 220V 50/60HZ CAB B-220"</f>
        <v>BOBINA EICA 220V 50/60HZ CAB B-220</v>
      </c>
      <c r="C2770" s="2" t="str">
        <f t="shared" si="110"/>
        <v>UN</v>
      </c>
      <c r="D2770" s="7">
        <v>1002</v>
      </c>
      <c r="E2770" s="3">
        <v>11</v>
      </c>
      <c r="F2770" s="3">
        <v>11</v>
      </c>
      <c r="G2770" t="s">
        <v>512</v>
      </c>
    </row>
    <row r="2771" spans="1:7" x14ac:dyDescent="0.25">
      <c r="A2771" s="1" t="str">
        <f>"521855"</f>
        <v>521855</v>
      </c>
      <c r="B2771" s="8" t="s">
        <v>237</v>
      </c>
      <c r="C2771" s="2" t="str">
        <f t="shared" si="110"/>
        <v>UN</v>
      </c>
      <c r="D2771" s="7">
        <v>913</v>
      </c>
      <c r="E2771" s="3">
        <v>11</v>
      </c>
      <c r="F2771" s="3">
        <v>11</v>
      </c>
      <c r="G2771" t="s">
        <v>516</v>
      </c>
    </row>
    <row r="2772" spans="1:7" x14ac:dyDescent="0.25">
      <c r="A2772" s="1" t="str">
        <f>"2160"</f>
        <v>2160</v>
      </c>
      <c r="B2772" s="2" t="str">
        <f>"BOBINA FAX 20 UNID. 216X30MM-30 METROS"</f>
        <v>BOBINA FAX 20 UNID. 216X30MM-30 METROS</v>
      </c>
      <c r="C2772" s="2" t="str">
        <f>"CX"</f>
        <v>CX</v>
      </c>
      <c r="D2772" s="7">
        <v>401</v>
      </c>
      <c r="E2772" s="3">
        <v>4</v>
      </c>
      <c r="F2772" s="3">
        <v>4</v>
      </c>
      <c r="G2772" t="s">
        <v>515</v>
      </c>
    </row>
    <row r="2773" spans="1:7" x14ac:dyDescent="0.25">
      <c r="A2773" s="1" t="str">
        <f>"512149"</f>
        <v>512149</v>
      </c>
      <c r="B2773" s="2" t="str">
        <f>"BOBINA FESTO  24V MSFW-24-50/61"</f>
        <v>BOBINA FESTO  24V MSFW-24-50/61</v>
      </c>
      <c r="C2773" s="2" t="str">
        <f>"PC"</f>
        <v>PC</v>
      </c>
      <c r="D2773" s="7">
        <v>900</v>
      </c>
      <c r="E2773" s="3">
        <v>11</v>
      </c>
      <c r="F2773" s="3">
        <v>11</v>
      </c>
      <c r="G2773" t="s">
        <v>514</v>
      </c>
    </row>
    <row r="2774" spans="1:7" x14ac:dyDescent="0.25">
      <c r="A2774" s="1" t="str">
        <f>"501179"</f>
        <v>501179</v>
      </c>
      <c r="B2774" s="2" t="str">
        <f>"BOBINA FESTO 127V MSFW-110/50/60 6720"</f>
        <v>BOBINA FESTO 127V MSFW-110/50/60 6720</v>
      </c>
      <c r="C2774" s="2" t="str">
        <f>"BR"</f>
        <v>BR</v>
      </c>
      <c r="D2774" s="7">
        <v>808</v>
      </c>
      <c r="E2774" s="3">
        <v>10</v>
      </c>
      <c r="F2774" s="3">
        <v>10</v>
      </c>
      <c r="G2774" t="s">
        <v>512</v>
      </c>
    </row>
    <row r="2775" spans="1:7" x14ac:dyDescent="0.25">
      <c r="A2775" s="1" t="str">
        <f>"501212"</f>
        <v>501212</v>
      </c>
      <c r="B2775" s="2" t="str">
        <f>"BOBINA FESTO 220V BRASKOP MAQ.200/1000ML"</f>
        <v>BOBINA FESTO 220V BRASKOP MAQ.200/1000ML</v>
      </c>
      <c r="C2775" s="2" t="str">
        <f>"PC"</f>
        <v>PC</v>
      </c>
      <c r="D2775" s="7">
        <v>808</v>
      </c>
      <c r="E2775" s="3">
        <v>10</v>
      </c>
      <c r="F2775" s="3">
        <v>10</v>
      </c>
      <c r="G2775" t="s">
        <v>513</v>
      </c>
    </row>
    <row r="2776" spans="1:7" x14ac:dyDescent="0.25">
      <c r="A2776" s="1" t="str">
        <f>"512148"</f>
        <v>512148</v>
      </c>
      <c r="B2776" s="2" t="str">
        <f>"BOBINA FESTO 220V MSFW-230-50/60 4540"</f>
        <v>BOBINA FESTO 220V MSFW-230-50/60 4540</v>
      </c>
      <c r="C2776" s="2" t="str">
        <f>"PC"</f>
        <v>PC</v>
      </c>
      <c r="D2776" s="7">
        <v>900</v>
      </c>
      <c r="E2776" s="3">
        <v>11</v>
      </c>
      <c r="F2776" s="3">
        <v>11</v>
      </c>
      <c r="G2776" t="s">
        <v>514</v>
      </c>
    </row>
    <row r="2777" spans="1:7" x14ac:dyDescent="0.25">
      <c r="A2777" s="1" t="str">
        <f>"505350"</f>
        <v>505350</v>
      </c>
      <c r="B2777" s="2" t="str">
        <f>"BOBINA FESTO 24VDC 4527"</f>
        <v>BOBINA FESTO 24VDC 4527</v>
      </c>
      <c r="C2777" s="2" t="str">
        <f>"UN"</f>
        <v>UN</v>
      </c>
      <c r="D2777" s="7">
        <v>900</v>
      </c>
      <c r="E2777" s="3">
        <v>11</v>
      </c>
      <c r="F2777" s="3">
        <v>11</v>
      </c>
      <c r="G2777" t="s">
        <v>514</v>
      </c>
    </row>
    <row r="2778" spans="1:7" x14ac:dyDescent="0.25">
      <c r="A2778" s="1" t="str">
        <f>"520480"</f>
        <v>520480</v>
      </c>
      <c r="B2778" s="2" t="str">
        <f>"BOBINA FESTO MSEBB-3-24V DC 712576"</f>
        <v>BOBINA FESTO MSEBB-3-24V DC 712576</v>
      </c>
      <c r="C2778" s="2" t="str">
        <f>"PC"</f>
        <v>PC</v>
      </c>
      <c r="D2778" s="7">
        <v>900</v>
      </c>
      <c r="E2778" s="3">
        <v>11</v>
      </c>
      <c r="F2778" s="3">
        <v>11</v>
      </c>
      <c r="G2778" t="s">
        <v>512</v>
      </c>
    </row>
    <row r="2779" spans="1:7" x14ac:dyDescent="0.25">
      <c r="A2779" s="1" t="str">
        <f>"513118"</f>
        <v>513118</v>
      </c>
      <c r="B2779" s="2" t="str">
        <f>"BOBINA FESTO MSFG-24DC/42AC"</f>
        <v>BOBINA FESTO MSFG-24DC/42AC</v>
      </c>
      <c r="C2779" s="2" t="str">
        <f>"PC"</f>
        <v>PC</v>
      </c>
      <c r="D2779" s="7">
        <v>900</v>
      </c>
      <c r="E2779" s="3">
        <v>11</v>
      </c>
      <c r="F2779" s="3">
        <v>11</v>
      </c>
      <c r="G2779" t="s">
        <v>513</v>
      </c>
    </row>
    <row r="2780" spans="1:7" x14ac:dyDescent="0.25">
      <c r="A2780" s="1" t="str">
        <f>"522916"</f>
        <v>522916</v>
      </c>
      <c r="B2780" s="2" t="str">
        <f>"BOBINA FORRAÇÃO CAROLINA EM POLIETILENO 50CM X 50MT"</f>
        <v>BOBINA FORRAÇÃO CAROLINA EM POLIETILENO 50CM X 50MT</v>
      </c>
      <c r="C2780" s="2" t="str">
        <f t="shared" ref="C2780:C2785" si="111">"UN"</f>
        <v>UN</v>
      </c>
      <c r="D2780" s="7">
        <v>99999</v>
      </c>
      <c r="E2780" s="3">
        <v>99</v>
      </c>
      <c r="F2780" s="3">
        <v>99</v>
      </c>
      <c r="G2780" t="s">
        <v>514</v>
      </c>
    </row>
    <row r="2781" spans="1:7" x14ac:dyDescent="0.25">
      <c r="A2781" s="1" t="str">
        <f>"517981"</f>
        <v>517981</v>
      </c>
      <c r="B2781" s="2" t="str">
        <f>"BOBINA FREIO 440-1-60 LODESTAR V2 2HP"</f>
        <v>BOBINA FREIO 440-1-60 LODESTAR V2 2HP</v>
      </c>
      <c r="C2781" s="2" t="str">
        <f t="shared" si="111"/>
        <v>UN</v>
      </c>
      <c r="D2781" s="7">
        <v>811</v>
      </c>
      <c r="E2781" s="3">
        <v>8</v>
      </c>
      <c r="F2781" s="3">
        <v>8</v>
      </c>
      <c r="G2781" t="s">
        <v>514</v>
      </c>
    </row>
    <row r="2782" spans="1:7" x14ac:dyDescent="0.25">
      <c r="A2782" s="1" t="str">
        <f>"519490"</f>
        <v>519490</v>
      </c>
      <c r="B2782" s="2" t="str">
        <f>"BOBINA FREIO COBERTURA ALUMINIO DINI 550M"</f>
        <v>BOBINA FREIO COBERTURA ALUMINIO DINI 550M</v>
      </c>
      <c r="C2782" s="2" t="str">
        <f t="shared" si="111"/>
        <v>UN</v>
      </c>
      <c r="D2782" s="7">
        <v>811</v>
      </c>
      <c r="E2782" s="3">
        <v>8</v>
      </c>
      <c r="F2782" s="3">
        <v>8</v>
      </c>
      <c r="G2782" t="s">
        <v>514</v>
      </c>
    </row>
    <row r="2783" spans="1:7" x14ac:dyDescent="0.25">
      <c r="A2783" s="1" t="str">
        <f>"504100"</f>
        <v>504100</v>
      </c>
      <c r="B2783" s="2" t="str">
        <f>"BOBINA FREIO COMPLETA BMG2 220 VOLTS"</f>
        <v>BOBINA FREIO COMPLETA BMG2 220 VOLTS</v>
      </c>
      <c r="C2783" s="2" t="str">
        <f t="shared" si="111"/>
        <v>UN</v>
      </c>
      <c r="D2783" s="7">
        <v>900</v>
      </c>
      <c r="E2783" s="3">
        <v>11</v>
      </c>
      <c r="F2783" s="3">
        <v>11</v>
      </c>
      <c r="G2783" t="s">
        <v>513</v>
      </c>
    </row>
    <row r="2784" spans="1:7" x14ac:dyDescent="0.25">
      <c r="A2784" s="1" t="str">
        <f>"517306"</f>
        <v>517306</v>
      </c>
      <c r="B2784" s="2" t="str">
        <f>"BOBINA GALV V.28 X 600"</f>
        <v>BOBINA GALV V.28 X 600</v>
      </c>
      <c r="C2784" s="2" t="str">
        <f t="shared" si="111"/>
        <v>UN</v>
      </c>
      <c r="D2784" s="7">
        <v>1700</v>
      </c>
      <c r="E2784" s="3">
        <v>10</v>
      </c>
      <c r="F2784" s="3">
        <v>10</v>
      </c>
      <c r="G2784" t="s">
        <v>512</v>
      </c>
    </row>
    <row r="2785" spans="1:7" x14ac:dyDescent="0.25">
      <c r="A2785" s="1" t="str">
        <f>"528151"</f>
        <v>528151</v>
      </c>
      <c r="B2785" s="2" t="str">
        <f>"BOBINA GALVALUME 0,43X1200"</f>
        <v>BOBINA GALVALUME 0,43X1200</v>
      </c>
      <c r="C2785" s="2" t="str">
        <f t="shared" si="111"/>
        <v>UN</v>
      </c>
      <c r="D2785" s="7">
        <v>917</v>
      </c>
      <c r="E2785" s="3">
        <v>10</v>
      </c>
      <c r="F2785" s="3">
        <v>10</v>
      </c>
      <c r="G2785" t="s">
        <v>513</v>
      </c>
    </row>
    <row r="2786" spans="1:7" x14ac:dyDescent="0.25">
      <c r="A2786" s="1" t="str">
        <f>"519255"</f>
        <v>519255</v>
      </c>
      <c r="B2786" s="2" t="str">
        <f>"BOBINA GALVANIZADA 20X1000MM"</f>
        <v>BOBINA GALVANIZADA 20X1000MM</v>
      </c>
      <c r="C2786" s="2" t="str">
        <f>"BR"</f>
        <v>BR</v>
      </c>
      <c r="D2786" s="7">
        <v>808</v>
      </c>
      <c r="E2786" s="3">
        <v>10</v>
      </c>
      <c r="F2786" s="3">
        <v>10</v>
      </c>
      <c r="G2786" t="s">
        <v>514</v>
      </c>
    </row>
    <row r="2787" spans="1:7" x14ac:dyDescent="0.25">
      <c r="A2787" s="1" t="str">
        <f>"519731"</f>
        <v>519731</v>
      </c>
      <c r="B2787" s="2" t="str">
        <f>"BOBINA GALVANIZADA 28X1000MM"</f>
        <v>BOBINA GALVANIZADA 28X1000MM</v>
      </c>
      <c r="C2787" s="2" t="str">
        <f>"BR"</f>
        <v>BR</v>
      </c>
      <c r="D2787" s="7">
        <v>808</v>
      </c>
      <c r="E2787" s="3">
        <v>10</v>
      </c>
      <c r="F2787" s="3">
        <v>10</v>
      </c>
      <c r="G2787" t="s">
        <v>514</v>
      </c>
    </row>
    <row r="2788" spans="1:7" x14ac:dyDescent="0.25">
      <c r="A2788" s="1" t="str">
        <f>"518146"</f>
        <v>518146</v>
      </c>
      <c r="B2788" s="2" t="str">
        <f>"BOBINA GALVANIZADA 30X1000MM"</f>
        <v>BOBINA GALVANIZADA 30X1000MM</v>
      </c>
      <c r="C2788" s="2" t="str">
        <f>"PÇ"</f>
        <v>PÇ</v>
      </c>
      <c r="D2788" s="7">
        <v>808</v>
      </c>
      <c r="E2788" s="3">
        <v>10</v>
      </c>
      <c r="F2788" s="3">
        <v>10</v>
      </c>
      <c r="G2788" t="s">
        <v>514</v>
      </c>
    </row>
    <row r="2789" spans="1:7" x14ac:dyDescent="0.25">
      <c r="A2789" s="1" t="str">
        <f>"520559"</f>
        <v>520559</v>
      </c>
      <c r="B2789" s="2" t="str">
        <f>"BOBINA GALVANIZADA 50X300MM"</f>
        <v>BOBINA GALVANIZADA 50X300MM</v>
      </c>
      <c r="C2789" s="2" t="str">
        <f>"BR"</f>
        <v>BR</v>
      </c>
      <c r="D2789" s="7">
        <v>808</v>
      </c>
      <c r="E2789" s="3">
        <v>10</v>
      </c>
      <c r="F2789" s="3">
        <v>10</v>
      </c>
      <c r="G2789" t="s">
        <v>513</v>
      </c>
    </row>
    <row r="2790" spans="1:7" x14ac:dyDescent="0.25">
      <c r="A2790" s="1" t="str">
        <f>"518245"</f>
        <v>518245</v>
      </c>
      <c r="B2790" s="2" t="str">
        <f>"BOBINA GALVANIZADA 64X1000MM"</f>
        <v>BOBINA GALVANIZADA 64X1000MM</v>
      </c>
      <c r="C2790" s="2" t="str">
        <f>"UN"</f>
        <v>UN</v>
      </c>
      <c r="D2790" s="7">
        <v>1700</v>
      </c>
      <c r="E2790" s="3">
        <v>10</v>
      </c>
      <c r="F2790" s="3">
        <v>10</v>
      </c>
      <c r="G2790" t="s">
        <v>513</v>
      </c>
    </row>
    <row r="2791" spans="1:7" x14ac:dyDescent="0.25">
      <c r="A2791" s="1" t="str">
        <f>"504102"</f>
        <v>504102</v>
      </c>
      <c r="B2791" s="2" t="str">
        <f>"BOBINA HIDRAULICA 220VCA RUDICK"</f>
        <v>BOBINA HIDRAULICA 220VCA RUDICK</v>
      </c>
      <c r="C2791" s="2" t="str">
        <f>"UN"</f>
        <v>UN</v>
      </c>
      <c r="D2791" s="7">
        <v>914</v>
      </c>
      <c r="E2791" s="3">
        <v>8</v>
      </c>
      <c r="F2791" s="3">
        <v>8</v>
      </c>
      <c r="G2791" t="s">
        <v>513</v>
      </c>
    </row>
    <row r="2792" spans="1:7" x14ac:dyDescent="0.25">
      <c r="A2792" s="1" t="str">
        <f>"509433"</f>
        <v>509433</v>
      </c>
      <c r="B2792" s="2" t="str">
        <f>"BOBINA IGNICAO BOSCH"</f>
        <v>BOBINA IGNICAO BOSCH</v>
      </c>
      <c r="C2792" s="2" t="str">
        <f>"UN"</f>
        <v>UN</v>
      </c>
      <c r="D2792" s="7">
        <v>900</v>
      </c>
      <c r="E2792" s="3">
        <v>11</v>
      </c>
      <c r="F2792" s="3">
        <v>11</v>
      </c>
      <c r="G2792" t="s">
        <v>512</v>
      </c>
    </row>
    <row r="2793" spans="1:7" x14ac:dyDescent="0.25">
      <c r="A2793" s="1" t="str">
        <f>"510610"</f>
        <v>510610</v>
      </c>
      <c r="B2793" s="2" t="str">
        <f>"BOBINA IMPULSIONADORA DISTRIBUIDOR"</f>
        <v>BOBINA IMPULSIONADORA DISTRIBUIDOR</v>
      </c>
      <c r="C2793" s="2" t="str">
        <f>"UN"</f>
        <v>UN</v>
      </c>
      <c r="D2793" s="7">
        <v>900</v>
      </c>
      <c r="E2793" s="3">
        <v>11</v>
      </c>
      <c r="F2793" s="3">
        <v>11</v>
      </c>
      <c r="G2793" t="s">
        <v>513</v>
      </c>
    </row>
    <row r="2794" spans="1:7" x14ac:dyDescent="0.25">
      <c r="A2794" s="1" t="str">
        <f>"510304"</f>
        <v>510304</v>
      </c>
      <c r="B2794" s="2" t="str">
        <f>"BOBINA INOX 304 0,5X1220MM"</f>
        <v>BOBINA INOX 304 0,5X1220MM</v>
      </c>
      <c r="C2794" s="2" t="str">
        <f>"BR"</f>
        <v>BR</v>
      </c>
      <c r="D2794" s="7">
        <v>807</v>
      </c>
      <c r="E2794" s="3">
        <v>10</v>
      </c>
      <c r="F2794" s="3">
        <v>10</v>
      </c>
      <c r="G2794" t="s">
        <v>514</v>
      </c>
    </row>
    <row r="2795" spans="1:7" x14ac:dyDescent="0.25">
      <c r="A2795" s="1" t="str">
        <f>"517584"</f>
        <v>517584</v>
      </c>
      <c r="B2795" s="2" t="str">
        <f>"BOBINA MULTICOIL HVC-65.2-7A 220V/60HZ"</f>
        <v>BOBINA MULTICOIL HVC-65.2-7A 220V/60HZ</v>
      </c>
      <c r="C2795" s="2" t="str">
        <f t="shared" ref="C2795:C2808" si="112">"UN"</f>
        <v>UN</v>
      </c>
      <c r="D2795" s="7">
        <v>811</v>
      </c>
      <c r="E2795" s="3">
        <v>8</v>
      </c>
      <c r="F2795" s="3">
        <v>8</v>
      </c>
      <c r="G2795" t="s">
        <v>515</v>
      </c>
    </row>
    <row r="2796" spans="1:7" x14ac:dyDescent="0.25">
      <c r="A2796" s="1" t="str">
        <f>"500766"</f>
        <v>500766</v>
      </c>
      <c r="B2796" s="2" t="str">
        <f>"BOBINA MYCON 220V - 50/60HZ COD.B220"</f>
        <v>BOBINA MYCON 220V - 50/60HZ COD.B220</v>
      </c>
      <c r="C2796" s="2" t="str">
        <f t="shared" si="112"/>
        <v>UN</v>
      </c>
      <c r="D2796" s="7">
        <v>900</v>
      </c>
      <c r="E2796" s="3">
        <v>11</v>
      </c>
      <c r="F2796" s="3">
        <v>11</v>
      </c>
      <c r="G2796" t="s">
        <v>512</v>
      </c>
    </row>
    <row r="2797" spans="1:7" x14ac:dyDescent="0.25">
      <c r="A2797" s="1" t="str">
        <f>"505023"</f>
        <v>505023</v>
      </c>
      <c r="B2797" s="2" t="str">
        <f>"BOBINA NORGREN REF.0201.024.60 24VCA"</f>
        <v>BOBINA NORGREN REF.0201.024.60 24VCA</v>
      </c>
      <c r="C2797" s="2" t="str">
        <f t="shared" si="112"/>
        <v>UN</v>
      </c>
      <c r="D2797" s="7">
        <v>900</v>
      </c>
      <c r="E2797" s="3">
        <v>11</v>
      </c>
      <c r="F2797" s="3">
        <v>11</v>
      </c>
      <c r="G2797" t="s">
        <v>516</v>
      </c>
    </row>
    <row r="2798" spans="1:7" x14ac:dyDescent="0.25">
      <c r="A2798" s="1" t="str">
        <f>"505022"</f>
        <v>505022</v>
      </c>
      <c r="B2798" s="2" t="str">
        <f>"BOBINA NORGREN REF.0201.220.60 220V"</f>
        <v>BOBINA NORGREN REF.0201.220.60 220V</v>
      </c>
      <c r="C2798" s="2" t="str">
        <f t="shared" si="112"/>
        <v>UN</v>
      </c>
      <c r="D2798" s="7">
        <v>900</v>
      </c>
      <c r="E2798" s="3">
        <v>11</v>
      </c>
      <c r="F2798" s="3">
        <v>11</v>
      </c>
      <c r="G2798" t="s">
        <v>515</v>
      </c>
    </row>
    <row r="2799" spans="1:7" x14ac:dyDescent="0.25">
      <c r="A2799" s="1" t="str">
        <f>"524392"</f>
        <v>524392</v>
      </c>
      <c r="B2799" s="2" t="str">
        <f>"BOBINA P/ VALV SOLEN 4 VIAS MOD.SS-G01-C5R-C230-31 220V"</f>
        <v>BOBINA P/ VALV SOLEN 4 VIAS MOD.SS-G01-C5R-C230-31 220V</v>
      </c>
      <c r="C2799" s="2" t="str">
        <f t="shared" si="112"/>
        <v>UN</v>
      </c>
      <c r="D2799" s="7">
        <v>811</v>
      </c>
      <c r="E2799" s="3">
        <v>11</v>
      </c>
      <c r="F2799" s="3">
        <v>11</v>
      </c>
      <c r="G2799" t="s">
        <v>514</v>
      </c>
    </row>
    <row r="2800" spans="1:7" x14ac:dyDescent="0.25">
      <c r="A2800" s="1" t="str">
        <f>"510269"</f>
        <v>510269</v>
      </c>
      <c r="B2800" s="2" t="str">
        <f>"BOBINA P/VALV SOL ASCO 99.257-6B"</f>
        <v>BOBINA P/VALV SOL ASCO 99.257-6B</v>
      </c>
      <c r="C2800" s="2" t="str">
        <f t="shared" si="112"/>
        <v>UN</v>
      </c>
      <c r="D2800" s="7">
        <v>900</v>
      </c>
      <c r="E2800" s="3">
        <v>11</v>
      </c>
      <c r="F2800" s="3">
        <v>11</v>
      </c>
      <c r="G2800" t="s">
        <v>512</v>
      </c>
    </row>
    <row r="2801" spans="1:7" x14ac:dyDescent="0.25">
      <c r="A2801" s="1" t="str">
        <f>"514843"</f>
        <v>514843</v>
      </c>
      <c r="B2801" s="2" t="str">
        <f>"BOBINA PAPEL SEMI KRAFT 60CM"</f>
        <v>BOBINA PAPEL SEMI KRAFT 60CM</v>
      </c>
      <c r="C2801" s="2" t="str">
        <f t="shared" si="112"/>
        <v>UN</v>
      </c>
      <c r="D2801" s="7">
        <v>401</v>
      </c>
      <c r="E2801" s="3">
        <v>4</v>
      </c>
      <c r="F2801" s="3">
        <v>4</v>
      </c>
      <c r="G2801" t="s">
        <v>513</v>
      </c>
    </row>
    <row r="2802" spans="1:7" x14ac:dyDescent="0.25">
      <c r="A2802" s="1" t="str">
        <f>"504558"</f>
        <v>504558</v>
      </c>
      <c r="B2802" s="2" t="str">
        <f>"BOBINA PAPEL TACOGRAFO - VDO BVDR"</f>
        <v>BOBINA PAPEL TACOGRAFO - VDO BVDR</v>
      </c>
      <c r="C2802" s="2" t="str">
        <f t="shared" si="112"/>
        <v>UN</v>
      </c>
      <c r="D2802" s="7">
        <v>704</v>
      </c>
      <c r="E2802" s="3">
        <v>9</v>
      </c>
      <c r="F2802" s="3">
        <v>9</v>
      </c>
      <c r="G2802" t="s">
        <v>514</v>
      </c>
    </row>
    <row r="2803" spans="1:7" x14ac:dyDescent="0.25">
      <c r="A2803" s="1" t="str">
        <f>"523661"</f>
        <v>523661</v>
      </c>
      <c r="B2803" s="2" t="str">
        <f>"BOBINA PAPEL TERMOBANK PERSONALIZADA 27MT"</f>
        <v>BOBINA PAPEL TERMOBANK PERSONALIZADA 27MT</v>
      </c>
      <c r="C2803" s="2" t="str">
        <f t="shared" si="112"/>
        <v>UN</v>
      </c>
      <c r="D2803" s="7">
        <v>99999</v>
      </c>
      <c r="E2803" s="3">
        <v>99</v>
      </c>
      <c r="F2803" s="3">
        <v>99</v>
      </c>
      <c r="G2803" t="s">
        <v>514</v>
      </c>
    </row>
    <row r="2804" spans="1:7" x14ac:dyDescent="0.25">
      <c r="A2804" s="1" t="str">
        <f>"523662"</f>
        <v>523662</v>
      </c>
      <c r="B2804" s="2" t="str">
        <f>"BOBINA PAPEL TERMOBANK PERSONALIZADA 300MT"</f>
        <v>BOBINA PAPEL TERMOBANK PERSONALIZADA 300MT</v>
      </c>
      <c r="C2804" s="2" t="str">
        <f t="shared" si="112"/>
        <v>UN</v>
      </c>
      <c r="D2804" s="7">
        <v>99999</v>
      </c>
      <c r="E2804" s="3">
        <v>99</v>
      </c>
      <c r="F2804" s="3">
        <v>99</v>
      </c>
      <c r="G2804" t="s">
        <v>512</v>
      </c>
    </row>
    <row r="2805" spans="1:7" x14ac:dyDescent="0.25">
      <c r="A2805" s="1" t="str">
        <f>"515147"</f>
        <v>515147</v>
      </c>
      <c r="B2805" s="2" t="str">
        <f>"BOBINA PARA FAX"</f>
        <v>BOBINA PARA FAX</v>
      </c>
      <c r="C2805" s="2" t="str">
        <f t="shared" si="112"/>
        <v>UN</v>
      </c>
      <c r="D2805" s="7">
        <v>401</v>
      </c>
      <c r="E2805" s="3">
        <v>4</v>
      </c>
      <c r="F2805" s="3">
        <v>4</v>
      </c>
      <c r="G2805" t="s">
        <v>513</v>
      </c>
    </row>
    <row r="2806" spans="1:7" x14ac:dyDescent="0.25">
      <c r="A2806" s="1" t="str">
        <f>"507253"</f>
        <v>507253</v>
      </c>
      <c r="B2806" s="2" t="str">
        <f>"BOBINA PARKER 240V COD. L0098987B"</f>
        <v>BOBINA PARKER 240V COD. L0098987B</v>
      </c>
      <c r="C2806" s="2" t="str">
        <f t="shared" si="112"/>
        <v>UN</v>
      </c>
      <c r="D2806" s="7">
        <v>900</v>
      </c>
      <c r="E2806" s="3">
        <v>11</v>
      </c>
      <c r="F2806" s="3">
        <v>11</v>
      </c>
      <c r="G2806" t="s">
        <v>514</v>
      </c>
    </row>
    <row r="2807" spans="1:7" x14ac:dyDescent="0.25">
      <c r="A2807" s="1" t="str">
        <f>"523716"</f>
        <v>523716</v>
      </c>
      <c r="B2807" s="2" t="str">
        <f>"BOBINA PLASTICA (SACO) PICOTADO 35X50 C/ 330 UNIDADES"</f>
        <v>BOBINA PLASTICA (SACO) PICOTADO 35X50 C/ 330 UNIDADES</v>
      </c>
      <c r="C2807" s="2" t="str">
        <f t="shared" si="112"/>
        <v>UN</v>
      </c>
      <c r="D2807" s="7">
        <v>402</v>
      </c>
      <c r="E2807" s="3">
        <v>4</v>
      </c>
      <c r="F2807" s="3">
        <v>4</v>
      </c>
      <c r="G2807" t="s">
        <v>514</v>
      </c>
    </row>
    <row r="2808" spans="1:7" x14ac:dyDescent="0.25">
      <c r="A2808" s="1" t="str">
        <f>"509861"</f>
        <v>509861</v>
      </c>
      <c r="B2808" s="2" t="str">
        <f>"BOBINA PLASTICA (SACO) PICOTADO 50X70 C/ 230 UNIDADES"</f>
        <v>BOBINA PLASTICA (SACO) PICOTADO 50X70 C/ 230 UNIDADES</v>
      </c>
      <c r="C2808" s="2" t="str">
        <f t="shared" si="112"/>
        <v>UN</v>
      </c>
      <c r="D2808" s="7">
        <v>402</v>
      </c>
      <c r="E2808" s="3">
        <v>4</v>
      </c>
      <c r="F2808" s="3">
        <v>4</v>
      </c>
      <c r="G2808" t="s">
        <v>514</v>
      </c>
    </row>
    <row r="2809" spans="1:7" x14ac:dyDescent="0.25">
      <c r="A2809" s="1" t="str">
        <f>"501176"</f>
        <v>501176</v>
      </c>
      <c r="B2809" s="2" t="str">
        <f>"BOBINA REXROTH 127V 572.745.527-0"</f>
        <v>BOBINA REXROTH 127V 572.745.527-0</v>
      </c>
      <c r="C2809" s="2" t="str">
        <f>"PC"</f>
        <v>PC</v>
      </c>
      <c r="D2809" s="7">
        <v>900</v>
      </c>
      <c r="E2809" s="3">
        <v>11</v>
      </c>
      <c r="F2809" s="3">
        <v>11</v>
      </c>
      <c r="G2809" t="s">
        <v>513</v>
      </c>
    </row>
    <row r="2810" spans="1:7" x14ac:dyDescent="0.25">
      <c r="A2810" s="1" t="str">
        <f>"503479"</f>
        <v>503479</v>
      </c>
      <c r="B2810" s="2" t="str">
        <f>"BOBINA REXROTH MOD.S-4W31024V HIDRAULICO"</f>
        <v>BOBINA REXROTH MOD.S-4W31024V HIDRAULICO</v>
      </c>
      <c r="C2810" s="2" t="str">
        <f>"UN"</f>
        <v>UN</v>
      </c>
      <c r="D2810" s="7">
        <v>812</v>
      </c>
      <c r="E2810" s="3">
        <v>10</v>
      </c>
      <c r="F2810" s="3">
        <v>10</v>
      </c>
      <c r="G2810" t="s">
        <v>512</v>
      </c>
    </row>
    <row r="2811" spans="1:7" x14ac:dyDescent="0.25">
      <c r="A2811" s="1" t="str">
        <f>"517497"</f>
        <v>517497</v>
      </c>
      <c r="B2811" s="2" t="str">
        <f>"BOBINA SOL 220V 10W 60HZ CABO 1MT DANFOSS"</f>
        <v>BOBINA SOL 220V 10W 60HZ CABO 1MT DANFOSS</v>
      </c>
      <c r="C2811" s="2" t="str">
        <f>"UN"</f>
        <v>UN</v>
      </c>
      <c r="D2811" s="7">
        <v>918</v>
      </c>
      <c r="E2811" s="3">
        <v>10</v>
      </c>
      <c r="F2811" s="3">
        <v>10</v>
      </c>
      <c r="G2811" t="s">
        <v>513</v>
      </c>
    </row>
    <row r="2812" spans="1:7" x14ac:dyDescent="0.25">
      <c r="A2812" s="1" t="str">
        <f>"516376"</f>
        <v>516376</v>
      </c>
      <c r="B2812" s="2" t="str">
        <f>"BOBINA SOLENOIDE MSFG-24DC/42AC"</f>
        <v>BOBINA SOLENOIDE MSFG-24DC/42AC</v>
      </c>
      <c r="C2812" s="2" t="str">
        <f>"UN"</f>
        <v>UN</v>
      </c>
      <c r="D2812" s="7">
        <v>913</v>
      </c>
      <c r="E2812" s="3">
        <v>11</v>
      </c>
      <c r="F2812" s="3">
        <v>11</v>
      </c>
      <c r="G2812" t="s">
        <v>514</v>
      </c>
    </row>
    <row r="2813" spans="1:7" x14ac:dyDescent="0.25">
      <c r="A2813" s="1" t="str">
        <f>"501556"</f>
        <v>501556</v>
      </c>
      <c r="B2813" s="2" t="str">
        <f>"BOBINA VALV SOLENOIDE VSR25MM220V EICA"</f>
        <v>BOBINA VALV SOLENOIDE VSR25MM220V EICA</v>
      </c>
      <c r="C2813" s="2" t="str">
        <f>"UN"</f>
        <v>UN</v>
      </c>
      <c r="D2813" s="7">
        <v>900</v>
      </c>
      <c r="E2813" s="3">
        <v>11</v>
      </c>
      <c r="F2813" s="3">
        <v>11</v>
      </c>
      <c r="G2813" t="s">
        <v>514</v>
      </c>
    </row>
    <row r="2814" spans="1:7" x14ac:dyDescent="0.25">
      <c r="A2814" s="1" t="str">
        <f>"516201"</f>
        <v>516201</v>
      </c>
      <c r="B2814" s="2" t="str">
        <f>"BOBINA VALV. HIDRAULICA 24V"</f>
        <v>BOBINA VALV. HIDRAULICA 24V</v>
      </c>
      <c r="C2814" s="2" t="str">
        <f>"UN"</f>
        <v>UN</v>
      </c>
      <c r="D2814" s="7">
        <v>914</v>
      </c>
      <c r="E2814" s="3">
        <v>8</v>
      </c>
      <c r="F2814" s="3">
        <v>8</v>
      </c>
      <c r="G2814" t="s">
        <v>514</v>
      </c>
    </row>
    <row r="2815" spans="1:7" x14ac:dyDescent="0.25">
      <c r="A2815" s="1" t="str">
        <f>"510950"</f>
        <v>510950</v>
      </c>
      <c r="B2815" s="2" t="str">
        <f>"BOBINA VALV. HIDRAULICA 4 WE 6 D 60/EG 24 N9K4 220VAC"</f>
        <v>BOBINA VALV. HIDRAULICA 4 WE 6 D 60/EG 24 N9K4 220VAC</v>
      </c>
      <c r="C2815" s="2" t="str">
        <f>"PC"</f>
        <v>PC</v>
      </c>
      <c r="D2815" s="7">
        <v>900</v>
      </c>
      <c r="E2815" s="3">
        <v>11</v>
      </c>
      <c r="F2815" s="3">
        <v>11</v>
      </c>
      <c r="G2815" t="s">
        <v>513</v>
      </c>
    </row>
    <row r="2816" spans="1:7" x14ac:dyDescent="0.25">
      <c r="A2816" s="1" t="str">
        <f>"520008"</f>
        <v>520008</v>
      </c>
      <c r="B2816" s="2" t="str">
        <f>"BOBINA VAVE-L1-1H3-LR A 813 24VDC FESTO"</f>
        <v>BOBINA VAVE-L1-1H3-LR A 813 24VDC FESTO</v>
      </c>
      <c r="C2816" s="2" t="str">
        <f t="shared" ref="C2816:C2829" si="113">"UN"</f>
        <v>UN</v>
      </c>
      <c r="D2816" s="7">
        <v>900</v>
      </c>
      <c r="E2816" s="3">
        <v>11</v>
      </c>
      <c r="F2816" s="3">
        <v>11</v>
      </c>
      <c r="G2816" t="s">
        <v>513</v>
      </c>
    </row>
    <row r="2817" spans="1:7" x14ac:dyDescent="0.25">
      <c r="A2817" s="1" t="str">
        <f>"527439"</f>
        <v>527439</v>
      </c>
      <c r="B2817" s="2" t="str">
        <f>"BOBINAS ANILHAS ELESYS COD. EFZ 4X15 960 100 8400 ETIQ"</f>
        <v>BOBINAS ANILHAS ELESYS COD. EFZ 4X15 960 100 8400 ETIQ</v>
      </c>
      <c r="C2817" s="2" t="str">
        <f t="shared" si="113"/>
        <v>UN</v>
      </c>
      <c r="D2817" s="7">
        <v>600</v>
      </c>
      <c r="E2817" s="3">
        <v>4</v>
      </c>
      <c r="F2817" s="3">
        <v>4</v>
      </c>
      <c r="G2817" t="s">
        <v>513</v>
      </c>
    </row>
    <row r="2818" spans="1:7" x14ac:dyDescent="0.25">
      <c r="A2818" s="1" t="str">
        <f>"514506"</f>
        <v>514506</v>
      </c>
      <c r="B2818" s="2" t="str">
        <f>"BOCAL"</f>
        <v>BOCAL</v>
      </c>
      <c r="C2818" s="2" t="str">
        <f t="shared" si="113"/>
        <v>UN</v>
      </c>
      <c r="D2818" s="7">
        <v>920</v>
      </c>
      <c r="E2818" s="3">
        <v>4</v>
      </c>
      <c r="F2818" s="3">
        <v>4</v>
      </c>
      <c r="G2818" t="s">
        <v>512</v>
      </c>
    </row>
    <row r="2819" spans="1:7" x14ac:dyDescent="0.25">
      <c r="A2819" s="1" t="str">
        <f>"511675"</f>
        <v>511675</v>
      </c>
      <c r="B2819" s="2" t="str">
        <f>"BOCAL 4"""</f>
        <v>BOCAL 4"</v>
      </c>
      <c r="C2819" s="2" t="str">
        <f t="shared" si="113"/>
        <v>UN</v>
      </c>
      <c r="D2819" s="7">
        <v>402</v>
      </c>
      <c r="E2819" s="3">
        <v>4</v>
      </c>
      <c r="F2819" s="3">
        <v>4</v>
      </c>
      <c r="G2819" t="s">
        <v>513</v>
      </c>
    </row>
    <row r="2820" spans="1:7" x14ac:dyDescent="0.25">
      <c r="A2820" s="1" t="str">
        <f>"525427"</f>
        <v>525427</v>
      </c>
      <c r="B2820" s="2" t="str">
        <f>"BOCAL 4''X 3''"</f>
        <v>BOCAL 4''X 3''</v>
      </c>
      <c r="C2820" s="2" t="str">
        <f t="shared" si="113"/>
        <v>UN</v>
      </c>
      <c r="D2820" s="7">
        <v>402</v>
      </c>
      <c r="E2820" s="3">
        <v>4</v>
      </c>
      <c r="F2820" s="3">
        <v>4</v>
      </c>
      <c r="G2820" t="s">
        <v>514</v>
      </c>
    </row>
    <row r="2821" spans="1:7" x14ac:dyDescent="0.25">
      <c r="A2821" s="1" t="str">
        <f>"511660"</f>
        <v>511660</v>
      </c>
      <c r="B2821" s="2" t="str">
        <f>"BOCAL 6"""</f>
        <v>BOCAL 6"</v>
      </c>
      <c r="C2821" s="2" t="str">
        <f t="shared" si="113"/>
        <v>UN</v>
      </c>
      <c r="D2821" s="7">
        <v>803</v>
      </c>
      <c r="E2821" s="3">
        <v>10</v>
      </c>
      <c r="F2821" s="3">
        <v>10</v>
      </c>
      <c r="G2821" t="s">
        <v>515</v>
      </c>
    </row>
    <row r="2822" spans="1:7" x14ac:dyDescent="0.25">
      <c r="A2822" s="1" t="str">
        <f>"514090"</f>
        <v>514090</v>
      </c>
      <c r="B2822" s="2" t="str">
        <f>"BOCAL CERAMICO NR6"</f>
        <v>BOCAL CERAMICO NR6</v>
      </c>
      <c r="C2822" s="2" t="str">
        <f t="shared" si="113"/>
        <v>UN</v>
      </c>
      <c r="D2822" s="7">
        <v>816</v>
      </c>
      <c r="E2822" s="3">
        <v>11</v>
      </c>
      <c r="F2822" s="3">
        <v>11</v>
      </c>
      <c r="G2822" t="s">
        <v>512</v>
      </c>
    </row>
    <row r="2823" spans="1:7" x14ac:dyDescent="0.25">
      <c r="A2823" s="1" t="str">
        <f>"510683"</f>
        <v>510683</v>
      </c>
      <c r="B2823" s="2" t="str">
        <f>"BOCAL ROSQUEADOR COD. 9616"</f>
        <v>BOCAL ROSQUEADOR COD. 9616</v>
      </c>
      <c r="C2823" s="2" t="str">
        <f t="shared" si="113"/>
        <v>UN</v>
      </c>
      <c r="D2823" s="7">
        <v>918</v>
      </c>
      <c r="E2823" s="3">
        <v>11</v>
      </c>
      <c r="F2823" s="3">
        <v>11</v>
      </c>
      <c r="G2823" t="s">
        <v>516</v>
      </c>
    </row>
    <row r="2824" spans="1:7" x14ac:dyDescent="0.25">
      <c r="A2824" s="1" t="str">
        <f>"516584"</f>
        <v>516584</v>
      </c>
      <c r="B2824" s="2" t="str">
        <f>"BOCAL TUBULAÇÃO HIDRAULICO HOMO JK003594"</f>
        <v>BOCAL TUBULAÇÃO HIDRAULICO HOMO JK003594</v>
      </c>
      <c r="C2824" s="2" t="str">
        <f t="shared" si="113"/>
        <v>UN</v>
      </c>
      <c r="D2824" s="7">
        <v>918</v>
      </c>
      <c r="E2824" s="3">
        <v>11</v>
      </c>
      <c r="F2824" s="3">
        <v>11</v>
      </c>
      <c r="G2824" t="s">
        <v>515</v>
      </c>
    </row>
    <row r="2825" spans="1:7" x14ac:dyDescent="0.25">
      <c r="A2825" s="1" t="str">
        <f>"518668"</f>
        <v>518668</v>
      </c>
      <c r="B2825" s="2" t="str">
        <f>"BOI"</f>
        <v>BOI</v>
      </c>
      <c r="C2825" s="2" t="str">
        <f t="shared" si="113"/>
        <v>UN</v>
      </c>
      <c r="D2825" s="7">
        <v>99999</v>
      </c>
      <c r="E2825" s="3">
        <v>99</v>
      </c>
      <c r="F2825" s="3">
        <v>99</v>
      </c>
      <c r="G2825" t="s">
        <v>514</v>
      </c>
    </row>
    <row r="2826" spans="1:7" x14ac:dyDescent="0.25">
      <c r="A2826" s="1" t="str">
        <f>"514641"</f>
        <v>514641</v>
      </c>
      <c r="B2826" s="2" t="str">
        <f>"BOIA ALTA VAZAO 1"" C/ CONEXAO EM LATAO"</f>
        <v>BOIA ALTA VAZAO 1" C/ CONEXAO EM LATAO</v>
      </c>
      <c r="C2826" s="2" t="str">
        <f t="shared" si="113"/>
        <v>UN</v>
      </c>
      <c r="D2826" s="7">
        <v>401</v>
      </c>
      <c r="E2826" s="3">
        <v>4</v>
      </c>
      <c r="F2826" s="3">
        <v>4</v>
      </c>
      <c r="G2826" t="s">
        <v>512</v>
      </c>
    </row>
    <row r="2827" spans="1:7" x14ac:dyDescent="0.25">
      <c r="A2827" s="1" t="str">
        <f>"521093"</f>
        <v>521093</v>
      </c>
      <c r="B2827" s="2" t="str">
        <f>"BÓIA CONTROLADORA DE NÍVEL DE LÍQUIDO EM AÇO CARBONO 1"""</f>
        <v>BÓIA CONTROLADORA DE NÍVEL DE LÍQUIDO EM AÇO CARBONO 1"</v>
      </c>
      <c r="C2827" s="2" t="str">
        <f t="shared" si="113"/>
        <v>UN</v>
      </c>
      <c r="D2827" s="7">
        <v>912</v>
      </c>
      <c r="E2827" s="3">
        <v>10</v>
      </c>
      <c r="F2827" s="3">
        <v>10</v>
      </c>
      <c r="G2827" t="s">
        <v>513</v>
      </c>
    </row>
    <row r="2828" spans="1:7" x14ac:dyDescent="0.25">
      <c r="A2828" s="1" t="str">
        <f>"510820"</f>
        <v>510820</v>
      </c>
      <c r="B2828" s="2" t="str">
        <f>"BOIA DO TANQUE COMBUSTIVEL CAT-416E"</f>
        <v>BOIA DO TANQUE COMBUSTIVEL CAT-416E</v>
      </c>
      <c r="C2828" s="2" t="str">
        <f t="shared" si="113"/>
        <v>UN</v>
      </c>
      <c r="D2828" s="7">
        <v>704</v>
      </c>
      <c r="E2828" s="3">
        <v>9</v>
      </c>
      <c r="F2828" s="3">
        <v>9</v>
      </c>
      <c r="G2828" t="s">
        <v>514</v>
      </c>
    </row>
    <row r="2829" spans="1:7" x14ac:dyDescent="0.25">
      <c r="A2829" s="1" t="str">
        <f>"502471"</f>
        <v>502471</v>
      </c>
      <c r="B2829" s="2" t="str">
        <f>"BOIA INFERIOR MERCURIO P/ CX D'AGUA"</f>
        <v>BOIA INFERIOR MERCURIO P/ CX D'AGUA</v>
      </c>
      <c r="C2829" s="2" t="str">
        <f t="shared" si="113"/>
        <v>UN</v>
      </c>
      <c r="D2829" s="7">
        <v>803</v>
      </c>
      <c r="E2829" s="3">
        <v>10</v>
      </c>
      <c r="F2829" s="3">
        <v>10</v>
      </c>
      <c r="G2829" t="s">
        <v>514</v>
      </c>
    </row>
    <row r="2830" spans="1:7" x14ac:dyDescent="0.25">
      <c r="A2830" s="1" t="str">
        <f>"516905"</f>
        <v>516905</v>
      </c>
      <c r="B2830" s="2" t="str">
        <f>"BOIA METAL VAZAO TOTAL 2"""</f>
        <v>BOIA METAL VAZAO TOTAL 2"</v>
      </c>
      <c r="C2830" s="2" t="str">
        <f>"PÇ"</f>
        <v>PÇ</v>
      </c>
      <c r="D2830" s="7">
        <v>808</v>
      </c>
      <c r="E2830" s="3">
        <v>10</v>
      </c>
      <c r="F2830" s="3">
        <v>10</v>
      </c>
      <c r="G2830" t="s">
        <v>512</v>
      </c>
    </row>
    <row r="2831" spans="1:7" x14ac:dyDescent="0.25">
      <c r="A2831" s="1" t="str">
        <f>"521473"</f>
        <v>521473</v>
      </c>
      <c r="B2831" s="2" t="str">
        <f>"BOIA P/ BEBEDOURO 1/2  ASTRA"</f>
        <v>BOIA P/ BEBEDOURO 1/2  ASTRA</v>
      </c>
      <c r="C2831" s="2" t="str">
        <f t="shared" ref="C2831:C2862" si="114">"UN"</f>
        <v>UN</v>
      </c>
      <c r="D2831" s="7">
        <v>917</v>
      </c>
      <c r="E2831" s="3">
        <v>10</v>
      </c>
      <c r="F2831" s="3">
        <v>10</v>
      </c>
      <c r="G2831" t="s">
        <v>513</v>
      </c>
    </row>
    <row r="2832" spans="1:7" x14ac:dyDescent="0.25">
      <c r="A2832" s="1" t="str">
        <f>"519208"</f>
        <v>519208</v>
      </c>
      <c r="B2832" s="2" t="str">
        <f>"BOIA P/ CAIXA D'AGUA 1 1/4"" DECA"</f>
        <v>BOIA P/ CAIXA D'AGUA 1 1/4" DECA</v>
      </c>
      <c r="C2832" s="2" t="str">
        <f t="shared" si="114"/>
        <v>UN</v>
      </c>
      <c r="D2832" s="7">
        <v>917</v>
      </c>
      <c r="E2832" s="3">
        <v>10</v>
      </c>
      <c r="F2832" s="3">
        <v>10</v>
      </c>
      <c r="G2832" t="s">
        <v>514</v>
      </c>
    </row>
    <row r="2833" spans="1:7" x14ac:dyDescent="0.25">
      <c r="A2833" s="1" t="str">
        <f>"520327"</f>
        <v>520327</v>
      </c>
      <c r="B2833" s="2" t="str">
        <f>"BOIA P/ CAIXA D'AGUA 1"" DECA"</f>
        <v>BOIA P/ CAIXA D'AGUA 1" DECA</v>
      </c>
      <c r="C2833" s="2" t="str">
        <f t="shared" si="114"/>
        <v>UN</v>
      </c>
      <c r="D2833" s="7">
        <v>917</v>
      </c>
      <c r="E2833" s="3">
        <v>10</v>
      </c>
      <c r="F2833" s="3">
        <v>10</v>
      </c>
      <c r="G2833" t="s">
        <v>514</v>
      </c>
    </row>
    <row r="2834" spans="1:7" x14ac:dyDescent="0.25">
      <c r="A2834" s="1" t="str">
        <f>"519136"</f>
        <v>519136</v>
      </c>
      <c r="B2834" s="2" t="str">
        <f>"BOIA P/ CAIXA D'AGUA 1/2 DECA"</f>
        <v>BOIA P/ CAIXA D'AGUA 1/2 DECA</v>
      </c>
      <c r="C2834" s="2" t="str">
        <f t="shared" si="114"/>
        <v>UN</v>
      </c>
      <c r="D2834" s="7">
        <v>917</v>
      </c>
      <c r="E2834" s="3">
        <v>10</v>
      </c>
      <c r="F2834" s="3">
        <v>10</v>
      </c>
      <c r="G2834" t="s">
        <v>514</v>
      </c>
    </row>
    <row r="2835" spans="1:7" x14ac:dyDescent="0.25">
      <c r="A2835" s="1" t="str">
        <f>"519927"</f>
        <v>519927</v>
      </c>
      <c r="B2835" s="2" t="str">
        <f>"BOIA P/ CAIXA D'AGUA 3/4 DECA"</f>
        <v>BOIA P/ CAIXA D'AGUA 3/4 DECA</v>
      </c>
      <c r="C2835" s="2" t="str">
        <f t="shared" si="114"/>
        <v>UN</v>
      </c>
      <c r="D2835" s="7">
        <v>917</v>
      </c>
      <c r="E2835" s="3">
        <v>10</v>
      </c>
      <c r="F2835" s="3">
        <v>10</v>
      </c>
      <c r="G2835" t="s">
        <v>513</v>
      </c>
    </row>
    <row r="2836" spans="1:7" x14ac:dyDescent="0.25">
      <c r="A2836" s="1" t="str">
        <f>"524814"</f>
        <v>524814</v>
      </c>
      <c r="B2836" s="2" t="str">
        <f>"BOIA SALVA VIDAS CIRCULAR DE 60 CM CLASSE II"</f>
        <v>BOIA SALVA VIDAS CIRCULAR DE 60 CM CLASSE II</v>
      </c>
      <c r="C2836" s="2" t="str">
        <f t="shared" si="114"/>
        <v>UN</v>
      </c>
      <c r="D2836" s="7">
        <v>99999</v>
      </c>
      <c r="E2836" s="3">
        <v>99</v>
      </c>
      <c r="F2836" s="3">
        <v>99</v>
      </c>
      <c r="G2836" t="s">
        <v>512</v>
      </c>
    </row>
    <row r="2837" spans="1:7" x14ac:dyDescent="0.25">
      <c r="A2837" s="1" t="str">
        <f>"522858"</f>
        <v>522858</v>
      </c>
      <c r="B2837" s="2" t="str">
        <f>"BOIA SALVA VIDAS TIPO MARINHEIRO"</f>
        <v>BOIA SALVA VIDAS TIPO MARINHEIRO</v>
      </c>
      <c r="C2837" s="2" t="str">
        <f t="shared" si="114"/>
        <v>UN</v>
      </c>
      <c r="D2837" s="7">
        <v>501</v>
      </c>
      <c r="E2837" s="3">
        <v>4</v>
      </c>
      <c r="F2837" s="3">
        <v>4</v>
      </c>
      <c r="G2837" t="s">
        <v>513</v>
      </c>
    </row>
    <row r="2838" spans="1:7" x14ac:dyDescent="0.25">
      <c r="A2838" s="1" t="str">
        <f>"502470"</f>
        <v>502470</v>
      </c>
      <c r="B2838" s="2" t="str">
        <f>"BOIA SUPERIOR MERCURIO P/CX D'AGUA"</f>
        <v>BOIA SUPERIOR MERCURIO P/CX D'AGUA</v>
      </c>
      <c r="C2838" s="2" t="str">
        <f t="shared" si="114"/>
        <v>UN</v>
      </c>
      <c r="D2838" s="7">
        <v>403</v>
      </c>
      <c r="E2838" s="3">
        <v>4</v>
      </c>
      <c r="F2838" s="3">
        <v>4</v>
      </c>
      <c r="G2838" t="s">
        <v>514</v>
      </c>
    </row>
    <row r="2839" spans="1:7" x14ac:dyDescent="0.25">
      <c r="A2839" s="1" t="str">
        <f>"524385"</f>
        <v>524385</v>
      </c>
      <c r="B2839" s="2" t="str">
        <f>"BOIA UNIVERSAL ASTRA"</f>
        <v>BOIA UNIVERSAL ASTRA</v>
      </c>
      <c r="C2839" s="2" t="str">
        <f t="shared" si="114"/>
        <v>UN</v>
      </c>
      <c r="D2839" s="7">
        <v>808</v>
      </c>
      <c r="E2839" s="3">
        <v>10</v>
      </c>
      <c r="F2839" s="3">
        <v>10</v>
      </c>
      <c r="G2839" t="s">
        <v>514</v>
      </c>
    </row>
    <row r="2840" spans="1:7" x14ac:dyDescent="0.25">
      <c r="A2840" s="1" t="str">
        <f>"524499"</f>
        <v>524499</v>
      </c>
      <c r="B2840" s="2" t="str">
        <f>"BOJÃO FINAL DE LINHA S/ AMIANTO 3"" AÇO CARB.ASMI B16,5 SCH40"</f>
        <v>BOJÃO FINAL DE LINHA S/ AMIANTO 3" AÇO CARB.ASMI B16,5 SCH40</v>
      </c>
      <c r="C2840" s="2" t="str">
        <f t="shared" si="114"/>
        <v>UN</v>
      </c>
      <c r="D2840" s="7">
        <v>807</v>
      </c>
      <c r="E2840" s="3">
        <v>10</v>
      </c>
      <c r="F2840" s="3">
        <v>10</v>
      </c>
      <c r="G2840" t="s">
        <v>514</v>
      </c>
    </row>
    <row r="2841" spans="1:7" x14ac:dyDescent="0.25">
      <c r="A2841" s="1" t="str">
        <f>"524498"</f>
        <v>524498</v>
      </c>
      <c r="B2841" s="2" t="str">
        <f>"BOJÃO FINAL DE LINHA S/ AMIANTO 4"" AÇO CARB.ASMI B16,5 SCH40"</f>
        <v>BOJÃO FINAL DE LINHA S/ AMIANTO 4" AÇO CARB.ASMI B16,5 SCH40</v>
      </c>
      <c r="C2841" s="2" t="str">
        <f t="shared" si="114"/>
        <v>UN</v>
      </c>
      <c r="D2841" s="7">
        <v>807</v>
      </c>
      <c r="E2841" s="3">
        <v>10</v>
      </c>
      <c r="F2841" s="3">
        <v>10</v>
      </c>
      <c r="G2841" t="s">
        <v>513</v>
      </c>
    </row>
    <row r="2842" spans="1:7" x14ac:dyDescent="0.25">
      <c r="A2842" s="1" t="str">
        <f>"515706"</f>
        <v>515706</v>
      </c>
      <c r="B2842" s="2" t="str">
        <f>"BOL. LOOK"</f>
        <v>BOL. LOOK</v>
      </c>
      <c r="C2842" s="2" t="str">
        <f t="shared" si="114"/>
        <v>UN</v>
      </c>
      <c r="D2842" s="7">
        <v>401</v>
      </c>
      <c r="E2842" s="3">
        <v>4</v>
      </c>
      <c r="F2842" s="3">
        <v>4</v>
      </c>
      <c r="G2842" t="s">
        <v>513</v>
      </c>
    </row>
    <row r="2843" spans="1:7" x14ac:dyDescent="0.25">
      <c r="A2843" s="1" t="str">
        <f>"517663"</f>
        <v>517663</v>
      </c>
      <c r="B2843" s="2" t="str">
        <f>"BOLA FUTEBOL CAMPO"</f>
        <v>BOLA FUTEBOL CAMPO</v>
      </c>
      <c r="C2843" s="2" t="str">
        <f t="shared" si="114"/>
        <v>UN</v>
      </c>
      <c r="D2843" s="7">
        <v>99999</v>
      </c>
      <c r="E2843" s="3">
        <v>99</v>
      </c>
      <c r="F2843" s="3">
        <v>99</v>
      </c>
      <c r="G2843" t="s">
        <v>513</v>
      </c>
    </row>
    <row r="2844" spans="1:7" x14ac:dyDescent="0.25">
      <c r="A2844" s="1" t="str">
        <f>"513241"</f>
        <v>513241</v>
      </c>
      <c r="B2844" s="2" t="str">
        <f>"BOLA PERSONALIZADA"</f>
        <v>BOLA PERSONALIZADA</v>
      </c>
      <c r="C2844" s="2" t="str">
        <f t="shared" si="114"/>
        <v>UN</v>
      </c>
      <c r="D2844" s="7">
        <v>401</v>
      </c>
      <c r="E2844" s="3">
        <v>4</v>
      </c>
      <c r="F2844" s="3">
        <v>4</v>
      </c>
      <c r="G2844" t="s">
        <v>512</v>
      </c>
    </row>
    <row r="2845" spans="1:7" x14ac:dyDescent="0.25">
      <c r="A2845" s="1" t="str">
        <f>"509467"</f>
        <v>509467</v>
      </c>
      <c r="B2845" s="2" t="str">
        <f>"BOLACHA"</f>
        <v>BOLACHA</v>
      </c>
      <c r="C2845" s="2" t="str">
        <f t="shared" si="114"/>
        <v>UN</v>
      </c>
      <c r="D2845" s="7">
        <v>402</v>
      </c>
      <c r="E2845" s="3">
        <v>4</v>
      </c>
      <c r="F2845" s="3">
        <v>4</v>
      </c>
      <c r="G2845" t="s">
        <v>513</v>
      </c>
    </row>
    <row r="2846" spans="1:7" x14ac:dyDescent="0.25">
      <c r="A2846" s="1" t="str">
        <f>"519535"</f>
        <v>519535</v>
      </c>
      <c r="B2846" s="2" t="str">
        <f>"BOLACHA COD E4399-30014 POS 5/1433/33"</f>
        <v>BOLACHA COD E4399-30014 POS 5/1433/33</v>
      </c>
      <c r="C2846" s="2" t="str">
        <f t="shared" si="114"/>
        <v>UN</v>
      </c>
      <c r="D2846" s="7">
        <v>918</v>
      </c>
      <c r="E2846" s="3">
        <v>11</v>
      </c>
      <c r="F2846" s="3">
        <v>11</v>
      </c>
      <c r="G2846" t="s">
        <v>514</v>
      </c>
    </row>
    <row r="2847" spans="1:7" x14ac:dyDescent="0.25">
      <c r="A2847" s="1" t="str">
        <f>"520842"</f>
        <v>520842</v>
      </c>
      <c r="B2847" s="2" t="str">
        <f>"BOLACHA E4399-30014"</f>
        <v>BOLACHA E4399-30014</v>
      </c>
      <c r="C2847" s="2" t="str">
        <f t="shared" si="114"/>
        <v>UN</v>
      </c>
      <c r="D2847" s="7">
        <v>1300</v>
      </c>
      <c r="E2847" s="3">
        <v>11</v>
      </c>
      <c r="F2847" s="3">
        <v>11</v>
      </c>
      <c r="G2847" t="s">
        <v>515</v>
      </c>
    </row>
    <row r="2848" spans="1:7" x14ac:dyDescent="0.25">
      <c r="A2848" s="1" t="str">
        <f>"505266"</f>
        <v>505266</v>
      </c>
      <c r="B2848" s="2" t="str">
        <f>"BOLACHA TEFLON SELAGEM (BANDEJA)"</f>
        <v>BOLACHA TEFLON SELAGEM (BANDEJA)</v>
      </c>
      <c r="C2848" s="2" t="str">
        <f t="shared" si="114"/>
        <v>UN</v>
      </c>
      <c r="D2848" s="7">
        <v>918</v>
      </c>
      <c r="E2848" s="3">
        <v>11</v>
      </c>
      <c r="F2848" s="3">
        <v>11</v>
      </c>
      <c r="G2848" t="s">
        <v>512</v>
      </c>
    </row>
    <row r="2849" spans="1:7" x14ac:dyDescent="0.25">
      <c r="A2849" s="1" t="str">
        <f>"526886"</f>
        <v>526886</v>
      </c>
      <c r="B2849" s="2" t="str">
        <f>"BOLEIRA DE VIDRO"</f>
        <v>BOLEIRA DE VIDRO</v>
      </c>
      <c r="C2849" s="2" t="str">
        <f t="shared" si="114"/>
        <v>UN</v>
      </c>
      <c r="D2849" s="7">
        <v>99999</v>
      </c>
      <c r="E2849" s="3">
        <v>99</v>
      </c>
      <c r="F2849" s="3">
        <v>99</v>
      </c>
      <c r="G2849" t="s">
        <v>516</v>
      </c>
    </row>
    <row r="2850" spans="1:7" x14ac:dyDescent="0.25">
      <c r="A2850" s="1" t="str">
        <f>"515741"</f>
        <v>515741</v>
      </c>
      <c r="B2850" s="2" t="str">
        <f>"BOLETIM ECONET ON-LINE"</f>
        <v>BOLETIM ECONET ON-LINE</v>
      </c>
      <c r="C2850" s="2" t="str">
        <f t="shared" si="114"/>
        <v>UN</v>
      </c>
      <c r="D2850" s="7">
        <v>401</v>
      </c>
      <c r="E2850" s="3">
        <v>4</v>
      </c>
      <c r="F2850" s="3">
        <v>4</v>
      </c>
      <c r="G2850" t="s">
        <v>515</v>
      </c>
    </row>
    <row r="2851" spans="1:7" x14ac:dyDescent="0.25">
      <c r="A2851" s="1" t="str">
        <f>"515450"</f>
        <v>515450</v>
      </c>
      <c r="B2851" s="2" t="str">
        <f>"BOLO"</f>
        <v>BOLO</v>
      </c>
      <c r="C2851" s="2" t="str">
        <f t="shared" si="114"/>
        <v>UN</v>
      </c>
      <c r="D2851" s="7">
        <v>401</v>
      </c>
      <c r="E2851" s="3">
        <v>4</v>
      </c>
      <c r="F2851" s="3">
        <v>4</v>
      </c>
      <c r="G2851" t="s">
        <v>514</v>
      </c>
    </row>
    <row r="2852" spans="1:7" x14ac:dyDescent="0.25">
      <c r="A2852" s="1" t="str">
        <f>"513787"</f>
        <v>513787</v>
      </c>
      <c r="B2852" s="2" t="str">
        <f>"BOLSA"</f>
        <v>BOLSA</v>
      </c>
      <c r="C2852" s="2" t="str">
        <f t="shared" si="114"/>
        <v>UN</v>
      </c>
      <c r="D2852" s="7">
        <v>401</v>
      </c>
      <c r="E2852" s="3">
        <v>4</v>
      </c>
      <c r="F2852" s="3">
        <v>4</v>
      </c>
      <c r="G2852" t="s">
        <v>512</v>
      </c>
    </row>
    <row r="2853" spans="1:7" x14ac:dyDescent="0.25">
      <c r="A2853" s="1" t="str">
        <f>"522933"</f>
        <v>522933</v>
      </c>
      <c r="B2853" s="2" t="str">
        <f>"BOLSA C/ ESPONJA HIDRATADA C/ CABO NASCB01592WA"</f>
        <v>BOLSA C/ ESPONJA HIDRATADA C/ CABO NASCB01592WA</v>
      </c>
      <c r="C2853" s="2" t="str">
        <f t="shared" si="114"/>
        <v>UN</v>
      </c>
      <c r="D2853" s="7">
        <v>406</v>
      </c>
      <c r="E2853" s="3">
        <v>4</v>
      </c>
      <c r="F2853" s="3">
        <v>4</v>
      </c>
      <c r="G2853" t="s">
        <v>513</v>
      </c>
    </row>
    <row r="2854" spans="1:7" x14ac:dyDescent="0.25">
      <c r="A2854" s="1" t="str">
        <f>"514632"</f>
        <v>514632</v>
      </c>
      <c r="B2854" s="2" t="str">
        <f>"BOLSA DE TECIDO PARA CANETA"</f>
        <v>BOLSA DE TECIDO PARA CANETA</v>
      </c>
      <c r="C2854" s="2" t="str">
        <f t="shared" si="114"/>
        <v>UN</v>
      </c>
      <c r="D2854" s="7">
        <v>401</v>
      </c>
      <c r="E2854" s="3">
        <v>4</v>
      </c>
      <c r="F2854" s="3">
        <v>4</v>
      </c>
      <c r="G2854" t="s">
        <v>514</v>
      </c>
    </row>
    <row r="2855" spans="1:7" x14ac:dyDescent="0.25">
      <c r="A2855" s="1" t="str">
        <f>"521310"</f>
        <v>521310</v>
      </c>
      <c r="B2855" s="2" t="str">
        <f>"BOLSA DE TRANSPORTE P/ SAS PBIB18143"</f>
        <v>BOLSA DE TRANSPORTE P/ SAS PBIB18143</v>
      </c>
      <c r="C2855" s="2" t="str">
        <f t="shared" si="114"/>
        <v>UN</v>
      </c>
      <c r="D2855" s="7">
        <v>1300</v>
      </c>
      <c r="E2855" s="3">
        <v>13</v>
      </c>
      <c r="F2855" s="3">
        <v>13</v>
      </c>
      <c r="G2855" t="s">
        <v>514</v>
      </c>
    </row>
    <row r="2856" spans="1:7" x14ac:dyDescent="0.25">
      <c r="A2856" s="1" t="str">
        <f>"519627"</f>
        <v>519627</v>
      </c>
      <c r="B2856" s="2" t="str">
        <f>"BOLSA FORRO PORTA CARGO"</f>
        <v>BOLSA FORRO PORTA CARGO</v>
      </c>
      <c r="C2856" s="2" t="str">
        <f t="shared" si="114"/>
        <v>UN</v>
      </c>
      <c r="D2856" s="7">
        <v>704</v>
      </c>
      <c r="E2856" s="3">
        <v>9</v>
      </c>
      <c r="F2856" s="3">
        <v>9</v>
      </c>
      <c r="G2856" t="s">
        <v>512</v>
      </c>
    </row>
    <row r="2857" spans="1:7" x14ac:dyDescent="0.25">
      <c r="A2857" s="1" t="str">
        <f>"523622"</f>
        <v>523622</v>
      </c>
      <c r="B2857" s="2" t="str">
        <f>"BOLSA HIGIENIZAÇÃO"</f>
        <v>BOLSA HIGIENIZAÇÃO</v>
      </c>
      <c r="C2857" s="2" t="str">
        <f t="shared" si="114"/>
        <v>UN</v>
      </c>
      <c r="D2857" s="7">
        <v>500</v>
      </c>
      <c r="E2857" s="3">
        <v>5</v>
      </c>
      <c r="F2857" s="3">
        <v>5</v>
      </c>
      <c r="G2857" t="s">
        <v>513</v>
      </c>
    </row>
    <row r="2858" spans="1:7" x14ac:dyDescent="0.25">
      <c r="A2858" s="1" t="str">
        <f>"517359"</f>
        <v>517359</v>
      </c>
      <c r="B2858" s="2" t="str">
        <f>"BOLSA P/ FERRAMENTA"</f>
        <v>BOLSA P/ FERRAMENTA</v>
      </c>
      <c r="C2858" s="2" t="str">
        <f t="shared" si="114"/>
        <v>UN</v>
      </c>
      <c r="D2858" s="7">
        <v>501</v>
      </c>
      <c r="E2858" s="3">
        <v>5</v>
      </c>
      <c r="F2858" s="3">
        <v>5</v>
      </c>
      <c r="G2858" t="s">
        <v>514</v>
      </c>
    </row>
    <row r="2859" spans="1:7" x14ac:dyDescent="0.25">
      <c r="A2859" s="1" t="str">
        <f>"508519"</f>
        <v>508519</v>
      </c>
      <c r="B2859" s="2" t="str">
        <f>"BOLSA PNEUMATICA"</f>
        <v>BOLSA PNEUMATICA</v>
      </c>
      <c r="C2859" s="2" t="str">
        <f t="shared" si="114"/>
        <v>UN</v>
      </c>
      <c r="D2859" s="7">
        <v>704</v>
      </c>
      <c r="E2859" s="3">
        <v>9</v>
      </c>
      <c r="F2859" s="3">
        <v>9</v>
      </c>
      <c r="G2859" t="s">
        <v>514</v>
      </c>
    </row>
    <row r="2860" spans="1:7" x14ac:dyDescent="0.25">
      <c r="A2860" s="1" t="str">
        <f>"518198"</f>
        <v>518198</v>
      </c>
      <c r="B2860" s="2" t="str">
        <f>"BOLSA PP - 612/617/618/619/B76 - INICIAL"</f>
        <v>BOLSA PP - 612/617/618/619/B76 - INICIAL</v>
      </c>
      <c r="C2860" s="2" t="str">
        <f t="shared" si="114"/>
        <v>UN</v>
      </c>
      <c r="D2860" s="7">
        <v>401</v>
      </c>
      <c r="E2860" s="3">
        <v>4</v>
      </c>
      <c r="F2860" s="3">
        <v>4</v>
      </c>
      <c r="G2860" t="s">
        <v>514</v>
      </c>
    </row>
    <row r="2861" spans="1:7" x14ac:dyDescent="0.25">
      <c r="A2861" s="1" t="str">
        <f>"521587"</f>
        <v>521587</v>
      </c>
      <c r="B2861" s="2" t="str">
        <f>"BOLSA PP - INICIAL"</f>
        <v>BOLSA PP - INICIAL</v>
      </c>
      <c r="C2861" s="2" t="str">
        <f t="shared" si="114"/>
        <v>UN</v>
      </c>
      <c r="D2861" s="7">
        <v>99999</v>
      </c>
      <c r="E2861" s="3">
        <v>99</v>
      </c>
      <c r="F2861" s="3">
        <v>99</v>
      </c>
      <c r="G2861" t="s">
        <v>513</v>
      </c>
    </row>
    <row r="2862" spans="1:7" x14ac:dyDescent="0.25">
      <c r="A2862" s="1" t="str">
        <f>"515061"</f>
        <v>515061</v>
      </c>
      <c r="B2862" s="2" t="str">
        <f>"BOLSA TERMICA"</f>
        <v>BOLSA TERMICA</v>
      </c>
      <c r="C2862" s="2" t="str">
        <f t="shared" si="114"/>
        <v>UN</v>
      </c>
      <c r="D2862" s="7">
        <v>401</v>
      </c>
      <c r="E2862" s="3">
        <v>4</v>
      </c>
      <c r="F2862" s="3">
        <v>4</v>
      </c>
      <c r="G2862" t="s">
        <v>512</v>
      </c>
    </row>
    <row r="2863" spans="1:7" x14ac:dyDescent="0.25">
      <c r="A2863" s="1" t="str">
        <f>"516606"</f>
        <v>516606</v>
      </c>
      <c r="B2863" s="8" t="s">
        <v>85</v>
      </c>
      <c r="C2863" s="2" t="str">
        <f t="shared" ref="C2863:C2894" si="115">"UN"</f>
        <v>UN</v>
      </c>
      <c r="D2863" s="7">
        <v>401</v>
      </c>
      <c r="E2863" s="3">
        <v>4</v>
      </c>
      <c r="F2863" s="3">
        <v>4</v>
      </c>
      <c r="G2863" t="s">
        <v>513</v>
      </c>
    </row>
    <row r="2864" spans="1:7" x14ac:dyDescent="0.25">
      <c r="A2864" s="1" t="str">
        <f>"524876"</f>
        <v>524876</v>
      </c>
      <c r="B2864" s="8" t="s">
        <v>422</v>
      </c>
      <c r="C2864" s="2" t="str">
        <f t="shared" si="115"/>
        <v>UN</v>
      </c>
      <c r="D2864" s="7">
        <v>401</v>
      </c>
      <c r="E2864" s="3">
        <v>4</v>
      </c>
      <c r="F2864" s="3">
        <v>4</v>
      </c>
      <c r="G2864" t="s">
        <v>514</v>
      </c>
    </row>
    <row r="2865" spans="1:7" x14ac:dyDescent="0.25">
      <c r="A2865" s="1" t="str">
        <f>"516605"</f>
        <v>516605</v>
      </c>
      <c r="B2865" s="8" t="s">
        <v>84</v>
      </c>
      <c r="C2865" s="2" t="str">
        <f t="shared" si="115"/>
        <v>UN</v>
      </c>
      <c r="D2865" s="7">
        <v>401</v>
      </c>
      <c r="E2865" s="3">
        <v>4</v>
      </c>
      <c r="F2865" s="3">
        <v>4</v>
      </c>
      <c r="G2865" t="s">
        <v>514</v>
      </c>
    </row>
    <row r="2866" spans="1:7" x14ac:dyDescent="0.25">
      <c r="A2866" s="1" t="str">
        <f>"523293"</f>
        <v>523293</v>
      </c>
      <c r="B2866" s="8" t="s">
        <v>366</v>
      </c>
      <c r="C2866" s="2" t="str">
        <f t="shared" si="115"/>
        <v>UN</v>
      </c>
      <c r="D2866" s="7">
        <v>401</v>
      </c>
      <c r="E2866" s="3">
        <v>4</v>
      </c>
      <c r="F2866" s="3">
        <v>4</v>
      </c>
      <c r="G2866" t="s">
        <v>514</v>
      </c>
    </row>
    <row r="2867" spans="1:7" x14ac:dyDescent="0.25">
      <c r="A2867" s="1" t="str">
        <f>"518876"</f>
        <v>518876</v>
      </c>
      <c r="B2867" s="2" t="str">
        <f>"BOM AR FRESHMATIC - REFIL"</f>
        <v>BOM AR FRESHMATIC - REFIL</v>
      </c>
      <c r="C2867" s="2" t="str">
        <f t="shared" si="115"/>
        <v>UN</v>
      </c>
      <c r="D2867" s="7">
        <v>99999</v>
      </c>
      <c r="E2867" s="3">
        <v>99</v>
      </c>
      <c r="F2867" s="3">
        <v>99</v>
      </c>
      <c r="G2867" t="s">
        <v>513</v>
      </c>
    </row>
    <row r="2868" spans="1:7" x14ac:dyDescent="0.25">
      <c r="A2868" s="1" t="str">
        <f>"527578"</f>
        <v>527578</v>
      </c>
      <c r="B2868" s="2" t="str">
        <f>"BOMBA"</f>
        <v>BOMBA</v>
      </c>
      <c r="C2868" s="2" t="str">
        <f t="shared" si="115"/>
        <v>UN</v>
      </c>
      <c r="D2868" s="7">
        <v>99999</v>
      </c>
      <c r="E2868" s="3">
        <v>99</v>
      </c>
      <c r="F2868" s="3">
        <v>99</v>
      </c>
      <c r="G2868" t="s">
        <v>513</v>
      </c>
    </row>
    <row r="2869" spans="1:7" x14ac:dyDescent="0.25">
      <c r="A2869" s="1" t="str">
        <f>"516200"</f>
        <v>516200</v>
      </c>
      <c r="B2869" s="2" t="str">
        <f>"BOMBA 40000L/H 2KG PERDA CARGA"</f>
        <v>BOMBA 40000L/H 2KG PERDA CARGA</v>
      </c>
      <c r="C2869" s="2" t="str">
        <f t="shared" si="115"/>
        <v>UN</v>
      </c>
      <c r="D2869" s="7">
        <v>813</v>
      </c>
      <c r="E2869" s="3">
        <v>8</v>
      </c>
      <c r="F2869" s="3">
        <v>8</v>
      </c>
      <c r="G2869" t="s">
        <v>513</v>
      </c>
    </row>
    <row r="2870" spans="1:7" x14ac:dyDescent="0.25">
      <c r="A2870" s="1" t="str">
        <f>"516199"</f>
        <v>516199</v>
      </c>
      <c r="B2870" s="2" t="str">
        <f>"BOMBA 40000L/H 4KG PERDA DE CARGA"</f>
        <v>BOMBA 40000L/H 4KG PERDA DE CARGA</v>
      </c>
      <c r="C2870" s="2" t="str">
        <f t="shared" si="115"/>
        <v>UN</v>
      </c>
      <c r="D2870" s="7">
        <v>813</v>
      </c>
      <c r="E2870" s="3">
        <v>8</v>
      </c>
      <c r="F2870" s="3">
        <v>8</v>
      </c>
      <c r="G2870" t="s">
        <v>512</v>
      </c>
    </row>
    <row r="2871" spans="1:7" x14ac:dyDescent="0.25">
      <c r="A2871" s="1" t="str">
        <f>"512822"</f>
        <v>512822</v>
      </c>
      <c r="B2871" s="2" t="str">
        <f>"BOMBA 4CV"</f>
        <v>BOMBA 4CV</v>
      </c>
      <c r="C2871" s="2" t="str">
        <f t="shared" si="115"/>
        <v>UN</v>
      </c>
      <c r="D2871" s="7">
        <v>1000</v>
      </c>
      <c r="E2871" s="3">
        <v>13</v>
      </c>
      <c r="F2871" s="3">
        <v>13</v>
      </c>
      <c r="G2871" t="s">
        <v>513</v>
      </c>
    </row>
    <row r="2872" spans="1:7" x14ac:dyDescent="0.25">
      <c r="A2872" s="1" t="str">
        <f>"513583"</f>
        <v>513583</v>
      </c>
      <c r="B2872" s="2" t="str">
        <f>"BOMBA 5 ESTAGIOS 7,5CV"</f>
        <v>BOMBA 5 ESTAGIOS 7,5CV</v>
      </c>
      <c r="C2872" s="2" t="str">
        <f t="shared" si="115"/>
        <v>UN</v>
      </c>
      <c r="D2872" s="7">
        <v>813</v>
      </c>
      <c r="E2872" s="3">
        <v>11</v>
      </c>
      <c r="F2872" s="3">
        <v>11</v>
      </c>
      <c r="G2872" t="s">
        <v>514</v>
      </c>
    </row>
    <row r="2873" spans="1:7" x14ac:dyDescent="0.25">
      <c r="A2873" s="1" t="str">
        <f>"516198"</f>
        <v>516198</v>
      </c>
      <c r="B2873" s="2" t="str">
        <f>"BOMBA 5,0CV 30000L/H 2KG PERDA DE CARGA"</f>
        <v>BOMBA 5,0CV 30000L/H 2KG PERDA DE CARGA</v>
      </c>
      <c r="C2873" s="2" t="str">
        <f t="shared" si="115"/>
        <v>UN</v>
      </c>
      <c r="D2873" s="7">
        <v>813</v>
      </c>
      <c r="E2873" s="3">
        <v>8</v>
      </c>
      <c r="F2873" s="3">
        <v>8</v>
      </c>
      <c r="G2873" t="s">
        <v>515</v>
      </c>
    </row>
    <row r="2874" spans="1:7" x14ac:dyDescent="0.25">
      <c r="A2874" s="1" t="str">
        <f>"506918"</f>
        <v>506918</v>
      </c>
      <c r="B2874" s="2" t="str">
        <f>"BOMBA 6 ESTAGIOS 4CV 3450RPM MOD. P11/7BR THEBE"</f>
        <v>BOMBA 6 ESTAGIOS 4CV 3450RPM MOD. P11/7BR THEBE</v>
      </c>
      <c r="C2874" s="2" t="str">
        <f t="shared" si="115"/>
        <v>UN</v>
      </c>
      <c r="D2874" s="7">
        <v>813</v>
      </c>
      <c r="E2874" s="3">
        <v>11</v>
      </c>
      <c r="F2874" s="3">
        <v>11</v>
      </c>
      <c r="G2874" t="s">
        <v>512</v>
      </c>
    </row>
    <row r="2875" spans="1:7" x14ac:dyDescent="0.25">
      <c r="A2875" s="1" t="str">
        <f>"516192"</f>
        <v>516192</v>
      </c>
      <c r="B2875" s="2" t="str">
        <f>"BOMBA 60000L/H SELO VITOM BLINDADA 380V"</f>
        <v>BOMBA 60000L/H SELO VITOM BLINDADA 380V</v>
      </c>
      <c r="C2875" s="2" t="str">
        <f t="shared" si="115"/>
        <v>UN</v>
      </c>
      <c r="D2875" s="7">
        <v>813</v>
      </c>
      <c r="E2875" s="3">
        <v>10</v>
      </c>
      <c r="F2875" s="3">
        <v>10</v>
      </c>
      <c r="G2875" t="s">
        <v>516</v>
      </c>
    </row>
    <row r="2876" spans="1:7" x14ac:dyDescent="0.25">
      <c r="A2876" s="1" t="str">
        <f>"516197"</f>
        <v>516197</v>
      </c>
      <c r="B2876" s="2" t="str">
        <f>"BOMBA 7,5CV 50000L/H 3KG PERDA DE CARGA"</f>
        <v>BOMBA 7,5CV 50000L/H 3KG PERDA DE CARGA</v>
      </c>
      <c r="C2876" s="2" t="str">
        <f t="shared" si="115"/>
        <v>UN</v>
      </c>
      <c r="D2876" s="7">
        <v>813</v>
      </c>
      <c r="E2876" s="3">
        <v>8</v>
      </c>
      <c r="F2876" s="3">
        <v>8</v>
      </c>
      <c r="G2876" t="s">
        <v>515</v>
      </c>
    </row>
    <row r="2877" spans="1:7" x14ac:dyDescent="0.25">
      <c r="A2877" s="1" t="str">
        <f>"518625"</f>
        <v>518625</v>
      </c>
      <c r="B2877" s="2" t="str">
        <f>"BOMBA ABAST. DIESEL SIMPLES ATENA 75/90 LPM"</f>
        <v>BOMBA ABAST. DIESEL SIMPLES ATENA 75/90 LPM</v>
      </c>
      <c r="C2877" s="2" t="str">
        <f t="shared" si="115"/>
        <v>UN</v>
      </c>
      <c r="D2877" s="7">
        <v>1300</v>
      </c>
      <c r="E2877" s="3">
        <v>13</v>
      </c>
      <c r="F2877" s="3">
        <v>13</v>
      </c>
      <c r="G2877" t="s">
        <v>514</v>
      </c>
    </row>
    <row r="2878" spans="1:7" x14ac:dyDescent="0.25">
      <c r="A2878" s="1" t="str">
        <f>"511778"</f>
        <v>511778</v>
      </c>
      <c r="B2878" s="2" t="str">
        <f>"BOMBA ABASTECIMENTO"</f>
        <v>BOMBA ABASTECIMENTO</v>
      </c>
      <c r="C2878" s="2" t="str">
        <f t="shared" si="115"/>
        <v>UN</v>
      </c>
      <c r="D2878" s="7">
        <v>1400</v>
      </c>
      <c r="E2878" s="3">
        <v>13</v>
      </c>
      <c r="F2878" s="3">
        <v>13</v>
      </c>
      <c r="G2878" t="s">
        <v>512</v>
      </c>
    </row>
    <row r="2879" spans="1:7" x14ac:dyDescent="0.25">
      <c r="A2879" s="1" t="str">
        <f>"517781"</f>
        <v>517781</v>
      </c>
      <c r="B2879" s="2" t="str">
        <f>"BOMBA ABASTECIMENTO DIESEL WAINE MOD. 7530 SERIE 143"</f>
        <v>BOMBA ABASTECIMENTO DIESEL WAINE MOD. 7530 SERIE 143</v>
      </c>
      <c r="C2879" s="2" t="str">
        <f t="shared" si="115"/>
        <v>UN</v>
      </c>
      <c r="D2879" s="7">
        <v>1400</v>
      </c>
      <c r="E2879" s="3">
        <v>13</v>
      </c>
      <c r="F2879" s="3">
        <v>13</v>
      </c>
      <c r="G2879" t="s">
        <v>513</v>
      </c>
    </row>
    <row r="2880" spans="1:7" x14ac:dyDescent="0.25">
      <c r="A2880" s="1" t="str">
        <f>"510456"</f>
        <v>510456</v>
      </c>
      <c r="B2880" s="2" t="str">
        <f>"BOMBA AGUA K4M"</f>
        <v>BOMBA AGUA K4M</v>
      </c>
      <c r="C2880" s="2" t="str">
        <f t="shared" si="115"/>
        <v>UN</v>
      </c>
      <c r="D2880" s="7">
        <v>900</v>
      </c>
      <c r="E2880" s="3">
        <v>11</v>
      </c>
      <c r="F2880" s="3">
        <v>11</v>
      </c>
      <c r="G2880" t="s">
        <v>514</v>
      </c>
    </row>
    <row r="2881" spans="1:7" x14ac:dyDescent="0.25">
      <c r="A2881" s="1" t="str">
        <f>"500735"</f>
        <v>500735</v>
      </c>
      <c r="B2881" s="2" t="str">
        <f>"BOMBA AGUA PERIF 1/2 CV IDB-40 110/220V"</f>
        <v>BOMBA AGUA PERIF 1/2 CV IDB-40 110/220V</v>
      </c>
      <c r="C2881" s="2" t="str">
        <f t="shared" si="115"/>
        <v>UN</v>
      </c>
      <c r="D2881" s="7">
        <v>811</v>
      </c>
      <c r="E2881" s="3">
        <v>8</v>
      </c>
      <c r="F2881" s="3">
        <v>8</v>
      </c>
      <c r="G2881" t="s">
        <v>514</v>
      </c>
    </row>
    <row r="2882" spans="1:7" x14ac:dyDescent="0.25">
      <c r="A2882" s="1" t="str">
        <f>"515876"</f>
        <v>515876</v>
      </c>
      <c r="B2882" s="2" t="str">
        <f>"BOMBA ALIMENTADORA"</f>
        <v>BOMBA ALIMENTADORA</v>
      </c>
      <c r="C2882" s="2" t="str">
        <f t="shared" si="115"/>
        <v>UN</v>
      </c>
      <c r="D2882" s="7">
        <v>704</v>
      </c>
      <c r="E2882" s="3">
        <v>9</v>
      </c>
      <c r="F2882" s="3">
        <v>9</v>
      </c>
      <c r="G2882" t="s">
        <v>512</v>
      </c>
    </row>
    <row r="2883" spans="1:7" x14ac:dyDescent="0.25">
      <c r="A2883" s="1" t="str">
        <f>"513089"</f>
        <v>513089</v>
      </c>
      <c r="B2883" s="2" t="str">
        <f>"BOMBA ARLA 24V EMITEC"</f>
        <v>BOMBA ARLA 24V EMITEC</v>
      </c>
      <c r="C2883" s="2" t="str">
        <f t="shared" si="115"/>
        <v>UN</v>
      </c>
      <c r="D2883" s="7">
        <v>704</v>
      </c>
      <c r="E2883" s="3">
        <v>9</v>
      </c>
      <c r="F2883" s="3">
        <v>9</v>
      </c>
      <c r="G2883" t="s">
        <v>513</v>
      </c>
    </row>
    <row r="2884" spans="1:7" x14ac:dyDescent="0.25">
      <c r="A2884" s="1" t="str">
        <f>"527478"</f>
        <v>527478</v>
      </c>
      <c r="B2884" s="2" t="str">
        <f>"BOMBA AUTOASPIRANTE BCA-40"</f>
        <v>BOMBA AUTOASPIRANTE BCA-40</v>
      </c>
      <c r="C2884" s="2" t="str">
        <f t="shared" si="115"/>
        <v>UN</v>
      </c>
      <c r="D2884" s="7">
        <v>1400</v>
      </c>
      <c r="E2884" s="3">
        <v>13</v>
      </c>
      <c r="F2884" s="3">
        <v>13</v>
      </c>
      <c r="G2884" t="s">
        <v>514</v>
      </c>
    </row>
    <row r="2885" spans="1:7" x14ac:dyDescent="0.25">
      <c r="A2885" s="1" t="str">
        <f>"505228"</f>
        <v>505228</v>
      </c>
      <c r="B2885" s="2" t="str">
        <f>"BOMBA BL-50 30.000 L/H"</f>
        <v>BOMBA BL-50 30.000 L/H</v>
      </c>
      <c r="C2885" s="2" t="str">
        <f t="shared" si="115"/>
        <v>UN</v>
      </c>
      <c r="D2885" s="7">
        <v>704</v>
      </c>
      <c r="E2885" s="3">
        <v>9</v>
      </c>
      <c r="F2885" s="3">
        <v>9</v>
      </c>
      <c r="G2885" t="s">
        <v>514</v>
      </c>
    </row>
    <row r="2886" spans="1:7" x14ac:dyDescent="0.25">
      <c r="A2886" s="1" t="str">
        <f>"524126"</f>
        <v>524126</v>
      </c>
      <c r="B2886" s="2" t="str">
        <f>"BOMBA CENTRIF. P-500 110/220V (60HZ)"</f>
        <v>BOMBA CENTRIF. P-500 110/220V (60HZ)</v>
      </c>
      <c r="C2886" s="2" t="str">
        <f t="shared" si="115"/>
        <v>UN</v>
      </c>
      <c r="D2886" s="7">
        <v>1000</v>
      </c>
      <c r="E2886" s="3">
        <v>13</v>
      </c>
      <c r="F2886" s="3">
        <v>13</v>
      </c>
      <c r="G2886" t="s">
        <v>514</v>
      </c>
    </row>
    <row r="2887" spans="1:7" x14ac:dyDescent="0.25">
      <c r="A2887" s="1" t="str">
        <f>"515330"</f>
        <v>515330</v>
      </c>
      <c r="B2887" s="2" t="str">
        <f>"BOMBA CENTRIFUGA 07 ESTAGIOS 03 HP"</f>
        <v>BOMBA CENTRIFUGA 07 ESTAGIOS 03 HP</v>
      </c>
      <c r="C2887" s="2" t="str">
        <f t="shared" si="115"/>
        <v>UN</v>
      </c>
      <c r="D2887" s="7">
        <v>1000</v>
      </c>
      <c r="E2887" s="3">
        <v>13</v>
      </c>
      <c r="F2887" s="3">
        <v>13</v>
      </c>
      <c r="G2887" t="s">
        <v>513</v>
      </c>
    </row>
    <row r="2888" spans="1:7" x14ac:dyDescent="0.25">
      <c r="A2888" s="1" t="str">
        <f>"515329"</f>
        <v>515329</v>
      </c>
      <c r="B2888" s="2" t="str">
        <f>"BOMBA CENTRIFUGA 1/2CV 110/220 LOYAL"</f>
        <v>BOMBA CENTRIFUGA 1/2CV 110/220 LOYAL</v>
      </c>
      <c r="C2888" s="2" t="str">
        <f t="shared" si="115"/>
        <v>UN</v>
      </c>
      <c r="D2888" s="7">
        <v>1000</v>
      </c>
      <c r="E2888" s="3">
        <v>13</v>
      </c>
      <c r="F2888" s="3">
        <v>13</v>
      </c>
      <c r="G2888" t="s">
        <v>512</v>
      </c>
    </row>
    <row r="2889" spans="1:7" x14ac:dyDescent="0.25">
      <c r="A2889" s="1" t="str">
        <f>"519855"</f>
        <v>519855</v>
      </c>
      <c r="B2889" s="2" t="str">
        <f>"BOMBA CENTRIFUGA BC22 3CV TRIF SCHNEIDER"</f>
        <v>BOMBA CENTRIFUGA BC22 3CV TRIF SCHNEIDER</v>
      </c>
      <c r="C2889" s="2" t="str">
        <f t="shared" si="115"/>
        <v>UN</v>
      </c>
      <c r="D2889" s="7">
        <v>1400</v>
      </c>
      <c r="E2889" s="3">
        <v>8</v>
      </c>
      <c r="F2889" s="3">
        <v>8</v>
      </c>
      <c r="G2889" t="s">
        <v>513</v>
      </c>
    </row>
    <row r="2890" spans="1:7" x14ac:dyDescent="0.25">
      <c r="A2890" s="1" t="str">
        <f>"519581"</f>
        <v>519581</v>
      </c>
      <c r="B2890" s="2" t="str">
        <f>"BOMBA CENTRIFUGA BCR2000 1/3 CV MONOFASICO 220V"</f>
        <v>BOMBA CENTRIFUGA BCR2000 1/3 CV MONOFASICO 220V</v>
      </c>
      <c r="C2890" s="2" t="str">
        <f t="shared" si="115"/>
        <v>UN</v>
      </c>
      <c r="D2890" s="7">
        <v>1400</v>
      </c>
      <c r="E2890" s="3">
        <v>13</v>
      </c>
      <c r="F2890" s="3">
        <v>13</v>
      </c>
      <c r="G2890" t="s">
        <v>514</v>
      </c>
    </row>
    <row r="2891" spans="1:7" x14ac:dyDescent="0.25">
      <c r="A2891" s="1" t="str">
        <f>"510022"</f>
        <v>510022</v>
      </c>
      <c r="B2891" s="2" t="str">
        <f>"BOMBA CENTRIFUGA DE AMONIA ZM-2"</f>
        <v>BOMBA CENTRIFUGA DE AMONIA ZM-2</v>
      </c>
      <c r="C2891" s="2" t="str">
        <f t="shared" si="115"/>
        <v>UN</v>
      </c>
      <c r="D2891" s="7">
        <v>900</v>
      </c>
      <c r="E2891" s="3">
        <v>11</v>
      </c>
      <c r="F2891" s="3">
        <v>11</v>
      </c>
      <c r="G2891" t="s">
        <v>514</v>
      </c>
    </row>
    <row r="2892" spans="1:7" x14ac:dyDescent="0.25">
      <c r="A2892" s="1" t="str">
        <f>"513106"</f>
        <v>513106</v>
      </c>
      <c r="B2892" s="2" t="str">
        <f>"BOMBA CENTRIFUGA SANITARIA APV W+35/35"</f>
        <v>BOMBA CENTRIFUGA SANITARIA APV W+35/35</v>
      </c>
      <c r="C2892" s="2" t="str">
        <f t="shared" si="115"/>
        <v>UN</v>
      </c>
      <c r="D2892" s="7">
        <v>813</v>
      </c>
      <c r="E2892" s="3">
        <v>13</v>
      </c>
      <c r="F2892" s="3">
        <v>13</v>
      </c>
      <c r="G2892" t="s">
        <v>514</v>
      </c>
    </row>
    <row r="2893" spans="1:7" x14ac:dyDescent="0.25">
      <c r="A2893" s="1" t="str">
        <f>"515290"</f>
        <v>515290</v>
      </c>
      <c r="B2893" s="2" t="str">
        <f>"BOMBA CENTRIFUGA SANITARIA INOXIL 5 HP"</f>
        <v>BOMBA CENTRIFUGA SANITARIA INOXIL 5 HP</v>
      </c>
      <c r="C2893" s="2" t="str">
        <f t="shared" si="115"/>
        <v>UN</v>
      </c>
      <c r="D2893" s="7">
        <v>1000</v>
      </c>
      <c r="E2893" s="3">
        <v>13</v>
      </c>
      <c r="F2893" s="3">
        <v>13</v>
      </c>
      <c r="G2893" t="s">
        <v>513</v>
      </c>
    </row>
    <row r="2894" spans="1:7" x14ac:dyDescent="0.25">
      <c r="A2894" s="1" t="str">
        <f>"513551"</f>
        <v>513551</v>
      </c>
      <c r="B2894" s="8" t="s">
        <v>44</v>
      </c>
      <c r="C2894" s="2" t="str">
        <f t="shared" si="115"/>
        <v>UN</v>
      </c>
      <c r="D2894" s="7">
        <v>813</v>
      </c>
      <c r="E2894" s="3">
        <v>10</v>
      </c>
      <c r="F2894" s="3">
        <v>10</v>
      </c>
      <c r="G2894" t="s">
        <v>513</v>
      </c>
    </row>
    <row r="2895" spans="1:7" x14ac:dyDescent="0.25">
      <c r="A2895" s="1" t="str">
        <f>"524662"</f>
        <v>524662</v>
      </c>
      <c r="B2895" s="8" t="s">
        <v>411</v>
      </c>
      <c r="C2895" s="2" t="str">
        <f t="shared" ref="C2895:C2926" si="116">"UN"</f>
        <v>UN</v>
      </c>
      <c r="D2895" s="7">
        <v>813</v>
      </c>
      <c r="E2895" s="3">
        <v>10</v>
      </c>
      <c r="F2895" s="3">
        <v>10</v>
      </c>
      <c r="G2895" t="s">
        <v>513</v>
      </c>
    </row>
    <row r="2896" spans="1:7" x14ac:dyDescent="0.25">
      <c r="A2896" s="1" t="str">
        <f>"521607"</f>
        <v>521607</v>
      </c>
      <c r="B2896" s="2" t="str">
        <f>"BOMBA CERTA 250 SELO MEC. SIMPLES C/ SEAL FLUSH 20C250.01C"</f>
        <v>BOMBA CERTA 250 SELO MEC. SIMPLES C/ SEAL FLUSH 20C250.01C</v>
      </c>
      <c r="C2896" s="2" t="str">
        <f t="shared" si="116"/>
        <v>UN</v>
      </c>
      <c r="D2896" s="7">
        <v>1400</v>
      </c>
      <c r="E2896" s="3">
        <v>10</v>
      </c>
      <c r="F2896" s="3">
        <v>10</v>
      </c>
      <c r="G2896" t="s">
        <v>512</v>
      </c>
    </row>
    <row r="2897" spans="1:7" x14ac:dyDescent="0.25">
      <c r="A2897" s="1" t="str">
        <f>"525496"</f>
        <v>525496</v>
      </c>
      <c r="B2897" s="2" t="str">
        <f>"BOMBA CERTA 250/10-2/DIN11851 COD.20.C250.004"</f>
        <v>BOMBA CERTA 250/10-2/DIN11851 COD.20.C250.004</v>
      </c>
      <c r="C2897" s="2" t="str">
        <f t="shared" si="116"/>
        <v>UN</v>
      </c>
      <c r="D2897" s="7">
        <v>1400</v>
      </c>
      <c r="E2897" s="3">
        <v>10</v>
      </c>
      <c r="F2897" s="3">
        <v>10</v>
      </c>
      <c r="G2897" t="s">
        <v>513</v>
      </c>
    </row>
    <row r="2898" spans="1:7" x14ac:dyDescent="0.25">
      <c r="A2898" s="1" t="str">
        <f>"506206"</f>
        <v>506206</v>
      </c>
      <c r="B2898" s="2" t="str">
        <f>"BOMBA COMBUSTIVEL"</f>
        <v>BOMBA COMBUSTIVEL</v>
      </c>
      <c r="C2898" s="2" t="str">
        <f t="shared" si="116"/>
        <v>UN</v>
      </c>
      <c r="D2898" s="7">
        <v>704</v>
      </c>
      <c r="E2898" s="3">
        <v>9</v>
      </c>
      <c r="F2898" s="3">
        <v>9</v>
      </c>
      <c r="G2898" t="s">
        <v>514</v>
      </c>
    </row>
    <row r="2899" spans="1:7" x14ac:dyDescent="0.25">
      <c r="A2899" s="1" t="str">
        <f>"510508"</f>
        <v>510508</v>
      </c>
      <c r="B2899" s="2" t="str">
        <f>"BOMBA COMBUSTIVEL 110405 - CAT 416E"</f>
        <v>BOMBA COMBUSTIVEL 110405 - CAT 416E</v>
      </c>
      <c r="C2899" s="2" t="str">
        <f t="shared" si="116"/>
        <v>UN</v>
      </c>
      <c r="D2899" s="7">
        <v>704</v>
      </c>
      <c r="E2899" s="3">
        <v>9</v>
      </c>
      <c r="F2899" s="3">
        <v>9</v>
      </c>
      <c r="G2899" t="s">
        <v>515</v>
      </c>
    </row>
    <row r="2900" spans="1:7" x14ac:dyDescent="0.25">
      <c r="A2900" s="1" t="str">
        <f>"507671"</f>
        <v>507671</v>
      </c>
      <c r="B2900" s="2" t="str">
        <f>"BOMBA D' AGUA TH 3500 RPM 1/2CV 3/4X3/4"</f>
        <v>BOMBA D' AGUA TH 3500 RPM 1/2CV 3/4X3/4</v>
      </c>
      <c r="C2900" s="2" t="str">
        <f t="shared" si="116"/>
        <v>UN</v>
      </c>
      <c r="D2900" s="7">
        <v>1400</v>
      </c>
      <c r="E2900" s="3">
        <v>13</v>
      </c>
      <c r="F2900" s="3">
        <v>13</v>
      </c>
      <c r="G2900" t="s">
        <v>512</v>
      </c>
    </row>
    <row r="2901" spans="1:7" x14ac:dyDescent="0.25">
      <c r="A2901" s="1" t="str">
        <f>"501665"</f>
        <v>501665</v>
      </c>
      <c r="B2901" s="2" t="str">
        <f>"BOMBA D`AGUA ANAUGER 220V 3/4"""</f>
        <v>BOMBA D`AGUA ANAUGER 220V 3/4"</v>
      </c>
      <c r="C2901" s="2" t="str">
        <f t="shared" si="116"/>
        <v>UN</v>
      </c>
      <c r="D2901" s="7">
        <v>900</v>
      </c>
      <c r="E2901" s="3">
        <v>11</v>
      </c>
      <c r="F2901" s="3">
        <v>11</v>
      </c>
      <c r="G2901" t="s">
        <v>516</v>
      </c>
    </row>
    <row r="2902" spans="1:7" x14ac:dyDescent="0.25">
      <c r="A2902" s="1" t="str">
        <f>"524773"</f>
        <v>524773</v>
      </c>
      <c r="B2902" s="8" t="s">
        <v>416</v>
      </c>
      <c r="C2902" s="2" t="str">
        <f t="shared" si="116"/>
        <v>UN</v>
      </c>
      <c r="D2902" s="7">
        <v>813</v>
      </c>
      <c r="E2902" s="3">
        <v>10</v>
      </c>
      <c r="F2902" s="3">
        <v>10</v>
      </c>
      <c r="G2902" t="s">
        <v>515</v>
      </c>
    </row>
    <row r="2903" spans="1:7" x14ac:dyDescent="0.25">
      <c r="A2903" s="1" t="str">
        <f>"524772"</f>
        <v>524772</v>
      </c>
      <c r="B2903" s="8" t="s">
        <v>415</v>
      </c>
      <c r="C2903" s="2" t="str">
        <f t="shared" si="116"/>
        <v>UN</v>
      </c>
      <c r="D2903" s="7">
        <v>813</v>
      </c>
      <c r="E2903" s="3">
        <v>10</v>
      </c>
      <c r="F2903" s="3">
        <v>10</v>
      </c>
      <c r="G2903" t="s">
        <v>514</v>
      </c>
    </row>
    <row r="2904" spans="1:7" x14ac:dyDescent="0.25">
      <c r="A2904" s="1" t="str">
        <f>"522679"</f>
        <v>522679</v>
      </c>
      <c r="B2904" s="2" t="str">
        <f>"BOMBA D'AGUA CARGO"</f>
        <v>BOMBA D'AGUA CARGO</v>
      </c>
      <c r="C2904" s="2" t="str">
        <f t="shared" si="116"/>
        <v>UN</v>
      </c>
      <c r="D2904" s="7">
        <v>704</v>
      </c>
      <c r="E2904" s="3">
        <v>9</v>
      </c>
      <c r="F2904" s="3">
        <v>9</v>
      </c>
      <c r="G2904" t="s">
        <v>512</v>
      </c>
    </row>
    <row r="2905" spans="1:7" x14ac:dyDescent="0.25">
      <c r="A2905" s="1" t="str">
        <f>"515288"</f>
        <v>515288</v>
      </c>
      <c r="B2905" s="2" t="str">
        <f>"BOMBA DE AGUA QUENTE 03 HP"</f>
        <v>BOMBA DE AGUA QUENTE 03 HP</v>
      </c>
      <c r="C2905" s="2" t="str">
        <f t="shared" si="116"/>
        <v>UN</v>
      </c>
      <c r="D2905" s="7">
        <v>1000</v>
      </c>
      <c r="E2905" s="3">
        <v>13</v>
      </c>
      <c r="F2905" s="3">
        <v>13</v>
      </c>
      <c r="G2905" t="s">
        <v>513</v>
      </c>
    </row>
    <row r="2906" spans="1:7" x14ac:dyDescent="0.25">
      <c r="A2906" s="1" t="str">
        <f>"514070"</f>
        <v>514070</v>
      </c>
      <c r="B2906" s="2" t="str">
        <f>"BOMBA DE ARREFECIMENTO"</f>
        <v>BOMBA DE ARREFECIMENTO</v>
      </c>
      <c r="C2906" s="2" t="str">
        <f t="shared" si="116"/>
        <v>UN</v>
      </c>
      <c r="D2906" s="7">
        <v>704</v>
      </c>
      <c r="E2906" s="3">
        <v>9</v>
      </c>
      <c r="F2906" s="3">
        <v>9</v>
      </c>
      <c r="G2906" t="s">
        <v>514</v>
      </c>
    </row>
    <row r="2907" spans="1:7" x14ac:dyDescent="0.25">
      <c r="A2907" s="1" t="str">
        <f>"526811"</f>
        <v>526811</v>
      </c>
      <c r="B2907" s="8" t="s">
        <v>483</v>
      </c>
      <c r="C2907" s="2" t="str">
        <f t="shared" si="116"/>
        <v>UN</v>
      </c>
      <c r="D2907" s="7">
        <v>1400</v>
      </c>
      <c r="E2907" s="3">
        <v>13</v>
      </c>
      <c r="F2907" s="3">
        <v>13</v>
      </c>
      <c r="G2907" t="s">
        <v>514</v>
      </c>
    </row>
    <row r="2908" spans="1:7" x14ac:dyDescent="0.25">
      <c r="A2908" s="1" t="str">
        <f>"514221"</f>
        <v>514221</v>
      </c>
      <c r="B2908" s="2" t="str">
        <f>"BOMBA DE CARGA DE OLEO"</f>
        <v>BOMBA DE CARGA DE OLEO</v>
      </c>
      <c r="C2908" s="2" t="str">
        <f t="shared" si="116"/>
        <v>UN</v>
      </c>
      <c r="D2908" s="7">
        <v>1002</v>
      </c>
      <c r="E2908" s="3">
        <v>11</v>
      </c>
      <c r="F2908" s="3">
        <v>11</v>
      </c>
      <c r="G2908" t="s">
        <v>512</v>
      </c>
    </row>
    <row r="2909" spans="1:7" x14ac:dyDescent="0.25">
      <c r="A2909" s="1" t="str">
        <f>"525369"</f>
        <v>525369</v>
      </c>
      <c r="B2909" s="2" t="str">
        <f>"BOMBA DE DIAFRAGMA ELE. 220V ARLA 32 3-4PL 34L/MIN MLP-9152"</f>
        <v>BOMBA DE DIAFRAGMA ELE. 220V ARLA 32 3-4PL 34L/MIN MLP-9152</v>
      </c>
      <c r="C2909" s="2" t="str">
        <f t="shared" si="116"/>
        <v>UN</v>
      </c>
      <c r="D2909" s="7">
        <v>813</v>
      </c>
      <c r="E2909" s="3">
        <v>10</v>
      </c>
      <c r="F2909" s="3">
        <v>10</v>
      </c>
      <c r="G2909" t="s">
        <v>513</v>
      </c>
    </row>
    <row r="2910" spans="1:7" x14ac:dyDescent="0.25">
      <c r="A2910" s="1" t="str">
        <f>"526718"</f>
        <v>526718</v>
      </c>
      <c r="B2910" s="2" t="str">
        <f>"BOMBA DE ENGRENAGENS WS03-11-E-B32-A1"</f>
        <v>BOMBA DE ENGRENAGENS WS03-11-E-B32-A1</v>
      </c>
      <c r="C2910" s="2" t="str">
        <f t="shared" si="116"/>
        <v>UN</v>
      </c>
      <c r="D2910" s="7">
        <v>813</v>
      </c>
      <c r="E2910" s="3">
        <v>8</v>
      </c>
      <c r="F2910" s="3">
        <v>8</v>
      </c>
      <c r="G2910" t="s">
        <v>514</v>
      </c>
    </row>
    <row r="2911" spans="1:7" x14ac:dyDescent="0.25">
      <c r="A2911" s="1" t="str">
        <f>"526149"</f>
        <v>526149</v>
      </c>
      <c r="B2911" s="8" t="s">
        <v>457</v>
      </c>
      <c r="C2911" s="2" t="str">
        <f t="shared" si="116"/>
        <v>UN</v>
      </c>
      <c r="D2911" s="7">
        <v>1400</v>
      </c>
      <c r="E2911" s="3">
        <v>13</v>
      </c>
      <c r="F2911" s="3">
        <v>13</v>
      </c>
      <c r="G2911" t="s">
        <v>514</v>
      </c>
    </row>
    <row r="2912" spans="1:7" x14ac:dyDescent="0.25">
      <c r="A2912" s="1" t="str">
        <f>"514073"</f>
        <v>514073</v>
      </c>
      <c r="B2912" s="2" t="str">
        <f>"BOMBA DE OLEO"</f>
        <v>BOMBA DE OLEO</v>
      </c>
      <c r="C2912" s="2" t="str">
        <f t="shared" si="116"/>
        <v>UN</v>
      </c>
      <c r="D2912" s="7">
        <v>704</v>
      </c>
      <c r="E2912" s="3">
        <v>9</v>
      </c>
      <c r="F2912" s="3">
        <v>9</v>
      </c>
      <c r="G2912" t="s">
        <v>514</v>
      </c>
    </row>
    <row r="2913" spans="1:7" x14ac:dyDescent="0.25">
      <c r="A2913" s="1" t="str">
        <f>"518419"</f>
        <v>518419</v>
      </c>
      <c r="B2913" s="2" t="str">
        <f>"BOMBA DE OLEO-100"</f>
        <v>BOMBA DE OLEO-100</v>
      </c>
      <c r="C2913" s="2" t="str">
        <f t="shared" si="116"/>
        <v>UN</v>
      </c>
      <c r="D2913" s="7">
        <v>918</v>
      </c>
      <c r="E2913" s="3">
        <v>11</v>
      </c>
      <c r="F2913" s="3">
        <v>11</v>
      </c>
      <c r="G2913" t="s">
        <v>513</v>
      </c>
    </row>
    <row r="2914" spans="1:7" x14ac:dyDescent="0.25">
      <c r="A2914" s="1" t="str">
        <f>"510027"</f>
        <v>510027</v>
      </c>
      <c r="B2914" s="2" t="str">
        <f>"BOMBA DE OLEO-65"</f>
        <v>BOMBA DE OLEO-65</v>
      </c>
      <c r="C2914" s="2" t="str">
        <f t="shared" si="116"/>
        <v>UN</v>
      </c>
      <c r="D2914" s="7">
        <v>900</v>
      </c>
      <c r="E2914" s="3">
        <v>11</v>
      </c>
      <c r="F2914" s="3">
        <v>11</v>
      </c>
      <c r="G2914" t="s">
        <v>512</v>
      </c>
    </row>
    <row r="2915" spans="1:7" x14ac:dyDescent="0.25">
      <c r="A2915" s="1" t="str">
        <f>"526055"</f>
        <v>526055</v>
      </c>
      <c r="B2915" s="2" t="str">
        <f>"BOMBA DE POÇO ARTESIANO 14CV"</f>
        <v>BOMBA DE POÇO ARTESIANO 14CV</v>
      </c>
      <c r="C2915" s="2" t="str">
        <f t="shared" si="116"/>
        <v>UN</v>
      </c>
      <c r="D2915" s="7">
        <v>1000</v>
      </c>
      <c r="E2915" s="3">
        <v>13</v>
      </c>
      <c r="F2915" s="3">
        <v>13</v>
      </c>
      <c r="G2915" t="s">
        <v>513</v>
      </c>
    </row>
    <row r="2916" spans="1:7" x14ac:dyDescent="0.25">
      <c r="A2916" s="1" t="str">
        <f>"510530"</f>
        <v>510530</v>
      </c>
      <c r="B2916" s="2" t="str">
        <f>"BOMBA DE PRESSAO EQUIPADA P/ TINTA"</f>
        <v>BOMBA DE PRESSAO EQUIPADA P/ TINTA</v>
      </c>
      <c r="C2916" s="2" t="str">
        <f t="shared" si="116"/>
        <v>UN</v>
      </c>
      <c r="D2916" s="7">
        <v>403</v>
      </c>
      <c r="E2916" s="3">
        <v>4</v>
      </c>
      <c r="F2916" s="3">
        <v>4</v>
      </c>
      <c r="G2916" t="s">
        <v>514</v>
      </c>
    </row>
    <row r="2917" spans="1:7" x14ac:dyDescent="0.25">
      <c r="A2917" s="1" t="str">
        <f>"528110"</f>
        <v>528110</v>
      </c>
      <c r="B2917" s="2" t="str">
        <f>"BOMBA DE VACUO 05,5CFM 110-220V DUPLO ESTAGIO DOSIVAC"</f>
        <v>BOMBA DE VACUO 05,5CFM 110-220V DUPLO ESTAGIO DOSIVAC</v>
      </c>
      <c r="C2917" s="2" t="str">
        <f t="shared" si="116"/>
        <v>UN</v>
      </c>
      <c r="D2917" s="7">
        <v>1000</v>
      </c>
      <c r="E2917" s="3">
        <v>11</v>
      </c>
      <c r="F2917" s="3">
        <v>11</v>
      </c>
      <c r="G2917" t="s">
        <v>514</v>
      </c>
    </row>
    <row r="2918" spans="1:7" x14ac:dyDescent="0.25">
      <c r="A2918" s="1" t="str">
        <f>"528158"</f>
        <v>528158</v>
      </c>
      <c r="B2918" s="2" t="str">
        <f>"BOMBA DIAFRAGMA IR/ARO  1/2 NAO METALICA 1000"</f>
        <v>BOMBA DIAFRAGMA IR/ARO  1/2 NAO METALICA 1000</v>
      </c>
      <c r="C2918" s="2" t="str">
        <f t="shared" si="116"/>
        <v>UN</v>
      </c>
      <c r="D2918" s="7">
        <v>918</v>
      </c>
      <c r="E2918" s="3">
        <v>11</v>
      </c>
      <c r="F2918" s="3">
        <v>11</v>
      </c>
      <c r="G2918" t="s">
        <v>514</v>
      </c>
    </row>
    <row r="2919" spans="1:7" x14ac:dyDescent="0.25">
      <c r="A2919" s="1" t="str">
        <f>"521408"</f>
        <v>521408</v>
      </c>
      <c r="B2919" s="2" t="str">
        <f>"BOMBA DIAFRAGMA RECOLHIMENTO DRENO"</f>
        <v>BOMBA DIAFRAGMA RECOLHIMENTO DRENO</v>
      </c>
      <c r="C2919" s="2" t="str">
        <f t="shared" si="116"/>
        <v>UN</v>
      </c>
      <c r="D2919" s="7">
        <v>1300</v>
      </c>
      <c r="E2919" s="3">
        <v>13</v>
      </c>
      <c r="F2919" s="3">
        <v>13</v>
      </c>
      <c r="G2919" t="s">
        <v>513</v>
      </c>
    </row>
    <row r="2920" spans="1:7" x14ac:dyDescent="0.25">
      <c r="A2920" s="1" t="str">
        <f>"509941"</f>
        <v>509941</v>
      </c>
      <c r="B2920" s="2" t="str">
        <f>"BOMBA DIESEL THERMO KING"</f>
        <v>BOMBA DIESEL THERMO KING</v>
      </c>
      <c r="C2920" s="2" t="str">
        <f t="shared" si="116"/>
        <v>UN</v>
      </c>
      <c r="D2920" s="7">
        <v>704</v>
      </c>
      <c r="E2920" s="3">
        <v>9</v>
      </c>
      <c r="F2920" s="3">
        <v>9</v>
      </c>
      <c r="G2920" t="s">
        <v>513</v>
      </c>
    </row>
    <row r="2921" spans="1:7" x14ac:dyDescent="0.25">
      <c r="A2921" s="1" t="str">
        <f>"520402"</f>
        <v>520402</v>
      </c>
      <c r="B2921" s="8" t="s">
        <v>135</v>
      </c>
      <c r="C2921" s="2" t="str">
        <f t="shared" si="116"/>
        <v>UN</v>
      </c>
      <c r="D2921" s="7">
        <v>99999</v>
      </c>
      <c r="E2921" s="3">
        <v>99</v>
      </c>
      <c r="F2921" s="3">
        <v>99</v>
      </c>
      <c r="G2921" t="s">
        <v>513</v>
      </c>
    </row>
    <row r="2922" spans="1:7" x14ac:dyDescent="0.25">
      <c r="A2922" s="1" t="str">
        <f>"523150"</f>
        <v>523150</v>
      </c>
      <c r="B2922" s="2" t="str">
        <f>"BOMBA DOSADORA DE SABÃO PARA LAVADOR DE BOTAS"</f>
        <v>BOMBA DOSADORA DE SABÃO PARA LAVADOR DE BOTAS</v>
      </c>
      <c r="C2922" s="2" t="str">
        <f t="shared" si="116"/>
        <v>UN</v>
      </c>
      <c r="D2922" s="7">
        <v>1400</v>
      </c>
      <c r="E2922" s="3">
        <v>10</v>
      </c>
      <c r="F2922" s="3">
        <v>10</v>
      </c>
      <c r="G2922" t="s">
        <v>512</v>
      </c>
    </row>
    <row r="2923" spans="1:7" x14ac:dyDescent="0.25">
      <c r="A2923" s="1" t="str">
        <f>"516010"</f>
        <v>516010</v>
      </c>
      <c r="B2923" s="2" t="str">
        <f>"BOMBA DOSADORA EX0507 VITON 220V"</f>
        <v>BOMBA DOSADORA EX0507 VITON 220V</v>
      </c>
      <c r="C2923" s="2" t="str">
        <f t="shared" si="116"/>
        <v>UN</v>
      </c>
      <c r="D2923" s="7">
        <v>99999</v>
      </c>
      <c r="E2923" s="3">
        <v>99</v>
      </c>
      <c r="F2923" s="3">
        <v>99</v>
      </c>
      <c r="G2923" t="s">
        <v>513</v>
      </c>
    </row>
    <row r="2924" spans="1:7" x14ac:dyDescent="0.25">
      <c r="A2924" s="1" t="str">
        <f>"527937"</f>
        <v>527937</v>
      </c>
      <c r="B2924" s="2" t="str">
        <f>"BOMBA DOSADORA GMXA1604PVT20000UAC5300PT"</f>
        <v>BOMBA DOSADORA GMXA1604PVT20000UAC5300PT</v>
      </c>
      <c r="C2924" s="2" t="str">
        <f t="shared" si="116"/>
        <v>UN</v>
      </c>
      <c r="D2924" s="7">
        <v>1500</v>
      </c>
      <c r="E2924" s="3">
        <v>13</v>
      </c>
      <c r="F2924" s="3">
        <v>13</v>
      </c>
      <c r="G2924" t="s">
        <v>514</v>
      </c>
    </row>
    <row r="2925" spans="1:7" x14ac:dyDescent="0.25">
      <c r="A2925" s="1" t="str">
        <f>"526341"</f>
        <v>526341</v>
      </c>
      <c r="B2925" s="2" t="str">
        <f>"BOMBA DOSADORA KOMPACT AML200 5L/H 8 BAR"</f>
        <v>BOMBA DOSADORA KOMPACT AML200 5L/H 8 BAR</v>
      </c>
      <c r="C2925" s="2" t="str">
        <f t="shared" si="116"/>
        <v>UN</v>
      </c>
      <c r="D2925" s="7">
        <v>99999</v>
      </c>
      <c r="E2925" s="3">
        <v>99</v>
      </c>
      <c r="F2925" s="3">
        <v>99</v>
      </c>
      <c r="G2925" t="s">
        <v>515</v>
      </c>
    </row>
    <row r="2926" spans="1:7" x14ac:dyDescent="0.25">
      <c r="A2926" s="1" t="str">
        <f>"523335"</f>
        <v>523335</v>
      </c>
      <c r="B2926" s="2" t="str">
        <f>"BOMBA DOSADORA NM015BY02S12B"</f>
        <v>BOMBA DOSADORA NM015BY02S12B</v>
      </c>
      <c r="C2926" s="2" t="str">
        <f t="shared" si="116"/>
        <v>UN</v>
      </c>
      <c r="D2926" s="7">
        <v>99999</v>
      </c>
      <c r="E2926" s="3">
        <v>99</v>
      </c>
      <c r="F2926" s="3">
        <v>99</v>
      </c>
      <c r="G2926" t="s">
        <v>512</v>
      </c>
    </row>
    <row r="2927" spans="1:7" x14ac:dyDescent="0.25">
      <c r="A2927" s="1" t="str">
        <f>"518569"</f>
        <v>518569</v>
      </c>
      <c r="B2927" s="2" t="str">
        <f>"BOMBA DRENO 220V MINI 12L 7500 A 24000 BTUS"</f>
        <v>BOMBA DRENO 220V MINI 12L 7500 A 24000 BTUS</v>
      </c>
      <c r="C2927" s="2" t="str">
        <f t="shared" ref="C2927:C2958" si="117">"UN"</f>
        <v>UN</v>
      </c>
      <c r="D2927" s="7">
        <v>811</v>
      </c>
      <c r="E2927" s="3">
        <v>8</v>
      </c>
      <c r="F2927" s="3">
        <v>8</v>
      </c>
      <c r="G2927" t="s">
        <v>516</v>
      </c>
    </row>
    <row r="2928" spans="1:7" x14ac:dyDescent="0.25">
      <c r="A2928" s="1" t="str">
        <f>"521628"</f>
        <v>521628</v>
      </c>
      <c r="B2928" s="2" t="str">
        <f>"BOMBA DRENO 220V MINI 30L 7000 A 60000 BTUS"</f>
        <v>BOMBA DRENO 220V MINI 30L 7000 A 60000 BTUS</v>
      </c>
      <c r="C2928" s="2" t="str">
        <f t="shared" si="117"/>
        <v>UN</v>
      </c>
      <c r="D2928" s="7">
        <v>811</v>
      </c>
      <c r="E2928" s="3">
        <v>8</v>
      </c>
      <c r="F2928" s="3">
        <v>8</v>
      </c>
      <c r="G2928" t="s">
        <v>515</v>
      </c>
    </row>
    <row r="2929" spans="1:7" x14ac:dyDescent="0.25">
      <c r="A2929" s="1" t="str">
        <f>"521585"</f>
        <v>521585</v>
      </c>
      <c r="B2929" s="2" t="str">
        <f>"BOMBA ELETRICA 12V"</f>
        <v>BOMBA ELETRICA 12V</v>
      </c>
      <c r="C2929" s="2" t="str">
        <f t="shared" si="117"/>
        <v>UN</v>
      </c>
      <c r="D2929" s="7">
        <v>1003</v>
      </c>
      <c r="E2929" s="3">
        <v>11</v>
      </c>
      <c r="F2929" s="3">
        <v>11</v>
      </c>
      <c r="G2929" t="s">
        <v>514</v>
      </c>
    </row>
    <row r="2930" spans="1:7" x14ac:dyDescent="0.25">
      <c r="A2930" s="1" t="str">
        <f>"515102"</f>
        <v>515102</v>
      </c>
      <c r="B2930" s="2" t="str">
        <f>"BOMBA ELETRICA 24V"</f>
        <v>BOMBA ELETRICA 24V</v>
      </c>
      <c r="C2930" s="2" t="str">
        <f t="shared" si="117"/>
        <v>UN</v>
      </c>
      <c r="D2930" s="7">
        <v>1003</v>
      </c>
      <c r="E2930" s="3">
        <v>11</v>
      </c>
      <c r="F2930" s="3">
        <v>11</v>
      </c>
      <c r="G2930" t="s">
        <v>512</v>
      </c>
    </row>
    <row r="2931" spans="1:7" x14ac:dyDescent="0.25">
      <c r="A2931" s="1" t="str">
        <f>"520661"</f>
        <v>520661</v>
      </c>
      <c r="B2931" s="8" t="s">
        <v>171</v>
      </c>
      <c r="C2931" s="2" t="str">
        <f t="shared" si="117"/>
        <v>UN</v>
      </c>
      <c r="D2931" s="7">
        <v>813</v>
      </c>
      <c r="E2931" s="3">
        <v>10</v>
      </c>
      <c r="F2931" s="3">
        <v>10</v>
      </c>
      <c r="G2931" t="s">
        <v>513</v>
      </c>
    </row>
    <row r="2932" spans="1:7" x14ac:dyDescent="0.25">
      <c r="A2932" s="1" t="str">
        <f>"522655"</f>
        <v>522655</v>
      </c>
      <c r="B2932" s="2" t="str">
        <f>"BOMBA HAR 5/260B 440V 1750RPM 60HZ"</f>
        <v>BOMBA HAR 5/260B 440V 1750RPM 60HZ</v>
      </c>
      <c r="C2932" s="2" t="str">
        <f t="shared" si="117"/>
        <v>UN</v>
      </c>
      <c r="D2932" s="7">
        <v>813</v>
      </c>
      <c r="E2932" s="3">
        <v>8</v>
      </c>
      <c r="F2932" s="3">
        <v>8</v>
      </c>
      <c r="G2932" t="s">
        <v>514</v>
      </c>
    </row>
    <row r="2933" spans="1:7" x14ac:dyDescent="0.25">
      <c r="A2933" s="1" t="str">
        <f>"503585"</f>
        <v>503585</v>
      </c>
      <c r="B2933" s="2" t="str">
        <f>"BOMBA HID.1PF2G3-30B/29 RA07MS"</f>
        <v>BOMBA HID.1PF2G3-30B/29 RA07MS</v>
      </c>
      <c r="C2933" s="2" t="str">
        <f t="shared" si="117"/>
        <v>UN</v>
      </c>
      <c r="D2933" s="7">
        <v>900</v>
      </c>
      <c r="E2933" s="3">
        <v>11</v>
      </c>
      <c r="F2933" s="3">
        <v>11</v>
      </c>
      <c r="G2933" t="s">
        <v>514</v>
      </c>
    </row>
    <row r="2934" spans="1:7" x14ac:dyDescent="0.25">
      <c r="A2934" s="1" t="str">
        <f>"517614"</f>
        <v>517614</v>
      </c>
      <c r="B2934" s="2" t="str">
        <f>"BOMBA HIDRAULICA  25V17A1C22"</f>
        <v>BOMBA HIDRAULICA  25V17A1C22</v>
      </c>
      <c r="C2934" s="2" t="str">
        <f t="shared" si="117"/>
        <v>UN</v>
      </c>
      <c r="D2934" s="7">
        <v>918</v>
      </c>
      <c r="E2934" s="3">
        <v>11</v>
      </c>
      <c r="F2934" s="3">
        <v>11</v>
      </c>
      <c r="G2934" t="s">
        <v>512</v>
      </c>
    </row>
    <row r="2935" spans="1:7" x14ac:dyDescent="0.25">
      <c r="A2935" s="1" t="str">
        <f>"519666"</f>
        <v>519666</v>
      </c>
      <c r="B2935" s="2" t="str">
        <f>"BOMBA HIDRAULICA EIXO 1 4939"</f>
        <v>BOMBA HIDRAULICA EIXO 1 4939</v>
      </c>
      <c r="C2935" s="2" t="str">
        <f t="shared" si="117"/>
        <v>UN</v>
      </c>
      <c r="D2935" s="7">
        <v>914</v>
      </c>
      <c r="E2935" s="3">
        <v>11</v>
      </c>
      <c r="F2935" s="3">
        <v>11</v>
      </c>
      <c r="G2935" t="s">
        <v>513</v>
      </c>
    </row>
    <row r="2936" spans="1:7" x14ac:dyDescent="0.25">
      <c r="A2936" s="1" t="str">
        <f>"510563"</f>
        <v>510563</v>
      </c>
      <c r="B2936" s="2" t="str">
        <f>"BOMBA HIDRAULICA EMPILHADEIRA FBRE"</f>
        <v>BOMBA HIDRAULICA EMPILHADEIRA FBRE</v>
      </c>
      <c r="C2936" s="2" t="str">
        <f t="shared" si="117"/>
        <v>UN</v>
      </c>
      <c r="D2936" s="7">
        <v>914</v>
      </c>
      <c r="E2936" s="3">
        <v>11</v>
      </c>
      <c r="F2936" s="3">
        <v>11</v>
      </c>
      <c r="G2936" t="s">
        <v>514</v>
      </c>
    </row>
    <row r="2937" spans="1:7" x14ac:dyDescent="0.25">
      <c r="A2937" s="1" t="str">
        <f>"519519"</f>
        <v>519519</v>
      </c>
      <c r="B2937" s="2" t="str">
        <f>"BOMBA HIDRAULICA LIVENZA COD.310721201"</f>
        <v>BOMBA HIDRAULICA LIVENZA COD.310721201</v>
      </c>
      <c r="C2937" s="2" t="str">
        <f t="shared" si="117"/>
        <v>UN</v>
      </c>
      <c r="D2937" s="7">
        <v>914</v>
      </c>
      <c r="E2937" s="3">
        <v>11</v>
      </c>
      <c r="F2937" s="3">
        <v>11</v>
      </c>
      <c r="G2937" t="s">
        <v>514</v>
      </c>
    </row>
    <row r="2938" spans="1:7" x14ac:dyDescent="0.25">
      <c r="A2938" s="1" t="str">
        <f>"516530"</f>
        <v>516530</v>
      </c>
      <c r="B2938" s="2" t="str">
        <f>"BOMBA HIDRAULICA LIVENZA COD.505512"</f>
        <v>BOMBA HIDRAULICA LIVENZA COD.505512</v>
      </c>
      <c r="C2938" s="2" t="str">
        <f t="shared" si="117"/>
        <v>UN</v>
      </c>
      <c r="D2938" s="7">
        <v>914</v>
      </c>
      <c r="E2938" s="3">
        <v>11</v>
      </c>
      <c r="F2938" s="3">
        <v>11</v>
      </c>
      <c r="G2938" t="s">
        <v>514</v>
      </c>
    </row>
    <row r="2939" spans="1:7" x14ac:dyDescent="0.25">
      <c r="A2939" s="1" t="str">
        <f>"502724"</f>
        <v>502724</v>
      </c>
      <c r="B2939" s="2" t="str">
        <f>"BOMBA HIDRAULICA LIVENZA COD.505512 K02"</f>
        <v>BOMBA HIDRAULICA LIVENZA COD.505512 K02</v>
      </c>
      <c r="C2939" s="2" t="str">
        <f t="shared" si="117"/>
        <v>UN</v>
      </c>
      <c r="D2939" s="7">
        <v>914</v>
      </c>
      <c r="E2939" s="3">
        <v>11</v>
      </c>
      <c r="F2939" s="3">
        <v>11</v>
      </c>
      <c r="G2939" t="s">
        <v>513</v>
      </c>
    </row>
    <row r="2940" spans="1:7" x14ac:dyDescent="0.25">
      <c r="A2940" s="1" t="str">
        <f>"503928"</f>
        <v>503928</v>
      </c>
      <c r="B2940" s="2" t="str">
        <f>"BOMBA HIDRAULICA PV7-2X/20-20RA01MAO-10"</f>
        <v>BOMBA HIDRAULICA PV7-2X/20-20RA01MAO-10</v>
      </c>
      <c r="C2940" s="2" t="str">
        <f t="shared" si="117"/>
        <v>UN</v>
      </c>
      <c r="D2940" s="7">
        <v>914</v>
      </c>
      <c r="E2940" s="3">
        <v>11</v>
      </c>
      <c r="F2940" s="3">
        <v>11</v>
      </c>
      <c r="G2940" t="s">
        <v>512</v>
      </c>
    </row>
    <row r="2941" spans="1:7" x14ac:dyDescent="0.25">
      <c r="A2941" s="1" t="str">
        <f>"516155"</f>
        <v>516155</v>
      </c>
      <c r="B2941" s="2" t="str">
        <f>"BOMBA INDUSTRIAL 30.000L/H 40MCA 5KG MACHO SMS"</f>
        <v>BOMBA INDUSTRIAL 30.000L/H 40MCA 5KG MACHO SMS</v>
      </c>
      <c r="C2941" s="2" t="str">
        <f t="shared" si="117"/>
        <v>UN</v>
      </c>
      <c r="D2941" s="7">
        <v>813</v>
      </c>
      <c r="E2941" s="3">
        <v>10</v>
      </c>
      <c r="F2941" s="3">
        <v>10</v>
      </c>
      <c r="G2941" t="s">
        <v>513</v>
      </c>
    </row>
    <row r="2942" spans="1:7" x14ac:dyDescent="0.25">
      <c r="A2942" s="1" t="str">
        <f>"516446"</f>
        <v>516446</v>
      </c>
      <c r="B2942" s="2" t="str">
        <f>"BOMBA INDUSTRIAL BL30 - 04HP"</f>
        <v>BOMBA INDUSTRIAL BL30 - 04HP</v>
      </c>
      <c r="C2942" s="2" t="str">
        <f t="shared" si="117"/>
        <v>UN</v>
      </c>
      <c r="D2942" s="7">
        <v>1000</v>
      </c>
      <c r="E2942" s="3">
        <v>11</v>
      </c>
      <c r="F2942" s="3">
        <v>11</v>
      </c>
      <c r="G2942" t="s">
        <v>514</v>
      </c>
    </row>
    <row r="2943" spans="1:7" x14ac:dyDescent="0.25">
      <c r="A2943" s="1" t="str">
        <f>"519504"</f>
        <v>519504</v>
      </c>
      <c r="B2943" s="2" t="str">
        <f>"BOMBA INDUSTRIAL BL40-5HP -25MCA - 20.000L/H - 2"" X 2"""</f>
        <v>BOMBA INDUSTRIAL BL40-5HP -25MCA - 20.000L/H - 2" X 2"</v>
      </c>
      <c r="C2943" s="2" t="str">
        <f t="shared" si="117"/>
        <v>UN</v>
      </c>
      <c r="D2943" s="7">
        <v>813</v>
      </c>
      <c r="E2943" s="3">
        <v>10</v>
      </c>
      <c r="F2943" s="3">
        <v>10</v>
      </c>
      <c r="G2943" t="s">
        <v>514</v>
      </c>
    </row>
    <row r="2944" spans="1:7" x14ac:dyDescent="0.25">
      <c r="A2944" s="1" t="str">
        <f>"516447"</f>
        <v>516447</v>
      </c>
      <c r="B2944" s="2" t="str">
        <f>"BOMBA INDUSTRIAL BL5 - 0,5HP"</f>
        <v>BOMBA INDUSTRIAL BL5 - 0,5HP</v>
      </c>
      <c r="C2944" s="2" t="str">
        <f t="shared" si="117"/>
        <v>UN</v>
      </c>
      <c r="D2944" s="7">
        <v>1000</v>
      </c>
      <c r="E2944" s="3">
        <v>13</v>
      </c>
      <c r="F2944" s="3">
        <v>13</v>
      </c>
      <c r="G2944" t="s">
        <v>514</v>
      </c>
    </row>
    <row r="2945" spans="1:7" x14ac:dyDescent="0.25">
      <c r="A2945" s="1" t="str">
        <f>"509947"</f>
        <v>509947</v>
      </c>
      <c r="B2945" s="2" t="str">
        <f>"BOMBA INDUSTRIAL BL50 - 10HP"</f>
        <v>BOMBA INDUSTRIAL BL50 - 10HP</v>
      </c>
      <c r="C2945" s="2" t="str">
        <f t="shared" si="117"/>
        <v>UN</v>
      </c>
      <c r="D2945" s="7">
        <v>813</v>
      </c>
      <c r="E2945" s="3">
        <v>10</v>
      </c>
      <c r="F2945" s="3">
        <v>10</v>
      </c>
      <c r="G2945" t="s">
        <v>513</v>
      </c>
    </row>
    <row r="2946" spans="1:7" x14ac:dyDescent="0.25">
      <c r="A2946" s="1" t="str">
        <f>"512249"</f>
        <v>512249</v>
      </c>
      <c r="B2946" s="2" t="str">
        <f>"BOMBA INDUSTRIAL BL50 - 10HP"</f>
        <v>BOMBA INDUSTRIAL BL50 - 10HP</v>
      </c>
      <c r="C2946" s="2" t="str">
        <f t="shared" si="117"/>
        <v>UN</v>
      </c>
      <c r="D2946" s="7">
        <v>1400</v>
      </c>
      <c r="E2946" s="3">
        <v>13</v>
      </c>
      <c r="F2946" s="3">
        <v>13</v>
      </c>
      <c r="G2946" t="s">
        <v>513</v>
      </c>
    </row>
    <row r="2947" spans="1:7" x14ac:dyDescent="0.25">
      <c r="A2947" s="1" t="str">
        <f>"509945"</f>
        <v>509945</v>
      </c>
      <c r="B2947" s="2" t="str">
        <f>"BOMBA INDUSTRIAL BL50 - 4HP"</f>
        <v>BOMBA INDUSTRIAL BL50 - 4HP</v>
      </c>
      <c r="C2947" s="2" t="str">
        <f t="shared" si="117"/>
        <v>UN</v>
      </c>
      <c r="D2947" s="7">
        <v>813</v>
      </c>
      <c r="E2947" s="3">
        <v>10</v>
      </c>
      <c r="F2947" s="3">
        <v>10</v>
      </c>
      <c r="G2947" t="s">
        <v>513</v>
      </c>
    </row>
    <row r="2948" spans="1:7" x14ac:dyDescent="0.25">
      <c r="A2948" s="1" t="str">
        <f>"509946"</f>
        <v>509946</v>
      </c>
      <c r="B2948" s="2" t="str">
        <f>"BOMBA INDUSTRIAL BL60 - 10HP - 40MCA - 30.000L/H - 2"" X 2"""</f>
        <v>BOMBA INDUSTRIAL BL60 - 10HP - 40MCA - 30.000L/H - 2" X 2"</v>
      </c>
      <c r="C2948" s="2" t="str">
        <f t="shared" si="117"/>
        <v>UN</v>
      </c>
      <c r="D2948" s="7">
        <v>813</v>
      </c>
      <c r="E2948" s="3">
        <v>10</v>
      </c>
      <c r="F2948" s="3">
        <v>10</v>
      </c>
      <c r="G2948" t="s">
        <v>512</v>
      </c>
    </row>
    <row r="2949" spans="1:7" x14ac:dyDescent="0.25">
      <c r="A2949" s="1" t="str">
        <f>"516214"</f>
        <v>516214</v>
      </c>
      <c r="B2949" s="2" t="str">
        <f>"BOMBA INDUSTRIAL BL60 - 10HP 20000L/H ENT 2 1/2"" SAIDA 2"""</f>
        <v>BOMBA INDUSTRIAL BL60 - 10HP 20000L/H ENT 2 1/2" SAIDA 2"</v>
      </c>
      <c r="C2949" s="2" t="str">
        <f t="shared" si="117"/>
        <v>UN</v>
      </c>
      <c r="D2949" s="7">
        <v>1400</v>
      </c>
      <c r="E2949" s="3">
        <v>11</v>
      </c>
      <c r="F2949" s="3">
        <v>11</v>
      </c>
      <c r="G2949" t="s">
        <v>513</v>
      </c>
    </row>
    <row r="2950" spans="1:7" x14ac:dyDescent="0.25">
      <c r="A2950" s="1" t="str">
        <f>"510490"</f>
        <v>510490</v>
      </c>
      <c r="B2950" s="2" t="str">
        <f>"BOMBA INDUSTRIAL BL60 - 12,5HP"</f>
        <v>BOMBA INDUSTRIAL BL60 - 12,5HP</v>
      </c>
      <c r="C2950" s="2" t="str">
        <f t="shared" si="117"/>
        <v>UN</v>
      </c>
      <c r="D2950" s="7">
        <v>813</v>
      </c>
      <c r="E2950" s="3">
        <v>10</v>
      </c>
      <c r="F2950" s="3">
        <v>10</v>
      </c>
      <c r="G2950" t="s">
        <v>514</v>
      </c>
    </row>
    <row r="2951" spans="1:7" x14ac:dyDescent="0.25">
      <c r="A2951" s="1" t="str">
        <f>"512248"</f>
        <v>512248</v>
      </c>
      <c r="B2951" s="2" t="str">
        <f>"BOMBA INDUSTRIAL BL60 - 7,5HP"</f>
        <v>BOMBA INDUSTRIAL BL60 - 7,5HP</v>
      </c>
      <c r="C2951" s="2" t="str">
        <f t="shared" si="117"/>
        <v>UN</v>
      </c>
      <c r="D2951" s="7">
        <v>1400</v>
      </c>
      <c r="E2951" s="3">
        <v>13</v>
      </c>
      <c r="F2951" s="3">
        <v>13</v>
      </c>
      <c r="G2951" t="s">
        <v>515</v>
      </c>
    </row>
    <row r="2952" spans="1:7" x14ac:dyDescent="0.25">
      <c r="A2952" s="1" t="str">
        <f>"516518"</f>
        <v>516518</v>
      </c>
      <c r="B2952" s="2" t="str">
        <f>"BOMBA INDUSTRIAL BL80 - 20HP"</f>
        <v>BOMBA INDUSTRIAL BL80 - 20HP</v>
      </c>
      <c r="C2952" s="2" t="str">
        <f t="shared" si="117"/>
        <v>UN</v>
      </c>
      <c r="D2952" s="7">
        <v>1000</v>
      </c>
      <c r="E2952" s="3">
        <v>10</v>
      </c>
      <c r="F2952" s="3">
        <v>10</v>
      </c>
      <c r="G2952" t="s">
        <v>512</v>
      </c>
    </row>
    <row r="2953" spans="1:7" x14ac:dyDescent="0.25">
      <c r="A2953" s="1" t="str">
        <f>"525591"</f>
        <v>525591</v>
      </c>
      <c r="B2953" s="2" t="str">
        <f>"BOMBA JACTO JP 42A"</f>
        <v>BOMBA JACTO JP 42A</v>
      </c>
      <c r="C2953" s="2" t="str">
        <f t="shared" si="117"/>
        <v>UN</v>
      </c>
      <c r="D2953" s="7">
        <v>813</v>
      </c>
      <c r="E2953" s="3">
        <v>10</v>
      </c>
      <c r="F2953" s="3">
        <v>10</v>
      </c>
      <c r="G2953" t="s">
        <v>516</v>
      </c>
    </row>
    <row r="2954" spans="1:7" x14ac:dyDescent="0.25">
      <c r="A2954" s="1" t="str">
        <f>"510994"</f>
        <v>510994</v>
      </c>
      <c r="B2954" s="2" t="str">
        <f>"BOMBA JVP J04I-10 8HP TRIFASICA 380V"</f>
        <v>BOMBA JVP J04I-10 8HP TRIFASICA 380V</v>
      </c>
      <c r="C2954" s="2" t="str">
        <f t="shared" si="117"/>
        <v>UN</v>
      </c>
      <c r="D2954" s="7">
        <v>813</v>
      </c>
      <c r="E2954" s="3">
        <v>10</v>
      </c>
      <c r="F2954" s="3">
        <v>10</v>
      </c>
      <c r="G2954" t="s">
        <v>515</v>
      </c>
    </row>
    <row r="2955" spans="1:7" x14ac:dyDescent="0.25">
      <c r="A2955" s="1" t="str">
        <f>"507653"</f>
        <v>507653</v>
      </c>
      <c r="B2955" s="2" t="str">
        <f>"BOMBA KSB 15CV 220/760V MEGABLOC 933303"</f>
        <v>BOMBA KSB 15CV 220/760V MEGABLOC 933303</v>
      </c>
      <c r="C2955" s="2" t="str">
        <f t="shared" si="117"/>
        <v>UN</v>
      </c>
      <c r="D2955" s="7">
        <v>1400</v>
      </c>
      <c r="E2955" s="3">
        <v>13</v>
      </c>
      <c r="F2955" s="3">
        <v>13</v>
      </c>
      <c r="G2955" t="s">
        <v>514</v>
      </c>
    </row>
    <row r="2956" spans="1:7" x14ac:dyDescent="0.25">
      <c r="A2956" s="1" t="str">
        <f>"510656"</f>
        <v>510656</v>
      </c>
      <c r="B2956" s="2" t="str">
        <f>"BOMBA KSB 40MCA/90000L/HR"</f>
        <v>BOMBA KSB 40MCA/90000L/HR</v>
      </c>
      <c r="C2956" s="2" t="str">
        <f t="shared" si="117"/>
        <v>UN</v>
      </c>
      <c r="D2956" s="7">
        <v>813</v>
      </c>
      <c r="E2956" s="3">
        <v>10</v>
      </c>
      <c r="F2956" s="3">
        <v>10</v>
      </c>
      <c r="G2956" t="s">
        <v>512</v>
      </c>
    </row>
    <row r="2957" spans="1:7" x14ac:dyDescent="0.25">
      <c r="A2957" s="1" t="str">
        <f>"508128"</f>
        <v>508128</v>
      </c>
      <c r="B2957" s="2" t="str">
        <f>"BOMBA KSB 60MCA/40000L/HR"</f>
        <v>BOMBA KSB 60MCA/40000L/HR</v>
      </c>
      <c r="C2957" s="2" t="str">
        <f t="shared" si="117"/>
        <v>UN</v>
      </c>
      <c r="D2957" s="7">
        <v>813</v>
      </c>
      <c r="E2957" s="3">
        <v>10</v>
      </c>
      <c r="F2957" s="3">
        <v>10</v>
      </c>
      <c r="G2957" t="s">
        <v>513</v>
      </c>
    </row>
    <row r="2958" spans="1:7" x14ac:dyDescent="0.25">
      <c r="A2958" s="1" t="str">
        <f>"508119"</f>
        <v>508119</v>
      </c>
      <c r="B2958" s="2" t="str">
        <f>"BOMBA KSB 80MCA 30000LT/H P/ AGUA A 25º"</f>
        <v>BOMBA KSB 80MCA 30000LT/H P/ AGUA A 25º</v>
      </c>
      <c r="C2958" s="2" t="str">
        <f t="shared" si="117"/>
        <v>UN</v>
      </c>
      <c r="D2958" s="7">
        <v>1400</v>
      </c>
      <c r="E2958" s="3">
        <v>13</v>
      </c>
      <c r="F2958" s="3">
        <v>13</v>
      </c>
      <c r="G2958" t="s">
        <v>514</v>
      </c>
    </row>
    <row r="2959" spans="1:7" x14ac:dyDescent="0.25">
      <c r="A2959" s="1" t="str">
        <f>"527865"</f>
        <v>527865</v>
      </c>
      <c r="B2959" s="2" t="str">
        <f>"BOMBA KSB MEGABLOC 050-032-125 30MCA 30000LT/H"</f>
        <v>BOMBA KSB MEGABLOC 050-032-125 30MCA 30000LT/H</v>
      </c>
      <c r="C2959" s="2" t="str">
        <f t="shared" ref="C2959:C2990" si="118">"UN"</f>
        <v>UN</v>
      </c>
      <c r="D2959" s="7">
        <v>813</v>
      </c>
      <c r="E2959" s="3">
        <v>10</v>
      </c>
      <c r="F2959" s="3">
        <v>10</v>
      </c>
      <c r="G2959" t="s">
        <v>514</v>
      </c>
    </row>
    <row r="2960" spans="1:7" x14ac:dyDescent="0.25">
      <c r="A2960" s="1" t="str">
        <f>"527963"</f>
        <v>527963</v>
      </c>
      <c r="B2960" s="2" t="str">
        <f>"BOMBA KSB MEGABLOC 065-040-125 28MCA 40000LT/H"</f>
        <v>BOMBA KSB MEGABLOC 065-040-125 28MCA 40000LT/H</v>
      </c>
      <c r="C2960" s="2" t="str">
        <f t="shared" si="118"/>
        <v>UN</v>
      </c>
      <c r="D2960" s="7">
        <v>813</v>
      </c>
      <c r="E2960" s="3">
        <v>10</v>
      </c>
      <c r="F2960" s="3">
        <v>10</v>
      </c>
      <c r="G2960" t="s">
        <v>512</v>
      </c>
    </row>
    <row r="2961" spans="1:7" x14ac:dyDescent="0.25">
      <c r="A2961" s="1" t="str">
        <f>"507267"</f>
        <v>507267</v>
      </c>
      <c r="B2961" s="2" t="str">
        <f>"BOMBA KSB MEGANBLOC 20MCA 15.000LT/HR"</f>
        <v>BOMBA KSB MEGANBLOC 20MCA 15.000LT/HR</v>
      </c>
      <c r="C2961" s="2" t="str">
        <f t="shared" si="118"/>
        <v>UN</v>
      </c>
      <c r="D2961" s="7">
        <v>813</v>
      </c>
      <c r="E2961" s="3">
        <v>10</v>
      </c>
      <c r="F2961" s="3">
        <v>10</v>
      </c>
      <c r="G2961" t="s">
        <v>513</v>
      </c>
    </row>
    <row r="2962" spans="1:7" x14ac:dyDescent="0.25">
      <c r="A2962" s="1" t="str">
        <f>"522829"</f>
        <v>522829</v>
      </c>
      <c r="B2962" s="2" t="str">
        <f>"BOMBA KSB MEGANORM 75CV 3500RPM - 130M3/H X 110MCA"</f>
        <v>BOMBA KSB MEGANORM 75CV 3500RPM - 130M3/H X 110MCA</v>
      </c>
      <c r="C2962" s="2" t="str">
        <f t="shared" si="118"/>
        <v>UN</v>
      </c>
      <c r="D2962" s="7">
        <v>1000</v>
      </c>
      <c r="E2962" s="3">
        <v>10</v>
      </c>
      <c r="F2962" s="3">
        <v>10</v>
      </c>
      <c r="G2962" t="s">
        <v>514</v>
      </c>
    </row>
    <row r="2963" spans="1:7" x14ac:dyDescent="0.25">
      <c r="A2963" s="1" t="str">
        <f>"508217"</f>
        <v>508217</v>
      </c>
      <c r="B2963" s="2" t="str">
        <f>"BOMBA LEITE 2M SMS 304/E 5.00HP 2P 2""X2"""</f>
        <v>BOMBA LEITE 2M SMS 304/E 5.00HP 2P 2"X2"</v>
      </c>
      <c r="C2963" s="2" t="str">
        <f t="shared" si="118"/>
        <v>UN</v>
      </c>
      <c r="D2963" s="7">
        <v>1400</v>
      </c>
      <c r="E2963" s="3">
        <v>13</v>
      </c>
      <c r="F2963" s="3">
        <v>13</v>
      </c>
      <c r="G2963" t="s">
        <v>514</v>
      </c>
    </row>
    <row r="2964" spans="1:7" x14ac:dyDescent="0.25">
      <c r="A2964" s="1" t="str">
        <f>"523753"</f>
        <v>523753</v>
      </c>
      <c r="B2964" s="2" t="str">
        <f>"BOMBA LIQUIDO LIMPEZA ESPECTOFOMETRO 60084140"</f>
        <v>BOMBA LIQUIDO LIMPEZA ESPECTOFOMETRO 60084140</v>
      </c>
      <c r="C2964" s="2" t="str">
        <f t="shared" si="118"/>
        <v>UN</v>
      </c>
      <c r="D2964" s="7">
        <v>99999</v>
      </c>
      <c r="E2964" s="3">
        <v>99</v>
      </c>
      <c r="F2964" s="3">
        <v>99</v>
      </c>
      <c r="G2964" t="s">
        <v>514</v>
      </c>
    </row>
    <row r="2965" spans="1:7" x14ac:dyDescent="0.25">
      <c r="A2965" s="1" t="str">
        <f>"526639"</f>
        <v>526639</v>
      </c>
      <c r="B2965" s="2" t="str">
        <f>"BOMBA MANUAL BMV P/GRAXA 500G"</f>
        <v>BOMBA MANUAL BMV P/GRAXA 500G</v>
      </c>
      <c r="C2965" s="2" t="str">
        <f t="shared" si="118"/>
        <v>UN</v>
      </c>
      <c r="D2965" s="7">
        <v>920</v>
      </c>
      <c r="E2965" s="3">
        <v>4</v>
      </c>
      <c r="F2965" s="3">
        <v>4</v>
      </c>
      <c r="G2965" t="s">
        <v>513</v>
      </c>
    </row>
    <row r="2966" spans="1:7" x14ac:dyDescent="0.25">
      <c r="A2966" s="1" t="str">
        <f>"501820"</f>
        <v>501820</v>
      </c>
      <c r="B2966" s="2" t="str">
        <f>"BOMBA MANUAL COMBUSTIVEL"</f>
        <v>BOMBA MANUAL COMBUSTIVEL</v>
      </c>
      <c r="C2966" s="2" t="str">
        <f t="shared" si="118"/>
        <v>UN</v>
      </c>
      <c r="D2966" s="7">
        <v>918</v>
      </c>
      <c r="E2966" s="3">
        <v>9</v>
      </c>
      <c r="F2966" s="3">
        <v>9</v>
      </c>
      <c r="G2966" t="s">
        <v>512</v>
      </c>
    </row>
    <row r="2967" spans="1:7" x14ac:dyDescent="0.25">
      <c r="A2967" s="1" t="str">
        <f>"520439"</f>
        <v>520439</v>
      </c>
      <c r="B2967" s="2" t="str">
        <f>"BOMBA MASOSINE MODELO EC25"</f>
        <v>BOMBA MASOSINE MODELO EC25</v>
      </c>
      <c r="C2967" s="2" t="str">
        <f t="shared" si="118"/>
        <v>UN</v>
      </c>
      <c r="D2967" s="7">
        <v>1400</v>
      </c>
      <c r="E2967" s="3">
        <v>13</v>
      </c>
      <c r="F2967" s="3">
        <v>13</v>
      </c>
      <c r="G2967" t="s">
        <v>513</v>
      </c>
    </row>
    <row r="2968" spans="1:7" x14ac:dyDescent="0.25">
      <c r="A2968" s="1" t="str">
        <f>"505774"</f>
        <v>505774</v>
      </c>
      <c r="B2968" s="2" t="str">
        <f>"BOMBA MAXCLIMA"</f>
        <v>BOMBA MAXCLIMA</v>
      </c>
      <c r="C2968" s="2" t="str">
        <f t="shared" si="118"/>
        <v>UN</v>
      </c>
      <c r="D2968" s="7">
        <v>704</v>
      </c>
      <c r="E2968" s="3">
        <v>9</v>
      </c>
      <c r="F2968" s="3">
        <v>9</v>
      </c>
      <c r="G2968" t="s">
        <v>514</v>
      </c>
    </row>
    <row r="2969" spans="1:7" x14ac:dyDescent="0.25">
      <c r="A2969" s="1" t="str">
        <f>"519252"</f>
        <v>519252</v>
      </c>
      <c r="B2969" s="2" t="str">
        <f>"BOMBA MB FES6A-T 3CV 105MM 220/380/440V 2P"</f>
        <v>BOMBA MB FES6A-T 3CV 105MM 220/380/440V 2P</v>
      </c>
      <c r="C2969" s="2" t="str">
        <f t="shared" si="118"/>
        <v>UN</v>
      </c>
      <c r="D2969" s="7">
        <v>1400</v>
      </c>
      <c r="E2969" s="3">
        <v>10</v>
      </c>
      <c r="F2969" s="3">
        <v>10</v>
      </c>
      <c r="G2969" t="s">
        <v>514</v>
      </c>
    </row>
    <row r="2970" spans="1:7" x14ac:dyDescent="0.25">
      <c r="A2970" s="1" t="str">
        <f>"512883"</f>
        <v>512883</v>
      </c>
      <c r="B2970" s="2" t="str">
        <f>"BOMBA ME-BR 2340"</f>
        <v>BOMBA ME-BR 2340</v>
      </c>
      <c r="C2970" s="2" t="str">
        <f t="shared" si="118"/>
        <v>UN</v>
      </c>
      <c r="D2970" s="7">
        <v>1400</v>
      </c>
      <c r="E2970" s="3">
        <v>8</v>
      </c>
      <c r="F2970" s="3">
        <v>8</v>
      </c>
      <c r="G2970" t="s">
        <v>514</v>
      </c>
    </row>
    <row r="2971" spans="1:7" x14ac:dyDescent="0.25">
      <c r="A2971" s="1" t="str">
        <f>"517235"</f>
        <v>517235</v>
      </c>
      <c r="B2971" s="8" t="s">
        <v>86</v>
      </c>
      <c r="C2971" s="2" t="str">
        <f t="shared" si="118"/>
        <v>UN</v>
      </c>
      <c r="D2971" s="7">
        <v>918</v>
      </c>
      <c r="E2971" s="3">
        <v>11</v>
      </c>
      <c r="F2971" s="3">
        <v>11</v>
      </c>
      <c r="G2971" t="s">
        <v>513</v>
      </c>
    </row>
    <row r="2972" spans="1:7" x14ac:dyDescent="0.25">
      <c r="A2972" s="1" t="str">
        <f>"517236"</f>
        <v>517236</v>
      </c>
      <c r="B2972" s="8" t="s">
        <v>87</v>
      </c>
      <c r="C2972" s="2" t="str">
        <f t="shared" si="118"/>
        <v>UN</v>
      </c>
      <c r="D2972" s="7">
        <v>918</v>
      </c>
      <c r="E2972" s="3">
        <v>11</v>
      </c>
      <c r="F2972" s="3">
        <v>11</v>
      </c>
      <c r="G2972" t="s">
        <v>513</v>
      </c>
    </row>
    <row r="2973" spans="1:7" x14ac:dyDescent="0.25">
      <c r="A2973" s="1" t="str">
        <f>"528117"</f>
        <v>528117</v>
      </c>
      <c r="B2973" s="2" t="str">
        <f>"BOMBA MON AUT F AGUA TURVA FBZ10 2,0CV 110MM"</f>
        <v>BOMBA MON AUT F AGUA TURVA FBZ10 2,0CV 110MM</v>
      </c>
      <c r="C2973" s="2" t="str">
        <f t="shared" si="118"/>
        <v>UN</v>
      </c>
      <c r="D2973" s="7">
        <v>918</v>
      </c>
      <c r="E2973" s="3">
        <v>11</v>
      </c>
      <c r="F2973" s="3">
        <v>11</v>
      </c>
      <c r="G2973" t="s">
        <v>513</v>
      </c>
    </row>
    <row r="2974" spans="1:7" x14ac:dyDescent="0.25">
      <c r="A2974" s="1" t="str">
        <f>"528104"</f>
        <v>528104</v>
      </c>
      <c r="B2974" s="2" t="str">
        <f>"BOMBA MON. AUT. F. AGUA TURVA FBZ10 3,0CV 128MM 220/380/440V"</f>
        <v>BOMBA MON. AUT. F. AGUA TURVA FBZ10 3,0CV 128MM 220/380/440V</v>
      </c>
      <c r="C2974" s="2" t="str">
        <f t="shared" si="118"/>
        <v>UN</v>
      </c>
      <c r="D2974" s="7">
        <v>402</v>
      </c>
      <c r="E2974" s="3">
        <v>11</v>
      </c>
      <c r="F2974" s="3">
        <v>11</v>
      </c>
      <c r="G2974" t="s">
        <v>512</v>
      </c>
    </row>
    <row r="2975" spans="1:7" x14ac:dyDescent="0.25">
      <c r="A2975" s="1" t="str">
        <f>"527477"</f>
        <v>527477</v>
      </c>
      <c r="B2975" s="2" t="str">
        <f>"BOMBA NEMO MOD. NM015BY02S12B C/ ACIONAMENTO"</f>
        <v>BOMBA NEMO MOD. NM015BY02S12B C/ ACIONAMENTO</v>
      </c>
      <c r="C2975" s="2" t="str">
        <f t="shared" si="118"/>
        <v>UN</v>
      </c>
      <c r="D2975" s="7">
        <v>1400</v>
      </c>
      <c r="E2975" s="3">
        <v>13</v>
      </c>
      <c r="F2975" s="3">
        <v>13</v>
      </c>
      <c r="G2975" t="s">
        <v>513</v>
      </c>
    </row>
    <row r="2976" spans="1:7" x14ac:dyDescent="0.25">
      <c r="A2976" s="1" t="str">
        <f>"504069"</f>
        <v>504069</v>
      </c>
      <c r="B2976" s="2" t="str">
        <f>"BOMBA NEMO MOD.NM015BH02S12H"</f>
        <v>BOMBA NEMO MOD.NM015BH02S12H</v>
      </c>
      <c r="C2976" s="2" t="str">
        <f t="shared" si="118"/>
        <v>UN</v>
      </c>
      <c r="D2976" s="7">
        <v>813</v>
      </c>
      <c r="E2976" s="3">
        <v>10</v>
      </c>
      <c r="F2976" s="3">
        <v>10</v>
      </c>
      <c r="G2976" t="s">
        <v>514</v>
      </c>
    </row>
    <row r="2977" spans="1:7" x14ac:dyDescent="0.25">
      <c r="A2977" s="1" t="str">
        <f>"509168"</f>
        <v>509168</v>
      </c>
      <c r="B2977" s="2" t="str">
        <f>"BOMBA NEMO MOD.NM021BY01L06B C/ INVERSOR"</f>
        <v>BOMBA NEMO MOD.NM021BY01L06B C/ INVERSOR</v>
      </c>
      <c r="C2977" s="2" t="str">
        <f t="shared" si="118"/>
        <v>UN</v>
      </c>
      <c r="D2977" s="7">
        <v>1400</v>
      </c>
      <c r="E2977" s="3">
        <v>13</v>
      </c>
      <c r="F2977" s="3">
        <v>13</v>
      </c>
      <c r="G2977" t="s">
        <v>515</v>
      </c>
    </row>
    <row r="2978" spans="1:7" x14ac:dyDescent="0.25">
      <c r="A2978" s="1" t="str">
        <f>"509169"</f>
        <v>509169</v>
      </c>
      <c r="B2978" s="2" t="str">
        <f>"BOMBA NEMO MOD.NM031BY01L06B C/ INVERSOR"</f>
        <v>BOMBA NEMO MOD.NM031BY01L06B C/ INVERSOR</v>
      </c>
      <c r="C2978" s="2" t="str">
        <f t="shared" si="118"/>
        <v>UN</v>
      </c>
      <c r="D2978" s="7">
        <v>1400</v>
      </c>
      <c r="E2978" s="3">
        <v>13</v>
      </c>
      <c r="F2978" s="3">
        <v>13</v>
      </c>
      <c r="G2978" t="s">
        <v>512</v>
      </c>
    </row>
    <row r="2979" spans="1:7" x14ac:dyDescent="0.25">
      <c r="A2979" s="1" t="str">
        <f>"503607"</f>
        <v>503607</v>
      </c>
      <c r="B2979" s="2" t="str">
        <f>"BOMBA NEMO MOD.NM038BH01L06H C/ INVERSOR"</f>
        <v>BOMBA NEMO MOD.NM038BH01L06H C/ INVERSOR</v>
      </c>
      <c r="C2979" s="2" t="str">
        <f t="shared" si="118"/>
        <v>UN</v>
      </c>
      <c r="D2979" s="7">
        <v>813</v>
      </c>
      <c r="E2979" s="3">
        <v>10</v>
      </c>
      <c r="F2979" s="3">
        <v>10</v>
      </c>
      <c r="G2979" t="s">
        <v>516</v>
      </c>
    </row>
    <row r="2980" spans="1:7" x14ac:dyDescent="0.25">
      <c r="A2980" s="1" t="str">
        <f>"515860"</f>
        <v>515860</v>
      </c>
      <c r="B2980" s="2" t="str">
        <f>"BOMBA NEMO MOD.NM045BH01LO6H C/ INVERSOR"</f>
        <v>BOMBA NEMO MOD.NM045BH01LO6H C/ INVERSOR</v>
      </c>
      <c r="C2980" s="2" t="str">
        <f t="shared" si="118"/>
        <v>UN</v>
      </c>
      <c r="D2980" s="7">
        <v>99999</v>
      </c>
      <c r="E2980" s="3">
        <v>99</v>
      </c>
      <c r="F2980" s="3">
        <v>99</v>
      </c>
      <c r="G2980" t="s">
        <v>515</v>
      </c>
    </row>
    <row r="2981" spans="1:7" x14ac:dyDescent="0.25">
      <c r="A2981" s="1" t="str">
        <f>"504302"</f>
        <v>504302</v>
      </c>
      <c r="B2981" s="2" t="str">
        <f>"BOMBA NEMO MOD.NM063BH01L06H C/ INVERSOR"</f>
        <v>BOMBA NEMO MOD.NM063BH01L06H C/ INVERSOR</v>
      </c>
      <c r="C2981" s="2" t="str">
        <f t="shared" si="118"/>
        <v>UN</v>
      </c>
      <c r="D2981" s="7">
        <v>99999</v>
      </c>
      <c r="E2981" s="3">
        <v>99</v>
      </c>
      <c r="F2981" s="3">
        <v>99</v>
      </c>
      <c r="G2981" t="s">
        <v>514</v>
      </c>
    </row>
    <row r="2982" spans="1:7" x14ac:dyDescent="0.25">
      <c r="A2982" s="1" t="str">
        <f>"509167"</f>
        <v>509167</v>
      </c>
      <c r="B2982" s="2" t="str">
        <f>"BOMBA NEMO MOD.NM090BY01L07V C/ INVERSOR"</f>
        <v>BOMBA NEMO MOD.NM090BY01L07V C/ INVERSOR</v>
      </c>
      <c r="C2982" s="2" t="str">
        <f t="shared" si="118"/>
        <v>UN</v>
      </c>
      <c r="D2982" s="7">
        <v>1400</v>
      </c>
      <c r="E2982" s="3">
        <v>13</v>
      </c>
      <c r="F2982" s="3">
        <v>13</v>
      </c>
      <c r="G2982" t="s">
        <v>512</v>
      </c>
    </row>
    <row r="2983" spans="1:7" x14ac:dyDescent="0.25">
      <c r="A2983" s="1" t="str">
        <f>"516979"</f>
        <v>516979</v>
      </c>
      <c r="B2983" s="2" t="str">
        <f>"BOMBA NETZSCH NM021BY01L06B B76203"</f>
        <v>BOMBA NETZSCH NM021BY01L06B B76203</v>
      </c>
      <c r="C2983" s="2" t="str">
        <f t="shared" si="118"/>
        <v>UN</v>
      </c>
      <c r="D2983" s="7">
        <v>1000</v>
      </c>
      <c r="E2983" s="3">
        <v>13</v>
      </c>
      <c r="F2983" s="3">
        <v>13</v>
      </c>
      <c r="G2983" t="s">
        <v>513</v>
      </c>
    </row>
    <row r="2984" spans="1:7" x14ac:dyDescent="0.25">
      <c r="A2984" s="1" t="str">
        <f>"516976"</f>
        <v>516976</v>
      </c>
      <c r="B2984" s="2" t="str">
        <f>"BOMBA NETZSCH NM021BY01L06B B76204"</f>
        <v>BOMBA NETZSCH NM021BY01L06B B76204</v>
      </c>
      <c r="C2984" s="2" t="str">
        <f t="shared" si="118"/>
        <v>UN</v>
      </c>
      <c r="D2984" s="7">
        <v>1000</v>
      </c>
      <c r="E2984" s="3">
        <v>13</v>
      </c>
      <c r="F2984" s="3">
        <v>13</v>
      </c>
      <c r="G2984" t="s">
        <v>514</v>
      </c>
    </row>
    <row r="2985" spans="1:7" x14ac:dyDescent="0.25">
      <c r="A2985" s="1" t="str">
        <f>"516978"</f>
        <v>516978</v>
      </c>
      <c r="B2985" s="2" t="str">
        <f>"BOMBA NETZSCH NM021BY01L06B B76206"</f>
        <v>BOMBA NETZSCH NM021BY01L06B B76206</v>
      </c>
      <c r="C2985" s="2" t="str">
        <f t="shared" si="118"/>
        <v>UN</v>
      </c>
      <c r="D2985" s="7">
        <v>1000</v>
      </c>
      <c r="E2985" s="3">
        <v>13</v>
      </c>
      <c r="F2985" s="3">
        <v>13</v>
      </c>
      <c r="G2985" t="s">
        <v>514</v>
      </c>
    </row>
    <row r="2986" spans="1:7" x14ac:dyDescent="0.25">
      <c r="A2986" s="1" t="str">
        <f>"516977"</f>
        <v>516977</v>
      </c>
      <c r="B2986" s="2" t="str">
        <f>"BOMBA NETZSCH NM021BY01L06B B76208"</f>
        <v>BOMBA NETZSCH NM021BY01L06B B76208</v>
      </c>
      <c r="C2986" s="2" t="str">
        <f t="shared" si="118"/>
        <v>UN</v>
      </c>
      <c r="D2986" s="7">
        <v>1000</v>
      </c>
      <c r="E2986" s="3">
        <v>13</v>
      </c>
      <c r="F2986" s="3">
        <v>13</v>
      </c>
      <c r="G2986" t="s">
        <v>512</v>
      </c>
    </row>
    <row r="2987" spans="1:7" x14ac:dyDescent="0.25">
      <c r="A2987" s="1" t="str">
        <f>"516980"</f>
        <v>516980</v>
      </c>
      <c r="B2987" s="2" t="str">
        <f>"BOMBA NETZSCH NM031BY01L06B B87206"</f>
        <v>BOMBA NETZSCH NM031BY01L06B B87206</v>
      </c>
      <c r="C2987" s="2" t="str">
        <f t="shared" si="118"/>
        <v>UN</v>
      </c>
      <c r="D2987" s="7">
        <v>1000</v>
      </c>
      <c r="E2987" s="3">
        <v>13</v>
      </c>
      <c r="F2987" s="3">
        <v>13</v>
      </c>
      <c r="G2987" t="s">
        <v>513</v>
      </c>
    </row>
    <row r="2988" spans="1:7" x14ac:dyDescent="0.25">
      <c r="A2988" s="1" t="str">
        <f>"516982"</f>
        <v>516982</v>
      </c>
      <c r="B2988" s="2" t="str">
        <f>"BOMBA NETZSCH NM038BH01L06H B61926"</f>
        <v>BOMBA NETZSCH NM038BH01L06H B61926</v>
      </c>
      <c r="C2988" s="2" t="str">
        <f t="shared" si="118"/>
        <v>UN</v>
      </c>
      <c r="D2988" s="7">
        <v>1000</v>
      </c>
      <c r="E2988" s="3">
        <v>13</v>
      </c>
      <c r="F2988" s="3">
        <v>13</v>
      </c>
      <c r="G2988" t="s">
        <v>514</v>
      </c>
    </row>
    <row r="2989" spans="1:7" x14ac:dyDescent="0.25">
      <c r="A2989" s="1" t="str">
        <f>"516981"</f>
        <v>516981</v>
      </c>
      <c r="B2989" s="2" t="str">
        <f>"BOMBA NETZSCH NM053BH02S12H B54146"</f>
        <v>BOMBA NETZSCH NM053BH02S12H B54146</v>
      </c>
      <c r="C2989" s="2" t="str">
        <f t="shared" si="118"/>
        <v>UN</v>
      </c>
      <c r="D2989" s="7">
        <v>1000</v>
      </c>
      <c r="E2989" s="3">
        <v>13</v>
      </c>
      <c r="F2989" s="3">
        <v>13</v>
      </c>
      <c r="G2989" t="s">
        <v>514</v>
      </c>
    </row>
    <row r="2990" spans="1:7" x14ac:dyDescent="0.25">
      <c r="A2990" s="1" t="str">
        <f>"512888"</f>
        <v>512888</v>
      </c>
      <c r="B2990" s="2" t="str">
        <f>"BOMBA NOGUEIRA 8,0 220V"</f>
        <v>BOMBA NOGUEIRA 8,0 220V</v>
      </c>
      <c r="C2990" s="2" t="str">
        <f t="shared" si="118"/>
        <v>UN</v>
      </c>
      <c r="D2990" s="7">
        <v>813</v>
      </c>
      <c r="E2990" s="3">
        <v>11</v>
      </c>
      <c r="F2990" s="3">
        <v>11</v>
      </c>
      <c r="G2990" t="s">
        <v>514</v>
      </c>
    </row>
    <row r="2991" spans="1:7" x14ac:dyDescent="0.25">
      <c r="A2991" s="1" t="str">
        <f>"512965"</f>
        <v>512965</v>
      </c>
      <c r="B2991" s="2" t="str">
        <f>"BOMBA NOGUEIRA 8,0 220V"</f>
        <v>BOMBA NOGUEIRA 8,0 220V</v>
      </c>
      <c r="C2991" s="2" t="str">
        <f t="shared" ref="C2991:C3022" si="119">"UN"</f>
        <v>UN</v>
      </c>
      <c r="D2991" s="7">
        <v>1400</v>
      </c>
      <c r="E2991" s="3">
        <v>11</v>
      </c>
      <c r="F2991" s="3">
        <v>11</v>
      </c>
      <c r="G2991" t="s">
        <v>513</v>
      </c>
    </row>
    <row r="2992" spans="1:7" x14ac:dyDescent="0.25">
      <c r="A2992" s="1" t="str">
        <f>"515882"</f>
        <v>515882</v>
      </c>
      <c r="B2992" s="2" t="str">
        <f>"BOMBA OLEO CUMMINS"</f>
        <v>BOMBA OLEO CUMMINS</v>
      </c>
      <c r="C2992" s="2" t="str">
        <f t="shared" si="119"/>
        <v>UN</v>
      </c>
      <c r="D2992" s="7">
        <v>700</v>
      </c>
      <c r="E2992" s="3">
        <v>9</v>
      </c>
      <c r="F2992" s="3">
        <v>9</v>
      </c>
      <c r="G2992" t="s">
        <v>512</v>
      </c>
    </row>
    <row r="2993" spans="1:7" x14ac:dyDescent="0.25">
      <c r="A2993" s="1" t="str">
        <f>"525381"</f>
        <v>525381</v>
      </c>
      <c r="B2993" s="2" t="str">
        <f>"BOMBA P/REM DE COND 30L 220V MAXI ORANGE 60000BTUS"</f>
        <v>BOMBA P/REM DE COND 30L 220V MAXI ORANGE 60000BTUS</v>
      </c>
      <c r="C2993" s="2" t="str">
        <f t="shared" si="119"/>
        <v>UN</v>
      </c>
      <c r="D2993" s="7">
        <v>918</v>
      </c>
      <c r="E2993" s="3">
        <v>10</v>
      </c>
      <c r="F2993" s="3">
        <v>10</v>
      </c>
      <c r="G2993" t="s">
        <v>513</v>
      </c>
    </row>
    <row r="2994" spans="1:7" x14ac:dyDescent="0.25">
      <c r="A2994" s="1" t="str">
        <f>"510241"</f>
        <v>510241</v>
      </c>
      <c r="B2994" s="2" t="str">
        <f>"BOMBA P11/6 AL 3CV THEBE"</f>
        <v>BOMBA P11/6 AL 3CV THEBE</v>
      </c>
      <c r="C2994" s="2" t="str">
        <f t="shared" si="119"/>
        <v>UN</v>
      </c>
      <c r="D2994" s="7">
        <v>900</v>
      </c>
      <c r="E2994" s="3">
        <v>11</v>
      </c>
      <c r="F2994" s="3">
        <v>11</v>
      </c>
      <c r="G2994" t="s">
        <v>514</v>
      </c>
    </row>
    <row r="2995" spans="1:7" x14ac:dyDescent="0.25">
      <c r="A2995" s="1" t="str">
        <f>"510564"</f>
        <v>510564</v>
      </c>
      <c r="B2995" s="2" t="str">
        <f>"BOMBA PARA AMONIA YBA-10-02"</f>
        <v>BOMBA PARA AMONIA YBA-10-02</v>
      </c>
      <c r="C2995" s="2" t="str">
        <f t="shared" si="119"/>
        <v>UN</v>
      </c>
      <c r="D2995" s="7">
        <v>1400</v>
      </c>
      <c r="E2995" s="3">
        <v>13</v>
      </c>
      <c r="F2995" s="3">
        <v>13</v>
      </c>
      <c r="G2995" t="s">
        <v>514</v>
      </c>
    </row>
    <row r="2996" spans="1:7" x14ac:dyDescent="0.25">
      <c r="A2996" s="1" t="str">
        <f>"518102"</f>
        <v>518102</v>
      </c>
      <c r="B2996" s="2" t="str">
        <f>"BOMBA PERIFERICA 1/2HP 220V 1X1"</f>
        <v>BOMBA PERIFERICA 1/2HP 220V 1X1</v>
      </c>
      <c r="C2996" s="2" t="str">
        <f t="shared" si="119"/>
        <v>UN</v>
      </c>
      <c r="D2996" s="7">
        <v>1000</v>
      </c>
      <c r="E2996" s="3">
        <v>10</v>
      </c>
      <c r="F2996" s="3">
        <v>10</v>
      </c>
      <c r="G2996" t="s">
        <v>514</v>
      </c>
    </row>
    <row r="2997" spans="1:7" x14ac:dyDescent="0.25">
      <c r="A2997" s="1" t="str">
        <f>"523835"</f>
        <v>523835</v>
      </c>
      <c r="B2997" s="2" t="str">
        <f>"BOMBA PNEUMATICA FL 15"</f>
        <v>BOMBA PNEUMATICA FL 15</v>
      </c>
      <c r="C2997" s="2" t="str">
        <f t="shared" si="119"/>
        <v>UN</v>
      </c>
      <c r="D2997" s="7">
        <v>400</v>
      </c>
      <c r="E2997" s="3">
        <v>4</v>
      </c>
      <c r="F2997" s="3">
        <v>4</v>
      </c>
      <c r="G2997" t="s">
        <v>513</v>
      </c>
    </row>
    <row r="2998" spans="1:7" x14ac:dyDescent="0.25">
      <c r="A2998" s="1" t="str">
        <f>"512968"</f>
        <v>512968</v>
      </c>
      <c r="B2998" s="2" t="str">
        <f>"BOMBA PROTETORA EIXO 32200"</f>
        <v>BOMBA PROTETORA EIXO 32200</v>
      </c>
      <c r="C2998" s="2" t="str">
        <f t="shared" si="119"/>
        <v>UN</v>
      </c>
      <c r="D2998" s="7">
        <v>918</v>
      </c>
      <c r="E2998" s="3">
        <v>11</v>
      </c>
      <c r="F2998" s="3">
        <v>11</v>
      </c>
      <c r="G2998" t="s">
        <v>513</v>
      </c>
    </row>
    <row r="2999" spans="1:7" x14ac:dyDescent="0.25">
      <c r="A2999" s="1" t="str">
        <f>"509017"</f>
        <v>509017</v>
      </c>
      <c r="B2999" s="2" t="str">
        <f>"BOMBA REPOR OLEO COMPRESSOR DE AMONIA"</f>
        <v>BOMBA REPOR OLEO COMPRESSOR DE AMONIA</v>
      </c>
      <c r="C2999" s="2" t="str">
        <f t="shared" si="119"/>
        <v>UN</v>
      </c>
      <c r="D2999" s="7">
        <v>900</v>
      </c>
      <c r="E2999" s="3">
        <v>11</v>
      </c>
      <c r="F2999" s="3">
        <v>11</v>
      </c>
      <c r="G2999" t="s">
        <v>513</v>
      </c>
    </row>
    <row r="3000" spans="1:7" x14ac:dyDescent="0.25">
      <c r="A3000" s="1" t="str">
        <f>"515289"</f>
        <v>515289</v>
      </c>
      <c r="B3000" s="2" t="str">
        <f>"BOMBA SANITARIA 03 HP"</f>
        <v>BOMBA SANITARIA 03 HP</v>
      </c>
      <c r="C3000" s="2" t="str">
        <f t="shared" si="119"/>
        <v>UN</v>
      </c>
      <c r="D3000" s="7">
        <v>1000</v>
      </c>
      <c r="E3000" s="3">
        <v>13</v>
      </c>
      <c r="F3000" s="3">
        <v>13</v>
      </c>
      <c r="G3000" t="s">
        <v>512</v>
      </c>
    </row>
    <row r="3001" spans="1:7" x14ac:dyDescent="0.25">
      <c r="A3001" s="1" t="str">
        <f>"518278"</f>
        <v>518278</v>
      </c>
      <c r="B3001" s="2" t="str">
        <f>"BOMBA SANITARIA AUTO ASPIRANTE 300901"</f>
        <v>BOMBA SANITARIA AUTO ASPIRANTE 300901</v>
      </c>
      <c r="C3001" s="2" t="str">
        <f t="shared" si="119"/>
        <v>UN</v>
      </c>
      <c r="D3001" s="7">
        <v>1400</v>
      </c>
      <c r="E3001" s="3">
        <v>11</v>
      </c>
      <c r="F3001" s="3">
        <v>11</v>
      </c>
      <c r="G3001" t="s">
        <v>513</v>
      </c>
    </row>
    <row r="3002" spans="1:7" x14ac:dyDescent="0.25">
      <c r="A3002" s="1" t="str">
        <f>"512869"</f>
        <v>512869</v>
      </c>
      <c r="B3002" s="2" t="str">
        <f>"BOMBA SANITARIA C/ MOTOR BIDIRECIONAL ACOPLADO"</f>
        <v>BOMBA SANITARIA C/ MOTOR BIDIRECIONAL ACOPLADO</v>
      </c>
      <c r="C3002" s="2" t="str">
        <f t="shared" si="119"/>
        <v>UN</v>
      </c>
      <c r="D3002" s="7">
        <v>813</v>
      </c>
      <c r="E3002" s="3">
        <v>11</v>
      </c>
      <c r="F3002" s="3">
        <v>11</v>
      </c>
      <c r="G3002" t="s">
        <v>514</v>
      </c>
    </row>
    <row r="3003" spans="1:7" x14ac:dyDescent="0.25">
      <c r="A3003" s="1" t="str">
        <f>"515285"</f>
        <v>515285</v>
      </c>
      <c r="B3003" s="2" t="str">
        <f>"BOMBA SANITARIA CENTRIFUGA NOVINOX 1 HP"</f>
        <v>BOMBA SANITARIA CENTRIFUGA NOVINOX 1 HP</v>
      </c>
      <c r="C3003" s="2" t="str">
        <f t="shared" si="119"/>
        <v>UN</v>
      </c>
      <c r="D3003" s="7">
        <v>1000</v>
      </c>
      <c r="E3003" s="3">
        <v>13</v>
      </c>
      <c r="F3003" s="3">
        <v>13</v>
      </c>
      <c r="G3003" t="s">
        <v>515</v>
      </c>
    </row>
    <row r="3004" spans="1:7" x14ac:dyDescent="0.25">
      <c r="A3004" s="1" t="str">
        <f>"515286"</f>
        <v>515286</v>
      </c>
      <c r="B3004" s="2" t="str">
        <f>"BOMBA SANITARIA INOXLINE MODELO RC10 C4 1/2 HP"</f>
        <v>BOMBA SANITARIA INOXLINE MODELO RC10 C4 1/2 HP</v>
      </c>
      <c r="C3004" s="2" t="str">
        <f t="shared" si="119"/>
        <v>UN</v>
      </c>
      <c r="D3004" s="7">
        <v>1000</v>
      </c>
      <c r="E3004" s="3">
        <v>13</v>
      </c>
      <c r="F3004" s="3">
        <v>13</v>
      </c>
      <c r="G3004" t="s">
        <v>512</v>
      </c>
    </row>
    <row r="3005" spans="1:7" x14ac:dyDescent="0.25">
      <c r="A3005" s="1" t="str">
        <f>"515287"</f>
        <v>515287</v>
      </c>
      <c r="B3005" s="2" t="str">
        <f>"BOMBA SANITARIA MGA INOX 1/2 HP"</f>
        <v>BOMBA SANITARIA MGA INOX 1/2 HP</v>
      </c>
      <c r="C3005" s="2" t="str">
        <f t="shared" si="119"/>
        <v>UN</v>
      </c>
      <c r="D3005" s="7">
        <v>1000</v>
      </c>
      <c r="E3005" s="3">
        <v>13</v>
      </c>
      <c r="F3005" s="3">
        <v>13</v>
      </c>
      <c r="G3005" t="s">
        <v>516</v>
      </c>
    </row>
    <row r="3006" spans="1:7" x14ac:dyDescent="0.25">
      <c r="A3006" s="1" t="str">
        <f>"521168"</f>
        <v>521168</v>
      </c>
      <c r="B3006" s="8" t="s">
        <v>192</v>
      </c>
      <c r="C3006" s="2" t="str">
        <f t="shared" si="119"/>
        <v>UN</v>
      </c>
      <c r="D3006" s="7">
        <v>813</v>
      </c>
      <c r="E3006" s="3">
        <v>8</v>
      </c>
      <c r="F3006" s="3">
        <v>8</v>
      </c>
      <c r="G3006" t="s">
        <v>515</v>
      </c>
    </row>
    <row r="3007" spans="1:7" x14ac:dyDescent="0.25">
      <c r="A3007" s="1" t="str">
        <f>"526692"</f>
        <v>526692</v>
      </c>
      <c r="B3007" s="2" t="str">
        <f>"BOMBA SEKO TPG 800 DIG 14 LT/HORA"</f>
        <v>BOMBA SEKO TPG 800 DIG 14 LT/HORA</v>
      </c>
      <c r="C3007" s="2" t="str">
        <f t="shared" si="119"/>
        <v>UN</v>
      </c>
      <c r="D3007" s="7">
        <v>813</v>
      </c>
      <c r="E3007" s="3">
        <v>10</v>
      </c>
      <c r="F3007" s="3">
        <v>10</v>
      </c>
      <c r="G3007" t="s">
        <v>514</v>
      </c>
    </row>
    <row r="3008" spans="1:7" x14ac:dyDescent="0.25">
      <c r="A3008" s="1" t="str">
        <f>"508518"</f>
        <v>508518</v>
      </c>
      <c r="B3008" s="2" t="str">
        <f>"BOMBA SUBMERSA BOMBAR 220V 1800l"</f>
        <v>BOMBA SUBMERSA BOMBAR 220V 1800l</v>
      </c>
      <c r="C3008" s="2" t="str">
        <f t="shared" si="119"/>
        <v>UN</v>
      </c>
      <c r="D3008" s="7">
        <v>704</v>
      </c>
      <c r="E3008" s="3">
        <v>9</v>
      </c>
      <c r="F3008" s="3">
        <v>9</v>
      </c>
      <c r="G3008" t="s">
        <v>512</v>
      </c>
    </row>
    <row r="3009" spans="1:7" x14ac:dyDescent="0.25">
      <c r="A3009" s="1" t="str">
        <f>"526957"</f>
        <v>526957</v>
      </c>
      <c r="B3009" s="2" t="str">
        <f>"BOMBA SUBMERSA VBOP65-15 20HP TRIF. 380V"</f>
        <v>BOMBA SUBMERSA VBOP65-15 20HP TRIF. 380V</v>
      </c>
      <c r="C3009" s="2" t="str">
        <f t="shared" si="119"/>
        <v>UN</v>
      </c>
      <c r="D3009" s="7">
        <v>900</v>
      </c>
      <c r="E3009" s="3">
        <v>11</v>
      </c>
      <c r="F3009" s="3">
        <v>11</v>
      </c>
      <c r="G3009" t="s">
        <v>513</v>
      </c>
    </row>
    <row r="3010" spans="1:7" x14ac:dyDescent="0.25">
      <c r="A3010" s="1" t="str">
        <f>"526533"</f>
        <v>526533</v>
      </c>
      <c r="B3010" s="2" t="str">
        <f>"BOMBA SUBMERSA VIBRAT. 450W 220V"</f>
        <v>BOMBA SUBMERSA VIBRAT. 450W 220V</v>
      </c>
      <c r="C3010" s="2" t="str">
        <f t="shared" si="119"/>
        <v>UN</v>
      </c>
      <c r="D3010" s="7">
        <v>900</v>
      </c>
      <c r="E3010" s="3">
        <v>11</v>
      </c>
      <c r="F3010" s="3">
        <v>11</v>
      </c>
      <c r="G3010" t="s">
        <v>514</v>
      </c>
    </row>
    <row r="3011" spans="1:7" x14ac:dyDescent="0.25">
      <c r="A3011" s="1" t="str">
        <f>"510509"</f>
        <v>510509</v>
      </c>
      <c r="B3011" s="2" t="str">
        <f>"BOMBA TH AE-1 2CV"</f>
        <v>BOMBA TH AE-1 2CV</v>
      </c>
      <c r="C3011" s="2" t="str">
        <f t="shared" si="119"/>
        <v>UN</v>
      </c>
      <c r="D3011" s="7">
        <v>1400</v>
      </c>
      <c r="E3011" s="3">
        <v>13</v>
      </c>
      <c r="F3011" s="3">
        <v>13</v>
      </c>
      <c r="G3011" t="s">
        <v>514</v>
      </c>
    </row>
    <row r="3012" spans="1:7" x14ac:dyDescent="0.25">
      <c r="A3012" s="1" t="str">
        <f>"510109"</f>
        <v>510109</v>
      </c>
      <c r="B3012" s="2" t="str">
        <f>"BOMBA TRIFASICA P-1/4 3CV"</f>
        <v>BOMBA TRIFASICA P-1/4 3CV</v>
      </c>
      <c r="C3012" s="2" t="str">
        <f t="shared" si="119"/>
        <v>UN</v>
      </c>
      <c r="D3012" s="7">
        <v>900</v>
      </c>
      <c r="E3012" s="3">
        <v>11</v>
      </c>
      <c r="F3012" s="3">
        <v>11</v>
      </c>
      <c r="G3012" t="s">
        <v>512</v>
      </c>
    </row>
    <row r="3013" spans="1:7" x14ac:dyDescent="0.25">
      <c r="A3013" s="1" t="str">
        <f>"511309"</f>
        <v>511309</v>
      </c>
      <c r="B3013" s="2" t="str">
        <f>"BOMBA UNIVERSAL ELICE BICO FINO 24V"</f>
        <v>BOMBA UNIVERSAL ELICE BICO FINO 24V</v>
      </c>
      <c r="C3013" s="2" t="str">
        <f t="shared" si="119"/>
        <v>UN</v>
      </c>
      <c r="D3013" s="7">
        <v>704</v>
      </c>
      <c r="E3013" s="3">
        <v>9</v>
      </c>
      <c r="F3013" s="3">
        <v>9</v>
      </c>
      <c r="G3013" t="s">
        <v>513</v>
      </c>
    </row>
    <row r="3014" spans="1:7" x14ac:dyDescent="0.25">
      <c r="A3014" s="1" t="str">
        <f>"514942"</f>
        <v>514942</v>
      </c>
      <c r="B3014" s="2" t="str">
        <f>"BOMBA VACUO 300M³"</f>
        <v>BOMBA VACUO 300M³</v>
      </c>
      <c r="C3014" s="2" t="str">
        <f t="shared" si="119"/>
        <v>UN</v>
      </c>
      <c r="D3014" s="7">
        <v>1300</v>
      </c>
      <c r="E3014" s="3">
        <v>13</v>
      </c>
      <c r="F3014" s="3">
        <v>13</v>
      </c>
      <c r="G3014" t="s">
        <v>514</v>
      </c>
    </row>
    <row r="3015" spans="1:7" x14ac:dyDescent="0.25">
      <c r="A3015" s="1" t="str">
        <f>"518246"</f>
        <v>518246</v>
      </c>
      <c r="B3015" s="2" t="str">
        <f>"BOMBA VACUO BVM/II-120/20 BSPF/ROTOR BRZ/1"</f>
        <v>BOMBA VACUO BVM/II-120/20 BSPF/ROTOR BRZ/1</v>
      </c>
      <c r="C3015" s="2" t="str">
        <f t="shared" si="119"/>
        <v>UN</v>
      </c>
      <c r="D3015" s="7">
        <v>1400</v>
      </c>
      <c r="E3015" s="3">
        <v>13</v>
      </c>
      <c r="F3015" s="3">
        <v>13</v>
      </c>
      <c r="G3015" t="s">
        <v>514</v>
      </c>
    </row>
    <row r="3016" spans="1:7" x14ac:dyDescent="0.25">
      <c r="A3016" s="1" t="str">
        <f>"517811"</f>
        <v>517811</v>
      </c>
      <c r="B3016" s="2" t="str">
        <f>"BOMBA VACUO EOS 7 CFM BIVOLT/60HZ DUPLO ESTAGIOS"</f>
        <v>BOMBA VACUO EOS 7 CFM BIVOLT/60HZ DUPLO ESTAGIOS</v>
      </c>
      <c r="C3016" s="2" t="str">
        <f t="shared" si="119"/>
        <v>UN</v>
      </c>
      <c r="D3016" s="7">
        <v>1400</v>
      </c>
      <c r="E3016" s="3">
        <v>13</v>
      </c>
      <c r="F3016" s="3">
        <v>13</v>
      </c>
      <c r="G3016" t="s">
        <v>514</v>
      </c>
    </row>
    <row r="3017" spans="1:7" x14ac:dyDescent="0.25">
      <c r="A3017" s="1" t="str">
        <f>"524617"</f>
        <v>524617</v>
      </c>
      <c r="B3017" s="8" t="s">
        <v>392</v>
      </c>
      <c r="C3017" s="2" t="str">
        <f t="shared" si="119"/>
        <v>UN</v>
      </c>
      <c r="D3017" s="7">
        <v>406</v>
      </c>
      <c r="E3017" s="3">
        <v>13</v>
      </c>
      <c r="F3017" s="3">
        <v>13</v>
      </c>
      <c r="G3017" t="s">
        <v>513</v>
      </c>
    </row>
    <row r="3018" spans="1:7" x14ac:dyDescent="0.25">
      <c r="A3018" s="1" t="str">
        <f>"511972"</f>
        <v>511972</v>
      </c>
      <c r="B3018" s="2" t="str">
        <f>"BOMBA VERTICAL TP150 1/3CV"</f>
        <v>BOMBA VERTICAL TP150 1/3CV</v>
      </c>
      <c r="C3018" s="2" t="str">
        <f t="shared" si="119"/>
        <v>UN</v>
      </c>
      <c r="D3018" s="7">
        <v>900</v>
      </c>
      <c r="E3018" s="3">
        <v>11</v>
      </c>
      <c r="F3018" s="3">
        <v>11</v>
      </c>
      <c r="G3018" t="s">
        <v>512</v>
      </c>
    </row>
    <row r="3019" spans="1:7" x14ac:dyDescent="0.25">
      <c r="A3019" s="1" t="str">
        <f>"517284"</f>
        <v>517284</v>
      </c>
      <c r="B3019" s="2" t="str">
        <f>"BOMBA WHS32 6915048114"</f>
        <v>BOMBA WHS32 6915048114</v>
      </c>
      <c r="C3019" s="2" t="str">
        <f t="shared" si="119"/>
        <v>UN</v>
      </c>
      <c r="D3019" s="7">
        <v>918</v>
      </c>
      <c r="E3019" s="3">
        <v>11</v>
      </c>
      <c r="F3019" s="3">
        <v>11</v>
      </c>
      <c r="G3019" t="s">
        <v>513</v>
      </c>
    </row>
    <row r="3020" spans="1:7" x14ac:dyDescent="0.25">
      <c r="A3020" s="1" t="str">
        <f>"509696"</f>
        <v>509696</v>
      </c>
      <c r="B3020" s="2" t="str">
        <f>"BOMBINHA MANUAL"</f>
        <v>BOMBINHA MANUAL</v>
      </c>
      <c r="C3020" s="2" t="str">
        <f t="shared" si="119"/>
        <v>UN</v>
      </c>
      <c r="D3020" s="7">
        <v>402</v>
      </c>
      <c r="E3020" s="3">
        <v>4</v>
      </c>
      <c r="F3020" s="3">
        <v>4</v>
      </c>
      <c r="G3020" t="s">
        <v>514</v>
      </c>
    </row>
    <row r="3021" spans="1:7" x14ac:dyDescent="0.25">
      <c r="A3021" s="1" t="str">
        <f>"510868"</f>
        <v>510868</v>
      </c>
      <c r="B3021" s="2" t="str">
        <f>"BOMBOM GAROTO"</f>
        <v>BOMBOM GAROTO</v>
      </c>
      <c r="C3021" s="2" t="str">
        <f t="shared" si="119"/>
        <v>UN</v>
      </c>
      <c r="D3021" s="7">
        <v>401</v>
      </c>
      <c r="E3021" s="3">
        <v>4</v>
      </c>
      <c r="F3021" s="3">
        <v>4</v>
      </c>
      <c r="G3021" t="s">
        <v>514</v>
      </c>
    </row>
    <row r="3022" spans="1:7" x14ac:dyDescent="0.25">
      <c r="A3022" s="1" t="str">
        <f>"518696"</f>
        <v>518696</v>
      </c>
      <c r="B3022" s="2" t="str">
        <f>"BOMBONA PLASTICA 200LTS"</f>
        <v>BOMBONA PLASTICA 200LTS</v>
      </c>
      <c r="C3022" s="2" t="str">
        <f t="shared" si="119"/>
        <v>UN</v>
      </c>
      <c r="D3022" s="7">
        <v>99999</v>
      </c>
      <c r="E3022" s="3">
        <v>99</v>
      </c>
      <c r="F3022" s="3">
        <v>99</v>
      </c>
      <c r="G3022" t="s">
        <v>514</v>
      </c>
    </row>
    <row r="3023" spans="1:7" x14ac:dyDescent="0.25">
      <c r="A3023" s="1" t="str">
        <f>"518736"</f>
        <v>518736</v>
      </c>
      <c r="B3023" s="2" t="str">
        <f>"BOMBRIL"</f>
        <v>BOMBRIL</v>
      </c>
      <c r="C3023" s="2" t="str">
        <f t="shared" ref="C3023:C3029" si="120">"UN"</f>
        <v>UN</v>
      </c>
      <c r="D3023" s="7">
        <v>400</v>
      </c>
      <c r="E3023" s="3">
        <v>4</v>
      </c>
      <c r="F3023" s="3">
        <v>4</v>
      </c>
      <c r="G3023" t="s">
        <v>513</v>
      </c>
    </row>
    <row r="3024" spans="1:7" x14ac:dyDescent="0.25">
      <c r="A3024" s="1" t="str">
        <f>"292"</f>
        <v>292</v>
      </c>
      <c r="B3024" s="2" t="str">
        <f>"BONE BRANCO"</f>
        <v>BONE BRANCO</v>
      </c>
      <c r="C3024" s="2" t="str">
        <f t="shared" si="120"/>
        <v>UN</v>
      </c>
      <c r="D3024" s="7">
        <v>500</v>
      </c>
      <c r="E3024" s="3">
        <v>5</v>
      </c>
      <c r="F3024" s="3">
        <v>5</v>
      </c>
      <c r="G3024" t="s">
        <v>513</v>
      </c>
    </row>
    <row r="3025" spans="1:7" x14ac:dyDescent="0.25">
      <c r="A3025" s="1" t="str">
        <f>"518621"</f>
        <v>518621</v>
      </c>
      <c r="B3025" s="2" t="str">
        <f>"BONE BRIM MOD. AMERICANO REG. VELCRO COR BRANCO"</f>
        <v>BONE BRIM MOD. AMERICANO REG. VELCRO COR BRANCO</v>
      </c>
      <c r="C3025" s="2" t="str">
        <f t="shared" si="120"/>
        <v>UN</v>
      </c>
      <c r="D3025" s="7">
        <v>500</v>
      </c>
      <c r="E3025" s="3">
        <v>5</v>
      </c>
      <c r="F3025" s="3">
        <v>5</v>
      </c>
      <c r="G3025" t="s">
        <v>513</v>
      </c>
    </row>
    <row r="3026" spans="1:7" x14ac:dyDescent="0.25">
      <c r="A3026" s="1" t="str">
        <f>"6234"</f>
        <v>6234</v>
      </c>
      <c r="B3026" s="2" t="str">
        <f>"BONE CINZA MINERAL"</f>
        <v>BONE CINZA MINERAL</v>
      </c>
      <c r="C3026" s="2" t="str">
        <f t="shared" si="120"/>
        <v>UN</v>
      </c>
      <c r="D3026" s="7">
        <v>500</v>
      </c>
      <c r="E3026" s="3">
        <v>5</v>
      </c>
      <c r="F3026" s="3">
        <v>5</v>
      </c>
      <c r="G3026" t="s">
        <v>512</v>
      </c>
    </row>
    <row r="3027" spans="1:7" x14ac:dyDescent="0.25">
      <c r="A3027" s="1" t="str">
        <f>"526901"</f>
        <v>526901</v>
      </c>
      <c r="B3027" s="2" t="str">
        <f>"BONINA CANAL AB 1377-5"</f>
        <v>BONINA CANAL AB 1377-5</v>
      </c>
      <c r="C3027" s="2" t="str">
        <f t="shared" si="120"/>
        <v>UN</v>
      </c>
      <c r="D3027" s="7">
        <v>1300</v>
      </c>
      <c r="E3027" s="3">
        <v>13</v>
      </c>
      <c r="F3027" s="3">
        <v>13</v>
      </c>
      <c r="G3027" t="s">
        <v>513</v>
      </c>
    </row>
    <row r="3028" spans="1:7" x14ac:dyDescent="0.25">
      <c r="A3028" s="1" t="str">
        <f>"528081"</f>
        <v>528081</v>
      </c>
      <c r="B3028" s="2" t="str">
        <f>"BOOSTER BSCV - 25/AD 380V"</f>
        <v>BOOSTER BSCV - 25/AD 380V</v>
      </c>
      <c r="C3028" s="2" t="str">
        <f t="shared" si="120"/>
        <v>UN</v>
      </c>
      <c r="D3028" s="7">
        <v>99999</v>
      </c>
      <c r="E3028" s="3">
        <v>13</v>
      </c>
      <c r="F3028" s="3">
        <v>13</v>
      </c>
      <c r="G3028" t="s">
        <v>514</v>
      </c>
    </row>
    <row r="3029" spans="1:7" x14ac:dyDescent="0.25">
      <c r="A3029" s="1" t="str">
        <f>"512811"</f>
        <v>512811</v>
      </c>
      <c r="B3029" s="2" t="str">
        <f>"BOR RED 3"</f>
        <v>BOR RED 3</v>
      </c>
      <c r="C3029" s="2" t="str">
        <f t="shared" si="120"/>
        <v>UN</v>
      </c>
      <c r="D3029" s="7">
        <v>918</v>
      </c>
      <c r="E3029" s="3">
        <v>11</v>
      </c>
      <c r="F3029" s="3">
        <v>11</v>
      </c>
      <c r="G3029" t="s">
        <v>515</v>
      </c>
    </row>
    <row r="3030" spans="1:7" x14ac:dyDescent="0.25">
      <c r="A3030" s="1" t="str">
        <f>"505100"</f>
        <v>505100</v>
      </c>
      <c r="B3030" s="2" t="str">
        <f>"BORBOLETA P/ VB. 2"" SMS 304"</f>
        <v>BORBOLETA P/ VB. 2" SMS 304</v>
      </c>
      <c r="C3030" s="2" t="str">
        <f>"BR"</f>
        <v>BR</v>
      </c>
      <c r="D3030" s="7">
        <v>807</v>
      </c>
      <c r="E3030" s="3">
        <v>10</v>
      </c>
      <c r="F3030" s="3">
        <v>10</v>
      </c>
      <c r="G3030" t="s">
        <v>512</v>
      </c>
    </row>
    <row r="3031" spans="1:7" x14ac:dyDescent="0.25">
      <c r="A3031" s="1" t="str">
        <f>"522012"</f>
        <v>522012</v>
      </c>
      <c r="B3031" s="2" t="str">
        <f>"BORBOLETA P/ VB. 2'1/2 SMS 304 HINOXLINE"</f>
        <v>BORBOLETA P/ VB. 2'1/2 SMS 304 HINOXLINE</v>
      </c>
      <c r="C3031" s="2" t="str">
        <f>"UN"</f>
        <v>UN</v>
      </c>
      <c r="D3031" s="7">
        <v>807</v>
      </c>
      <c r="E3031" s="3">
        <v>10</v>
      </c>
      <c r="F3031" s="3">
        <v>10</v>
      </c>
      <c r="G3031" t="s">
        <v>516</v>
      </c>
    </row>
    <row r="3032" spans="1:7" x14ac:dyDescent="0.25">
      <c r="A3032" s="1" t="str">
        <f>"524959"</f>
        <v>524959</v>
      </c>
      <c r="B3032" s="2" t="str">
        <f>"BORNE ATERR.(VD)FIX.PARAF.C/16 BORNES LUKMA"</f>
        <v>BORNE ATERR.(VD)FIX.PARAF.C/16 BORNES LUKMA</v>
      </c>
      <c r="C3032" s="2" t="str">
        <f>"UN"</f>
        <v>UN</v>
      </c>
      <c r="D3032" s="7">
        <v>811</v>
      </c>
      <c r="E3032" s="3">
        <v>8</v>
      </c>
      <c r="F3032" s="3">
        <v>8</v>
      </c>
      <c r="G3032" t="s">
        <v>515</v>
      </c>
    </row>
    <row r="3033" spans="1:7" x14ac:dyDescent="0.25">
      <c r="A3033" s="1" t="str">
        <f>"526595"</f>
        <v>526595</v>
      </c>
      <c r="B3033" s="2" t="str">
        <f>"BORNE DE PASSAGEM 2 POLOS C/DOIS ANDARES 4MM"</f>
        <v>BORNE DE PASSAGEM 2 POLOS C/DOIS ANDARES 4MM</v>
      </c>
      <c r="C3033" s="2" t="str">
        <f>"UN"</f>
        <v>UN</v>
      </c>
      <c r="D3033" s="7">
        <v>811</v>
      </c>
      <c r="E3033" s="3">
        <v>8</v>
      </c>
      <c r="F3033" s="3">
        <v>8</v>
      </c>
      <c r="G3033" t="s">
        <v>514</v>
      </c>
    </row>
    <row r="3034" spans="1:7" x14ac:dyDescent="0.25">
      <c r="A3034" s="1" t="str">
        <f>"500723"</f>
        <v>500723</v>
      </c>
      <c r="B3034" s="2" t="str">
        <f>"BORNE HORIZ S/ ISOLANTE MAQ SAQUINHO"</f>
        <v>BORNE HORIZ S/ ISOLANTE MAQ SAQUINHO</v>
      </c>
      <c r="C3034" s="2" t="str">
        <f>"PC"</f>
        <v>PC</v>
      </c>
      <c r="D3034" s="7">
        <v>900</v>
      </c>
      <c r="E3034" s="3">
        <v>11</v>
      </c>
      <c r="F3034" s="3">
        <v>11</v>
      </c>
      <c r="G3034" t="s">
        <v>512</v>
      </c>
    </row>
    <row r="3035" spans="1:7" x14ac:dyDescent="0.25">
      <c r="A3035" s="1" t="str">
        <f>"520542"</f>
        <v>520542</v>
      </c>
      <c r="B3035" s="2" t="str">
        <f>"BORNE RELE  01 CONTATO REVERSIVEL 12VDC"</f>
        <v>BORNE RELE  01 CONTATO REVERSIVEL 12VDC</v>
      </c>
      <c r="C3035" s="2" t="str">
        <f t="shared" ref="C3035:C3040" si="121">"UN"</f>
        <v>UN</v>
      </c>
      <c r="D3035" s="7">
        <v>918</v>
      </c>
      <c r="E3035" s="3">
        <v>8</v>
      </c>
      <c r="F3035" s="3">
        <v>8</v>
      </c>
      <c r="G3035" t="s">
        <v>513</v>
      </c>
    </row>
    <row r="3036" spans="1:7" x14ac:dyDescent="0.25">
      <c r="A3036" s="1" t="str">
        <f>"517054"</f>
        <v>517054</v>
      </c>
      <c r="B3036" s="2" t="str">
        <f>"BORNE RELE 220V 01 CONTATO REVERSIVEL"</f>
        <v>BORNE RELE 220V 01 CONTATO REVERSIVEL</v>
      </c>
      <c r="C3036" s="2" t="str">
        <f t="shared" si="121"/>
        <v>UN</v>
      </c>
      <c r="D3036" s="7">
        <v>918</v>
      </c>
      <c r="E3036" s="3">
        <v>8</v>
      </c>
      <c r="F3036" s="3">
        <v>8</v>
      </c>
      <c r="G3036" t="s">
        <v>514</v>
      </c>
    </row>
    <row r="3037" spans="1:7" x14ac:dyDescent="0.25">
      <c r="A3037" s="1" t="str">
        <f>"516519"</f>
        <v>516519</v>
      </c>
      <c r="B3037" s="2" t="str">
        <f>"BORNE RELE 220V 02 CONTATOS REVERSIVEIS"</f>
        <v>BORNE RELE 220V 02 CONTATOS REVERSIVEIS</v>
      </c>
      <c r="C3037" s="2" t="str">
        <f t="shared" si="121"/>
        <v>UN</v>
      </c>
      <c r="D3037" s="7">
        <v>811</v>
      </c>
      <c r="E3037" s="3">
        <v>8</v>
      </c>
      <c r="F3037" s="3">
        <v>8</v>
      </c>
      <c r="G3037" t="s">
        <v>514</v>
      </c>
    </row>
    <row r="3038" spans="1:7" x14ac:dyDescent="0.25">
      <c r="A3038" s="1" t="str">
        <f>"517512"</f>
        <v>517512</v>
      </c>
      <c r="B3038" s="2" t="str">
        <f>"BORNE RELE 24V 01 CONTATO REVERSIVEL PHOENIX CONTACT 2967219"</f>
        <v>BORNE RELE 24V 01 CONTATO REVERSIVEL PHOENIX CONTACT 2967219</v>
      </c>
      <c r="C3038" s="2" t="str">
        <f t="shared" si="121"/>
        <v>UN</v>
      </c>
      <c r="D3038" s="7">
        <v>811</v>
      </c>
      <c r="E3038" s="3">
        <v>8</v>
      </c>
      <c r="F3038" s="3">
        <v>8</v>
      </c>
      <c r="G3038" t="s">
        <v>512</v>
      </c>
    </row>
    <row r="3039" spans="1:7" x14ac:dyDescent="0.25">
      <c r="A3039" s="1" t="str">
        <f>"517513"</f>
        <v>517513</v>
      </c>
      <c r="B3039" s="2" t="str">
        <f>"BORNE RELE 24V 02 CONTATO REVERSIVEL PHENIX"</f>
        <v>BORNE RELE 24V 02 CONTATO REVERSIVEL PHENIX</v>
      </c>
      <c r="C3039" s="2" t="str">
        <f t="shared" si="121"/>
        <v>UN</v>
      </c>
      <c r="D3039" s="7">
        <v>811</v>
      </c>
      <c r="E3039" s="3">
        <v>8</v>
      </c>
      <c r="F3039" s="3">
        <v>8</v>
      </c>
      <c r="G3039" t="s">
        <v>513</v>
      </c>
    </row>
    <row r="3040" spans="1:7" x14ac:dyDescent="0.25">
      <c r="A3040" s="1" t="str">
        <f>"512560"</f>
        <v>512560</v>
      </c>
      <c r="B3040" s="2" t="str">
        <f>"BORNE RELE 24VDC 2NA+2NF PLC-RSC-24DC/21"</f>
        <v>BORNE RELE 24VDC 2NA+2NF PLC-RSC-24DC/21</v>
      </c>
      <c r="C3040" s="2" t="str">
        <f t="shared" si="121"/>
        <v>UN</v>
      </c>
      <c r="D3040" s="7">
        <v>600</v>
      </c>
      <c r="E3040" s="3">
        <v>8</v>
      </c>
      <c r="F3040" s="3">
        <v>8</v>
      </c>
      <c r="G3040" t="s">
        <v>514</v>
      </c>
    </row>
    <row r="3041" spans="1:7" x14ac:dyDescent="0.25">
      <c r="A3041" s="1" t="str">
        <f>"511751"</f>
        <v>511751</v>
      </c>
      <c r="B3041" s="2" t="str">
        <f>"BORNE RELE ACOPL. 24VDC  10A 2 REV. UM72-REL/KSR24/21/21 ZFK"</f>
        <v>BORNE RELE ACOPL. 24VDC  10A 2 REV. UM72-REL/KSR24/21/21 ZFK</v>
      </c>
      <c r="C3041" s="2" t="str">
        <f>"PC"</f>
        <v>PC</v>
      </c>
      <c r="D3041" s="7">
        <v>600</v>
      </c>
      <c r="E3041" s="3">
        <v>8</v>
      </c>
      <c r="F3041" s="3">
        <v>8</v>
      </c>
      <c r="G3041" t="s">
        <v>514</v>
      </c>
    </row>
    <row r="3042" spans="1:7" x14ac:dyDescent="0.25">
      <c r="A3042" s="1" t="str">
        <f>"505284"</f>
        <v>505284</v>
      </c>
      <c r="B3042" s="2" t="str">
        <f>"BORNE RELE C/ 1 RELE 24V"</f>
        <v>BORNE RELE C/ 1 RELE 24V</v>
      </c>
      <c r="C3042" s="2" t="str">
        <f>"UN"</f>
        <v>UN</v>
      </c>
      <c r="D3042" s="7">
        <v>811</v>
      </c>
      <c r="E3042" s="3">
        <v>8</v>
      </c>
      <c r="F3042" s="3">
        <v>8</v>
      </c>
      <c r="G3042" t="s">
        <v>514</v>
      </c>
    </row>
    <row r="3043" spans="1:7" x14ac:dyDescent="0.25">
      <c r="A3043" s="1" t="str">
        <f>"505285"</f>
        <v>505285</v>
      </c>
      <c r="B3043" s="2" t="str">
        <f>"BORNE RELE C/ 2 RELES 24V"</f>
        <v>BORNE RELE C/ 2 RELES 24V</v>
      </c>
      <c r="C3043" s="2" t="str">
        <f>"UN"</f>
        <v>UN</v>
      </c>
      <c r="D3043" s="7">
        <v>811</v>
      </c>
      <c r="E3043" s="3">
        <v>8</v>
      </c>
      <c r="F3043" s="3">
        <v>8</v>
      </c>
      <c r="G3043" t="s">
        <v>513</v>
      </c>
    </row>
    <row r="3044" spans="1:7" x14ac:dyDescent="0.25">
      <c r="A3044" s="1" t="str">
        <f>"526206"</f>
        <v>526206</v>
      </c>
      <c r="B3044" s="2" t="str">
        <f>"BORNE UNI 16,0mm² CONEXÃO PARAFUSO NEUTRO AZ 8WA1  011-1BK11"</f>
        <v>BORNE UNI 16,0mm² CONEXÃO PARAFUSO NEUTRO AZ 8WA1  011-1BK11</v>
      </c>
      <c r="C3044" s="2" t="str">
        <f>"UN"</f>
        <v>UN</v>
      </c>
      <c r="D3044" s="7">
        <v>811</v>
      </c>
      <c r="E3044" s="3">
        <v>10</v>
      </c>
      <c r="F3044" s="3">
        <v>10</v>
      </c>
      <c r="G3044" t="s">
        <v>512</v>
      </c>
    </row>
    <row r="3045" spans="1:7" x14ac:dyDescent="0.25">
      <c r="A3045" s="1" t="str">
        <f>"526668"</f>
        <v>526668</v>
      </c>
      <c r="B3045" s="2" t="str">
        <f>"BORNE UNI 2,5 CONEX PARAF. N AZ 8WA1 011-1BF23"</f>
        <v>BORNE UNI 2,5 CONEX PARAF. N AZ 8WA1 011-1BF23</v>
      </c>
      <c r="C3045" s="2" t="str">
        <f>"UN"</f>
        <v>UN</v>
      </c>
      <c r="D3045" s="7">
        <v>811</v>
      </c>
      <c r="E3045" s="3">
        <v>8</v>
      </c>
      <c r="F3045" s="3">
        <v>8</v>
      </c>
      <c r="G3045" t="s">
        <v>513</v>
      </c>
    </row>
    <row r="3046" spans="1:7" x14ac:dyDescent="0.25">
      <c r="A3046" s="1" t="str">
        <f>"500724"</f>
        <v>500724</v>
      </c>
      <c r="B3046" s="2" t="str">
        <f>"BORNE VERT S/ ISOLANTE MAQ SAQUINHO"</f>
        <v>BORNE VERT S/ ISOLANTE MAQ SAQUINHO</v>
      </c>
      <c r="C3046" s="2" t="str">
        <f>"PC"</f>
        <v>PC</v>
      </c>
      <c r="D3046" s="7">
        <v>900</v>
      </c>
      <c r="E3046" s="3">
        <v>11</v>
      </c>
      <c r="F3046" s="3">
        <v>11</v>
      </c>
      <c r="G3046" t="s">
        <v>514</v>
      </c>
    </row>
    <row r="3047" spans="1:7" x14ac:dyDescent="0.25">
      <c r="A3047" s="1" t="str">
        <f>"526049"</f>
        <v>526049</v>
      </c>
      <c r="B3047" s="2" t="str">
        <f>"BORNES CONECTOR DE PASSAGEM 1 POLO 2,5mm² 8WA1 011-1DF11"</f>
        <v>BORNES CONECTOR DE PASSAGEM 1 POLO 2,5mm² 8WA1 011-1DF11</v>
      </c>
      <c r="C3047" s="2" t="str">
        <f t="shared" ref="C3047:C3057" si="122">"UN"</f>
        <v>UN</v>
      </c>
      <c r="D3047" s="7">
        <v>600</v>
      </c>
      <c r="E3047" s="3">
        <v>10</v>
      </c>
      <c r="F3047" s="3">
        <v>10</v>
      </c>
      <c r="G3047" t="s">
        <v>514</v>
      </c>
    </row>
    <row r="3048" spans="1:7" x14ac:dyDescent="0.25">
      <c r="A3048" s="1" t="str">
        <f>"526051"</f>
        <v>526051</v>
      </c>
      <c r="B3048" s="2" t="str">
        <f>"BORNES CONECTOR DE PASSAGEM 1 POLO 35mm² 8WA1 205 SIEMENS"</f>
        <v>BORNES CONECTOR DE PASSAGEM 1 POLO 35mm² 8WA1 205 SIEMENS</v>
      </c>
      <c r="C3048" s="2" t="str">
        <f t="shared" si="122"/>
        <v>UN</v>
      </c>
      <c r="D3048" s="7">
        <v>600</v>
      </c>
      <c r="E3048" s="3">
        <v>8</v>
      </c>
      <c r="F3048" s="3">
        <v>8</v>
      </c>
      <c r="G3048" t="s">
        <v>514</v>
      </c>
    </row>
    <row r="3049" spans="1:7" x14ac:dyDescent="0.25">
      <c r="A3049" s="1" t="str">
        <f>"526050"</f>
        <v>526050</v>
      </c>
      <c r="B3049" s="2" t="str">
        <f>"BORNES CONECTOR DE PASSAGEM 1 POLO 70mm² 8WA 1 808 SIEMENS"</f>
        <v>BORNES CONECTOR DE PASSAGEM 1 POLO 70mm² 8WA 1 808 SIEMENS</v>
      </c>
      <c r="C3049" s="2" t="str">
        <f t="shared" si="122"/>
        <v>UN</v>
      </c>
      <c r="D3049" s="7">
        <v>600</v>
      </c>
      <c r="E3049" s="3">
        <v>8</v>
      </c>
      <c r="F3049" s="3">
        <v>8</v>
      </c>
      <c r="G3049" t="s">
        <v>513</v>
      </c>
    </row>
    <row r="3050" spans="1:7" x14ac:dyDescent="0.25">
      <c r="A3050" s="1" t="str">
        <f>"522044"</f>
        <v>522044</v>
      </c>
      <c r="B3050" s="2" t="str">
        <f>"BOROSCÓPIO 9MM MINIPA MBR 240"</f>
        <v>BOROSCÓPIO 9MM MINIPA MBR 240</v>
      </c>
      <c r="C3050" s="2" t="str">
        <f t="shared" si="122"/>
        <v>UN</v>
      </c>
      <c r="D3050" s="7">
        <v>817</v>
      </c>
      <c r="E3050" s="3">
        <v>13</v>
      </c>
      <c r="F3050" s="3">
        <v>13</v>
      </c>
      <c r="G3050" t="s">
        <v>513</v>
      </c>
    </row>
    <row r="3051" spans="1:7" x14ac:dyDescent="0.25">
      <c r="A3051" s="1" t="str">
        <f>"513774"</f>
        <v>513774</v>
      </c>
      <c r="B3051" s="2" t="str">
        <f>"BORRACHA"</f>
        <v>BORRACHA</v>
      </c>
      <c r="C3051" s="2" t="str">
        <f t="shared" si="122"/>
        <v>UN</v>
      </c>
      <c r="D3051" s="7">
        <v>401</v>
      </c>
      <c r="E3051" s="3">
        <v>4</v>
      </c>
      <c r="F3051" s="3">
        <v>4</v>
      </c>
      <c r="G3051" t="s">
        <v>513</v>
      </c>
    </row>
    <row r="3052" spans="1:7" x14ac:dyDescent="0.25">
      <c r="A3052" s="1" t="str">
        <f>"526988"</f>
        <v>526988</v>
      </c>
      <c r="B3052" s="2" t="str">
        <f>"BORRACHA 1,2M X 5M X 1,6MM"</f>
        <v>BORRACHA 1,2M X 5M X 1,6MM</v>
      </c>
      <c r="C3052" s="2" t="str">
        <f t="shared" si="122"/>
        <v>UN</v>
      </c>
      <c r="D3052" s="7">
        <v>918</v>
      </c>
      <c r="E3052" s="3">
        <v>11</v>
      </c>
      <c r="F3052" s="3">
        <v>11</v>
      </c>
      <c r="G3052" t="s">
        <v>512</v>
      </c>
    </row>
    <row r="3053" spans="1:7" x14ac:dyDescent="0.25">
      <c r="A3053" s="1" t="str">
        <f>"504490"</f>
        <v>504490</v>
      </c>
      <c r="B3053" s="2" t="str">
        <f>"BORRACHA 11426 COD.6209 ADT 1175 (DESNA)"</f>
        <v>BORRACHA 11426 COD.6209 ADT 1175 (DESNA)</v>
      </c>
      <c r="C3053" s="2" t="str">
        <f t="shared" si="122"/>
        <v>UN</v>
      </c>
      <c r="D3053" s="7">
        <v>918</v>
      </c>
      <c r="E3053" s="3">
        <v>11</v>
      </c>
      <c r="F3053" s="3">
        <v>11</v>
      </c>
      <c r="G3053" t="s">
        <v>513</v>
      </c>
    </row>
    <row r="3054" spans="1:7" x14ac:dyDescent="0.25">
      <c r="A3054" s="1" t="str">
        <f>"504491"</f>
        <v>504491</v>
      </c>
      <c r="B3054" s="2" t="str">
        <f>"BORRACHA 11595 COD.6208 ADT 1246 (DESNA)"</f>
        <v>BORRACHA 11595 COD.6208 ADT 1246 (DESNA)</v>
      </c>
      <c r="C3054" s="2" t="str">
        <f t="shared" si="122"/>
        <v>UN</v>
      </c>
      <c r="D3054" s="7">
        <v>918</v>
      </c>
      <c r="E3054" s="3">
        <v>11</v>
      </c>
      <c r="F3054" s="3">
        <v>11</v>
      </c>
      <c r="G3054" t="s">
        <v>514</v>
      </c>
    </row>
    <row r="3055" spans="1:7" x14ac:dyDescent="0.25">
      <c r="A3055" s="1" t="str">
        <f>"509236"</f>
        <v>509236</v>
      </c>
      <c r="B3055" s="2" t="str">
        <f>"BORRACHA ACOPL. BOMBA KSB MEGANORM40-200"</f>
        <v>BORRACHA ACOPL. BOMBA KSB MEGANORM40-200</v>
      </c>
      <c r="C3055" s="2" t="str">
        <f t="shared" si="122"/>
        <v>UN</v>
      </c>
      <c r="D3055" s="7">
        <v>813</v>
      </c>
      <c r="E3055" s="3">
        <v>10</v>
      </c>
      <c r="F3055" s="3">
        <v>10</v>
      </c>
      <c r="G3055" t="s">
        <v>515</v>
      </c>
    </row>
    <row r="3056" spans="1:7" x14ac:dyDescent="0.25">
      <c r="A3056" s="1" t="str">
        <f>"500731"</f>
        <v>500731</v>
      </c>
      <c r="B3056" s="2" t="str">
        <f>"BORRACHA ACOPLAMENTO BOMBA FRIGOESTRELA"</f>
        <v>BORRACHA ACOPLAMENTO BOMBA FRIGOESTRELA</v>
      </c>
      <c r="C3056" s="2" t="str">
        <f t="shared" si="122"/>
        <v>UN</v>
      </c>
      <c r="D3056" s="7">
        <v>918</v>
      </c>
      <c r="E3056" s="3">
        <v>11</v>
      </c>
      <c r="F3056" s="3">
        <v>11</v>
      </c>
      <c r="G3056" t="s">
        <v>512</v>
      </c>
    </row>
    <row r="3057" spans="1:7" x14ac:dyDescent="0.25">
      <c r="A3057" s="1" t="str">
        <f>"518596"</f>
        <v>518596</v>
      </c>
      <c r="B3057" s="2" t="str">
        <f>"BORRACHA BASE FRASCO 110 EPDM 60SH COD 001398"</f>
        <v>BORRACHA BASE FRASCO 110 EPDM 60SH COD 001398</v>
      </c>
      <c r="C3057" s="2" t="str">
        <f t="shared" si="122"/>
        <v>UN</v>
      </c>
      <c r="D3057" s="7">
        <v>918</v>
      </c>
      <c r="E3057" s="3">
        <v>11</v>
      </c>
      <c r="F3057" s="3">
        <v>11</v>
      </c>
      <c r="G3057" t="s">
        <v>516</v>
      </c>
    </row>
    <row r="3058" spans="1:7" x14ac:dyDescent="0.25">
      <c r="A3058" s="1" t="str">
        <f>"510890"</f>
        <v>510890</v>
      </c>
      <c r="B3058" s="2" t="str">
        <f>"BORRACHA BERÇO PORTA TIPO DATA DMAX"</f>
        <v>BORRACHA BERÇO PORTA TIPO DATA DMAX</v>
      </c>
      <c r="C3058" s="2" t="str">
        <f>"PC"</f>
        <v>PC</v>
      </c>
      <c r="D3058" s="7">
        <v>907</v>
      </c>
      <c r="E3058" s="3">
        <v>11</v>
      </c>
      <c r="F3058" s="3">
        <v>11</v>
      </c>
      <c r="G3058" t="s">
        <v>515</v>
      </c>
    </row>
    <row r="3059" spans="1:7" x14ac:dyDescent="0.25">
      <c r="A3059" s="1" t="str">
        <f>"508946"</f>
        <v>508946</v>
      </c>
      <c r="B3059" s="2" t="str">
        <f>"BORRACHA CRUA"</f>
        <v>BORRACHA CRUA</v>
      </c>
      <c r="C3059" s="2" t="str">
        <f>"UN"</f>
        <v>UN</v>
      </c>
      <c r="D3059" s="7">
        <v>918</v>
      </c>
      <c r="E3059" s="3">
        <v>11</v>
      </c>
      <c r="F3059" s="3">
        <v>11</v>
      </c>
      <c r="G3059" t="s">
        <v>514</v>
      </c>
    </row>
    <row r="3060" spans="1:7" x14ac:dyDescent="0.25">
      <c r="A3060" s="1" t="str">
        <f>"506323"</f>
        <v>506323</v>
      </c>
      <c r="B3060" s="2" t="str">
        <f>"BORRACHA DA CUICA 7"""</f>
        <v>BORRACHA DA CUICA 7"</v>
      </c>
      <c r="C3060" s="2" t="str">
        <f>"UN"</f>
        <v>UN</v>
      </c>
      <c r="D3060" s="7">
        <v>704</v>
      </c>
      <c r="E3060" s="3">
        <v>9</v>
      </c>
      <c r="F3060" s="3">
        <v>9</v>
      </c>
      <c r="G3060" t="s">
        <v>512</v>
      </c>
    </row>
    <row r="3061" spans="1:7" x14ac:dyDescent="0.25">
      <c r="A3061" s="1" t="str">
        <f>"500326"</f>
        <v>500326</v>
      </c>
      <c r="B3061" s="2" t="str">
        <f>"BORRACHA DA CUICA 8"""</f>
        <v>BORRACHA DA CUICA 8"</v>
      </c>
      <c r="C3061" s="2" t="str">
        <f>"UN"</f>
        <v>UN</v>
      </c>
      <c r="D3061" s="7">
        <v>704</v>
      </c>
      <c r="E3061" s="3">
        <v>9</v>
      </c>
      <c r="F3061" s="3">
        <v>9</v>
      </c>
      <c r="G3061" t="s">
        <v>513</v>
      </c>
    </row>
    <row r="3062" spans="1:7" x14ac:dyDescent="0.25">
      <c r="A3062" s="1" t="str">
        <f>"515354"</f>
        <v>515354</v>
      </c>
      <c r="B3062" s="2" t="str">
        <f>"BORRACHA DA PORTA"</f>
        <v>BORRACHA DA PORTA</v>
      </c>
      <c r="C3062" s="2" t="str">
        <f>"UN"</f>
        <v>UN</v>
      </c>
      <c r="D3062" s="7">
        <v>704</v>
      </c>
      <c r="E3062" s="3">
        <v>9</v>
      </c>
      <c r="F3062" s="3">
        <v>9</v>
      </c>
      <c r="G3062" t="s">
        <v>514</v>
      </c>
    </row>
    <row r="3063" spans="1:7" x14ac:dyDescent="0.25">
      <c r="A3063" s="1" t="str">
        <f>"514910"</f>
        <v>514910</v>
      </c>
      <c r="B3063" s="2" t="str">
        <f>"BORRACHA DA VALVULA"</f>
        <v>BORRACHA DA VALVULA</v>
      </c>
      <c r="C3063" s="2" t="str">
        <f>"UN"</f>
        <v>UN</v>
      </c>
      <c r="D3063" s="7">
        <v>704</v>
      </c>
      <c r="E3063" s="3">
        <v>9</v>
      </c>
      <c r="F3063" s="3">
        <v>9</v>
      </c>
      <c r="G3063" t="s">
        <v>514</v>
      </c>
    </row>
    <row r="3064" spans="1:7" x14ac:dyDescent="0.25">
      <c r="A3064" s="1" t="str">
        <f>"508046"</f>
        <v>508046</v>
      </c>
      <c r="B3064" s="2" t="str">
        <f>"BORRACHA DATADORA - 0"</f>
        <v>BORRACHA DATADORA - 0</v>
      </c>
      <c r="C3064" s="2" t="str">
        <f t="shared" ref="C3064:C3073" si="123">"PC"</f>
        <v>PC</v>
      </c>
      <c r="D3064" s="7">
        <v>907</v>
      </c>
      <c r="E3064" s="3">
        <v>11</v>
      </c>
      <c r="F3064" s="3">
        <v>11</v>
      </c>
      <c r="G3064" t="s">
        <v>512</v>
      </c>
    </row>
    <row r="3065" spans="1:7" x14ac:dyDescent="0.25">
      <c r="A3065" s="1" t="str">
        <f>"508047"</f>
        <v>508047</v>
      </c>
      <c r="B3065" s="2" t="str">
        <f>"BORRACHA DATADORA - 1"</f>
        <v>BORRACHA DATADORA - 1</v>
      </c>
      <c r="C3065" s="2" t="str">
        <f t="shared" si="123"/>
        <v>PC</v>
      </c>
      <c r="D3065" s="7">
        <v>907</v>
      </c>
      <c r="E3065" s="3">
        <v>11</v>
      </c>
      <c r="F3065" s="3">
        <v>11</v>
      </c>
      <c r="G3065" t="s">
        <v>513</v>
      </c>
    </row>
    <row r="3066" spans="1:7" x14ac:dyDescent="0.25">
      <c r="A3066" s="1" t="str">
        <f>"508048"</f>
        <v>508048</v>
      </c>
      <c r="B3066" s="2" t="str">
        <f>"BORRACHA DATADORA - 2"</f>
        <v>BORRACHA DATADORA - 2</v>
      </c>
      <c r="C3066" s="2" t="str">
        <f t="shared" si="123"/>
        <v>PC</v>
      </c>
      <c r="D3066" s="7">
        <v>907</v>
      </c>
      <c r="E3066" s="3">
        <v>11</v>
      </c>
      <c r="F3066" s="3">
        <v>11</v>
      </c>
      <c r="G3066" t="s">
        <v>514</v>
      </c>
    </row>
    <row r="3067" spans="1:7" x14ac:dyDescent="0.25">
      <c r="A3067" s="1" t="str">
        <f>"508049"</f>
        <v>508049</v>
      </c>
      <c r="B3067" s="2" t="str">
        <f>"BORRACHA DATADORA - 3"</f>
        <v>BORRACHA DATADORA - 3</v>
      </c>
      <c r="C3067" s="2" t="str">
        <f t="shared" si="123"/>
        <v>PC</v>
      </c>
      <c r="D3067" s="7">
        <v>907</v>
      </c>
      <c r="E3067" s="3">
        <v>11</v>
      </c>
      <c r="F3067" s="3">
        <v>11</v>
      </c>
      <c r="G3067" t="s">
        <v>514</v>
      </c>
    </row>
    <row r="3068" spans="1:7" x14ac:dyDescent="0.25">
      <c r="A3068" s="1" t="str">
        <f>"508051"</f>
        <v>508051</v>
      </c>
      <c r="B3068" s="2" t="str">
        <f>"BORRACHA DATADORA - 5"</f>
        <v>BORRACHA DATADORA - 5</v>
      </c>
      <c r="C3068" s="2" t="str">
        <f t="shared" si="123"/>
        <v>PC</v>
      </c>
      <c r="D3068" s="7">
        <v>907</v>
      </c>
      <c r="E3068" s="3">
        <v>11</v>
      </c>
      <c r="F3068" s="3">
        <v>11</v>
      </c>
      <c r="G3068" t="s">
        <v>514</v>
      </c>
    </row>
    <row r="3069" spans="1:7" x14ac:dyDescent="0.25">
      <c r="A3069" s="1" t="str">
        <f>"508052"</f>
        <v>508052</v>
      </c>
      <c r="B3069" s="2" t="str">
        <f>"BORRACHA DATADORA - 6"</f>
        <v>BORRACHA DATADORA - 6</v>
      </c>
      <c r="C3069" s="2" t="str">
        <f t="shared" si="123"/>
        <v>PC</v>
      </c>
      <c r="D3069" s="7">
        <v>907</v>
      </c>
      <c r="E3069" s="3">
        <v>11</v>
      </c>
      <c r="F3069" s="3">
        <v>11</v>
      </c>
      <c r="G3069" t="s">
        <v>513</v>
      </c>
    </row>
    <row r="3070" spans="1:7" x14ac:dyDescent="0.25">
      <c r="A3070" s="1" t="str">
        <f>"508053"</f>
        <v>508053</v>
      </c>
      <c r="B3070" s="2" t="str">
        <f>"BORRACHA DATADORA - 7"</f>
        <v>BORRACHA DATADORA - 7</v>
      </c>
      <c r="C3070" s="2" t="str">
        <f t="shared" si="123"/>
        <v>PC</v>
      </c>
      <c r="D3070" s="7">
        <v>907</v>
      </c>
      <c r="E3070" s="3">
        <v>11</v>
      </c>
      <c r="F3070" s="3">
        <v>11</v>
      </c>
      <c r="G3070" t="s">
        <v>512</v>
      </c>
    </row>
    <row r="3071" spans="1:7" x14ac:dyDescent="0.25">
      <c r="A3071" s="1" t="str">
        <f>"508054"</f>
        <v>508054</v>
      </c>
      <c r="B3071" s="2" t="str">
        <f>"BORRACHA DATADORA - 8"</f>
        <v>BORRACHA DATADORA - 8</v>
      </c>
      <c r="C3071" s="2" t="str">
        <f t="shared" si="123"/>
        <v>PC</v>
      </c>
      <c r="D3071" s="7">
        <v>907</v>
      </c>
      <c r="E3071" s="3">
        <v>11</v>
      </c>
      <c r="F3071" s="3">
        <v>11</v>
      </c>
      <c r="G3071" t="s">
        <v>513</v>
      </c>
    </row>
    <row r="3072" spans="1:7" x14ac:dyDescent="0.25">
      <c r="A3072" s="1" t="str">
        <f>"508055"</f>
        <v>508055</v>
      </c>
      <c r="B3072" s="2" t="str">
        <f>"BORRACHA DATADORA - 9"</f>
        <v>BORRACHA DATADORA - 9</v>
      </c>
      <c r="C3072" s="2" t="str">
        <f t="shared" si="123"/>
        <v>PC</v>
      </c>
      <c r="D3072" s="7">
        <v>907</v>
      </c>
      <c r="E3072" s="3">
        <v>11</v>
      </c>
      <c r="F3072" s="3">
        <v>11</v>
      </c>
      <c r="G3072" t="s">
        <v>514</v>
      </c>
    </row>
    <row r="3073" spans="1:7" x14ac:dyDescent="0.25">
      <c r="A3073" s="1" t="str">
        <f>"508045"</f>
        <v>508045</v>
      </c>
      <c r="B3073" s="2" t="str">
        <f>"BORRACHA DATADORA - T"</f>
        <v>BORRACHA DATADORA - T</v>
      </c>
      <c r="C3073" s="2" t="str">
        <f t="shared" si="123"/>
        <v>PC</v>
      </c>
      <c r="D3073" s="7">
        <v>907</v>
      </c>
      <c r="E3073" s="3">
        <v>11</v>
      </c>
      <c r="F3073" s="3">
        <v>11</v>
      </c>
      <c r="G3073" t="s">
        <v>514</v>
      </c>
    </row>
    <row r="3074" spans="1:7" x14ac:dyDescent="0.25">
      <c r="A3074" s="1" t="str">
        <f>"522552"</f>
        <v>522552</v>
      </c>
      <c r="B3074" s="2" t="str">
        <f>"BORRACHA DE SUBSTITUIÇÃO (COR PRETO CÓD. 15077)"</f>
        <v>BORRACHA DE SUBSTITUIÇÃO (COR PRETO CÓD. 15077)</v>
      </c>
      <c r="C3074" s="2" t="str">
        <f>"UN"</f>
        <v>UN</v>
      </c>
      <c r="D3074" s="7">
        <v>400</v>
      </c>
      <c r="E3074" s="3">
        <v>4</v>
      </c>
      <c r="F3074" s="3">
        <v>4</v>
      </c>
      <c r="G3074" t="s">
        <v>514</v>
      </c>
    </row>
    <row r="3075" spans="1:7" x14ac:dyDescent="0.25">
      <c r="A3075" s="1" t="str">
        <f>"508456"</f>
        <v>508456</v>
      </c>
      <c r="B3075" s="2" t="str">
        <f>"BORRACHA DE VEDAÇAO BOCA TANQUE RODOVIAR"</f>
        <v>BORRACHA DE VEDAÇAO BOCA TANQUE RODOVIAR</v>
      </c>
      <c r="C3075" s="2" t="str">
        <f>"BR"</f>
        <v>BR</v>
      </c>
      <c r="D3075" s="7">
        <v>807</v>
      </c>
      <c r="E3075" s="3">
        <v>10</v>
      </c>
      <c r="F3075" s="3">
        <v>10</v>
      </c>
      <c r="G3075" t="s">
        <v>513</v>
      </c>
    </row>
    <row r="3076" spans="1:7" x14ac:dyDescent="0.25">
      <c r="A3076" s="1" t="str">
        <f>"527038"</f>
        <v>527038</v>
      </c>
      <c r="B3076" s="2" t="str">
        <f>"BORRACHA DE VEDAÇÃO DA PORTA DE REQUEIJÃO"</f>
        <v>BORRACHA DE VEDAÇÃO DA PORTA DE REQUEIJÃO</v>
      </c>
      <c r="C3076" s="2" t="str">
        <f>"UN"</f>
        <v>UN</v>
      </c>
      <c r="D3076" s="7">
        <v>803</v>
      </c>
      <c r="E3076" s="3">
        <v>10</v>
      </c>
      <c r="F3076" s="3">
        <v>10</v>
      </c>
      <c r="G3076" t="s">
        <v>513</v>
      </c>
    </row>
    <row r="3077" spans="1:7" x14ac:dyDescent="0.25">
      <c r="A3077" s="1" t="str">
        <f>"527881"</f>
        <v>527881</v>
      </c>
      <c r="B3077" s="2" t="str">
        <f>"BORRACHA DE VEDACAO DA PORTA P/ FREEZER COLDLAB CL400"</f>
        <v>BORRACHA DE VEDACAO DA PORTA P/ FREEZER COLDLAB CL400</v>
      </c>
      <c r="C3077" s="2" t="str">
        <f>"UN"</f>
        <v>UN</v>
      </c>
      <c r="D3077" s="7">
        <v>704</v>
      </c>
      <c r="E3077" s="3">
        <v>9</v>
      </c>
      <c r="F3077" s="3">
        <v>9</v>
      </c>
      <c r="G3077" t="s">
        <v>513</v>
      </c>
    </row>
    <row r="3078" spans="1:7" x14ac:dyDescent="0.25">
      <c r="A3078" s="1" t="str">
        <f>"502151"</f>
        <v>502151</v>
      </c>
      <c r="B3078" s="2" t="str">
        <f>"BORRACHA DO AMORTECEDOR WOLKSVAGEM 8.100"</f>
        <v>BORRACHA DO AMORTECEDOR WOLKSVAGEM 8.100</v>
      </c>
      <c r="C3078" s="2" t="str">
        <f>"UN"</f>
        <v>UN</v>
      </c>
      <c r="D3078" s="7">
        <v>704</v>
      </c>
      <c r="E3078" s="3">
        <v>9</v>
      </c>
      <c r="F3078" s="3">
        <v>9</v>
      </c>
      <c r="G3078" t="s">
        <v>512</v>
      </c>
    </row>
    <row r="3079" spans="1:7" x14ac:dyDescent="0.25">
      <c r="A3079" s="1" t="str">
        <f>"503622"</f>
        <v>503622</v>
      </c>
      <c r="B3079" s="2" t="str">
        <f>"BORRACHA DO DATADOR 100X460X20MM BANDEJA"</f>
        <v>BORRACHA DO DATADOR 100X460X20MM BANDEJA</v>
      </c>
      <c r="C3079" s="2" t="str">
        <f>"PC"</f>
        <v>PC</v>
      </c>
      <c r="D3079" s="7">
        <v>907</v>
      </c>
      <c r="E3079" s="3">
        <v>11</v>
      </c>
      <c r="F3079" s="3">
        <v>11</v>
      </c>
      <c r="G3079" t="s">
        <v>513</v>
      </c>
    </row>
    <row r="3080" spans="1:7" x14ac:dyDescent="0.25">
      <c r="A3080" s="1" t="str">
        <f>"510215"</f>
        <v>510215</v>
      </c>
      <c r="B3080" s="2" t="str">
        <f>"BORRACHA DO DATADOR DINIEPER PETIT"</f>
        <v>BORRACHA DO DATADOR DINIEPER PETIT</v>
      </c>
      <c r="C3080" s="2" t="str">
        <f>"PC"</f>
        <v>PC</v>
      </c>
      <c r="D3080" s="7">
        <v>907</v>
      </c>
      <c r="E3080" s="3">
        <v>11</v>
      </c>
      <c r="F3080" s="3">
        <v>11</v>
      </c>
      <c r="G3080" t="s">
        <v>514</v>
      </c>
    </row>
    <row r="3081" spans="1:7" x14ac:dyDescent="0.25">
      <c r="A3081" s="1" t="str">
        <f>"507721"</f>
        <v>507721</v>
      </c>
      <c r="B3081" s="2" t="str">
        <f>"BORRACHA DO ROLO DE TRAÇAO"</f>
        <v>BORRACHA DO ROLO DE TRAÇAO</v>
      </c>
      <c r="C3081" s="2" t="str">
        <f t="shared" ref="C3081:C3101" si="124">"UN"</f>
        <v>UN</v>
      </c>
      <c r="D3081" s="7">
        <v>918</v>
      </c>
      <c r="E3081" s="3">
        <v>11</v>
      </c>
      <c r="F3081" s="3">
        <v>11</v>
      </c>
      <c r="G3081" t="s">
        <v>515</v>
      </c>
    </row>
    <row r="3082" spans="1:7" x14ac:dyDescent="0.25">
      <c r="A3082" s="1" t="str">
        <f>"515361"</f>
        <v>515361</v>
      </c>
      <c r="B3082" s="2" t="str">
        <f>"BORRACHA DO SENSOR"</f>
        <v>BORRACHA DO SENSOR</v>
      </c>
      <c r="C3082" s="2" t="str">
        <f t="shared" si="124"/>
        <v>UN</v>
      </c>
      <c r="D3082" s="7">
        <v>704</v>
      </c>
      <c r="E3082" s="3">
        <v>9</v>
      </c>
      <c r="F3082" s="3">
        <v>9</v>
      </c>
      <c r="G3082" t="s">
        <v>512</v>
      </c>
    </row>
    <row r="3083" spans="1:7" x14ac:dyDescent="0.25">
      <c r="A3083" s="1" t="str">
        <f>"504484"</f>
        <v>504484</v>
      </c>
      <c r="B3083" s="2" t="str">
        <f>"BORRACHA ENCOSTO DA VALVULA COD.382140"</f>
        <v>BORRACHA ENCOSTO DA VALVULA COD.382140</v>
      </c>
      <c r="C3083" s="2" t="str">
        <f t="shared" si="124"/>
        <v>UN</v>
      </c>
      <c r="D3083" s="7">
        <v>918</v>
      </c>
      <c r="E3083" s="3">
        <v>11</v>
      </c>
      <c r="F3083" s="3">
        <v>11</v>
      </c>
      <c r="G3083" t="s">
        <v>516</v>
      </c>
    </row>
    <row r="3084" spans="1:7" x14ac:dyDescent="0.25">
      <c r="A3084" s="1" t="str">
        <f>"500901"</f>
        <v>500901</v>
      </c>
      <c r="B3084" s="2" t="str">
        <f>"BORRACHA ENCOSTO DES.43442 COD.382140-3"</f>
        <v>BORRACHA ENCOSTO DES.43442 COD.382140-3</v>
      </c>
      <c r="C3084" s="2" t="str">
        <f t="shared" si="124"/>
        <v>UN</v>
      </c>
      <c r="D3084" s="7">
        <v>918</v>
      </c>
      <c r="E3084" s="3">
        <v>11</v>
      </c>
      <c r="F3084" s="3">
        <v>11</v>
      </c>
      <c r="G3084" t="s">
        <v>515</v>
      </c>
    </row>
    <row r="3085" spans="1:7" x14ac:dyDescent="0.25">
      <c r="A3085" s="1" t="str">
        <f>"500980"</f>
        <v>500980</v>
      </c>
      <c r="B3085" s="2" t="str">
        <f>"BORRACHA ENCOSTO PRENSA INF SAQUINHO"</f>
        <v>BORRACHA ENCOSTO PRENSA INF SAQUINHO</v>
      </c>
      <c r="C3085" s="2" t="str">
        <f t="shared" si="124"/>
        <v>UN</v>
      </c>
      <c r="D3085" s="7">
        <v>918</v>
      </c>
      <c r="E3085" s="3">
        <v>11</v>
      </c>
      <c r="F3085" s="3">
        <v>11</v>
      </c>
      <c r="G3085" t="s">
        <v>514</v>
      </c>
    </row>
    <row r="3086" spans="1:7" x14ac:dyDescent="0.25">
      <c r="A3086" s="1" t="str">
        <f>"504366"</f>
        <v>504366</v>
      </c>
      <c r="B3086" s="2" t="str">
        <f>"BORRACHA ENGATE AUTOMATICO"</f>
        <v>BORRACHA ENGATE AUTOMATICO</v>
      </c>
      <c r="C3086" s="2" t="str">
        <f t="shared" si="124"/>
        <v>UN</v>
      </c>
      <c r="D3086" s="7">
        <v>704</v>
      </c>
      <c r="E3086" s="3">
        <v>9</v>
      </c>
      <c r="F3086" s="3">
        <v>9</v>
      </c>
      <c r="G3086" t="s">
        <v>512</v>
      </c>
    </row>
    <row r="3087" spans="1:7" x14ac:dyDescent="0.25">
      <c r="A3087" s="1" t="str">
        <f>"509231"</f>
        <v>509231</v>
      </c>
      <c r="B3087" s="2" t="str">
        <f>"BORRACHA LAMELBACK 406010"</f>
        <v>BORRACHA LAMELBACK 406010</v>
      </c>
      <c r="C3087" s="2" t="str">
        <f t="shared" si="124"/>
        <v>UN</v>
      </c>
      <c r="D3087" s="7">
        <v>918</v>
      </c>
      <c r="E3087" s="3">
        <v>11</v>
      </c>
      <c r="F3087" s="3">
        <v>11</v>
      </c>
      <c r="G3087" t="s">
        <v>513</v>
      </c>
    </row>
    <row r="3088" spans="1:7" x14ac:dyDescent="0.25">
      <c r="A3088" s="1" t="str">
        <f>"522824"</f>
        <v>522824</v>
      </c>
      <c r="B3088" s="2" t="str">
        <f>"BORRACHA LAMINADA 1MTX17MT #5MM"</f>
        <v>BORRACHA LAMINADA 1MTX17MT #5MM</v>
      </c>
      <c r="C3088" s="2" t="str">
        <f t="shared" si="124"/>
        <v>UN</v>
      </c>
      <c r="D3088" s="7">
        <v>918</v>
      </c>
      <c r="E3088" s="3">
        <v>10</v>
      </c>
      <c r="F3088" s="3">
        <v>10</v>
      </c>
      <c r="G3088" t="s">
        <v>514</v>
      </c>
    </row>
    <row r="3089" spans="1:7" x14ac:dyDescent="0.25">
      <c r="A3089" s="1" t="str">
        <f>"509232"</f>
        <v>509232</v>
      </c>
      <c r="B3089" s="2" t="str">
        <f>"BORRACHA LAMINADA 750X1,5MM"</f>
        <v>BORRACHA LAMINADA 750X1,5MM</v>
      </c>
      <c r="C3089" s="2" t="str">
        <f t="shared" si="124"/>
        <v>UN</v>
      </c>
      <c r="D3089" s="7">
        <v>918</v>
      </c>
      <c r="E3089" s="3">
        <v>11</v>
      </c>
      <c r="F3089" s="3">
        <v>11</v>
      </c>
      <c r="G3089" t="s">
        <v>514</v>
      </c>
    </row>
    <row r="3090" spans="1:7" x14ac:dyDescent="0.25">
      <c r="A3090" s="1" t="str">
        <f>"500767"</f>
        <v>500767</v>
      </c>
      <c r="B3090" s="2" t="str">
        <f>"BORRACHA P/ VISOR VIDRO 5/8 X 3,3 VITON"</f>
        <v>BORRACHA P/ VISOR VIDRO 5/8 X 3,3 VITON</v>
      </c>
      <c r="C3090" s="2" t="str">
        <f t="shared" si="124"/>
        <v>UN</v>
      </c>
      <c r="D3090" s="7">
        <v>918</v>
      </c>
      <c r="E3090" s="3">
        <v>11</v>
      </c>
      <c r="F3090" s="3">
        <v>11</v>
      </c>
      <c r="G3090" t="s">
        <v>512</v>
      </c>
    </row>
    <row r="3091" spans="1:7" x14ac:dyDescent="0.25">
      <c r="A3091" s="1" t="str">
        <f>"513139"</f>
        <v>513139</v>
      </c>
      <c r="B3091" s="2" t="str">
        <f>"BORRACHA PARA CHOQUE 10305"</f>
        <v>BORRACHA PARA CHOQUE 10305</v>
      </c>
      <c r="C3091" s="2" t="str">
        <f t="shared" si="124"/>
        <v>UN</v>
      </c>
      <c r="D3091" s="7">
        <v>704</v>
      </c>
      <c r="E3091" s="3">
        <v>9</v>
      </c>
      <c r="F3091" s="3">
        <v>9</v>
      </c>
      <c r="G3091" t="s">
        <v>513</v>
      </c>
    </row>
    <row r="3092" spans="1:7" x14ac:dyDescent="0.25">
      <c r="A3092" s="1" t="str">
        <f>"515002"</f>
        <v>515002</v>
      </c>
      <c r="B3092" s="2" t="str">
        <f>"BORRACHA PARA GELADEIRA"</f>
        <v>BORRACHA PARA GELADEIRA</v>
      </c>
      <c r="C3092" s="2" t="str">
        <f t="shared" si="124"/>
        <v>UN</v>
      </c>
      <c r="D3092" s="7">
        <v>704</v>
      </c>
      <c r="E3092" s="3">
        <v>9</v>
      </c>
      <c r="F3092" s="3">
        <v>9</v>
      </c>
      <c r="G3092" t="s">
        <v>514</v>
      </c>
    </row>
    <row r="3093" spans="1:7" x14ac:dyDescent="0.25">
      <c r="A3093" s="1" t="str">
        <f>"513150"</f>
        <v>513150</v>
      </c>
      <c r="B3093" s="2" t="str">
        <f>"BORRACHA PARA SABONETEIRA"</f>
        <v>BORRACHA PARA SABONETEIRA</v>
      </c>
      <c r="C3093" s="2" t="str">
        <f t="shared" si="124"/>
        <v>UN</v>
      </c>
      <c r="D3093" s="7">
        <v>406</v>
      </c>
      <c r="E3093" s="3">
        <v>4</v>
      </c>
      <c r="F3093" s="3">
        <v>4</v>
      </c>
      <c r="G3093" t="s">
        <v>514</v>
      </c>
    </row>
    <row r="3094" spans="1:7" x14ac:dyDescent="0.25">
      <c r="A3094" s="1" t="str">
        <f>"514909"</f>
        <v>514909</v>
      </c>
      <c r="B3094" s="2" t="str">
        <f>"BORRACHA PARABRISA"</f>
        <v>BORRACHA PARABRISA</v>
      </c>
      <c r="C3094" s="2" t="str">
        <f t="shared" si="124"/>
        <v>UN</v>
      </c>
      <c r="D3094" s="7">
        <v>704</v>
      </c>
      <c r="E3094" s="3">
        <v>9</v>
      </c>
      <c r="F3094" s="3">
        <v>9</v>
      </c>
      <c r="G3094" t="s">
        <v>514</v>
      </c>
    </row>
    <row r="3095" spans="1:7" x14ac:dyDescent="0.25">
      <c r="A3095" s="1" t="str">
        <f>"505057"</f>
        <v>505057</v>
      </c>
      <c r="B3095" s="2" t="str">
        <f>"BORRACHA REDONDA COD.387156-3"</f>
        <v>BORRACHA REDONDA COD.387156-3</v>
      </c>
      <c r="C3095" s="2" t="str">
        <f t="shared" si="124"/>
        <v>UN</v>
      </c>
      <c r="D3095" s="7">
        <v>918</v>
      </c>
      <c r="E3095" s="3">
        <v>11</v>
      </c>
      <c r="F3095" s="3">
        <v>11</v>
      </c>
      <c r="G3095" t="s">
        <v>513</v>
      </c>
    </row>
    <row r="3096" spans="1:7" x14ac:dyDescent="0.25">
      <c r="A3096" s="1" t="str">
        <f>"506271"</f>
        <v>506271</v>
      </c>
      <c r="B3096" s="2" t="str">
        <f>"BORRACHA SAIAO 2.5X600MM"</f>
        <v>BORRACHA SAIAO 2.5X600MM</v>
      </c>
      <c r="C3096" s="2" t="str">
        <f t="shared" si="124"/>
        <v>UN</v>
      </c>
      <c r="D3096" s="7">
        <v>918</v>
      </c>
      <c r="E3096" s="3">
        <v>11</v>
      </c>
      <c r="F3096" s="3">
        <v>11</v>
      </c>
      <c r="G3096" t="s">
        <v>512</v>
      </c>
    </row>
    <row r="3097" spans="1:7" x14ac:dyDescent="0.25">
      <c r="A3097" s="1" t="str">
        <f>"512569"</f>
        <v>512569</v>
      </c>
      <c r="B3097" s="2" t="str">
        <f>"BORRACHA SELADORA"</f>
        <v>BORRACHA SELADORA</v>
      </c>
      <c r="C3097" s="2" t="str">
        <f t="shared" si="124"/>
        <v>UN</v>
      </c>
      <c r="D3097" s="7">
        <v>918</v>
      </c>
      <c r="E3097" s="3">
        <v>11</v>
      </c>
      <c r="F3097" s="3">
        <v>11</v>
      </c>
      <c r="G3097" t="s">
        <v>513</v>
      </c>
    </row>
    <row r="3098" spans="1:7" x14ac:dyDescent="0.25">
      <c r="A3098" s="1" t="str">
        <f>"506107"</f>
        <v>506107</v>
      </c>
      <c r="B3098" s="2" t="str">
        <f>"BORRACHA TIRANTE TRUCK REDOV."</f>
        <v>BORRACHA TIRANTE TRUCK REDOV.</v>
      </c>
      <c r="C3098" s="2" t="str">
        <f t="shared" si="124"/>
        <v>UN</v>
      </c>
      <c r="D3098" s="7">
        <v>704</v>
      </c>
      <c r="E3098" s="3">
        <v>9</v>
      </c>
      <c r="F3098" s="3">
        <v>9</v>
      </c>
      <c r="G3098" t="s">
        <v>514</v>
      </c>
    </row>
    <row r="3099" spans="1:7" x14ac:dyDescent="0.25">
      <c r="A3099" s="1" t="str">
        <f>"508301"</f>
        <v>508301</v>
      </c>
      <c r="B3099" s="2" t="str">
        <f>"BORRACHA TRAFILADA 11715"</f>
        <v>BORRACHA TRAFILADA 11715</v>
      </c>
      <c r="C3099" s="2" t="str">
        <f t="shared" si="124"/>
        <v>UN</v>
      </c>
      <c r="D3099" s="7">
        <v>704</v>
      </c>
      <c r="E3099" s="3">
        <v>9</v>
      </c>
      <c r="F3099" s="3">
        <v>9</v>
      </c>
      <c r="G3099" t="s">
        <v>514</v>
      </c>
    </row>
    <row r="3100" spans="1:7" x14ac:dyDescent="0.25">
      <c r="A3100" s="1" t="str">
        <f>"504400"</f>
        <v>504400</v>
      </c>
      <c r="B3100" s="2" t="str">
        <f>"BORRACHA TRIPA DE MICO"</f>
        <v>BORRACHA TRIPA DE MICO</v>
      </c>
      <c r="C3100" s="2" t="str">
        <f t="shared" si="124"/>
        <v>UN</v>
      </c>
      <c r="D3100" s="7">
        <v>99999</v>
      </c>
      <c r="E3100" s="3">
        <v>99</v>
      </c>
      <c r="F3100" s="3">
        <v>99</v>
      </c>
      <c r="G3100" t="s">
        <v>514</v>
      </c>
    </row>
    <row r="3101" spans="1:7" x14ac:dyDescent="0.25">
      <c r="A3101" s="1" t="str">
        <f>"523181"</f>
        <v>523181</v>
      </c>
      <c r="B3101" s="2" t="str">
        <f>"BORRACHA VED. DE PORTA 100MM X 5MT X 2MM"</f>
        <v>BORRACHA VED. DE PORTA 100MM X 5MT X 2MM</v>
      </c>
      <c r="C3101" s="2" t="str">
        <f t="shared" si="124"/>
        <v>UN</v>
      </c>
      <c r="D3101" s="7">
        <v>918</v>
      </c>
      <c r="E3101" s="3">
        <v>11</v>
      </c>
      <c r="F3101" s="3">
        <v>11</v>
      </c>
      <c r="G3101" t="s">
        <v>513</v>
      </c>
    </row>
    <row r="3102" spans="1:7" x14ac:dyDescent="0.25">
      <c r="A3102" s="1" t="str">
        <f>"512082"</f>
        <v>512082</v>
      </c>
      <c r="B3102" s="2" t="str">
        <f>"BORRACHA VED. PORTA ENGEFRIO 2000X3000MM"</f>
        <v>BORRACHA VED. PORTA ENGEFRIO 2000X3000MM</v>
      </c>
      <c r="C3102" s="2" t="str">
        <f>"BR"</f>
        <v>BR</v>
      </c>
      <c r="D3102" s="7">
        <v>807</v>
      </c>
      <c r="E3102" s="3">
        <v>10</v>
      </c>
      <c r="F3102" s="3">
        <v>10</v>
      </c>
      <c r="G3102" t="s">
        <v>513</v>
      </c>
    </row>
    <row r="3103" spans="1:7" x14ac:dyDescent="0.25">
      <c r="A3103" s="1" t="str">
        <f>"516122"</f>
        <v>516122</v>
      </c>
      <c r="B3103" s="2" t="str">
        <f>"BORRACHA VEDAÇÃO PLACA VT-20 LOCK-IN FINAL"</f>
        <v>BORRACHA VEDAÇÃO PLACA VT-20 LOCK-IN FINAL</v>
      </c>
      <c r="C3103" s="2" t="str">
        <f>"UN"</f>
        <v>UN</v>
      </c>
      <c r="D3103" s="7">
        <v>915</v>
      </c>
      <c r="E3103" s="3">
        <v>11</v>
      </c>
      <c r="F3103" s="3">
        <v>11</v>
      </c>
      <c r="G3103" t="s">
        <v>513</v>
      </c>
    </row>
    <row r="3104" spans="1:7" x14ac:dyDescent="0.25">
      <c r="A3104" s="1" t="str">
        <f>"525456"</f>
        <v>525456</v>
      </c>
      <c r="B3104" s="2" t="str">
        <f>"BORRACHINA DE VEDAÇÃO TORNEIRA 1/2"</f>
        <v>BORRACHINA DE VEDAÇÃO TORNEIRA 1/2</v>
      </c>
      <c r="C3104" s="2" t="str">
        <f>"UN"</f>
        <v>UN</v>
      </c>
      <c r="D3104" s="7">
        <v>99999</v>
      </c>
      <c r="E3104" s="3">
        <v>99</v>
      </c>
      <c r="F3104" s="3">
        <v>99</v>
      </c>
      <c r="G3104" t="s">
        <v>512</v>
      </c>
    </row>
    <row r="3105" spans="1:7" x14ac:dyDescent="0.25">
      <c r="A3105" s="1" t="str">
        <f>"525457"</f>
        <v>525457</v>
      </c>
      <c r="B3105" s="2" t="str">
        <f>"BORRACHINA DE VEDAÇÃO TORNEIRA 3/4"</f>
        <v>BORRACHINA DE VEDAÇÃO TORNEIRA 3/4</v>
      </c>
      <c r="C3105" s="2" t="str">
        <f>"UN"</f>
        <v>UN</v>
      </c>
      <c r="D3105" s="7">
        <v>99999</v>
      </c>
      <c r="E3105" s="3">
        <v>99</v>
      </c>
      <c r="F3105" s="3">
        <v>99</v>
      </c>
      <c r="G3105" t="s">
        <v>513</v>
      </c>
    </row>
    <row r="3106" spans="1:7" x14ac:dyDescent="0.25">
      <c r="A3106" s="1" t="str">
        <f>"6473"</f>
        <v>6473</v>
      </c>
      <c r="B3106" s="2" t="str">
        <f>"BOTA BORRACHA CANO CURTO BRANCA VULCABRA"</f>
        <v>BOTA BORRACHA CANO CURTO BRANCA VULCABRA</v>
      </c>
      <c r="C3106" s="2" t="str">
        <f>"UN"</f>
        <v>UN</v>
      </c>
      <c r="D3106" s="7">
        <v>501</v>
      </c>
      <c r="E3106" s="3">
        <v>5</v>
      </c>
      <c r="F3106" s="3">
        <v>5</v>
      </c>
      <c r="G3106" t="s">
        <v>514</v>
      </c>
    </row>
    <row r="3107" spans="1:7" x14ac:dyDescent="0.25">
      <c r="A3107" s="1" t="str">
        <f>"524015"</f>
        <v>524015</v>
      </c>
      <c r="B3107" s="2" t="str">
        <f>"BOTA BRANCA CANO LONGO BRACOL CA-37455 Nº34/35"</f>
        <v>BOTA BRANCA CANO LONGO BRACOL CA-37455 Nº34/35</v>
      </c>
      <c r="C3107" s="2" t="str">
        <f t="shared" ref="C3107:C3130" si="125">"PR"</f>
        <v>PR</v>
      </c>
      <c r="D3107" s="7">
        <v>501</v>
      </c>
      <c r="E3107" s="3">
        <v>5</v>
      </c>
      <c r="F3107" s="3">
        <v>5</v>
      </c>
      <c r="G3107" t="s">
        <v>515</v>
      </c>
    </row>
    <row r="3108" spans="1:7" x14ac:dyDescent="0.25">
      <c r="A3108" s="1" t="str">
        <f>"526257"</f>
        <v>526257</v>
      </c>
      <c r="B3108" s="2" t="str">
        <f>"BOTA BRANCA CANO LONGO BRACOL CA-37455 Nº35"</f>
        <v>BOTA BRANCA CANO LONGO BRACOL CA-37455 Nº35</v>
      </c>
      <c r="C3108" s="2" t="str">
        <f t="shared" si="125"/>
        <v>PR</v>
      </c>
      <c r="D3108" s="7">
        <v>501</v>
      </c>
      <c r="E3108" s="3">
        <v>5</v>
      </c>
      <c r="F3108" s="3">
        <v>5</v>
      </c>
      <c r="G3108" t="s">
        <v>512</v>
      </c>
    </row>
    <row r="3109" spans="1:7" x14ac:dyDescent="0.25">
      <c r="A3109" s="1" t="str">
        <f>"524016"</f>
        <v>524016</v>
      </c>
      <c r="B3109" s="2" t="str">
        <f>"BOTA BRANCA CANO LONGO BRACOL CA-37455 Nº36"</f>
        <v>BOTA BRANCA CANO LONGO BRACOL CA-37455 Nº36</v>
      </c>
      <c r="C3109" s="2" t="str">
        <f t="shared" si="125"/>
        <v>PR</v>
      </c>
      <c r="D3109" s="7">
        <v>501</v>
      </c>
      <c r="E3109" s="3">
        <v>5</v>
      </c>
      <c r="F3109" s="3">
        <v>5</v>
      </c>
      <c r="G3109" t="s">
        <v>516</v>
      </c>
    </row>
    <row r="3110" spans="1:7" x14ac:dyDescent="0.25">
      <c r="A3110" s="1" t="str">
        <f>"524017"</f>
        <v>524017</v>
      </c>
      <c r="B3110" s="2" t="str">
        <f>"BOTA BRANCA CANO LONGO BRACOL CA-37455 Nº37"</f>
        <v>BOTA BRANCA CANO LONGO BRACOL CA-37455 Nº37</v>
      </c>
      <c r="C3110" s="2" t="str">
        <f t="shared" si="125"/>
        <v>PR</v>
      </c>
      <c r="D3110" s="7">
        <v>501</v>
      </c>
      <c r="E3110" s="3">
        <v>5</v>
      </c>
      <c r="F3110" s="3">
        <v>5</v>
      </c>
      <c r="G3110" t="s">
        <v>515</v>
      </c>
    </row>
    <row r="3111" spans="1:7" x14ac:dyDescent="0.25">
      <c r="A3111" s="1" t="str">
        <f>"524018"</f>
        <v>524018</v>
      </c>
      <c r="B3111" s="2" t="str">
        <f>"BOTA BRANCA CANO LONGO BRACOL CA-37455 Nº38"</f>
        <v>BOTA BRANCA CANO LONGO BRACOL CA-37455 Nº38</v>
      </c>
      <c r="C3111" s="2" t="str">
        <f t="shared" si="125"/>
        <v>PR</v>
      </c>
      <c r="D3111" s="7">
        <v>501</v>
      </c>
      <c r="E3111" s="3">
        <v>5</v>
      </c>
      <c r="F3111" s="3">
        <v>5</v>
      </c>
      <c r="G3111" t="s">
        <v>514</v>
      </c>
    </row>
    <row r="3112" spans="1:7" x14ac:dyDescent="0.25">
      <c r="A3112" s="1" t="str">
        <f>"524019"</f>
        <v>524019</v>
      </c>
      <c r="B3112" s="2" t="str">
        <f>"BOTA BRANCA CANO LONGO BRACOL CA-37455 Nº39"</f>
        <v>BOTA BRANCA CANO LONGO BRACOL CA-37455 Nº39</v>
      </c>
      <c r="C3112" s="2" t="str">
        <f t="shared" si="125"/>
        <v>PR</v>
      </c>
      <c r="D3112" s="7">
        <v>501</v>
      </c>
      <c r="E3112" s="3">
        <v>5</v>
      </c>
      <c r="F3112" s="3">
        <v>5</v>
      </c>
      <c r="G3112" t="s">
        <v>512</v>
      </c>
    </row>
    <row r="3113" spans="1:7" x14ac:dyDescent="0.25">
      <c r="A3113" s="1" t="str">
        <f>"523989"</f>
        <v>523989</v>
      </c>
      <c r="B3113" s="2" t="str">
        <f>"BOTA BRANCA CANO LONGO BRACOL CA-37455 Nº40"</f>
        <v>BOTA BRANCA CANO LONGO BRACOL CA-37455 Nº40</v>
      </c>
      <c r="C3113" s="2" t="str">
        <f t="shared" si="125"/>
        <v>PR</v>
      </c>
      <c r="D3113" s="7">
        <v>501</v>
      </c>
      <c r="E3113" s="3">
        <v>5</v>
      </c>
      <c r="F3113" s="3">
        <v>5</v>
      </c>
      <c r="G3113" t="s">
        <v>513</v>
      </c>
    </row>
    <row r="3114" spans="1:7" x14ac:dyDescent="0.25">
      <c r="A3114" s="1" t="str">
        <f>"524020"</f>
        <v>524020</v>
      </c>
      <c r="B3114" s="2" t="str">
        <f>"BOTA BRANCA CANO LONGO BRACOL CA-37455 Nº40"</f>
        <v>BOTA BRANCA CANO LONGO BRACOL CA-37455 Nº40</v>
      </c>
      <c r="C3114" s="2" t="str">
        <f t="shared" si="125"/>
        <v>PR</v>
      </c>
      <c r="D3114" s="7">
        <v>501</v>
      </c>
      <c r="E3114" s="3">
        <v>5</v>
      </c>
      <c r="F3114" s="3">
        <v>5</v>
      </c>
      <c r="G3114" t="s">
        <v>514</v>
      </c>
    </row>
    <row r="3115" spans="1:7" x14ac:dyDescent="0.25">
      <c r="A3115" s="1" t="str">
        <f>"524021"</f>
        <v>524021</v>
      </c>
      <c r="B3115" s="2" t="str">
        <f>"BOTA BRANCA CANO LONGO BRACOL CA-37455 Nº41"</f>
        <v>BOTA BRANCA CANO LONGO BRACOL CA-37455 Nº41</v>
      </c>
      <c r="C3115" s="2" t="str">
        <f t="shared" si="125"/>
        <v>PR</v>
      </c>
      <c r="D3115" s="7">
        <v>501</v>
      </c>
      <c r="E3115" s="3">
        <v>5</v>
      </c>
      <c r="F3115" s="3">
        <v>5</v>
      </c>
      <c r="G3115" t="s">
        <v>514</v>
      </c>
    </row>
    <row r="3116" spans="1:7" x14ac:dyDescent="0.25">
      <c r="A3116" s="1" t="str">
        <f>"524022"</f>
        <v>524022</v>
      </c>
      <c r="B3116" s="2" t="str">
        <f>"BOTA BRANCA CANO LONGO BRACOL CA-37455 Nº42"</f>
        <v>BOTA BRANCA CANO LONGO BRACOL CA-37455 Nº42</v>
      </c>
      <c r="C3116" s="2" t="str">
        <f t="shared" si="125"/>
        <v>PR</v>
      </c>
      <c r="D3116" s="7">
        <v>501</v>
      </c>
      <c r="E3116" s="3">
        <v>5</v>
      </c>
      <c r="F3116" s="3">
        <v>5</v>
      </c>
      <c r="G3116" t="s">
        <v>512</v>
      </c>
    </row>
    <row r="3117" spans="1:7" x14ac:dyDescent="0.25">
      <c r="A3117" s="1" t="str">
        <f>"524023"</f>
        <v>524023</v>
      </c>
      <c r="B3117" s="2" t="str">
        <f>"BOTA BRANCA CANO LONGO BRACOL CA-37455 Nº43"</f>
        <v>BOTA BRANCA CANO LONGO BRACOL CA-37455 Nº43</v>
      </c>
      <c r="C3117" s="2" t="str">
        <f t="shared" si="125"/>
        <v>PR</v>
      </c>
      <c r="D3117" s="7">
        <v>501</v>
      </c>
      <c r="E3117" s="3">
        <v>5</v>
      </c>
      <c r="F3117" s="3">
        <v>5</v>
      </c>
      <c r="G3117" t="s">
        <v>513</v>
      </c>
    </row>
    <row r="3118" spans="1:7" x14ac:dyDescent="0.25">
      <c r="A3118" s="1" t="str">
        <f>"524024"</f>
        <v>524024</v>
      </c>
      <c r="B3118" s="2" t="str">
        <f>"BOTA BRANCA CANO LONGO BRACOL CA-37455 Nº44"</f>
        <v>BOTA BRANCA CANO LONGO BRACOL CA-37455 Nº44</v>
      </c>
      <c r="C3118" s="2" t="str">
        <f t="shared" si="125"/>
        <v>PR</v>
      </c>
      <c r="D3118" s="7">
        <v>501</v>
      </c>
      <c r="E3118" s="3">
        <v>5</v>
      </c>
      <c r="F3118" s="3">
        <v>5</v>
      </c>
      <c r="G3118" t="s">
        <v>514</v>
      </c>
    </row>
    <row r="3119" spans="1:7" x14ac:dyDescent="0.25">
      <c r="A3119" s="1" t="str">
        <f>"524025"</f>
        <v>524025</v>
      </c>
      <c r="B3119" s="2" t="str">
        <f>"BOTA BRANCA CANO LONGO BRACOL CA-37455 Nº45"</f>
        <v>BOTA BRANCA CANO LONGO BRACOL CA-37455 Nº45</v>
      </c>
      <c r="C3119" s="2" t="str">
        <f t="shared" si="125"/>
        <v>PR</v>
      </c>
      <c r="D3119" s="7">
        <v>501</v>
      </c>
      <c r="E3119" s="3">
        <v>5</v>
      </c>
      <c r="F3119" s="3">
        <v>5</v>
      </c>
      <c r="G3119" t="s">
        <v>514</v>
      </c>
    </row>
    <row r="3120" spans="1:7" x14ac:dyDescent="0.25">
      <c r="A3120" s="1" t="str">
        <f>"524026"</f>
        <v>524026</v>
      </c>
      <c r="B3120" s="2" t="str">
        <f>"BOTA BRANCA CANO LONGO BRACOL CA-37455 Nº46"</f>
        <v>BOTA BRANCA CANO LONGO BRACOL CA-37455 Nº46</v>
      </c>
      <c r="C3120" s="2" t="str">
        <f t="shared" si="125"/>
        <v>PR</v>
      </c>
      <c r="D3120" s="7">
        <v>501</v>
      </c>
      <c r="E3120" s="3">
        <v>5</v>
      </c>
      <c r="F3120" s="3">
        <v>5</v>
      </c>
      <c r="G3120" t="s">
        <v>514</v>
      </c>
    </row>
    <row r="3121" spans="1:7" x14ac:dyDescent="0.25">
      <c r="A3121" s="1" t="str">
        <f>"2424"</f>
        <v>2424</v>
      </c>
      <c r="B3121" s="2" t="str">
        <f>"BOTA BRANCA N.34 LONGA(CALFOR/PAPMPEA"</f>
        <v>BOTA BRANCA N.34 LONGA(CALFOR/PAPMPEA</v>
      </c>
      <c r="C3121" s="2" t="str">
        <f t="shared" si="125"/>
        <v>PR</v>
      </c>
      <c r="D3121" s="7">
        <v>501</v>
      </c>
      <c r="E3121" s="3">
        <v>5</v>
      </c>
      <c r="F3121" s="3">
        <v>5</v>
      </c>
      <c r="G3121" t="s">
        <v>513</v>
      </c>
    </row>
    <row r="3122" spans="1:7" x14ac:dyDescent="0.25">
      <c r="A3122" s="1" t="str">
        <f>"2422"</f>
        <v>2422</v>
      </c>
      <c r="B3122" s="2" t="str">
        <f>"BOTA BRANCA N.36/37 LONGA(CALFOR/PAPMPEA"</f>
        <v>BOTA BRANCA N.36/37 LONGA(CALFOR/PAPMPEA</v>
      </c>
      <c r="C3122" s="2" t="str">
        <f t="shared" si="125"/>
        <v>PR</v>
      </c>
      <c r="D3122" s="7">
        <v>501</v>
      </c>
      <c r="E3122" s="3">
        <v>5</v>
      </c>
      <c r="F3122" s="3">
        <v>5</v>
      </c>
      <c r="G3122" t="s">
        <v>512</v>
      </c>
    </row>
    <row r="3123" spans="1:7" x14ac:dyDescent="0.25">
      <c r="A3123" s="1" t="str">
        <f>"1007"</f>
        <v>1007</v>
      </c>
      <c r="B3123" s="2" t="str">
        <f>"BOTA BRANCA N.38/LONGA(CALFOR/PAMPEANA)"</f>
        <v>BOTA BRANCA N.38/LONGA(CALFOR/PAMPEANA)</v>
      </c>
      <c r="C3123" s="2" t="str">
        <f t="shared" si="125"/>
        <v>PR</v>
      </c>
      <c r="D3123" s="7">
        <v>501</v>
      </c>
      <c r="E3123" s="3">
        <v>5</v>
      </c>
      <c r="F3123" s="3">
        <v>5</v>
      </c>
      <c r="G3123" t="s">
        <v>513</v>
      </c>
    </row>
    <row r="3124" spans="1:7" x14ac:dyDescent="0.25">
      <c r="A3124" s="1" t="str">
        <f>"1008"</f>
        <v>1008</v>
      </c>
      <c r="B3124" s="2" t="str">
        <f>"BOTA BRANCA N.39/LONGA(CALFOR/PAMPEANA)"</f>
        <v>BOTA BRANCA N.39/LONGA(CALFOR/PAMPEANA)</v>
      </c>
      <c r="C3124" s="2" t="str">
        <f t="shared" si="125"/>
        <v>PR</v>
      </c>
      <c r="D3124" s="7">
        <v>501</v>
      </c>
      <c r="E3124" s="3">
        <v>5</v>
      </c>
      <c r="F3124" s="3">
        <v>5</v>
      </c>
      <c r="G3124" t="s">
        <v>514</v>
      </c>
    </row>
    <row r="3125" spans="1:7" x14ac:dyDescent="0.25">
      <c r="A3125" s="1" t="str">
        <f>"1009"</f>
        <v>1009</v>
      </c>
      <c r="B3125" s="2" t="str">
        <f>"BOTA BRANCA N.40/LONGA(CALFOR/PAMPEANA)"</f>
        <v>BOTA BRANCA N.40/LONGA(CALFOR/PAMPEANA)</v>
      </c>
      <c r="C3125" s="2" t="str">
        <f t="shared" si="125"/>
        <v>PR</v>
      </c>
      <c r="D3125" s="7">
        <v>501</v>
      </c>
      <c r="E3125" s="3">
        <v>5</v>
      </c>
      <c r="F3125" s="3">
        <v>5</v>
      </c>
      <c r="G3125" t="s">
        <v>514</v>
      </c>
    </row>
    <row r="3126" spans="1:7" x14ac:dyDescent="0.25">
      <c r="A3126" s="1" t="str">
        <f>"1010"</f>
        <v>1010</v>
      </c>
      <c r="B3126" s="2" t="str">
        <f>"BOTA BRANCA N.41/LONGA(CALFOR/PAMPEANA)"</f>
        <v>BOTA BRANCA N.41/LONGA(CALFOR/PAMPEANA)</v>
      </c>
      <c r="C3126" s="2" t="str">
        <f t="shared" si="125"/>
        <v>PR</v>
      </c>
      <c r="D3126" s="7">
        <v>501</v>
      </c>
      <c r="E3126" s="3">
        <v>5</v>
      </c>
      <c r="F3126" s="3">
        <v>5</v>
      </c>
      <c r="G3126" t="s">
        <v>514</v>
      </c>
    </row>
    <row r="3127" spans="1:7" x14ac:dyDescent="0.25">
      <c r="A3127" s="1" t="str">
        <f>"1011"</f>
        <v>1011</v>
      </c>
      <c r="B3127" s="2" t="str">
        <f>"BOTA BRANCA N.42/LONGA(CALFOR/PAMPEANA)"</f>
        <v>BOTA BRANCA N.42/LONGA(CALFOR/PAMPEANA)</v>
      </c>
      <c r="C3127" s="2" t="str">
        <f t="shared" si="125"/>
        <v>PR</v>
      </c>
      <c r="D3127" s="7">
        <v>501</v>
      </c>
      <c r="E3127" s="3">
        <v>5</v>
      </c>
      <c r="F3127" s="3">
        <v>5</v>
      </c>
      <c r="G3127" t="s">
        <v>513</v>
      </c>
    </row>
    <row r="3128" spans="1:7" x14ac:dyDescent="0.25">
      <c r="A3128" s="1" t="str">
        <f>"1012"</f>
        <v>1012</v>
      </c>
      <c r="B3128" s="2" t="str">
        <f>"BOTA BRANCA N.43/LONGA(CALFOR/PAMPEANA)"</f>
        <v>BOTA BRANCA N.43/LONGA(CALFOR/PAMPEANA)</v>
      </c>
      <c r="C3128" s="2" t="str">
        <f t="shared" si="125"/>
        <v>PR</v>
      </c>
      <c r="D3128" s="7">
        <v>501</v>
      </c>
      <c r="E3128" s="3">
        <v>5</v>
      </c>
      <c r="F3128" s="3">
        <v>5</v>
      </c>
      <c r="G3128" t="s">
        <v>513</v>
      </c>
    </row>
    <row r="3129" spans="1:7" x14ac:dyDescent="0.25">
      <c r="A3129" s="1" t="str">
        <f>"1013"</f>
        <v>1013</v>
      </c>
      <c r="B3129" s="2" t="str">
        <f>"BOTA BRANCA N.44/LONGA(CALFOR/PAMPEANA)"</f>
        <v>BOTA BRANCA N.44/LONGA(CALFOR/PAMPEANA)</v>
      </c>
      <c r="C3129" s="2" t="str">
        <f t="shared" si="125"/>
        <v>PR</v>
      </c>
      <c r="D3129" s="7">
        <v>501</v>
      </c>
      <c r="E3129" s="3">
        <v>5</v>
      </c>
      <c r="F3129" s="3">
        <v>5</v>
      </c>
      <c r="G3129" t="s">
        <v>513</v>
      </c>
    </row>
    <row r="3130" spans="1:7" x14ac:dyDescent="0.25">
      <c r="A3130" s="1" t="str">
        <f>"1802"</f>
        <v>1802</v>
      </c>
      <c r="B3130" s="2" t="str">
        <f>"BOTA BRANCA N.45/46LONGA(CALFOR/PAMPEANA"</f>
        <v>BOTA BRANCA N.45/46LONGA(CALFOR/PAMPEANA</v>
      </c>
      <c r="C3130" s="2" t="str">
        <f t="shared" si="125"/>
        <v>PR</v>
      </c>
      <c r="D3130" s="7">
        <v>501</v>
      </c>
      <c r="E3130" s="3">
        <v>5</v>
      </c>
      <c r="F3130" s="3">
        <v>5</v>
      </c>
      <c r="G3130" t="s">
        <v>512</v>
      </c>
    </row>
    <row r="3131" spans="1:7" x14ac:dyDescent="0.25">
      <c r="A3131" s="1" t="str">
        <f>"523808"</f>
        <v>523808</v>
      </c>
      <c r="B3131" s="2" t="str">
        <f>"BOTA BRANCA PVC CANO LONGO IMPERM. CA-38201"</f>
        <v>BOTA BRANCA PVC CANO LONGO IMPERM. CA-38201</v>
      </c>
      <c r="C3131" s="2" t="str">
        <f>"UN"</f>
        <v>UN</v>
      </c>
      <c r="D3131" s="7">
        <v>501</v>
      </c>
      <c r="E3131" s="3">
        <v>5</v>
      </c>
      <c r="F3131" s="3">
        <v>5</v>
      </c>
      <c r="G3131" t="s">
        <v>513</v>
      </c>
    </row>
    <row r="3132" spans="1:7" x14ac:dyDescent="0.25">
      <c r="A3132" s="1" t="str">
        <f>"2314"</f>
        <v>2314</v>
      </c>
      <c r="B3132" s="2" t="str">
        <f>"BOTA DE POLIETILENO DESCARTAVEL C/100"</f>
        <v>BOTA DE POLIETILENO DESCARTAVEL C/100</v>
      </c>
      <c r="C3132" s="2" t="str">
        <f>"PR"</f>
        <v>PR</v>
      </c>
      <c r="D3132" s="7">
        <v>502</v>
      </c>
      <c r="E3132" s="3">
        <v>5</v>
      </c>
      <c r="F3132" s="3">
        <v>5</v>
      </c>
      <c r="G3132" t="s">
        <v>514</v>
      </c>
    </row>
    <row r="3133" spans="1:7" x14ac:dyDescent="0.25">
      <c r="A3133" s="1" t="str">
        <f>"527203"</f>
        <v>527203</v>
      </c>
      <c r="B3133" s="2" t="str">
        <f>"BOTA INCENDIO BORRACHA LONGA B. AÇO PA HARVIK PT CA-41145"</f>
        <v>BOTA INCENDIO BORRACHA LONGA B. AÇO PA HARVIK PT CA-41145</v>
      </c>
      <c r="C3133" s="2" t="str">
        <f>"UN"</f>
        <v>UN</v>
      </c>
      <c r="D3133" s="7">
        <v>501</v>
      </c>
      <c r="E3133" s="3">
        <v>5</v>
      </c>
      <c r="F3133" s="3">
        <v>5</v>
      </c>
      <c r="G3133" t="s">
        <v>515</v>
      </c>
    </row>
    <row r="3134" spans="1:7" x14ac:dyDescent="0.25">
      <c r="A3134" s="1" t="str">
        <f>"527795"</f>
        <v>527795</v>
      </c>
      <c r="B3134" s="2" t="str">
        <f>"BOTA PRETA CANO LONGO BRACOL CA-37455 Nº35"</f>
        <v>BOTA PRETA CANO LONGO BRACOL CA-37455 Nº35</v>
      </c>
      <c r="C3134" s="2" t="str">
        <f t="shared" ref="C3134:C3146" si="126">"PR"</f>
        <v>PR</v>
      </c>
      <c r="D3134" s="7">
        <v>501</v>
      </c>
      <c r="E3134" s="3">
        <v>5</v>
      </c>
      <c r="F3134" s="3">
        <v>5</v>
      </c>
      <c r="G3134" t="s">
        <v>512</v>
      </c>
    </row>
    <row r="3135" spans="1:7" x14ac:dyDescent="0.25">
      <c r="A3135" s="1" t="str">
        <f>"527796"</f>
        <v>527796</v>
      </c>
      <c r="B3135" s="2" t="str">
        <f>"BOTA PRETA CANO LONGO BRACOL CA-37455 Nº36"</f>
        <v>BOTA PRETA CANO LONGO BRACOL CA-37455 Nº36</v>
      </c>
      <c r="C3135" s="2" t="str">
        <f t="shared" si="126"/>
        <v>PR</v>
      </c>
      <c r="D3135" s="7">
        <v>501</v>
      </c>
      <c r="E3135" s="3">
        <v>5</v>
      </c>
      <c r="F3135" s="3">
        <v>5</v>
      </c>
      <c r="G3135" t="s">
        <v>516</v>
      </c>
    </row>
    <row r="3136" spans="1:7" x14ac:dyDescent="0.25">
      <c r="A3136" s="1" t="str">
        <f>"527797"</f>
        <v>527797</v>
      </c>
      <c r="B3136" s="2" t="str">
        <f>"BOTA PRETA CANO LONGO BRACOL CA-37455 Nº37"</f>
        <v>BOTA PRETA CANO LONGO BRACOL CA-37455 Nº37</v>
      </c>
      <c r="C3136" s="2" t="str">
        <f t="shared" si="126"/>
        <v>PR</v>
      </c>
      <c r="D3136" s="7">
        <v>501</v>
      </c>
      <c r="E3136" s="3">
        <v>5</v>
      </c>
      <c r="F3136" s="3">
        <v>5</v>
      </c>
      <c r="G3136" t="s">
        <v>515</v>
      </c>
    </row>
    <row r="3137" spans="1:7" x14ac:dyDescent="0.25">
      <c r="A3137" s="1" t="str">
        <f>"527798"</f>
        <v>527798</v>
      </c>
      <c r="B3137" s="2" t="str">
        <f>"BOTA PRETA CANO LONGO BRACOL CA-37455 Nº38"</f>
        <v>BOTA PRETA CANO LONGO BRACOL CA-37455 Nº38</v>
      </c>
      <c r="C3137" s="2" t="str">
        <f t="shared" si="126"/>
        <v>PR</v>
      </c>
      <c r="D3137" s="7">
        <v>501</v>
      </c>
      <c r="E3137" s="3">
        <v>5</v>
      </c>
      <c r="F3137" s="3">
        <v>5</v>
      </c>
      <c r="G3137" t="s">
        <v>514</v>
      </c>
    </row>
    <row r="3138" spans="1:7" x14ac:dyDescent="0.25">
      <c r="A3138" s="1" t="str">
        <f>"527799"</f>
        <v>527799</v>
      </c>
      <c r="B3138" s="2" t="str">
        <f>"BOTA PRETA CANO LONGO BRACOL CA-37455 Nº39"</f>
        <v>BOTA PRETA CANO LONGO BRACOL CA-37455 Nº39</v>
      </c>
      <c r="C3138" s="2" t="str">
        <f t="shared" si="126"/>
        <v>PR</v>
      </c>
      <c r="D3138" s="7">
        <v>501</v>
      </c>
      <c r="E3138" s="3">
        <v>5</v>
      </c>
      <c r="F3138" s="3">
        <v>5</v>
      </c>
      <c r="G3138" t="s">
        <v>512</v>
      </c>
    </row>
    <row r="3139" spans="1:7" x14ac:dyDescent="0.25">
      <c r="A3139" s="1" t="str">
        <f>"527800"</f>
        <v>527800</v>
      </c>
      <c r="B3139" s="2" t="str">
        <f>"BOTA PRETA CANO LONGO BRACOL CA-37455 Nº40"</f>
        <v>BOTA PRETA CANO LONGO BRACOL CA-37455 Nº40</v>
      </c>
      <c r="C3139" s="2" t="str">
        <f t="shared" si="126"/>
        <v>PR</v>
      </c>
      <c r="D3139" s="7">
        <v>501</v>
      </c>
      <c r="E3139" s="3">
        <v>5</v>
      </c>
      <c r="F3139" s="3">
        <v>5</v>
      </c>
      <c r="G3139" t="s">
        <v>513</v>
      </c>
    </row>
    <row r="3140" spans="1:7" x14ac:dyDescent="0.25">
      <c r="A3140" s="1" t="str">
        <f>"527801"</f>
        <v>527801</v>
      </c>
      <c r="B3140" s="2" t="str">
        <f>"BOTA PRETA CANO LONGO BRACOL CA-37455 Nº41"</f>
        <v>BOTA PRETA CANO LONGO BRACOL CA-37455 Nº41</v>
      </c>
      <c r="C3140" s="2" t="str">
        <f t="shared" si="126"/>
        <v>PR</v>
      </c>
      <c r="D3140" s="7">
        <v>501</v>
      </c>
      <c r="E3140" s="3">
        <v>5</v>
      </c>
      <c r="F3140" s="3">
        <v>5</v>
      </c>
      <c r="G3140" t="s">
        <v>514</v>
      </c>
    </row>
    <row r="3141" spans="1:7" x14ac:dyDescent="0.25">
      <c r="A3141" s="1" t="str">
        <f>"527802"</f>
        <v>527802</v>
      </c>
      <c r="B3141" s="2" t="str">
        <f>"BOTA PRETA CANO LONGO BRACOL CA-37455 Nº42"</f>
        <v>BOTA PRETA CANO LONGO BRACOL CA-37455 Nº42</v>
      </c>
      <c r="C3141" s="2" t="str">
        <f t="shared" si="126"/>
        <v>PR</v>
      </c>
      <c r="D3141" s="7">
        <v>501</v>
      </c>
      <c r="E3141" s="3">
        <v>5</v>
      </c>
      <c r="F3141" s="3">
        <v>5</v>
      </c>
      <c r="G3141" t="s">
        <v>514</v>
      </c>
    </row>
    <row r="3142" spans="1:7" x14ac:dyDescent="0.25">
      <c r="A3142" s="1" t="str">
        <f>"527803"</f>
        <v>527803</v>
      </c>
      <c r="B3142" s="2" t="str">
        <f>"BOTA PRETA CANO LONGO BRACOL CA-37455 Nº43"</f>
        <v>BOTA PRETA CANO LONGO BRACOL CA-37455 Nº43</v>
      </c>
      <c r="C3142" s="2" t="str">
        <f t="shared" si="126"/>
        <v>PR</v>
      </c>
      <c r="D3142" s="7">
        <v>501</v>
      </c>
      <c r="E3142" s="3">
        <v>5</v>
      </c>
      <c r="F3142" s="3">
        <v>5</v>
      </c>
      <c r="G3142" t="s">
        <v>512</v>
      </c>
    </row>
    <row r="3143" spans="1:7" x14ac:dyDescent="0.25">
      <c r="A3143" s="1" t="str">
        <f>"527804"</f>
        <v>527804</v>
      </c>
      <c r="B3143" s="2" t="str">
        <f>"BOTA PRETA CANO LONGO BRACOL CA-37455 Nº44"</f>
        <v>BOTA PRETA CANO LONGO BRACOL CA-37455 Nº44</v>
      </c>
      <c r="C3143" s="2" t="str">
        <f t="shared" si="126"/>
        <v>PR</v>
      </c>
      <c r="D3143" s="7">
        <v>501</v>
      </c>
      <c r="E3143" s="3">
        <v>5</v>
      </c>
      <c r="F3143" s="3">
        <v>5</v>
      </c>
      <c r="G3143" t="s">
        <v>513</v>
      </c>
    </row>
    <row r="3144" spans="1:7" x14ac:dyDescent="0.25">
      <c r="A3144" s="1" t="str">
        <f>"527805"</f>
        <v>527805</v>
      </c>
      <c r="B3144" s="2" t="str">
        <f>"BOTA PRETA CANO LONGO BRACOL CA-37455 Nº45"</f>
        <v>BOTA PRETA CANO LONGO BRACOL CA-37455 Nº45</v>
      </c>
      <c r="C3144" s="2" t="str">
        <f t="shared" si="126"/>
        <v>PR</v>
      </c>
      <c r="D3144" s="7">
        <v>501</v>
      </c>
      <c r="E3144" s="3">
        <v>5</v>
      </c>
      <c r="F3144" s="3">
        <v>5</v>
      </c>
      <c r="G3144" t="s">
        <v>514</v>
      </c>
    </row>
    <row r="3145" spans="1:7" x14ac:dyDescent="0.25">
      <c r="A3145" s="1" t="str">
        <f>"527806"</f>
        <v>527806</v>
      </c>
      <c r="B3145" s="2" t="str">
        <f>"BOTA PRETA CANO LONGO BRACOL CA-37455 Nº46"</f>
        <v>BOTA PRETA CANO LONGO BRACOL CA-37455 Nº46</v>
      </c>
      <c r="C3145" s="2" t="str">
        <f t="shared" si="126"/>
        <v>PR</v>
      </c>
      <c r="D3145" s="7">
        <v>501</v>
      </c>
      <c r="E3145" s="3">
        <v>5</v>
      </c>
      <c r="F3145" s="3">
        <v>5</v>
      </c>
      <c r="G3145" t="s">
        <v>514</v>
      </c>
    </row>
    <row r="3146" spans="1:7" x14ac:dyDescent="0.25">
      <c r="A3146" s="1" t="str">
        <f>"519707"</f>
        <v>519707</v>
      </c>
      <c r="B3146" s="2" t="str">
        <f>"BOTA PRETA N.41"</f>
        <v>BOTA PRETA N.41</v>
      </c>
      <c r="C3146" s="2" t="str">
        <f t="shared" si="126"/>
        <v>PR</v>
      </c>
      <c r="D3146" s="7">
        <v>501</v>
      </c>
      <c r="E3146" s="3">
        <v>5</v>
      </c>
      <c r="F3146" s="3">
        <v>5</v>
      </c>
      <c r="G3146" t="s">
        <v>514</v>
      </c>
    </row>
    <row r="3147" spans="1:7" x14ac:dyDescent="0.25">
      <c r="A3147" s="1" t="str">
        <f>"520989"</f>
        <v>520989</v>
      </c>
      <c r="B3147" s="2" t="str">
        <f>"BOTA RAMARIM"</f>
        <v>BOTA RAMARIM</v>
      </c>
      <c r="C3147" s="2" t="str">
        <f t="shared" ref="C3147:C3159" si="127">"UN"</f>
        <v>UN</v>
      </c>
      <c r="D3147" s="7">
        <v>99999</v>
      </c>
      <c r="E3147" s="3">
        <v>99</v>
      </c>
      <c r="F3147" s="3">
        <v>99</v>
      </c>
      <c r="G3147" t="s">
        <v>513</v>
      </c>
    </row>
    <row r="3148" spans="1:7" x14ac:dyDescent="0.25">
      <c r="A3148" s="1" t="str">
        <f>"3180"</f>
        <v>3180</v>
      </c>
      <c r="B3148" s="2" t="str">
        <f>"BOTA TERMICA FR C/BIQ. 39 COR PRETA"</f>
        <v>BOTA TERMICA FR C/BIQ. 39 COR PRETA</v>
      </c>
      <c r="C3148" s="2" t="str">
        <f t="shared" si="127"/>
        <v>UN</v>
      </c>
      <c r="D3148" s="7">
        <v>501</v>
      </c>
      <c r="E3148" s="3">
        <v>5</v>
      </c>
      <c r="F3148" s="3">
        <v>5</v>
      </c>
      <c r="G3148" t="s">
        <v>512</v>
      </c>
    </row>
    <row r="3149" spans="1:7" x14ac:dyDescent="0.25">
      <c r="A3149" s="1" t="str">
        <f>"3454"</f>
        <v>3454</v>
      </c>
      <c r="B3149" s="2" t="str">
        <f>"BOTA TERMICA FR C/BIQ. 40 COR PRETA"</f>
        <v>BOTA TERMICA FR C/BIQ. 40 COR PRETA</v>
      </c>
      <c r="C3149" s="2" t="str">
        <f t="shared" si="127"/>
        <v>UN</v>
      </c>
      <c r="D3149" s="7">
        <v>501</v>
      </c>
      <c r="E3149" s="3">
        <v>5</v>
      </c>
      <c r="F3149" s="3">
        <v>5</v>
      </c>
      <c r="G3149" t="s">
        <v>513</v>
      </c>
    </row>
    <row r="3150" spans="1:7" x14ac:dyDescent="0.25">
      <c r="A3150" s="1" t="str">
        <f>"3455"</f>
        <v>3455</v>
      </c>
      <c r="B3150" s="2" t="str">
        <f>"BOTA TERMICA FR C/BIQ. 41 COR PRETA"</f>
        <v>BOTA TERMICA FR C/BIQ. 41 COR PRETA</v>
      </c>
      <c r="C3150" s="2" t="str">
        <f t="shared" si="127"/>
        <v>UN</v>
      </c>
      <c r="D3150" s="7">
        <v>501</v>
      </c>
      <c r="E3150" s="3">
        <v>5</v>
      </c>
      <c r="F3150" s="3">
        <v>5</v>
      </c>
      <c r="G3150" t="s">
        <v>514</v>
      </c>
    </row>
    <row r="3151" spans="1:7" x14ac:dyDescent="0.25">
      <c r="A3151" s="1" t="str">
        <f>"3456"</f>
        <v>3456</v>
      </c>
      <c r="B3151" s="2" t="str">
        <f>"BOTA TERMICA FR C/BIQ. 42 COR PRETA"</f>
        <v>BOTA TERMICA FR C/BIQ. 42 COR PRETA</v>
      </c>
      <c r="C3151" s="2" t="str">
        <f t="shared" si="127"/>
        <v>UN</v>
      </c>
      <c r="D3151" s="7">
        <v>501</v>
      </c>
      <c r="E3151" s="3">
        <v>5</v>
      </c>
      <c r="F3151" s="3">
        <v>5</v>
      </c>
      <c r="G3151" t="s">
        <v>514</v>
      </c>
    </row>
    <row r="3152" spans="1:7" x14ac:dyDescent="0.25">
      <c r="A3152" s="1" t="str">
        <f>"3457"</f>
        <v>3457</v>
      </c>
      <c r="B3152" s="2" t="str">
        <f>"BOTA TERMICA FR C/BIQ. 43 COR PRETA"</f>
        <v>BOTA TERMICA FR C/BIQ. 43 COR PRETA</v>
      </c>
      <c r="C3152" s="2" t="str">
        <f t="shared" si="127"/>
        <v>UN</v>
      </c>
      <c r="D3152" s="7">
        <v>501</v>
      </c>
      <c r="E3152" s="3">
        <v>5</v>
      </c>
      <c r="F3152" s="3">
        <v>5</v>
      </c>
      <c r="G3152" t="s">
        <v>514</v>
      </c>
    </row>
    <row r="3153" spans="1:7" x14ac:dyDescent="0.25">
      <c r="A3153" s="1" t="str">
        <f>"501586"</f>
        <v>501586</v>
      </c>
      <c r="B3153" s="2" t="str">
        <f>"BOTAO C/ RETENÇÃO STECK"</f>
        <v>BOTAO C/ RETENÇÃO STECK</v>
      </c>
      <c r="C3153" s="2" t="str">
        <f t="shared" si="127"/>
        <v>UN</v>
      </c>
      <c r="D3153" s="7">
        <v>704</v>
      </c>
      <c r="E3153" s="3">
        <v>9</v>
      </c>
      <c r="F3153" s="3">
        <v>9</v>
      </c>
      <c r="G3153" t="s">
        <v>513</v>
      </c>
    </row>
    <row r="3154" spans="1:7" x14ac:dyDescent="0.25">
      <c r="A3154" s="1" t="str">
        <f>"506008"</f>
        <v>506008</v>
      </c>
      <c r="B3154" s="2" t="str">
        <f>"BOTAO COGUMELO GIR/DEST SIEMENS 3SB61301HB201CA0"</f>
        <v>BOTAO COGUMELO GIR/DEST SIEMENS 3SB61301HB201CA0</v>
      </c>
      <c r="C3154" s="2" t="str">
        <f t="shared" si="127"/>
        <v>UN</v>
      </c>
      <c r="D3154" s="7">
        <v>600</v>
      </c>
      <c r="E3154" s="3">
        <v>8</v>
      </c>
      <c r="F3154" s="3">
        <v>8</v>
      </c>
      <c r="G3154" t="s">
        <v>513</v>
      </c>
    </row>
    <row r="3155" spans="1:7" x14ac:dyDescent="0.25">
      <c r="A3155" s="1" t="str">
        <f>"520576"</f>
        <v>520576</v>
      </c>
      <c r="B3155" s="2" t="str">
        <f>"BOTAO COM BLOQUEIO POR CHAVE 3SB61304AA111BA0"</f>
        <v>BOTAO COM BLOQUEIO POR CHAVE 3SB61304AA111BA0</v>
      </c>
      <c r="C3155" s="2" t="str">
        <f t="shared" si="127"/>
        <v>UN</v>
      </c>
      <c r="D3155" s="7">
        <v>811</v>
      </c>
      <c r="E3155" s="3">
        <v>8</v>
      </c>
      <c r="F3155" s="3">
        <v>8</v>
      </c>
      <c r="G3155" t="s">
        <v>513</v>
      </c>
    </row>
    <row r="3156" spans="1:7" x14ac:dyDescent="0.25">
      <c r="A3156" s="1" t="str">
        <f>"502900"</f>
        <v>502900</v>
      </c>
      <c r="B3156" s="2" t="str">
        <f>"BOTAO COMANDO C/ RETENÇAO 2POS LINHA E22"</f>
        <v>BOTAO COMANDO C/ RETENÇAO 2POS LINHA E22</v>
      </c>
      <c r="C3156" s="2" t="str">
        <f t="shared" si="127"/>
        <v>UN</v>
      </c>
      <c r="D3156" s="7">
        <v>600</v>
      </c>
      <c r="E3156" s="3">
        <v>8</v>
      </c>
      <c r="F3156" s="3">
        <v>8</v>
      </c>
      <c r="G3156" t="s">
        <v>512</v>
      </c>
    </row>
    <row r="3157" spans="1:7" x14ac:dyDescent="0.25">
      <c r="A3157" s="1" t="str">
        <f>"502894"</f>
        <v>502894</v>
      </c>
      <c r="B3157" s="2" t="str">
        <f>"BOTAO COMANDO C/ RETENÇAO 3SB30 00-2DA11"</f>
        <v>BOTAO COMANDO C/ RETENÇAO 3SB30 00-2DA11</v>
      </c>
      <c r="C3157" s="2" t="str">
        <f t="shared" si="127"/>
        <v>UN</v>
      </c>
      <c r="D3157" s="7">
        <v>600</v>
      </c>
      <c r="E3157" s="3">
        <v>8</v>
      </c>
      <c r="F3157" s="3">
        <v>8</v>
      </c>
      <c r="G3157" t="s">
        <v>513</v>
      </c>
    </row>
    <row r="3158" spans="1:7" x14ac:dyDescent="0.25">
      <c r="A3158" s="1" t="str">
        <f>"502896"</f>
        <v>502896</v>
      </c>
      <c r="B3158" s="2" t="str">
        <f>"BOTAO COMANDO C/ RETENÇAO AP2 60/0+E110"</f>
        <v>BOTAO COMANDO C/ RETENÇAO AP2 60/0+E110</v>
      </c>
      <c r="C3158" s="2" t="str">
        <f t="shared" si="127"/>
        <v>UN</v>
      </c>
      <c r="D3158" s="7">
        <v>600</v>
      </c>
      <c r="E3158" s="3">
        <v>8</v>
      </c>
      <c r="F3158" s="3">
        <v>8</v>
      </c>
      <c r="G3158" t="s">
        <v>514</v>
      </c>
    </row>
    <row r="3159" spans="1:7" x14ac:dyDescent="0.25">
      <c r="A3159" s="1" t="str">
        <f>"502895"</f>
        <v>502895</v>
      </c>
      <c r="B3159" s="2" t="str">
        <f>"BOTAO COMANDO C/ RETENÇAO AP2 60/0+E111"</f>
        <v>BOTAO COMANDO C/ RETENÇAO AP2 60/0+E111</v>
      </c>
      <c r="C3159" s="2" t="str">
        <f t="shared" si="127"/>
        <v>UN</v>
      </c>
      <c r="D3159" s="7">
        <v>600</v>
      </c>
      <c r="E3159" s="3">
        <v>8</v>
      </c>
      <c r="F3159" s="3">
        <v>8</v>
      </c>
      <c r="G3159" t="s">
        <v>515</v>
      </c>
    </row>
    <row r="3160" spans="1:7" x14ac:dyDescent="0.25">
      <c r="A3160" s="1" t="str">
        <f>"501093"</f>
        <v>501093</v>
      </c>
      <c r="B3160" s="2" t="str">
        <f>"BOTAO COMANDO DUPLO 3SA8 800-0AB11"</f>
        <v>BOTAO COMANDO DUPLO 3SA8 800-0AB11</v>
      </c>
      <c r="C3160" s="2" t="str">
        <f>"PC"</f>
        <v>PC</v>
      </c>
      <c r="D3160" s="7">
        <v>600</v>
      </c>
      <c r="E3160" s="3">
        <v>8</v>
      </c>
      <c r="F3160" s="3">
        <v>8</v>
      </c>
      <c r="G3160" t="s">
        <v>512</v>
      </c>
    </row>
    <row r="3161" spans="1:7" x14ac:dyDescent="0.25">
      <c r="A3161" s="1" t="str">
        <f>"511932"</f>
        <v>511932</v>
      </c>
      <c r="B3161" s="2" t="str">
        <f>"BOTAO COMANDO DUPLO 3SA8 810-OCB11"</f>
        <v>BOTAO COMANDO DUPLO 3SA8 810-OCB11</v>
      </c>
      <c r="C3161" s="2" t="str">
        <f>"UN"</f>
        <v>UN</v>
      </c>
      <c r="D3161" s="7">
        <v>600</v>
      </c>
      <c r="E3161" s="3">
        <v>8</v>
      </c>
      <c r="F3161" s="3">
        <v>8</v>
      </c>
      <c r="G3161" t="s">
        <v>516</v>
      </c>
    </row>
    <row r="3162" spans="1:7" x14ac:dyDescent="0.25">
      <c r="A3162" s="1" t="str">
        <f>"517970"</f>
        <v>517970</v>
      </c>
      <c r="B3162" s="2" t="str">
        <f>"BOTÃO COMANDO DUPLO C/ LUZ DP2/14 + EL111  ACE SCHMERSAL"</f>
        <v>BOTÃO COMANDO DUPLO C/ LUZ DP2/14 + EL111  ACE SCHMERSAL</v>
      </c>
      <c r="C3162" s="2" t="str">
        <f>"UN"</f>
        <v>UN</v>
      </c>
      <c r="D3162" s="7">
        <v>811</v>
      </c>
      <c r="E3162" s="3">
        <v>8</v>
      </c>
      <c r="F3162" s="3">
        <v>8</v>
      </c>
      <c r="G3162" t="s">
        <v>515</v>
      </c>
    </row>
    <row r="3163" spans="1:7" x14ac:dyDescent="0.25">
      <c r="A3163" s="1" t="str">
        <f>"511444"</f>
        <v>511444</v>
      </c>
      <c r="B3163" s="2" t="str">
        <f>"BOTAO COMANDO POR RETENÇAO 1NA"</f>
        <v>BOTAO COMANDO POR RETENÇAO 1NA</v>
      </c>
      <c r="C3163" s="2" t="str">
        <f>"UN"</f>
        <v>UN</v>
      </c>
      <c r="D3163" s="7">
        <v>600</v>
      </c>
      <c r="E3163" s="3">
        <v>8</v>
      </c>
      <c r="F3163" s="3">
        <v>8</v>
      </c>
      <c r="G3163" t="s">
        <v>514</v>
      </c>
    </row>
    <row r="3164" spans="1:7" x14ac:dyDescent="0.25">
      <c r="A3164" s="1" t="str">
        <f>"517684"</f>
        <v>517684</v>
      </c>
      <c r="B3164" s="2" t="str">
        <f>"BOTAO COMANDO SIEMENS 3SB322 02-0AA11"</f>
        <v>BOTAO COMANDO SIEMENS 3SB322 02-0AA11</v>
      </c>
      <c r="C3164" s="2" t="str">
        <f>"UN"</f>
        <v>UN</v>
      </c>
      <c r="D3164" s="7">
        <v>811</v>
      </c>
      <c r="E3164" s="3">
        <v>8</v>
      </c>
      <c r="F3164" s="3">
        <v>8</v>
      </c>
      <c r="G3164" t="s">
        <v>512</v>
      </c>
    </row>
    <row r="3165" spans="1:7" x14ac:dyDescent="0.25">
      <c r="A3165" s="1" t="str">
        <f>"517683"</f>
        <v>517683</v>
      </c>
      <c r="B3165" s="2" t="str">
        <f>"BOTAO COMANDO SIEMENS 3SB322 02-0AA41"</f>
        <v>BOTAO COMANDO SIEMENS 3SB322 02-0AA41</v>
      </c>
      <c r="C3165" s="2" t="str">
        <f>"UN"</f>
        <v>UN</v>
      </c>
      <c r="D3165" s="7">
        <v>811</v>
      </c>
      <c r="E3165" s="3">
        <v>8</v>
      </c>
      <c r="F3165" s="3">
        <v>8</v>
      </c>
      <c r="G3165" t="s">
        <v>513</v>
      </c>
    </row>
    <row r="3166" spans="1:7" x14ac:dyDescent="0.25">
      <c r="A3166" s="1" t="str">
        <f>"507256"</f>
        <v>507256</v>
      </c>
      <c r="B3166" s="2" t="str">
        <f>"BOTAO COMANDO SIEMENS 3SB61303AA241MK0"</f>
        <v>BOTAO COMANDO SIEMENS 3SB61303AA241MK0</v>
      </c>
      <c r="C3166" s="2" t="str">
        <f>"PC"</f>
        <v>PC</v>
      </c>
      <c r="D3166" s="7">
        <v>600</v>
      </c>
      <c r="E3166" s="3">
        <v>8</v>
      </c>
      <c r="F3166" s="3">
        <v>8</v>
      </c>
      <c r="G3166" t="s">
        <v>514</v>
      </c>
    </row>
    <row r="3167" spans="1:7" x14ac:dyDescent="0.25">
      <c r="A3167" s="1" t="str">
        <f>"521236"</f>
        <v>521236</v>
      </c>
      <c r="B3167" s="2" t="str">
        <f>"BOTAO COMUTADOR 2 POS.C/ 2 CONTATOS NA"</f>
        <v>BOTAO COMUTADOR 2 POS.C/ 2 CONTATOS NA</v>
      </c>
      <c r="C3167" s="2" t="str">
        <f>"UN"</f>
        <v>UN</v>
      </c>
      <c r="D3167" s="7">
        <v>811</v>
      </c>
      <c r="E3167" s="3">
        <v>8</v>
      </c>
      <c r="F3167" s="3">
        <v>8</v>
      </c>
      <c r="G3167" t="s">
        <v>514</v>
      </c>
    </row>
    <row r="3168" spans="1:7" x14ac:dyDescent="0.25">
      <c r="A3168" s="1" t="str">
        <f>"500605"</f>
        <v>500605</v>
      </c>
      <c r="B3168" s="2" t="str">
        <f>"BOTAO COMUTADOR 3 POS.C/ 2 CONTATOS NA"</f>
        <v>BOTAO COMUTADOR 3 POS.C/ 2 CONTATOS NA</v>
      </c>
      <c r="C3168" s="2" t="str">
        <f>"UN"</f>
        <v>UN</v>
      </c>
      <c r="D3168" s="7">
        <v>704</v>
      </c>
      <c r="E3168" s="3">
        <v>9</v>
      </c>
      <c r="F3168" s="3">
        <v>9</v>
      </c>
      <c r="G3168" t="s">
        <v>512</v>
      </c>
    </row>
    <row r="3169" spans="1:7" x14ac:dyDescent="0.25">
      <c r="A3169" s="1" t="str">
        <f>"520466"</f>
        <v>520466</v>
      </c>
      <c r="B3169" s="2" t="str">
        <f>"BOTAO DE COMANDO 3SB6130 0AB10-1BA0 PT 1NA"</f>
        <v>BOTAO DE COMANDO 3SB6130 0AB10-1BA0 PT 1NA</v>
      </c>
      <c r="C3169" s="2" t="str">
        <f>"PC"</f>
        <v>PC</v>
      </c>
      <c r="D3169" s="7">
        <v>600</v>
      </c>
      <c r="E3169" s="3">
        <v>8</v>
      </c>
      <c r="F3169" s="3">
        <v>8</v>
      </c>
      <c r="G3169" t="s">
        <v>513</v>
      </c>
    </row>
    <row r="3170" spans="1:7" x14ac:dyDescent="0.25">
      <c r="A3170" s="1" t="str">
        <f>"524971"</f>
        <v>524971</v>
      </c>
      <c r="B3170" s="2" t="str">
        <f>"BOTÃO DE COMANDO C/ CHAVE"</f>
        <v>BOTÃO DE COMANDO C/ CHAVE</v>
      </c>
      <c r="C3170" s="2" t="str">
        <f>"UN"</f>
        <v>UN</v>
      </c>
      <c r="D3170" s="7">
        <v>811</v>
      </c>
      <c r="E3170" s="3">
        <v>11</v>
      </c>
      <c r="F3170" s="3">
        <v>11</v>
      </c>
      <c r="G3170" t="s">
        <v>514</v>
      </c>
    </row>
    <row r="3171" spans="1:7" x14ac:dyDescent="0.25">
      <c r="A3171" s="1" t="str">
        <f>"506173"</f>
        <v>506173</v>
      </c>
      <c r="B3171" s="2" t="str">
        <f>"BOTAO DE COMANDO C/CHAVE 22,5 MM TP YALL"</f>
        <v>BOTAO DE COMANDO C/CHAVE 22,5 MM TP YALL</v>
      </c>
      <c r="C3171" s="2" t="str">
        <f>"UN"</f>
        <v>UN</v>
      </c>
      <c r="D3171" s="7">
        <v>600</v>
      </c>
      <c r="E3171" s="3">
        <v>8</v>
      </c>
      <c r="F3171" s="3">
        <v>8</v>
      </c>
      <c r="G3171" t="s">
        <v>514</v>
      </c>
    </row>
    <row r="3172" spans="1:7" x14ac:dyDescent="0.25">
      <c r="A3172" s="1" t="str">
        <f>"519403"</f>
        <v>519403</v>
      </c>
      <c r="B3172" s="2" t="str">
        <f>"BOTAO DE COMANDO DUPLO 3SB6130- 3AA24- 1MK0"</f>
        <v>BOTAO DE COMANDO DUPLO 3SB6130- 3AA24- 1MK0</v>
      </c>
      <c r="C3172" s="2" t="str">
        <f>"PC"</f>
        <v>PC</v>
      </c>
      <c r="D3172" s="7">
        <v>600</v>
      </c>
      <c r="E3172" s="3">
        <v>8</v>
      </c>
      <c r="F3172" s="3">
        <v>8</v>
      </c>
      <c r="G3172" t="s">
        <v>514</v>
      </c>
    </row>
    <row r="3173" spans="1:7" x14ac:dyDescent="0.25">
      <c r="A3173" s="1" t="str">
        <f>"507257"</f>
        <v>507257</v>
      </c>
      <c r="B3173" s="2" t="str">
        <f>"BOTAO DE COMANDO SIEMENS 3SB3203-0AA21 - VERMELHO"</f>
        <v>BOTAO DE COMANDO SIEMENS 3SB3203-0AA21 - VERMELHO</v>
      </c>
      <c r="C3173" s="2" t="str">
        <f>"PC"</f>
        <v>PC</v>
      </c>
      <c r="D3173" s="7">
        <v>600</v>
      </c>
      <c r="E3173" s="3">
        <v>8</v>
      </c>
      <c r="F3173" s="3">
        <v>8</v>
      </c>
      <c r="G3173" t="s">
        <v>513</v>
      </c>
    </row>
    <row r="3174" spans="1:7" x14ac:dyDescent="0.25">
      <c r="A3174" s="1" t="str">
        <f>"527876"</f>
        <v>527876</v>
      </c>
      <c r="B3174" s="2" t="str">
        <f>"BOTAO DE COMANDO VERDE 1NA WEG CSW-BF2"</f>
        <v>BOTAO DE COMANDO VERDE 1NA WEG CSW-BF2</v>
      </c>
      <c r="C3174" s="2" t="str">
        <f>"UN"</f>
        <v>UN</v>
      </c>
      <c r="D3174" s="7">
        <v>600</v>
      </c>
      <c r="E3174" s="3">
        <v>8</v>
      </c>
      <c r="F3174" s="3">
        <v>8</v>
      </c>
      <c r="G3174" t="s">
        <v>512</v>
      </c>
    </row>
    <row r="3175" spans="1:7" x14ac:dyDescent="0.25">
      <c r="A3175" s="1" t="str">
        <f>"526204"</f>
        <v>526204</v>
      </c>
      <c r="B3175" s="2" t="str">
        <f>"BOTÃO DE COMANDO VM 1NA+1NF 3SB3201-0AA21"</f>
        <v>BOTÃO DE COMANDO VM 1NA+1NF 3SB3201-0AA21</v>
      </c>
      <c r="C3175" s="2" t="str">
        <f>"UN"</f>
        <v>UN</v>
      </c>
      <c r="D3175" s="7">
        <v>811</v>
      </c>
      <c r="E3175" s="3">
        <v>10</v>
      </c>
      <c r="F3175" s="3">
        <v>10</v>
      </c>
      <c r="G3175" t="s">
        <v>513</v>
      </c>
    </row>
    <row r="3176" spans="1:7" x14ac:dyDescent="0.25">
      <c r="A3176" s="1" t="str">
        <f>"511679"</f>
        <v>511679</v>
      </c>
      <c r="B3176" s="2" t="str">
        <f>"BOTÃO DE EMERGENCIA COGUMELO COM RETENÇÃO 2 CONTATOS NF 22M"</f>
        <v>BOTÃO DE EMERGENCIA COGUMELO COM RETENÇÃO 2 CONTATOS NF 22M</v>
      </c>
      <c r="C3176" s="2" t="str">
        <f>"UN"</f>
        <v>UN</v>
      </c>
      <c r="D3176" s="7">
        <v>600</v>
      </c>
      <c r="E3176" s="3">
        <v>8</v>
      </c>
      <c r="F3176" s="3">
        <v>8</v>
      </c>
      <c r="G3176" t="s">
        <v>514</v>
      </c>
    </row>
    <row r="3177" spans="1:7" x14ac:dyDescent="0.25">
      <c r="A3177" s="1" t="str">
        <f>"527877"</f>
        <v>527877</v>
      </c>
      <c r="B3177" s="2" t="str">
        <f>"BOTAO DE EMERGENCIA PADRAO WEG CSW-BESG"</f>
        <v>BOTAO DE EMERGENCIA PADRAO WEG CSW-BESG</v>
      </c>
      <c r="C3177" s="2" t="str">
        <f>"PC"</f>
        <v>PC</v>
      </c>
      <c r="D3177" s="7">
        <v>600</v>
      </c>
      <c r="E3177" s="3">
        <v>8</v>
      </c>
      <c r="F3177" s="3">
        <v>8</v>
      </c>
      <c r="G3177" t="s">
        <v>514</v>
      </c>
    </row>
    <row r="3178" spans="1:7" x14ac:dyDescent="0.25">
      <c r="A3178" s="1" t="str">
        <f>"511059"</f>
        <v>511059</v>
      </c>
      <c r="B3178" s="2" t="str">
        <f>"BOTAO DE PARTIDA"</f>
        <v>BOTAO DE PARTIDA</v>
      </c>
      <c r="C3178" s="2" t="str">
        <f t="shared" ref="C3178:C3187" si="128">"UN"</f>
        <v>UN</v>
      </c>
      <c r="D3178" s="7">
        <v>900</v>
      </c>
      <c r="E3178" s="3">
        <v>11</v>
      </c>
      <c r="F3178" s="3">
        <v>11</v>
      </c>
      <c r="G3178" t="s">
        <v>514</v>
      </c>
    </row>
    <row r="3179" spans="1:7" x14ac:dyDescent="0.25">
      <c r="A3179" s="1" t="str">
        <f>"526774"</f>
        <v>526774</v>
      </c>
      <c r="B3179" s="2" t="str">
        <f>"BOTÃO DE PRESSÃO"</f>
        <v>BOTÃO DE PRESSÃO</v>
      </c>
      <c r="C3179" s="2" t="str">
        <f t="shared" si="128"/>
        <v>UN</v>
      </c>
      <c r="D3179" s="7">
        <v>704</v>
      </c>
      <c r="E3179" s="3">
        <v>9</v>
      </c>
      <c r="F3179" s="3">
        <v>9</v>
      </c>
      <c r="G3179" t="s">
        <v>513</v>
      </c>
    </row>
    <row r="3180" spans="1:7" x14ac:dyDescent="0.25">
      <c r="A3180" s="1" t="str">
        <f>"520948"</f>
        <v>520948</v>
      </c>
      <c r="B3180" s="2" t="str">
        <f>"BOTÃO DE PULSO 3SB6133-0DB50-1BA0"</f>
        <v>BOTÃO DE PULSO 3SB6133-0DB50-1BA0</v>
      </c>
      <c r="C3180" s="2" t="str">
        <f t="shared" si="128"/>
        <v>UN</v>
      </c>
      <c r="D3180" s="7">
        <v>811</v>
      </c>
      <c r="E3180" s="3">
        <v>8</v>
      </c>
      <c r="F3180" s="3">
        <v>8</v>
      </c>
      <c r="G3180" t="s">
        <v>513</v>
      </c>
    </row>
    <row r="3181" spans="1:7" x14ac:dyDescent="0.25">
      <c r="A3181" s="1" t="str">
        <f>"526514"</f>
        <v>526514</v>
      </c>
      <c r="B3181" s="2" t="str">
        <f>"BOTÃO DE PULSO AZUL 3SB6130-0AB50-1BA0"</f>
        <v>BOTÃO DE PULSO AZUL 3SB6130-0AB50-1BA0</v>
      </c>
      <c r="C3181" s="2" t="str">
        <f t="shared" si="128"/>
        <v>UN</v>
      </c>
      <c r="D3181" s="7">
        <v>811</v>
      </c>
      <c r="E3181" s="3">
        <v>8</v>
      </c>
      <c r="F3181" s="3">
        <v>8</v>
      </c>
      <c r="G3181" t="s">
        <v>513</v>
      </c>
    </row>
    <row r="3182" spans="1:7" x14ac:dyDescent="0.25">
      <c r="A3182" s="1" t="str">
        <f>"528155"</f>
        <v>528155</v>
      </c>
      <c r="B3182" s="2" t="str">
        <f>"BOTAO DE PULSO P/ RESET AZUL"</f>
        <v>BOTAO DE PULSO P/ RESET AZUL</v>
      </c>
      <c r="C3182" s="2" t="str">
        <f t="shared" si="128"/>
        <v>UN</v>
      </c>
      <c r="D3182" s="7">
        <v>900</v>
      </c>
      <c r="E3182" s="3">
        <v>11</v>
      </c>
      <c r="F3182" s="3">
        <v>11</v>
      </c>
      <c r="G3182" t="s">
        <v>512</v>
      </c>
    </row>
    <row r="3183" spans="1:7" x14ac:dyDescent="0.25">
      <c r="A3183" s="1" t="str">
        <f>"520544"</f>
        <v>520544</v>
      </c>
      <c r="B3183" s="2" t="str">
        <f>"BOTAO DE PULSO VERDE 3SB6130-0AB40-1BA0"</f>
        <v>BOTAO DE PULSO VERDE 3SB6130-0AB40-1BA0</v>
      </c>
      <c r="C3183" s="2" t="str">
        <f t="shared" si="128"/>
        <v>UN</v>
      </c>
      <c r="D3183" s="7">
        <v>918</v>
      </c>
      <c r="E3183" s="3">
        <v>8</v>
      </c>
      <c r="F3183" s="3">
        <v>8</v>
      </c>
      <c r="G3183" t="s">
        <v>513</v>
      </c>
    </row>
    <row r="3184" spans="1:7" x14ac:dyDescent="0.25">
      <c r="A3184" s="1" t="str">
        <f>"521237"</f>
        <v>521237</v>
      </c>
      <c r="B3184" s="2" t="str">
        <f>"BOTAO DE PULSO VERDE COM CONTATO NA"</f>
        <v>BOTAO DE PULSO VERDE COM CONTATO NA</v>
      </c>
      <c r="C3184" s="2" t="str">
        <f t="shared" si="128"/>
        <v>UN</v>
      </c>
      <c r="D3184" s="7">
        <v>811</v>
      </c>
      <c r="E3184" s="3">
        <v>8</v>
      </c>
      <c r="F3184" s="3">
        <v>8</v>
      </c>
      <c r="G3184" t="s">
        <v>514</v>
      </c>
    </row>
    <row r="3185" spans="1:7" x14ac:dyDescent="0.25">
      <c r="A3185" s="1" t="str">
        <f>"524380"</f>
        <v>524380</v>
      </c>
      <c r="B3185" s="2" t="str">
        <f>"BOTAO DO VIDRO ELETRICO"</f>
        <v>BOTAO DO VIDRO ELETRICO</v>
      </c>
      <c r="C3185" s="2" t="str">
        <f t="shared" si="128"/>
        <v>UN</v>
      </c>
      <c r="D3185" s="7">
        <v>704</v>
      </c>
      <c r="E3185" s="3">
        <v>9</v>
      </c>
      <c r="F3185" s="3">
        <v>9</v>
      </c>
      <c r="G3185" t="s">
        <v>515</v>
      </c>
    </row>
    <row r="3186" spans="1:7" x14ac:dyDescent="0.25">
      <c r="A3186" s="1" t="str">
        <f>"526039"</f>
        <v>526039</v>
      </c>
      <c r="B3186" s="2" t="str">
        <f>"BOTAO EMERGECIA 3SB6130-1BC20-1CA0 (SEM RETENÇÃO)"</f>
        <v>BOTAO EMERGECIA 3SB6130-1BC20-1CA0 (SEM RETENÇÃO)</v>
      </c>
      <c r="C3186" s="2" t="str">
        <f t="shared" si="128"/>
        <v>UN</v>
      </c>
      <c r="D3186" s="7">
        <v>918</v>
      </c>
      <c r="E3186" s="3">
        <v>8</v>
      </c>
      <c r="F3186" s="3">
        <v>8</v>
      </c>
      <c r="G3186" t="s">
        <v>512</v>
      </c>
    </row>
    <row r="3187" spans="1:7" x14ac:dyDescent="0.25">
      <c r="A3187" s="1" t="str">
        <f>"520543"</f>
        <v>520543</v>
      </c>
      <c r="B3187" s="2" t="str">
        <f>"BOTAO EMERGECIA 3SB6130-1HB20-1CA0"</f>
        <v>BOTAO EMERGECIA 3SB6130-1HB20-1CA0</v>
      </c>
      <c r="C3187" s="2" t="str">
        <f t="shared" si="128"/>
        <v>UN</v>
      </c>
      <c r="D3187" s="7">
        <v>918</v>
      </c>
      <c r="E3187" s="3">
        <v>8</v>
      </c>
      <c r="F3187" s="3">
        <v>8</v>
      </c>
      <c r="G3187" t="s">
        <v>516</v>
      </c>
    </row>
    <row r="3188" spans="1:7" x14ac:dyDescent="0.25">
      <c r="A3188" s="1" t="str">
        <f>"512178"</f>
        <v>512178</v>
      </c>
      <c r="B3188" s="2" t="str">
        <f>"BOTAO EMERGENCIA S-PFN1R4"</f>
        <v>BOTAO EMERGENCIA S-PFN1R4</v>
      </c>
      <c r="C3188" s="2" t="str">
        <f>"PC"</f>
        <v>PC</v>
      </c>
      <c r="D3188" s="7">
        <v>600</v>
      </c>
      <c r="E3188" s="3">
        <v>8</v>
      </c>
      <c r="F3188" s="3">
        <v>8</v>
      </c>
      <c r="G3188" t="s">
        <v>515</v>
      </c>
    </row>
    <row r="3189" spans="1:7" x14ac:dyDescent="0.25">
      <c r="A3189" s="1" t="str">
        <f>"526195"</f>
        <v>526195</v>
      </c>
      <c r="B3189" s="2" t="str">
        <f>"BOTÃO FRANCES EM METAL 19MM"</f>
        <v>BOTÃO FRANCES EM METAL 19MM</v>
      </c>
      <c r="C3189" s="2" t="str">
        <f t="shared" ref="C3189:C3220" si="129">"UN"</f>
        <v>UN</v>
      </c>
      <c r="D3189" s="7">
        <v>99999</v>
      </c>
      <c r="E3189" s="3">
        <v>99</v>
      </c>
      <c r="F3189" s="3">
        <v>99</v>
      </c>
      <c r="G3189" t="s">
        <v>514</v>
      </c>
    </row>
    <row r="3190" spans="1:7" x14ac:dyDescent="0.25">
      <c r="A3190" s="1" t="str">
        <f>"505999"</f>
        <v>505999</v>
      </c>
      <c r="B3190" s="2" t="str">
        <f>"BOTAO FRONTAL 3SB3000-4DD11 C/ CHAVE"</f>
        <v>BOTAO FRONTAL 3SB3000-4DD11 C/ CHAVE</v>
      </c>
      <c r="C3190" s="2" t="str">
        <f t="shared" si="129"/>
        <v>UN</v>
      </c>
      <c r="D3190" s="7">
        <v>600</v>
      </c>
      <c r="E3190" s="3">
        <v>8</v>
      </c>
      <c r="F3190" s="3">
        <v>8</v>
      </c>
      <c r="G3190" t="s">
        <v>512</v>
      </c>
    </row>
    <row r="3191" spans="1:7" x14ac:dyDescent="0.25">
      <c r="A3191" s="1" t="str">
        <f>"520589"</f>
        <v>520589</v>
      </c>
      <c r="B3191" s="2" t="str">
        <f>"BOTAO METALICO  1POSIÇAO C/ RETENÇAO(1NA) 3SU1150-4BF11-1BA0"</f>
        <v>BOTAO METALICO  1POSIÇAO C/ RETENÇAO(1NA) 3SU1150-4BF11-1BA0</v>
      </c>
      <c r="C3191" s="2" t="str">
        <f t="shared" si="129"/>
        <v>UN</v>
      </c>
      <c r="D3191" s="7">
        <v>900</v>
      </c>
      <c r="E3191" s="3">
        <v>11</v>
      </c>
      <c r="F3191" s="3">
        <v>11</v>
      </c>
      <c r="G3191" t="s">
        <v>513</v>
      </c>
    </row>
    <row r="3192" spans="1:7" x14ac:dyDescent="0.25">
      <c r="A3192" s="1" t="str">
        <f>"520588"</f>
        <v>520588</v>
      </c>
      <c r="B3192" s="2" t="str">
        <f>"BOTAO METALICO 1POSIÇAO C/ RENETÇAO (1NA) 3SU1150-2BF60-1BAO"</f>
        <v>BOTAO METALICO 1POSIÇAO C/ RENETÇAO (1NA) 3SU1150-2BF60-1BAO</v>
      </c>
      <c r="C3192" s="2" t="str">
        <f t="shared" si="129"/>
        <v>UN</v>
      </c>
      <c r="D3192" s="7">
        <v>900</v>
      </c>
      <c r="E3192" s="3">
        <v>11</v>
      </c>
      <c r="F3192" s="3">
        <v>11</v>
      </c>
      <c r="G3192" t="s">
        <v>514</v>
      </c>
    </row>
    <row r="3193" spans="1:7" x14ac:dyDescent="0.25">
      <c r="A3193" s="1" t="str">
        <f>"520587"</f>
        <v>520587</v>
      </c>
      <c r="B3193" s="2" t="str">
        <f>"BOTAO METALICO 2POSIÇOES C/ RETENÇAO(2 NA)3SU1150-2BL60-3NAO"</f>
        <v>BOTAO METALICO 2POSIÇOES C/ RETENÇAO(2 NA)3SU1150-2BL60-3NAO</v>
      </c>
      <c r="C3193" s="2" t="str">
        <f t="shared" si="129"/>
        <v>UN</v>
      </c>
      <c r="D3193" s="7">
        <v>900</v>
      </c>
      <c r="E3193" s="3">
        <v>11</v>
      </c>
      <c r="F3193" s="3">
        <v>11</v>
      </c>
      <c r="G3193" t="s">
        <v>514</v>
      </c>
    </row>
    <row r="3194" spans="1:7" x14ac:dyDescent="0.25">
      <c r="A3194" s="1" t="str">
        <f>"520574"</f>
        <v>520574</v>
      </c>
      <c r="B3194" s="2" t="str">
        <f>"BOTAO METALICO SIEMENS 3SB3 50 0-2DA 11 COM ELEMENTO"</f>
        <v>BOTAO METALICO SIEMENS 3SB3 50 0-2DA 11 COM ELEMENTO</v>
      </c>
      <c r="C3194" s="2" t="str">
        <f t="shared" si="129"/>
        <v>UN</v>
      </c>
      <c r="D3194" s="7">
        <v>811</v>
      </c>
      <c r="E3194" s="3">
        <v>8</v>
      </c>
      <c r="F3194" s="3">
        <v>8</v>
      </c>
      <c r="G3194" t="s">
        <v>512</v>
      </c>
    </row>
    <row r="3195" spans="1:7" x14ac:dyDescent="0.25">
      <c r="A3195" s="1" t="str">
        <f>"520575"</f>
        <v>520575</v>
      </c>
      <c r="B3195" s="2" t="str">
        <f>"BOTAO METALICO SIEMENS 3SB3 50 0-2KA 11 COM ELEMENTO"</f>
        <v>BOTAO METALICO SIEMENS 3SB3 50 0-2KA 11 COM ELEMENTO</v>
      </c>
      <c r="C3195" s="2" t="str">
        <f t="shared" si="129"/>
        <v>UN</v>
      </c>
      <c r="D3195" s="7">
        <v>811</v>
      </c>
      <c r="E3195" s="3">
        <v>8</v>
      </c>
      <c r="F3195" s="3">
        <v>8</v>
      </c>
      <c r="G3195" t="s">
        <v>513</v>
      </c>
    </row>
    <row r="3196" spans="1:7" x14ac:dyDescent="0.25">
      <c r="A3196" s="1" t="str">
        <f>"515541"</f>
        <v>515541</v>
      </c>
      <c r="B3196" s="2" t="str">
        <f>"BOTAO MONOBLOCO PT 1NA1NF 3SB62300AB101FA0"</f>
        <v>BOTAO MONOBLOCO PT 1NA1NF 3SB62300AB101FA0</v>
      </c>
      <c r="C3196" s="2" t="str">
        <f t="shared" si="129"/>
        <v>UN</v>
      </c>
      <c r="D3196" s="7">
        <v>811</v>
      </c>
      <c r="E3196" s="3">
        <v>8</v>
      </c>
      <c r="F3196" s="3">
        <v>8</v>
      </c>
      <c r="G3196" t="s">
        <v>514</v>
      </c>
    </row>
    <row r="3197" spans="1:7" x14ac:dyDescent="0.25">
      <c r="A3197" s="1" t="str">
        <f>"503239"</f>
        <v>503239</v>
      </c>
      <c r="B3197" s="2" t="str">
        <f>"BOTAO P/ POTENCIOMETRO MAQ SAQUINHO"</f>
        <v>BOTAO P/ POTENCIOMETRO MAQ SAQUINHO</v>
      </c>
      <c r="C3197" s="2" t="str">
        <f t="shared" si="129"/>
        <v>UN</v>
      </c>
      <c r="D3197" s="7">
        <v>900</v>
      </c>
      <c r="E3197" s="3">
        <v>11</v>
      </c>
      <c r="F3197" s="3">
        <v>11</v>
      </c>
      <c r="G3197" t="s">
        <v>514</v>
      </c>
    </row>
    <row r="3198" spans="1:7" x14ac:dyDescent="0.25">
      <c r="A3198" s="1" t="str">
        <f>"516326"</f>
        <v>516326</v>
      </c>
      <c r="B3198" s="2" t="str">
        <f>"BOTÃO SCHMERSAL E122 COD. 140003"</f>
        <v>BOTÃO SCHMERSAL E122 COD. 140003</v>
      </c>
      <c r="C3198" s="2" t="str">
        <f t="shared" si="129"/>
        <v>UN</v>
      </c>
      <c r="D3198" s="7">
        <v>600</v>
      </c>
      <c r="E3198" s="3">
        <v>8</v>
      </c>
      <c r="F3198" s="3">
        <v>8</v>
      </c>
      <c r="G3198" t="s">
        <v>514</v>
      </c>
    </row>
    <row r="3199" spans="1:7" x14ac:dyDescent="0.25">
      <c r="A3199" s="1" t="str">
        <f>"526437"</f>
        <v>526437</v>
      </c>
      <c r="B3199" s="2" t="str">
        <f>"BOTAO SCHN COMUT.MONOB.22MM 2POS FX 1NA XB7ED21P/XB7ND21"</f>
        <v>BOTAO SCHN COMUT.MONOB.22MM 2POS FX 1NA XB7ED21P/XB7ND21</v>
      </c>
      <c r="C3199" s="2" t="str">
        <f t="shared" si="129"/>
        <v>UN</v>
      </c>
      <c r="D3199" s="7">
        <v>811</v>
      </c>
      <c r="E3199" s="3">
        <v>8</v>
      </c>
      <c r="F3199" s="3">
        <v>8</v>
      </c>
      <c r="G3199" t="s">
        <v>513</v>
      </c>
    </row>
    <row r="3200" spans="1:7" x14ac:dyDescent="0.25">
      <c r="A3200" s="1" t="str">
        <f>"526438"</f>
        <v>526438</v>
      </c>
      <c r="B3200" s="2" t="str">
        <f>"BOTAO SCHN XA2 SINALIZ.MONOB.22MM C/LED 24VCA/CC XB7/XA2EVB3"</f>
        <v>BOTAO SCHN XA2 SINALIZ.MONOB.22MM C/LED 24VCA/CC XB7/XA2EVB3</v>
      </c>
      <c r="C3200" s="2" t="str">
        <f t="shared" si="129"/>
        <v>UN</v>
      </c>
      <c r="D3200" s="7">
        <v>811</v>
      </c>
      <c r="E3200" s="3">
        <v>8</v>
      </c>
      <c r="F3200" s="3">
        <v>8</v>
      </c>
      <c r="G3200" t="s">
        <v>512</v>
      </c>
    </row>
    <row r="3201" spans="1:7" x14ac:dyDescent="0.25">
      <c r="A3201" s="1" t="str">
        <f>"526439"</f>
        <v>526439</v>
      </c>
      <c r="B3201" s="2" t="str">
        <f>"BOTAO SCHNEIDER XA2 COMUT. 22MM 2POS FIXAS 1NA XA2ED21 PT"</f>
        <v>BOTAO SCHNEIDER XA2 COMUT. 22MM 2POS FIXAS 1NA XA2ED21 PT</v>
      </c>
      <c r="C3201" s="2" t="str">
        <f t="shared" si="129"/>
        <v>UN</v>
      </c>
      <c r="D3201" s="7">
        <v>811</v>
      </c>
      <c r="E3201" s="3">
        <v>8</v>
      </c>
      <c r="F3201" s="3">
        <v>8</v>
      </c>
      <c r="G3201" t="s">
        <v>513</v>
      </c>
    </row>
    <row r="3202" spans="1:7" x14ac:dyDescent="0.25">
      <c r="A3202" s="1" t="str">
        <f>"526440"</f>
        <v>526440</v>
      </c>
      <c r="B3202" s="2" t="str">
        <f>"BOTAO SCHNEIDER XA2 ELEMENTO DE CONTATO ZA2EE102 1NF"</f>
        <v>BOTAO SCHNEIDER XA2 ELEMENTO DE CONTATO ZA2EE102 1NF</v>
      </c>
      <c r="C3202" s="2" t="str">
        <f t="shared" si="129"/>
        <v>UN</v>
      </c>
      <c r="D3202" s="7">
        <v>811</v>
      </c>
      <c r="E3202" s="3">
        <v>8</v>
      </c>
      <c r="F3202" s="3">
        <v>8</v>
      </c>
      <c r="G3202" t="s">
        <v>514</v>
      </c>
    </row>
    <row r="3203" spans="1:7" x14ac:dyDescent="0.25">
      <c r="A3203" s="1" t="str">
        <f>"518130"</f>
        <v>518130</v>
      </c>
      <c r="B3203" s="2" t="str">
        <f>"BOTÃO SIEMENS 3SB6030-0AB40-1BA0 VD 1NA"</f>
        <v>BOTÃO SIEMENS 3SB6030-0AB40-1BA0 VD 1NA</v>
      </c>
      <c r="C3203" s="2" t="str">
        <f t="shared" si="129"/>
        <v>UN</v>
      </c>
      <c r="D3203" s="7">
        <v>811</v>
      </c>
      <c r="E3203" s="3">
        <v>8</v>
      </c>
      <c r="F3203" s="3">
        <v>8</v>
      </c>
      <c r="G3203" t="s">
        <v>514</v>
      </c>
    </row>
    <row r="3204" spans="1:7" x14ac:dyDescent="0.25">
      <c r="A3204" s="1" t="str">
        <f>"526022"</f>
        <v>526022</v>
      </c>
      <c r="B3204" s="2" t="str">
        <f>"BOTAO SIEMENS 3SB6030-1HB20-0YA0"</f>
        <v>BOTAO SIEMENS 3SB6030-1HB20-0YA0</v>
      </c>
      <c r="C3204" s="2" t="str">
        <f t="shared" si="129"/>
        <v>UN</v>
      </c>
      <c r="D3204" s="7">
        <v>918</v>
      </c>
      <c r="E3204" s="3">
        <v>8</v>
      </c>
      <c r="F3204" s="3">
        <v>8</v>
      </c>
      <c r="G3204" t="s">
        <v>514</v>
      </c>
    </row>
    <row r="3205" spans="1:7" x14ac:dyDescent="0.25">
      <c r="A3205" s="1" t="str">
        <f>"518131"</f>
        <v>518131</v>
      </c>
      <c r="B3205" s="2" t="str">
        <f>"BOTÃO SIEMENS 3SB6130-0AB20-1CA0 VM 1NF"</f>
        <v>BOTÃO SIEMENS 3SB6130-0AB20-1CA0 VM 1NF</v>
      </c>
      <c r="C3205" s="2" t="str">
        <f t="shared" si="129"/>
        <v>UN</v>
      </c>
      <c r="D3205" s="7">
        <v>811</v>
      </c>
      <c r="E3205" s="3">
        <v>8</v>
      </c>
      <c r="F3205" s="3">
        <v>8</v>
      </c>
      <c r="G3205" t="s">
        <v>513</v>
      </c>
    </row>
    <row r="3206" spans="1:7" x14ac:dyDescent="0.25">
      <c r="A3206" s="1" t="str">
        <f>"518604"</f>
        <v>518604</v>
      </c>
      <c r="B3206" s="2" t="str">
        <f>"BOTÃO SIEMENS 3SB6130-2AA10-1BAA0 PT 1NA C/ RETENÇÃO"</f>
        <v>BOTÃO SIEMENS 3SB6130-2AA10-1BAA0 PT 1NA C/ RETENÇÃO</v>
      </c>
      <c r="C3206" s="2" t="str">
        <f t="shared" si="129"/>
        <v>UN</v>
      </c>
      <c r="D3206" s="7">
        <v>811</v>
      </c>
      <c r="E3206" s="3">
        <v>8</v>
      </c>
      <c r="F3206" s="3">
        <v>8</v>
      </c>
      <c r="G3206" t="s">
        <v>513</v>
      </c>
    </row>
    <row r="3207" spans="1:7" x14ac:dyDescent="0.25">
      <c r="A3207" s="1" t="str">
        <f>"518132"</f>
        <v>518132</v>
      </c>
      <c r="B3207" s="2" t="str">
        <f>"BOTÃO SIEMENS 3SB6130-3AA24-1MK0 DUPLO VD/VM S/ ILUMINAÇÃO"</f>
        <v>BOTÃO SIEMENS 3SB6130-3AA24-1MK0 DUPLO VD/VM S/ ILUMINAÇÃO</v>
      </c>
      <c r="C3207" s="2" t="str">
        <f t="shared" si="129"/>
        <v>UN</v>
      </c>
      <c r="D3207" s="7">
        <v>811</v>
      </c>
      <c r="E3207" s="3">
        <v>8</v>
      </c>
      <c r="F3207" s="3">
        <v>8</v>
      </c>
      <c r="G3207" t="s">
        <v>513</v>
      </c>
    </row>
    <row r="3208" spans="1:7" x14ac:dyDescent="0.25">
      <c r="A3208" s="1" t="str">
        <f>"506170"</f>
        <v>506170</v>
      </c>
      <c r="B3208" s="2" t="str">
        <f>"BOTAO SIEMENS FRONTAL 3SB30 00-4AD11 CHA"</f>
        <v>BOTAO SIEMENS FRONTAL 3SB30 00-4AD11 CHA</v>
      </c>
      <c r="C3208" s="2" t="str">
        <f t="shared" si="129"/>
        <v>UN</v>
      </c>
      <c r="D3208" s="7">
        <v>600</v>
      </c>
      <c r="E3208" s="3">
        <v>8</v>
      </c>
      <c r="F3208" s="3">
        <v>8</v>
      </c>
      <c r="G3208" t="s">
        <v>512</v>
      </c>
    </row>
    <row r="3209" spans="1:7" x14ac:dyDescent="0.25">
      <c r="A3209" s="1" t="str">
        <f>"518234"</f>
        <v>518234</v>
      </c>
      <c r="B3209" s="2" t="str">
        <f>"BOTÃO SIEMENS FRONTAL 3SB36 02-2kA11 METALICO 3 POSIÇÕES"</f>
        <v>BOTÃO SIEMENS FRONTAL 3SB36 02-2kA11 METALICO 3 POSIÇÕES</v>
      </c>
      <c r="C3209" s="2" t="str">
        <f t="shared" si="129"/>
        <v>UN</v>
      </c>
      <c r="D3209" s="7">
        <v>811</v>
      </c>
      <c r="E3209" s="3">
        <v>8</v>
      </c>
      <c r="F3209" s="3">
        <v>8</v>
      </c>
      <c r="G3209" t="s">
        <v>513</v>
      </c>
    </row>
    <row r="3210" spans="1:7" x14ac:dyDescent="0.25">
      <c r="A3210" s="1" t="str">
        <f>"518233"</f>
        <v>518233</v>
      </c>
      <c r="B3210" s="2" t="str">
        <f>"BOTÃO SIEMENS FRONTAL 3SB36 03-1-CA21 METALICO COGUMELO VM"</f>
        <v>BOTÃO SIEMENS FRONTAL 3SB36 03-1-CA21 METALICO COGUMELO VM</v>
      </c>
      <c r="C3210" s="2" t="str">
        <f t="shared" si="129"/>
        <v>UN</v>
      </c>
      <c r="D3210" s="7">
        <v>811</v>
      </c>
      <c r="E3210" s="3">
        <v>8</v>
      </c>
      <c r="F3210" s="3">
        <v>8</v>
      </c>
      <c r="G3210" t="s">
        <v>514</v>
      </c>
    </row>
    <row r="3211" spans="1:7" x14ac:dyDescent="0.25">
      <c r="A3211" s="1" t="str">
        <f>"518232"</f>
        <v>518232</v>
      </c>
      <c r="B3211" s="2" t="str">
        <f>"BOTÃO SIEMENS FRONTAL 3SB36 10-2DA11 METALICO 3 POSIÇÕES"</f>
        <v>BOTÃO SIEMENS FRONTAL 3SB36 10-2DA11 METALICO 3 POSIÇÕES</v>
      </c>
      <c r="C3211" s="2" t="str">
        <f t="shared" si="129"/>
        <v>UN</v>
      </c>
      <c r="D3211" s="7">
        <v>811</v>
      </c>
      <c r="E3211" s="3">
        <v>8</v>
      </c>
      <c r="F3211" s="3">
        <v>8</v>
      </c>
      <c r="G3211" t="s">
        <v>515</v>
      </c>
    </row>
    <row r="3212" spans="1:7" x14ac:dyDescent="0.25">
      <c r="A3212" s="1" t="str">
        <f>"505024"</f>
        <v>505024</v>
      </c>
      <c r="B3212" s="2" t="str">
        <f>"BOTAO SIEMENS MODULAR 3SB6130-0AB10-1BA0 PT"</f>
        <v>BOTAO SIEMENS MODULAR 3SB6130-0AB10-1BA0 PT</v>
      </c>
      <c r="C3212" s="2" t="str">
        <f t="shared" si="129"/>
        <v>UN</v>
      </c>
      <c r="D3212" s="7">
        <v>704</v>
      </c>
      <c r="E3212" s="3">
        <v>9</v>
      </c>
      <c r="F3212" s="3">
        <v>9</v>
      </c>
      <c r="G3212" t="s">
        <v>512</v>
      </c>
    </row>
    <row r="3213" spans="1:7" x14ac:dyDescent="0.25">
      <c r="A3213" s="1" t="str">
        <f>"512895"</f>
        <v>512895</v>
      </c>
      <c r="B3213" s="2" t="str">
        <f>"BOTAO SIEMENS MODULAR 3SB6130-0AB40-1BA0 VD 1NA"</f>
        <v>BOTAO SIEMENS MODULAR 3SB6130-0AB40-1BA0 VD 1NA</v>
      </c>
      <c r="C3213" s="2" t="str">
        <f t="shared" si="129"/>
        <v>UN</v>
      </c>
      <c r="D3213" s="7">
        <v>704</v>
      </c>
      <c r="E3213" s="3">
        <v>9</v>
      </c>
      <c r="F3213" s="3">
        <v>9</v>
      </c>
      <c r="G3213" t="s">
        <v>516</v>
      </c>
    </row>
    <row r="3214" spans="1:7" x14ac:dyDescent="0.25">
      <c r="A3214" s="1" t="str">
        <f>"512896"</f>
        <v>512896</v>
      </c>
      <c r="B3214" s="2" t="str">
        <f>"BOTAO SIEMENS MODULAR 3SB6130-1HB20-1CA0 VM INF COGUMELO"</f>
        <v>BOTAO SIEMENS MODULAR 3SB6130-1HB20-1CA0 VM INF COGUMELO</v>
      </c>
      <c r="C3214" s="2" t="str">
        <f t="shared" si="129"/>
        <v>UN</v>
      </c>
      <c r="D3214" s="7">
        <v>704</v>
      </c>
      <c r="E3214" s="3">
        <v>9</v>
      </c>
      <c r="F3214" s="3">
        <v>9</v>
      </c>
      <c r="G3214" t="s">
        <v>515</v>
      </c>
    </row>
    <row r="3215" spans="1:7" x14ac:dyDescent="0.25">
      <c r="A3215" s="1" t="str">
        <f>"517163"</f>
        <v>517163</v>
      </c>
      <c r="B3215" s="2" t="str">
        <f>"BOTÃO STECK 2 POSIÇÕES"</f>
        <v>BOTÃO STECK 2 POSIÇÕES</v>
      </c>
      <c r="C3215" s="2" t="str">
        <f t="shared" si="129"/>
        <v>UN</v>
      </c>
      <c r="D3215" s="7">
        <v>811</v>
      </c>
      <c r="E3215" s="3">
        <v>8</v>
      </c>
      <c r="F3215" s="3">
        <v>8</v>
      </c>
      <c r="G3215" t="s">
        <v>514</v>
      </c>
    </row>
    <row r="3216" spans="1:7" x14ac:dyDescent="0.25">
      <c r="A3216" s="1" t="str">
        <f>"515848"</f>
        <v>515848</v>
      </c>
      <c r="B3216" s="2" t="str">
        <f>"BOTAO STECK 3 POS. 2P90 COD.S-MB8TO"</f>
        <v>BOTAO STECK 3 POS. 2P90 COD.S-MB8TO</v>
      </c>
      <c r="C3216" s="2" t="str">
        <f t="shared" si="129"/>
        <v>UN</v>
      </c>
      <c r="D3216" s="7">
        <v>99999</v>
      </c>
      <c r="E3216" s="3">
        <v>99</v>
      </c>
      <c r="F3216" s="3">
        <v>99</v>
      </c>
      <c r="G3216" t="s">
        <v>512</v>
      </c>
    </row>
    <row r="3217" spans="1:7" x14ac:dyDescent="0.25">
      <c r="A3217" s="1" t="str">
        <f>"500189"</f>
        <v>500189</v>
      </c>
      <c r="B3217" s="2" t="str">
        <f>"BOTIJAO GAS - 13 KG"</f>
        <v>BOTIJAO GAS - 13 KG</v>
      </c>
      <c r="C3217" s="2" t="str">
        <f t="shared" si="129"/>
        <v>UN</v>
      </c>
      <c r="D3217" s="7">
        <v>402</v>
      </c>
      <c r="E3217" s="3">
        <v>4</v>
      </c>
      <c r="F3217" s="3">
        <v>4</v>
      </c>
      <c r="G3217" t="s">
        <v>513</v>
      </c>
    </row>
    <row r="3218" spans="1:7" x14ac:dyDescent="0.25">
      <c r="A3218" s="1" t="str">
        <f>"522830"</f>
        <v>522830</v>
      </c>
      <c r="B3218" s="2" t="str">
        <f>"BOTIJAO GAS - 20 KG"</f>
        <v>BOTIJAO GAS - 20 KG</v>
      </c>
      <c r="C3218" s="2" t="str">
        <f t="shared" si="129"/>
        <v>UN</v>
      </c>
      <c r="D3218" s="7">
        <v>402</v>
      </c>
      <c r="E3218" s="3">
        <v>4</v>
      </c>
      <c r="F3218" s="3">
        <v>4</v>
      </c>
      <c r="G3218" t="s">
        <v>514</v>
      </c>
    </row>
    <row r="3219" spans="1:7" x14ac:dyDescent="0.25">
      <c r="A3219" s="1" t="str">
        <f>"526351"</f>
        <v>526351</v>
      </c>
      <c r="B3219" s="2" t="str">
        <f>"BOTINA BICO COMPOSITE C/ CADARÇO PRETA TAMANHO 46 CA21671"</f>
        <v>BOTINA BICO COMPOSITE C/ CADARÇO PRETA TAMANHO 46 CA21671</v>
      </c>
      <c r="C3219" s="2" t="str">
        <f t="shared" si="129"/>
        <v>UN</v>
      </c>
      <c r="D3219" s="7">
        <v>500</v>
      </c>
      <c r="E3219" s="3">
        <v>5</v>
      </c>
      <c r="F3219" s="3">
        <v>5</v>
      </c>
      <c r="G3219" t="s">
        <v>514</v>
      </c>
    </row>
    <row r="3220" spans="1:7" x14ac:dyDescent="0.25">
      <c r="A3220" s="1" t="str">
        <f>"525615"</f>
        <v>525615</v>
      </c>
      <c r="B3220" s="2" t="str">
        <f>"BOTINA COM BIQUEIRA DE COMPOSITE, T.34 - MARLUVAS - CA-32209"</f>
        <v>BOTINA COM BIQUEIRA DE COMPOSITE, T.34 - MARLUVAS - CA-32209</v>
      </c>
      <c r="C3220" s="2" t="str">
        <f t="shared" si="129"/>
        <v>UN</v>
      </c>
      <c r="D3220" s="7">
        <v>501</v>
      </c>
      <c r="E3220" s="3">
        <v>5</v>
      </c>
      <c r="F3220" s="3">
        <v>5</v>
      </c>
      <c r="G3220" t="s">
        <v>512</v>
      </c>
    </row>
    <row r="3221" spans="1:7" x14ac:dyDescent="0.25">
      <c r="A3221" s="1" t="str">
        <f>"525616"</f>
        <v>525616</v>
      </c>
      <c r="B3221" s="2" t="str">
        <f>"BOTINA COM BIQUEIRA DE COMPOSITE, T.35 - MARLUVAS - CA-32209"</f>
        <v>BOTINA COM BIQUEIRA DE COMPOSITE, T.35 - MARLUVAS - CA-32209</v>
      </c>
      <c r="C3221" s="2" t="str">
        <f t="shared" ref="C3221:C3252" si="130">"UN"</f>
        <v>UN</v>
      </c>
      <c r="D3221" s="7">
        <v>501</v>
      </c>
      <c r="E3221" s="3">
        <v>5</v>
      </c>
      <c r="F3221" s="3">
        <v>5</v>
      </c>
      <c r="G3221" t="s">
        <v>513</v>
      </c>
    </row>
    <row r="3222" spans="1:7" x14ac:dyDescent="0.25">
      <c r="A3222" s="1" t="str">
        <f>"525617"</f>
        <v>525617</v>
      </c>
      <c r="B3222" s="2" t="str">
        <f>"BOTINA COM BIQUEIRA DE COMPOSITE, T.36 - MARLUVAS - CA-32209"</f>
        <v>BOTINA COM BIQUEIRA DE COMPOSITE, T.36 - MARLUVAS - CA-32209</v>
      </c>
      <c r="C3222" s="2" t="str">
        <f t="shared" si="130"/>
        <v>UN</v>
      </c>
      <c r="D3222" s="7">
        <v>501</v>
      </c>
      <c r="E3222" s="3">
        <v>5</v>
      </c>
      <c r="F3222" s="3">
        <v>5</v>
      </c>
      <c r="G3222" t="s">
        <v>514</v>
      </c>
    </row>
    <row r="3223" spans="1:7" x14ac:dyDescent="0.25">
      <c r="A3223" s="1" t="str">
        <f>"525618"</f>
        <v>525618</v>
      </c>
      <c r="B3223" s="2" t="str">
        <f>"BOTINA COM BIQUEIRA DE COMPOSITE, T.37 - MARLUVAS - CA-32209"</f>
        <v>BOTINA COM BIQUEIRA DE COMPOSITE, T.37 - MARLUVAS - CA-32209</v>
      </c>
      <c r="C3223" s="2" t="str">
        <f t="shared" si="130"/>
        <v>UN</v>
      </c>
      <c r="D3223" s="7">
        <v>501</v>
      </c>
      <c r="E3223" s="3">
        <v>5</v>
      </c>
      <c r="F3223" s="3">
        <v>5</v>
      </c>
      <c r="G3223" t="s">
        <v>514</v>
      </c>
    </row>
    <row r="3224" spans="1:7" x14ac:dyDescent="0.25">
      <c r="A3224" s="1" t="str">
        <f>"525619"</f>
        <v>525619</v>
      </c>
      <c r="B3224" s="2" t="str">
        <f>"BOTINA COM BIQUEIRA DE COMPOSITE, T.38 - MARLUVAS - CA-32209"</f>
        <v>BOTINA COM BIQUEIRA DE COMPOSITE, T.38 - MARLUVAS - CA-32209</v>
      </c>
      <c r="C3224" s="2" t="str">
        <f t="shared" si="130"/>
        <v>UN</v>
      </c>
      <c r="D3224" s="7">
        <v>501</v>
      </c>
      <c r="E3224" s="3">
        <v>5</v>
      </c>
      <c r="F3224" s="3">
        <v>5</v>
      </c>
      <c r="G3224" t="s">
        <v>514</v>
      </c>
    </row>
    <row r="3225" spans="1:7" x14ac:dyDescent="0.25">
      <c r="A3225" s="1" t="str">
        <f>"525620"</f>
        <v>525620</v>
      </c>
      <c r="B3225" s="2" t="str">
        <f>"BOTINA COM BIQUEIRA DE COMPOSITE, T.39 - MARLUVAS - CA-32209"</f>
        <v>BOTINA COM BIQUEIRA DE COMPOSITE, T.39 - MARLUVAS - CA-32209</v>
      </c>
      <c r="C3225" s="2" t="str">
        <f t="shared" si="130"/>
        <v>UN</v>
      </c>
      <c r="D3225" s="7">
        <v>501</v>
      </c>
      <c r="E3225" s="3">
        <v>5</v>
      </c>
      <c r="F3225" s="3">
        <v>5</v>
      </c>
      <c r="G3225" t="s">
        <v>513</v>
      </c>
    </row>
    <row r="3226" spans="1:7" x14ac:dyDescent="0.25">
      <c r="A3226" s="1" t="str">
        <f>"525621"</f>
        <v>525621</v>
      </c>
      <c r="B3226" s="2" t="str">
        <f>"BOTINA COM BIQUEIRA DE COMPOSITE, T.40 - MARLUVAS - CA-32209"</f>
        <v>BOTINA COM BIQUEIRA DE COMPOSITE, T.40 - MARLUVAS - CA-32209</v>
      </c>
      <c r="C3226" s="2" t="str">
        <f t="shared" si="130"/>
        <v>UN</v>
      </c>
      <c r="D3226" s="7">
        <v>501</v>
      </c>
      <c r="E3226" s="3">
        <v>5</v>
      </c>
      <c r="F3226" s="3">
        <v>5</v>
      </c>
      <c r="G3226" t="s">
        <v>512</v>
      </c>
    </row>
    <row r="3227" spans="1:7" x14ac:dyDescent="0.25">
      <c r="A3227" s="1" t="str">
        <f>"525622"</f>
        <v>525622</v>
      </c>
      <c r="B3227" s="2" t="str">
        <f>"BOTINA COM BIQUEIRA DE COMPOSITE, T.41 - MARLUVAS - CA-32209"</f>
        <v>BOTINA COM BIQUEIRA DE COMPOSITE, T.41 - MARLUVAS - CA-32209</v>
      </c>
      <c r="C3227" s="2" t="str">
        <f t="shared" si="130"/>
        <v>UN</v>
      </c>
      <c r="D3227" s="7">
        <v>501</v>
      </c>
      <c r="E3227" s="3">
        <v>5</v>
      </c>
      <c r="F3227" s="3">
        <v>5</v>
      </c>
      <c r="G3227" t="s">
        <v>513</v>
      </c>
    </row>
    <row r="3228" spans="1:7" x14ac:dyDescent="0.25">
      <c r="A3228" s="1" t="str">
        <f>"525623"</f>
        <v>525623</v>
      </c>
      <c r="B3228" s="2" t="str">
        <f>"BOTINA COM BIQUEIRA DE COMPOSITE, T.42 - MARLUVAS - CA-32209"</f>
        <v>BOTINA COM BIQUEIRA DE COMPOSITE, T.42 - MARLUVAS - CA-32209</v>
      </c>
      <c r="C3228" s="2" t="str">
        <f t="shared" si="130"/>
        <v>UN</v>
      </c>
      <c r="D3228" s="7">
        <v>501</v>
      </c>
      <c r="E3228" s="3">
        <v>5</v>
      </c>
      <c r="F3228" s="3">
        <v>5</v>
      </c>
      <c r="G3228" t="s">
        <v>514</v>
      </c>
    </row>
    <row r="3229" spans="1:7" x14ac:dyDescent="0.25">
      <c r="A3229" s="1" t="str">
        <f>"525624"</f>
        <v>525624</v>
      </c>
      <c r="B3229" s="2" t="str">
        <f>"BOTINA COM BIQUEIRA DE COMPOSITE, T.43 - MARLUVAS - CA-32209"</f>
        <v>BOTINA COM BIQUEIRA DE COMPOSITE, T.43 - MARLUVAS - CA-32209</v>
      </c>
      <c r="C3229" s="2" t="str">
        <f t="shared" si="130"/>
        <v>UN</v>
      </c>
      <c r="D3229" s="7">
        <v>501</v>
      </c>
      <c r="E3229" s="3">
        <v>5</v>
      </c>
      <c r="F3229" s="3">
        <v>5</v>
      </c>
      <c r="G3229" t="s">
        <v>514</v>
      </c>
    </row>
    <row r="3230" spans="1:7" x14ac:dyDescent="0.25">
      <c r="A3230" s="1" t="str">
        <f>"525625"</f>
        <v>525625</v>
      </c>
      <c r="B3230" s="2" t="str">
        <f>"BOTINA COM BIQUEIRA DE COMPOSITE, T.44 - MARLUVAS - CA-32209"</f>
        <v>BOTINA COM BIQUEIRA DE COMPOSITE, T.44 - MARLUVAS - CA-32209</v>
      </c>
      <c r="C3230" s="2" t="str">
        <f t="shared" si="130"/>
        <v>UN</v>
      </c>
      <c r="D3230" s="7">
        <v>501</v>
      </c>
      <c r="E3230" s="3">
        <v>5</v>
      </c>
      <c r="F3230" s="3">
        <v>5</v>
      </c>
      <c r="G3230" t="s">
        <v>514</v>
      </c>
    </row>
    <row r="3231" spans="1:7" x14ac:dyDescent="0.25">
      <c r="A3231" s="1" t="str">
        <f>"523109"</f>
        <v>523109</v>
      </c>
      <c r="B3231" s="2" t="str">
        <f>"BOTINA ELAS. BICO AÇO PRETA-ELETREC -MARLUVAS-CA13217-T37"</f>
        <v>BOTINA ELAS. BICO AÇO PRETA-ELETREC -MARLUVAS-CA13217-T37</v>
      </c>
      <c r="C3231" s="2" t="str">
        <f t="shared" si="130"/>
        <v>UN</v>
      </c>
      <c r="D3231" s="7">
        <v>501</v>
      </c>
      <c r="E3231" s="3">
        <v>5</v>
      </c>
      <c r="F3231" s="3">
        <v>5</v>
      </c>
      <c r="G3231" t="s">
        <v>513</v>
      </c>
    </row>
    <row r="3232" spans="1:7" x14ac:dyDescent="0.25">
      <c r="A3232" s="1" t="str">
        <f>"523110"</f>
        <v>523110</v>
      </c>
      <c r="B3232" s="2" t="str">
        <f>"BOTINA ELAS. BICO AÇO PRETA-ELETREC -MARLUVAS-CA13217-T38"</f>
        <v>BOTINA ELAS. BICO AÇO PRETA-ELETREC -MARLUVAS-CA13217-T38</v>
      </c>
      <c r="C3232" s="2" t="str">
        <f t="shared" si="130"/>
        <v>UN</v>
      </c>
      <c r="D3232" s="7">
        <v>501</v>
      </c>
      <c r="E3232" s="3">
        <v>5</v>
      </c>
      <c r="F3232" s="3">
        <v>5</v>
      </c>
      <c r="G3232" t="s">
        <v>513</v>
      </c>
    </row>
    <row r="3233" spans="1:7" x14ac:dyDescent="0.25">
      <c r="A3233" s="1" t="str">
        <f>"523111"</f>
        <v>523111</v>
      </c>
      <c r="B3233" s="2" t="str">
        <f>"BOTINA ELAS. BICO AÇO PRETA-ELETREC -MARLUVAS-CA13217-T39"</f>
        <v>BOTINA ELAS. BICO AÇO PRETA-ELETREC -MARLUVAS-CA13217-T39</v>
      </c>
      <c r="C3233" s="2" t="str">
        <f t="shared" si="130"/>
        <v>UN</v>
      </c>
      <c r="D3233" s="7">
        <v>501</v>
      </c>
      <c r="E3233" s="3">
        <v>5</v>
      </c>
      <c r="F3233" s="3">
        <v>5</v>
      </c>
      <c r="G3233" t="s">
        <v>513</v>
      </c>
    </row>
    <row r="3234" spans="1:7" x14ac:dyDescent="0.25">
      <c r="A3234" s="1" t="str">
        <f>"523112"</f>
        <v>523112</v>
      </c>
      <c r="B3234" s="2" t="str">
        <f>"BOTINA ELAS. BICO AÇO PRETA-ELETREC -MARLUVAS-CA13217-T40"</f>
        <v>BOTINA ELAS. BICO AÇO PRETA-ELETREC -MARLUVAS-CA13217-T40</v>
      </c>
      <c r="C3234" s="2" t="str">
        <f t="shared" si="130"/>
        <v>UN</v>
      </c>
      <c r="D3234" s="7">
        <v>501</v>
      </c>
      <c r="E3234" s="3">
        <v>5</v>
      </c>
      <c r="F3234" s="3">
        <v>5</v>
      </c>
      <c r="G3234" t="s">
        <v>512</v>
      </c>
    </row>
    <row r="3235" spans="1:7" x14ac:dyDescent="0.25">
      <c r="A3235" s="1" t="str">
        <f>"523113"</f>
        <v>523113</v>
      </c>
      <c r="B3235" s="2" t="str">
        <f>"BOTINA ELAS. BICO AÇO PRETA-ELETREC -MARLUVAS-CA13217-T41"</f>
        <v>BOTINA ELAS. BICO AÇO PRETA-ELETREC -MARLUVAS-CA13217-T41</v>
      </c>
      <c r="C3235" s="2" t="str">
        <f t="shared" si="130"/>
        <v>UN</v>
      </c>
      <c r="D3235" s="7">
        <v>501</v>
      </c>
      <c r="E3235" s="3">
        <v>5</v>
      </c>
      <c r="F3235" s="3">
        <v>5</v>
      </c>
      <c r="G3235" t="s">
        <v>513</v>
      </c>
    </row>
    <row r="3236" spans="1:7" x14ac:dyDescent="0.25">
      <c r="A3236" s="1" t="str">
        <f>"523114"</f>
        <v>523114</v>
      </c>
      <c r="B3236" s="2" t="str">
        <f>"BOTINA ELAS. BICO AÇO PRETA-ELETREC -MARLUVAS-CA13217-T42"</f>
        <v>BOTINA ELAS. BICO AÇO PRETA-ELETREC -MARLUVAS-CA13217-T42</v>
      </c>
      <c r="C3236" s="2" t="str">
        <f t="shared" si="130"/>
        <v>UN</v>
      </c>
      <c r="D3236" s="7">
        <v>501</v>
      </c>
      <c r="E3236" s="3">
        <v>5</v>
      </c>
      <c r="F3236" s="3">
        <v>5</v>
      </c>
      <c r="G3236" t="s">
        <v>514</v>
      </c>
    </row>
    <row r="3237" spans="1:7" x14ac:dyDescent="0.25">
      <c r="A3237" s="1" t="str">
        <f>"523115"</f>
        <v>523115</v>
      </c>
      <c r="B3237" s="2" t="str">
        <f>"BOTINA ELAS. BICO AÇO PRETA-ELETREC -MARLUVAS-CA13217-T43"</f>
        <v>BOTINA ELAS. BICO AÇO PRETA-ELETREC -MARLUVAS-CA13217-T43</v>
      </c>
      <c r="C3237" s="2" t="str">
        <f t="shared" si="130"/>
        <v>UN</v>
      </c>
      <c r="D3237" s="7">
        <v>501</v>
      </c>
      <c r="E3237" s="3">
        <v>5</v>
      </c>
      <c r="F3237" s="3">
        <v>5</v>
      </c>
      <c r="G3237" t="s">
        <v>515</v>
      </c>
    </row>
    <row r="3238" spans="1:7" x14ac:dyDescent="0.25">
      <c r="A3238" s="1" t="str">
        <f>"523116"</f>
        <v>523116</v>
      </c>
      <c r="B3238" s="2" t="str">
        <f>"BOTINA ELAS. BICO AÇO PRETA-ELETREC -MARLUVAS-CA13217-T44"</f>
        <v>BOTINA ELAS. BICO AÇO PRETA-ELETREC -MARLUVAS-CA13217-T44</v>
      </c>
      <c r="C3238" s="2" t="str">
        <f t="shared" si="130"/>
        <v>UN</v>
      </c>
      <c r="D3238" s="7">
        <v>501</v>
      </c>
      <c r="E3238" s="3">
        <v>5</v>
      </c>
      <c r="F3238" s="3">
        <v>5</v>
      </c>
      <c r="G3238" t="s">
        <v>512</v>
      </c>
    </row>
    <row r="3239" spans="1:7" x14ac:dyDescent="0.25">
      <c r="A3239" s="1" t="str">
        <f>"523577"</f>
        <v>523577</v>
      </c>
      <c r="B3239" s="2" t="str">
        <f>"BOTINA ELAS. BICO AÇO PRETA-ELETREC -MARLUVAS-CA13217-T44"</f>
        <v>BOTINA ELAS. BICO AÇO PRETA-ELETREC -MARLUVAS-CA13217-T44</v>
      </c>
      <c r="C3239" s="2" t="str">
        <f t="shared" si="130"/>
        <v>UN</v>
      </c>
      <c r="D3239" s="7">
        <v>501</v>
      </c>
      <c r="E3239" s="3">
        <v>5</v>
      </c>
      <c r="F3239" s="3">
        <v>5</v>
      </c>
      <c r="G3239" t="s">
        <v>516</v>
      </c>
    </row>
    <row r="3240" spans="1:7" x14ac:dyDescent="0.25">
      <c r="A3240" s="1" t="str">
        <f>"523117"</f>
        <v>523117</v>
      </c>
      <c r="B3240" s="2" t="str">
        <f>"BOTINA ELAS. BICO AÇO PRETA-ELETREC -MARLUVAS-CA13217-T45"</f>
        <v>BOTINA ELAS. BICO AÇO PRETA-ELETREC -MARLUVAS-CA13217-T45</v>
      </c>
      <c r="C3240" s="2" t="str">
        <f t="shared" si="130"/>
        <v>UN</v>
      </c>
      <c r="D3240" s="7">
        <v>501</v>
      </c>
      <c r="E3240" s="3">
        <v>5</v>
      </c>
      <c r="F3240" s="3">
        <v>5</v>
      </c>
      <c r="G3240" t="s">
        <v>515</v>
      </c>
    </row>
    <row r="3241" spans="1:7" x14ac:dyDescent="0.25">
      <c r="A3241" s="1" t="str">
        <f>"523118"</f>
        <v>523118</v>
      </c>
      <c r="B3241" s="2" t="str">
        <f>"BOTINA ELAS. BICO AÇO PRETA-ELETREC -MARLUVAS-CA13217-T46"</f>
        <v>BOTINA ELAS. BICO AÇO PRETA-ELETREC -MARLUVAS-CA13217-T46</v>
      </c>
      <c r="C3241" s="2" t="str">
        <f t="shared" si="130"/>
        <v>UN</v>
      </c>
      <c r="D3241" s="7">
        <v>501</v>
      </c>
      <c r="E3241" s="3">
        <v>5</v>
      </c>
      <c r="F3241" s="3">
        <v>5</v>
      </c>
      <c r="G3241" t="s">
        <v>514</v>
      </c>
    </row>
    <row r="3242" spans="1:7" x14ac:dyDescent="0.25">
      <c r="A3242" s="1" t="str">
        <f>"523828"</f>
        <v>523828</v>
      </c>
      <c r="B3242" s="2" t="str">
        <f>"BOTINA ELASTICO BICO AÇO PRETA 35"</f>
        <v>BOTINA ELASTICO BICO AÇO PRETA 35</v>
      </c>
      <c r="C3242" s="2" t="str">
        <f t="shared" si="130"/>
        <v>UN</v>
      </c>
      <c r="D3242" s="7">
        <v>500</v>
      </c>
      <c r="E3242" s="3">
        <v>5</v>
      </c>
      <c r="F3242" s="3">
        <v>5</v>
      </c>
      <c r="G3242" t="s">
        <v>512</v>
      </c>
    </row>
    <row r="3243" spans="1:7" x14ac:dyDescent="0.25">
      <c r="A3243" s="1" t="str">
        <f>"513844"</f>
        <v>513844</v>
      </c>
      <c r="B3243" s="2" t="str">
        <f>"BOTINA ELASTICO BICO AÇO PRETA 36"</f>
        <v>BOTINA ELASTICO BICO AÇO PRETA 36</v>
      </c>
      <c r="C3243" s="2" t="str">
        <f t="shared" si="130"/>
        <v>UN</v>
      </c>
      <c r="D3243" s="7">
        <v>500</v>
      </c>
      <c r="E3243" s="3">
        <v>5</v>
      </c>
      <c r="F3243" s="3">
        <v>5</v>
      </c>
      <c r="G3243" t="s">
        <v>513</v>
      </c>
    </row>
    <row r="3244" spans="1:7" x14ac:dyDescent="0.25">
      <c r="A3244" s="1" t="str">
        <f>"6264"</f>
        <v>6264</v>
      </c>
      <c r="B3244" s="2" t="str">
        <f>"BOTINA ELASTICO BICO AÇO PRETA 37"</f>
        <v>BOTINA ELASTICO BICO AÇO PRETA 37</v>
      </c>
      <c r="C3244" s="2" t="str">
        <f t="shared" si="130"/>
        <v>UN</v>
      </c>
      <c r="D3244" s="7">
        <v>501</v>
      </c>
      <c r="E3244" s="3">
        <v>5</v>
      </c>
      <c r="F3244" s="3">
        <v>5</v>
      </c>
      <c r="G3244" t="s">
        <v>514</v>
      </c>
    </row>
    <row r="3245" spans="1:7" x14ac:dyDescent="0.25">
      <c r="A3245" s="1" t="str">
        <f>"6265"</f>
        <v>6265</v>
      </c>
      <c r="B3245" s="2" t="str">
        <f>"BOTINA ELASTICO BICO AÇO PRETA 38"</f>
        <v>BOTINA ELASTICO BICO AÇO PRETA 38</v>
      </c>
      <c r="C3245" s="2" t="str">
        <f t="shared" si="130"/>
        <v>UN</v>
      </c>
      <c r="D3245" s="7">
        <v>501</v>
      </c>
      <c r="E3245" s="3">
        <v>5</v>
      </c>
      <c r="F3245" s="3">
        <v>5</v>
      </c>
      <c r="G3245" t="s">
        <v>514</v>
      </c>
    </row>
    <row r="3246" spans="1:7" x14ac:dyDescent="0.25">
      <c r="A3246" s="1" t="str">
        <f>"6266"</f>
        <v>6266</v>
      </c>
      <c r="B3246" s="2" t="str">
        <f>"BOTINA ELASTICO BICO AÇO PRETA 39"</f>
        <v>BOTINA ELASTICO BICO AÇO PRETA 39</v>
      </c>
      <c r="C3246" s="2" t="str">
        <f t="shared" si="130"/>
        <v>UN</v>
      </c>
      <c r="D3246" s="7">
        <v>501</v>
      </c>
      <c r="E3246" s="3">
        <v>5</v>
      </c>
      <c r="F3246" s="3">
        <v>5</v>
      </c>
      <c r="G3246" t="s">
        <v>512</v>
      </c>
    </row>
    <row r="3247" spans="1:7" x14ac:dyDescent="0.25">
      <c r="A3247" s="1" t="str">
        <f>"6267"</f>
        <v>6267</v>
      </c>
      <c r="B3247" s="2" t="str">
        <f>"BOTINA ELASTICO BICO AÇO PRETA 40"</f>
        <v>BOTINA ELASTICO BICO AÇO PRETA 40</v>
      </c>
      <c r="C3247" s="2" t="str">
        <f t="shared" si="130"/>
        <v>UN</v>
      </c>
      <c r="D3247" s="7">
        <v>501</v>
      </c>
      <c r="E3247" s="3">
        <v>5</v>
      </c>
      <c r="F3247" s="3">
        <v>5</v>
      </c>
      <c r="G3247" t="s">
        <v>513</v>
      </c>
    </row>
    <row r="3248" spans="1:7" x14ac:dyDescent="0.25">
      <c r="A3248" s="1" t="str">
        <f>"6268"</f>
        <v>6268</v>
      </c>
      <c r="B3248" s="2" t="str">
        <f>"BOTINA ELASTICO BICO AÇO PRETA 41"</f>
        <v>BOTINA ELASTICO BICO AÇO PRETA 41</v>
      </c>
      <c r="C3248" s="2" t="str">
        <f t="shared" si="130"/>
        <v>UN</v>
      </c>
      <c r="D3248" s="7">
        <v>501</v>
      </c>
      <c r="E3248" s="3">
        <v>5</v>
      </c>
      <c r="F3248" s="3">
        <v>5</v>
      </c>
      <c r="G3248" t="s">
        <v>514</v>
      </c>
    </row>
    <row r="3249" spans="1:7" x14ac:dyDescent="0.25">
      <c r="A3249" s="1" t="str">
        <f>"6269"</f>
        <v>6269</v>
      </c>
      <c r="B3249" s="2" t="str">
        <f>"BOTINA ELASTICO BICO AÇO PRETA 42"</f>
        <v>BOTINA ELASTICO BICO AÇO PRETA 42</v>
      </c>
      <c r="C3249" s="2" t="str">
        <f t="shared" si="130"/>
        <v>UN</v>
      </c>
      <c r="D3249" s="7">
        <v>501</v>
      </c>
      <c r="E3249" s="3">
        <v>5</v>
      </c>
      <c r="F3249" s="3">
        <v>5</v>
      </c>
      <c r="G3249" t="s">
        <v>514</v>
      </c>
    </row>
    <row r="3250" spans="1:7" x14ac:dyDescent="0.25">
      <c r="A3250" s="1" t="str">
        <f>"6270"</f>
        <v>6270</v>
      </c>
      <c r="B3250" s="2" t="str">
        <f>"BOTINA ELASTICO BICO AÇO PRETA 43"</f>
        <v>BOTINA ELASTICO BICO AÇO PRETA 43</v>
      </c>
      <c r="C3250" s="2" t="str">
        <f t="shared" si="130"/>
        <v>UN</v>
      </c>
      <c r="D3250" s="7">
        <v>501</v>
      </c>
      <c r="E3250" s="3">
        <v>5</v>
      </c>
      <c r="F3250" s="3">
        <v>5</v>
      </c>
      <c r="G3250" t="s">
        <v>514</v>
      </c>
    </row>
    <row r="3251" spans="1:7" x14ac:dyDescent="0.25">
      <c r="A3251" s="1" t="str">
        <f>"6271"</f>
        <v>6271</v>
      </c>
      <c r="B3251" s="2" t="str">
        <f>"BOTINA ELASTICO BICO AÇO PRETA 44"</f>
        <v>BOTINA ELASTICO BICO AÇO PRETA 44</v>
      </c>
      <c r="C3251" s="2" t="str">
        <f t="shared" si="130"/>
        <v>UN</v>
      </c>
      <c r="D3251" s="7">
        <v>501</v>
      </c>
      <c r="E3251" s="3">
        <v>5</v>
      </c>
      <c r="F3251" s="3">
        <v>5</v>
      </c>
      <c r="G3251" t="s">
        <v>513</v>
      </c>
    </row>
    <row r="3252" spans="1:7" x14ac:dyDescent="0.25">
      <c r="A3252" s="1" t="str">
        <f>"6781"</f>
        <v>6781</v>
      </c>
      <c r="B3252" s="2" t="str">
        <f>"BOTINA ELASTICO BICO AÇO PRETA 46"</f>
        <v>BOTINA ELASTICO BICO AÇO PRETA 46</v>
      </c>
      <c r="C3252" s="2" t="str">
        <f t="shared" si="130"/>
        <v>UN</v>
      </c>
      <c r="D3252" s="7">
        <v>501</v>
      </c>
      <c r="E3252" s="3">
        <v>5</v>
      </c>
      <c r="F3252" s="3">
        <v>5</v>
      </c>
      <c r="G3252" t="s">
        <v>512</v>
      </c>
    </row>
    <row r="3253" spans="1:7" x14ac:dyDescent="0.25">
      <c r="A3253" s="1" t="str">
        <f>"513845"</f>
        <v>513845</v>
      </c>
      <c r="B3253" s="2" t="str">
        <f>"BOTINA ELASTICO BICO DE AÇO PRETA 45"</f>
        <v>BOTINA ELASTICO BICO DE AÇO PRETA 45</v>
      </c>
      <c r="C3253" s="2" t="str">
        <f t="shared" ref="C3253:C3284" si="131">"UN"</f>
        <v>UN</v>
      </c>
      <c r="D3253" s="7">
        <v>500</v>
      </c>
      <c r="E3253" s="3">
        <v>5</v>
      </c>
      <c r="F3253" s="3">
        <v>5</v>
      </c>
      <c r="G3253" t="s">
        <v>513</v>
      </c>
    </row>
    <row r="3254" spans="1:7" x14ac:dyDescent="0.25">
      <c r="A3254" s="1" t="str">
        <f>"523826"</f>
        <v>523826</v>
      </c>
      <c r="B3254" s="2" t="str">
        <f>"BOTINA ELASTICO MICROFIBRA BICO AÇO BRC 34 MARLUVAS CA31801"</f>
        <v>BOTINA ELASTICO MICROFIBRA BICO AÇO BRC 34 MARLUVAS CA31801</v>
      </c>
      <c r="C3254" s="2" t="str">
        <f t="shared" si="131"/>
        <v>UN</v>
      </c>
      <c r="D3254" s="7">
        <v>501</v>
      </c>
      <c r="E3254" s="3">
        <v>5</v>
      </c>
      <c r="F3254" s="3">
        <v>5</v>
      </c>
      <c r="G3254" t="s">
        <v>514</v>
      </c>
    </row>
    <row r="3255" spans="1:7" x14ac:dyDescent="0.25">
      <c r="A3255" s="1" t="str">
        <f>"523432"</f>
        <v>523432</v>
      </c>
      <c r="B3255" s="2" t="str">
        <f>"BOTINA ELASTICO MICROFIBRA BICO AÇO BRC 34- MARLUVAS CA31801"</f>
        <v>BOTINA ELASTICO MICROFIBRA BICO AÇO BRC 34- MARLUVAS CA31801</v>
      </c>
      <c r="C3255" s="2" t="str">
        <f t="shared" si="131"/>
        <v>UN</v>
      </c>
      <c r="D3255" s="7">
        <v>501</v>
      </c>
      <c r="E3255" s="3">
        <v>5</v>
      </c>
      <c r="F3255" s="3">
        <v>5</v>
      </c>
      <c r="G3255" t="s">
        <v>514</v>
      </c>
    </row>
    <row r="3256" spans="1:7" x14ac:dyDescent="0.25">
      <c r="A3256" s="1" t="str">
        <f>"523433"</f>
        <v>523433</v>
      </c>
      <c r="B3256" s="2" t="str">
        <f>"BOTINA ELASTICO MICROFIBRA BICO AÇO BRC 35- MARLUVAS CA31801"</f>
        <v>BOTINA ELASTICO MICROFIBRA BICO AÇO BRC 35- MARLUVAS CA31801</v>
      </c>
      <c r="C3256" s="2" t="str">
        <f t="shared" si="131"/>
        <v>UN</v>
      </c>
      <c r="D3256" s="7">
        <v>501</v>
      </c>
      <c r="E3256" s="3">
        <v>5</v>
      </c>
      <c r="F3256" s="3">
        <v>5</v>
      </c>
      <c r="G3256" t="s">
        <v>514</v>
      </c>
    </row>
    <row r="3257" spans="1:7" x14ac:dyDescent="0.25">
      <c r="A3257" s="1" t="str">
        <f>"523434"</f>
        <v>523434</v>
      </c>
      <c r="B3257" s="2" t="str">
        <f>"BOTINA ELASTICO MICROFIBRA BICO AÇO BRC 36- MARLUVAS CA31801"</f>
        <v>BOTINA ELASTICO MICROFIBRA BICO AÇO BRC 36- MARLUVAS CA31801</v>
      </c>
      <c r="C3257" s="2" t="str">
        <f t="shared" si="131"/>
        <v>UN</v>
      </c>
      <c r="D3257" s="7">
        <v>501</v>
      </c>
      <c r="E3257" s="3">
        <v>5</v>
      </c>
      <c r="F3257" s="3">
        <v>5</v>
      </c>
      <c r="G3257" t="s">
        <v>513</v>
      </c>
    </row>
    <row r="3258" spans="1:7" x14ac:dyDescent="0.25">
      <c r="A3258" s="1" t="str">
        <f>"523435"</f>
        <v>523435</v>
      </c>
      <c r="B3258" s="2" t="str">
        <f>"BOTINA ELASTICO MICROFIBRA BICO AÇO BRC 37- MARLUVAS CA31801"</f>
        <v>BOTINA ELASTICO MICROFIBRA BICO AÇO BRC 37- MARLUVAS CA31801</v>
      </c>
      <c r="C3258" s="2" t="str">
        <f t="shared" si="131"/>
        <v>UN</v>
      </c>
      <c r="D3258" s="7">
        <v>501</v>
      </c>
      <c r="E3258" s="3">
        <v>5</v>
      </c>
      <c r="F3258" s="3">
        <v>5</v>
      </c>
      <c r="G3258" t="s">
        <v>513</v>
      </c>
    </row>
    <row r="3259" spans="1:7" x14ac:dyDescent="0.25">
      <c r="A3259" s="1" t="str">
        <f>"523436"</f>
        <v>523436</v>
      </c>
      <c r="B3259" s="2" t="str">
        <f>"BOTINA ELASTICO MICROFIBRA BICO AÇO BRC 38- MARLUVAS CA31801"</f>
        <v>BOTINA ELASTICO MICROFIBRA BICO AÇO BRC 38- MARLUVAS CA31801</v>
      </c>
      <c r="C3259" s="2" t="str">
        <f t="shared" si="131"/>
        <v>UN</v>
      </c>
      <c r="D3259" s="7">
        <v>501</v>
      </c>
      <c r="E3259" s="3">
        <v>5</v>
      </c>
      <c r="F3259" s="3">
        <v>5</v>
      </c>
      <c r="G3259" t="s">
        <v>513</v>
      </c>
    </row>
    <row r="3260" spans="1:7" x14ac:dyDescent="0.25">
      <c r="A3260" s="1" t="str">
        <f>"523437"</f>
        <v>523437</v>
      </c>
      <c r="B3260" s="2" t="str">
        <f>"BOTINA ELASTICO MICROFIBRA BICO AÇO BRC 39- MARLUVAS CA31801"</f>
        <v>BOTINA ELASTICO MICROFIBRA BICO AÇO BRC 39- MARLUVAS CA31801</v>
      </c>
      <c r="C3260" s="2" t="str">
        <f t="shared" si="131"/>
        <v>UN</v>
      </c>
      <c r="D3260" s="7">
        <v>501</v>
      </c>
      <c r="E3260" s="3">
        <v>5</v>
      </c>
      <c r="F3260" s="3">
        <v>5</v>
      </c>
      <c r="G3260" t="s">
        <v>512</v>
      </c>
    </row>
    <row r="3261" spans="1:7" x14ac:dyDescent="0.25">
      <c r="A3261" s="1" t="str">
        <f>"523438"</f>
        <v>523438</v>
      </c>
      <c r="B3261" s="2" t="str">
        <f>"BOTINA ELASTICO MICROFIBRA BICO AÇO BRC 40- MARLUVAS CA31801"</f>
        <v>BOTINA ELASTICO MICROFIBRA BICO AÇO BRC 40- MARLUVAS CA31801</v>
      </c>
      <c r="C3261" s="2" t="str">
        <f t="shared" si="131"/>
        <v>UN</v>
      </c>
      <c r="D3261" s="7">
        <v>501</v>
      </c>
      <c r="E3261" s="3">
        <v>5</v>
      </c>
      <c r="F3261" s="3">
        <v>5</v>
      </c>
      <c r="G3261" t="s">
        <v>513</v>
      </c>
    </row>
    <row r="3262" spans="1:7" x14ac:dyDescent="0.25">
      <c r="A3262" s="1" t="str">
        <f>"523439"</f>
        <v>523439</v>
      </c>
      <c r="B3262" s="2" t="str">
        <f>"BOTINA ELASTICO MICROFIBRA BICO AÇO BRC 41- MARLUVAS CA31801"</f>
        <v>BOTINA ELASTICO MICROFIBRA BICO AÇO BRC 41- MARLUVAS CA31801</v>
      </c>
      <c r="C3262" s="2" t="str">
        <f t="shared" si="131"/>
        <v>UN</v>
      </c>
      <c r="D3262" s="7">
        <v>501</v>
      </c>
      <c r="E3262" s="3">
        <v>5</v>
      </c>
      <c r="F3262" s="3">
        <v>5</v>
      </c>
      <c r="G3262" t="s">
        <v>514</v>
      </c>
    </row>
    <row r="3263" spans="1:7" x14ac:dyDescent="0.25">
      <c r="A3263" s="1" t="str">
        <f>"523440"</f>
        <v>523440</v>
      </c>
      <c r="B3263" s="2" t="str">
        <f>"BOTINA ELASTICO MICROFIBRA BICO AÇO BRC 42- MARLUVAS CA31801"</f>
        <v>BOTINA ELASTICO MICROFIBRA BICO AÇO BRC 42- MARLUVAS CA31801</v>
      </c>
      <c r="C3263" s="2" t="str">
        <f t="shared" si="131"/>
        <v>UN</v>
      </c>
      <c r="D3263" s="7">
        <v>501</v>
      </c>
      <c r="E3263" s="3">
        <v>5</v>
      </c>
      <c r="F3263" s="3">
        <v>5</v>
      </c>
      <c r="G3263" t="s">
        <v>515</v>
      </c>
    </row>
    <row r="3264" spans="1:7" x14ac:dyDescent="0.25">
      <c r="A3264" s="1" t="str">
        <f>"523441"</f>
        <v>523441</v>
      </c>
      <c r="B3264" s="2" t="str">
        <f>"BOTINA ELASTICO MICROFIBRA BICO AÇO BRC 43- MARLUVAS CA31801"</f>
        <v>BOTINA ELASTICO MICROFIBRA BICO AÇO BRC 43- MARLUVAS CA31801</v>
      </c>
      <c r="C3264" s="2" t="str">
        <f t="shared" si="131"/>
        <v>UN</v>
      </c>
      <c r="D3264" s="7">
        <v>501</v>
      </c>
      <c r="E3264" s="3">
        <v>5</v>
      </c>
      <c r="F3264" s="3">
        <v>5</v>
      </c>
      <c r="G3264" t="s">
        <v>512</v>
      </c>
    </row>
    <row r="3265" spans="1:7" x14ac:dyDescent="0.25">
      <c r="A3265" s="1" t="str">
        <f>"523442"</f>
        <v>523442</v>
      </c>
      <c r="B3265" s="2" t="str">
        <f>"BOTINA ELASTICO MICROFIBRA BICO AÇO BRC 44- MARLUVAS CA31801"</f>
        <v>BOTINA ELASTICO MICROFIBRA BICO AÇO BRC 44- MARLUVAS CA31801</v>
      </c>
      <c r="C3265" s="2" t="str">
        <f t="shared" si="131"/>
        <v>UN</v>
      </c>
      <c r="D3265" s="7">
        <v>501</v>
      </c>
      <c r="E3265" s="3">
        <v>5</v>
      </c>
      <c r="F3265" s="3">
        <v>5</v>
      </c>
      <c r="G3265" t="s">
        <v>516</v>
      </c>
    </row>
    <row r="3266" spans="1:7" x14ac:dyDescent="0.25">
      <c r="A3266" s="1" t="str">
        <f>"523443"</f>
        <v>523443</v>
      </c>
      <c r="B3266" s="2" t="str">
        <f>"BOTINA ELASTICO MICROFIBRA BICO AÇO BRC 45- MARLUVAS CA31801"</f>
        <v>BOTINA ELASTICO MICROFIBRA BICO AÇO BRC 45- MARLUVAS CA31801</v>
      </c>
      <c r="C3266" s="2" t="str">
        <f t="shared" si="131"/>
        <v>UN</v>
      </c>
      <c r="D3266" s="7">
        <v>501</v>
      </c>
      <c r="E3266" s="3">
        <v>5</v>
      </c>
      <c r="F3266" s="3">
        <v>5</v>
      </c>
      <c r="G3266" t="s">
        <v>515</v>
      </c>
    </row>
    <row r="3267" spans="1:7" x14ac:dyDescent="0.25">
      <c r="A3267" s="1" t="str">
        <f>"523444"</f>
        <v>523444</v>
      </c>
      <c r="B3267" s="2" t="str">
        <f>"BOTINA ELASTICO MICROFIBRA BICO AÇO BRC 46- MARLUVAS CA31801"</f>
        <v>BOTINA ELASTICO MICROFIBRA BICO AÇO BRC 46- MARLUVAS CA31801</v>
      </c>
      <c r="C3267" s="2" t="str">
        <f t="shared" si="131"/>
        <v>UN</v>
      </c>
      <c r="D3267" s="7">
        <v>501</v>
      </c>
      <c r="E3267" s="3">
        <v>5</v>
      </c>
      <c r="F3267" s="3">
        <v>5</v>
      </c>
      <c r="G3267" t="s">
        <v>514</v>
      </c>
    </row>
    <row r="3268" spans="1:7" x14ac:dyDescent="0.25">
      <c r="A3268" s="1" t="str">
        <f>"523825"</f>
        <v>523825</v>
      </c>
      <c r="B3268" s="2" t="str">
        <f>"BOTINA ELASTICO MICROFIBRA BICO AÇO BRC 46- MARLUVAS CA31801"</f>
        <v>BOTINA ELASTICO MICROFIBRA BICO AÇO BRC 46- MARLUVAS CA31801</v>
      </c>
      <c r="C3268" s="2" t="str">
        <f t="shared" si="131"/>
        <v>UN</v>
      </c>
      <c r="D3268" s="7">
        <v>501</v>
      </c>
      <c r="E3268" s="3">
        <v>5</v>
      </c>
      <c r="F3268" s="3">
        <v>5</v>
      </c>
      <c r="G3268" t="s">
        <v>512</v>
      </c>
    </row>
    <row r="3269" spans="1:7" x14ac:dyDescent="0.25">
      <c r="A3269" s="1" t="str">
        <f>"523755"</f>
        <v>523755</v>
      </c>
      <c r="B3269" s="2" t="str">
        <f>"BOTINA ELASTICO MICROFIBRA BICO AÇO PRT 34- MARLUVAS CA34502"</f>
        <v>BOTINA ELASTICO MICROFIBRA BICO AÇO PRT 34- MARLUVAS CA34502</v>
      </c>
      <c r="C3269" s="2" t="str">
        <f t="shared" si="131"/>
        <v>UN</v>
      </c>
      <c r="D3269" s="7">
        <v>501</v>
      </c>
      <c r="E3269" s="3">
        <v>5</v>
      </c>
      <c r="F3269" s="3">
        <v>5</v>
      </c>
      <c r="G3269" t="s">
        <v>513</v>
      </c>
    </row>
    <row r="3270" spans="1:7" x14ac:dyDescent="0.25">
      <c r="A3270" s="1" t="str">
        <f>"524029"</f>
        <v>524029</v>
      </c>
      <c r="B3270" s="2" t="str">
        <f>"BOTINA ELASTICO MICROFIBRA BICO AÇO PRT 35- MARLUVAS CA34502"</f>
        <v>BOTINA ELASTICO MICROFIBRA BICO AÇO PRT 35- MARLUVAS CA34502</v>
      </c>
      <c r="C3270" s="2" t="str">
        <f t="shared" si="131"/>
        <v>UN</v>
      </c>
      <c r="D3270" s="7">
        <v>501</v>
      </c>
      <c r="E3270" s="3">
        <v>5</v>
      </c>
      <c r="F3270" s="3">
        <v>5</v>
      </c>
      <c r="G3270" t="s">
        <v>514</v>
      </c>
    </row>
    <row r="3271" spans="1:7" x14ac:dyDescent="0.25">
      <c r="A3271" s="1" t="str">
        <f>"524030"</f>
        <v>524030</v>
      </c>
      <c r="B3271" s="2" t="str">
        <f>"BOTINA ELASTICO MICROFIBRA BICO AÇO PRT 36- MARLUVAS CA34502"</f>
        <v>BOTINA ELASTICO MICROFIBRA BICO AÇO PRT 36- MARLUVAS CA34502</v>
      </c>
      <c r="C3271" s="2" t="str">
        <f t="shared" si="131"/>
        <v>UN</v>
      </c>
      <c r="D3271" s="7">
        <v>501</v>
      </c>
      <c r="E3271" s="3">
        <v>5</v>
      </c>
      <c r="F3271" s="3">
        <v>5</v>
      </c>
      <c r="G3271" t="s">
        <v>514</v>
      </c>
    </row>
    <row r="3272" spans="1:7" x14ac:dyDescent="0.25">
      <c r="A3272" s="1" t="str">
        <f>"523079"</f>
        <v>523079</v>
      </c>
      <c r="B3272" s="2" t="str">
        <f>"BOTINA ELASTICO MICROFIBRA BICO AÇO PRT 37- MARLUVAS CA34502"</f>
        <v>BOTINA ELASTICO MICROFIBRA BICO AÇO PRT 37- MARLUVAS CA34502</v>
      </c>
      <c r="C3272" s="2" t="str">
        <f t="shared" si="131"/>
        <v>UN</v>
      </c>
      <c r="D3272" s="7">
        <v>501</v>
      </c>
      <c r="E3272" s="3">
        <v>5</v>
      </c>
      <c r="F3272" s="3">
        <v>5</v>
      </c>
      <c r="G3272" t="s">
        <v>512</v>
      </c>
    </row>
    <row r="3273" spans="1:7" x14ac:dyDescent="0.25">
      <c r="A3273" s="1" t="str">
        <f>"523080"</f>
        <v>523080</v>
      </c>
      <c r="B3273" s="2" t="str">
        <f>"BOTINA ELASTICO MICROFIBRA BICO AÇO PRT 38- MARLUVAS CA34502"</f>
        <v>BOTINA ELASTICO MICROFIBRA BICO AÇO PRT 38- MARLUVAS CA34502</v>
      </c>
      <c r="C3273" s="2" t="str">
        <f t="shared" si="131"/>
        <v>UN</v>
      </c>
      <c r="D3273" s="7">
        <v>501</v>
      </c>
      <c r="E3273" s="3">
        <v>5</v>
      </c>
      <c r="F3273" s="3">
        <v>5</v>
      </c>
      <c r="G3273" t="s">
        <v>513</v>
      </c>
    </row>
    <row r="3274" spans="1:7" x14ac:dyDescent="0.25">
      <c r="A3274" s="1" t="str">
        <f>"523081"</f>
        <v>523081</v>
      </c>
      <c r="B3274" s="2" t="str">
        <f>"BOTINA ELASTICO MICROFIBRA BICO AÇO PRT 39- MARLUVAS CA34502"</f>
        <v>BOTINA ELASTICO MICROFIBRA BICO AÇO PRT 39- MARLUVAS CA34502</v>
      </c>
      <c r="C3274" s="2" t="str">
        <f t="shared" si="131"/>
        <v>UN</v>
      </c>
      <c r="D3274" s="7">
        <v>501</v>
      </c>
      <c r="E3274" s="3">
        <v>5</v>
      </c>
      <c r="F3274" s="3">
        <v>5</v>
      </c>
      <c r="G3274" t="s">
        <v>514</v>
      </c>
    </row>
    <row r="3275" spans="1:7" x14ac:dyDescent="0.25">
      <c r="A3275" s="1" t="str">
        <f>"523082"</f>
        <v>523082</v>
      </c>
      <c r="B3275" s="2" t="str">
        <f>"BOTINA ELASTICO MICROFIBRA BICO AÇO PRT 40- MARLUVAS CA34502"</f>
        <v>BOTINA ELASTICO MICROFIBRA BICO AÇO PRT 40- MARLUVAS CA34502</v>
      </c>
      <c r="C3275" s="2" t="str">
        <f t="shared" si="131"/>
        <v>UN</v>
      </c>
      <c r="D3275" s="7">
        <v>501</v>
      </c>
      <c r="E3275" s="3">
        <v>5</v>
      </c>
      <c r="F3275" s="3">
        <v>5</v>
      </c>
      <c r="G3275" t="s">
        <v>514</v>
      </c>
    </row>
    <row r="3276" spans="1:7" x14ac:dyDescent="0.25">
      <c r="A3276" s="1" t="str">
        <f>"523083"</f>
        <v>523083</v>
      </c>
      <c r="B3276" s="2" t="str">
        <f>"BOTINA ELASTICO MICROFIBRA BICO AÇO PRT 41- MARLUVAS CA34502"</f>
        <v>BOTINA ELASTICO MICROFIBRA BICO AÇO PRT 41- MARLUVAS CA34502</v>
      </c>
      <c r="C3276" s="2" t="str">
        <f t="shared" si="131"/>
        <v>UN</v>
      </c>
      <c r="D3276" s="7">
        <v>501</v>
      </c>
      <c r="E3276" s="3">
        <v>5</v>
      </c>
      <c r="F3276" s="3">
        <v>5</v>
      </c>
      <c r="G3276" t="s">
        <v>514</v>
      </c>
    </row>
    <row r="3277" spans="1:7" x14ac:dyDescent="0.25">
      <c r="A3277" s="1" t="str">
        <f>"523084"</f>
        <v>523084</v>
      </c>
      <c r="B3277" s="2" t="str">
        <f>"BOTINA ELASTICO MICROFIBRA BICO AÇO PRT 42- MARLUVAS CA34502"</f>
        <v>BOTINA ELASTICO MICROFIBRA BICO AÇO PRT 42- MARLUVAS CA34502</v>
      </c>
      <c r="C3277" s="2" t="str">
        <f t="shared" si="131"/>
        <v>UN</v>
      </c>
      <c r="D3277" s="7">
        <v>501</v>
      </c>
      <c r="E3277" s="3">
        <v>5</v>
      </c>
      <c r="F3277" s="3">
        <v>5</v>
      </c>
      <c r="G3277" t="s">
        <v>513</v>
      </c>
    </row>
    <row r="3278" spans="1:7" x14ac:dyDescent="0.25">
      <c r="A3278" s="1" t="str">
        <f>"523085"</f>
        <v>523085</v>
      </c>
      <c r="B3278" s="2" t="str">
        <f>"BOTINA ELASTICO MICROFIBRA BICO AÇO PRT 43- MARLUVAS CA34502"</f>
        <v>BOTINA ELASTICO MICROFIBRA BICO AÇO PRT 43- MARLUVAS CA34502</v>
      </c>
      <c r="C3278" s="2" t="str">
        <f t="shared" si="131"/>
        <v>UN</v>
      </c>
      <c r="D3278" s="7">
        <v>501</v>
      </c>
      <c r="E3278" s="3">
        <v>5</v>
      </c>
      <c r="F3278" s="3">
        <v>5</v>
      </c>
      <c r="G3278" t="s">
        <v>512</v>
      </c>
    </row>
    <row r="3279" spans="1:7" x14ac:dyDescent="0.25">
      <c r="A3279" s="1" t="str">
        <f>"523086"</f>
        <v>523086</v>
      </c>
      <c r="B3279" s="2" t="str">
        <f>"BOTINA ELASTICO MICROFIBRA BICO AÇO PRT 44- MARLUVAS CA34502"</f>
        <v>BOTINA ELASTICO MICROFIBRA BICO AÇO PRT 44- MARLUVAS CA34502</v>
      </c>
      <c r="C3279" s="2" t="str">
        <f t="shared" si="131"/>
        <v>UN</v>
      </c>
      <c r="D3279" s="7">
        <v>501</v>
      </c>
      <c r="E3279" s="3">
        <v>5</v>
      </c>
      <c r="F3279" s="3">
        <v>5</v>
      </c>
      <c r="G3279" t="s">
        <v>513</v>
      </c>
    </row>
    <row r="3280" spans="1:7" x14ac:dyDescent="0.25">
      <c r="A3280" s="1" t="str">
        <f>"523087"</f>
        <v>523087</v>
      </c>
      <c r="B3280" s="2" t="str">
        <f>"BOTINA ELASTICO MICROFIBRA BICO AÇO PRT 45- MARLUVAS CA34502"</f>
        <v>BOTINA ELASTICO MICROFIBRA BICO AÇO PRT 45- MARLUVAS CA34502</v>
      </c>
      <c r="C3280" s="2" t="str">
        <f t="shared" si="131"/>
        <v>UN</v>
      </c>
      <c r="D3280" s="7">
        <v>501</v>
      </c>
      <c r="E3280" s="3">
        <v>5</v>
      </c>
      <c r="F3280" s="3">
        <v>5</v>
      </c>
      <c r="G3280" t="s">
        <v>514</v>
      </c>
    </row>
    <row r="3281" spans="1:7" x14ac:dyDescent="0.25">
      <c r="A3281" s="1" t="str">
        <f>"523088"</f>
        <v>523088</v>
      </c>
      <c r="B3281" s="2" t="str">
        <f>"BOTINA ELASTICO MICROFIBRA BICO AÇO PRT 46- MARLUVAS CA34502"</f>
        <v>BOTINA ELASTICO MICROFIBRA BICO AÇO PRT 46- MARLUVAS CA34502</v>
      </c>
      <c r="C3281" s="2" t="str">
        <f t="shared" si="131"/>
        <v>UN</v>
      </c>
      <c r="D3281" s="7">
        <v>501</v>
      </c>
      <c r="E3281" s="3">
        <v>5</v>
      </c>
      <c r="F3281" s="3">
        <v>5</v>
      </c>
      <c r="G3281" t="s">
        <v>514</v>
      </c>
    </row>
    <row r="3282" spans="1:7" x14ac:dyDescent="0.25">
      <c r="A3282" s="1" t="str">
        <f>"526304"</f>
        <v>526304</v>
      </c>
      <c r="B3282" s="2" t="str">
        <f>"BOTINA ELASTICO MICROFIBRA COMPOSITE BRC 40 BRACOL CA-30539"</f>
        <v>BOTINA ELASTICO MICROFIBRA COMPOSITE BRC 40 BRACOL CA-30539</v>
      </c>
      <c r="C3282" s="2" t="str">
        <f t="shared" si="131"/>
        <v>UN</v>
      </c>
      <c r="D3282" s="7">
        <v>501</v>
      </c>
      <c r="E3282" s="3">
        <v>5</v>
      </c>
      <c r="F3282" s="3">
        <v>5</v>
      </c>
      <c r="G3282" t="s">
        <v>514</v>
      </c>
    </row>
    <row r="3283" spans="1:7" x14ac:dyDescent="0.25">
      <c r="A3283" s="1" t="str">
        <f>"526305"</f>
        <v>526305</v>
      </c>
      <c r="B3283" s="2" t="str">
        <f>"BOTINA ELASTICO MICROFIBRA COMPOSITE BRC 41 BRACOL CA-30539"</f>
        <v>BOTINA ELASTICO MICROFIBRA COMPOSITE BRC 41 BRACOL CA-30539</v>
      </c>
      <c r="C3283" s="2" t="str">
        <f t="shared" si="131"/>
        <v>UN</v>
      </c>
      <c r="D3283" s="7">
        <v>501</v>
      </c>
      <c r="E3283" s="3">
        <v>5</v>
      </c>
      <c r="F3283" s="3">
        <v>5</v>
      </c>
      <c r="G3283" t="s">
        <v>513</v>
      </c>
    </row>
    <row r="3284" spans="1:7" x14ac:dyDescent="0.25">
      <c r="A3284" s="1" t="str">
        <f>"526306"</f>
        <v>526306</v>
      </c>
      <c r="B3284" s="2" t="str">
        <f>"BOTINA ELASTICO MICROFIBRA COMPOSITE BRC 42 BRACOL CA-30539"</f>
        <v>BOTINA ELASTICO MICROFIBRA COMPOSITE BRC 42 BRACOL CA-30539</v>
      </c>
      <c r="C3284" s="2" t="str">
        <f t="shared" si="131"/>
        <v>UN</v>
      </c>
      <c r="D3284" s="7">
        <v>501</v>
      </c>
      <c r="E3284" s="3">
        <v>5</v>
      </c>
      <c r="F3284" s="3">
        <v>5</v>
      </c>
      <c r="G3284" t="s">
        <v>513</v>
      </c>
    </row>
    <row r="3285" spans="1:7" x14ac:dyDescent="0.25">
      <c r="A3285" s="1" t="str">
        <f>"526307"</f>
        <v>526307</v>
      </c>
      <c r="B3285" s="2" t="str">
        <f>"BOTINA ELASTICO MICROFIBRA COMPOSITE BRC 43 BRACOL CA-30539"</f>
        <v>BOTINA ELASTICO MICROFIBRA COMPOSITE BRC 43 BRACOL CA-30539</v>
      </c>
      <c r="C3285" s="2" t="str">
        <f t="shared" ref="C3285:C3294" si="132">"UN"</f>
        <v>UN</v>
      </c>
      <c r="D3285" s="7">
        <v>501</v>
      </c>
      <c r="E3285" s="3">
        <v>5</v>
      </c>
      <c r="F3285" s="3">
        <v>5</v>
      </c>
      <c r="G3285" t="s">
        <v>513</v>
      </c>
    </row>
    <row r="3286" spans="1:7" x14ac:dyDescent="0.25">
      <c r="A3286" s="1" t="str">
        <f>"526308"</f>
        <v>526308</v>
      </c>
      <c r="B3286" s="2" t="str">
        <f>"BOTINA ELASTICO MICROFIBRA COMPOSITE BRC 44 BRACOL CA-30539"</f>
        <v>BOTINA ELASTICO MICROFIBRA COMPOSITE BRC 44 BRACOL CA-30539</v>
      </c>
      <c r="C3286" s="2" t="str">
        <f t="shared" si="132"/>
        <v>UN</v>
      </c>
      <c r="D3286" s="7">
        <v>501</v>
      </c>
      <c r="E3286" s="3">
        <v>5</v>
      </c>
      <c r="F3286" s="3">
        <v>5</v>
      </c>
      <c r="G3286" t="s">
        <v>512</v>
      </c>
    </row>
    <row r="3287" spans="1:7" x14ac:dyDescent="0.25">
      <c r="A3287" s="1" t="str">
        <f>"519206"</f>
        <v>519206</v>
      </c>
      <c r="B3287" s="2" t="str">
        <f>"BOTINA ESTRADA CAD 3G PU BI B/PP 39"</f>
        <v>BOTINA ESTRADA CAD 3G PU BI B/PP 39</v>
      </c>
      <c r="C3287" s="2" t="str">
        <f t="shared" si="132"/>
        <v>UN</v>
      </c>
      <c r="D3287" s="7">
        <v>500</v>
      </c>
      <c r="E3287" s="3">
        <v>5</v>
      </c>
      <c r="F3287" s="3">
        <v>5</v>
      </c>
      <c r="G3287" t="s">
        <v>513</v>
      </c>
    </row>
    <row r="3288" spans="1:7" x14ac:dyDescent="0.25">
      <c r="A3288" s="1" t="str">
        <f>"527338"</f>
        <v>527338</v>
      </c>
      <c r="B3288" s="2" t="str">
        <f>"BOTINA MICROFIBRA COMP. PRETA 40 MARLUVAS 70B19 C CA-34554"</f>
        <v>BOTINA MICROFIBRA COMP. PRETA 40 MARLUVAS 70B19 C CA-34554</v>
      </c>
      <c r="C3288" s="2" t="str">
        <f t="shared" si="132"/>
        <v>UN</v>
      </c>
      <c r="D3288" s="7">
        <v>501</v>
      </c>
      <c r="E3288" s="3">
        <v>5</v>
      </c>
      <c r="F3288" s="3">
        <v>5</v>
      </c>
      <c r="G3288" t="s">
        <v>514</v>
      </c>
    </row>
    <row r="3289" spans="1:7" x14ac:dyDescent="0.25">
      <c r="A3289" s="1" t="str">
        <f>"527339"</f>
        <v>527339</v>
      </c>
      <c r="B3289" s="2" t="str">
        <f>"BOTINA MICROFIBRA COMP. PRETA 41 MARLUVAS 70B19 C CA-34554"</f>
        <v>BOTINA MICROFIBRA COMP. PRETA 41 MARLUVAS 70B19 C CA-34554</v>
      </c>
      <c r="C3289" s="2" t="str">
        <f t="shared" si="132"/>
        <v>UN</v>
      </c>
      <c r="D3289" s="7">
        <v>501</v>
      </c>
      <c r="E3289" s="3">
        <v>5</v>
      </c>
      <c r="F3289" s="3">
        <v>5</v>
      </c>
      <c r="G3289" t="s">
        <v>515</v>
      </c>
    </row>
    <row r="3290" spans="1:7" x14ac:dyDescent="0.25">
      <c r="A3290" s="1" t="str">
        <f>"527340"</f>
        <v>527340</v>
      </c>
      <c r="B3290" s="2" t="str">
        <f>"BOTINA MICROFIBRA COMP. PRETA 42 MARLUVAS 70B19 C CA-34554"</f>
        <v>BOTINA MICROFIBRA COMP. PRETA 42 MARLUVAS 70B19 C CA-34554</v>
      </c>
      <c r="C3290" s="2" t="str">
        <f t="shared" si="132"/>
        <v>UN</v>
      </c>
      <c r="D3290" s="7">
        <v>501</v>
      </c>
      <c r="E3290" s="3">
        <v>5</v>
      </c>
      <c r="F3290" s="3">
        <v>5</v>
      </c>
      <c r="G3290" t="s">
        <v>512</v>
      </c>
    </row>
    <row r="3291" spans="1:7" x14ac:dyDescent="0.25">
      <c r="A3291" s="1" t="str">
        <f>"527341"</f>
        <v>527341</v>
      </c>
      <c r="B3291" s="2" t="str">
        <f>"BOTINA MICROFIBRA COMP. PRETA 43 MARLUVAS 70B19 C CA-34554"</f>
        <v>BOTINA MICROFIBRA COMP. PRETA 43 MARLUVAS 70B19 C CA-34554</v>
      </c>
      <c r="C3291" s="2" t="str">
        <f t="shared" si="132"/>
        <v>UN</v>
      </c>
      <c r="D3291" s="7">
        <v>501</v>
      </c>
      <c r="E3291" s="3">
        <v>5</v>
      </c>
      <c r="F3291" s="3">
        <v>5</v>
      </c>
      <c r="G3291" t="s">
        <v>516</v>
      </c>
    </row>
    <row r="3292" spans="1:7" x14ac:dyDescent="0.25">
      <c r="A3292" s="1" t="str">
        <f>"527342"</f>
        <v>527342</v>
      </c>
      <c r="B3292" s="2" t="str">
        <f>"BOTINA MICROFIBRA COMP. PRETA 44 MARLUVAS 70B19 C CA-34554"</f>
        <v>BOTINA MICROFIBRA COMP. PRETA 44 MARLUVAS 70B19 C CA-34554</v>
      </c>
      <c r="C3292" s="2" t="str">
        <f t="shared" si="132"/>
        <v>UN</v>
      </c>
      <c r="D3292" s="7">
        <v>501</v>
      </c>
      <c r="E3292" s="3">
        <v>5</v>
      </c>
      <c r="F3292" s="3">
        <v>5</v>
      </c>
      <c r="G3292" t="s">
        <v>515</v>
      </c>
    </row>
    <row r="3293" spans="1:7" x14ac:dyDescent="0.25">
      <c r="A3293" s="1" t="str">
        <f>"513847"</f>
        <v>513847</v>
      </c>
      <c r="B3293" s="2" t="str">
        <f>"BOTINA VAQ BID ELET BICO DE PVC 32201 45"</f>
        <v>BOTINA VAQ BID ELET BICO DE PVC 32201 45</v>
      </c>
      <c r="C3293" s="2" t="str">
        <f t="shared" si="132"/>
        <v>UN</v>
      </c>
      <c r="D3293" s="7">
        <v>500</v>
      </c>
      <c r="E3293" s="3">
        <v>5</v>
      </c>
      <c r="F3293" s="3">
        <v>5</v>
      </c>
      <c r="G3293" t="s">
        <v>514</v>
      </c>
    </row>
    <row r="3294" spans="1:7" x14ac:dyDescent="0.25">
      <c r="A3294" s="1" t="str">
        <f>"513848"</f>
        <v>513848</v>
      </c>
      <c r="B3294" s="2" t="str">
        <f>"BOTINA VAQ BID ELET BICO DE PVC 32201 46"</f>
        <v>BOTINA VAQ BID ELET BICO DE PVC 32201 46</v>
      </c>
      <c r="C3294" s="2" t="str">
        <f t="shared" si="132"/>
        <v>UN</v>
      </c>
      <c r="D3294" s="7">
        <v>500</v>
      </c>
      <c r="E3294" s="3">
        <v>5</v>
      </c>
      <c r="F3294" s="3">
        <v>5</v>
      </c>
      <c r="G3294" t="s">
        <v>512</v>
      </c>
    </row>
    <row r="3295" spans="1:7" x14ac:dyDescent="0.25">
      <c r="A3295" s="1" t="str">
        <f>"6118"</f>
        <v>6118</v>
      </c>
      <c r="B3295" s="2" t="str">
        <f>"BOTINA VAQ BID ELET BICO PVC 32001 44"</f>
        <v>BOTINA VAQ BID ELET BICO PVC 32001 44</v>
      </c>
      <c r="C3295" s="2" t="str">
        <f>"PR"</f>
        <v>PR</v>
      </c>
      <c r="D3295" s="7">
        <v>501</v>
      </c>
      <c r="E3295" s="3">
        <v>5</v>
      </c>
      <c r="F3295" s="3">
        <v>5</v>
      </c>
      <c r="G3295" t="s">
        <v>513</v>
      </c>
    </row>
    <row r="3296" spans="1:7" x14ac:dyDescent="0.25">
      <c r="A3296" s="1" t="str">
        <f>"519205"</f>
        <v>519205</v>
      </c>
      <c r="B3296" s="2" t="str">
        <f>"BOTINA VAQ BID ELET BICO PVC 32201 34"</f>
        <v>BOTINA VAQ BID ELET BICO PVC 32201 34</v>
      </c>
      <c r="C3296" s="2" t="str">
        <f t="shared" ref="C3296:C3327" si="133">"UN"</f>
        <v>UN</v>
      </c>
      <c r="D3296" s="7">
        <v>500</v>
      </c>
      <c r="E3296" s="3">
        <v>5</v>
      </c>
      <c r="F3296" s="3">
        <v>5</v>
      </c>
      <c r="G3296" t="s">
        <v>514</v>
      </c>
    </row>
    <row r="3297" spans="1:7" x14ac:dyDescent="0.25">
      <c r="A3297" s="1" t="str">
        <f>"513846"</f>
        <v>513846</v>
      </c>
      <c r="B3297" s="2" t="str">
        <f>"BOTINA VAQ BID ELET BICO PVC 32201 36"</f>
        <v>BOTINA VAQ BID ELET BICO PVC 32201 36</v>
      </c>
      <c r="C3297" s="2" t="str">
        <f t="shared" si="133"/>
        <v>UN</v>
      </c>
      <c r="D3297" s="7">
        <v>500</v>
      </c>
      <c r="E3297" s="3">
        <v>5</v>
      </c>
      <c r="F3297" s="3">
        <v>5</v>
      </c>
      <c r="G3297" t="s">
        <v>514</v>
      </c>
    </row>
    <row r="3298" spans="1:7" x14ac:dyDescent="0.25">
      <c r="A3298" s="1" t="str">
        <f>"6107"</f>
        <v>6107</v>
      </c>
      <c r="B3298" s="2" t="str">
        <f>"BOTINA VAQ BID ELET BICO PVC 32201 37"</f>
        <v>BOTINA VAQ BID ELET BICO PVC 32201 37</v>
      </c>
      <c r="C3298" s="2" t="str">
        <f t="shared" si="133"/>
        <v>UN</v>
      </c>
      <c r="D3298" s="7">
        <v>501</v>
      </c>
      <c r="E3298" s="3">
        <v>5</v>
      </c>
      <c r="F3298" s="3">
        <v>5</v>
      </c>
      <c r="G3298" t="s">
        <v>512</v>
      </c>
    </row>
    <row r="3299" spans="1:7" x14ac:dyDescent="0.25">
      <c r="A3299" s="1" t="str">
        <f>"6285"</f>
        <v>6285</v>
      </c>
      <c r="B3299" s="2" t="str">
        <f>"BOTINA VAQ BID ELET BICO PVC 32201 38"</f>
        <v>BOTINA VAQ BID ELET BICO PVC 32201 38</v>
      </c>
      <c r="C3299" s="2" t="str">
        <f t="shared" si="133"/>
        <v>UN</v>
      </c>
      <c r="D3299" s="7">
        <v>501</v>
      </c>
      <c r="E3299" s="3">
        <v>5</v>
      </c>
      <c r="F3299" s="3">
        <v>5</v>
      </c>
      <c r="G3299" t="s">
        <v>513</v>
      </c>
    </row>
    <row r="3300" spans="1:7" x14ac:dyDescent="0.25">
      <c r="A3300" s="1" t="str">
        <f>"6106"</f>
        <v>6106</v>
      </c>
      <c r="B3300" s="2" t="str">
        <f>"BOTINA VAQ BID ELET BICO PVC 32201 39"</f>
        <v>BOTINA VAQ BID ELET BICO PVC 32201 39</v>
      </c>
      <c r="C3300" s="2" t="str">
        <f t="shared" si="133"/>
        <v>UN</v>
      </c>
      <c r="D3300" s="7">
        <v>501</v>
      </c>
      <c r="E3300" s="3">
        <v>5</v>
      </c>
      <c r="F3300" s="3">
        <v>5</v>
      </c>
      <c r="G3300" t="s">
        <v>514</v>
      </c>
    </row>
    <row r="3301" spans="1:7" x14ac:dyDescent="0.25">
      <c r="A3301" s="1" t="str">
        <f>"6105"</f>
        <v>6105</v>
      </c>
      <c r="B3301" s="2" t="str">
        <f>"BOTINA VAQ BID ELET BICO PVC 32201 40"</f>
        <v>BOTINA VAQ BID ELET BICO PVC 32201 40</v>
      </c>
      <c r="C3301" s="2" t="str">
        <f t="shared" si="133"/>
        <v>UN</v>
      </c>
      <c r="D3301" s="7">
        <v>501</v>
      </c>
      <c r="E3301" s="3">
        <v>5</v>
      </c>
      <c r="F3301" s="3">
        <v>5</v>
      </c>
      <c r="G3301" t="s">
        <v>514</v>
      </c>
    </row>
    <row r="3302" spans="1:7" x14ac:dyDescent="0.25">
      <c r="A3302" s="1" t="str">
        <f>"6104"</f>
        <v>6104</v>
      </c>
      <c r="B3302" s="2" t="str">
        <f>"BOTINA VAQ BID ELET BICO PVC 32201 41"</f>
        <v>BOTINA VAQ BID ELET BICO PVC 32201 41</v>
      </c>
      <c r="C3302" s="2" t="str">
        <f t="shared" si="133"/>
        <v>UN</v>
      </c>
      <c r="D3302" s="7">
        <v>501</v>
      </c>
      <c r="E3302" s="3">
        <v>5</v>
      </c>
      <c r="F3302" s="3">
        <v>5</v>
      </c>
      <c r="G3302" t="s">
        <v>514</v>
      </c>
    </row>
    <row r="3303" spans="1:7" x14ac:dyDescent="0.25">
      <c r="A3303" s="1" t="str">
        <f>"6103"</f>
        <v>6103</v>
      </c>
      <c r="B3303" s="2" t="str">
        <f>"BOTINA VAQ BID ELET BICO PVC 32201 42"</f>
        <v>BOTINA VAQ BID ELET BICO PVC 32201 42</v>
      </c>
      <c r="C3303" s="2" t="str">
        <f t="shared" si="133"/>
        <v>UN</v>
      </c>
      <c r="D3303" s="7">
        <v>501</v>
      </c>
      <c r="E3303" s="3">
        <v>5</v>
      </c>
      <c r="F3303" s="3">
        <v>5</v>
      </c>
      <c r="G3303" t="s">
        <v>513</v>
      </c>
    </row>
    <row r="3304" spans="1:7" x14ac:dyDescent="0.25">
      <c r="A3304" s="1" t="str">
        <f>"6255"</f>
        <v>6255</v>
      </c>
      <c r="B3304" s="2" t="str">
        <f>"BOTINA VAQ BID ELET BICO PVC 32201 43"</f>
        <v>BOTINA VAQ BID ELET BICO PVC 32201 43</v>
      </c>
      <c r="C3304" s="2" t="str">
        <f t="shared" si="133"/>
        <v>UN</v>
      </c>
      <c r="D3304" s="7">
        <v>501</v>
      </c>
      <c r="E3304" s="3">
        <v>5</v>
      </c>
      <c r="F3304" s="3">
        <v>5</v>
      </c>
      <c r="G3304" t="s">
        <v>512</v>
      </c>
    </row>
    <row r="3305" spans="1:7" x14ac:dyDescent="0.25">
      <c r="A3305" s="1" t="str">
        <f>"6272"</f>
        <v>6272</v>
      </c>
      <c r="B3305" s="2" t="str">
        <f>"BOTINA VAQ BID ELET BICO PVC 32201 44"</f>
        <v>BOTINA VAQ BID ELET BICO PVC 32201 44</v>
      </c>
      <c r="C3305" s="2" t="str">
        <f t="shared" si="133"/>
        <v>UN</v>
      </c>
      <c r="D3305" s="7">
        <v>501</v>
      </c>
      <c r="E3305" s="3">
        <v>5</v>
      </c>
      <c r="F3305" s="3">
        <v>5</v>
      </c>
      <c r="G3305" t="s">
        <v>513</v>
      </c>
    </row>
    <row r="3306" spans="1:7" x14ac:dyDescent="0.25">
      <c r="A3306" s="1" t="str">
        <f>"512952"</f>
        <v>512952</v>
      </c>
      <c r="B3306" s="2" t="str">
        <f>"BOTINA VAQ BID ELET BICO PVC 40 (STROBEL MANUTENÇÃO)"</f>
        <v>BOTINA VAQ BID ELET BICO PVC 40 (STROBEL MANUTENÇÃO)</v>
      </c>
      <c r="C3306" s="2" t="str">
        <f t="shared" si="133"/>
        <v>UN</v>
      </c>
      <c r="D3306" s="7">
        <v>501</v>
      </c>
      <c r="E3306" s="3">
        <v>5</v>
      </c>
      <c r="F3306" s="3">
        <v>5</v>
      </c>
      <c r="G3306" t="s">
        <v>514</v>
      </c>
    </row>
    <row r="3307" spans="1:7" x14ac:dyDescent="0.25">
      <c r="A3307" s="1" t="str">
        <f>"512953"</f>
        <v>512953</v>
      </c>
      <c r="B3307" s="2" t="str">
        <f>"BOTINA VAQ BID ELET BICO PVC 41 (STROBEL MANUTENÇÃO)"</f>
        <v>BOTINA VAQ BID ELET BICO PVC 41 (STROBEL MANUTENÇÃO)</v>
      </c>
      <c r="C3307" s="2" t="str">
        <f t="shared" si="133"/>
        <v>UN</v>
      </c>
      <c r="D3307" s="7">
        <v>501</v>
      </c>
      <c r="E3307" s="3">
        <v>5</v>
      </c>
      <c r="F3307" s="3">
        <v>5</v>
      </c>
      <c r="G3307" t="s">
        <v>514</v>
      </c>
    </row>
    <row r="3308" spans="1:7" x14ac:dyDescent="0.25">
      <c r="A3308" s="1" t="str">
        <f>"512954"</f>
        <v>512954</v>
      </c>
      <c r="B3308" s="2" t="str">
        <f>"BOTINA VAQ BID ELET BICO PVC 42 (STROBEL MANUTENÇÃO)"</f>
        <v>BOTINA VAQ BID ELET BICO PVC 42 (STROBEL MANUTENÇÃO)</v>
      </c>
      <c r="C3308" s="2" t="str">
        <f t="shared" si="133"/>
        <v>UN</v>
      </c>
      <c r="D3308" s="7">
        <v>501</v>
      </c>
      <c r="E3308" s="3">
        <v>5</v>
      </c>
      <c r="F3308" s="3">
        <v>5</v>
      </c>
      <c r="G3308" t="s">
        <v>514</v>
      </c>
    </row>
    <row r="3309" spans="1:7" x14ac:dyDescent="0.25">
      <c r="A3309" s="1" t="str">
        <f>"512955"</f>
        <v>512955</v>
      </c>
      <c r="B3309" s="2" t="str">
        <f>"BOTINA VAQ BID ELET BICO PVC 43 (STROBEL MANUTENÇÃO)"</f>
        <v>BOTINA VAQ BID ELET BICO PVC 43 (STROBEL MANUTENÇÃO)</v>
      </c>
      <c r="C3309" s="2" t="str">
        <f t="shared" si="133"/>
        <v>UN</v>
      </c>
      <c r="D3309" s="7">
        <v>501</v>
      </c>
      <c r="E3309" s="3">
        <v>5</v>
      </c>
      <c r="F3309" s="3">
        <v>5</v>
      </c>
      <c r="G3309" t="s">
        <v>513</v>
      </c>
    </row>
    <row r="3310" spans="1:7" x14ac:dyDescent="0.25">
      <c r="A3310" s="1" t="str">
        <f>"512956"</f>
        <v>512956</v>
      </c>
      <c r="B3310" s="2" t="str">
        <f>"BOTINA VAQ BID ELET BICO PVC 44 (STROBEL MANUTENÇÃO)"</f>
        <v>BOTINA VAQ BID ELET BICO PVC 44 (STROBEL MANUTENÇÃO)</v>
      </c>
      <c r="C3310" s="2" t="str">
        <f t="shared" si="133"/>
        <v>UN</v>
      </c>
      <c r="D3310" s="7">
        <v>501</v>
      </c>
      <c r="E3310" s="3">
        <v>5</v>
      </c>
      <c r="F3310" s="3">
        <v>5</v>
      </c>
      <c r="G3310" t="s">
        <v>513</v>
      </c>
    </row>
    <row r="3311" spans="1:7" x14ac:dyDescent="0.25">
      <c r="A3311" s="1" t="str">
        <f>"514452"</f>
        <v>514452</v>
      </c>
      <c r="B3311" s="2" t="str">
        <f>"BOTINA VAQ BRANCA ELAS BICO AÇO 35"</f>
        <v>BOTINA VAQ BRANCA ELAS BICO AÇO 35</v>
      </c>
      <c r="C3311" s="2" t="str">
        <f t="shared" si="133"/>
        <v>UN</v>
      </c>
      <c r="D3311" s="7">
        <v>501</v>
      </c>
      <c r="E3311" s="3">
        <v>5</v>
      </c>
      <c r="F3311" s="3">
        <v>5</v>
      </c>
      <c r="G3311" t="s">
        <v>513</v>
      </c>
    </row>
    <row r="3312" spans="1:7" x14ac:dyDescent="0.25">
      <c r="A3312" s="1" t="str">
        <f>"514453"</f>
        <v>514453</v>
      </c>
      <c r="B3312" s="2" t="str">
        <f>"BOTINA VAQ BRANCA ELAS BICO AÇO 36"</f>
        <v>BOTINA VAQ BRANCA ELAS BICO AÇO 36</v>
      </c>
      <c r="C3312" s="2" t="str">
        <f t="shared" si="133"/>
        <v>UN</v>
      </c>
      <c r="D3312" s="7">
        <v>501</v>
      </c>
      <c r="E3312" s="3">
        <v>5</v>
      </c>
      <c r="F3312" s="3">
        <v>5</v>
      </c>
      <c r="G3312" t="s">
        <v>512</v>
      </c>
    </row>
    <row r="3313" spans="1:7" x14ac:dyDescent="0.25">
      <c r="A3313" s="1" t="str">
        <f>"6599"</f>
        <v>6599</v>
      </c>
      <c r="B3313" s="2" t="str">
        <f>"BOTINA VAQ BRANCA ELAS BICO AÇO 37"</f>
        <v>BOTINA VAQ BRANCA ELAS BICO AÇO 37</v>
      </c>
      <c r="C3313" s="2" t="str">
        <f t="shared" si="133"/>
        <v>UN</v>
      </c>
      <c r="D3313" s="7">
        <v>501</v>
      </c>
      <c r="E3313" s="3">
        <v>5</v>
      </c>
      <c r="F3313" s="3">
        <v>5</v>
      </c>
      <c r="G3313" t="s">
        <v>513</v>
      </c>
    </row>
    <row r="3314" spans="1:7" x14ac:dyDescent="0.25">
      <c r="A3314" s="1" t="str">
        <f>"6598"</f>
        <v>6598</v>
      </c>
      <c r="B3314" s="2" t="str">
        <f>"BOTINA VAQ BRANCA ELAS BICO AÇO 38"</f>
        <v>BOTINA VAQ BRANCA ELAS BICO AÇO 38</v>
      </c>
      <c r="C3314" s="2" t="str">
        <f t="shared" si="133"/>
        <v>UN</v>
      </c>
      <c r="D3314" s="7">
        <v>501</v>
      </c>
      <c r="E3314" s="3">
        <v>5</v>
      </c>
      <c r="F3314" s="3">
        <v>5</v>
      </c>
      <c r="G3314" t="s">
        <v>514</v>
      </c>
    </row>
    <row r="3315" spans="1:7" x14ac:dyDescent="0.25">
      <c r="A3315" s="1" t="str">
        <f>"6395"</f>
        <v>6395</v>
      </c>
      <c r="B3315" s="2" t="str">
        <f>"BOTINA VAQ BRANCA ELAS BICO AÇO 39"</f>
        <v>BOTINA VAQ BRANCA ELAS BICO AÇO 39</v>
      </c>
      <c r="C3315" s="2" t="str">
        <f t="shared" si="133"/>
        <v>UN</v>
      </c>
      <c r="D3315" s="7">
        <v>501</v>
      </c>
      <c r="E3315" s="3">
        <v>5</v>
      </c>
      <c r="F3315" s="3">
        <v>5</v>
      </c>
      <c r="G3315" t="s">
        <v>515</v>
      </c>
    </row>
    <row r="3316" spans="1:7" x14ac:dyDescent="0.25">
      <c r="A3316" s="1" t="str">
        <f>"6396"</f>
        <v>6396</v>
      </c>
      <c r="B3316" s="2" t="str">
        <f>"BOTINA VAQ BRANCA ELAS BICO AÇO 40"</f>
        <v>BOTINA VAQ BRANCA ELAS BICO AÇO 40</v>
      </c>
      <c r="C3316" s="2" t="str">
        <f t="shared" si="133"/>
        <v>UN</v>
      </c>
      <c r="D3316" s="7">
        <v>501</v>
      </c>
      <c r="E3316" s="3">
        <v>5</v>
      </c>
      <c r="F3316" s="3">
        <v>5</v>
      </c>
      <c r="G3316" t="s">
        <v>512</v>
      </c>
    </row>
    <row r="3317" spans="1:7" x14ac:dyDescent="0.25">
      <c r="A3317" s="1" t="str">
        <f>"6397"</f>
        <v>6397</v>
      </c>
      <c r="B3317" s="2" t="str">
        <f>"BOTINA VAQ BRANCA ELAS BICO AÇO 41"</f>
        <v>BOTINA VAQ BRANCA ELAS BICO AÇO 41</v>
      </c>
      <c r="C3317" s="2" t="str">
        <f t="shared" si="133"/>
        <v>UN</v>
      </c>
      <c r="D3317" s="7">
        <v>501</v>
      </c>
      <c r="E3317" s="3">
        <v>5</v>
      </c>
      <c r="F3317" s="3">
        <v>5</v>
      </c>
      <c r="G3317" t="s">
        <v>516</v>
      </c>
    </row>
    <row r="3318" spans="1:7" x14ac:dyDescent="0.25">
      <c r="A3318" s="1" t="str">
        <f>"6398"</f>
        <v>6398</v>
      </c>
      <c r="B3318" s="2" t="str">
        <f>"BOTINA VAQ BRANCA ELAS BICO AÇO 42"</f>
        <v>BOTINA VAQ BRANCA ELAS BICO AÇO 42</v>
      </c>
      <c r="C3318" s="2" t="str">
        <f t="shared" si="133"/>
        <v>UN</v>
      </c>
      <c r="D3318" s="7">
        <v>501</v>
      </c>
      <c r="E3318" s="3">
        <v>5</v>
      </c>
      <c r="F3318" s="3">
        <v>5</v>
      </c>
      <c r="G3318" t="s">
        <v>515</v>
      </c>
    </row>
    <row r="3319" spans="1:7" x14ac:dyDescent="0.25">
      <c r="A3319" s="1" t="str">
        <f>"6399"</f>
        <v>6399</v>
      </c>
      <c r="B3319" s="2" t="str">
        <f>"BOTINA VAQ BRANCA ELAS BICO AÇO 43"</f>
        <v>BOTINA VAQ BRANCA ELAS BICO AÇO 43</v>
      </c>
      <c r="C3319" s="2" t="str">
        <f t="shared" si="133"/>
        <v>UN</v>
      </c>
      <c r="D3319" s="7">
        <v>501</v>
      </c>
      <c r="E3319" s="3">
        <v>5</v>
      </c>
      <c r="F3319" s="3">
        <v>5</v>
      </c>
      <c r="G3319" t="s">
        <v>514</v>
      </c>
    </row>
    <row r="3320" spans="1:7" x14ac:dyDescent="0.25">
      <c r="A3320" s="1" t="str">
        <f>"6400"</f>
        <v>6400</v>
      </c>
      <c r="B3320" s="2" t="str">
        <f>"BOTINA VAQ BRANCA ELAS BICO AÇO 44"</f>
        <v>BOTINA VAQ BRANCA ELAS BICO AÇO 44</v>
      </c>
      <c r="C3320" s="2" t="str">
        <f t="shared" si="133"/>
        <v>UN</v>
      </c>
      <c r="D3320" s="7">
        <v>501</v>
      </c>
      <c r="E3320" s="3">
        <v>5</v>
      </c>
      <c r="F3320" s="3">
        <v>5</v>
      </c>
      <c r="G3320" t="s">
        <v>512</v>
      </c>
    </row>
    <row r="3321" spans="1:7" x14ac:dyDescent="0.25">
      <c r="A3321" s="1" t="str">
        <f>"3391"</f>
        <v>3391</v>
      </c>
      <c r="B3321" s="2" t="str">
        <f>"BOTINA VAQ.ELAST.32201B PU BID BRANCA 38"</f>
        <v>BOTINA VAQ.ELAST.32201B PU BID BRANCA 38</v>
      </c>
      <c r="C3321" s="2" t="str">
        <f t="shared" si="133"/>
        <v>UN</v>
      </c>
      <c r="D3321" s="7">
        <v>501</v>
      </c>
      <c r="E3321" s="3">
        <v>5</v>
      </c>
      <c r="F3321" s="3">
        <v>5</v>
      </c>
      <c r="G3321" t="s">
        <v>513</v>
      </c>
    </row>
    <row r="3322" spans="1:7" x14ac:dyDescent="0.25">
      <c r="A3322" s="1" t="str">
        <f>"3453"</f>
        <v>3453</v>
      </c>
      <c r="B3322" s="2" t="str">
        <f>"BOTINA VAQ.ELAST.32201B PU BID BRANCA 39"</f>
        <v>BOTINA VAQ.ELAST.32201B PU BID BRANCA 39</v>
      </c>
      <c r="C3322" s="2" t="str">
        <f t="shared" si="133"/>
        <v>UN</v>
      </c>
      <c r="D3322" s="7">
        <v>501</v>
      </c>
      <c r="E3322" s="3">
        <v>5</v>
      </c>
      <c r="F3322" s="3">
        <v>5</v>
      </c>
      <c r="G3322" t="s">
        <v>514</v>
      </c>
    </row>
    <row r="3323" spans="1:7" x14ac:dyDescent="0.25">
      <c r="A3323" s="1" t="str">
        <f>"3392"</f>
        <v>3392</v>
      </c>
      <c r="B3323" s="2" t="str">
        <f>"BOTINA VAQ.ELAST.32201B PU BID BRANCA 40"</f>
        <v>BOTINA VAQ.ELAST.32201B PU BID BRANCA 40</v>
      </c>
      <c r="C3323" s="2" t="str">
        <f t="shared" si="133"/>
        <v>UN</v>
      </c>
      <c r="D3323" s="7">
        <v>501</v>
      </c>
      <c r="E3323" s="3">
        <v>5</v>
      </c>
      <c r="F3323" s="3">
        <v>5</v>
      </c>
      <c r="G3323" t="s">
        <v>514</v>
      </c>
    </row>
    <row r="3324" spans="1:7" x14ac:dyDescent="0.25">
      <c r="A3324" s="1" t="str">
        <f>"3394"</f>
        <v>3394</v>
      </c>
      <c r="B3324" s="2" t="str">
        <f>"BOTINA VAQ.ELAST.32201B PU BID BRANCA 41"</f>
        <v>BOTINA VAQ.ELAST.32201B PU BID BRANCA 41</v>
      </c>
      <c r="C3324" s="2" t="str">
        <f t="shared" si="133"/>
        <v>UN</v>
      </c>
      <c r="D3324" s="7">
        <v>501</v>
      </c>
      <c r="E3324" s="3">
        <v>5</v>
      </c>
      <c r="F3324" s="3">
        <v>5</v>
      </c>
      <c r="G3324" t="s">
        <v>512</v>
      </c>
    </row>
    <row r="3325" spans="1:7" x14ac:dyDescent="0.25">
      <c r="A3325" s="1" t="str">
        <f>"3369"</f>
        <v>3369</v>
      </c>
      <c r="B3325" s="2" t="str">
        <f>"BOTINA VAQ.ELAST.32201B PU BID BRANCA 42"</f>
        <v>BOTINA VAQ.ELAST.32201B PU BID BRANCA 42</v>
      </c>
      <c r="C3325" s="2" t="str">
        <f t="shared" si="133"/>
        <v>UN</v>
      </c>
      <c r="D3325" s="7">
        <v>501</v>
      </c>
      <c r="E3325" s="3">
        <v>5</v>
      </c>
      <c r="F3325" s="3">
        <v>5</v>
      </c>
      <c r="G3325" t="s">
        <v>513</v>
      </c>
    </row>
    <row r="3326" spans="1:7" x14ac:dyDescent="0.25">
      <c r="A3326" s="1" t="str">
        <f>"3395"</f>
        <v>3395</v>
      </c>
      <c r="B3326" s="2" t="str">
        <f>"BOTINA VAQ.ELAST.32201B PU BID BRANCA 43"</f>
        <v>BOTINA VAQ.ELAST.32201B PU BID BRANCA 43</v>
      </c>
      <c r="C3326" s="2" t="str">
        <f t="shared" si="133"/>
        <v>UN</v>
      </c>
      <c r="D3326" s="7">
        <v>501</v>
      </c>
      <c r="E3326" s="3">
        <v>5</v>
      </c>
      <c r="F3326" s="3">
        <v>5</v>
      </c>
      <c r="G3326" t="s">
        <v>514</v>
      </c>
    </row>
    <row r="3327" spans="1:7" x14ac:dyDescent="0.25">
      <c r="A3327" s="1" t="str">
        <f>"3458"</f>
        <v>3458</v>
      </c>
      <c r="B3327" s="2" t="str">
        <f>"BOTINA VAQ.ELAST.32201B PU BID BRANCA 44"</f>
        <v>BOTINA VAQ.ELAST.32201B PU BID BRANCA 44</v>
      </c>
      <c r="C3327" s="2" t="str">
        <f t="shared" si="133"/>
        <v>UN</v>
      </c>
      <c r="D3327" s="7">
        <v>501</v>
      </c>
      <c r="E3327" s="3">
        <v>5</v>
      </c>
      <c r="F3327" s="3">
        <v>5</v>
      </c>
      <c r="G3327" t="s">
        <v>514</v>
      </c>
    </row>
    <row r="3328" spans="1:7" x14ac:dyDescent="0.25">
      <c r="A3328" s="1" t="str">
        <f>"6730"</f>
        <v>6730</v>
      </c>
      <c r="B3328" s="2" t="str">
        <f>"BOTINA VAQUETA BICO AÇO PRETA 46"</f>
        <v>BOTINA VAQUETA BICO AÇO PRETA 46</v>
      </c>
      <c r="C3328" s="2" t="str">
        <f t="shared" ref="C3328:C3359" si="134">"UN"</f>
        <v>UN</v>
      </c>
      <c r="D3328" s="7">
        <v>501</v>
      </c>
      <c r="E3328" s="3">
        <v>5</v>
      </c>
      <c r="F3328" s="3">
        <v>5</v>
      </c>
      <c r="G3328" t="s">
        <v>514</v>
      </c>
    </row>
    <row r="3329" spans="1:7" x14ac:dyDescent="0.25">
      <c r="A3329" s="1" t="str">
        <f>"526108"</f>
        <v>526108</v>
      </c>
      <c r="B3329" s="2" t="str">
        <f>"BOTOEIRA 4 BOTÕES + EMERGENCIA"</f>
        <v>BOTOEIRA 4 BOTÕES + EMERGENCIA</v>
      </c>
      <c r="C3329" s="2" t="str">
        <f t="shared" si="134"/>
        <v>UN</v>
      </c>
      <c r="D3329" s="7">
        <v>811</v>
      </c>
      <c r="E3329" s="3">
        <v>11</v>
      </c>
      <c r="F3329" s="3">
        <v>11</v>
      </c>
      <c r="G3329" t="s">
        <v>513</v>
      </c>
    </row>
    <row r="3330" spans="1:7" x14ac:dyDescent="0.25">
      <c r="A3330" s="1" t="str">
        <f>"524674"</f>
        <v>524674</v>
      </c>
      <c r="B3330" s="2" t="str">
        <f>"BOTOEIRA ABS P/ 4 FUROS 22MM 169846 SCHMERSAL"</f>
        <v>BOTOEIRA ABS P/ 4 FUROS 22MM 169846 SCHMERSAL</v>
      </c>
      <c r="C3330" s="2" t="str">
        <f t="shared" si="134"/>
        <v>UN</v>
      </c>
      <c r="D3330" s="7">
        <v>99999</v>
      </c>
      <c r="E3330" s="3">
        <v>10</v>
      </c>
      <c r="F3330" s="3">
        <v>10</v>
      </c>
      <c r="G3330" t="s">
        <v>512</v>
      </c>
    </row>
    <row r="3331" spans="1:7" x14ac:dyDescent="0.25">
      <c r="A3331" s="1" t="str">
        <f>"522266"</f>
        <v>522266</v>
      </c>
      <c r="B3331" s="2" t="str">
        <f>"BOTOEIRA COBUMELO"</f>
        <v>BOTOEIRA COBUMELO</v>
      </c>
      <c r="C3331" s="2" t="str">
        <f t="shared" si="134"/>
        <v>UN</v>
      </c>
      <c r="D3331" s="7">
        <v>99999</v>
      </c>
      <c r="E3331" s="3">
        <v>99</v>
      </c>
      <c r="F3331" s="3">
        <v>99</v>
      </c>
      <c r="G3331" t="s">
        <v>513</v>
      </c>
    </row>
    <row r="3332" spans="1:7" x14ac:dyDescent="0.25">
      <c r="A3332" s="1" t="str">
        <f>"519488"</f>
        <v>519488</v>
      </c>
      <c r="B3332" s="2" t="str">
        <f>"BOTOEIRA COMANDO P/ 2 VELOCIDADES KIT COB-BLK"</f>
        <v>BOTOEIRA COMANDO P/ 2 VELOCIDADES KIT COB-BLK</v>
      </c>
      <c r="C3332" s="2" t="str">
        <f t="shared" si="134"/>
        <v>UN</v>
      </c>
      <c r="D3332" s="7">
        <v>811</v>
      </c>
      <c r="E3332" s="3">
        <v>8</v>
      </c>
      <c r="F3332" s="3">
        <v>8</v>
      </c>
      <c r="G3332" t="s">
        <v>514</v>
      </c>
    </row>
    <row r="3333" spans="1:7" x14ac:dyDescent="0.25">
      <c r="A3333" s="1" t="str">
        <f>"527875"</f>
        <v>527875</v>
      </c>
      <c r="B3333" s="2" t="str">
        <f>"BOTOEIRA LAY 5-03 VAZIA 3 FUROS - LUKMA"</f>
        <v>BOTOEIRA LAY 5-03 VAZIA 3 FUROS - LUKMA</v>
      </c>
      <c r="C3333" s="2" t="str">
        <f t="shared" si="134"/>
        <v>UN</v>
      </c>
      <c r="D3333" s="7">
        <v>811</v>
      </c>
      <c r="E3333" s="3">
        <v>11</v>
      </c>
      <c r="F3333" s="3">
        <v>11</v>
      </c>
      <c r="G3333" t="s">
        <v>514</v>
      </c>
    </row>
    <row r="3334" spans="1:7" x14ac:dyDescent="0.25">
      <c r="A3334" s="1" t="str">
        <f>"527874"</f>
        <v>527874</v>
      </c>
      <c r="B3334" s="2" t="str">
        <f>"BOTOEIRA LK-B02 VAZIA 2 FUROS - LUKMA"</f>
        <v>BOTOEIRA LK-B02 VAZIA 2 FUROS - LUKMA</v>
      </c>
      <c r="C3334" s="2" t="str">
        <f t="shared" si="134"/>
        <v>UN</v>
      </c>
      <c r="D3334" s="7">
        <v>811</v>
      </c>
      <c r="E3334" s="3">
        <v>11</v>
      </c>
      <c r="F3334" s="3">
        <v>11</v>
      </c>
      <c r="G3334" t="s">
        <v>514</v>
      </c>
    </row>
    <row r="3335" spans="1:7" x14ac:dyDescent="0.25">
      <c r="A3335" s="1" t="str">
        <f>"523387"</f>
        <v>523387</v>
      </c>
      <c r="B3335" s="2" t="str">
        <f>"BOTOEIRA P/ CANCELA TIPO ABRE/PARA/FECHA"</f>
        <v>BOTOEIRA P/ CANCELA TIPO ABRE/PARA/FECHA</v>
      </c>
      <c r="C3335" s="2" t="str">
        <f t="shared" si="134"/>
        <v>UN</v>
      </c>
      <c r="D3335" s="7">
        <v>99999</v>
      </c>
      <c r="E3335" s="3">
        <v>99</v>
      </c>
      <c r="F3335" s="3">
        <v>99</v>
      </c>
      <c r="G3335" t="s">
        <v>513</v>
      </c>
    </row>
    <row r="3336" spans="1:7" x14ac:dyDescent="0.25">
      <c r="A3336" s="1" t="str">
        <f>"517982"</f>
        <v>517982</v>
      </c>
      <c r="B3336" s="2" t="str">
        <f>"BOTOEIRA TALHA DE TROLE 2 VELOC. 4 BOTÕES (ITEM 300485)"</f>
        <v>BOTOEIRA TALHA DE TROLE 2 VELOC. 4 BOTÕES (ITEM 300485)</v>
      </c>
      <c r="C3336" s="2" t="str">
        <f t="shared" si="134"/>
        <v>UN</v>
      </c>
      <c r="D3336" s="7">
        <v>811</v>
      </c>
      <c r="E3336" s="3">
        <v>8</v>
      </c>
      <c r="F3336" s="3">
        <v>8</v>
      </c>
      <c r="G3336" t="s">
        <v>513</v>
      </c>
    </row>
    <row r="3337" spans="1:7" x14ac:dyDescent="0.25">
      <c r="A3337" s="1" t="str">
        <f>"509804"</f>
        <v>509804</v>
      </c>
      <c r="B3337" s="2" t="str">
        <f>"BOTOES DE ROSA"</f>
        <v>BOTOES DE ROSA</v>
      </c>
      <c r="C3337" s="2" t="str">
        <f t="shared" si="134"/>
        <v>UN</v>
      </c>
      <c r="D3337" s="7">
        <v>401</v>
      </c>
      <c r="E3337" s="3">
        <v>4</v>
      </c>
      <c r="F3337" s="3">
        <v>4</v>
      </c>
      <c r="G3337" t="s">
        <v>513</v>
      </c>
    </row>
    <row r="3338" spans="1:7" x14ac:dyDescent="0.25">
      <c r="A3338" s="1" t="str">
        <f>"508983"</f>
        <v>508983</v>
      </c>
      <c r="B3338" s="2" t="str">
        <f>"BOX CURVO DE ALUMINIO 1"" WETZEL"</f>
        <v>BOX CURVO DE ALUMINIO 1" WETZEL</v>
      </c>
      <c r="C3338" s="2" t="str">
        <f t="shared" si="134"/>
        <v>UN</v>
      </c>
      <c r="D3338" s="7">
        <v>601</v>
      </c>
      <c r="E3338" s="3">
        <v>8</v>
      </c>
      <c r="F3338" s="3">
        <v>8</v>
      </c>
      <c r="G3338" t="s">
        <v>512</v>
      </c>
    </row>
    <row r="3339" spans="1:7" x14ac:dyDescent="0.25">
      <c r="A3339" s="1" t="str">
        <f>"518755"</f>
        <v>518755</v>
      </c>
      <c r="B3339" s="2" t="str">
        <f>"BOX CURVO DE ALUMINIO 3/4"" WETZEL"</f>
        <v>BOX CURVO DE ALUMINIO 3/4" WETZEL</v>
      </c>
      <c r="C3339" s="2" t="str">
        <f t="shared" si="134"/>
        <v>UN</v>
      </c>
      <c r="D3339" s="7">
        <v>601</v>
      </c>
      <c r="E3339" s="3">
        <v>8</v>
      </c>
      <c r="F3339" s="3">
        <v>8</v>
      </c>
      <c r="G3339" t="s">
        <v>513</v>
      </c>
    </row>
    <row r="3340" spans="1:7" x14ac:dyDescent="0.25">
      <c r="A3340" s="1" t="str">
        <f>"509842"</f>
        <v>509842</v>
      </c>
      <c r="B3340" s="2" t="str">
        <f>"BOX RETO  DE ALUMINIO 1 1/2"" WETZEL"</f>
        <v>BOX RETO  DE ALUMINIO 1 1/2" WETZEL</v>
      </c>
      <c r="C3340" s="2" t="str">
        <f t="shared" si="134"/>
        <v>UN</v>
      </c>
      <c r="D3340" s="7">
        <v>601</v>
      </c>
      <c r="E3340" s="3">
        <v>8</v>
      </c>
      <c r="F3340" s="3">
        <v>8</v>
      </c>
      <c r="G3340" t="s">
        <v>514</v>
      </c>
    </row>
    <row r="3341" spans="1:7" x14ac:dyDescent="0.25">
      <c r="A3341" s="1" t="str">
        <f>"510170"</f>
        <v>510170</v>
      </c>
      <c r="B3341" s="2" t="str">
        <f>"BOX RETO  DE ALUMINIO 1 1/4"" WETZEL"</f>
        <v>BOX RETO  DE ALUMINIO 1 1/4" WETZEL</v>
      </c>
      <c r="C3341" s="2" t="str">
        <f t="shared" si="134"/>
        <v>UN</v>
      </c>
      <c r="D3341" s="7">
        <v>601</v>
      </c>
      <c r="E3341" s="3">
        <v>8</v>
      </c>
      <c r="F3341" s="3">
        <v>8</v>
      </c>
      <c r="G3341" t="s">
        <v>515</v>
      </c>
    </row>
    <row r="3342" spans="1:7" x14ac:dyDescent="0.25">
      <c r="A3342" s="1" t="str">
        <f>"508984"</f>
        <v>508984</v>
      </c>
      <c r="B3342" s="2" t="str">
        <f>"BOX RETO  DE ALUMINIO 1"" WETZEL"</f>
        <v>BOX RETO  DE ALUMINIO 1" WETZEL</v>
      </c>
      <c r="C3342" s="2" t="str">
        <f t="shared" si="134"/>
        <v>UN</v>
      </c>
      <c r="D3342" s="7">
        <v>601</v>
      </c>
      <c r="E3342" s="3">
        <v>8</v>
      </c>
      <c r="F3342" s="3">
        <v>8</v>
      </c>
      <c r="G3342" t="s">
        <v>512</v>
      </c>
    </row>
    <row r="3343" spans="1:7" x14ac:dyDescent="0.25">
      <c r="A3343" s="1" t="str">
        <f>"509460"</f>
        <v>509460</v>
      </c>
      <c r="B3343" s="2" t="str">
        <f>"BOX RETO  DE ALUMINIO 1/2"" WETZEL"</f>
        <v>BOX RETO  DE ALUMINIO 1/2" WETZEL</v>
      </c>
      <c r="C3343" s="2" t="str">
        <f t="shared" si="134"/>
        <v>UN</v>
      </c>
      <c r="D3343" s="7">
        <v>601</v>
      </c>
      <c r="E3343" s="3">
        <v>8</v>
      </c>
      <c r="F3343" s="3">
        <v>8</v>
      </c>
      <c r="G3343" t="s">
        <v>516</v>
      </c>
    </row>
    <row r="3344" spans="1:7" x14ac:dyDescent="0.25">
      <c r="A3344" s="1" t="str">
        <f>"509884"</f>
        <v>509884</v>
      </c>
      <c r="B3344" s="2" t="str">
        <f>"BOX RETO  DE ALUMINIO 2 1/2"" WETZEL"</f>
        <v>BOX RETO  DE ALUMINIO 2 1/2" WETZEL</v>
      </c>
      <c r="C3344" s="2" t="str">
        <f t="shared" si="134"/>
        <v>UN</v>
      </c>
      <c r="D3344" s="7">
        <v>601</v>
      </c>
      <c r="E3344" s="3">
        <v>8</v>
      </c>
      <c r="F3344" s="3">
        <v>8</v>
      </c>
      <c r="G3344" t="s">
        <v>515</v>
      </c>
    </row>
    <row r="3345" spans="1:7" x14ac:dyDescent="0.25">
      <c r="A3345" s="1" t="str">
        <f>"509844"</f>
        <v>509844</v>
      </c>
      <c r="B3345" s="2" t="str">
        <f>"BOX RETO  DE ALUMINIO 2"" WETZEL"</f>
        <v>BOX RETO  DE ALUMINIO 2" WETZEL</v>
      </c>
      <c r="C3345" s="2" t="str">
        <f t="shared" si="134"/>
        <v>UN</v>
      </c>
      <c r="D3345" s="7">
        <v>601</v>
      </c>
      <c r="E3345" s="3">
        <v>8</v>
      </c>
      <c r="F3345" s="3">
        <v>8</v>
      </c>
      <c r="G3345" t="s">
        <v>514</v>
      </c>
    </row>
    <row r="3346" spans="1:7" x14ac:dyDescent="0.25">
      <c r="A3346" s="1" t="str">
        <f>"510850"</f>
        <v>510850</v>
      </c>
      <c r="B3346" s="2" t="str">
        <f>"BOX RETO  DE ALUMINIO 3"" WETZEL"</f>
        <v>BOX RETO  DE ALUMINIO 3" WETZEL</v>
      </c>
      <c r="C3346" s="2" t="str">
        <f t="shared" si="134"/>
        <v>UN</v>
      </c>
      <c r="D3346" s="7">
        <v>601</v>
      </c>
      <c r="E3346" s="3">
        <v>8</v>
      </c>
      <c r="F3346" s="3">
        <v>8</v>
      </c>
      <c r="G3346" t="s">
        <v>512</v>
      </c>
    </row>
    <row r="3347" spans="1:7" x14ac:dyDescent="0.25">
      <c r="A3347" s="1" t="str">
        <f>"509845"</f>
        <v>509845</v>
      </c>
      <c r="B3347" s="2" t="str">
        <f>"BOX RETO  DE ALUMINIO 3/4"" WETZEL"</f>
        <v>BOX RETO  DE ALUMINIO 3/4" WETZEL</v>
      </c>
      <c r="C3347" s="2" t="str">
        <f t="shared" si="134"/>
        <v>UN</v>
      </c>
      <c r="D3347" s="7">
        <v>601</v>
      </c>
      <c r="E3347" s="3">
        <v>8</v>
      </c>
      <c r="F3347" s="3">
        <v>8</v>
      </c>
      <c r="G3347" t="s">
        <v>513</v>
      </c>
    </row>
    <row r="3348" spans="1:7" x14ac:dyDescent="0.25">
      <c r="A3348" s="1" t="str">
        <f>"510392"</f>
        <v>510392</v>
      </c>
      <c r="B3348" s="2" t="str">
        <f>"BOX RETO  DE ALUMINIO 4"" WETZEL"</f>
        <v>BOX RETO  DE ALUMINIO 4" WETZEL</v>
      </c>
      <c r="C3348" s="2" t="str">
        <f t="shared" si="134"/>
        <v>UN</v>
      </c>
      <c r="D3348" s="7">
        <v>601</v>
      </c>
      <c r="E3348" s="3">
        <v>8</v>
      </c>
      <c r="F3348" s="3">
        <v>8</v>
      </c>
      <c r="G3348" t="s">
        <v>514</v>
      </c>
    </row>
    <row r="3349" spans="1:7" x14ac:dyDescent="0.25">
      <c r="A3349" s="1" t="str">
        <f>"518222"</f>
        <v>518222</v>
      </c>
      <c r="B3349" s="2" t="str">
        <f>"BP PRATA COLUMBIA FORD MET."</f>
        <v>BP PRATA COLUMBIA FORD MET.</v>
      </c>
      <c r="C3349" s="2" t="str">
        <f t="shared" si="134"/>
        <v>UN</v>
      </c>
      <c r="D3349" s="7">
        <v>804</v>
      </c>
      <c r="E3349" s="3">
        <v>4</v>
      </c>
      <c r="F3349" s="3">
        <v>4</v>
      </c>
      <c r="G3349" t="s">
        <v>514</v>
      </c>
    </row>
    <row r="3350" spans="1:7" x14ac:dyDescent="0.25">
      <c r="A3350" s="1" t="str">
        <f>"522944"</f>
        <v>522944</v>
      </c>
      <c r="B3350" s="2" t="str">
        <f>"BP22 1/2 NPT - ELIMINADOR DE AR 304010301"</f>
        <v>BP22 1/2 NPT - ELIMINADOR DE AR 304010301</v>
      </c>
      <c r="C3350" s="2" t="str">
        <f t="shared" si="134"/>
        <v>UN</v>
      </c>
      <c r="D3350" s="7">
        <v>912</v>
      </c>
      <c r="E3350" s="3">
        <v>10</v>
      </c>
      <c r="F3350" s="3">
        <v>10</v>
      </c>
      <c r="G3350" t="s">
        <v>512</v>
      </c>
    </row>
    <row r="3351" spans="1:7" x14ac:dyDescent="0.25">
      <c r="A3351" s="1" t="str">
        <f>"515383"</f>
        <v>515383</v>
      </c>
      <c r="B3351" s="2" t="str">
        <f>"BR ESTIV TR 100"</f>
        <v>BR ESTIV TR 100</v>
      </c>
      <c r="C3351" s="2" t="str">
        <f t="shared" si="134"/>
        <v>UN</v>
      </c>
      <c r="D3351" s="7">
        <v>704</v>
      </c>
      <c r="E3351" s="3">
        <v>9</v>
      </c>
      <c r="F3351" s="3">
        <v>9</v>
      </c>
      <c r="G3351" t="s">
        <v>513</v>
      </c>
    </row>
    <row r="3352" spans="1:7" x14ac:dyDescent="0.25">
      <c r="A3352" s="1" t="str">
        <f>"521410"</f>
        <v>521410</v>
      </c>
      <c r="B3352" s="2" t="str">
        <f>"BRAÇADEIRA BRIGADA"</f>
        <v>BRAÇADEIRA BRIGADA</v>
      </c>
      <c r="C3352" s="2" t="str">
        <f t="shared" si="134"/>
        <v>UN</v>
      </c>
      <c r="D3352" s="7">
        <v>502</v>
      </c>
      <c r="E3352" s="3">
        <v>5</v>
      </c>
      <c r="F3352" s="3">
        <v>5</v>
      </c>
      <c r="G3352" t="s">
        <v>514</v>
      </c>
    </row>
    <row r="3353" spans="1:7" x14ac:dyDescent="0.25">
      <c r="A3353" s="1" t="str">
        <f>"521411"</f>
        <v>521411</v>
      </c>
      <c r="B3353" s="2" t="str">
        <f>"BRAÇADEIRA CIPA"</f>
        <v>BRAÇADEIRA CIPA</v>
      </c>
      <c r="C3353" s="2" t="str">
        <f t="shared" si="134"/>
        <v>UN</v>
      </c>
      <c r="D3353" s="7">
        <v>502</v>
      </c>
      <c r="E3353" s="3">
        <v>5</v>
      </c>
      <c r="F3353" s="3">
        <v>5</v>
      </c>
      <c r="G3353" t="s">
        <v>514</v>
      </c>
    </row>
    <row r="3354" spans="1:7" x14ac:dyDescent="0.25">
      <c r="A3354" s="1" t="str">
        <f>"6602"</f>
        <v>6602</v>
      </c>
      <c r="B3354" s="2" t="str">
        <f>"BRAÇADEIRA CIPA"</f>
        <v>BRAÇADEIRA CIPA</v>
      </c>
      <c r="C3354" s="2" t="str">
        <f t="shared" si="134"/>
        <v>UN</v>
      </c>
      <c r="D3354" s="7">
        <v>500</v>
      </c>
      <c r="E3354" s="3">
        <v>5</v>
      </c>
      <c r="F3354" s="3">
        <v>5</v>
      </c>
      <c r="G3354" t="s">
        <v>514</v>
      </c>
    </row>
    <row r="3355" spans="1:7" x14ac:dyDescent="0.25">
      <c r="A3355" s="1" t="str">
        <f>"521412"</f>
        <v>521412</v>
      </c>
      <c r="B3355" s="2" t="str">
        <f>"BRAÇADEIRA PRIMEIROS SOCORROS"</f>
        <v>BRAÇADEIRA PRIMEIROS SOCORROS</v>
      </c>
      <c r="C3355" s="2" t="str">
        <f t="shared" si="134"/>
        <v>UN</v>
      </c>
      <c r="D3355" s="7">
        <v>502</v>
      </c>
      <c r="E3355" s="3">
        <v>5</v>
      </c>
      <c r="F3355" s="3">
        <v>5</v>
      </c>
      <c r="G3355" t="s">
        <v>513</v>
      </c>
    </row>
    <row r="3356" spans="1:7" x14ac:dyDescent="0.25">
      <c r="A3356" s="1" t="str">
        <f>"505880"</f>
        <v>505880</v>
      </c>
      <c r="B3356" s="2" t="str">
        <f>"BRACO ACIONADOR DES 42116"</f>
        <v>BRACO ACIONADOR DES 42116</v>
      </c>
      <c r="C3356" s="2" t="str">
        <f t="shared" si="134"/>
        <v>UN</v>
      </c>
      <c r="D3356" s="7">
        <v>918</v>
      </c>
      <c r="E3356" s="3">
        <v>11</v>
      </c>
      <c r="F3356" s="3">
        <v>11</v>
      </c>
      <c r="G3356" t="s">
        <v>512</v>
      </c>
    </row>
    <row r="3357" spans="1:7" x14ac:dyDescent="0.25">
      <c r="A3357" s="1" t="str">
        <f>"511317"</f>
        <v>511317</v>
      </c>
      <c r="B3357" s="2" t="str">
        <f>"BRAÇO ACIONAMENTO FACA"</f>
        <v>BRAÇO ACIONAMENTO FACA</v>
      </c>
      <c r="C3357" s="2" t="str">
        <f t="shared" si="134"/>
        <v>UN</v>
      </c>
      <c r="D3357" s="7">
        <v>918</v>
      </c>
      <c r="E3357" s="3">
        <v>11</v>
      </c>
      <c r="F3357" s="3">
        <v>11</v>
      </c>
      <c r="G3357" t="s">
        <v>513</v>
      </c>
    </row>
    <row r="3358" spans="1:7" x14ac:dyDescent="0.25">
      <c r="A3358" s="1" t="str">
        <f>"512406"</f>
        <v>512406</v>
      </c>
      <c r="B3358" s="2" t="str">
        <f>"BRAÇO BALANCIN (D/E)"</f>
        <v>BRAÇO BALANCIN (D/E)</v>
      </c>
      <c r="C3358" s="2" t="str">
        <f t="shared" si="134"/>
        <v>UN</v>
      </c>
      <c r="D3358" s="7">
        <v>918</v>
      </c>
      <c r="E3358" s="3">
        <v>11</v>
      </c>
      <c r="F3358" s="3">
        <v>11</v>
      </c>
      <c r="G3358" t="s">
        <v>514</v>
      </c>
    </row>
    <row r="3359" spans="1:7" x14ac:dyDescent="0.25">
      <c r="A3359" s="1" t="str">
        <f>"510618"</f>
        <v>510618</v>
      </c>
      <c r="B3359" s="2" t="str">
        <f>"BRAÇO CORSA 77"</f>
        <v>BRAÇO CORSA 77</v>
      </c>
      <c r="C3359" s="2" t="str">
        <f t="shared" si="134"/>
        <v>UN</v>
      </c>
      <c r="D3359" s="7">
        <v>401</v>
      </c>
      <c r="E3359" s="3">
        <v>4</v>
      </c>
      <c r="F3359" s="3">
        <v>4</v>
      </c>
      <c r="G3359" t="s">
        <v>514</v>
      </c>
    </row>
    <row r="3360" spans="1:7" x14ac:dyDescent="0.25">
      <c r="A3360" s="1" t="str">
        <f>"511007"</f>
        <v>511007</v>
      </c>
      <c r="B3360" s="2" t="str">
        <f>"BRAÇO CORSA PRETO"</f>
        <v>BRAÇO CORSA PRETO</v>
      </c>
      <c r="C3360" s="2" t="str">
        <f t="shared" ref="C3360:C3377" si="135">"UN"</f>
        <v>UN</v>
      </c>
      <c r="D3360" s="7">
        <v>401</v>
      </c>
      <c r="E3360" s="3">
        <v>4</v>
      </c>
      <c r="F3360" s="3">
        <v>4</v>
      </c>
      <c r="G3360" t="s">
        <v>514</v>
      </c>
    </row>
    <row r="3361" spans="1:7" x14ac:dyDescent="0.25">
      <c r="A3361" s="1" t="str">
        <f>"505230"</f>
        <v>505230</v>
      </c>
      <c r="B3361" s="2" t="str">
        <f>"BRACO DE TRAVAMENTO"</f>
        <v>BRACO DE TRAVAMENTO</v>
      </c>
      <c r="C3361" s="2" t="str">
        <f t="shared" si="135"/>
        <v>UN</v>
      </c>
      <c r="D3361" s="7">
        <v>704</v>
      </c>
      <c r="E3361" s="3">
        <v>9</v>
      </c>
      <c r="F3361" s="3">
        <v>9</v>
      </c>
      <c r="G3361" t="s">
        <v>513</v>
      </c>
    </row>
    <row r="3362" spans="1:7" x14ac:dyDescent="0.25">
      <c r="A3362" s="1" t="str">
        <f>"509282"</f>
        <v>509282</v>
      </c>
      <c r="B3362" s="2" t="str">
        <f>"BRAÇO DESBOBINADOR"</f>
        <v>BRAÇO DESBOBINADOR</v>
      </c>
      <c r="C3362" s="2" t="str">
        <f t="shared" si="135"/>
        <v>UN</v>
      </c>
      <c r="D3362" s="7">
        <v>918</v>
      </c>
      <c r="E3362" s="3">
        <v>11</v>
      </c>
      <c r="F3362" s="3">
        <v>11</v>
      </c>
      <c r="G3362" t="s">
        <v>513</v>
      </c>
    </row>
    <row r="3363" spans="1:7" x14ac:dyDescent="0.25">
      <c r="A3363" s="1" t="str">
        <f>"512008"</f>
        <v>512008</v>
      </c>
      <c r="B3363" s="2" t="str">
        <f>"BRAÇO DIGITADOR C/ REGULAGEM"</f>
        <v>BRAÇO DIGITADOR C/ REGULAGEM</v>
      </c>
      <c r="C3363" s="2" t="str">
        <f t="shared" si="135"/>
        <v>UN</v>
      </c>
      <c r="D3363" s="7">
        <v>402</v>
      </c>
      <c r="E3363" s="3">
        <v>4</v>
      </c>
      <c r="F3363" s="3">
        <v>4</v>
      </c>
      <c r="G3363" t="s">
        <v>513</v>
      </c>
    </row>
    <row r="3364" spans="1:7" x14ac:dyDescent="0.25">
      <c r="A3364" s="1" t="str">
        <f>"504358"</f>
        <v>504358</v>
      </c>
      <c r="B3364" s="2" t="str">
        <f>"BRACO DO BOCAL ENGATE"</f>
        <v>BRACO DO BOCAL ENGATE</v>
      </c>
      <c r="C3364" s="2" t="str">
        <f t="shared" si="135"/>
        <v>UN</v>
      </c>
      <c r="D3364" s="7">
        <v>704</v>
      </c>
      <c r="E3364" s="3">
        <v>9</v>
      </c>
      <c r="F3364" s="3">
        <v>9</v>
      </c>
      <c r="G3364" t="s">
        <v>512</v>
      </c>
    </row>
    <row r="3365" spans="1:7" x14ac:dyDescent="0.25">
      <c r="A3365" s="1" t="str">
        <f>"525075"</f>
        <v>525075</v>
      </c>
      <c r="B3365" s="2" t="str">
        <f>"BRAÇO E LUMINÁRIA TIPO ILUMINAÇÃO PUBLICA"</f>
        <v>BRAÇO E LUMINÁRIA TIPO ILUMINAÇÃO PUBLICA</v>
      </c>
      <c r="C3365" s="2" t="str">
        <f t="shared" si="135"/>
        <v>UN</v>
      </c>
      <c r="D3365" s="7">
        <v>99999</v>
      </c>
      <c r="E3365" s="3">
        <v>99</v>
      </c>
      <c r="F3365" s="3">
        <v>99</v>
      </c>
      <c r="G3365" t="s">
        <v>513</v>
      </c>
    </row>
    <row r="3366" spans="1:7" x14ac:dyDescent="0.25">
      <c r="A3366" s="1" t="str">
        <f>"520843"</f>
        <v>520843</v>
      </c>
      <c r="B3366" s="2" t="str">
        <f>"BRAÇO FORMAGEM 1/1/1433/191"</f>
        <v>BRAÇO FORMAGEM 1/1/1433/191</v>
      </c>
      <c r="C3366" s="2" t="str">
        <f t="shared" si="135"/>
        <v>UN</v>
      </c>
      <c r="D3366" s="7">
        <v>1300</v>
      </c>
      <c r="E3366" s="3">
        <v>11</v>
      </c>
      <c r="F3366" s="3">
        <v>11</v>
      </c>
      <c r="G3366" t="s">
        <v>514</v>
      </c>
    </row>
    <row r="3367" spans="1:7" x14ac:dyDescent="0.25">
      <c r="A3367" s="1" t="str">
        <f>"505353"</f>
        <v>505353</v>
      </c>
      <c r="B3367" s="2" t="str">
        <f>"BRACO LIMIT"</f>
        <v>BRACO LIMIT</v>
      </c>
      <c r="C3367" s="2" t="str">
        <f t="shared" si="135"/>
        <v>UN</v>
      </c>
      <c r="D3367" s="7">
        <v>704</v>
      </c>
      <c r="E3367" s="3">
        <v>9</v>
      </c>
      <c r="F3367" s="3">
        <v>9</v>
      </c>
      <c r="G3367" t="s">
        <v>515</v>
      </c>
    </row>
    <row r="3368" spans="1:7" x14ac:dyDescent="0.25">
      <c r="A3368" s="1" t="str">
        <f>"505521"</f>
        <v>505521</v>
      </c>
      <c r="B3368" s="2" t="str">
        <f>"BRACO LIMPADOR P/BRISA"</f>
        <v>BRACO LIMPADOR P/BRISA</v>
      </c>
      <c r="C3368" s="2" t="str">
        <f t="shared" si="135"/>
        <v>UN</v>
      </c>
      <c r="D3368" s="7">
        <v>704</v>
      </c>
      <c r="E3368" s="3">
        <v>9</v>
      </c>
      <c r="F3368" s="3">
        <v>9</v>
      </c>
      <c r="G3368" t="s">
        <v>512</v>
      </c>
    </row>
    <row r="3369" spans="1:7" x14ac:dyDescent="0.25">
      <c r="A3369" s="1" t="str">
        <f>"515843"</f>
        <v>515843</v>
      </c>
      <c r="B3369" s="2" t="str">
        <f>"BRAÇO P/ CHUVEIRO"</f>
        <v>BRAÇO P/ CHUVEIRO</v>
      </c>
      <c r="C3369" s="2" t="str">
        <f t="shared" si="135"/>
        <v>UN</v>
      </c>
      <c r="D3369" s="7">
        <v>99999</v>
      </c>
      <c r="E3369" s="3">
        <v>99</v>
      </c>
      <c r="F3369" s="3">
        <v>99</v>
      </c>
      <c r="G3369" t="s">
        <v>516</v>
      </c>
    </row>
    <row r="3370" spans="1:7" x14ac:dyDescent="0.25">
      <c r="A3370" s="1" t="str">
        <f>"514451"</f>
        <v>514451</v>
      </c>
      <c r="B3370" s="2" t="str">
        <f>"BRAÇO PR"</f>
        <v>BRAÇO PR</v>
      </c>
      <c r="C3370" s="2" t="str">
        <f t="shared" si="135"/>
        <v>UN</v>
      </c>
      <c r="D3370" s="7">
        <v>401</v>
      </c>
      <c r="E3370" s="3">
        <v>4</v>
      </c>
      <c r="F3370" s="3">
        <v>4</v>
      </c>
      <c r="G3370" t="s">
        <v>515</v>
      </c>
    </row>
    <row r="3371" spans="1:7" x14ac:dyDescent="0.25">
      <c r="A3371" s="1" t="str">
        <f>"505352"</f>
        <v>505352</v>
      </c>
      <c r="B3371" s="2" t="str">
        <f>"BRACO-LE"</f>
        <v>BRACO-LE</v>
      </c>
      <c r="C3371" s="2" t="str">
        <f t="shared" si="135"/>
        <v>UN</v>
      </c>
      <c r="D3371" s="7">
        <v>704</v>
      </c>
      <c r="E3371" s="3">
        <v>9</v>
      </c>
      <c r="F3371" s="3">
        <v>9</v>
      </c>
      <c r="G3371" t="s">
        <v>514</v>
      </c>
    </row>
    <row r="3372" spans="1:7" x14ac:dyDescent="0.25">
      <c r="A3372" s="1" t="str">
        <f>"512808"</f>
        <v>512808</v>
      </c>
      <c r="B3372" s="2" t="str">
        <f>"BRC ACN CRUZ MALTA 12 BK75 D67347"</f>
        <v>BRC ACN CRUZ MALTA 12 BK75 D67347</v>
      </c>
      <c r="C3372" s="2" t="str">
        <f t="shared" si="135"/>
        <v>UN</v>
      </c>
      <c r="D3372" s="7">
        <v>918</v>
      </c>
      <c r="E3372" s="3">
        <v>11</v>
      </c>
      <c r="F3372" s="3">
        <v>11</v>
      </c>
      <c r="G3372" t="s">
        <v>512</v>
      </c>
    </row>
    <row r="3373" spans="1:7" x14ac:dyDescent="0.25">
      <c r="A3373" s="1" t="str">
        <f>"520686"</f>
        <v>520686</v>
      </c>
      <c r="B3373" s="2" t="str">
        <f>"BREEZE 2 TIRAS REAGENTE CX 50 UNIDADES"</f>
        <v>BREEZE 2 TIRAS REAGENTE CX 50 UNIDADES</v>
      </c>
      <c r="C3373" s="2" t="str">
        <f t="shared" si="135"/>
        <v>UN</v>
      </c>
      <c r="D3373" s="7">
        <v>406</v>
      </c>
      <c r="E3373" s="3">
        <v>4</v>
      </c>
      <c r="F3373" s="3">
        <v>4</v>
      </c>
      <c r="G3373" t="s">
        <v>513</v>
      </c>
    </row>
    <row r="3374" spans="1:7" x14ac:dyDescent="0.25">
      <c r="A3374" s="1" t="str">
        <f>"518898"</f>
        <v>518898</v>
      </c>
      <c r="B3374" s="2" t="str">
        <f>"BRIGADEIRO"</f>
        <v>BRIGADEIRO</v>
      </c>
      <c r="C3374" s="2" t="str">
        <f t="shared" si="135"/>
        <v>UN</v>
      </c>
      <c r="D3374" s="7">
        <v>99999</v>
      </c>
      <c r="E3374" s="3">
        <v>99</v>
      </c>
      <c r="F3374" s="3">
        <v>99</v>
      </c>
      <c r="G3374" t="s">
        <v>514</v>
      </c>
    </row>
    <row r="3375" spans="1:7" x14ac:dyDescent="0.25">
      <c r="A3375" s="1" t="str">
        <f>"515743"</f>
        <v>515743</v>
      </c>
      <c r="B3375" s="2" t="str">
        <f>"BRILLIANT GREEN BILE 2%"</f>
        <v>BRILLIANT GREEN BILE 2%</v>
      </c>
      <c r="C3375" s="2" t="str">
        <f t="shared" si="135"/>
        <v>UN</v>
      </c>
      <c r="D3375" s="7">
        <v>406</v>
      </c>
      <c r="E3375" s="3">
        <v>4</v>
      </c>
      <c r="F3375" s="3">
        <v>4</v>
      </c>
      <c r="G3375" t="s">
        <v>514</v>
      </c>
    </row>
    <row r="3376" spans="1:7" x14ac:dyDescent="0.25">
      <c r="A3376" s="1" t="str">
        <f>"510514"</f>
        <v>510514</v>
      </c>
      <c r="B3376" s="2" t="str">
        <f>"BRINQUEDO KID MANIA"</f>
        <v>BRINQUEDO KID MANIA</v>
      </c>
      <c r="C3376" s="2" t="str">
        <f t="shared" si="135"/>
        <v>UN</v>
      </c>
      <c r="D3376" s="7">
        <v>401</v>
      </c>
      <c r="E3376" s="3">
        <v>4</v>
      </c>
      <c r="F3376" s="3">
        <v>4</v>
      </c>
      <c r="G3376" t="s">
        <v>512</v>
      </c>
    </row>
    <row r="3377" spans="1:7" x14ac:dyDescent="0.25">
      <c r="A3377" s="1" t="str">
        <f>"512803"</f>
        <v>512803</v>
      </c>
      <c r="B3377" s="2" t="str">
        <f>"BRIOCHE"</f>
        <v>BRIOCHE</v>
      </c>
      <c r="C3377" s="2" t="str">
        <f t="shared" si="135"/>
        <v>UN</v>
      </c>
      <c r="D3377" s="7">
        <v>99999</v>
      </c>
      <c r="E3377" s="3">
        <v>99</v>
      </c>
      <c r="F3377" s="3">
        <v>99</v>
      </c>
      <c r="G3377" t="s">
        <v>513</v>
      </c>
    </row>
    <row r="3378" spans="1:7" x14ac:dyDescent="0.25">
      <c r="A3378" s="1" t="str">
        <f>"311"</f>
        <v>311</v>
      </c>
      <c r="B3378" s="2" t="str">
        <f>"BRIQUETI"</f>
        <v>BRIQUETI</v>
      </c>
      <c r="C3378" s="2" t="str">
        <f>"TO"</f>
        <v>TO</v>
      </c>
      <c r="D3378" s="7">
        <v>304</v>
      </c>
      <c r="E3378" s="3">
        <v>3</v>
      </c>
      <c r="F3378" s="3">
        <v>3</v>
      </c>
      <c r="G3378" t="s">
        <v>514</v>
      </c>
    </row>
    <row r="3379" spans="1:7" x14ac:dyDescent="0.25">
      <c r="A3379" s="1" t="str">
        <f>"500086"</f>
        <v>500086</v>
      </c>
      <c r="B3379" s="2" t="str">
        <f>"BRITA N. 1"</f>
        <v>BRITA N. 1</v>
      </c>
      <c r="C3379" s="2" t="str">
        <f t="shared" ref="C3379:C3410" si="136">"UN"</f>
        <v>UN</v>
      </c>
      <c r="D3379" s="7">
        <v>403</v>
      </c>
      <c r="E3379" s="3">
        <v>4</v>
      </c>
      <c r="F3379" s="3">
        <v>4</v>
      </c>
      <c r="G3379" t="s">
        <v>514</v>
      </c>
    </row>
    <row r="3380" spans="1:7" x14ac:dyDescent="0.25">
      <c r="A3380" s="1" t="str">
        <f>"500304"</f>
        <v>500304</v>
      </c>
      <c r="B3380" s="2" t="str">
        <f>"BRITA N. 3"</f>
        <v>BRITA N. 3</v>
      </c>
      <c r="C3380" s="2" t="str">
        <f t="shared" si="136"/>
        <v>UN</v>
      </c>
      <c r="D3380" s="7">
        <v>403</v>
      </c>
      <c r="E3380" s="3">
        <v>4</v>
      </c>
      <c r="F3380" s="3">
        <v>4</v>
      </c>
      <c r="G3380" t="s">
        <v>514</v>
      </c>
    </row>
    <row r="3381" spans="1:7" x14ac:dyDescent="0.25">
      <c r="A3381" s="1" t="str">
        <f>"CO82075011"</f>
        <v>CO82075011</v>
      </c>
      <c r="B3381" s="2" t="str">
        <f>"BROCA"</f>
        <v>BROCA</v>
      </c>
      <c r="C3381" s="2" t="str">
        <f t="shared" si="136"/>
        <v>UN</v>
      </c>
      <c r="D3381" s="7">
        <v>99999</v>
      </c>
      <c r="E3381" s="3">
        <v>99</v>
      </c>
      <c r="F3381" s="3">
        <v>99</v>
      </c>
      <c r="G3381" t="s">
        <v>513</v>
      </c>
    </row>
    <row r="3382" spans="1:7" x14ac:dyDescent="0.25">
      <c r="A3382" s="1" t="str">
        <f>"512998"</f>
        <v>512998</v>
      </c>
      <c r="B3382" s="2" t="str">
        <f>"BROCA ACO RAPIDO -    1/2"</f>
        <v>BROCA ACO RAPIDO -    1/2</v>
      </c>
      <c r="C3382" s="2" t="str">
        <f t="shared" si="136"/>
        <v>UN</v>
      </c>
      <c r="D3382" s="7">
        <v>402</v>
      </c>
      <c r="E3382" s="3">
        <v>4</v>
      </c>
      <c r="F3382" s="3">
        <v>4</v>
      </c>
      <c r="G3382" t="s">
        <v>512</v>
      </c>
    </row>
    <row r="3383" spans="1:7" x14ac:dyDescent="0.25">
      <c r="A3383" s="1" t="str">
        <f>"500299"</f>
        <v>500299</v>
      </c>
      <c r="B3383" s="2" t="str">
        <f>"BROCA ACO RAPIDO -    1/4"</f>
        <v>BROCA ACO RAPIDO -    1/4</v>
      </c>
      <c r="C3383" s="2" t="str">
        <f t="shared" si="136"/>
        <v>UN</v>
      </c>
      <c r="D3383" s="7">
        <v>402</v>
      </c>
      <c r="E3383" s="3">
        <v>4</v>
      </c>
      <c r="F3383" s="3">
        <v>4</v>
      </c>
      <c r="G3383" t="s">
        <v>513</v>
      </c>
    </row>
    <row r="3384" spans="1:7" x14ac:dyDescent="0.25">
      <c r="A3384" s="1" t="str">
        <f>"519207"</f>
        <v>519207</v>
      </c>
      <c r="B3384" s="2" t="str">
        <f>"BROCA ACO RAPIDO -    1/8"</f>
        <v>BROCA ACO RAPIDO -    1/8</v>
      </c>
      <c r="C3384" s="2" t="str">
        <f t="shared" si="136"/>
        <v>UN</v>
      </c>
      <c r="D3384" s="7">
        <v>402</v>
      </c>
      <c r="E3384" s="3">
        <v>4</v>
      </c>
      <c r="F3384" s="3">
        <v>4</v>
      </c>
      <c r="G3384" t="s">
        <v>514</v>
      </c>
    </row>
    <row r="3385" spans="1:7" x14ac:dyDescent="0.25">
      <c r="A3385" s="1" t="str">
        <f>"503883"</f>
        <v>503883</v>
      </c>
      <c r="B3385" s="2" t="str">
        <f>"BROCA ACO RAPIDO -  11/64"</f>
        <v>BROCA ACO RAPIDO -  11/64</v>
      </c>
      <c r="C3385" s="2" t="str">
        <f t="shared" si="136"/>
        <v>UN</v>
      </c>
      <c r="D3385" s="7">
        <v>402</v>
      </c>
      <c r="E3385" s="3">
        <v>4</v>
      </c>
      <c r="F3385" s="3">
        <v>4</v>
      </c>
      <c r="G3385" t="s">
        <v>514</v>
      </c>
    </row>
    <row r="3386" spans="1:7" x14ac:dyDescent="0.25">
      <c r="A3386" s="1" t="str">
        <f>"503889"</f>
        <v>503889</v>
      </c>
      <c r="B3386" s="2" t="str">
        <f>"BROCA ACO RAPIDO -  13/32"</f>
        <v>BROCA ACO RAPIDO -  13/32</v>
      </c>
      <c r="C3386" s="2" t="str">
        <f t="shared" si="136"/>
        <v>UN</v>
      </c>
      <c r="D3386" s="7">
        <v>402</v>
      </c>
      <c r="E3386" s="3">
        <v>4</v>
      </c>
      <c r="F3386" s="3">
        <v>4</v>
      </c>
      <c r="G3386" t="s">
        <v>514</v>
      </c>
    </row>
    <row r="3387" spans="1:7" x14ac:dyDescent="0.25">
      <c r="A3387" s="1" t="str">
        <f>"503884"</f>
        <v>503884</v>
      </c>
      <c r="B3387" s="2" t="str">
        <f>"BROCA ACO RAPIDO -  13/64"</f>
        <v>BROCA ACO RAPIDO -  13/64</v>
      </c>
      <c r="C3387" s="2" t="str">
        <f t="shared" si="136"/>
        <v>UN</v>
      </c>
      <c r="D3387" s="7">
        <v>402</v>
      </c>
      <c r="E3387" s="3">
        <v>4</v>
      </c>
      <c r="F3387" s="3">
        <v>4</v>
      </c>
      <c r="G3387" t="s">
        <v>513</v>
      </c>
    </row>
    <row r="3388" spans="1:7" x14ac:dyDescent="0.25">
      <c r="A3388" s="1" t="str">
        <f>"503886"</f>
        <v>503886</v>
      </c>
      <c r="B3388" s="2" t="str">
        <f>"BROCA ACO RAPIDO -  15/64"</f>
        <v>BROCA ACO RAPIDO -  15/64</v>
      </c>
      <c r="C3388" s="2" t="str">
        <f t="shared" si="136"/>
        <v>UN</v>
      </c>
      <c r="D3388" s="7">
        <v>402</v>
      </c>
      <c r="E3388" s="3">
        <v>4</v>
      </c>
      <c r="F3388" s="3">
        <v>4</v>
      </c>
      <c r="G3388" t="s">
        <v>513</v>
      </c>
    </row>
    <row r="3389" spans="1:7" x14ac:dyDescent="0.25">
      <c r="A3389" s="1" t="str">
        <f>"508330"</f>
        <v>508330</v>
      </c>
      <c r="B3389" s="2" t="str">
        <f>"BROCA ACO RAPIDO - 01 MM"</f>
        <v>BROCA ACO RAPIDO - 01 MM</v>
      </c>
      <c r="C3389" s="2" t="str">
        <f t="shared" si="136"/>
        <v>UN</v>
      </c>
      <c r="D3389" s="7">
        <v>402</v>
      </c>
      <c r="E3389" s="3">
        <v>4</v>
      </c>
      <c r="F3389" s="3">
        <v>4</v>
      </c>
      <c r="G3389" t="s">
        <v>513</v>
      </c>
    </row>
    <row r="3390" spans="1:7" x14ac:dyDescent="0.25">
      <c r="A3390" s="1" t="str">
        <f>"502830"</f>
        <v>502830</v>
      </c>
      <c r="B3390" s="2" t="str">
        <f>"BROCA ACO RAPIDO - 02 MM"</f>
        <v>BROCA ACO RAPIDO - 02 MM</v>
      </c>
      <c r="C3390" s="2" t="str">
        <f t="shared" si="136"/>
        <v>UN</v>
      </c>
      <c r="D3390" s="7">
        <v>402</v>
      </c>
      <c r="E3390" s="3">
        <v>4</v>
      </c>
      <c r="F3390" s="3">
        <v>4</v>
      </c>
      <c r="G3390" t="s">
        <v>512</v>
      </c>
    </row>
    <row r="3391" spans="1:7" x14ac:dyDescent="0.25">
      <c r="A3391" s="1" t="str">
        <f>"503888"</f>
        <v>503888</v>
      </c>
      <c r="B3391" s="2" t="str">
        <f>"BROCA ACO RAPIDO - 03 MM"</f>
        <v>BROCA ACO RAPIDO - 03 MM</v>
      </c>
      <c r="C3391" s="2" t="str">
        <f t="shared" si="136"/>
        <v>UN</v>
      </c>
      <c r="D3391" s="7">
        <v>402</v>
      </c>
      <c r="E3391" s="3">
        <v>4</v>
      </c>
      <c r="F3391" s="3">
        <v>4</v>
      </c>
      <c r="G3391" t="s">
        <v>513</v>
      </c>
    </row>
    <row r="3392" spans="1:7" x14ac:dyDescent="0.25">
      <c r="A3392" s="1" t="str">
        <f>"502052"</f>
        <v>502052</v>
      </c>
      <c r="B3392" s="2" t="str">
        <f>"BROCA ACO RAPIDO - 04 MM"</f>
        <v>BROCA ACO RAPIDO - 04 MM</v>
      </c>
      <c r="C3392" s="2" t="str">
        <f t="shared" si="136"/>
        <v>UN</v>
      </c>
      <c r="D3392" s="7">
        <v>402</v>
      </c>
      <c r="E3392" s="3">
        <v>4</v>
      </c>
      <c r="F3392" s="3">
        <v>4</v>
      </c>
      <c r="G3392" t="s">
        <v>514</v>
      </c>
    </row>
    <row r="3393" spans="1:7" x14ac:dyDescent="0.25">
      <c r="A3393" s="1" t="str">
        <f>"503805"</f>
        <v>503805</v>
      </c>
      <c r="B3393" s="2" t="str">
        <f>"BROCA ACO RAPIDO - 05 MM"</f>
        <v>BROCA ACO RAPIDO - 05 MM</v>
      </c>
      <c r="C3393" s="2" t="str">
        <f t="shared" si="136"/>
        <v>UN</v>
      </c>
      <c r="D3393" s="7">
        <v>402</v>
      </c>
      <c r="E3393" s="3">
        <v>4</v>
      </c>
      <c r="F3393" s="3">
        <v>4</v>
      </c>
      <c r="G3393" t="s">
        <v>515</v>
      </c>
    </row>
    <row r="3394" spans="1:7" x14ac:dyDescent="0.25">
      <c r="A3394" s="1" t="str">
        <f>"503768"</f>
        <v>503768</v>
      </c>
      <c r="B3394" s="2" t="str">
        <f>"BROCA ACO RAPIDO - 06 MM"</f>
        <v>BROCA ACO RAPIDO - 06 MM</v>
      </c>
      <c r="C3394" s="2" t="str">
        <f t="shared" si="136"/>
        <v>UN</v>
      </c>
      <c r="D3394" s="7">
        <v>402</v>
      </c>
      <c r="E3394" s="3">
        <v>4</v>
      </c>
      <c r="F3394" s="3">
        <v>4</v>
      </c>
      <c r="G3394" t="s">
        <v>512</v>
      </c>
    </row>
    <row r="3395" spans="1:7" x14ac:dyDescent="0.25">
      <c r="A3395" s="1" t="str">
        <f>"502053"</f>
        <v>502053</v>
      </c>
      <c r="B3395" s="2" t="str">
        <f>"BROCA ACO RAPIDO - 07 MM"</f>
        <v>BROCA ACO RAPIDO - 07 MM</v>
      </c>
      <c r="C3395" s="2" t="str">
        <f t="shared" si="136"/>
        <v>UN</v>
      </c>
      <c r="D3395" s="7">
        <v>402</v>
      </c>
      <c r="E3395" s="3">
        <v>4</v>
      </c>
      <c r="F3395" s="3">
        <v>4</v>
      </c>
      <c r="G3395" t="s">
        <v>516</v>
      </c>
    </row>
    <row r="3396" spans="1:7" x14ac:dyDescent="0.25">
      <c r="A3396" s="1" t="str">
        <f>"501447"</f>
        <v>501447</v>
      </c>
      <c r="B3396" s="2" t="str">
        <f>"BROCA ACO RAPIDO - 08 MM"</f>
        <v>BROCA ACO RAPIDO - 08 MM</v>
      </c>
      <c r="C3396" s="2" t="str">
        <f t="shared" si="136"/>
        <v>UN</v>
      </c>
      <c r="D3396" s="7">
        <v>402</v>
      </c>
      <c r="E3396" s="3">
        <v>4</v>
      </c>
      <c r="F3396" s="3">
        <v>4</v>
      </c>
      <c r="G3396" t="s">
        <v>515</v>
      </c>
    </row>
    <row r="3397" spans="1:7" x14ac:dyDescent="0.25">
      <c r="A3397" s="1" t="str">
        <f>"506254"</f>
        <v>506254</v>
      </c>
      <c r="B3397" s="2" t="str">
        <f>"BROCA ACO RAPIDO - 09 MM"</f>
        <v>BROCA ACO RAPIDO - 09 MM</v>
      </c>
      <c r="C3397" s="2" t="str">
        <f t="shared" si="136"/>
        <v>UN</v>
      </c>
      <c r="D3397" s="7">
        <v>920</v>
      </c>
      <c r="E3397" s="3">
        <v>11</v>
      </c>
      <c r="F3397" s="3">
        <v>11</v>
      </c>
      <c r="G3397" t="s">
        <v>514</v>
      </c>
    </row>
    <row r="3398" spans="1:7" x14ac:dyDescent="0.25">
      <c r="A3398" s="1" t="str">
        <f>"512418"</f>
        <v>512418</v>
      </c>
      <c r="B3398" s="2" t="str">
        <f>"BROCA ACO RAPIDO - 1,5MM"</f>
        <v>BROCA ACO RAPIDO - 1,5MM</v>
      </c>
      <c r="C3398" s="2" t="str">
        <f t="shared" si="136"/>
        <v>UN</v>
      </c>
      <c r="D3398" s="7">
        <v>402</v>
      </c>
      <c r="E3398" s="3">
        <v>4</v>
      </c>
      <c r="F3398" s="3">
        <v>4</v>
      </c>
      <c r="G3398" t="s">
        <v>512</v>
      </c>
    </row>
    <row r="3399" spans="1:7" x14ac:dyDescent="0.25">
      <c r="A3399" s="1" t="str">
        <f>"508090"</f>
        <v>508090</v>
      </c>
      <c r="B3399" s="2" t="str">
        <f>"BROCA AÇO RAPIDO - 1/16"</f>
        <v>BROCA AÇO RAPIDO - 1/16</v>
      </c>
      <c r="C3399" s="2" t="str">
        <f t="shared" si="136"/>
        <v>UN</v>
      </c>
      <c r="D3399" s="7">
        <v>402</v>
      </c>
      <c r="E3399" s="3">
        <v>4</v>
      </c>
      <c r="F3399" s="3">
        <v>4</v>
      </c>
      <c r="G3399" t="s">
        <v>513</v>
      </c>
    </row>
    <row r="3400" spans="1:7" x14ac:dyDescent="0.25">
      <c r="A3400" s="1" t="str">
        <f>"527032"</f>
        <v>527032</v>
      </c>
      <c r="B3400" s="2" t="str">
        <f>"BROCA ACO RAPIDO - 1/8 MM"</f>
        <v>BROCA ACO RAPIDO - 1/8 MM</v>
      </c>
      <c r="C3400" s="2" t="str">
        <f t="shared" si="136"/>
        <v>UN</v>
      </c>
      <c r="D3400" s="7">
        <v>920</v>
      </c>
      <c r="E3400" s="3">
        <v>4</v>
      </c>
      <c r="F3400" s="3">
        <v>4</v>
      </c>
      <c r="G3400" t="s">
        <v>514</v>
      </c>
    </row>
    <row r="3401" spans="1:7" x14ac:dyDescent="0.25">
      <c r="A3401" s="1" t="str">
        <f>"501448"</f>
        <v>501448</v>
      </c>
      <c r="B3401" s="2" t="str">
        <f>"BROCA ACO RAPIDO - 10 MM"</f>
        <v>BROCA ACO RAPIDO - 10 MM</v>
      </c>
      <c r="C3401" s="2" t="str">
        <f t="shared" si="136"/>
        <v>UN</v>
      </c>
      <c r="D3401" s="7">
        <v>402</v>
      </c>
      <c r="E3401" s="3">
        <v>4</v>
      </c>
      <c r="F3401" s="3">
        <v>4</v>
      </c>
      <c r="G3401" t="s">
        <v>514</v>
      </c>
    </row>
    <row r="3402" spans="1:7" x14ac:dyDescent="0.25">
      <c r="A3402" s="1" t="str">
        <f>"511544"</f>
        <v>511544</v>
      </c>
      <c r="B3402" s="2" t="str">
        <f>"BROCA ACO RAPIDO - 10,5MM"</f>
        <v>BROCA ACO RAPIDO - 10,5MM</v>
      </c>
      <c r="C3402" s="2" t="str">
        <f t="shared" si="136"/>
        <v>UN</v>
      </c>
      <c r="D3402" s="7">
        <v>402</v>
      </c>
      <c r="E3402" s="3">
        <v>4</v>
      </c>
      <c r="F3402" s="3">
        <v>4</v>
      </c>
      <c r="G3402" t="s">
        <v>512</v>
      </c>
    </row>
    <row r="3403" spans="1:7" x14ac:dyDescent="0.25">
      <c r="A3403" s="1" t="str">
        <f>"508331"</f>
        <v>508331</v>
      </c>
      <c r="B3403" s="2" t="str">
        <f>"BROCA ACO RAPIDO - 11 MM"</f>
        <v>BROCA ACO RAPIDO - 11 MM</v>
      </c>
      <c r="C3403" s="2" t="str">
        <f t="shared" si="136"/>
        <v>UN</v>
      </c>
      <c r="D3403" s="7">
        <v>402</v>
      </c>
      <c r="E3403" s="3">
        <v>4</v>
      </c>
      <c r="F3403" s="3">
        <v>4</v>
      </c>
      <c r="G3403" t="s">
        <v>513</v>
      </c>
    </row>
    <row r="3404" spans="1:7" x14ac:dyDescent="0.25">
      <c r="A3404" s="1" t="str">
        <f>"510769"</f>
        <v>510769</v>
      </c>
      <c r="B3404" s="2" t="str">
        <f>"BROCA ACO RAPIDO - 12 MM"</f>
        <v>BROCA ACO RAPIDO - 12 MM</v>
      </c>
      <c r="C3404" s="2" t="str">
        <f t="shared" si="136"/>
        <v>UN</v>
      </c>
      <c r="D3404" s="7">
        <v>402</v>
      </c>
      <c r="E3404" s="3">
        <v>4</v>
      </c>
      <c r="F3404" s="3">
        <v>4</v>
      </c>
      <c r="G3404" t="s">
        <v>514</v>
      </c>
    </row>
    <row r="3405" spans="1:7" x14ac:dyDescent="0.25">
      <c r="A3405" s="1" t="str">
        <f>"512421"</f>
        <v>512421</v>
      </c>
      <c r="B3405" s="2" t="str">
        <f>"BROCA ACO RAPIDO - 12,5MM"</f>
        <v>BROCA ACO RAPIDO - 12,5MM</v>
      </c>
      <c r="C3405" s="2" t="str">
        <f t="shared" si="136"/>
        <v>UN</v>
      </c>
      <c r="D3405" s="7">
        <v>402</v>
      </c>
      <c r="E3405" s="3">
        <v>4</v>
      </c>
      <c r="F3405" s="3">
        <v>4</v>
      </c>
      <c r="G3405" t="s">
        <v>514</v>
      </c>
    </row>
    <row r="3406" spans="1:7" x14ac:dyDescent="0.25">
      <c r="A3406" s="1" t="str">
        <f>"508332"</f>
        <v>508332</v>
      </c>
      <c r="B3406" s="2" t="str">
        <f>"BROCA ACO RAPIDO - 13 MM"</f>
        <v>BROCA ACO RAPIDO - 13 MM</v>
      </c>
      <c r="C3406" s="2" t="str">
        <f t="shared" si="136"/>
        <v>UN</v>
      </c>
      <c r="D3406" s="7">
        <v>402</v>
      </c>
      <c r="E3406" s="3">
        <v>4</v>
      </c>
      <c r="F3406" s="3">
        <v>4</v>
      </c>
      <c r="G3406" t="s">
        <v>514</v>
      </c>
    </row>
    <row r="3407" spans="1:7" x14ac:dyDescent="0.25">
      <c r="A3407" s="1" t="str">
        <f>"508333"</f>
        <v>508333</v>
      </c>
      <c r="B3407" s="2" t="str">
        <f>"BROCA ACO RAPIDO - 14 MM"</f>
        <v>BROCA ACO RAPIDO - 14 MM</v>
      </c>
      <c r="C3407" s="2" t="str">
        <f t="shared" si="136"/>
        <v>UN</v>
      </c>
      <c r="D3407" s="7">
        <v>402</v>
      </c>
      <c r="E3407" s="3">
        <v>4</v>
      </c>
      <c r="F3407" s="3">
        <v>4</v>
      </c>
      <c r="G3407" t="s">
        <v>513</v>
      </c>
    </row>
    <row r="3408" spans="1:7" x14ac:dyDescent="0.25">
      <c r="A3408" s="1" t="str">
        <f>"509742"</f>
        <v>509742</v>
      </c>
      <c r="B3408" s="2" t="str">
        <f>"BROCA ACO RAPIDO - 15 MM"</f>
        <v>BROCA ACO RAPIDO - 15 MM</v>
      </c>
      <c r="C3408" s="2" t="str">
        <f t="shared" si="136"/>
        <v>UN</v>
      </c>
      <c r="D3408" s="7">
        <v>402</v>
      </c>
      <c r="E3408" s="3">
        <v>4</v>
      </c>
      <c r="F3408" s="3">
        <v>4</v>
      </c>
      <c r="G3408" t="s">
        <v>512</v>
      </c>
    </row>
    <row r="3409" spans="1:7" x14ac:dyDescent="0.25">
      <c r="A3409" s="1" t="str">
        <f>"508334"</f>
        <v>508334</v>
      </c>
      <c r="B3409" s="2" t="str">
        <f>"BROCA ACO RAPIDO - 16 MM"</f>
        <v>BROCA ACO RAPIDO - 16 MM</v>
      </c>
      <c r="C3409" s="2" t="str">
        <f t="shared" si="136"/>
        <v>UN</v>
      </c>
      <c r="D3409" s="7">
        <v>402</v>
      </c>
      <c r="E3409" s="3">
        <v>4</v>
      </c>
      <c r="F3409" s="3">
        <v>4</v>
      </c>
      <c r="G3409" t="s">
        <v>513</v>
      </c>
    </row>
    <row r="3410" spans="1:7" x14ac:dyDescent="0.25">
      <c r="A3410" s="1" t="str">
        <f>"508335"</f>
        <v>508335</v>
      </c>
      <c r="B3410" s="2" t="str">
        <f>"BROCA ACO RAPIDO - 17 MM"</f>
        <v>BROCA ACO RAPIDO - 17 MM</v>
      </c>
      <c r="C3410" s="2" t="str">
        <f t="shared" si="136"/>
        <v>UN</v>
      </c>
      <c r="D3410" s="7">
        <v>402</v>
      </c>
      <c r="E3410" s="3">
        <v>4</v>
      </c>
      <c r="F3410" s="3">
        <v>4</v>
      </c>
      <c r="G3410" t="s">
        <v>514</v>
      </c>
    </row>
    <row r="3411" spans="1:7" x14ac:dyDescent="0.25">
      <c r="A3411" s="1" t="str">
        <f>"527177"</f>
        <v>527177</v>
      </c>
      <c r="B3411" s="2" t="str">
        <f>"BROCA ACO RAPIDO - 19 MM"</f>
        <v>BROCA ACO RAPIDO - 19 MM</v>
      </c>
      <c r="C3411" s="2" t="str">
        <f t="shared" ref="C3411:C3442" si="137">"UN"</f>
        <v>UN</v>
      </c>
      <c r="D3411" s="7">
        <v>402</v>
      </c>
      <c r="E3411" s="3">
        <v>4</v>
      </c>
      <c r="F3411" s="3">
        <v>4</v>
      </c>
      <c r="G3411" t="s">
        <v>514</v>
      </c>
    </row>
    <row r="3412" spans="1:7" x14ac:dyDescent="0.25">
      <c r="A3412" s="1" t="str">
        <f>"505354"</f>
        <v>505354</v>
      </c>
      <c r="B3412" s="2" t="str">
        <f>"BROCA ACO RAPIDO - 2,5MM"</f>
        <v>BROCA ACO RAPIDO - 2,5MM</v>
      </c>
      <c r="C3412" s="2" t="str">
        <f t="shared" si="137"/>
        <v>UN</v>
      </c>
      <c r="D3412" s="7">
        <v>402</v>
      </c>
      <c r="E3412" s="3">
        <v>4</v>
      </c>
      <c r="F3412" s="3">
        <v>4</v>
      </c>
      <c r="G3412" t="s">
        <v>514</v>
      </c>
    </row>
    <row r="3413" spans="1:7" x14ac:dyDescent="0.25">
      <c r="A3413" s="1" t="str">
        <f>"517428"</f>
        <v>517428</v>
      </c>
      <c r="B3413" s="2" t="str">
        <f>"BROCA ACO RAPIDO - 3,5 MM"</f>
        <v>BROCA ACO RAPIDO - 3,5 MM</v>
      </c>
      <c r="C3413" s="2" t="str">
        <f t="shared" si="137"/>
        <v>UN</v>
      </c>
      <c r="D3413" s="7">
        <v>920</v>
      </c>
      <c r="E3413" s="3">
        <v>4</v>
      </c>
      <c r="F3413" s="3">
        <v>4</v>
      </c>
      <c r="G3413" t="s">
        <v>513</v>
      </c>
    </row>
    <row r="3414" spans="1:7" x14ac:dyDescent="0.25">
      <c r="A3414" s="1" t="str">
        <f>"514755"</f>
        <v>514755</v>
      </c>
      <c r="B3414" s="2" t="str">
        <f>"BROCA ACO RAPIDO - 3/16"</f>
        <v>BROCA ACO RAPIDO - 3/16</v>
      </c>
      <c r="C3414" s="2" t="str">
        <f t="shared" si="137"/>
        <v>UN</v>
      </c>
      <c r="D3414" s="7">
        <v>402</v>
      </c>
      <c r="E3414" s="3">
        <v>4</v>
      </c>
      <c r="F3414" s="3">
        <v>4</v>
      </c>
      <c r="G3414" t="s">
        <v>513</v>
      </c>
    </row>
    <row r="3415" spans="1:7" x14ac:dyDescent="0.25">
      <c r="A3415" s="1" t="str">
        <f>"518867"</f>
        <v>518867</v>
      </c>
      <c r="B3415" s="2" t="str">
        <f>"BROCA AÇO RAPIDO - 3/4"</f>
        <v>BROCA AÇO RAPIDO - 3/4</v>
      </c>
      <c r="C3415" s="2" t="str">
        <f t="shared" si="137"/>
        <v>UN</v>
      </c>
      <c r="D3415" s="7">
        <v>402</v>
      </c>
      <c r="E3415" s="3">
        <v>4</v>
      </c>
      <c r="F3415" s="3">
        <v>4</v>
      </c>
      <c r="G3415" t="s">
        <v>513</v>
      </c>
    </row>
    <row r="3416" spans="1:7" x14ac:dyDescent="0.25">
      <c r="A3416" s="1" t="str">
        <f>"513434"</f>
        <v>513434</v>
      </c>
      <c r="B3416" s="2" t="str">
        <f>"BROCA ACO RAPIDO - 3/8"</f>
        <v>BROCA ACO RAPIDO - 3/8</v>
      </c>
      <c r="C3416" s="2" t="str">
        <f t="shared" si="137"/>
        <v>UN</v>
      </c>
      <c r="D3416" s="7">
        <v>402</v>
      </c>
      <c r="E3416" s="3">
        <v>4</v>
      </c>
      <c r="F3416" s="3">
        <v>4</v>
      </c>
      <c r="G3416" t="s">
        <v>512</v>
      </c>
    </row>
    <row r="3417" spans="1:7" x14ac:dyDescent="0.25">
      <c r="A3417" s="1" t="str">
        <f>"517336"</f>
        <v>517336</v>
      </c>
      <c r="B3417" s="2" t="str">
        <f>"BROCA ACO RAPIDO - 4 MM"</f>
        <v>BROCA ACO RAPIDO - 4 MM</v>
      </c>
      <c r="C3417" s="2" t="str">
        <f t="shared" si="137"/>
        <v>UN</v>
      </c>
      <c r="D3417" s="7">
        <v>918</v>
      </c>
      <c r="E3417" s="3">
        <v>4</v>
      </c>
      <c r="F3417" s="3">
        <v>4</v>
      </c>
      <c r="G3417" t="s">
        <v>513</v>
      </c>
    </row>
    <row r="3418" spans="1:7" x14ac:dyDescent="0.25">
      <c r="A3418" s="1" t="str">
        <f>"503766"</f>
        <v>503766</v>
      </c>
      <c r="B3418" s="2" t="str">
        <f>"BROCA ACO RAPIDO - 4,5MM"</f>
        <v>BROCA ACO RAPIDO - 4,5MM</v>
      </c>
      <c r="C3418" s="2" t="str">
        <f t="shared" si="137"/>
        <v>UN</v>
      </c>
      <c r="D3418" s="7">
        <v>402</v>
      </c>
      <c r="E3418" s="3">
        <v>4</v>
      </c>
      <c r="F3418" s="3">
        <v>4</v>
      </c>
      <c r="G3418" t="s">
        <v>514</v>
      </c>
    </row>
    <row r="3419" spans="1:7" x14ac:dyDescent="0.25">
      <c r="A3419" s="1" t="str">
        <f>"517430"</f>
        <v>517430</v>
      </c>
      <c r="B3419" s="2" t="str">
        <f>"BROCA ACO RAPIDO - 5,5 MM"</f>
        <v>BROCA ACO RAPIDO - 5,5 MM</v>
      </c>
      <c r="C3419" s="2" t="str">
        <f t="shared" si="137"/>
        <v>UN</v>
      </c>
      <c r="D3419" s="7">
        <v>920</v>
      </c>
      <c r="E3419" s="3">
        <v>4</v>
      </c>
      <c r="F3419" s="3">
        <v>4</v>
      </c>
      <c r="G3419" t="s">
        <v>515</v>
      </c>
    </row>
    <row r="3420" spans="1:7" x14ac:dyDescent="0.25">
      <c r="A3420" s="1" t="str">
        <f>"512419"</f>
        <v>512419</v>
      </c>
      <c r="B3420" s="2" t="str">
        <f>"BROCA ACO RAPIDO - 5,5MM"</f>
        <v>BROCA ACO RAPIDO - 5,5MM</v>
      </c>
      <c r="C3420" s="2" t="str">
        <f t="shared" si="137"/>
        <v>UN</v>
      </c>
      <c r="D3420" s="7">
        <v>402</v>
      </c>
      <c r="E3420" s="3">
        <v>4</v>
      </c>
      <c r="F3420" s="3">
        <v>4</v>
      </c>
      <c r="G3420" t="s">
        <v>512</v>
      </c>
    </row>
    <row r="3421" spans="1:7" x14ac:dyDescent="0.25">
      <c r="A3421" s="1" t="str">
        <f>"517429"</f>
        <v>517429</v>
      </c>
      <c r="B3421" s="2" t="str">
        <f>"BROCA ACO RAPIDO - 5/16"</f>
        <v>BROCA ACO RAPIDO - 5/16</v>
      </c>
      <c r="C3421" s="2" t="str">
        <f t="shared" si="137"/>
        <v>UN</v>
      </c>
      <c r="D3421" s="7">
        <v>920</v>
      </c>
      <c r="E3421" s="3">
        <v>4</v>
      </c>
      <c r="F3421" s="3">
        <v>4</v>
      </c>
      <c r="G3421" t="s">
        <v>516</v>
      </c>
    </row>
    <row r="3422" spans="1:7" x14ac:dyDescent="0.25">
      <c r="A3422" s="1" t="str">
        <f>"514756"</f>
        <v>514756</v>
      </c>
      <c r="B3422" s="2" t="str">
        <f>"BROCA ACO RAPIDO - 5/32"</f>
        <v>BROCA ACO RAPIDO - 5/32</v>
      </c>
      <c r="C3422" s="2" t="str">
        <f t="shared" si="137"/>
        <v>UN</v>
      </c>
      <c r="D3422" s="7">
        <v>402</v>
      </c>
      <c r="E3422" s="3">
        <v>4</v>
      </c>
      <c r="F3422" s="3">
        <v>4</v>
      </c>
      <c r="G3422" t="s">
        <v>515</v>
      </c>
    </row>
    <row r="3423" spans="1:7" x14ac:dyDescent="0.25">
      <c r="A3423" s="1" t="str">
        <f>"512798"</f>
        <v>512798</v>
      </c>
      <c r="B3423" s="2" t="str">
        <f>"BROCA ACO RAPIDO - 5/64"</f>
        <v>BROCA ACO RAPIDO - 5/64</v>
      </c>
      <c r="C3423" s="2" t="str">
        <f t="shared" si="137"/>
        <v>UN</v>
      </c>
      <c r="D3423" s="7">
        <v>402</v>
      </c>
      <c r="E3423" s="3">
        <v>4</v>
      </c>
      <c r="F3423" s="3">
        <v>4</v>
      </c>
      <c r="G3423" t="s">
        <v>514</v>
      </c>
    </row>
    <row r="3424" spans="1:7" x14ac:dyDescent="0.25">
      <c r="A3424" s="1" t="str">
        <f>"503767"</f>
        <v>503767</v>
      </c>
      <c r="B3424" s="2" t="str">
        <f>"BROCA ACO RAPIDO - 5/8"</f>
        <v>BROCA ACO RAPIDO - 5/8</v>
      </c>
      <c r="C3424" s="2" t="str">
        <f t="shared" si="137"/>
        <v>UN</v>
      </c>
      <c r="D3424" s="7">
        <v>402</v>
      </c>
      <c r="E3424" s="3">
        <v>4</v>
      </c>
      <c r="F3424" s="3">
        <v>4</v>
      </c>
      <c r="G3424" t="s">
        <v>512</v>
      </c>
    </row>
    <row r="3425" spans="1:7" x14ac:dyDescent="0.25">
      <c r="A3425" s="1" t="str">
        <f>"517431"</f>
        <v>517431</v>
      </c>
      <c r="B3425" s="2" t="str">
        <f>"BROCA ACO RAPIDO - 6,5 MM"</f>
        <v>BROCA ACO RAPIDO - 6,5 MM</v>
      </c>
      <c r="C3425" s="2" t="str">
        <f t="shared" si="137"/>
        <v>UN</v>
      </c>
      <c r="D3425" s="7">
        <v>920</v>
      </c>
      <c r="E3425" s="3">
        <v>4</v>
      </c>
      <c r="F3425" s="3">
        <v>4</v>
      </c>
      <c r="G3425" t="s">
        <v>513</v>
      </c>
    </row>
    <row r="3426" spans="1:7" x14ac:dyDescent="0.25">
      <c r="A3426" s="1" t="str">
        <f>"512285"</f>
        <v>512285</v>
      </c>
      <c r="B3426" s="2" t="str">
        <f>"BROCA ACO RAPIDO - 7,5MM"</f>
        <v>BROCA ACO RAPIDO - 7,5MM</v>
      </c>
      <c r="C3426" s="2" t="str">
        <f t="shared" si="137"/>
        <v>UN</v>
      </c>
      <c r="D3426" s="7">
        <v>402</v>
      </c>
      <c r="E3426" s="3">
        <v>4</v>
      </c>
      <c r="F3426" s="3">
        <v>4</v>
      </c>
      <c r="G3426" t="s">
        <v>514</v>
      </c>
    </row>
    <row r="3427" spans="1:7" x14ac:dyDescent="0.25">
      <c r="A3427" s="1" t="str">
        <f>"500078"</f>
        <v>500078</v>
      </c>
      <c r="B3427" s="2" t="str">
        <f>"BROCA ACO RAPIDO - 7/16"</f>
        <v>BROCA ACO RAPIDO - 7/16</v>
      </c>
      <c r="C3427" s="2" t="str">
        <f t="shared" si="137"/>
        <v>UN</v>
      </c>
      <c r="D3427" s="7">
        <v>403</v>
      </c>
      <c r="E3427" s="3">
        <v>4</v>
      </c>
      <c r="F3427" s="3">
        <v>4</v>
      </c>
      <c r="G3427" t="s">
        <v>514</v>
      </c>
    </row>
    <row r="3428" spans="1:7" x14ac:dyDescent="0.25">
      <c r="A3428" s="1" t="str">
        <f>"511542"</f>
        <v>511542</v>
      </c>
      <c r="B3428" s="2" t="str">
        <f>"BROCA ACO RAPIDO - 7/32"</f>
        <v>BROCA ACO RAPIDO - 7/32</v>
      </c>
      <c r="C3428" s="2" t="str">
        <f t="shared" si="137"/>
        <v>UN</v>
      </c>
      <c r="D3428" s="7">
        <v>402</v>
      </c>
      <c r="E3428" s="3">
        <v>4</v>
      </c>
      <c r="F3428" s="3">
        <v>4</v>
      </c>
      <c r="G3428" t="s">
        <v>512</v>
      </c>
    </row>
    <row r="3429" spans="1:7" x14ac:dyDescent="0.25">
      <c r="A3429" s="1" t="str">
        <f>"503885"</f>
        <v>503885</v>
      </c>
      <c r="B3429" s="2" t="str">
        <f>"BROCA ACO RAPIDO - 7/64"</f>
        <v>BROCA ACO RAPIDO - 7/64</v>
      </c>
      <c r="C3429" s="2" t="str">
        <f t="shared" si="137"/>
        <v>UN</v>
      </c>
      <c r="D3429" s="7">
        <v>402</v>
      </c>
      <c r="E3429" s="3">
        <v>4</v>
      </c>
      <c r="F3429" s="3">
        <v>4</v>
      </c>
      <c r="G3429" t="s">
        <v>513</v>
      </c>
    </row>
    <row r="3430" spans="1:7" x14ac:dyDescent="0.25">
      <c r="A3430" s="1" t="str">
        <f>"517432"</f>
        <v>517432</v>
      </c>
      <c r="B3430" s="2" t="str">
        <f>"BROCA ACO RAPIDO - 8,5 MM"</f>
        <v>BROCA ACO RAPIDO - 8,5 MM</v>
      </c>
      <c r="C3430" s="2" t="str">
        <f t="shared" si="137"/>
        <v>UN</v>
      </c>
      <c r="D3430" s="7">
        <v>920</v>
      </c>
      <c r="E3430" s="3">
        <v>4</v>
      </c>
      <c r="F3430" s="3">
        <v>4</v>
      </c>
      <c r="G3430" t="s">
        <v>514</v>
      </c>
    </row>
    <row r="3431" spans="1:7" x14ac:dyDescent="0.25">
      <c r="A3431" s="1" t="str">
        <f>"511543"</f>
        <v>511543</v>
      </c>
      <c r="B3431" s="2" t="str">
        <f>"BROCA ACO RAPIDO - 8,5MM"</f>
        <v>BROCA ACO RAPIDO - 8,5MM</v>
      </c>
      <c r="C3431" s="2" t="str">
        <f t="shared" si="137"/>
        <v>UN</v>
      </c>
      <c r="D3431" s="7">
        <v>402</v>
      </c>
      <c r="E3431" s="3">
        <v>4</v>
      </c>
      <c r="F3431" s="3">
        <v>4</v>
      </c>
      <c r="G3431" t="s">
        <v>514</v>
      </c>
    </row>
    <row r="3432" spans="1:7" x14ac:dyDescent="0.25">
      <c r="A3432" s="1" t="str">
        <f>"512420"</f>
        <v>512420</v>
      </c>
      <c r="B3432" s="2" t="str">
        <f>"BROCA ACO RAPIDO - 9,5MM"</f>
        <v>BROCA ACO RAPIDO - 9,5MM</v>
      </c>
      <c r="C3432" s="2" t="str">
        <f t="shared" si="137"/>
        <v>UN</v>
      </c>
      <c r="D3432" s="7">
        <v>402</v>
      </c>
      <c r="E3432" s="3">
        <v>4</v>
      </c>
      <c r="F3432" s="3">
        <v>4</v>
      </c>
      <c r="G3432" t="s">
        <v>514</v>
      </c>
    </row>
    <row r="3433" spans="1:7" x14ac:dyDescent="0.25">
      <c r="A3433" s="1" t="str">
        <f>"502685"</f>
        <v>502685</v>
      </c>
      <c r="B3433" s="2" t="str">
        <f>"BROCA ACO RAPIDO - 9/16"</f>
        <v>BROCA ACO RAPIDO - 9/16</v>
      </c>
      <c r="C3433" s="2" t="str">
        <f t="shared" si="137"/>
        <v>UN</v>
      </c>
      <c r="D3433" s="7">
        <v>402</v>
      </c>
      <c r="E3433" s="3">
        <v>4</v>
      </c>
      <c r="F3433" s="3">
        <v>4</v>
      </c>
      <c r="G3433" t="s">
        <v>513</v>
      </c>
    </row>
    <row r="3434" spans="1:7" x14ac:dyDescent="0.25">
      <c r="A3434" s="1" t="str">
        <f>"503887"</f>
        <v>503887</v>
      </c>
      <c r="B3434" s="2" t="str">
        <f>"BROCA ACO RAPIDO - 9/32 REF.2500932"</f>
        <v>BROCA ACO RAPIDO - 9/32 REF.2500932</v>
      </c>
      <c r="C3434" s="2" t="str">
        <f t="shared" si="137"/>
        <v>UN</v>
      </c>
      <c r="D3434" s="7">
        <v>402</v>
      </c>
      <c r="E3434" s="3">
        <v>4</v>
      </c>
      <c r="F3434" s="3">
        <v>4</v>
      </c>
      <c r="G3434" t="s">
        <v>512</v>
      </c>
    </row>
    <row r="3435" spans="1:7" x14ac:dyDescent="0.25">
      <c r="A3435" s="1" t="str">
        <f>"517433"</f>
        <v>517433</v>
      </c>
      <c r="B3435" s="2" t="str">
        <f>"BROCA ACO RAPIDO - 9/64"</f>
        <v>BROCA ACO RAPIDO - 9/64</v>
      </c>
      <c r="C3435" s="2" t="str">
        <f t="shared" si="137"/>
        <v>UN</v>
      </c>
      <c r="D3435" s="7">
        <v>920</v>
      </c>
      <c r="E3435" s="3">
        <v>4</v>
      </c>
      <c r="F3435" s="3">
        <v>4</v>
      </c>
      <c r="G3435" t="s">
        <v>513</v>
      </c>
    </row>
    <row r="3436" spans="1:7" x14ac:dyDescent="0.25">
      <c r="A3436" s="1" t="str">
        <f>"518806"</f>
        <v>518806</v>
      </c>
      <c r="B3436" s="2" t="str">
        <f>"BROCA ACO RAPIDO - 9MM"</f>
        <v>BROCA ACO RAPIDO - 9MM</v>
      </c>
      <c r="C3436" s="2" t="str">
        <f t="shared" si="137"/>
        <v>UN</v>
      </c>
      <c r="D3436" s="7">
        <v>402</v>
      </c>
      <c r="E3436" s="3">
        <v>4</v>
      </c>
      <c r="F3436" s="3">
        <v>4</v>
      </c>
      <c r="G3436" t="s">
        <v>514</v>
      </c>
    </row>
    <row r="3437" spans="1:7" x14ac:dyDescent="0.25">
      <c r="A3437" s="1" t="str">
        <f>"521724"</f>
        <v>521724</v>
      </c>
      <c r="B3437" s="2" t="str">
        <f>"BROCA ACO RAPIDO 06MM ENGATE RAPIDO"</f>
        <v>BROCA ACO RAPIDO 06MM ENGATE RAPIDO</v>
      </c>
      <c r="C3437" s="2" t="str">
        <f t="shared" si="137"/>
        <v>UN</v>
      </c>
      <c r="D3437" s="7">
        <v>812</v>
      </c>
      <c r="E3437" s="3">
        <v>11</v>
      </c>
      <c r="F3437" s="3">
        <v>11</v>
      </c>
      <c r="G3437" t="s">
        <v>514</v>
      </c>
    </row>
    <row r="3438" spans="1:7" x14ac:dyDescent="0.25">
      <c r="A3438" s="1" t="str">
        <f>"521723"</f>
        <v>521723</v>
      </c>
      <c r="B3438" s="2" t="str">
        <f>"BROCA ACO RAPIDO 08MM ENGATE RAPIDO"</f>
        <v>BROCA ACO RAPIDO 08MM ENGATE RAPIDO</v>
      </c>
      <c r="C3438" s="2" t="str">
        <f t="shared" si="137"/>
        <v>UN</v>
      </c>
      <c r="D3438" s="7">
        <v>812</v>
      </c>
      <c r="E3438" s="3">
        <v>11</v>
      </c>
      <c r="F3438" s="3">
        <v>11</v>
      </c>
      <c r="G3438" t="s">
        <v>514</v>
      </c>
    </row>
    <row r="3439" spans="1:7" x14ac:dyDescent="0.25">
      <c r="A3439" s="1" t="str">
        <f>"521722"</f>
        <v>521722</v>
      </c>
      <c r="B3439" s="2" t="str">
        <f>"BROCA ACO RAPIDO 10MM ENGATE RAPIDO"</f>
        <v>BROCA ACO RAPIDO 10MM ENGATE RAPIDO</v>
      </c>
      <c r="C3439" s="2" t="str">
        <f t="shared" si="137"/>
        <v>UN</v>
      </c>
      <c r="D3439" s="7">
        <v>812</v>
      </c>
      <c r="E3439" s="3">
        <v>11</v>
      </c>
      <c r="F3439" s="3">
        <v>11</v>
      </c>
      <c r="G3439" t="s">
        <v>513</v>
      </c>
    </row>
    <row r="3440" spans="1:7" x14ac:dyDescent="0.25">
      <c r="A3440" s="1" t="str">
        <f>"514744"</f>
        <v>514744</v>
      </c>
      <c r="B3440" s="2" t="str">
        <f>"BROCA AR 1/2 X 152MM"</f>
        <v>BROCA AR 1/2 X 152MM</v>
      </c>
      <c r="C3440" s="2" t="str">
        <f t="shared" si="137"/>
        <v>UN</v>
      </c>
      <c r="D3440" s="7">
        <v>920</v>
      </c>
      <c r="E3440" s="3">
        <v>4</v>
      </c>
      <c r="F3440" s="3">
        <v>4</v>
      </c>
      <c r="G3440" t="s">
        <v>513</v>
      </c>
    </row>
    <row r="3441" spans="1:7" x14ac:dyDescent="0.25">
      <c r="A3441" s="1" t="str">
        <f>"514743"</f>
        <v>514743</v>
      </c>
      <c r="B3441" s="2" t="str">
        <f>"BROCA AR 14 X 160MM"</f>
        <v>BROCA AR 14 X 160MM</v>
      </c>
      <c r="C3441" s="2" t="str">
        <f t="shared" si="137"/>
        <v>UN</v>
      </c>
      <c r="D3441" s="7">
        <v>920</v>
      </c>
      <c r="E3441" s="3">
        <v>4</v>
      </c>
      <c r="F3441" s="3">
        <v>4</v>
      </c>
      <c r="G3441" t="s">
        <v>513</v>
      </c>
    </row>
    <row r="3442" spans="1:7" x14ac:dyDescent="0.25">
      <c r="A3442" s="1" t="str">
        <f>"514740"</f>
        <v>514740</v>
      </c>
      <c r="B3442" s="2" t="str">
        <f>"BROCA AR 3/4 X 205MM"</f>
        <v>BROCA AR 3/4 X 205MM</v>
      </c>
      <c r="C3442" s="2" t="str">
        <f t="shared" si="137"/>
        <v>UN</v>
      </c>
      <c r="D3442" s="7">
        <v>920</v>
      </c>
      <c r="E3442" s="3">
        <v>4</v>
      </c>
      <c r="F3442" s="3">
        <v>4</v>
      </c>
      <c r="G3442" t="s">
        <v>512</v>
      </c>
    </row>
    <row r="3443" spans="1:7" x14ac:dyDescent="0.25">
      <c r="A3443" s="1" t="str">
        <f>"514741"</f>
        <v>514741</v>
      </c>
      <c r="B3443" s="2" t="str">
        <f>"BROCA AR 3/8 X 127MM"</f>
        <v>BROCA AR 3/8 X 127MM</v>
      </c>
      <c r="C3443" s="2" t="str">
        <f t="shared" ref="C3443:C3474" si="138">"UN"</f>
        <v>UN</v>
      </c>
      <c r="D3443" s="7">
        <v>920</v>
      </c>
      <c r="E3443" s="3">
        <v>4</v>
      </c>
      <c r="F3443" s="3">
        <v>4</v>
      </c>
      <c r="G3443" t="s">
        <v>513</v>
      </c>
    </row>
    <row r="3444" spans="1:7" x14ac:dyDescent="0.25">
      <c r="A3444" s="1" t="str">
        <f>"502047"</f>
        <v>502047</v>
      </c>
      <c r="B3444" s="2" t="str">
        <f>"BROCA AR 4,5 X 800MM"</f>
        <v>BROCA AR 4,5 X 800MM</v>
      </c>
      <c r="C3444" s="2" t="str">
        <f t="shared" si="138"/>
        <v>UN</v>
      </c>
      <c r="D3444" s="7">
        <v>919</v>
      </c>
      <c r="E3444" s="3">
        <v>13</v>
      </c>
      <c r="F3444" s="3">
        <v>13</v>
      </c>
      <c r="G3444" t="s">
        <v>514</v>
      </c>
    </row>
    <row r="3445" spans="1:7" x14ac:dyDescent="0.25">
      <c r="A3445" s="1" t="str">
        <f>"502044"</f>
        <v>502044</v>
      </c>
      <c r="B3445" s="2" t="str">
        <f>"BROCA AR 5 X 86MM"</f>
        <v>BROCA AR 5 X 86MM</v>
      </c>
      <c r="C3445" s="2" t="str">
        <f t="shared" si="138"/>
        <v>UN</v>
      </c>
      <c r="D3445" s="7">
        <v>919</v>
      </c>
      <c r="E3445" s="3">
        <v>13</v>
      </c>
      <c r="F3445" s="3">
        <v>13</v>
      </c>
      <c r="G3445" t="s">
        <v>515</v>
      </c>
    </row>
    <row r="3446" spans="1:7" x14ac:dyDescent="0.25">
      <c r="A3446" s="1" t="str">
        <f>"502045"</f>
        <v>502045</v>
      </c>
      <c r="B3446" s="2" t="str">
        <f>"BROCA AR 6 X 93MM"</f>
        <v>BROCA AR 6 X 93MM</v>
      </c>
      <c r="C3446" s="2" t="str">
        <f t="shared" si="138"/>
        <v>UN</v>
      </c>
      <c r="D3446" s="7">
        <v>919</v>
      </c>
      <c r="E3446" s="3">
        <v>13</v>
      </c>
      <c r="F3446" s="3">
        <v>13</v>
      </c>
      <c r="G3446" t="s">
        <v>512</v>
      </c>
    </row>
    <row r="3447" spans="1:7" x14ac:dyDescent="0.25">
      <c r="A3447" s="1" t="str">
        <f>"502046"</f>
        <v>502046</v>
      </c>
      <c r="B3447" s="2" t="str">
        <f>"BROCA AR 7 X 109MM"</f>
        <v>BROCA AR 7 X 109MM</v>
      </c>
      <c r="C3447" s="2" t="str">
        <f t="shared" si="138"/>
        <v>UN</v>
      </c>
      <c r="D3447" s="7">
        <v>919</v>
      </c>
      <c r="E3447" s="3">
        <v>13</v>
      </c>
      <c r="F3447" s="3">
        <v>13</v>
      </c>
      <c r="G3447" t="s">
        <v>516</v>
      </c>
    </row>
    <row r="3448" spans="1:7" x14ac:dyDescent="0.25">
      <c r="A3448" s="1" t="str">
        <f>"514742"</f>
        <v>514742</v>
      </c>
      <c r="B3448" s="2" t="str">
        <f>"BROCA AR 7/16 X 140MM"</f>
        <v>BROCA AR 7/16 X 140MM</v>
      </c>
      <c r="C3448" s="2" t="str">
        <f t="shared" si="138"/>
        <v>UN</v>
      </c>
      <c r="D3448" s="7">
        <v>920</v>
      </c>
      <c r="E3448" s="3">
        <v>4</v>
      </c>
      <c r="F3448" s="3">
        <v>4</v>
      </c>
      <c r="G3448" t="s">
        <v>515</v>
      </c>
    </row>
    <row r="3449" spans="1:7" x14ac:dyDescent="0.25">
      <c r="A3449" s="1" t="str">
        <f>"502043"</f>
        <v>502043</v>
      </c>
      <c r="B3449" s="2" t="str">
        <f>"BROCA AR 8 X 117MM"</f>
        <v>BROCA AR 8 X 117MM</v>
      </c>
      <c r="C3449" s="2" t="str">
        <f t="shared" si="138"/>
        <v>UN</v>
      </c>
      <c r="D3449" s="7">
        <v>919</v>
      </c>
      <c r="E3449" s="3">
        <v>13</v>
      </c>
      <c r="F3449" s="3">
        <v>13</v>
      </c>
      <c r="G3449" t="s">
        <v>514</v>
      </c>
    </row>
    <row r="3450" spans="1:7" x14ac:dyDescent="0.25">
      <c r="A3450" s="1" t="str">
        <f>"514745"</f>
        <v>514745</v>
      </c>
      <c r="B3450" s="2" t="str">
        <f>"BROCA AR ESTOJO 5/64 A 5/16"</f>
        <v>BROCA AR ESTOJO 5/64 A 5/16</v>
      </c>
      <c r="C3450" s="2" t="str">
        <f t="shared" si="138"/>
        <v>UN</v>
      </c>
      <c r="D3450" s="7">
        <v>920</v>
      </c>
      <c r="E3450" s="3">
        <v>4</v>
      </c>
      <c r="F3450" s="3">
        <v>4</v>
      </c>
      <c r="G3450" t="s">
        <v>512</v>
      </c>
    </row>
    <row r="3451" spans="1:7" x14ac:dyDescent="0.25">
      <c r="A3451" s="1" t="str">
        <f>"524945"</f>
        <v>524945</v>
      </c>
      <c r="B3451" s="2" t="str">
        <f>"BROCA AR TITANIO 5/16"</f>
        <v>BROCA AR TITANIO 5/16</v>
      </c>
      <c r="C3451" s="2" t="str">
        <f t="shared" si="138"/>
        <v>UN</v>
      </c>
      <c r="D3451" s="7">
        <v>917</v>
      </c>
      <c r="E3451" s="3">
        <v>10</v>
      </c>
      <c r="F3451" s="3">
        <v>10</v>
      </c>
      <c r="G3451" t="s">
        <v>513</v>
      </c>
    </row>
    <row r="3452" spans="1:7" x14ac:dyDescent="0.25">
      <c r="A3452" s="1" t="str">
        <f>"527840"</f>
        <v>527840</v>
      </c>
      <c r="B3452" s="2" t="str">
        <f>"BROCA DE ACO 1"""</f>
        <v>BROCA DE ACO 1"</v>
      </c>
      <c r="C3452" s="2" t="str">
        <f t="shared" si="138"/>
        <v>UN</v>
      </c>
      <c r="D3452" s="7">
        <v>920</v>
      </c>
      <c r="E3452" s="3">
        <v>4</v>
      </c>
      <c r="F3452" s="3">
        <v>4</v>
      </c>
      <c r="G3452" t="s">
        <v>514</v>
      </c>
    </row>
    <row r="3453" spans="1:7" x14ac:dyDescent="0.25">
      <c r="A3453" s="1" t="str">
        <f>"502252"</f>
        <v>502252</v>
      </c>
      <c r="B3453" s="2" t="str">
        <f>"BROCA DE CENTRO P/ SERRA COPO REF. A014C"</f>
        <v>BROCA DE CENTRO P/ SERRA COPO REF. A014C</v>
      </c>
      <c r="C3453" s="2" t="str">
        <f t="shared" si="138"/>
        <v>UN</v>
      </c>
      <c r="D3453" s="7">
        <v>402</v>
      </c>
      <c r="E3453" s="3">
        <v>4</v>
      </c>
      <c r="F3453" s="3">
        <v>4</v>
      </c>
      <c r="G3453" t="s">
        <v>514</v>
      </c>
    </row>
    <row r="3454" spans="1:7" x14ac:dyDescent="0.25">
      <c r="A3454" s="1" t="str">
        <f>"502254"</f>
        <v>502254</v>
      </c>
      <c r="B3454" s="2" t="str">
        <f>"BROCA DIAMANTADA 50MM"</f>
        <v>BROCA DIAMANTADA 50MM</v>
      </c>
      <c r="C3454" s="2" t="str">
        <f t="shared" si="138"/>
        <v>UN</v>
      </c>
      <c r="D3454" s="7">
        <v>403</v>
      </c>
      <c r="E3454" s="3">
        <v>4</v>
      </c>
      <c r="F3454" s="3">
        <v>4</v>
      </c>
      <c r="G3454" t="s">
        <v>512</v>
      </c>
    </row>
    <row r="3455" spans="1:7" x14ac:dyDescent="0.25">
      <c r="A3455" s="1" t="str">
        <f>"502003"</f>
        <v>502003</v>
      </c>
      <c r="B3455" s="2" t="str">
        <f>"BROCA HT-PLUS P/ MARTELETE 05MM"</f>
        <v>BROCA HT-PLUS P/ MARTELETE 05MM</v>
      </c>
      <c r="C3455" s="2" t="str">
        <f t="shared" si="138"/>
        <v>UN</v>
      </c>
      <c r="D3455" s="7">
        <v>403</v>
      </c>
      <c r="E3455" s="3">
        <v>13</v>
      </c>
      <c r="F3455" s="3">
        <v>13</v>
      </c>
      <c r="G3455" t="s">
        <v>513</v>
      </c>
    </row>
    <row r="3456" spans="1:7" x14ac:dyDescent="0.25">
      <c r="A3456" s="1" t="str">
        <f>"510767"</f>
        <v>510767</v>
      </c>
      <c r="B3456" s="2" t="str">
        <f>"BROCA HT-PLUS P/ MARTELETE 06MM"</f>
        <v>BROCA HT-PLUS P/ MARTELETE 06MM</v>
      </c>
      <c r="C3456" s="2" t="str">
        <f t="shared" si="138"/>
        <v>UN</v>
      </c>
      <c r="D3456" s="7">
        <v>402</v>
      </c>
      <c r="E3456" s="3">
        <v>4</v>
      </c>
      <c r="F3456" s="3">
        <v>4</v>
      </c>
      <c r="G3456" t="s">
        <v>514</v>
      </c>
    </row>
    <row r="3457" spans="1:7" x14ac:dyDescent="0.25">
      <c r="A3457" s="1" t="str">
        <f>"502006"</f>
        <v>502006</v>
      </c>
      <c r="B3457" s="2" t="str">
        <f>"BROCA HT-PLUS P/ MARTELETE 07MM"</f>
        <v>BROCA HT-PLUS P/ MARTELETE 07MM</v>
      </c>
      <c r="C3457" s="2" t="str">
        <f t="shared" si="138"/>
        <v>UN</v>
      </c>
      <c r="D3457" s="7">
        <v>919</v>
      </c>
      <c r="E3457" s="3">
        <v>13</v>
      </c>
      <c r="F3457" s="3">
        <v>13</v>
      </c>
      <c r="G3457" t="s">
        <v>514</v>
      </c>
    </row>
    <row r="3458" spans="1:7" x14ac:dyDescent="0.25">
      <c r="A3458" s="1" t="str">
        <f>"511017"</f>
        <v>511017</v>
      </c>
      <c r="B3458" s="2" t="str">
        <f>"BROCA HT-PLUS P/ MARTELETE 08MM"</f>
        <v>BROCA HT-PLUS P/ MARTELETE 08MM</v>
      </c>
      <c r="C3458" s="2" t="str">
        <f t="shared" si="138"/>
        <v>UN</v>
      </c>
      <c r="D3458" s="7">
        <v>402</v>
      </c>
      <c r="E3458" s="3">
        <v>4</v>
      </c>
      <c r="F3458" s="3">
        <v>4</v>
      </c>
      <c r="G3458" t="s">
        <v>514</v>
      </c>
    </row>
    <row r="3459" spans="1:7" x14ac:dyDescent="0.25">
      <c r="A3459" s="1" t="str">
        <f>"511970"</f>
        <v>511970</v>
      </c>
      <c r="B3459" s="2" t="str">
        <f>"BROCA HT-PLUS P/ MARTELETE 10MM"</f>
        <v>BROCA HT-PLUS P/ MARTELETE 10MM</v>
      </c>
      <c r="C3459" s="2" t="str">
        <f t="shared" si="138"/>
        <v>UN</v>
      </c>
      <c r="D3459" s="7">
        <v>402</v>
      </c>
      <c r="E3459" s="3">
        <v>4</v>
      </c>
      <c r="F3459" s="3">
        <v>4</v>
      </c>
      <c r="G3459" t="s">
        <v>513</v>
      </c>
    </row>
    <row r="3460" spans="1:7" x14ac:dyDescent="0.25">
      <c r="A3460" s="1" t="str">
        <f>"502016"</f>
        <v>502016</v>
      </c>
      <c r="B3460" s="2" t="str">
        <f>"BROCA HT-PLUS P/ MARTELETE 12MM"</f>
        <v>BROCA HT-PLUS P/ MARTELETE 12MM</v>
      </c>
      <c r="C3460" s="2" t="str">
        <f t="shared" si="138"/>
        <v>UN</v>
      </c>
      <c r="D3460" s="7">
        <v>919</v>
      </c>
      <c r="E3460" s="3">
        <v>13</v>
      </c>
      <c r="F3460" s="3">
        <v>13</v>
      </c>
      <c r="G3460" t="s">
        <v>512</v>
      </c>
    </row>
    <row r="3461" spans="1:7" x14ac:dyDescent="0.25">
      <c r="A3461" s="1" t="str">
        <f>"515947"</f>
        <v>515947</v>
      </c>
      <c r="B3461" s="2" t="str">
        <f>"BROCA HT-PLUS P/ MARTELETE 12MM"</f>
        <v>BROCA HT-PLUS P/ MARTELETE 12MM</v>
      </c>
      <c r="C3461" s="2" t="str">
        <f t="shared" si="138"/>
        <v>UN</v>
      </c>
      <c r="D3461" s="7">
        <v>99999</v>
      </c>
      <c r="E3461" s="3">
        <v>99</v>
      </c>
      <c r="F3461" s="3">
        <v>99</v>
      </c>
      <c r="G3461" t="s">
        <v>513</v>
      </c>
    </row>
    <row r="3462" spans="1:7" x14ac:dyDescent="0.25">
      <c r="A3462" s="1" t="str">
        <f>"502025"</f>
        <v>502025</v>
      </c>
      <c r="B3462" s="2" t="str">
        <f>"BROCA HT-PLUS P/ MARTELETE 13MM"</f>
        <v>BROCA HT-PLUS P/ MARTELETE 13MM</v>
      </c>
      <c r="C3462" s="2" t="str">
        <f t="shared" si="138"/>
        <v>UN</v>
      </c>
      <c r="D3462" s="7">
        <v>919</v>
      </c>
      <c r="E3462" s="3">
        <v>13</v>
      </c>
      <c r="F3462" s="3">
        <v>13</v>
      </c>
      <c r="G3462" t="s">
        <v>514</v>
      </c>
    </row>
    <row r="3463" spans="1:7" x14ac:dyDescent="0.25">
      <c r="A3463" s="1" t="str">
        <f>"515948"</f>
        <v>515948</v>
      </c>
      <c r="B3463" s="2" t="str">
        <f>"BROCA HT-PLUS P/ MARTELETE 14MM"</f>
        <v>BROCA HT-PLUS P/ MARTELETE 14MM</v>
      </c>
      <c r="C3463" s="2" t="str">
        <f t="shared" si="138"/>
        <v>UN</v>
      </c>
      <c r="D3463" s="7">
        <v>99999</v>
      </c>
      <c r="E3463" s="3">
        <v>99</v>
      </c>
      <c r="F3463" s="3">
        <v>99</v>
      </c>
      <c r="G3463" t="s">
        <v>514</v>
      </c>
    </row>
    <row r="3464" spans="1:7" x14ac:dyDescent="0.25">
      <c r="A3464" s="1" t="str">
        <f>"502007"</f>
        <v>502007</v>
      </c>
      <c r="B3464" s="2" t="str">
        <f>"BROCA HT-PLUS P/ MARTELETE 4,5MM"</f>
        <v>BROCA HT-PLUS P/ MARTELETE 4,5MM</v>
      </c>
      <c r="C3464" s="2" t="str">
        <f t="shared" si="138"/>
        <v>UN</v>
      </c>
      <c r="D3464" s="7">
        <v>919</v>
      </c>
      <c r="E3464" s="3">
        <v>13</v>
      </c>
      <c r="F3464" s="3">
        <v>13</v>
      </c>
      <c r="G3464" t="s">
        <v>514</v>
      </c>
    </row>
    <row r="3465" spans="1:7" x14ac:dyDescent="0.25">
      <c r="A3465" s="1" t="str">
        <f>"525157"</f>
        <v>525157</v>
      </c>
      <c r="B3465" s="2" t="str">
        <f>"BROCA P/ MADEIERA 10MM"</f>
        <v>BROCA P/ MADEIERA 10MM</v>
      </c>
      <c r="C3465" s="2" t="str">
        <f t="shared" si="138"/>
        <v>UN</v>
      </c>
      <c r="D3465" s="7">
        <v>99999</v>
      </c>
      <c r="E3465" s="3">
        <v>99</v>
      </c>
      <c r="F3465" s="3">
        <v>99</v>
      </c>
      <c r="G3465" t="s">
        <v>513</v>
      </c>
    </row>
    <row r="3466" spans="1:7" x14ac:dyDescent="0.25">
      <c r="A3466" s="1" t="str">
        <f>"525155"</f>
        <v>525155</v>
      </c>
      <c r="B3466" s="2" t="str">
        <f>"BROCA P/ MADEIERA 4MM"</f>
        <v>BROCA P/ MADEIERA 4MM</v>
      </c>
      <c r="C3466" s="2" t="str">
        <f t="shared" si="138"/>
        <v>UN</v>
      </c>
      <c r="D3466" s="7">
        <v>99999</v>
      </c>
      <c r="E3466" s="3">
        <v>99</v>
      </c>
      <c r="F3466" s="3">
        <v>99</v>
      </c>
      <c r="G3466" t="s">
        <v>513</v>
      </c>
    </row>
    <row r="3467" spans="1:7" x14ac:dyDescent="0.25">
      <c r="A3467" s="1" t="str">
        <f>"525156"</f>
        <v>525156</v>
      </c>
      <c r="B3467" s="2" t="str">
        <f>"BROCA P/ MADEIERA 6,5MM"</f>
        <v>BROCA P/ MADEIERA 6,5MM</v>
      </c>
      <c r="C3467" s="2" t="str">
        <f t="shared" si="138"/>
        <v>UN</v>
      </c>
      <c r="D3467" s="7">
        <v>99999</v>
      </c>
      <c r="E3467" s="3">
        <v>99</v>
      </c>
      <c r="F3467" s="3">
        <v>99</v>
      </c>
      <c r="G3467" t="s">
        <v>513</v>
      </c>
    </row>
    <row r="3468" spans="1:7" x14ac:dyDescent="0.25">
      <c r="A3468" s="1" t="str">
        <f>"510112"</f>
        <v>510112</v>
      </c>
      <c r="B3468" s="2" t="str">
        <f>"BROCA SDS PLUS 06 X 160"</f>
        <v>BROCA SDS PLUS 06 X 160</v>
      </c>
      <c r="C3468" s="2" t="str">
        <f t="shared" si="138"/>
        <v>UN</v>
      </c>
      <c r="D3468" s="7">
        <v>920</v>
      </c>
      <c r="E3468" s="3">
        <v>11</v>
      </c>
      <c r="F3468" s="3">
        <v>11</v>
      </c>
      <c r="G3468" t="s">
        <v>512</v>
      </c>
    </row>
    <row r="3469" spans="1:7" x14ac:dyDescent="0.25">
      <c r="A3469" s="1" t="str">
        <f>"501519"</f>
        <v>501519</v>
      </c>
      <c r="B3469" s="2" t="str">
        <f>"BROCA VIDEA - 08MM"</f>
        <v>BROCA VIDEA - 08MM</v>
      </c>
      <c r="C3469" s="2" t="str">
        <f t="shared" si="138"/>
        <v>UN</v>
      </c>
      <c r="D3469" s="7">
        <v>402</v>
      </c>
      <c r="E3469" s="3">
        <v>4</v>
      </c>
      <c r="F3469" s="3">
        <v>4</v>
      </c>
      <c r="G3469" t="s">
        <v>513</v>
      </c>
    </row>
    <row r="3470" spans="1:7" x14ac:dyDescent="0.25">
      <c r="A3470" s="1" t="str">
        <f>"509743"</f>
        <v>509743</v>
      </c>
      <c r="B3470" s="2" t="str">
        <f>"BROCA VIDEA - 1/4"</f>
        <v>BROCA VIDEA - 1/4</v>
      </c>
      <c r="C3470" s="2" t="str">
        <f t="shared" si="138"/>
        <v>UN</v>
      </c>
      <c r="D3470" s="7">
        <v>402</v>
      </c>
      <c r="E3470" s="3">
        <v>4</v>
      </c>
      <c r="F3470" s="3">
        <v>4</v>
      </c>
      <c r="G3470" t="s">
        <v>514</v>
      </c>
    </row>
    <row r="3471" spans="1:7" x14ac:dyDescent="0.25">
      <c r="A3471" s="1" t="str">
        <f>"501517"</f>
        <v>501517</v>
      </c>
      <c r="B3471" s="2" t="str">
        <f>"BROCA VIDEA - 10MM"</f>
        <v>BROCA VIDEA - 10MM</v>
      </c>
      <c r="C3471" s="2" t="str">
        <f t="shared" si="138"/>
        <v>UN</v>
      </c>
      <c r="D3471" s="7">
        <v>402</v>
      </c>
      <c r="E3471" s="3">
        <v>4</v>
      </c>
      <c r="F3471" s="3">
        <v>4</v>
      </c>
      <c r="G3471" t="s">
        <v>515</v>
      </c>
    </row>
    <row r="3472" spans="1:7" x14ac:dyDescent="0.25">
      <c r="A3472" s="1" t="str">
        <f>"500268"</f>
        <v>500268</v>
      </c>
      <c r="B3472" s="2" t="str">
        <f>"BROCA VIDEA - 10X300MM"</f>
        <v>BROCA VIDEA - 10X300MM</v>
      </c>
      <c r="C3472" s="2" t="str">
        <f t="shared" si="138"/>
        <v>UN</v>
      </c>
      <c r="D3472" s="7">
        <v>817</v>
      </c>
      <c r="E3472" s="3">
        <v>10</v>
      </c>
      <c r="F3472" s="3">
        <v>10</v>
      </c>
      <c r="G3472" t="s">
        <v>512</v>
      </c>
    </row>
    <row r="3473" spans="1:7" x14ac:dyDescent="0.25">
      <c r="A3473" s="1" t="str">
        <f>"525087"</f>
        <v>525087</v>
      </c>
      <c r="B3473" s="2" t="str">
        <f>"BROCA VIDEA - 12MM"</f>
        <v>BROCA VIDEA - 12MM</v>
      </c>
      <c r="C3473" s="2" t="str">
        <f t="shared" si="138"/>
        <v>UN</v>
      </c>
      <c r="D3473" s="7">
        <v>402</v>
      </c>
      <c r="E3473" s="3">
        <v>4</v>
      </c>
      <c r="F3473" s="3">
        <v>4</v>
      </c>
      <c r="G3473" t="s">
        <v>516</v>
      </c>
    </row>
    <row r="3474" spans="1:7" x14ac:dyDescent="0.25">
      <c r="A3474" s="1" t="str">
        <f>"500269"</f>
        <v>500269</v>
      </c>
      <c r="B3474" s="2" t="str">
        <f>"BROCA VIDEA - 3/8"</f>
        <v>BROCA VIDEA - 3/8</v>
      </c>
      <c r="C3474" s="2" t="str">
        <f t="shared" si="138"/>
        <v>UN</v>
      </c>
      <c r="D3474" s="7">
        <v>402</v>
      </c>
      <c r="E3474" s="3">
        <v>4</v>
      </c>
      <c r="F3474" s="3">
        <v>4</v>
      </c>
      <c r="G3474" t="s">
        <v>515</v>
      </c>
    </row>
    <row r="3475" spans="1:7" x14ac:dyDescent="0.25">
      <c r="A3475" s="1" t="str">
        <f>"527014"</f>
        <v>527014</v>
      </c>
      <c r="B3475" s="2" t="str">
        <f>"BROCA VIDEA - 5MM"</f>
        <v>BROCA VIDEA - 5MM</v>
      </c>
      <c r="C3475" s="2" t="str">
        <f t="shared" ref="C3475:C3499" si="139">"UN"</f>
        <v>UN</v>
      </c>
      <c r="D3475" s="7">
        <v>402</v>
      </c>
      <c r="E3475" s="3">
        <v>4</v>
      </c>
      <c r="F3475" s="3">
        <v>4</v>
      </c>
      <c r="G3475" t="s">
        <v>514</v>
      </c>
    </row>
    <row r="3476" spans="1:7" x14ac:dyDescent="0.25">
      <c r="A3476" s="1" t="str">
        <f>"503674"</f>
        <v>503674</v>
      </c>
      <c r="B3476" s="2" t="str">
        <f>"BROCA VIDEA - 6MM"</f>
        <v>BROCA VIDEA - 6MM</v>
      </c>
      <c r="C3476" s="2" t="str">
        <f t="shared" si="139"/>
        <v>UN</v>
      </c>
      <c r="D3476" s="7">
        <v>402</v>
      </c>
      <c r="E3476" s="3">
        <v>4</v>
      </c>
      <c r="F3476" s="3">
        <v>4</v>
      </c>
      <c r="G3476" t="s">
        <v>512</v>
      </c>
    </row>
    <row r="3477" spans="1:7" x14ac:dyDescent="0.25">
      <c r="A3477" s="1" t="str">
        <f>"526113"</f>
        <v>526113</v>
      </c>
      <c r="B3477" s="2" t="str">
        <f>"BROCA VIDEA - 6X300MM"</f>
        <v>BROCA VIDEA - 6X300MM</v>
      </c>
      <c r="C3477" s="2" t="str">
        <f t="shared" si="139"/>
        <v>UN</v>
      </c>
      <c r="D3477" s="7">
        <v>817</v>
      </c>
      <c r="E3477" s="3">
        <v>10</v>
      </c>
      <c r="F3477" s="3">
        <v>10</v>
      </c>
      <c r="G3477" t="s">
        <v>513</v>
      </c>
    </row>
    <row r="3478" spans="1:7" x14ac:dyDescent="0.25">
      <c r="A3478" s="1" t="str">
        <f>"526114"</f>
        <v>526114</v>
      </c>
      <c r="B3478" s="2" t="str">
        <f>"BROCA VIDEA -08X300MM"</f>
        <v>BROCA VIDEA -08X300MM</v>
      </c>
      <c r="C3478" s="2" t="str">
        <f t="shared" si="139"/>
        <v>UN</v>
      </c>
      <c r="D3478" s="7">
        <v>817</v>
      </c>
      <c r="E3478" s="3">
        <v>10</v>
      </c>
      <c r="F3478" s="3">
        <v>10</v>
      </c>
      <c r="G3478" t="s">
        <v>514</v>
      </c>
    </row>
    <row r="3479" spans="1:7" x14ac:dyDescent="0.25">
      <c r="A3479" s="1" t="str">
        <f>"526115"</f>
        <v>526115</v>
      </c>
      <c r="B3479" s="2" t="str">
        <f>"BROCA VIDEA -12X300MM"</f>
        <v>BROCA VIDEA -12X300MM</v>
      </c>
      <c r="C3479" s="2" t="str">
        <f t="shared" si="139"/>
        <v>UN</v>
      </c>
      <c r="D3479" s="7">
        <v>817</v>
      </c>
      <c r="E3479" s="3">
        <v>10</v>
      </c>
      <c r="F3479" s="3">
        <v>10</v>
      </c>
      <c r="G3479" t="s">
        <v>514</v>
      </c>
    </row>
    <row r="3480" spans="1:7" x14ac:dyDescent="0.25">
      <c r="A3480" s="1" t="str">
        <f>"500636"</f>
        <v>500636</v>
      </c>
      <c r="B3480" s="2" t="str">
        <f>"BROCHA P/ PINTURA"</f>
        <v>BROCHA P/ PINTURA</v>
      </c>
      <c r="C3480" s="2" t="str">
        <f t="shared" si="139"/>
        <v>UN</v>
      </c>
      <c r="D3480" s="7">
        <v>403</v>
      </c>
      <c r="E3480" s="3">
        <v>4</v>
      </c>
      <c r="F3480" s="3">
        <v>4</v>
      </c>
      <c r="G3480" t="s">
        <v>512</v>
      </c>
    </row>
    <row r="3481" spans="1:7" x14ac:dyDescent="0.25">
      <c r="A3481" s="1" t="str">
        <f>"518280"</f>
        <v>518280</v>
      </c>
      <c r="B3481" s="2" t="str">
        <f>"BRONZE SAE 65 CHATO 15,87 X 63,50 X 125MM"</f>
        <v>BRONZE SAE 65 CHATO 15,87 X 63,50 X 125MM</v>
      </c>
      <c r="C3481" s="2" t="str">
        <f t="shared" si="139"/>
        <v>UN</v>
      </c>
      <c r="D3481" s="7">
        <v>918</v>
      </c>
      <c r="E3481" s="3">
        <v>10</v>
      </c>
      <c r="F3481" s="3">
        <v>10</v>
      </c>
      <c r="G3481" t="s">
        <v>513</v>
      </c>
    </row>
    <row r="3482" spans="1:7" x14ac:dyDescent="0.25">
      <c r="A3482" s="1" t="str">
        <f>"507867"</f>
        <v>507867</v>
      </c>
      <c r="B3482" s="2" t="str">
        <f>"BRONZINA BIELA"</f>
        <v>BRONZINA BIELA</v>
      </c>
      <c r="C3482" s="2" t="str">
        <f t="shared" si="139"/>
        <v>UN</v>
      </c>
      <c r="D3482" s="7">
        <v>704</v>
      </c>
      <c r="E3482" s="3">
        <v>9</v>
      </c>
      <c r="F3482" s="3">
        <v>9</v>
      </c>
      <c r="G3482" t="s">
        <v>514</v>
      </c>
    </row>
    <row r="3483" spans="1:7" x14ac:dyDescent="0.25">
      <c r="A3483" s="1" t="str">
        <f>"504924"</f>
        <v>504924</v>
      </c>
      <c r="B3483" s="2" t="str">
        <f>"BRONZINA DE MANCAL - 0,25"</f>
        <v>BRONZINA DE MANCAL - 0,25</v>
      </c>
      <c r="C3483" s="2" t="str">
        <f t="shared" si="139"/>
        <v>UN</v>
      </c>
      <c r="D3483" s="7">
        <v>920</v>
      </c>
      <c r="E3483" s="3">
        <v>11</v>
      </c>
      <c r="F3483" s="3">
        <v>11</v>
      </c>
      <c r="G3483" t="s">
        <v>514</v>
      </c>
    </row>
    <row r="3484" spans="1:7" x14ac:dyDescent="0.25">
      <c r="A3484" s="1" t="str">
        <f>"507864"</f>
        <v>507864</v>
      </c>
      <c r="B3484" s="2" t="str">
        <f>"BRONZINA MANCAL"</f>
        <v>BRONZINA MANCAL</v>
      </c>
      <c r="C3484" s="2" t="str">
        <f t="shared" si="139"/>
        <v>UN</v>
      </c>
      <c r="D3484" s="7">
        <v>704</v>
      </c>
      <c r="E3484" s="3">
        <v>9</v>
      </c>
      <c r="F3484" s="3">
        <v>9</v>
      </c>
      <c r="G3484" t="s">
        <v>514</v>
      </c>
    </row>
    <row r="3485" spans="1:7" x14ac:dyDescent="0.25">
      <c r="A3485" s="1" t="str">
        <f>"515356"</f>
        <v>515356</v>
      </c>
      <c r="B3485" s="2" t="str">
        <f>"BRUCUTU LIMPADOR"</f>
        <v>BRUCUTU LIMPADOR</v>
      </c>
      <c r="C3485" s="2" t="str">
        <f t="shared" si="139"/>
        <v>UN</v>
      </c>
      <c r="D3485" s="7">
        <v>704</v>
      </c>
      <c r="E3485" s="3">
        <v>9</v>
      </c>
      <c r="F3485" s="3">
        <v>9</v>
      </c>
      <c r="G3485" t="s">
        <v>513</v>
      </c>
    </row>
    <row r="3486" spans="1:7" x14ac:dyDescent="0.25">
      <c r="A3486" s="1" t="str">
        <f>"512112"</f>
        <v>512112</v>
      </c>
      <c r="B3486" s="2" t="str">
        <f>"BRZ BI DN80 SMC100"</f>
        <v>BRZ BI DN80 SMC100</v>
      </c>
      <c r="C3486" s="2" t="str">
        <f t="shared" si="139"/>
        <v>UN</v>
      </c>
      <c r="D3486" s="7">
        <v>918</v>
      </c>
      <c r="E3486" s="3">
        <v>11</v>
      </c>
      <c r="F3486" s="3">
        <v>11</v>
      </c>
      <c r="G3486" t="s">
        <v>512</v>
      </c>
    </row>
    <row r="3487" spans="1:7" x14ac:dyDescent="0.25">
      <c r="A3487" s="1" t="str">
        <f>"522941"</f>
        <v>522941</v>
      </c>
      <c r="B3487" s="2" t="str">
        <f>"BSAT 6"" PN16 - VALV. BLOQ. GLOBO SELADA POR FOLE 41842300"</f>
        <v>BSAT 6" PN16 - VALV. BLOQ. GLOBO SELADA POR FOLE 41842300</v>
      </c>
      <c r="C3487" s="2" t="str">
        <f t="shared" si="139"/>
        <v>UN</v>
      </c>
      <c r="D3487" s="7">
        <v>912</v>
      </c>
      <c r="E3487" s="3">
        <v>10</v>
      </c>
      <c r="F3487" s="3">
        <v>10</v>
      </c>
      <c r="G3487" t="s">
        <v>513</v>
      </c>
    </row>
    <row r="3488" spans="1:7" x14ac:dyDescent="0.25">
      <c r="A3488" s="1" t="str">
        <f>"525253"</f>
        <v>525253</v>
      </c>
      <c r="B3488" s="2" t="str">
        <f>"BSD PRISMA (PAR)"</f>
        <v>BSD PRISMA (PAR)</v>
      </c>
      <c r="C3488" s="2" t="str">
        <f t="shared" si="139"/>
        <v>UN</v>
      </c>
      <c r="D3488" s="7">
        <v>811</v>
      </c>
      <c r="E3488" s="3">
        <v>10</v>
      </c>
      <c r="F3488" s="3">
        <v>10</v>
      </c>
      <c r="G3488" t="s">
        <v>514</v>
      </c>
    </row>
    <row r="3489" spans="1:7" x14ac:dyDescent="0.25">
      <c r="A3489" s="1" t="str">
        <f>"520026"</f>
        <v>520026</v>
      </c>
      <c r="B3489" s="2" t="str">
        <f>"BU SEGURANCA-NM090-B 316 892769 NETZSCH"</f>
        <v>BU SEGURANCA-NM090-B 316 892769 NETZSCH</v>
      </c>
      <c r="C3489" s="2" t="str">
        <f t="shared" si="139"/>
        <v>UN</v>
      </c>
      <c r="D3489" s="7">
        <v>918</v>
      </c>
      <c r="E3489" s="3">
        <v>11</v>
      </c>
      <c r="F3489" s="3">
        <v>11</v>
      </c>
      <c r="G3489" t="s">
        <v>514</v>
      </c>
    </row>
    <row r="3490" spans="1:7" x14ac:dyDescent="0.25">
      <c r="A3490" s="1" t="str">
        <f>"512807"</f>
        <v>512807</v>
      </c>
      <c r="B3490" s="2" t="str">
        <f>"BUC EXT BK8001/1 D63524"</f>
        <v>BUC EXT BK8001/1 D63524</v>
      </c>
      <c r="C3490" s="2" t="str">
        <f t="shared" si="139"/>
        <v>UN</v>
      </c>
      <c r="D3490" s="7">
        <v>918</v>
      </c>
      <c r="E3490" s="3">
        <v>11</v>
      </c>
      <c r="F3490" s="3">
        <v>11</v>
      </c>
      <c r="G3490" t="s">
        <v>514</v>
      </c>
    </row>
    <row r="3491" spans="1:7" x14ac:dyDescent="0.25">
      <c r="A3491" s="1" t="str">
        <f>"517597"</f>
        <v>517597</v>
      </c>
      <c r="B3491" s="2" t="str">
        <f>"BUC. GUIA P/ MOLDE SP20MM CA"</f>
        <v>BUC. GUIA P/ MOLDE SP20MM CA</v>
      </c>
      <c r="C3491" s="2" t="str">
        <f t="shared" si="139"/>
        <v>UN</v>
      </c>
      <c r="D3491" s="7">
        <v>918</v>
      </c>
      <c r="E3491" s="3">
        <v>11</v>
      </c>
      <c r="F3491" s="3">
        <v>11</v>
      </c>
      <c r="G3491" t="s">
        <v>513</v>
      </c>
    </row>
    <row r="3492" spans="1:7" x14ac:dyDescent="0.25">
      <c r="A3492" s="1" t="str">
        <f>"515975"</f>
        <v>515975</v>
      </c>
      <c r="B3492" s="2" t="str">
        <f>"BUCHA"</f>
        <v>BUCHA</v>
      </c>
      <c r="C3492" s="2" t="str">
        <f t="shared" si="139"/>
        <v>UN</v>
      </c>
      <c r="D3492" s="7">
        <v>99999</v>
      </c>
      <c r="E3492" s="3">
        <v>99</v>
      </c>
      <c r="F3492" s="3">
        <v>99</v>
      </c>
      <c r="G3492" t="s">
        <v>513</v>
      </c>
    </row>
    <row r="3493" spans="1:7" x14ac:dyDescent="0.25">
      <c r="A3493" s="1" t="str">
        <f>"516939"</f>
        <v>516939</v>
      </c>
      <c r="B3493" s="2" t="str">
        <f>"BUCHA #001 1622662300"</f>
        <v>BUCHA #001 1622662300</v>
      </c>
      <c r="C3493" s="2" t="str">
        <f t="shared" si="139"/>
        <v>UN</v>
      </c>
      <c r="D3493" s="7">
        <v>909</v>
      </c>
      <c r="E3493" s="3">
        <v>11</v>
      </c>
      <c r="F3493" s="3">
        <v>11</v>
      </c>
      <c r="G3493" t="s">
        <v>513</v>
      </c>
    </row>
    <row r="3494" spans="1:7" x14ac:dyDescent="0.25">
      <c r="A3494" s="1" t="str">
        <f>"6784"</f>
        <v>6784</v>
      </c>
      <c r="B3494" s="2" t="str">
        <f>"BUCHA (BRANCA) LIMPEZA BRANDA"</f>
        <v>BUCHA (BRANCA) LIMPEZA BRANDA</v>
      </c>
      <c r="C3494" s="2" t="str">
        <f t="shared" si="139"/>
        <v>UN</v>
      </c>
      <c r="D3494" s="7">
        <v>400</v>
      </c>
      <c r="E3494" s="3">
        <v>4</v>
      </c>
      <c r="F3494" s="3">
        <v>4</v>
      </c>
      <c r="G3494" t="s">
        <v>512</v>
      </c>
    </row>
    <row r="3495" spans="1:7" x14ac:dyDescent="0.25">
      <c r="A3495" s="1" t="str">
        <f>"121"</f>
        <v>121</v>
      </c>
      <c r="B3495" s="2" t="str">
        <f>"BUCHA (VERDE) LIMPESA PESADA - 3MM"</f>
        <v>BUCHA (VERDE) LIMPESA PESADA - 3MM</v>
      </c>
      <c r="C3495" s="2" t="str">
        <f t="shared" si="139"/>
        <v>UN</v>
      </c>
      <c r="D3495" s="7">
        <v>400</v>
      </c>
      <c r="E3495" s="3">
        <v>4</v>
      </c>
      <c r="F3495" s="3">
        <v>4</v>
      </c>
      <c r="G3495" t="s">
        <v>513</v>
      </c>
    </row>
    <row r="3496" spans="1:7" x14ac:dyDescent="0.25">
      <c r="A3496" s="1" t="str">
        <f>"509026"</f>
        <v>509026</v>
      </c>
      <c r="B3496" s="2" t="str">
        <f>"BUCHA 05.3122.119.00"</f>
        <v>BUCHA 05.3122.119.00</v>
      </c>
      <c r="C3496" s="2" t="str">
        <f t="shared" si="139"/>
        <v>UN</v>
      </c>
      <c r="D3496" s="7">
        <v>918</v>
      </c>
      <c r="E3496" s="3">
        <v>11</v>
      </c>
      <c r="F3496" s="3">
        <v>11</v>
      </c>
      <c r="G3496" t="s">
        <v>514</v>
      </c>
    </row>
    <row r="3497" spans="1:7" x14ac:dyDescent="0.25">
      <c r="A3497" s="1" t="str">
        <f>"500483"</f>
        <v>500483</v>
      </c>
      <c r="B3497" s="2" t="str">
        <f>"BUCHA 06 MM REF.M0106"</f>
        <v>BUCHA 06 MM REF.M0106</v>
      </c>
      <c r="C3497" s="2" t="str">
        <f t="shared" si="139"/>
        <v>UN</v>
      </c>
      <c r="D3497" s="7">
        <v>403</v>
      </c>
      <c r="E3497" s="3">
        <v>4</v>
      </c>
      <c r="F3497" s="3">
        <v>4</v>
      </c>
      <c r="G3497" t="s">
        <v>515</v>
      </c>
    </row>
    <row r="3498" spans="1:7" x14ac:dyDescent="0.25">
      <c r="A3498" s="1" t="str">
        <f>"500137"</f>
        <v>500137</v>
      </c>
      <c r="B3498" s="2" t="str">
        <f>"BUCHA 08 MM"</f>
        <v>BUCHA 08 MM</v>
      </c>
      <c r="C3498" s="2" t="str">
        <f t="shared" si="139"/>
        <v>UN</v>
      </c>
      <c r="D3498" s="7">
        <v>403</v>
      </c>
      <c r="E3498" s="3">
        <v>4</v>
      </c>
      <c r="F3498" s="3">
        <v>4</v>
      </c>
      <c r="G3498" t="s">
        <v>512</v>
      </c>
    </row>
    <row r="3499" spans="1:7" x14ac:dyDescent="0.25">
      <c r="A3499" s="1" t="str">
        <f>"519331"</f>
        <v>519331</v>
      </c>
      <c r="B3499" s="2" t="str">
        <f>"BUCHA 1.1/4 X 1"</f>
        <v>BUCHA 1.1/4 X 1</v>
      </c>
      <c r="C3499" s="2" t="str">
        <f t="shared" si="139"/>
        <v>UN</v>
      </c>
      <c r="D3499" s="7">
        <v>912</v>
      </c>
      <c r="E3499" s="3">
        <v>11</v>
      </c>
      <c r="F3499" s="3">
        <v>11</v>
      </c>
      <c r="G3499" t="s">
        <v>516</v>
      </c>
    </row>
    <row r="3500" spans="1:7" x14ac:dyDescent="0.25">
      <c r="A3500" s="1" t="str">
        <f>"500059"</f>
        <v>500059</v>
      </c>
      <c r="B3500" s="2" t="str">
        <f>"BUCHA 10 MM"</f>
        <v>BUCHA 10 MM</v>
      </c>
      <c r="C3500" s="2" t="str">
        <f>"PC"</f>
        <v>PC</v>
      </c>
      <c r="D3500" s="7">
        <v>403</v>
      </c>
      <c r="E3500" s="3">
        <v>4</v>
      </c>
      <c r="F3500" s="3">
        <v>4</v>
      </c>
      <c r="G3500" t="s">
        <v>515</v>
      </c>
    </row>
    <row r="3501" spans="1:7" x14ac:dyDescent="0.25">
      <c r="A3501" s="1" t="str">
        <f>"511345"</f>
        <v>511345</v>
      </c>
      <c r="B3501" s="2" t="str">
        <f>"BUCHA 12MM"</f>
        <v>BUCHA 12MM</v>
      </c>
      <c r="C3501" s="2" t="str">
        <f t="shared" ref="C3501:C3532" si="140">"UN"</f>
        <v>UN</v>
      </c>
      <c r="D3501" s="7">
        <v>803</v>
      </c>
      <c r="E3501" s="3">
        <v>10</v>
      </c>
      <c r="F3501" s="3">
        <v>10</v>
      </c>
      <c r="G3501" t="s">
        <v>514</v>
      </c>
    </row>
    <row r="3502" spans="1:7" x14ac:dyDescent="0.25">
      <c r="A3502" s="1" t="str">
        <f>"511608"</f>
        <v>511608</v>
      </c>
      <c r="B3502" s="2" t="str">
        <f>"BUCHA 154-5404"</f>
        <v>BUCHA 154-5404</v>
      </c>
      <c r="C3502" s="2" t="str">
        <f t="shared" si="140"/>
        <v>UN</v>
      </c>
      <c r="D3502" s="7">
        <v>704</v>
      </c>
      <c r="E3502" s="3">
        <v>9</v>
      </c>
      <c r="F3502" s="3">
        <v>9</v>
      </c>
      <c r="G3502" t="s">
        <v>512</v>
      </c>
    </row>
    <row r="3503" spans="1:7" x14ac:dyDescent="0.25">
      <c r="A3503" s="1" t="str">
        <f>"512236"</f>
        <v>512236</v>
      </c>
      <c r="B3503" s="2" t="str">
        <f>"BUCHA 211828"</f>
        <v>BUCHA 211828</v>
      </c>
      <c r="C3503" s="2" t="str">
        <f t="shared" si="140"/>
        <v>UN</v>
      </c>
      <c r="D3503" s="7">
        <v>918</v>
      </c>
      <c r="E3503" s="3">
        <v>11</v>
      </c>
      <c r="F3503" s="3">
        <v>11</v>
      </c>
      <c r="G3503" t="s">
        <v>513</v>
      </c>
    </row>
    <row r="3504" spans="1:7" x14ac:dyDescent="0.25">
      <c r="A3504" s="1" t="str">
        <f>"512232"</f>
        <v>512232</v>
      </c>
      <c r="B3504" s="2" t="str">
        <f>"BUCHA 215913"</f>
        <v>BUCHA 215913</v>
      </c>
      <c r="C3504" s="2" t="str">
        <f t="shared" si="140"/>
        <v>UN</v>
      </c>
      <c r="D3504" s="7">
        <v>918</v>
      </c>
      <c r="E3504" s="3">
        <v>11</v>
      </c>
      <c r="F3504" s="3">
        <v>11</v>
      </c>
      <c r="G3504" t="s">
        <v>514</v>
      </c>
    </row>
    <row r="3505" spans="1:7" x14ac:dyDescent="0.25">
      <c r="A3505" s="1" t="str">
        <f>"510128"</f>
        <v>510128</v>
      </c>
      <c r="B3505" s="2" t="str">
        <f>"BUCHA 25X35X35MM D44690 21441803"</f>
        <v>BUCHA 25X35X35MM D44690 21441803</v>
      </c>
      <c r="C3505" s="2" t="str">
        <f t="shared" si="140"/>
        <v>UN</v>
      </c>
      <c r="D3505" s="7">
        <v>918</v>
      </c>
      <c r="E3505" s="3">
        <v>11</v>
      </c>
      <c r="F3505" s="3">
        <v>11</v>
      </c>
      <c r="G3505" t="s">
        <v>514</v>
      </c>
    </row>
    <row r="3506" spans="1:7" x14ac:dyDescent="0.25">
      <c r="A3506" s="1" t="str">
        <f>"512210"</f>
        <v>512210</v>
      </c>
      <c r="B3506" s="2" t="str">
        <f>"BUCHA 30018"</f>
        <v>BUCHA 30018</v>
      </c>
      <c r="C3506" s="2" t="str">
        <f t="shared" si="140"/>
        <v>UN</v>
      </c>
      <c r="D3506" s="7">
        <v>918</v>
      </c>
      <c r="E3506" s="3">
        <v>11</v>
      </c>
      <c r="F3506" s="3">
        <v>11</v>
      </c>
      <c r="G3506" t="s">
        <v>512</v>
      </c>
    </row>
    <row r="3507" spans="1:7" x14ac:dyDescent="0.25">
      <c r="A3507" s="1" t="str">
        <f>"512212"</f>
        <v>512212</v>
      </c>
      <c r="B3507" s="2" t="str">
        <f>"BUCHA 30023"</f>
        <v>BUCHA 30023</v>
      </c>
      <c r="C3507" s="2" t="str">
        <f t="shared" si="140"/>
        <v>UN</v>
      </c>
      <c r="D3507" s="7">
        <v>918</v>
      </c>
      <c r="E3507" s="3">
        <v>11</v>
      </c>
      <c r="F3507" s="3">
        <v>11</v>
      </c>
      <c r="G3507" t="s">
        <v>513</v>
      </c>
    </row>
    <row r="3508" spans="1:7" x14ac:dyDescent="0.25">
      <c r="A3508" s="1" t="str">
        <f>"522695"</f>
        <v>522695</v>
      </c>
      <c r="B3508" s="2" t="str">
        <f>"BUCHA 4"""</f>
        <v>BUCHA 4"</v>
      </c>
      <c r="C3508" s="2" t="str">
        <f t="shared" si="140"/>
        <v>UN</v>
      </c>
      <c r="D3508" s="7">
        <v>601</v>
      </c>
      <c r="E3508" s="3">
        <v>8</v>
      </c>
      <c r="F3508" s="3">
        <v>8</v>
      </c>
      <c r="G3508" t="s">
        <v>514</v>
      </c>
    </row>
    <row r="3509" spans="1:7" x14ac:dyDescent="0.25">
      <c r="A3509" s="1" t="str">
        <f>"512215"</f>
        <v>512215</v>
      </c>
      <c r="B3509" s="2" t="str">
        <f>"BUCHA 47117"</f>
        <v>BUCHA 47117</v>
      </c>
      <c r="C3509" s="2" t="str">
        <f t="shared" si="140"/>
        <v>UN</v>
      </c>
      <c r="D3509" s="7">
        <v>918</v>
      </c>
      <c r="E3509" s="3">
        <v>11</v>
      </c>
      <c r="F3509" s="3">
        <v>11</v>
      </c>
      <c r="G3509" t="s">
        <v>514</v>
      </c>
    </row>
    <row r="3510" spans="1:7" x14ac:dyDescent="0.25">
      <c r="A3510" s="1" t="str">
        <f>"508018"</f>
        <v>508018</v>
      </c>
      <c r="B3510" s="2" t="str">
        <f>"BUCHA ACL B NM090 D6 TEMP P/ ART. C/ BU NDB4825304"</f>
        <v>BUCHA ACL B NM090 D6 TEMP P/ ART. C/ BU NDB4825304</v>
      </c>
      <c r="C3510" s="2" t="str">
        <f t="shared" si="140"/>
        <v>UN</v>
      </c>
      <c r="D3510" s="7">
        <v>918</v>
      </c>
      <c r="E3510" s="3">
        <v>11</v>
      </c>
      <c r="F3510" s="3">
        <v>11</v>
      </c>
      <c r="G3510" t="s">
        <v>514</v>
      </c>
    </row>
    <row r="3511" spans="1:7" x14ac:dyDescent="0.25">
      <c r="A3511" s="1" t="str">
        <f>"517017"</f>
        <v>517017</v>
      </c>
      <c r="B3511" s="2" t="str">
        <f>"BUCHA ACL B NM090 D6 TEMP P/ ART. C/ BU NDB4825307"</f>
        <v>BUCHA ACL B NM090 D6 TEMP P/ ART. C/ BU NDB4825307</v>
      </c>
      <c r="C3511" s="2" t="str">
        <f t="shared" si="140"/>
        <v>UN</v>
      </c>
      <c r="D3511" s="7">
        <v>918</v>
      </c>
      <c r="E3511" s="3">
        <v>4</v>
      </c>
      <c r="F3511" s="3">
        <v>4</v>
      </c>
      <c r="G3511" t="s">
        <v>513</v>
      </c>
    </row>
    <row r="3512" spans="1:7" x14ac:dyDescent="0.25">
      <c r="A3512" s="1" t="str">
        <f>"520029"</f>
        <v>520029</v>
      </c>
      <c r="B3512" s="2" t="str">
        <f>"BUCHA ACL B NM090 D6TEMP P/ATR C/BU NDB4825307 NETZSCH"</f>
        <v>BUCHA ACL B NM090 D6TEMP P/ATR C/BU NDB4825307 NETZSCH</v>
      </c>
      <c r="C3512" s="2" t="str">
        <f t="shared" si="140"/>
        <v>UN</v>
      </c>
      <c r="D3512" s="7">
        <v>918</v>
      </c>
      <c r="E3512" s="3">
        <v>11</v>
      </c>
      <c r="F3512" s="3">
        <v>11</v>
      </c>
      <c r="G3512" t="s">
        <v>512</v>
      </c>
    </row>
    <row r="3513" spans="1:7" x14ac:dyDescent="0.25">
      <c r="A3513" s="1" t="str">
        <f>"520028"</f>
        <v>520028</v>
      </c>
      <c r="B3513" s="2" t="str">
        <f>"BUCHA ACL B NM090D6TEMP P/ART C/BU NDB4825304 NETZSCH"</f>
        <v>BUCHA ACL B NM090D6TEMP P/ART C/BU NDB4825304 NETZSCH</v>
      </c>
      <c r="C3513" s="2" t="str">
        <f t="shared" si="140"/>
        <v>UN</v>
      </c>
      <c r="D3513" s="7">
        <v>918</v>
      </c>
      <c r="E3513" s="3">
        <v>11</v>
      </c>
      <c r="F3513" s="3">
        <v>11</v>
      </c>
      <c r="G3513" t="s">
        <v>513</v>
      </c>
    </row>
    <row r="3514" spans="1:7" x14ac:dyDescent="0.25">
      <c r="A3514" s="1" t="str">
        <f>"503852"</f>
        <v>503852</v>
      </c>
      <c r="B3514" s="2" t="str">
        <f>"BUCHA ACLOP STR BK75/1 D59143 C.13767903"</f>
        <v>BUCHA ACLOP STR BK75/1 D59143 C.13767903</v>
      </c>
      <c r="C3514" s="2" t="str">
        <f t="shared" si="140"/>
        <v>UN</v>
      </c>
      <c r="D3514" s="7">
        <v>918</v>
      </c>
      <c r="E3514" s="3">
        <v>11</v>
      </c>
      <c r="F3514" s="3">
        <v>11</v>
      </c>
      <c r="G3514" t="s">
        <v>514</v>
      </c>
    </row>
    <row r="3515" spans="1:7" x14ac:dyDescent="0.25">
      <c r="A3515" s="1" t="str">
        <f>"505237"</f>
        <v>505237</v>
      </c>
      <c r="B3515" s="2" t="str">
        <f>"BUCHA ALAVANCA CAMBIO"</f>
        <v>BUCHA ALAVANCA CAMBIO</v>
      </c>
      <c r="C3515" s="2" t="str">
        <f t="shared" si="140"/>
        <v>UN</v>
      </c>
      <c r="D3515" s="7">
        <v>704</v>
      </c>
      <c r="E3515" s="3">
        <v>9</v>
      </c>
      <c r="F3515" s="3">
        <v>9</v>
      </c>
      <c r="G3515" t="s">
        <v>514</v>
      </c>
    </row>
    <row r="3516" spans="1:7" x14ac:dyDescent="0.25">
      <c r="A3516" s="1" t="str">
        <f>"511336"</f>
        <v>511336</v>
      </c>
      <c r="B3516" s="2" t="str">
        <f>"BUCHA ALUMINIO 1 1/2"""</f>
        <v>BUCHA ALUMINIO 1 1/2"</v>
      </c>
      <c r="C3516" s="2" t="str">
        <f t="shared" si="140"/>
        <v>UN</v>
      </c>
      <c r="D3516" s="7">
        <v>601</v>
      </c>
      <c r="E3516" s="3">
        <v>8</v>
      </c>
      <c r="F3516" s="3">
        <v>8</v>
      </c>
      <c r="G3516" t="s">
        <v>514</v>
      </c>
    </row>
    <row r="3517" spans="1:7" x14ac:dyDescent="0.25">
      <c r="A3517" s="1" t="str">
        <f>"507699"</f>
        <v>507699</v>
      </c>
      <c r="B3517" s="2" t="str">
        <f>"BUCHA ALUMINIO 1"""</f>
        <v>BUCHA ALUMINIO 1"</v>
      </c>
      <c r="C3517" s="2" t="str">
        <f t="shared" si="140"/>
        <v>UN</v>
      </c>
      <c r="D3517" s="7">
        <v>601</v>
      </c>
      <c r="E3517" s="3">
        <v>8</v>
      </c>
      <c r="F3517" s="3">
        <v>8</v>
      </c>
      <c r="G3517" t="s">
        <v>513</v>
      </c>
    </row>
    <row r="3518" spans="1:7" x14ac:dyDescent="0.25">
      <c r="A3518" s="1" t="str">
        <f>"516487"</f>
        <v>516487</v>
      </c>
      <c r="B3518" s="2" t="str">
        <f>"BUCHA ALUMINIO 1/2"""</f>
        <v>BUCHA ALUMINIO 1/2"</v>
      </c>
      <c r="C3518" s="2" t="str">
        <f t="shared" si="140"/>
        <v>UN</v>
      </c>
      <c r="D3518" s="7">
        <v>811</v>
      </c>
      <c r="E3518" s="3">
        <v>8</v>
      </c>
      <c r="F3518" s="3">
        <v>8</v>
      </c>
      <c r="G3518" t="s">
        <v>513</v>
      </c>
    </row>
    <row r="3519" spans="1:7" x14ac:dyDescent="0.25">
      <c r="A3519" s="1" t="str">
        <f>"516488"</f>
        <v>516488</v>
      </c>
      <c r="B3519" s="2" t="str">
        <f>"BUCHA ALUMINIO 2"""</f>
        <v>BUCHA ALUMINIO 2"</v>
      </c>
      <c r="C3519" s="2" t="str">
        <f t="shared" si="140"/>
        <v>UN</v>
      </c>
      <c r="D3519" s="7">
        <v>811</v>
      </c>
      <c r="E3519" s="3">
        <v>8</v>
      </c>
      <c r="F3519" s="3">
        <v>8</v>
      </c>
      <c r="G3519" t="s">
        <v>513</v>
      </c>
    </row>
    <row r="3520" spans="1:7" x14ac:dyDescent="0.25">
      <c r="A3520" s="1" t="str">
        <f>"511335"</f>
        <v>511335</v>
      </c>
      <c r="B3520" s="2" t="str">
        <f>"BUCHA ALUMINIO 3"""</f>
        <v>BUCHA ALUMINIO 3"</v>
      </c>
      <c r="C3520" s="2" t="str">
        <f t="shared" si="140"/>
        <v>UN</v>
      </c>
      <c r="D3520" s="7">
        <v>601</v>
      </c>
      <c r="E3520" s="3">
        <v>8</v>
      </c>
      <c r="F3520" s="3">
        <v>8</v>
      </c>
      <c r="G3520" t="s">
        <v>512</v>
      </c>
    </row>
    <row r="3521" spans="1:7" x14ac:dyDescent="0.25">
      <c r="A3521" s="1" t="str">
        <f>"518912"</f>
        <v>518912</v>
      </c>
      <c r="B3521" s="2" t="str">
        <f>"BUCHA ALUMINIO 4"""</f>
        <v>BUCHA ALUMINIO 4"</v>
      </c>
      <c r="C3521" s="2" t="str">
        <f t="shared" si="140"/>
        <v>UN</v>
      </c>
      <c r="D3521" s="7">
        <v>811</v>
      </c>
      <c r="E3521" s="3">
        <v>8</v>
      </c>
      <c r="F3521" s="3">
        <v>8</v>
      </c>
      <c r="G3521" t="s">
        <v>513</v>
      </c>
    </row>
    <row r="3522" spans="1:7" x14ac:dyDescent="0.25">
      <c r="A3522" s="1" t="str">
        <f>"519638"</f>
        <v>519638</v>
      </c>
      <c r="B3522" s="2" t="str">
        <f>"BUCHA AMORTECEDOR DINT OLHAL"</f>
        <v>BUCHA AMORTECEDOR DINT OLHAL</v>
      </c>
      <c r="C3522" s="2" t="str">
        <f t="shared" si="140"/>
        <v>UN</v>
      </c>
      <c r="D3522" s="7">
        <v>704</v>
      </c>
      <c r="E3522" s="3">
        <v>9</v>
      </c>
      <c r="F3522" s="3">
        <v>9</v>
      </c>
      <c r="G3522" t="s">
        <v>514</v>
      </c>
    </row>
    <row r="3523" spans="1:7" x14ac:dyDescent="0.25">
      <c r="A3523" s="1" t="str">
        <f>"526585"</f>
        <v>526585</v>
      </c>
      <c r="B3523" s="2" t="str">
        <f>"BUCHA APERTO J06710080 TL.D80MM B P/ HOMOG"</f>
        <v>BUCHA APERTO J06710080 TL.D80MM B P/ HOMOG</v>
      </c>
      <c r="C3523" s="2" t="str">
        <f t="shared" si="140"/>
        <v>UN</v>
      </c>
      <c r="D3523" s="7">
        <v>812</v>
      </c>
      <c r="E3523" s="3">
        <v>10</v>
      </c>
      <c r="F3523" s="3">
        <v>10</v>
      </c>
      <c r="G3523" t="s">
        <v>515</v>
      </c>
    </row>
    <row r="3524" spans="1:7" x14ac:dyDescent="0.25">
      <c r="A3524" s="1" t="str">
        <f>"510693"</f>
        <v>510693</v>
      </c>
      <c r="B3524" s="2" t="str">
        <f>"BUCHA ARTICULAÇAO - SUP. AR"</f>
        <v>BUCHA ARTICULAÇAO - SUP. AR</v>
      </c>
      <c r="C3524" s="2" t="str">
        <f t="shared" si="140"/>
        <v>UN</v>
      </c>
      <c r="D3524" s="7">
        <v>704</v>
      </c>
      <c r="E3524" s="3">
        <v>9</v>
      </c>
      <c r="F3524" s="3">
        <v>9</v>
      </c>
      <c r="G3524" t="s">
        <v>512</v>
      </c>
    </row>
    <row r="3525" spans="1:7" x14ac:dyDescent="0.25">
      <c r="A3525" s="1" t="str">
        <f>"508017"</f>
        <v>508017</v>
      </c>
      <c r="B3525" s="2" t="str">
        <f>"BUCHA ARTICULAÇÃO B NM090"</f>
        <v>BUCHA ARTICULAÇÃO B NM090</v>
      </c>
      <c r="C3525" s="2" t="str">
        <f t="shared" si="140"/>
        <v>UN</v>
      </c>
      <c r="D3525" s="7">
        <v>918</v>
      </c>
      <c r="E3525" s="3">
        <v>11</v>
      </c>
      <c r="F3525" s="3">
        <v>11</v>
      </c>
      <c r="G3525" t="s">
        <v>516</v>
      </c>
    </row>
    <row r="3526" spans="1:7" x14ac:dyDescent="0.25">
      <c r="A3526" s="1" t="str">
        <f>"514241"</f>
        <v>514241</v>
      </c>
      <c r="B3526" s="2" t="str">
        <f>"BUCHA BALANCIN"</f>
        <v>BUCHA BALANCIN</v>
      </c>
      <c r="C3526" s="2" t="str">
        <f t="shared" si="140"/>
        <v>UN</v>
      </c>
      <c r="D3526" s="7">
        <v>704</v>
      </c>
      <c r="E3526" s="3">
        <v>9</v>
      </c>
      <c r="F3526" s="3">
        <v>9</v>
      </c>
      <c r="G3526" t="s">
        <v>515</v>
      </c>
    </row>
    <row r="3527" spans="1:7" x14ac:dyDescent="0.25">
      <c r="A3527" s="1" t="str">
        <f>"502855"</f>
        <v>502855</v>
      </c>
      <c r="B3527" s="2" t="str">
        <f>"BUCHA BARRA ESTAB. DIANTEIRA"</f>
        <v>BUCHA BARRA ESTAB. DIANTEIRA</v>
      </c>
      <c r="C3527" s="2" t="str">
        <f t="shared" si="140"/>
        <v>UN</v>
      </c>
      <c r="D3527" s="7">
        <v>704</v>
      </c>
      <c r="E3527" s="3">
        <v>9</v>
      </c>
      <c r="F3527" s="3">
        <v>9</v>
      </c>
      <c r="G3527" t="s">
        <v>514</v>
      </c>
    </row>
    <row r="3528" spans="1:7" x14ac:dyDescent="0.25">
      <c r="A3528" s="1" t="str">
        <f>"505221"</f>
        <v>505221</v>
      </c>
      <c r="B3528" s="2" t="str">
        <f>"BUCHA BATENTE MOLEJO"</f>
        <v>BUCHA BATENTE MOLEJO</v>
      </c>
      <c r="C3528" s="2" t="str">
        <f t="shared" si="140"/>
        <v>UN</v>
      </c>
      <c r="D3528" s="7">
        <v>704</v>
      </c>
      <c r="E3528" s="3">
        <v>9</v>
      </c>
      <c r="F3528" s="3">
        <v>9</v>
      </c>
      <c r="G3528" t="s">
        <v>512</v>
      </c>
    </row>
    <row r="3529" spans="1:7" x14ac:dyDescent="0.25">
      <c r="A3529" s="1" t="str">
        <f>"507824"</f>
        <v>507824</v>
      </c>
      <c r="B3529" s="2" t="str">
        <f>"BUCHA BIELA 100SLE"</f>
        <v>BUCHA BIELA 100SLE</v>
      </c>
      <c r="C3529" s="2" t="str">
        <f t="shared" si="140"/>
        <v>UN</v>
      </c>
      <c r="D3529" s="7">
        <v>918</v>
      </c>
      <c r="E3529" s="3">
        <v>11</v>
      </c>
      <c r="F3529" s="3">
        <v>11</v>
      </c>
      <c r="G3529" t="s">
        <v>513</v>
      </c>
    </row>
    <row r="3530" spans="1:7" x14ac:dyDescent="0.25">
      <c r="A3530" s="1" t="str">
        <f>"510028"</f>
        <v>510028</v>
      </c>
      <c r="B3530" s="2" t="str">
        <f>"BUCHA BIELA A (82)"</f>
        <v>BUCHA BIELA A (82)</v>
      </c>
      <c r="C3530" s="2" t="str">
        <f t="shared" si="140"/>
        <v>UN</v>
      </c>
      <c r="D3530" s="7">
        <v>918</v>
      </c>
      <c r="E3530" s="3">
        <v>11</v>
      </c>
      <c r="F3530" s="3">
        <v>11</v>
      </c>
      <c r="G3530" t="s">
        <v>514</v>
      </c>
    </row>
    <row r="3531" spans="1:7" x14ac:dyDescent="0.25">
      <c r="A3531" s="1" t="str">
        <f>"519663"</f>
        <v>519663</v>
      </c>
      <c r="B3531" s="2" t="str">
        <f>"BUCHA BRONZE REDONDO 1 1/2 X 1"""</f>
        <v>BUCHA BRONZE REDONDO 1 1/2 X 1"</v>
      </c>
      <c r="C3531" s="2" t="str">
        <f t="shared" si="140"/>
        <v>UN</v>
      </c>
      <c r="D3531" s="7">
        <v>918</v>
      </c>
      <c r="E3531" s="3">
        <v>11</v>
      </c>
      <c r="F3531" s="3">
        <v>11</v>
      </c>
      <c r="G3531" t="s">
        <v>514</v>
      </c>
    </row>
    <row r="3532" spans="1:7" x14ac:dyDescent="0.25">
      <c r="A3532" s="1" t="str">
        <f>"527140"</f>
        <v>527140</v>
      </c>
      <c r="B3532" s="2" t="str">
        <f>"BUCHA CARGA"</f>
        <v>BUCHA CARGA</v>
      </c>
      <c r="C3532" s="2" t="str">
        <f t="shared" si="140"/>
        <v>UN</v>
      </c>
      <c r="D3532" s="7">
        <v>917</v>
      </c>
      <c r="E3532" s="3">
        <v>11</v>
      </c>
      <c r="F3532" s="3">
        <v>11</v>
      </c>
      <c r="G3532" t="s">
        <v>512</v>
      </c>
    </row>
    <row r="3533" spans="1:7" x14ac:dyDescent="0.25">
      <c r="A3533" s="1" t="str">
        <f>"501890"</f>
        <v>501890</v>
      </c>
      <c r="B3533" s="2" t="str">
        <f>"BUCHA CARRINHO BYG L2000 COD.7407800"</f>
        <v>BUCHA CARRINHO BYG L2000 COD.7407800</v>
      </c>
      <c r="C3533" s="2" t="str">
        <f t="shared" ref="C3533:C3569" si="141">"UN"</f>
        <v>UN</v>
      </c>
      <c r="D3533" s="7">
        <v>918</v>
      </c>
      <c r="E3533" s="3">
        <v>11</v>
      </c>
      <c r="F3533" s="3">
        <v>11</v>
      </c>
      <c r="G3533" t="s">
        <v>513</v>
      </c>
    </row>
    <row r="3534" spans="1:7" x14ac:dyDescent="0.25">
      <c r="A3534" s="1" t="str">
        <f>"503849"</f>
        <v>503849</v>
      </c>
      <c r="B3534" s="2" t="str">
        <f>"BUCHA CILINDRO D54186 COD.10905803"</f>
        <v>BUCHA CILINDRO D54186 COD.10905803</v>
      </c>
      <c r="C3534" s="2" t="str">
        <f t="shared" si="141"/>
        <v>UN</v>
      </c>
      <c r="D3534" s="7">
        <v>913</v>
      </c>
      <c r="E3534" s="3">
        <v>11</v>
      </c>
      <c r="F3534" s="3">
        <v>11</v>
      </c>
      <c r="G3534" t="s">
        <v>514</v>
      </c>
    </row>
    <row r="3535" spans="1:7" x14ac:dyDescent="0.25">
      <c r="A3535" s="1" t="str">
        <f>"507144"</f>
        <v>507144</v>
      </c>
      <c r="B3535" s="2" t="str">
        <f>"BUCHA COD. 49.1931.010.00"</f>
        <v>BUCHA COD. 49.1931.010.00</v>
      </c>
      <c r="C3535" s="2" t="str">
        <f t="shared" si="141"/>
        <v>UN</v>
      </c>
      <c r="D3535" s="7">
        <v>918</v>
      </c>
      <c r="E3535" s="3">
        <v>11</v>
      </c>
      <c r="F3535" s="3">
        <v>11</v>
      </c>
      <c r="G3535" t="s">
        <v>514</v>
      </c>
    </row>
    <row r="3536" spans="1:7" x14ac:dyDescent="0.25">
      <c r="A3536" s="1" t="str">
        <f>"506366"</f>
        <v>506366</v>
      </c>
      <c r="B3536" s="2" t="str">
        <f>"BUCHA COD. 6434350400 EMPILHADEIRA FG25"</f>
        <v>BUCHA COD. 6434350400 EMPILHADEIRA FG25</v>
      </c>
      <c r="C3536" s="2" t="str">
        <f t="shared" si="141"/>
        <v>UN</v>
      </c>
      <c r="D3536" s="7">
        <v>918</v>
      </c>
      <c r="E3536" s="3">
        <v>11</v>
      </c>
      <c r="F3536" s="3">
        <v>11</v>
      </c>
      <c r="G3536" t="s">
        <v>514</v>
      </c>
    </row>
    <row r="3537" spans="1:7" x14ac:dyDescent="0.25">
      <c r="A3537" s="1" t="str">
        <f>"509411"</f>
        <v>509411</v>
      </c>
      <c r="B3537" s="2" t="str">
        <f>"BUCHA COD.191318-3"</f>
        <v>BUCHA COD.191318-3</v>
      </c>
      <c r="C3537" s="2" t="str">
        <f t="shared" si="141"/>
        <v>UN</v>
      </c>
      <c r="D3537" s="7">
        <v>918</v>
      </c>
      <c r="E3537" s="3">
        <v>11</v>
      </c>
      <c r="F3537" s="3">
        <v>11</v>
      </c>
      <c r="G3537" t="s">
        <v>513</v>
      </c>
    </row>
    <row r="3538" spans="1:7" x14ac:dyDescent="0.25">
      <c r="A3538" s="1" t="str">
        <f>"509410"</f>
        <v>509410</v>
      </c>
      <c r="B3538" s="2" t="str">
        <f>"BUCHA COD.191321-3"</f>
        <v>BUCHA COD.191321-3</v>
      </c>
      <c r="C3538" s="2" t="str">
        <f t="shared" si="141"/>
        <v>UN</v>
      </c>
      <c r="D3538" s="7">
        <v>918</v>
      </c>
      <c r="E3538" s="3">
        <v>11</v>
      </c>
      <c r="F3538" s="3">
        <v>11</v>
      </c>
      <c r="G3538" t="s">
        <v>512</v>
      </c>
    </row>
    <row r="3539" spans="1:7" x14ac:dyDescent="0.25">
      <c r="A3539" s="1" t="str">
        <f>"515883"</f>
        <v>515883</v>
      </c>
      <c r="B3539" s="2" t="str">
        <f>"BUCHA COMANDO CUMMINS"</f>
        <v>BUCHA COMANDO CUMMINS</v>
      </c>
      <c r="C3539" s="2" t="str">
        <f t="shared" si="141"/>
        <v>UN</v>
      </c>
      <c r="D3539" s="7">
        <v>704</v>
      </c>
      <c r="E3539" s="3">
        <v>9</v>
      </c>
      <c r="F3539" s="3">
        <v>9</v>
      </c>
      <c r="G3539" t="s">
        <v>513</v>
      </c>
    </row>
    <row r="3540" spans="1:7" x14ac:dyDescent="0.25">
      <c r="A3540" s="1" t="str">
        <f>"508482"</f>
        <v>508482</v>
      </c>
      <c r="B3540" s="2" t="str">
        <f>"BUCHA CONICA VARAO REBOQUE"</f>
        <v>BUCHA CONICA VARAO REBOQUE</v>
      </c>
      <c r="C3540" s="2" t="str">
        <f t="shared" si="141"/>
        <v>UN</v>
      </c>
      <c r="D3540" s="7">
        <v>704</v>
      </c>
      <c r="E3540" s="3">
        <v>9</v>
      </c>
      <c r="F3540" s="3">
        <v>9</v>
      </c>
      <c r="G3540" t="s">
        <v>514</v>
      </c>
    </row>
    <row r="3541" spans="1:7" x14ac:dyDescent="0.25">
      <c r="A3541" s="1" t="str">
        <f>"514102"</f>
        <v>514102</v>
      </c>
      <c r="B3541" s="2" t="str">
        <f>"BUCHA DA ALAVANCA"</f>
        <v>BUCHA DA ALAVANCA</v>
      </c>
      <c r="C3541" s="2" t="str">
        <f t="shared" si="141"/>
        <v>UN</v>
      </c>
      <c r="D3541" s="7">
        <v>704</v>
      </c>
      <c r="E3541" s="3">
        <v>9</v>
      </c>
      <c r="F3541" s="3">
        <v>9</v>
      </c>
      <c r="G3541" t="s">
        <v>514</v>
      </c>
    </row>
    <row r="3542" spans="1:7" x14ac:dyDescent="0.25">
      <c r="A3542" s="1" t="str">
        <f>"508184"</f>
        <v>508184</v>
      </c>
      <c r="B3542" s="2" t="str">
        <f>"BUCHA DA BANDEJA"</f>
        <v>BUCHA DA BANDEJA</v>
      </c>
      <c r="C3542" s="2" t="str">
        <f t="shared" si="141"/>
        <v>UN</v>
      </c>
      <c r="D3542" s="7">
        <v>704</v>
      </c>
      <c r="E3542" s="3">
        <v>9</v>
      </c>
      <c r="F3542" s="3">
        <v>9</v>
      </c>
      <c r="G3542" t="s">
        <v>514</v>
      </c>
    </row>
    <row r="3543" spans="1:7" x14ac:dyDescent="0.25">
      <c r="A3543" s="1" t="str">
        <f>"512456"</f>
        <v>512456</v>
      </c>
      <c r="B3543" s="2" t="str">
        <f>"BUCHA DA CAMISA APF-0067L"</f>
        <v>BUCHA DA CAMISA APF-0067L</v>
      </c>
      <c r="C3543" s="2" t="str">
        <f t="shared" si="141"/>
        <v>UN</v>
      </c>
      <c r="D3543" s="7">
        <v>918</v>
      </c>
      <c r="E3543" s="3">
        <v>11</v>
      </c>
      <c r="F3543" s="3">
        <v>11</v>
      </c>
      <c r="G3543" t="s">
        <v>513</v>
      </c>
    </row>
    <row r="3544" spans="1:7" x14ac:dyDescent="0.25">
      <c r="A3544" s="1" t="str">
        <f>"519326"</f>
        <v>519326</v>
      </c>
      <c r="B3544" s="8" t="s">
        <v>112</v>
      </c>
      <c r="C3544" s="2" t="str">
        <f t="shared" si="141"/>
        <v>UN</v>
      </c>
      <c r="D3544" s="7">
        <v>912</v>
      </c>
      <c r="E3544" s="3">
        <v>11</v>
      </c>
      <c r="F3544" s="3">
        <v>11</v>
      </c>
      <c r="G3544" t="s">
        <v>513</v>
      </c>
    </row>
    <row r="3545" spans="1:7" x14ac:dyDescent="0.25">
      <c r="A3545" s="1" t="str">
        <f>"503617"</f>
        <v>503617</v>
      </c>
      <c r="B3545" s="2" t="str">
        <f>"BUCHA DA JUNTA DE VEDACAO PAN/REQUEIJAO"</f>
        <v>BUCHA DA JUNTA DE VEDACAO PAN/REQUEIJAO</v>
      </c>
      <c r="C3545" s="2" t="str">
        <f t="shared" si="141"/>
        <v>UN</v>
      </c>
      <c r="D3545" s="7">
        <v>918</v>
      </c>
      <c r="E3545" s="3">
        <v>11</v>
      </c>
      <c r="F3545" s="3">
        <v>11</v>
      </c>
      <c r="G3545" t="s">
        <v>513</v>
      </c>
    </row>
    <row r="3546" spans="1:7" x14ac:dyDescent="0.25">
      <c r="A3546" s="1" t="str">
        <f>"527099"</f>
        <v>527099</v>
      </c>
      <c r="B3546" s="2" t="str">
        <f>"BUCHA DA TURBINA BBUC 204.0107"</f>
        <v>BUCHA DA TURBINA BBUC 204.0107</v>
      </c>
      <c r="C3546" s="2" t="str">
        <f t="shared" si="141"/>
        <v>UN</v>
      </c>
      <c r="D3546" s="7">
        <v>403</v>
      </c>
      <c r="E3546" s="3">
        <v>4</v>
      </c>
      <c r="F3546" s="3">
        <v>4</v>
      </c>
      <c r="G3546" t="s">
        <v>512</v>
      </c>
    </row>
    <row r="3547" spans="1:7" x14ac:dyDescent="0.25">
      <c r="A3547" s="1" t="str">
        <f>"503217"</f>
        <v>503217</v>
      </c>
      <c r="B3547" s="2" t="str">
        <f>"BUCHA DATADOR BRASKOP 2000JR COD108391-3"</f>
        <v>BUCHA DATADOR BRASKOP 2000JR COD108391-3</v>
      </c>
      <c r="C3547" s="2" t="str">
        <f t="shared" si="141"/>
        <v>UN</v>
      </c>
      <c r="D3547" s="7">
        <v>918</v>
      </c>
      <c r="E3547" s="3">
        <v>11</v>
      </c>
      <c r="F3547" s="3">
        <v>11</v>
      </c>
      <c r="G3547" t="s">
        <v>513</v>
      </c>
    </row>
    <row r="3548" spans="1:7" x14ac:dyDescent="0.25">
      <c r="A3548" s="1" t="str">
        <f>"508309"</f>
        <v>508309</v>
      </c>
      <c r="B3548" s="2" t="str">
        <f>"BUCHA DE ABC P/ MANCAL SR - GAZOLA"</f>
        <v>BUCHA DE ABC P/ MANCAL SR - GAZOLA</v>
      </c>
      <c r="C3548" s="2" t="str">
        <f t="shared" si="141"/>
        <v>UN</v>
      </c>
      <c r="D3548" s="7">
        <v>704</v>
      </c>
      <c r="E3548" s="3">
        <v>9</v>
      </c>
      <c r="F3548" s="3">
        <v>9</v>
      </c>
      <c r="G3548" t="s">
        <v>514</v>
      </c>
    </row>
    <row r="3549" spans="1:7" x14ac:dyDescent="0.25">
      <c r="A3549" s="1" t="str">
        <f>"525451"</f>
        <v>525451</v>
      </c>
      <c r="B3549" s="2" t="str">
        <f>"BUCHA DE ALUMINIO 4 BUA-55 E001020111 WETZEL"</f>
        <v>BUCHA DE ALUMINIO 4 BUA-55 E001020111 WETZEL</v>
      </c>
      <c r="C3549" s="2" t="str">
        <f t="shared" si="141"/>
        <v>UN</v>
      </c>
      <c r="D3549" s="7">
        <v>811</v>
      </c>
      <c r="E3549" s="3">
        <v>10</v>
      </c>
      <c r="F3549" s="3">
        <v>10</v>
      </c>
      <c r="G3549" t="s">
        <v>515</v>
      </c>
    </row>
    <row r="3550" spans="1:7" x14ac:dyDescent="0.25">
      <c r="A3550" s="1" t="str">
        <f>"525436"</f>
        <v>525436</v>
      </c>
      <c r="B3550" s="2" t="str">
        <f>"BUCHA DE APERTO E4399-34602"</f>
        <v>BUCHA DE APERTO E4399-34602</v>
      </c>
      <c r="C3550" s="2" t="str">
        <f t="shared" si="141"/>
        <v>UN</v>
      </c>
      <c r="D3550" s="7">
        <v>1300</v>
      </c>
      <c r="E3550" s="3">
        <v>11</v>
      </c>
      <c r="F3550" s="3">
        <v>11</v>
      </c>
      <c r="G3550" t="s">
        <v>512</v>
      </c>
    </row>
    <row r="3551" spans="1:7" x14ac:dyDescent="0.25">
      <c r="A3551" s="1" t="str">
        <f>"505742"</f>
        <v>505742</v>
      </c>
      <c r="B3551" s="2" t="str">
        <f>"BUCHA DE BONZE"</f>
        <v>BUCHA DE BONZE</v>
      </c>
      <c r="C3551" s="2" t="str">
        <f t="shared" si="141"/>
        <v>UN</v>
      </c>
      <c r="D3551" s="7">
        <v>704</v>
      </c>
      <c r="E3551" s="3">
        <v>9</v>
      </c>
      <c r="F3551" s="3">
        <v>9</v>
      </c>
      <c r="G3551" t="s">
        <v>516</v>
      </c>
    </row>
    <row r="3552" spans="1:7" x14ac:dyDescent="0.25">
      <c r="A3552" s="1" t="str">
        <f>"520251"</f>
        <v>520251</v>
      </c>
      <c r="B3552" s="2" t="str">
        <f>"BUCHA DE BRONZE 20 X 11 X 25MM"</f>
        <v>BUCHA DE BRONZE 20 X 11 X 25MM</v>
      </c>
      <c r="C3552" s="2" t="str">
        <f t="shared" si="141"/>
        <v>UN</v>
      </c>
      <c r="D3552" s="7">
        <v>918</v>
      </c>
      <c r="E3552" s="3">
        <v>11</v>
      </c>
      <c r="F3552" s="3">
        <v>11</v>
      </c>
      <c r="G3552" t="s">
        <v>515</v>
      </c>
    </row>
    <row r="3553" spans="1:7" x14ac:dyDescent="0.25">
      <c r="A3553" s="1" t="str">
        <f>"520259"</f>
        <v>520259</v>
      </c>
      <c r="B3553" s="2" t="str">
        <f>"BUCHA DE BRONZE 30  X  24,5  X 25MM"</f>
        <v>BUCHA DE BRONZE 30  X  24,5  X 25MM</v>
      </c>
      <c r="C3553" s="2" t="str">
        <f t="shared" si="141"/>
        <v>UN</v>
      </c>
      <c r="D3553" s="7">
        <v>918</v>
      </c>
      <c r="E3553" s="3">
        <v>11</v>
      </c>
      <c r="F3553" s="3">
        <v>11</v>
      </c>
      <c r="G3553" t="s">
        <v>514</v>
      </c>
    </row>
    <row r="3554" spans="1:7" x14ac:dyDescent="0.25">
      <c r="A3554" s="1" t="str">
        <f>"520256"</f>
        <v>520256</v>
      </c>
      <c r="B3554" s="2" t="str">
        <f>"BUCHA DE BRONZE 30  X 24  X 25MM"</f>
        <v>BUCHA DE BRONZE 30  X 24  X 25MM</v>
      </c>
      <c r="C3554" s="2" t="str">
        <f t="shared" si="141"/>
        <v>UN</v>
      </c>
      <c r="D3554" s="7">
        <v>918</v>
      </c>
      <c r="E3554" s="3">
        <v>11</v>
      </c>
      <c r="F3554" s="3">
        <v>11</v>
      </c>
      <c r="G3554" t="s">
        <v>512</v>
      </c>
    </row>
    <row r="3555" spans="1:7" x14ac:dyDescent="0.25">
      <c r="A3555" s="1" t="str">
        <f>"520255"</f>
        <v>520255</v>
      </c>
      <c r="B3555" s="2" t="str">
        <f>"BUCHA DE BRONZE 30 X 24,5  X 40MM"</f>
        <v>BUCHA DE BRONZE 30 X 24,5  X 40MM</v>
      </c>
      <c r="C3555" s="2" t="str">
        <f t="shared" si="141"/>
        <v>UN</v>
      </c>
      <c r="D3555" s="7">
        <v>918</v>
      </c>
      <c r="E3555" s="3">
        <v>11</v>
      </c>
      <c r="F3555" s="3">
        <v>11</v>
      </c>
      <c r="G3555" t="s">
        <v>513</v>
      </c>
    </row>
    <row r="3556" spans="1:7" x14ac:dyDescent="0.25">
      <c r="A3556" s="1" t="str">
        <f>"520258"</f>
        <v>520258</v>
      </c>
      <c r="B3556" s="2" t="str">
        <f>"BUCHA DE BRONZE 30,5  X 19  X 25MM"</f>
        <v>BUCHA DE BRONZE 30,5  X 19  X 25MM</v>
      </c>
      <c r="C3556" s="2" t="str">
        <f t="shared" si="141"/>
        <v>UN</v>
      </c>
      <c r="D3556" s="7">
        <v>918</v>
      </c>
      <c r="E3556" s="3">
        <v>11</v>
      </c>
      <c r="F3556" s="3">
        <v>11</v>
      </c>
      <c r="G3556" t="s">
        <v>514</v>
      </c>
    </row>
    <row r="3557" spans="1:7" x14ac:dyDescent="0.25">
      <c r="A3557" s="1" t="str">
        <f>"520261"</f>
        <v>520261</v>
      </c>
      <c r="B3557" s="2" t="str">
        <f>"BUCHA DE BRONZE 32  X  24  X  55MM"</f>
        <v>BUCHA DE BRONZE 32  X  24  X  55MM</v>
      </c>
      <c r="C3557" s="2" t="str">
        <f t="shared" si="141"/>
        <v>UN</v>
      </c>
      <c r="D3557" s="7">
        <v>918</v>
      </c>
      <c r="E3557" s="3">
        <v>11</v>
      </c>
      <c r="F3557" s="3">
        <v>11</v>
      </c>
      <c r="G3557" t="s">
        <v>514</v>
      </c>
    </row>
    <row r="3558" spans="1:7" x14ac:dyDescent="0.25">
      <c r="A3558" s="1" t="str">
        <f>"520260"</f>
        <v>520260</v>
      </c>
      <c r="B3558" s="2" t="str">
        <f>"BUCHA DE BRONZE 32  X  24,5  X 50MM"</f>
        <v>BUCHA DE BRONZE 32  X  24,5  X 50MM</v>
      </c>
      <c r="C3558" s="2" t="str">
        <f t="shared" si="141"/>
        <v>UN</v>
      </c>
      <c r="D3558" s="7">
        <v>918</v>
      </c>
      <c r="E3558" s="3">
        <v>11</v>
      </c>
      <c r="F3558" s="3">
        <v>11</v>
      </c>
      <c r="G3558" t="s">
        <v>512</v>
      </c>
    </row>
    <row r="3559" spans="1:7" x14ac:dyDescent="0.25">
      <c r="A3559" s="1" t="str">
        <f>"520257"</f>
        <v>520257</v>
      </c>
      <c r="B3559" s="2" t="str">
        <f>"BUCHA DE BRONZE 35  X 25  X 40MM"</f>
        <v>BUCHA DE BRONZE 35  X 25  X 40MM</v>
      </c>
      <c r="C3559" s="2" t="str">
        <f t="shared" si="141"/>
        <v>UN</v>
      </c>
      <c r="D3559" s="7">
        <v>918</v>
      </c>
      <c r="E3559" s="3">
        <v>11</v>
      </c>
      <c r="F3559" s="3">
        <v>11</v>
      </c>
      <c r="G3559" t="s">
        <v>513</v>
      </c>
    </row>
    <row r="3560" spans="1:7" x14ac:dyDescent="0.25">
      <c r="A3560" s="1" t="str">
        <f>"520253"</f>
        <v>520253</v>
      </c>
      <c r="B3560" s="2" t="str">
        <f>"BUCHA DE BRONZE 35 X 24 X 35MM"</f>
        <v>BUCHA DE BRONZE 35 X 24 X 35MM</v>
      </c>
      <c r="C3560" s="2" t="str">
        <f t="shared" si="141"/>
        <v>UN</v>
      </c>
      <c r="D3560" s="7">
        <v>918</v>
      </c>
      <c r="E3560" s="3">
        <v>11</v>
      </c>
      <c r="F3560" s="3">
        <v>11</v>
      </c>
      <c r="G3560" t="s">
        <v>514</v>
      </c>
    </row>
    <row r="3561" spans="1:7" x14ac:dyDescent="0.25">
      <c r="A3561" s="1" t="str">
        <f>"520252"</f>
        <v>520252</v>
      </c>
      <c r="B3561" s="2" t="str">
        <f>"BUCHA DE BRONZE 35X 24,5 X 40MM"</f>
        <v>BUCHA DE BRONZE 35X 24,5 X 40MM</v>
      </c>
      <c r="C3561" s="2" t="str">
        <f t="shared" si="141"/>
        <v>UN</v>
      </c>
      <c r="D3561" s="7">
        <v>918</v>
      </c>
      <c r="E3561" s="3">
        <v>11</v>
      </c>
      <c r="F3561" s="3">
        <v>11</v>
      </c>
      <c r="G3561" t="s">
        <v>514</v>
      </c>
    </row>
    <row r="3562" spans="1:7" x14ac:dyDescent="0.25">
      <c r="A3562" s="1" t="str">
        <f>"510484"</f>
        <v>510484</v>
      </c>
      <c r="B3562" s="2" t="str">
        <f>"BUCHA DE BRONZE 38,1 X 22 X 300MM"</f>
        <v>BUCHA DE BRONZE 38,1 X 22 X 300MM</v>
      </c>
      <c r="C3562" s="2" t="str">
        <f t="shared" si="141"/>
        <v>UN</v>
      </c>
      <c r="D3562" s="7">
        <v>918</v>
      </c>
      <c r="E3562" s="3">
        <v>11</v>
      </c>
      <c r="F3562" s="3">
        <v>11</v>
      </c>
      <c r="G3562" t="s">
        <v>514</v>
      </c>
    </row>
    <row r="3563" spans="1:7" x14ac:dyDescent="0.25">
      <c r="A3563" s="1" t="str">
        <f>"520254"</f>
        <v>520254</v>
      </c>
      <c r="B3563" s="2" t="str">
        <f>"BUCHA DE BRONZE 40 X 29,5  X 35MM"</f>
        <v>BUCHA DE BRONZE 40 X 29,5  X 35MM</v>
      </c>
      <c r="C3563" s="2" t="str">
        <f t="shared" si="141"/>
        <v>UN</v>
      </c>
      <c r="D3563" s="7">
        <v>918</v>
      </c>
      <c r="E3563" s="3">
        <v>11</v>
      </c>
      <c r="F3563" s="3">
        <v>11</v>
      </c>
      <c r="G3563" t="s">
        <v>513</v>
      </c>
    </row>
    <row r="3564" spans="1:7" x14ac:dyDescent="0.25">
      <c r="A3564" s="1" t="str">
        <f>"527135"</f>
        <v>527135</v>
      </c>
      <c r="B3564" s="2" t="str">
        <f>"BUCHA DE DESGASTE"</f>
        <v>BUCHA DE DESGASTE</v>
      </c>
      <c r="C3564" s="2" t="str">
        <f t="shared" si="141"/>
        <v>UN</v>
      </c>
      <c r="D3564" s="7">
        <v>917</v>
      </c>
      <c r="E3564" s="3">
        <v>11</v>
      </c>
      <c r="F3564" s="3">
        <v>11</v>
      </c>
      <c r="G3564" t="s">
        <v>512</v>
      </c>
    </row>
    <row r="3565" spans="1:7" x14ac:dyDescent="0.25">
      <c r="A3565" s="1" t="str">
        <f>"520850"</f>
        <v>520850</v>
      </c>
      <c r="B3565" s="2" t="str">
        <f>"BUCHA DE GUIA D4399-30599"</f>
        <v>BUCHA DE GUIA D4399-30599</v>
      </c>
      <c r="C3565" s="2" t="str">
        <f t="shared" si="141"/>
        <v>UN</v>
      </c>
      <c r="D3565" s="7">
        <v>1300</v>
      </c>
      <c r="E3565" s="3">
        <v>11</v>
      </c>
      <c r="F3565" s="3">
        <v>11</v>
      </c>
      <c r="G3565" t="s">
        <v>513</v>
      </c>
    </row>
    <row r="3566" spans="1:7" x14ac:dyDescent="0.25">
      <c r="A3566" s="1" t="str">
        <f>"501385"</f>
        <v>501385</v>
      </c>
      <c r="B3566" s="2" t="str">
        <f>"BUCHA DE LATAO"</f>
        <v>BUCHA DE LATAO</v>
      </c>
      <c r="C3566" s="2" t="str">
        <f t="shared" si="141"/>
        <v>UN</v>
      </c>
      <c r="D3566" s="7">
        <v>99999</v>
      </c>
      <c r="E3566" s="3">
        <v>99</v>
      </c>
      <c r="F3566" s="3">
        <v>99</v>
      </c>
      <c r="G3566" t="s">
        <v>514</v>
      </c>
    </row>
    <row r="3567" spans="1:7" x14ac:dyDescent="0.25">
      <c r="A3567" s="1" t="str">
        <f>"509085"</f>
        <v>509085</v>
      </c>
      <c r="B3567" s="2" t="str">
        <f>"BUCHA DE LATAO 007409047"</f>
        <v>BUCHA DE LATAO 007409047</v>
      </c>
      <c r="C3567" s="2" t="str">
        <f t="shared" si="141"/>
        <v>UN</v>
      </c>
      <c r="D3567" s="7">
        <v>918</v>
      </c>
      <c r="E3567" s="3">
        <v>11</v>
      </c>
      <c r="F3567" s="3">
        <v>11</v>
      </c>
      <c r="G3567" t="s">
        <v>514</v>
      </c>
    </row>
    <row r="3568" spans="1:7" x14ac:dyDescent="0.25">
      <c r="A3568" s="1" t="str">
        <f>"509075"</f>
        <v>509075</v>
      </c>
      <c r="B3568" s="2" t="str">
        <f>"BUCHA DE LATAO 007409055"</f>
        <v>BUCHA DE LATAO 007409055</v>
      </c>
      <c r="C3568" s="2" t="str">
        <f t="shared" si="141"/>
        <v>UN</v>
      </c>
      <c r="D3568" s="7">
        <v>918</v>
      </c>
      <c r="E3568" s="3">
        <v>11</v>
      </c>
      <c r="F3568" s="3">
        <v>11</v>
      </c>
      <c r="G3568" t="s">
        <v>514</v>
      </c>
    </row>
    <row r="3569" spans="1:7" x14ac:dyDescent="0.25">
      <c r="A3569" s="1" t="str">
        <f>"513169"</f>
        <v>513169</v>
      </c>
      <c r="B3569" s="8" t="s">
        <v>42</v>
      </c>
      <c r="C3569" s="2" t="str">
        <f t="shared" si="141"/>
        <v>UN</v>
      </c>
      <c r="D3569" s="7">
        <v>918</v>
      </c>
      <c r="E3569" s="3">
        <v>11</v>
      </c>
      <c r="F3569" s="3">
        <v>11</v>
      </c>
      <c r="G3569" t="s">
        <v>513</v>
      </c>
    </row>
    <row r="3570" spans="1:7" x14ac:dyDescent="0.25">
      <c r="A3570" s="1" t="str">
        <f>"500245"</f>
        <v>500245</v>
      </c>
      <c r="B3570" s="2" t="str">
        <f>"BUCHA DE REDUCAO - 1.1/4 X 1"" (FG)"</f>
        <v>BUCHA DE REDUCAO - 1.1/4 X 1" (FG)</v>
      </c>
      <c r="C3570" s="2" t="str">
        <f>"BR"</f>
        <v>BR</v>
      </c>
      <c r="D3570" s="7">
        <v>808</v>
      </c>
      <c r="E3570" s="3">
        <v>10</v>
      </c>
      <c r="F3570" s="3">
        <v>10</v>
      </c>
      <c r="G3570" t="s">
        <v>513</v>
      </c>
    </row>
    <row r="3571" spans="1:7" x14ac:dyDescent="0.25">
      <c r="A3571" s="1" t="str">
        <f>"502162"</f>
        <v>502162</v>
      </c>
      <c r="B3571" s="2" t="str">
        <f>"BUCHA DE REDUCAO - 1/2"" X 3/8"" (FG)"</f>
        <v>BUCHA DE REDUCAO - 1/2" X 3/8" (FG)</v>
      </c>
      <c r="C3571" s="2" t="str">
        <f>"BR"</f>
        <v>BR</v>
      </c>
      <c r="D3571" s="7">
        <v>808</v>
      </c>
      <c r="E3571" s="3">
        <v>10</v>
      </c>
      <c r="F3571" s="3">
        <v>10</v>
      </c>
      <c r="G3571" t="s">
        <v>513</v>
      </c>
    </row>
    <row r="3572" spans="1:7" x14ac:dyDescent="0.25">
      <c r="A3572" s="1" t="str">
        <f>"503051"</f>
        <v>503051</v>
      </c>
      <c r="B3572" s="2" t="str">
        <f>"BUCHA DE REDUCAO - 2"" X 1"" (FG)"</f>
        <v>BUCHA DE REDUCAO - 2" X 1" (FG)</v>
      </c>
      <c r="C3572" s="2" t="str">
        <f>"BR"</f>
        <v>BR</v>
      </c>
      <c r="D3572" s="7">
        <v>808</v>
      </c>
      <c r="E3572" s="3">
        <v>10</v>
      </c>
      <c r="F3572" s="3">
        <v>10</v>
      </c>
      <c r="G3572" t="s">
        <v>512</v>
      </c>
    </row>
    <row r="3573" spans="1:7" x14ac:dyDescent="0.25">
      <c r="A3573" s="1" t="str">
        <f>"500052"</f>
        <v>500052</v>
      </c>
      <c r="B3573" s="2" t="str">
        <f>"BUCHA DE REDUCAO - 2"" X 1.1/2 (FG)"</f>
        <v>BUCHA DE REDUCAO - 2" X 1.1/2 (FG)</v>
      </c>
      <c r="C3573" s="2" t="str">
        <f>"GL"</f>
        <v>GL</v>
      </c>
      <c r="D3573" s="7">
        <v>808</v>
      </c>
      <c r="E3573" s="3">
        <v>10</v>
      </c>
      <c r="F3573" s="3">
        <v>10</v>
      </c>
      <c r="G3573" t="s">
        <v>513</v>
      </c>
    </row>
    <row r="3574" spans="1:7" x14ac:dyDescent="0.25">
      <c r="A3574" s="1" t="str">
        <f>"509949"</f>
        <v>509949</v>
      </c>
      <c r="B3574" s="2" t="str">
        <f>"BUCHA DE REDUÇAO - 3"" X 1 1/2"" (FG)"</f>
        <v>BUCHA DE REDUÇAO - 3" X 1 1/2" (FG)</v>
      </c>
      <c r="C3574" s="2" t="str">
        <f>"BR"</f>
        <v>BR</v>
      </c>
      <c r="D3574" s="7">
        <v>808</v>
      </c>
      <c r="E3574" s="3">
        <v>10</v>
      </c>
      <c r="F3574" s="3">
        <v>10</v>
      </c>
      <c r="G3574" t="s">
        <v>514</v>
      </c>
    </row>
    <row r="3575" spans="1:7" x14ac:dyDescent="0.25">
      <c r="A3575" s="1" t="str">
        <f>"500053"</f>
        <v>500053</v>
      </c>
      <c r="B3575" s="2" t="str">
        <f>"BUCHA DE REDUCAO - 3"" X 2"" (PVC)"</f>
        <v>BUCHA DE REDUCAO - 3" X 2" (PVC)</v>
      </c>
      <c r="C3575" s="2" t="str">
        <f>"PC"</f>
        <v>PC</v>
      </c>
      <c r="D3575" s="7">
        <v>808</v>
      </c>
      <c r="E3575" s="3">
        <v>10</v>
      </c>
      <c r="F3575" s="3">
        <v>10</v>
      </c>
      <c r="G3575" t="s">
        <v>515</v>
      </c>
    </row>
    <row r="3576" spans="1:7" x14ac:dyDescent="0.25">
      <c r="A3576" s="1" t="str">
        <f>"503344"</f>
        <v>503344</v>
      </c>
      <c r="B3576" s="2" t="str">
        <f>"BUCHA DE REDUCAO - 3/8"" X 1/4"" (FG)"</f>
        <v>BUCHA DE REDUCAO - 3/8" X 1/4" (FG)</v>
      </c>
      <c r="C3576" s="2" t="str">
        <f>"BR"</f>
        <v>BR</v>
      </c>
      <c r="D3576" s="7">
        <v>808</v>
      </c>
      <c r="E3576" s="3">
        <v>10</v>
      </c>
      <c r="F3576" s="3">
        <v>10</v>
      </c>
      <c r="G3576" t="s">
        <v>512</v>
      </c>
    </row>
    <row r="3577" spans="1:7" x14ac:dyDescent="0.25">
      <c r="A3577" s="1" t="str">
        <f>"511784"</f>
        <v>511784</v>
      </c>
      <c r="B3577" s="2" t="str">
        <f>"BUCHA DE REDUÇAO - 4"" X 3"" (FG)"</f>
        <v>BUCHA DE REDUÇAO - 4" X 3" (FG)</v>
      </c>
      <c r="C3577" s="2" t="str">
        <f>"BR"</f>
        <v>BR</v>
      </c>
      <c r="D3577" s="7">
        <v>808</v>
      </c>
      <c r="E3577" s="3">
        <v>10</v>
      </c>
      <c r="F3577" s="3">
        <v>10</v>
      </c>
      <c r="G3577" t="s">
        <v>516</v>
      </c>
    </row>
    <row r="3578" spans="1:7" x14ac:dyDescent="0.25">
      <c r="A3578" s="1" t="str">
        <f>"510101"</f>
        <v>510101</v>
      </c>
      <c r="B3578" s="2" t="str">
        <f>"BUCHA DE REDUCAO 1 X 3/4"</f>
        <v>BUCHA DE REDUCAO 1 X 3/4</v>
      </c>
      <c r="C3578" s="2" t="str">
        <f>"UN"</f>
        <v>UN</v>
      </c>
      <c r="D3578" s="7">
        <v>912</v>
      </c>
      <c r="E3578" s="3">
        <v>11</v>
      </c>
      <c r="F3578" s="3">
        <v>11</v>
      </c>
      <c r="G3578" t="s">
        <v>515</v>
      </c>
    </row>
    <row r="3579" spans="1:7" x14ac:dyDescent="0.25">
      <c r="A3579" s="1" t="str">
        <f>"527829"</f>
        <v>527829</v>
      </c>
      <c r="B3579" s="2" t="str">
        <f>"BUCHA DE REDUCAO 2 1/2 X 1 1/2 PVC ROSCA"</f>
        <v>BUCHA DE REDUCAO 2 1/2 X 1 1/2 PVC ROSCA</v>
      </c>
      <c r="C3579" s="2" t="str">
        <f>"UN"</f>
        <v>UN</v>
      </c>
      <c r="D3579" s="7">
        <v>912</v>
      </c>
      <c r="E3579" s="3">
        <v>11</v>
      </c>
      <c r="F3579" s="3">
        <v>11</v>
      </c>
      <c r="G3579" t="s">
        <v>514</v>
      </c>
    </row>
    <row r="3580" spans="1:7" x14ac:dyDescent="0.25">
      <c r="A3580" s="1" t="str">
        <f>"510811"</f>
        <v>510811</v>
      </c>
      <c r="B3580" s="2" t="str">
        <f>"BUCHA DE REDUCAO 2 1/2 X 2 PVC ROSCA"</f>
        <v>BUCHA DE REDUCAO 2 1/2 X 2 PVC ROSCA</v>
      </c>
      <c r="C3580" s="2" t="str">
        <f>"UN"</f>
        <v>UN</v>
      </c>
      <c r="D3580" s="7">
        <v>912</v>
      </c>
      <c r="E3580" s="3">
        <v>11</v>
      </c>
      <c r="F3580" s="3">
        <v>11</v>
      </c>
      <c r="G3580" t="s">
        <v>512</v>
      </c>
    </row>
    <row r="3581" spans="1:7" x14ac:dyDescent="0.25">
      <c r="A3581" s="1" t="str">
        <f>"513049"</f>
        <v>513049</v>
      </c>
      <c r="B3581" s="2" t="str">
        <f>"BUCHA DE REDUÇÃO 85X75MM PVC MARROM"</f>
        <v>BUCHA DE REDUÇÃO 85X75MM PVC MARROM</v>
      </c>
      <c r="C3581" s="2" t="str">
        <f>"BR"</f>
        <v>BR</v>
      </c>
      <c r="D3581" s="7">
        <v>808</v>
      </c>
      <c r="E3581" s="3">
        <v>10</v>
      </c>
      <c r="F3581" s="3">
        <v>10</v>
      </c>
      <c r="G3581" t="s">
        <v>513</v>
      </c>
    </row>
    <row r="3582" spans="1:7" x14ac:dyDescent="0.25">
      <c r="A3582" s="1" t="str">
        <f>"502928"</f>
        <v>502928</v>
      </c>
      <c r="B3582" s="2" t="str">
        <f>"BUCHA DE REDUCAO DE 50X3/4"""</f>
        <v>BUCHA DE REDUCAO DE 50X3/4"</v>
      </c>
      <c r="C3582" s="2" t="str">
        <f>"BR"</f>
        <v>BR</v>
      </c>
      <c r="D3582" s="7">
        <v>808</v>
      </c>
      <c r="E3582" s="3">
        <v>10</v>
      </c>
      <c r="F3582" s="3">
        <v>10</v>
      </c>
      <c r="G3582" t="s">
        <v>514</v>
      </c>
    </row>
    <row r="3583" spans="1:7" x14ac:dyDescent="0.25">
      <c r="A3583" s="1" t="str">
        <f>"502929"</f>
        <v>502929</v>
      </c>
      <c r="B3583" s="2" t="str">
        <f>"BUCHA DE REDUCAO DE 50X40MM"</f>
        <v>BUCHA DE REDUCAO DE 50X40MM</v>
      </c>
      <c r="C3583" s="2" t="str">
        <f>"BR"</f>
        <v>BR</v>
      </c>
      <c r="D3583" s="7">
        <v>808</v>
      </c>
      <c r="E3583" s="3">
        <v>10</v>
      </c>
      <c r="F3583" s="3">
        <v>10</v>
      </c>
      <c r="G3583" t="s">
        <v>514</v>
      </c>
    </row>
    <row r="3584" spans="1:7" x14ac:dyDescent="0.25">
      <c r="A3584" s="1" t="str">
        <f>"510243"</f>
        <v>510243</v>
      </c>
      <c r="B3584" s="2" t="str">
        <f>"BUCHA DE REDUCAO GALV. 1.1/2 X 1/2"</f>
        <v>BUCHA DE REDUCAO GALV. 1.1/2 X 1/2</v>
      </c>
      <c r="C3584" s="2" t="str">
        <f t="shared" ref="C3584:C3611" si="142">"UN"</f>
        <v>UN</v>
      </c>
      <c r="D3584" s="7">
        <v>912</v>
      </c>
      <c r="E3584" s="3">
        <v>11</v>
      </c>
      <c r="F3584" s="3">
        <v>11</v>
      </c>
      <c r="G3584" t="s">
        <v>512</v>
      </c>
    </row>
    <row r="3585" spans="1:7" x14ac:dyDescent="0.25">
      <c r="A3585" s="1" t="str">
        <f>"502019"</f>
        <v>502019</v>
      </c>
      <c r="B3585" s="2" t="str">
        <f>"BUCHA DE TIRANTE C/ ANEL RODOVIARIA"</f>
        <v>BUCHA DE TIRANTE C/ ANEL RODOVIARIA</v>
      </c>
      <c r="C3585" s="2" t="str">
        <f t="shared" si="142"/>
        <v>UN</v>
      </c>
      <c r="D3585" s="7">
        <v>704</v>
      </c>
      <c r="E3585" s="3">
        <v>9</v>
      </c>
      <c r="F3585" s="3">
        <v>9</v>
      </c>
      <c r="G3585" t="s">
        <v>513</v>
      </c>
    </row>
    <row r="3586" spans="1:7" x14ac:dyDescent="0.25">
      <c r="A3586" s="1" t="str">
        <f>"503610"</f>
        <v>503610</v>
      </c>
      <c r="B3586" s="2" t="str">
        <f>"BUCHA DES.44043 COD.198818-03"</f>
        <v>BUCHA DES.44043 COD.198818-03</v>
      </c>
      <c r="C3586" s="2" t="str">
        <f t="shared" si="142"/>
        <v>UN</v>
      </c>
      <c r="D3586" s="7">
        <v>918</v>
      </c>
      <c r="E3586" s="3">
        <v>11</v>
      </c>
      <c r="F3586" s="3">
        <v>11</v>
      </c>
      <c r="G3586" t="s">
        <v>514</v>
      </c>
    </row>
    <row r="3587" spans="1:7" x14ac:dyDescent="0.25">
      <c r="A3587" s="1" t="str">
        <f>"505054"</f>
        <v>505054</v>
      </c>
      <c r="B3587" s="2" t="str">
        <f>"BUCHA DES.44763 COD.215143-3"</f>
        <v>BUCHA DES.44763 COD.215143-3</v>
      </c>
      <c r="C3587" s="2" t="str">
        <f t="shared" si="142"/>
        <v>UN</v>
      </c>
      <c r="D3587" s="7">
        <v>918</v>
      </c>
      <c r="E3587" s="3">
        <v>11</v>
      </c>
      <c r="F3587" s="3">
        <v>11</v>
      </c>
      <c r="G3587" t="s">
        <v>514</v>
      </c>
    </row>
    <row r="3588" spans="1:7" x14ac:dyDescent="0.25">
      <c r="A3588" s="1" t="str">
        <f>"503455"</f>
        <v>503455</v>
      </c>
      <c r="B3588" s="2" t="str">
        <f>"BUCHA DES.47463 COD.232139-3"</f>
        <v>BUCHA DES.47463 COD.232139-3</v>
      </c>
      <c r="C3588" s="2" t="str">
        <f t="shared" si="142"/>
        <v>UN</v>
      </c>
      <c r="D3588" s="7">
        <v>918</v>
      </c>
      <c r="E3588" s="3">
        <v>11</v>
      </c>
      <c r="F3588" s="3">
        <v>11</v>
      </c>
      <c r="G3588" t="s">
        <v>514</v>
      </c>
    </row>
    <row r="3589" spans="1:7" x14ac:dyDescent="0.25">
      <c r="A3589" s="1" t="str">
        <f>"503456"</f>
        <v>503456</v>
      </c>
      <c r="B3589" s="2" t="str">
        <f>"BUCHA DES.52613 COD.202215-3"</f>
        <v>BUCHA DES.52613 COD.202215-3</v>
      </c>
      <c r="C3589" s="2" t="str">
        <f t="shared" si="142"/>
        <v>UN</v>
      </c>
      <c r="D3589" s="7">
        <v>918</v>
      </c>
      <c r="E3589" s="3">
        <v>11</v>
      </c>
      <c r="F3589" s="3">
        <v>11</v>
      </c>
      <c r="G3589" t="s">
        <v>513</v>
      </c>
    </row>
    <row r="3590" spans="1:7" x14ac:dyDescent="0.25">
      <c r="A3590" s="1" t="str">
        <f>"503611"</f>
        <v>503611</v>
      </c>
      <c r="B3590" s="2" t="str">
        <f>"BUCHA DES.52635 COD.202337-3"</f>
        <v>BUCHA DES.52635 COD.202337-3</v>
      </c>
      <c r="C3590" s="2" t="str">
        <f t="shared" si="142"/>
        <v>UN</v>
      </c>
      <c r="D3590" s="7">
        <v>918</v>
      </c>
      <c r="E3590" s="3">
        <v>11</v>
      </c>
      <c r="F3590" s="3">
        <v>11</v>
      </c>
      <c r="G3590" t="s">
        <v>512</v>
      </c>
    </row>
    <row r="3591" spans="1:7" x14ac:dyDescent="0.25">
      <c r="A3591" s="1" t="str">
        <f>"509124"</f>
        <v>509124</v>
      </c>
      <c r="B3591" s="2" t="str">
        <f>"BUCHA DESLIZANTE BRASKOP - 196218-3"</f>
        <v>BUCHA DESLIZANTE BRASKOP - 196218-3</v>
      </c>
      <c r="C3591" s="2" t="str">
        <f t="shared" si="142"/>
        <v>UN</v>
      </c>
      <c r="D3591" s="7">
        <v>918</v>
      </c>
      <c r="E3591" s="3">
        <v>11</v>
      </c>
      <c r="F3591" s="3">
        <v>11</v>
      </c>
      <c r="G3591" t="s">
        <v>513</v>
      </c>
    </row>
    <row r="3592" spans="1:7" x14ac:dyDescent="0.25">
      <c r="A3592" s="1" t="str">
        <f>"509215"</f>
        <v>509215</v>
      </c>
      <c r="B3592" s="2" t="str">
        <f>"BUCHA DO ELETRODO VERTICAL"</f>
        <v>BUCHA DO ELETRODO VERTICAL</v>
      </c>
      <c r="C3592" s="2" t="str">
        <f t="shared" si="142"/>
        <v>UN</v>
      </c>
      <c r="D3592" s="7">
        <v>918</v>
      </c>
      <c r="E3592" s="3">
        <v>11</v>
      </c>
      <c r="F3592" s="3">
        <v>11</v>
      </c>
      <c r="G3592" t="s">
        <v>514</v>
      </c>
    </row>
    <row r="3593" spans="1:7" x14ac:dyDescent="0.25">
      <c r="A3593" s="1" t="str">
        <f>"514234"</f>
        <v>514234</v>
      </c>
      <c r="B3593" s="2" t="str">
        <f>"BUCHA DO MANCAL"</f>
        <v>BUCHA DO MANCAL</v>
      </c>
      <c r="C3593" s="2" t="str">
        <f t="shared" si="142"/>
        <v>UN</v>
      </c>
      <c r="D3593" s="7">
        <v>704</v>
      </c>
      <c r="E3593" s="3">
        <v>9</v>
      </c>
      <c r="F3593" s="3">
        <v>9</v>
      </c>
      <c r="G3593" t="s">
        <v>514</v>
      </c>
    </row>
    <row r="3594" spans="1:7" x14ac:dyDescent="0.25">
      <c r="A3594" s="1" t="str">
        <f>"502020"</f>
        <v>502020</v>
      </c>
      <c r="B3594" s="2" t="str">
        <f>"BUCHA DO TIRANTE RODOVIARIA"</f>
        <v>BUCHA DO TIRANTE RODOVIARIA</v>
      </c>
      <c r="C3594" s="2" t="str">
        <f t="shared" si="142"/>
        <v>UN</v>
      </c>
      <c r="D3594" s="7">
        <v>704</v>
      </c>
      <c r="E3594" s="3">
        <v>9</v>
      </c>
      <c r="F3594" s="3">
        <v>9</v>
      </c>
      <c r="G3594" t="s">
        <v>514</v>
      </c>
    </row>
    <row r="3595" spans="1:7" x14ac:dyDescent="0.25">
      <c r="A3595" s="1" t="str">
        <f>"503205"</f>
        <v>503205</v>
      </c>
      <c r="B3595" s="2" t="str">
        <f>"BUCHA EIXO ARTIC DES.51323 COD.200596-3"</f>
        <v>BUCHA EIXO ARTIC DES.51323 COD.200596-3</v>
      </c>
      <c r="C3595" s="2" t="str">
        <f t="shared" si="142"/>
        <v>UN</v>
      </c>
      <c r="D3595" s="7">
        <v>918</v>
      </c>
      <c r="E3595" s="3">
        <v>11</v>
      </c>
      <c r="F3595" s="3">
        <v>11</v>
      </c>
      <c r="G3595" t="s">
        <v>513</v>
      </c>
    </row>
    <row r="3596" spans="1:7" x14ac:dyDescent="0.25">
      <c r="A3596" s="1" t="str">
        <f>"510124"</f>
        <v>510124</v>
      </c>
      <c r="B3596" s="2" t="str">
        <f>"BUCHA EIXO CILINDRO PNM D44671 21368303"</f>
        <v>BUCHA EIXO CILINDRO PNM D44671 21368303</v>
      </c>
      <c r="C3596" s="2" t="str">
        <f t="shared" si="142"/>
        <v>UN</v>
      </c>
      <c r="D3596" s="7">
        <v>918</v>
      </c>
      <c r="E3596" s="3">
        <v>11</v>
      </c>
      <c r="F3596" s="3">
        <v>11</v>
      </c>
      <c r="G3596" t="s">
        <v>513</v>
      </c>
    </row>
    <row r="3597" spans="1:7" x14ac:dyDescent="0.25">
      <c r="A3597" s="1" t="str">
        <f>"503148"</f>
        <v>503148</v>
      </c>
      <c r="B3597" s="2" t="str">
        <f>"BUCHA EIXO DATADOR DES.53924 COD.108388"</f>
        <v>BUCHA EIXO DATADOR DES.53924 COD.108388</v>
      </c>
      <c r="C3597" s="2" t="str">
        <f t="shared" si="142"/>
        <v>UN</v>
      </c>
      <c r="D3597" s="7">
        <v>918</v>
      </c>
      <c r="E3597" s="3">
        <v>11</v>
      </c>
      <c r="F3597" s="3">
        <v>11</v>
      </c>
      <c r="G3597" t="s">
        <v>513</v>
      </c>
    </row>
    <row r="3598" spans="1:7" x14ac:dyDescent="0.25">
      <c r="A3598" s="1" t="str">
        <f>"522889"</f>
        <v>522889</v>
      </c>
      <c r="B3598" s="2" t="str">
        <f>"BUCHA EIXO TRASEIRO"</f>
        <v>BUCHA EIXO TRASEIRO</v>
      </c>
      <c r="C3598" s="2" t="str">
        <f t="shared" si="142"/>
        <v>UN</v>
      </c>
      <c r="D3598" s="7">
        <v>918</v>
      </c>
      <c r="E3598" s="3">
        <v>10</v>
      </c>
      <c r="F3598" s="3">
        <v>10</v>
      </c>
      <c r="G3598" t="s">
        <v>512</v>
      </c>
    </row>
    <row r="3599" spans="1:7" x14ac:dyDescent="0.25">
      <c r="A3599" s="1" t="str">
        <f>"504101"</f>
        <v>504101</v>
      </c>
      <c r="B3599" s="2" t="str">
        <f>"BUCHA ENTALHADA BMG2"</f>
        <v>BUCHA ENTALHADA BMG2</v>
      </c>
      <c r="C3599" s="2" t="str">
        <f t="shared" si="142"/>
        <v>UN</v>
      </c>
      <c r="D3599" s="7">
        <v>918</v>
      </c>
      <c r="E3599" s="3">
        <v>11</v>
      </c>
      <c r="F3599" s="3">
        <v>11</v>
      </c>
      <c r="G3599" t="s">
        <v>513</v>
      </c>
    </row>
    <row r="3600" spans="1:7" x14ac:dyDescent="0.25">
      <c r="A3600" s="1" t="str">
        <f>"500963"</f>
        <v>500963</v>
      </c>
      <c r="B3600" s="2" t="str">
        <f>"BUCHA ESPACADORA SAPATA COD.106790-03"</f>
        <v>BUCHA ESPACADORA SAPATA COD.106790-03</v>
      </c>
      <c r="C3600" s="2" t="str">
        <f t="shared" si="142"/>
        <v>UN</v>
      </c>
      <c r="D3600" s="7">
        <v>918</v>
      </c>
      <c r="E3600" s="3">
        <v>11</v>
      </c>
      <c r="F3600" s="3">
        <v>11</v>
      </c>
      <c r="G3600" t="s">
        <v>514</v>
      </c>
    </row>
    <row r="3601" spans="1:7" x14ac:dyDescent="0.25">
      <c r="A3601" s="1" t="str">
        <f>"505053"</f>
        <v>505053</v>
      </c>
      <c r="B3601" s="2" t="str">
        <f>"BUCHA EXCENTRICA DES.44081 COD.205482-3"</f>
        <v>BUCHA EXCENTRICA DES.44081 COD.205482-3</v>
      </c>
      <c r="C3601" s="2" t="str">
        <f t="shared" si="142"/>
        <v>UN</v>
      </c>
      <c r="D3601" s="7">
        <v>918</v>
      </c>
      <c r="E3601" s="3">
        <v>11</v>
      </c>
      <c r="F3601" s="3">
        <v>11</v>
      </c>
      <c r="G3601" t="s">
        <v>515</v>
      </c>
    </row>
    <row r="3602" spans="1:7" x14ac:dyDescent="0.25">
      <c r="A3602" s="1" t="str">
        <f>"500094"</f>
        <v>500094</v>
      </c>
      <c r="B3602" s="2" t="str">
        <f>"BUCHA FIXACAO INFERIOR COD.53283"</f>
        <v>BUCHA FIXACAO INFERIOR COD.53283</v>
      </c>
      <c r="C3602" s="2" t="str">
        <f t="shared" si="142"/>
        <v>UN</v>
      </c>
      <c r="D3602" s="7">
        <v>918</v>
      </c>
      <c r="E3602" s="3">
        <v>11</v>
      </c>
      <c r="F3602" s="3">
        <v>11</v>
      </c>
      <c r="G3602" t="s">
        <v>512</v>
      </c>
    </row>
    <row r="3603" spans="1:7" x14ac:dyDescent="0.25">
      <c r="A3603" s="1" t="str">
        <f>"500900"</f>
        <v>500900</v>
      </c>
      <c r="B3603" s="2" t="str">
        <f>"BUCHA GUIA DES.47523 COD.233905-3"</f>
        <v>BUCHA GUIA DES.47523 COD.233905-3</v>
      </c>
      <c r="C3603" s="2" t="str">
        <f t="shared" si="142"/>
        <v>UN</v>
      </c>
      <c r="D3603" s="7">
        <v>918</v>
      </c>
      <c r="E3603" s="3">
        <v>11</v>
      </c>
      <c r="F3603" s="3">
        <v>11</v>
      </c>
      <c r="G3603" t="s">
        <v>516</v>
      </c>
    </row>
    <row r="3604" spans="1:7" x14ac:dyDescent="0.25">
      <c r="A3604" s="1" t="str">
        <f>"505006"</f>
        <v>505006</v>
      </c>
      <c r="B3604" s="2" t="str">
        <f>"BUCHA GUIA REF.4722155-211 ALFA LAVAL"</f>
        <v>BUCHA GUIA REF.4722155-211 ALFA LAVAL</v>
      </c>
      <c r="C3604" s="2" t="str">
        <f t="shared" si="142"/>
        <v>UN</v>
      </c>
      <c r="D3604" s="7">
        <v>918</v>
      </c>
      <c r="E3604" s="3">
        <v>11</v>
      </c>
      <c r="F3604" s="3">
        <v>11</v>
      </c>
      <c r="G3604" t="s">
        <v>515</v>
      </c>
    </row>
    <row r="3605" spans="1:7" x14ac:dyDescent="0.25">
      <c r="A3605" s="1" t="str">
        <f>"504240"</f>
        <v>504240</v>
      </c>
      <c r="B3605" s="2" t="str">
        <f>"BUCHA HASTE CENTRAL 97910-07040-40 FBRE"</f>
        <v>BUCHA HASTE CENTRAL 97910-07040-40 FBRE</v>
      </c>
      <c r="C3605" s="2" t="str">
        <f t="shared" si="142"/>
        <v>UN</v>
      </c>
      <c r="D3605" s="7">
        <v>918</v>
      </c>
      <c r="E3605" s="3">
        <v>11</v>
      </c>
      <c r="F3605" s="3">
        <v>11</v>
      </c>
      <c r="G3605" t="s">
        <v>514</v>
      </c>
    </row>
    <row r="3606" spans="1:7" x14ac:dyDescent="0.25">
      <c r="A3606" s="1" t="str">
        <f>"510127"</f>
        <v>510127</v>
      </c>
      <c r="B3606" s="2" t="str">
        <f>"BUCHA HASTE D44604 21349303"</f>
        <v>BUCHA HASTE D44604 21349303</v>
      </c>
      <c r="C3606" s="2" t="str">
        <f t="shared" si="142"/>
        <v>UN</v>
      </c>
      <c r="D3606" s="7">
        <v>918</v>
      </c>
      <c r="E3606" s="3">
        <v>11</v>
      </c>
      <c r="F3606" s="3">
        <v>11</v>
      </c>
      <c r="G3606" t="s">
        <v>512</v>
      </c>
    </row>
    <row r="3607" spans="1:7" x14ac:dyDescent="0.25">
      <c r="A3607" s="1" t="str">
        <f>"503697"</f>
        <v>503697</v>
      </c>
      <c r="B3607" s="2" t="str">
        <f>"BUCHA HORI CARRO DES.51322 COD.200596-3"</f>
        <v>BUCHA HORI CARRO DES.51322 COD.200596-3</v>
      </c>
      <c r="C3607" s="2" t="str">
        <f t="shared" si="142"/>
        <v>UN</v>
      </c>
      <c r="D3607" s="7">
        <v>918</v>
      </c>
      <c r="E3607" s="3">
        <v>11</v>
      </c>
      <c r="F3607" s="3">
        <v>11</v>
      </c>
      <c r="G3607" t="s">
        <v>513</v>
      </c>
    </row>
    <row r="3608" spans="1:7" x14ac:dyDescent="0.25">
      <c r="A3608" s="1" t="str">
        <f>"516087"</f>
        <v>516087</v>
      </c>
      <c r="B3608" s="2" t="str">
        <f>"BUCHA INFERIOR  PINO SEGURANÇA"</f>
        <v>BUCHA INFERIOR  PINO SEGURANÇA</v>
      </c>
      <c r="C3608" s="2" t="str">
        <f t="shared" si="142"/>
        <v>UN</v>
      </c>
      <c r="D3608" s="7">
        <v>812</v>
      </c>
      <c r="E3608" s="3">
        <v>11</v>
      </c>
      <c r="F3608" s="3">
        <v>11</v>
      </c>
      <c r="G3608" t="s">
        <v>514</v>
      </c>
    </row>
    <row r="3609" spans="1:7" x14ac:dyDescent="0.25">
      <c r="A3609" s="1" t="str">
        <f>"516085"</f>
        <v>516085</v>
      </c>
      <c r="B3609" s="2" t="str">
        <f>"BUCHA INFERIOR EIXO CENTRAL"</f>
        <v>BUCHA INFERIOR EIXO CENTRAL</v>
      </c>
      <c r="C3609" s="2" t="str">
        <f t="shared" si="142"/>
        <v>UN</v>
      </c>
      <c r="D3609" s="7">
        <v>812</v>
      </c>
      <c r="E3609" s="3">
        <v>11</v>
      </c>
      <c r="F3609" s="3">
        <v>11</v>
      </c>
      <c r="G3609" t="s">
        <v>514</v>
      </c>
    </row>
    <row r="3610" spans="1:7" x14ac:dyDescent="0.25">
      <c r="A3610" s="1" t="str">
        <f>"511106"</f>
        <v>511106</v>
      </c>
      <c r="B3610" s="2" t="str">
        <f>"BUCHA INFERIOR PINO SEGURANÇA"</f>
        <v>BUCHA INFERIOR PINO SEGURANÇA</v>
      </c>
      <c r="C3610" s="2" t="str">
        <f t="shared" si="142"/>
        <v>UN</v>
      </c>
      <c r="D3610" s="7">
        <v>918</v>
      </c>
      <c r="E3610" s="3">
        <v>11</v>
      </c>
      <c r="F3610" s="3">
        <v>11</v>
      </c>
      <c r="G3610" t="s">
        <v>512</v>
      </c>
    </row>
    <row r="3611" spans="1:7" x14ac:dyDescent="0.25">
      <c r="A3611" s="1" t="str">
        <f>"525280"</f>
        <v>525280</v>
      </c>
      <c r="B3611" s="8" t="s">
        <v>445</v>
      </c>
      <c r="C3611" s="2" t="str">
        <f t="shared" si="142"/>
        <v>UN</v>
      </c>
      <c r="D3611" s="7">
        <v>918</v>
      </c>
      <c r="E3611" s="3">
        <v>11</v>
      </c>
      <c r="F3611" s="3">
        <v>11</v>
      </c>
      <c r="G3611" t="s">
        <v>513</v>
      </c>
    </row>
    <row r="3612" spans="1:7" x14ac:dyDescent="0.25">
      <c r="A3612" s="1" t="str">
        <f>"522863"</f>
        <v>522863</v>
      </c>
      <c r="B3612" s="2" t="str">
        <f>"BUCHA K54 COD 56144"</f>
        <v>BUCHA K54 COD 56144</v>
      </c>
      <c r="C3612" s="2" t="str">
        <f>"PC"</f>
        <v>PC</v>
      </c>
      <c r="D3612" s="7">
        <v>403</v>
      </c>
      <c r="E3612" s="3">
        <v>4</v>
      </c>
      <c r="F3612" s="3">
        <v>4</v>
      </c>
      <c r="G3612" t="s">
        <v>514</v>
      </c>
    </row>
    <row r="3613" spans="1:7" x14ac:dyDescent="0.25">
      <c r="A3613" s="1" t="str">
        <f>"519681"</f>
        <v>519681</v>
      </c>
      <c r="B3613" s="2" t="str">
        <f>"BUCHA LATÃO 500MM FURO20X45MM"</f>
        <v>BUCHA LATÃO 500MM FURO20X45MM</v>
      </c>
      <c r="C3613" s="2" t="str">
        <f t="shared" ref="C3613:C3639" si="143">"UN"</f>
        <v>UN</v>
      </c>
      <c r="D3613" s="7">
        <v>918</v>
      </c>
      <c r="E3613" s="3">
        <v>11</v>
      </c>
      <c r="F3613" s="3">
        <v>11</v>
      </c>
      <c r="G3613" t="s">
        <v>514</v>
      </c>
    </row>
    <row r="3614" spans="1:7" x14ac:dyDescent="0.25">
      <c r="A3614" s="1" t="str">
        <f>"511097"</f>
        <v>511097</v>
      </c>
      <c r="B3614" s="2" t="str">
        <f>"BUCHA MANCAL LEVANTADOR DE COPOS"</f>
        <v>BUCHA MANCAL LEVANTADOR DE COPOS</v>
      </c>
      <c r="C3614" s="2" t="str">
        <f t="shared" si="143"/>
        <v>UN</v>
      </c>
      <c r="D3614" s="7">
        <v>918</v>
      </c>
      <c r="E3614" s="3">
        <v>11</v>
      </c>
      <c r="F3614" s="3">
        <v>11</v>
      </c>
      <c r="G3614" t="s">
        <v>514</v>
      </c>
    </row>
    <row r="3615" spans="1:7" x14ac:dyDescent="0.25">
      <c r="A3615" s="1" t="str">
        <f>"515100"</f>
        <v>515100</v>
      </c>
      <c r="B3615" s="2" t="str">
        <f>"BUCHA MANCAL TM-3"</f>
        <v>BUCHA MANCAL TM-3</v>
      </c>
      <c r="C3615" s="2" t="str">
        <f t="shared" si="143"/>
        <v>UN</v>
      </c>
      <c r="D3615" s="7">
        <v>1003</v>
      </c>
      <c r="E3615" s="3">
        <v>11</v>
      </c>
      <c r="F3615" s="3">
        <v>11</v>
      </c>
      <c r="G3615" t="s">
        <v>513</v>
      </c>
    </row>
    <row r="3616" spans="1:7" x14ac:dyDescent="0.25">
      <c r="A3616" s="1" t="str">
        <f>"509877"</f>
        <v>509877</v>
      </c>
      <c r="B3616" s="2" t="str">
        <f>"BUCHA MOLA"</f>
        <v>BUCHA MOLA</v>
      </c>
      <c r="C3616" s="2" t="str">
        <f t="shared" si="143"/>
        <v>UN</v>
      </c>
      <c r="D3616" s="7">
        <v>99999</v>
      </c>
      <c r="E3616" s="3">
        <v>99</v>
      </c>
      <c r="F3616" s="3">
        <v>99</v>
      </c>
      <c r="G3616" t="s">
        <v>512</v>
      </c>
    </row>
    <row r="3617" spans="1:7" x14ac:dyDescent="0.25">
      <c r="A3617" s="1" t="str">
        <f>"502011"</f>
        <v>502011</v>
      </c>
      <c r="B3617" s="2" t="str">
        <f>"BUCHA MOLA DIANTEIRA VW 4210/16220"</f>
        <v>BUCHA MOLA DIANTEIRA VW 4210/16220</v>
      </c>
      <c r="C3617" s="2" t="str">
        <f t="shared" si="143"/>
        <v>UN</v>
      </c>
      <c r="D3617" s="7">
        <v>704</v>
      </c>
      <c r="E3617" s="3">
        <v>9</v>
      </c>
      <c r="F3617" s="3">
        <v>9</v>
      </c>
      <c r="G3617" t="s">
        <v>513</v>
      </c>
    </row>
    <row r="3618" spans="1:7" x14ac:dyDescent="0.25">
      <c r="A3618" s="1" t="str">
        <f>"527169"</f>
        <v>527169</v>
      </c>
      <c r="B3618" s="2" t="str">
        <f>"BUCHA NYLON S 10MM"</f>
        <v>BUCHA NYLON S 10MM</v>
      </c>
      <c r="C3618" s="2" t="str">
        <f t="shared" si="143"/>
        <v>UN</v>
      </c>
      <c r="D3618" s="7">
        <v>912</v>
      </c>
      <c r="E3618" s="3">
        <v>11</v>
      </c>
      <c r="F3618" s="3">
        <v>11</v>
      </c>
      <c r="G3618" t="s">
        <v>514</v>
      </c>
    </row>
    <row r="3619" spans="1:7" x14ac:dyDescent="0.25">
      <c r="A3619" s="1" t="str">
        <f>"522425"</f>
        <v>522425</v>
      </c>
      <c r="B3619" s="2" t="str">
        <f>"BUCHA OCO BU.FUR. 8 P/ BLOCO"</f>
        <v>BUCHA OCO BU.FUR. 8 P/ BLOCO</v>
      </c>
      <c r="C3619" s="2" t="str">
        <f t="shared" si="143"/>
        <v>UN</v>
      </c>
      <c r="D3619" s="7">
        <v>811</v>
      </c>
      <c r="E3619" s="3">
        <v>10</v>
      </c>
      <c r="F3619" s="3">
        <v>10</v>
      </c>
      <c r="G3619" t="s">
        <v>514</v>
      </c>
    </row>
    <row r="3620" spans="1:7" x14ac:dyDescent="0.25">
      <c r="A3620" s="1" t="str">
        <f>"519269"</f>
        <v>519269</v>
      </c>
      <c r="B3620" s="2" t="str">
        <f>"BUCHA PINHAO 65"</f>
        <v>BUCHA PINHAO 65</v>
      </c>
      <c r="C3620" s="2" t="str">
        <f t="shared" si="143"/>
        <v>UN</v>
      </c>
      <c r="D3620" s="7">
        <v>918</v>
      </c>
      <c r="E3620" s="3">
        <v>11</v>
      </c>
      <c r="F3620" s="3">
        <v>11</v>
      </c>
      <c r="G3620" t="s">
        <v>514</v>
      </c>
    </row>
    <row r="3621" spans="1:7" x14ac:dyDescent="0.25">
      <c r="A3621" s="1" t="str">
        <f>"512517"</f>
        <v>512517</v>
      </c>
      <c r="B3621" s="2" t="str">
        <f>"BUCHA PINHAO MAIOR BOMBA - 100"</f>
        <v>BUCHA PINHAO MAIOR BOMBA - 100</v>
      </c>
      <c r="C3621" s="2" t="str">
        <f t="shared" si="143"/>
        <v>UN</v>
      </c>
      <c r="D3621" s="7">
        <v>918</v>
      </c>
      <c r="E3621" s="3">
        <v>11</v>
      </c>
      <c r="F3621" s="3">
        <v>11</v>
      </c>
      <c r="G3621" t="s">
        <v>513</v>
      </c>
    </row>
    <row r="3622" spans="1:7" x14ac:dyDescent="0.25">
      <c r="A3622" s="1" t="str">
        <f>"512516"</f>
        <v>512516</v>
      </c>
      <c r="B3622" s="2" t="str">
        <f>"BUCHA PINHAO MENOR BOMBA - 100"</f>
        <v>BUCHA PINHAO MENOR BOMBA - 100</v>
      </c>
      <c r="C3622" s="2" t="str">
        <f t="shared" si="143"/>
        <v>UN</v>
      </c>
      <c r="D3622" s="7">
        <v>918</v>
      </c>
      <c r="E3622" s="3">
        <v>11</v>
      </c>
      <c r="F3622" s="3">
        <v>11</v>
      </c>
      <c r="G3622" t="s">
        <v>513</v>
      </c>
    </row>
    <row r="3623" spans="1:7" x14ac:dyDescent="0.25">
      <c r="A3623" s="1" t="str">
        <f>"519895"</f>
        <v>519895</v>
      </c>
      <c r="B3623" s="2" t="str">
        <f>"BUCHA PINO COXIM CABINE ESPAÇADOR"</f>
        <v>BUCHA PINO COXIM CABINE ESPAÇADOR</v>
      </c>
      <c r="C3623" s="2" t="str">
        <f t="shared" si="143"/>
        <v>UN</v>
      </c>
      <c r="D3623" s="7">
        <v>704</v>
      </c>
      <c r="E3623" s="3">
        <v>9</v>
      </c>
      <c r="F3623" s="3">
        <v>9</v>
      </c>
      <c r="G3623" t="s">
        <v>513</v>
      </c>
    </row>
    <row r="3624" spans="1:7" x14ac:dyDescent="0.25">
      <c r="A3624" s="1" t="str">
        <f>"516053"</f>
        <v>516053</v>
      </c>
      <c r="B3624" s="2" t="str">
        <f>"BUCHA PISTÃO POS 02 APF-0067L"</f>
        <v>BUCHA PISTÃO POS 02 APF-0067L</v>
      </c>
      <c r="C3624" s="2" t="str">
        <f t="shared" si="143"/>
        <v>UN</v>
      </c>
      <c r="D3624" s="7">
        <v>918</v>
      </c>
      <c r="E3624" s="3">
        <v>11</v>
      </c>
      <c r="F3624" s="3">
        <v>11</v>
      </c>
      <c r="G3624" t="s">
        <v>512</v>
      </c>
    </row>
    <row r="3625" spans="1:7" x14ac:dyDescent="0.25">
      <c r="A3625" s="1" t="str">
        <f>"509040"</f>
        <v>509040</v>
      </c>
      <c r="B3625" s="2" t="str">
        <f>"BUCHA PLASTICA 05.3122.11.00"</f>
        <v>BUCHA PLASTICA 05.3122.11.00</v>
      </c>
      <c r="C3625" s="2" t="str">
        <f t="shared" si="143"/>
        <v>UN</v>
      </c>
      <c r="D3625" s="7">
        <v>918</v>
      </c>
      <c r="E3625" s="3">
        <v>11</v>
      </c>
      <c r="F3625" s="3">
        <v>11</v>
      </c>
      <c r="G3625" t="s">
        <v>513</v>
      </c>
    </row>
    <row r="3626" spans="1:7" x14ac:dyDescent="0.25">
      <c r="A3626" s="1" t="str">
        <f>"510539"</f>
        <v>510539</v>
      </c>
      <c r="B3626" s="2" t="str">
        <f>"BUCHA PLASTICA 05.3122.119.00"</f>
        <v>BUCHA PLASTICA 05.3122.119.00</v>
      </c>
      <c r="C3626" s="2" t="str">
        <f t="shared" si="143"/>
        <v>UN</v>
      </c>
      <c r="D3626" s="7">
        <v>918</v>
      </c>
      <c r="E3626" s="3">
        <v>11</v>
      </c>
      <c r="F3626" s="3">
        <v>11</v>
      </c>
      <c r="G3626" t="s">
        <v>514</v>
      </c>
    </row>
    <row r="3627" spans="1:7" x14ac:dyDescent="0.25">
      <c r="A3627" s="1" t="str">
        <f>"513167"</f>
        <v>513167</v>
      </c>
      <c r="B3627" s="2" t="str">
        <f>"BUCHA PLASTICO S-10"</f>
        <v>BUCHA PLASTICO S-10</v>
      </c>
      <c r="C3627" s="2" t="str">
        <f t="shared" si="143"/>
        <v>UN</v>
      </c>
      <c r="D3627" s="7">
        <v>918</v>
      </c>
      <c r="E3627" s="3">
        <v>11</v>
      </c>
      <c r="F3627" s="3">
        <v>11</v>
      </c>
      <c r="G3627" t="s">
        <v>515</v>
      </c>
    </row>
    <row r="3628" spans="1:7" x14ac:dyDescent="0.25">
      <c r="A3628" s="1" t="str">
        <f>"513168"</f>
        <v>513168</v>
      </c>
      <c r="B3628" s="2" t="str">
        <f>"BUCHA PLASTICO S-8"</f>
        <v>BUCHA PLASTICO S-8</v>
      </c>
      <c r="C3628" s="2" t="str">
        <f t="shared" si="143"/>
        <v>UN</v>
      </c>
      <c r="D3628" s="7">
        <v>918</v>
      </c>
      <c r="E3628" s="3">
        <v>11</v>
      </c>
      <c r="F3628" s="3">
        <v>11</v>
      </c>
      <c r="G3628" t="s">
        <v>512</v>
      </c>
    </row>
    <row r="3629" spans="1:7" x14ac:dyDescent="0.25">
      <c r="A3629" s="1" t="str">
        <f>"512198"</f>
        <v>512198</v>
      </c>
      <c r="B3629" s="2" t="str">
        <f>"BUCHA POS.17"</f>
        <v>BUCHA POS.17</v>
      </c>
      <c r="C3629" s="2" t="str">
        <f t="shared" si="143"/>
        <v>UN</v>
      </c>
      <c r="D3629" s="7">
        <v>918</v>
      </c>
      <c r="E3629" s="3">
        <v>11</v>
      </c>
      <c r="F3629" s="3">
        <v>11</v>
      </c>
      <c r="G3629" t="s">
        <v>516</v>
      </c>
    </row>
    <row r="3630" spans="1:7" x14ac:dyDescent="0.25">
      <c r="A3630" s="1" t="str">
        <f>"512200"</f>
        <v>512200</v>
      </c>
      <c r="B3630" s="2" t="str">
        <f>"BUCHA POS.57"</f>
        <v>BUCHA POS.57</v>
      </c>
      <c r="C3630" s="2" t="str">
        <f t="shared" si="143"/>
        <v>UN</v>
      </c>
      <c r="D3630" s="7">
        <v>918</v>
      </c>
      <c r="E3630" s="3">
        <v>11</v>
      </c>
      <c r="F3630" s="3">
        <v>11</v>
      </c>
      <c r="G3630" t="s">
        <v>515</v>
      </c>
    </row>
    <row r="3631" spans="1:7" x14ac:dyDescent="0.25">
      <c r="A3631" s="1" t="str">
        <f>"512201"</f>
        <v>512201</v>
      </c>
      <c r="B3631" s="2" t="str">
        <f>"BUCHA POS.72"</f>
        <v>BUCHA POS.72</v>
      </c>
      <c r="C3631" s="2" t="str">
        <f t="shared" si="143"/>
        <v>UN</v>
      </c>
      <c r="D3631" s="7">
        <v>918</v>
      </c>
      <c r="E3631" s="3">
        <v>11</v>
      </c>
      <c r="F3631" s="3">
        <v>11</v>
      </c>
      <c r="G3631" t="s">
        <v>514</v>
      </c>
    </row>
    <row r="3632" spans="1:7" x14ac:dyDescent="0.25">
      <c r="A3632" s="1" t="str">
        <f>"515970"</f>
        <v>515970</v>
      </c>
      <c r="B3632" s="2" t="str">
        <f>"BUCHA PROTETOR SENSOR DE FLUXO"</f>
        <v>BUCHA PROTETOR SENSOR DE FLUXO</v>
      </c>
      <c r="C3632" s="2" t="str">
        <f t="shared" si="143"/>
        <v>UN</v>
      </c>
      <c r="D3632" s="7">
        <v>99999</v>
      </c>
      <c r="E3632" s="3">
        <v>99</v>
      </c>
      <c r="F3632" s="3">
        <v>99</v>
      </c>
      <c r="G3632" t="s">
        <v>512</v>
      </c>
    </row>
    <row r="3633" spans="1:7" x14ac:dyDescent="0.25">
      <c r="A3633" s="1" t="str">
        <f>"528051"</f>
        <v>528051</v>
      </c>
      <c r="B3633" s="2" t="str">
        <f>"BUCHA RED CURTA PVC SOLD 50X40MM"</f>
        <v>BUCHA RED CURTA PVC SOLD 50X40MM</v>
      </c>
      <c r="C3633" s="2" t="str">
        <f t="shared" si="143"/>
        <v>UN</v>
      </c>
      <c r="D3633" s="7">
        <v>808</v>
      </c>
      <c r="E3633" s="3">
        <v>10</v>
      </c>
      <c r="F3633" s="3">
        <v>10</v>
      </c>
      <c r="G3633" t="s">
        <v>513</v>
      </c>
    </row>
    <row r="3634" spans="1:7" x14ac:dyDescent="0.25">
      <c r="A3634" s="1" t="str">
        <f>"528050"</f>
        <v>528050</v>
      </c>
      <c r="B3634" s="2" t="str">
        <f>"BUCHA RED LONGA PVC SOLD 75X50MM"</f>
        <v>BUCHA RED LONGA PVC SOLD 75X50MM</v>
      </c>
      <c r="C3634" s="2" t="str">
        <f t="shared" si="143"/>
        <v>UN</v>
      </c>
      <c r="D3634" s="7">
        <v>808</v>
      </c>
      <c r="E3634" s="3">
        <v>10</v>
      </c>
      <c r="F3634" s="3">
        <v>10</v>
      </c>
      <c r="G3634" t="s">
        <v>514</v>
      </c>
    </row>
    <row r="3635" spans="1:7" x14ac:dyDescent="0.25">
      <c r="A3635" s="1" t="str">
        <f>"527827"</f>
        <v>527827</v>
      </c>
      <c r="B3635" s="2" t="str">
        <f>"BUCHA REDUCAO 1 1/2 X 1 PVC BRANCA ROSCAVEL"</f>
        <v>BUCHA REDUCAO 1 1/2 X 1 PVC BRANCA ROSCAVEL</v>
      </c>
      <c r="C3635" s="2" t="str">
        <f t="shared" si="143"/>
        <v>UN</v>
      </c>
      <c r="D3635" s="7">
        <v>808</v>
      </c>
      <c r="E3635" s="3">
        <v>10</v>
      </c>
      <c r="F3635" s="3">
        <v>10</v>
      </c>
      <c r="G3635" t="s">
        <v>514</v>
      </c>
    </row>
    <row r="3636" spans="1:7" x14ac:dyDescent="0.25">
      <c r="A3636" s="1" t="str">
        <f>"514215"</f>
        <v>514215</v>
      </c>
      <c r="B3636" s="2" t="str">
        <f>"BUCHA REDUCAO 1 1/2 X 3/4 PVC BRANCA ROSCAVEL"</f>
        <v>BUCHA REDUCAO 1 1/2 X 3/4 PVC BRANCA ROSCAVEL</v>
      </c>
      <c r="C3636" s="2" t="str">
        <f t="shared" si="143"/>
        <v>UN</v>
      </c>
      <c r="D3636" s="7">
        <v>808</v>
      </c>
      <c r="E3636" s="3">
        <v>10</v>
      </c>
      <c r="F3636" s="3">
        <v>10</v>
      </c>
      <c r="G3636" t="s">
        <v>512</v>
      </c>
    </row>
    <row r="3637" spans="1:7" x14ac:dyDescent="0.25">
      <c r="A3637" s="1" t="str">
        <f>"516542"</f>
        <v>516542</v>
      </c>
      <c r="B3637" s="2" t="str">
        <f>"BUCHA REDUCAO 2 X 1 1/2"""</f>
        <v>BUCHA REDUCAO 2 X 1 1/2"</v>
      </c>
      <c r="C3637" s="2" t="str">
        <f t="shared" si="143"/>
        <v>UN</v>
      </c>
      <c r="D3637" s="7">
        <v>807</v>
      </c>
      <c r="E3637" s="3">
        <v>10</v>
      </c>
      <c r="F3637" s="3">
        <v>10</v>
      </c>
      <c r="G3637" t="s">
        <v>513</v>
      </c>
    </row>
    <row r="3638" spans="1:7" x14ac:dyDescent="0.25">
      <c r="A3638" s="1" t="str">
        <f>"527828"</f>
        <v>527828</v>
      </c>
      <c r="B3638" s="2" t="str">
        <f>"BUCHA REDUCAO 2 X 1 PVC BRANCA ROSCAVEL"</f>
        <v>BUCHA REDUCAO 2 X 1 PVC BRANCA ROSCAVEL</v>
      </c>
      <c r="C3638" s="2" t="str">
        <f t="shared" si="143"/>
        <v>UN</v>
      </c>
      <c r="D3638" s="7">
        <v>808</v>
      </c>
      <c r="E3638" s="3">
        <v>10</v>
      </c>
      <c r="F3638" s="3">
        <v>10</v>
      </c>
      <c r="G3638" t="s">
        <v>514</v>
      </c>
    </row>
    <row r="3639" spans="1:7" x14ac:dyDescent="0.25">
      <c r="A3639" s="1" t="str">
        <f>"523640"</f>
        <v>523640</v>
      </c>
      <c r="B3639" s="2" t="str">
        <f>"BUCHA REDUCAO 3/4 X 1/2"""</f>
        <v>BUCHA REDUCAO 3/4 X 1/2"</v>
      </c>
      <c r="C3639" s="2" t="str">
        <f t="shared" si="143"/>
        <v>UN</v>
      </c>
      <c r="D3639" s="7">
        <v>808</v>
      </c>
      <c r="E3639" s="3">
        <v>10</v>
      </c>
      <c r="F3639" s="3">
        <v>10</v>
      </c>
      <c r="G3639" t="s">
        <v>514</v>
      </c>
    </row>
    <row r="3640" spans="1:7" x14ac:dyDescent="0.25">
      <c r="A3640" s="1" t="str">
        <f>"527835"</f>
        <v>527835</v>
      </c>
      <c r="B3640" s="2" t="str">
        <f>"BUCHA REDUCAO FG - 2 1/2"" X 2"""</f>
        <v>BUCHA REDUCAO FG - 2 1/2" X 2"</v>
      </c>
      <c r="C3640" s="2" t="str">
        <f>"BR"</f>
        <v>BR</v>
      </c>
      <c r="D3640" s="7">
        <v>808</v>
      </c>
      <c r="E3640" s="3">
        <v>10</v>
      </c>
      <c r="F3640" s="3">
        <v>10</v>
      </c>
      <c r="G3640" t="s">
        <v>514</v>
      </c>
    </row>
    <row r="3641" spans="1:7" x14ac:dyDescent="0.25">
      <c r="A3641" s="1" t="str">
        <f>"504050"</f>
        <v>504050</v>
      </c>
      <c r="B3641" s="2" t="str">
        <f>"BUCHA REDUCAO FG - 3""X 2 1/2"""</f>
        <v>BUCHA REDUCAO FG - 3"X 2 1/2"</v>
      </c>
      <c r="C3641" s="2" t="str">
        <f>"BR"</f>
        <v>BR</v>
      </c>
      <c r="D3641" s="7">
        <v>808</v>
      </c>
      <c r="E3641" s="3">
        <v>10</v>
      </c>
      <c r="F3641" s="3">
        <v>10</v>
      </c>
      <c r="G3641" t="s">
        <v>513</v>
      </c>
    </row>
    <row r="3642" spans="1:7" x14ac:dyDescent="0.25">
      <c r="A3642" s="1" t="str">
        <f>"505005"</f>
        <v>505005</v>
      </c>
      <c r="B3642" s="2" t="str">
        <f>"BUCHA REF.4722114-507 ALFA LAVAL SHL-30"</f>
        <v>BUCHA REF.4722114-507 ALFA LAVAL SHL-30</v>
      </c>
      <c r="C3642" s="2" t="str">
        <f t="shared" ref="C3642:C3647" si="144">"UN"</f>
        <v>UN</v>
      </c>
      <c r="D3642" s="7">
        <v>918</v>
      </c>
      <c r="E3642" s="3">
        <v>11</v>
      </c>
      <c r="F3642" s="3">
        <v>11</v>
      </c>
      <c r="G3642" t="s">
        <v>512</v>
      </c>
    </row>
    <row r="3643" spans="1:7" x14ac:dyDescent="0.25">
      <c r="A3643" s="1" t="str">
        <f>"518842"</f>
        <v>518842</v>
      </c>
      <c r="B3643" s="2" t="str">
        <f>"BUCHA RETENTOR GA90  1622662300"</f>
        <v>BUCHA RETENTOR GA90  1622662300</v>
      </c>
      <c r="C3643" s="2" t="str">
        <f t="shared" si="144"/>
        <v>UN</v>
      </c>
      <c r="D3643" s="7">
        <v>918</v>
      </c>
      <c r="E3643" s="3">
        <v>11</v>
      </c>
      <c r="F3643" s="3">
        <v>11</v>
      </c>
      <c r="G3643" t="s">
        <v>513</v>
      </c>
    </row>
    <row r="3644" spans="1:7" x14ac:dyDescent="0.25">
      <c r="A3644" s="1" t="str">
        <f>"506989"</f>
        <v>506989</v>
      </c>
      <c r="B3644" s="2" t="str">
        <f>"BUCHA ROLETA SAPATA FREIO"</f>
        <v>BUCHA ROLETA SAPATA FREIO</v>
      </c>
      <c r="C3644" s="2" t="str">
        <f t="shared" si="144"/>
        <v>UN</v>
      </c>
      <c r="D3644" s="7">
        <v>704</v>
      </c>
      <c r="E3644" s="3">
        <v>9</v>
      </c>
      <c r="F3644" s="3">
        <v>9</v>
      </c>
      <c r="G3644" t="s">
        <v>514</v>
      </c>
    </row>
    <row r="3645" spans="1:7" x14ac:dyDescent="0.25">
      <c r="A3645" s="1" t="str">
        <f>"508317"</f>
        <v>508317</v>
      </c>
      <c r="B3645" s="2" t="str">
        <f>"BUCHA S TUBELESS CONICA"</f>
        <v>BUCHA S TUBELESS CONICA</v>
      </c>
      <c r="C3645" s="2" t="str">
        <f t="shared" si="144"/>
        <v>UN</v>
      </c>
      <c r="D3645" s="7">
        <v>704</v>
      </c>
      <c r="E3645" s="3">
        <v>9</v>
      </c>
      <c r="F3645" s="3">
        <v>9</v>
      </c>
      <c r="G3645" t="s">
        <v>514</v>
      </c>
    </row>
    <row r="3646" spans="1:7" x14ac:dyDescent="0.25">
      <c r="A3646" s="1" t="str">
        <f>"508318"</f>
        <v>508318</v>
      </c>
      <c r="B3646" s="2" t="str">
        <f>"BUCHA S TUBELLES - ARANHA AÇO"</f>
        <v>BUCHA S TUBELLES - ARANHA AÇO</v>
      </c>
      <c r="C3646" s="2" t="str">
        <f t="shared" si="144"/>
        <v>UN</v>
      </c>
      <c r="D3646" s="7">
        <v>704</v>
      </c>
      <c r="E3646" s="3">
        <v>9</v>
      </c>
      <c r="F3646" s="3">
        <v>9</v>
      </c>
      <c r="G3646" t="s">
        <v>514</v>
      </c>
    </row>
    <row r="3647" spans="1:7" x14ac:dyDescent="0.25">
      <c r="A3647" s="1" t="str">
        <f>"508020"</f>
        <v>508020</v>
      </c>
      <c r="B3647" s="2" t="str">
        <f>"BUCHA SEGURANÇA NM090-B"</f>
        <v>BUCHA SEGURANÇA NM090-B</v>
      </c>
      <c r="C3647" s="2" t="str">
        <f t="shared" si="144"/>
        <v>UN</v>
      </c>
      <c r="D3647" s="7">
        <v>918</v>
      </c>
      <c r="E3647" s="3">
        <v>11</v>
      </c>
      <c r="F3647" s="3">
        <v>11</v>
      </c>
      <c r="G3647" t="s">
        <v>513</v>
      </c>
    </row>
    <row r="3648" spans="1:7" x14ac:dyDescent="0.25">
      <c r="A3648" s="1" t="str">
        <f>"510818"</f>
        <v>510818</v>
      </c>
      <c r="B3648" s="2" t="str">
        <f>"BUCHA SOLDAVEL 2 1/2 X 2"""</f>
        <v>BUCHA SOLDAVEL 2 1/2 X 2"</v>
      </c>
      <c r="C3648" s="2" t="str">
        <f>"BR"</f>
        <v>BR</v>
      </c>
      <c r="D3648" s="7">
        <v>808</v>
      </c>
      <c r="E3648" s="3">
        <v>10</v>
      </c>
      <c r="F3648" s="3">
        <v>10</v>
      </c>
      <c r="G3648" t="s">
        <v>513</v>
      </c>
    </row>
    <row r="3649" spans="1:7" x14ac:dyDescent="0.25">
      <c r="A3649" s="1" t="str">
        <f>"518188"</f>
        <v>518188</v>
      </c>
      <c r="B3649" s="2" t="str">
        <f>"BUCHA SOLDAVEL CURTA 25  X 20MM"</f>
        <v>BUCHA SOLDAVEL CURTA 25  X 20MM</v>
      </c>
      <c r="C3649" s="2" t="str">
        <f t="shared" ref="C3649:C3673" si="145">"UN"</f>
        <v>UN</v>
      </c>
      <c r="D3649" s="7">
        <v>912</v>
      </c>
      <c r="E3649" s="3">
        <v>10</v>
      </c>
      <c r="F3649" s="3">
        <v>10</v>
      </c>
      <c r="G3649" t="s">
        <v>513</v>
      </c>
    </row>
    <row r="3650" spans="1:7" x14ac:dyDescent="0.25">
      <c r="A3650" s="1" t="str">
        <f>"518187"</f>
        <v>518187</v>
      </c>
      <c r="B3650" s="2" t="str">
        <f>"BUCHA SOLDAVEL CURTA 32  X 25MM"</f>
        <v>BUCHA SOLDAVEL CURTA 32  X 25MM</v>
      </c>
      <c r="C3650" s="2" t="str">
        <f t="shared" si="145"/>
        <v>UN</v>
      </c>
      <c r="D3650" s="7">
        <v>912</v>
      </c>
      <c r="E3650" s="3">
        <v>10</v>
      </c>
      <c r="F3650" s="3">
        <v>10</v>
      </c>
      <c r="G3650" t="s">
        <v>512</v>
      </c>
    </row>
    <row r="3651" spans="1:7" x14ac:dyDescent="0.25">
      <c r="A3651" s="1" t="str">
        <f>"518186"</f>
        <v>518186</v>
      </c>
      <c r="B3651" s="2" t="str">
        <f>"BUCHA SOLDAVEL CURTA 40  X 32MM"</f>
        <v>BUCHA SOLDAVEL CURTA 40  X 32MM</v>
      </c>
      <c r="C3651" s="2" t="str">
        <f t="shared" si="145"/>
        <v>UN</v>
      </c>
      <c r="D3651" s="7">
        <v>912</v>
      </c>
      <c r="E3651" s="3">
        <v>10</v>
      </c>
      <c r="F3651" s="3">
        <v>10</v>
      </c>
      <c r="G3651" t="s">
        <v>513</v>
      </c>
    </row>
    <row r="3652" spans="1:7" x14ac:dyDescent="0.25">
      <c r="A3652" s="1" t="str">
        <f>"520518"</f>
        <v>520518</v>
      </c>
      <c r="B3652" s="2" t="str">
        <f>"BUCHA SOLDAVEL CURTA 50 X 40 MM"</f>
        <v>BUCHA SOLDAVEL CURTA 50 X 40 MM</v>
      </c>
      <c r="C3652" s="2" t="str">
        <f t="shared" si="145"/>
        <v>UN</v>
      </c>
      <c r="D3652" s="7">
        <v>808</v>
      </c>
      <c r="E3652" s="3">
        <v>10</v>
      </c>
      <c r="F3652" s="3">
        <v>10</v>
      </c>
      <c r="G3652" t="s">
        <v>514</v>
      </c>
    </row>
    <row r="3653" spans="1:7" x14ac:dyDescent="0.25">
      <c r="A3653" s="1" t="str">
        <f>"519911"</f>
        <v>519911</v>
      </c>
      <c r="B3653" s="2" t="str">
        <f>"BUCHA SOLDAVEL CURTA 60 X 50 MM"</f>
        <v>BUCHA SOLDAVEL CURTA 60 X 50 MM</v>
      </c>
      <c r="C3653" s="2" t="str">
        <f t="shared" si="145"/>
        <v>UN</v>
      </c>
      <c r="D3653" s="7">
        <v>808</v>
      </c>
      <c r="E3653" s="3">
        <v>10</v>
      </c>
      <c r="F3653" s="3">
        <v>10</v>
      </c>
      <c r="G3653" t="s">
        <v>515</v>
      </c>
    </row>
    <row r="3654" spans="1:7" x14ac:dyDescent="0.25">
      <c r="A3654" s="1" t="str">
        <f>"510255"</f>
        <v>510255</v>
      </c>
      <c r="B3654" s="2" t="str">
        <f>"BUCHA SOLDAVEL PVC 75X60 MARROM"</f>
        <v>BUCHA SOLDAVEL PVC 75X60 MARROM</v>
      </c>
      <c r="C3654" s="2" t="str">
        <f t="shared" si="145"/>
        <v>UN</v>
      </c>
      <c r="D3654" s="7">
        <v>912</v>
      </c>
      <c r="E3654" s="3">
        <v>11</v>
      </c>
      <c r="F3654" s="3">
        <v>11</v>
      </c>
      <c r="G3654" t="s">
        <v>512</v>
      </c>
    </row>
    <row r="3655" spans="1:7" x14ac:dyDescent="0.25">
      <c r="A3655" s="1" t="str">
        <f>"505055"</f>
        <v>505055</v>
      </c>
      <c r="B3655" s="2" t="str">
        <f>"BUCHA SUPERIOR DES.48302 COD.191581-3"</f>
        <v>BUCHA SUPERIOR DES.48302 COD.191581-3</v>
      </c>
      <c r="C3655" s="2" t="str">
        <f t="shared" si="145"/>
        <v>UN</v>
      </c>
      <c r="D3655" s="7">
        <v>918</v>
      </c>
      <c r="E3655" s="3">
        <v>11</v>
      </c>
      <c r="F3655" s="3">
        <v>11</v>
      </c>
      <c r="G3655" t="s">
        <v>516</v>
      </c>
    </row>
    <row r="3656" spans="1:7" x14ac:dyDescent="0.25">
      <c r="A3656" s="1" t="str">
        <f>"516084"</f>
        <v>516084</v>
      </c>
      <c r="B3656" s="2" t="str">
        <f>"BUCHA SUPERIOR EIXO CENTRAL"</f>
        <v>BUCHA SUPERIOR EIXO CENTRAL</v>
      </c>
      <c r="C3656" s="2" t="str">
        <f t="shared" si="145"/>
        <v>UN</v>
      </c>
      <c r="D3656" s="7">
        <v>812</v>
      </c>
      <c r="E3656" s="3">
        <v>11</v>
      </c>
      <c r="F3656" s="3">
        <v>11</v>
      </c>
      <c r="G3656" t="s">
        <v>515</v>
      </c>
    </row>
    <row r="3657" spans="1:7" x14ac:dyDescent="0.25">
      <c r="A3657" s="1" t="str">
        <f>"511107"</f>
        <v>511107</v>
      </c>
      <c r="B3657" s="2" t="str">
        <f>"BUCHA SUPERIOR PINO SEGUGANÇA"</f>
        <v>BUCHA SUPERIOR PINO SEGUGANÇA</v>
      </c>
      <c r="C3657" s="2" t="str">
        <f t="shared" si="145"/>
        <v>UN</v>
      </c>
      <c r="D3657" s="7">
        <v>918</v>
      </c>
      <c r="E3657" s="3">
        <v>11</v>
      </c>
      <c r="F3657" s="3">
        <v>11</v>
      </c>
      <c r="G3657" t="s">
        <v>514</v>
      </c>
    </row>
    <row r="3658" spans="1:7" x14ac:dyDescent="0.25">
      <c r="A3658" s="1" t="str">
        <f>"516086"</f>
        <v>516086</v>
      </c>
      <c r="B3658" s="2" t="str">
        <f>"BUCHA SUPERIOR PINO SEGURANÇA"</f>
        <v>BUCHA SUPERIOR PINO SEGURANÇA</v>
      </c>
      <c r="C3658" s="2" t="str">
        <f t="shared" si="145"/>
        <v>UN</v>
      </c>
      <c r="D3658" s="7">
        <v>812</v>
      </c>
      <c r="E3658" s="3">
        <v>11</v>
      </c>
      <c r="F3658" s="3">
        <v>11</v>
      </c>
      <c r="G3658" t="s">
        <v>512</v>
      </c>
    </row>
    <row r="3659" spans="1:7" x14ac:dyDescent="0.25">
      <c r="A3659" s="1" t="str">
        <f>"503682"</f>
        <v>503682</v>
      </c>
      <c r="B3659" s="2" t="str">
        <f>"BUCHA TEFLON COD.47753 DOSADOR 1000 GL"</f>
        <v>BUCHA TEFLON COD.47753 DOSADOR 1000 GL</v>
      </c>
      <c r="C3659" s="2" t="str">
        <f t="shared" si="145"/>
        <v>UN</v>
      </c>
      <c r="D3659" s="7">
        <v>918</v>
      </c>
      <c r="E3659" s="3">
        <v>11</v>
      </c>
      <c r="F3659" s="3">
        <v>11</v>
      </c>
      <c r="G3659" t="s">
        <v>513</v>
      </c>
    </row>
    <row r="3660" spans="1:7" x14ac:dyDescent="0.25">
      <c r="A3660" s="1" t="str">
        <f>"509345"</f>
        <v>509345</v>
      </c>
      <c r="B3660" s="2" t="str">
        <f>"BUCHA TEFLON DOSADOR 116303-3"</f>
        <v>BUCHA TEFLON DOSADOR 116303-3</v>
      </c>
      <c r="C3660" s="2" t="str">
        <f t="shared" si="145"/>
        <v>UN</v>
      </c>
      <c r="D3660" s="7">
        <v>918</v>
      </c>
      <c r="E3660" s="3">
        <v>11</v>
      </c>
      <c r="F3660" s="3">
        <v>11</v>
      </c>
      <c r="G3660" t="s">
        <v>514</v>
      </c>
    </row>
    <row r="3661" spans="1:7" x14ac:dyDescent="0.25">
      <c r="A3661" s="1" t="str">
        <f>"505210"</f>
        <v>505210</v>
      </c>
      <c r="B3661" s="2" t="str">
        <f>"BUCHA TENSAO DESBOBINADOR DE ALUMINIO"</f>
        <v>BUCHA TENSAO DESBOBINADOR DE ALUMINIO</v>
      </c>
      <c r="C3661" s="2" t="str">
        <f t="shared" si="145"/>
        <v>UN</v>
      </c>
      <c r="D3661" s="7">
        <v>918</v>
      </c>
      <c r="E3661" s="3">
        <v>11</v>
      </c>
      <c r="F3661" s="3">
        <v>11</v>
      </c>
      <c r="G3661" t="s">
        <v>514</v>
      </c>
    </row>
    <row r="3662" spans="1:7" x14ac:dyDescent="0.25">
      <c r="A3662" s="1" t="str">
        <f>"514239"</f>
        <v>514239</v>
      </c>
      <c r="B3662" s="2" t="str">
        <f>"BUCHA TIRANTE"</f>
        <v>BUCHA TIRANTE</v>
      </c>
      <c r="C3662" s="2" t="str">
        <f t="shared" si="145"/>
        <v>UN</v>
      </c>
      <c r="D3662" s="7">
        <v>704</v>
      </c>
      <c r="E3662" s="3">
        <v>9</v>
      </c>
      <c r="F3662" s="3">
        <v>9</v>
      </c>
      <c r="G3662" t="s">
        <v>512</v>
      </c>
    </row>
    <row r="3663" spans="1:7" x14ac:dyDescent="0.25">
      <c r="A3663" s="1" t="str">
        <f>"505428"</f>
        <v>505428</v>
      </c>
      <c r="B3663" s="2" t="str">
        <f>"BUCHA TIRANTE C/PINO CARRETA NOMA"</f>
        <v>BUCHA TIRANTE C/PINO CARRETA NOMA</v>
      </c>
      <c r="C3663" s="2" t="str">
        <f t="shared" si="145"/>
        <v>UN</v>
      </c>
      <c r="D3663" s="7">
        <v>704</v>
      </c>
      <c r="E3663" s="3">
        <v>9</v>
      </c>
      <c r="F3663" s="3">
        <v>9</v>
      </c>
      <c r="G3663" t="s">
        <v>513</v>
      </c>
    </row>
    <row r="3664" spans="1:7" x14ac:dyDescent="0.25">
      <c r="A3664" s="1" t="str">
        <f>"503216"</f>
        <v>503216</v>
      </c>
      <c r="B3664" s="2" t="str">
        <f>"BUCHA TRAÇAO DATADOR BRASKOP COD108188-3"</f>
        <v>BUCHA TRAÇAO DATADOR BRASKOP COD108188-3</v>
      </c>
      <c r="C3664" s="2" t="str">
        <f t="shared" si="145"/>
        <v>UN</v>
      </c>
      <c r="D3664" s="7">
        <v>918</v>
      </c>
      <c r="E3664" s="3">
        <v>11</v>
      </c>
      <c r="F3664" s="3">
        <v>11</v>
      </c>
      <c r="G3664" t="s">
        <v>514</v>
      </c>
    </row>
    <row r="3665" spans="1:7" x14ac:dyDescent="0.25">
      <c r="A3665" s="1" t="str">
        <f>"502977"</f>
        <v>502977</v>
      </c>
      <c r="B3665" s="2" t="str">
        <f>"BUCHA TRAVA"</f>
        <v>BUCHA TRAVA</v>
      </c>
      <c r="C3665" s="2" t="str">
        <f t="shared" si="145"/>
        <v>UN</v>
      </c>
      <c r="D3665" s="7">
        <v>704</v>
      </c>
      <c r="E3665" s="3">
        <v>9</v>
      </c>
      <c r="F3665" s="3">
        <v>9</v>
      </c>
      <c r="G3665" t="s">
        <v>514</v>
      </c>
    </row>
    <row r="3666" spans="1:7" x14ac:dyDescent="0.25">
      <c r="A3666" s="1" t="str">
        <f>"506125"</f>
        <v>506125</v>
      </c>
      <c r="B3666" s="2" t="str">
        <f>"BUCHA VEDACAO COD.IGE00181"</f>
        <v>BUCHA VEDACAO COD.IGE00181</v>
      </c>
      <c r="C3666" s="2" t="str">
        <f t="shared" si="145"/>
        <v>UN</v>
      </c>
      <c r="D3666" s="7">
        <v>918</v>
      </c>
      <c r="E3666" s="3">
        <v>11</v>
      </c>
      <c r="F3666" s="3">
        <v>11</v>
      </c>
      <c r="G3666" t="s">
        <v>514</v>
      </c>
    </row>
    <row r="3667" spans="1:7" x14ac:dyDescent="0.25">
      <c r="A3667" s="1" t="str">
        <f>"515744"</f>
        <v>515744</v>
      </c>
      <c r="B3667" s="2" t="str">
        <f>"BUFFERED PEPTONE WATER"</f>
        <v>BUFFERED PEPTONE WATER</v>
      </c>
      <c r="C3667" s="2" t="str">
        <f t="shared" si="145"/>
        <v>UN</v>
      </c>
      <c r="D3667" s="7">
        <v>406</v>
      </c>
      <c r="E3667" s="3">
        <v>4</v>
      </c>
      <c r="F3667" s="3">
        <v>4</v>
      </c>
      <c r="G3667" t="s">
        <v>513</v>
      </c>
    </row>
    <row r="3668" spans="1:7" x14ac:dyDescent="0.25">
      <c r="A3668" s="1" t="str">
        <f>"515877"</f>
        <v>515877</v>
      </c>
      <c r="B3668" s="2" t="str">
        <f>"BUJAO"</f>
        <v>BUJAO</v>
      </c>
      <c r="C3668" s="2" t="str">
        <f t="shared" si="145"/>
        <v>UN</v>
      </c>
      <c r="D3668" s="7">
        <v>704</v>
      </c>
      <c r="E3668" s="3">
        <v>9</v>
      </c>
      <c r="F3668" s="3">
        <v>9</v>
      </c>
      <c r="G3668" t="s">
        <v>512</v>
      </c>
    </row>
    <row r="3669" spans="1:7" x14ac:dyDescent="0.25">
      <c r="A3669" s="1" t="str">
        <f>"520275"</f>
        <v>520275</v>
      </c>
      <c r="B3669" s="2" t="str">
        <f>"BUJAO B- 1"""</f>
        <v>BUJAO B- 1"</v>
      </c>
      <c r="C3669" s="2" t="str">
        <f t="shared" si="145"/>
        <v>UN</v>
      </c>
      <c r="D3669" s="7">
        <v>913</v>
      </c>
      <c r="E3669" s="3">
        <v>11</v>
      </c>
      <c r="F3669" s="3">
        <v>11</v>
      </c>
      <c r="G3669" t="s">
        <v>513</v>
      </c>
    </row>
    <row r="3670" spans="1:7" x14ac:dyDescent="0.25">
      <c r="A3670" s="1" t="str">
        <f>"517521"</f>
        <v>517521</v>
      </c>
      <c r="B3670" s="2" t="str">
        <f>"BUJAO B-1/2"</f>
        <v>BUJAO B-1/2</v>
      </c>
      <c r="C3670" s="2" t="str">
        <f t="shared" si="145"/>
        <v>UN</v>
      </c>
      <c r="D3670" s="7">
        <v>913</v>
      </c>
      <c r="E3670" s="3">
        <v>11</v>
      </c>
      <c r="F3670" s="3">
        <v>11</v>
      </c>
      <c r="G3670" t="s">
        <v>514</v>
      </c>
    </row>
    <row r="3671" spans="1:7" x14ac:dyDescent="0.25">
      <c r="A3671" s="1" t="str">
        <f>"501796"</f>
        <v>501796</v>
      </c>
      <c r="B3671" s="2" t="str">
        <f>"BUJAO B-1/4"</f>
        <v>BUJAO B-1/4</v>
      </c>
      <c r="C3671" s="2" t="str">
        <f t="shared" si="145"/>
        <v>UN</v>
      </c>
      <c r="D3671" s="7">
        <v>913</v>
      </c>
      <c r="E3671" s="3">
        <v>11</v>
      </c>
      <c r="F3671" s="3">
        <v>11</v>
      </c>
      <c r="G3671" t="s">
        <v>514</v>
      </c>
    </row>
    <row r="3672" spans="1:7" x14ac:dyDescent="0.25">
      <c r="A3672" s="1" t="str">
        <f>"519771"</f>
        <v>519771</v>
      </c>
      <c r="B3672" s="2" t="str">
        <f>"BUJAO B-1/8"</f>
        <v>BUJAO B-1/8</v>
      </c>
      <c r="C3672" s="2" t="str">
        <f t="shared" si="145"/>
        <v>UN</v>
      </c>
      <c r="D3672" s="7">
        <v>913</v>
      </c>
      <c r="E3672" s="3">
        <v>11</v>
      </c>
      <c r="F3672" s="3">
        <v>11</v>
      </c>
      <c r="G3672" t="s">
        <v>514</v>
      </c>
    </row>
    <row r="3673" spans="1:7" x14ac:dyDescent="0.25">
      <c r="A3673" s="1" t="str">
        <f>"504937"</f>
        <v>504937</v>
      </c>
      <c r="B3673" s="2" t="str">
        <f>"BUJAO DE DRENO MOTOR"</f>
        <v>BUJAO DE DRENO MOTOR</v>
      </c>
      <c r="C3673" s="2" t="str">
        <f t="shared" si="145"/>
        <v>UN</v>
      </c>
      <c r="D3673" s="7">
        <v>918</v>
      </c>
      <c r="E3673" s="3">
        <v>11</v>
      </c>
      <c r="F3673" s="3">
        <v>11</v>
      </c>
      <c r="G3673" t="s">
        <v>513</v>
      </c>
    </row>
    <row r="3674" spans="1:7" x14ac:dyDescent="0.25">
      <c r="A3674" s="1" t="str">
        <f>"507893"</f>
        <v>507893</v>
      </c>
      <c r="B3674" s="2" t="str">
        <f>"BUJAO GALV 150 3"""</f>
        <v>BUJAO GALV 150 3"</v>
      </c>
      <c r="C3674" s="2" t="str">
        <f>"BR"</f>
        <v>BR</v>
      </c>
      <c r="D3674" s="7">
        <v>808</v>
      </c>
      <c r="E3674" s="3">
        <v>10</v>
      </c>
      <c r="F3674" s="3">
        <v>10</v>
      </c>
      <c r="G3674" t="s">
        <v>513</v>
      </c>
    </row>
    <row r="3675" spans="1:7" x14ac:dyDescent="0.25">
      <c r="A3675" s="1" t="str">
        <f>"512845"</f>
        <v>512845</v>
      </c>
      <c r="B3675" s="2" t="str">
        <f>"BULE ALUMINIO"</f>
        <v>BULE ALUMINIO</v>
      </c>
      <c r="C3675" s="2" t="str">
        <f t="shared" ref="C3675:C3684" si="146">"UN"</f>
        <v>UN</v>
      </c>
      <c r="D3675" s="7">
        <v>99999</v>
      </c>
      <c r="E3675" s="3">
        <v>99</v>
      </c>
      <c r="F3675" s="3">
        <v>99</v>
      </c>
      <c r="G3675" t="s">
        <v>513</v>
      </c>
    </row>
    <row r="3676" spans="1:7" x14ac:dyDescent="0.25">
      <c r="A3676" s="1" t="str">
        <f>"500861"</f>
        <v>500861</v>
      </c>
      <c r="B3676" s="2" t="str">
        <f>"BUMPER                   COD.78807012691"</f>
        <v>BUMPER                   COD.78807012691</v>
      </c>
      <c r="C3676" s="2" t="str">
        <f t="shared" si="146"/>
        <v>UN</v>
      </c>
      <c r="D3676" s="7">
        <v>918</v>
      </c>
      <c r="E3676" s="3">
        <v>11</v>
      </c>
      <c r="F3676" s="3">
        <v>11</v>
      </c>
      <c r="G3676" t="s">
        <v>512</v>
      </c>
    </row>
    <row r="3677" spans="1:7" x14ac:dyDescent="0.25">
      <c r="A3677" s="1" t="str">
        <f>"509984"</f>
        <v>509984</v>
      </c>
      <c r="B3677" s="2" t="str">
        <f>"BUMPERS P/ PORTAS"</f>
        <v>BUMPERS P/ PORTAS</v>
      </c>
      <c r="C3677" s="2" t="str">
        <f t="shared" si="146"/>
        <v>UN</v>
      </c>
      <c r="D3677" s="7">
        <v>1200</v>
      </c>
      <c r="E3677" s="3">
        <v>13</v>
      </c>
      <c r="F3677" s="3">
        <v>13</v>
      </c>
      <c r="G3677" t="s">
        <v>513</v>
      </c>
    </row>
    <row r="3678" spans="1:7" x14ac:dyDescent="0.25">
      <c r="A3678" s="1" t="str">
        <f>"515020"</f>
        <v>515020</v>
      </c>
      <c r="B3678" s="2" t="str">
        <f>"BUPROVIL"</f>
        <v>BUPROVIL</v>
      </c>
      <c r="C3678" s="2" t="str">
        <f t="shared" si="146"/>
        <v>UN</v>
      </c>
      <c r="D3678" s="7">
        <v>406</v>
      </c>
      <c r="E3678" s="3">
        <v>4</v>
      </c>
      <c r="F3678" s="3">
        <v>4</v>
      </c>
      <c r="G3678" t="s">
        <v>514</v>
      </c>
    </row>
    <row r="3679" spans="1:7" x14ac:dyDescent="0.25">
      <c r="A3679" s="1" t="str">
        <f>"521740"</f>
        <v>521740</v>
      </c>
      <c r="B3679" s="2" t="str">
        <f>"BURETA - TORNEIRA DE VIDRO 100ML CALIBRADA"</f>
        <v>BURETA - TORNEIRA DE VIDRO 100ML CALIBRADA</v>
      </c>
      <c r="C3679" s="2" t="str">
        <f t="shared" si="146"/>
        <v>UN</v>
      </c>
      <c r="D3679" s="7">
        <v>99999</v>
      </c>
      <c r="E3679" s="3">
        <v>99</v>
      </c>
      <c r="F3679" s="3">
        <v>99</v>
      </c>
      <c r="G3679" t="s">
        <v>515</v>
      </c>
    </row>
    <row r="3680" spans="1:7" x14ac:dyDescent="0.25">
      <c r="A3680" s="1" t="str">
        <f>"515394"</f>
        <v>515394</v>
      </c>
      <c r="B3680" s="2" t="str">
        <f>"BURETA 100ML"</f>
        <v>BURETA 100ML</v>
      </c>
      <c r="C3680" s="2" t="str">
        <f t="shared" si="146"/>
        <v>UN</v>
      </c>
      <c r="D3680" s="7">
        <v>406</v>
      </c>
      <c r="E3680" s="3">
        <v>4</v>
      </c>
      <c r="F3680" s="3">
        <v>4</v>
      </c>
      <c r="G3680" t="s">
        <v>512</v>
      </c>
    </row>
    <row r="3681" spans="1:7" x14ac:dyDescent="0.25">
      <c r="A3681" s="1" t="str">
        <f>"3530"</f>
        <v>3530</v>
      </c>
      <c r="B3681" s="2" t="str">
        <f>"BURETA AUTOMATICA 10ML TEFLON"</f>
        <v>BURETA AUTOMATICA 10ML TEFLON</v>
      </c>
      <c r="C3681" s="2" t="str">
        <f t="shared" si="146"/>
        <v>UN</v>
      </c>
      <c r="D3681" s="7">
        <v>406</v>
      </c>
      <c r="E3681" s="3">
        <v>4</v>
      </c>
      <c r="F3681" s="3">
        <v>4</v>
      </c>
      <c r="G3681" t="s">
        <v>516</v>
      </c>
    </row>
    <row r="3682" spans="1:7" x14ac:dyDescent="0.25">
      <c r="A3682" s="1" t="str">
        <f>"528031"</f>
        <v>528031</v>
      </c>
      <c r="B3682" s="2" t="str">
        <f>"BURETA GRADUADA - TORNEIRA DE TEFLON 25 ML"</f>
        <v>BURETA GRADUADA - TORNEIRA DE TEFLON 25 ML</v>
      </c>
      <c r="C3682" s="2" t="str">
        <f t="shared" si="146"/>
        <v>UN</v>
      </c>
      <c r="D3682" s="7">
        <v>406</v>
      </c>
      <c r="E3682" s="3">
        <v>4</v>
      </c>
      <c r="F3682" s="3">
        <v>4</v>
      </c>
      <c r="G3682" t="s">
        <v>515</v>
      </c>
    </row>
    <row r="3683" spans="1:7" x14ac:dyDescent="0.25">
      <c r="A3683" s="1" t="str">
        <f>"515393"</f>
        <v>515393</v>
      </c>
      <c r="B3683" s="2" t="str">
        <f>"BURETA GRADUADA - TORNEIRA DE TEFLON 50ML"</f>
        <v>BURETA GRADUADA - TORNEIRA DE TEFLON 50ML</v>
      </c>
      <c r="C3683" s="2" t="str">
        <f t="shared" si="146"/>
        <v>UN</v>
      </c>
      <c r="D3683" s="7">
        <v>406</v>
      </c>
      <c r="E3683" s="3">
        <v>4</v>
      </c>
      <c r="F3683" s="3">
        <v>4</v>
      </c>
      <c r="G3683" t="s">
        <v>514</v>
      </c>
    </row>
    <row r="3684" spans="1:7" x14ac:dyDescent="0.25">
      <c r="A3684" s="1" t="str">
        <f>"522111"</f>
        <v>522111</v>
      </c>
      <c r="B3684" s="2" t="str">
        <f>"BURETA GRADUADA - TORNEIRA TEFLON 20ML - CALIBRADA"</f>
        <v>BURETA GRADUADA - TORNEIRA TEFLON 20ML - CALIBRADA</v>
      </c>
      <c r="C3684" s="2" t="str">
        <f t="shared" si="146"/>
        <v>UN</v>
      </c>
      <c r="D3684" s="7">
        <v>406</v>
      </c>
      <c r="E3684" s="3">
        <v>4</v>
      </c>
      <c r="F3684" s="3">
        <v>4</v>
      </c>
      <c r="G3684" t="s">
        <v>512</v>
      </c>
    </row>
    <row r="3685" spans="1:7" x14ac:dyDescent="0.25">
      <c r="A3685" s="1" t="str">
        <f>"6126"</f>
        <v>6126</v>
      </c>
      <c r="B3685" s="2" t="str">
        <f>"BURETA GRADUADA C TORNEIRA 25ML CERTIFIC"</f>
        <v>BURETA GRADUADA C TORNEIRA 25ML CERTIFIC</v>
      </c>
      <c r="C3685" s="2" t="str">
        <f>"PC"</f>
        <v>PC</v>
      </c>
      <c r="D3685" s="7">
        <v>406</v>
      </c>
      <c r="E3685" s="3">
        <v>4</v>
      </c>
      <c r="F3685" s="3">
        <v>4</v>
      </c>
      <c r="G3685" t="s">
        <v>513</v>
      </c>
    </row>
    <row r="3686" spans="1:7" x14ac:dyDescent="0.25">
      <c r="A3686" s="1" t="str">
        <f>"514208"</f>
        <v>514208</v>
      </c>
      <c r="B3686" s="2" t="str">
        <f>"BURETA GRADUADA TORNEIRA DE VIDRO 25ML"</f>
        <v>BURETA GRADUADA TORNEIRA DE VIDRO 25ML</v>
      </c>
      <c r="C3686" s="2" t="str">
        <f t="shared" ref="C3686:C3693" si="147">"UN"</f>
        <v>UN</v>
      </c>
      <c r="D3686" s="7">
        <v>406</v>
      </c>
      <c r="E3686" s="3">
        <v>4</v>
      </c>
      <c r="F3686" s="3">
        <v>4</v>
      </c>
      <c r="G3686" t="s">
        <v>514</v>
      </c>
    </row>
    <row r="3687" spans="1:7" x14ac:dyDescent="0.25">
      <c r="A3687" s="1" t="str">
        <f>"519738"</f>
        <v>519738</v>
      </c>
      <c r="B3687" s="2" t="str">
        <f>"BURETA GRADUADA TORNEIRA DE VIDRO 50ML C/ CERTIFICADO"</f>
        <v>BURETA GRADUADA TORNEIRA DE VIDRO 50ML C/ CERTIFICADO</v>
      </c>
      <c r="C3687" s="2" t="str">
        <f t="shared" si="147"/>
        <v>UN</v>
      </c>
      <c r="D3687" s="7">
        <v>406</v>
      </c>
      <c r="E3687" s="3">
        <v>4</v>
      </c>
      <c r="F3687" s="3">
        <v>4</v>
      </c>
      <c r="G3687" t="s">
        <v>514</v>
      </c>
    </row>
    <row r="3688" spans="1:7" x14ac:dyDescent="0.25">
      <c r="A3688" s="1" t="str">
        <f>"510673"</f>
        <v>510673</v>
      </c>
      <c r="B3688" s="2" t="str">
        <f>"BUSCOPAN (BUTIBROMETO DE ESCOPALAMINA) 10MG CX C/ 20"</f>
        <v>BUSCOPAN (BUTIBROMETO DE ESCOPALAMINA) 10MG CX C/ 20</v>
      </c>
      <c r="C3688" s="2" t="str">
        <f t="shared" si="147"/>
        <v>UN</v>
      </c>
      <c r="D3688" s="7">
        <v>401</v>
      </c>
      <c r="E3688" s="3">
        <v>4</v>
      </c>
      <c r="F3688" s="3">
        <v>4</v>
      </c>
      <c r="G3688" t="s">
        <v>512</v>
      </c>
    </row>
    <row r="3689" spans="1:7" x14ac:dyDescent="0.25">
      <c r="A3689" s="1" t="str">
        <f>"510674"</f>
        <v>510674</v>
      </c>
      <c r="B3689" s="2" t="str">
        <f>"BUSCOVERAN COMPOSTO"</f>
        <v>BUSCOVERAN COMPOSTO</v>
      </c>
      <c r="C3689" s="2" t="str">
        <f t="shared" si="147"/>
        <v>UN</v>
      </c>
      <c r="D3689" s="7">
        <v>401</v>
      </c>
      <c r="E3689" s="3">
        <v>4</v>
      </c>
      <c r="F3689" s="3">
        <v>4</v>
      </c>
      <c r="G3689" t="s">
        <v>513</v>
      </c>
    </row>
    <row r="3690" spans="1:7" x14ac:dyDescent="0.25">
      <c r="A3690" s="1" t="str">
        <f>"511202"</f>
        <v>511202</v>
      </c>
      <c r="B3690" s="2" t="str">
        <f>"BUSH 215913"</f>
        <v>BUSH 215913</v>
      </c>
      <c r="C3690" s="2" t="str">
        <f t="shared" si="147"/>
        <v>UN</v>
      </c>
      <c r="D3690" s="7">
        <v>900</v>
      </c>
      <c r="E3690" s="3">
        <v>11</v>
      </c>
      <c r="F3690" s="3">
        <v>11</v>
      </c>
      <c r="G3690" t="s">
        <v>514</v>
      </c>
    </row>
    <row r="3691" spans="1:7" x14ac:dyDescent="0.25">
      <c r="A3691" s="1" t="str">
        <f>"503388"</f>
        <v>503388</v>
      </c>
      <c r="B3691" s="2" t="str">
        <f>"BUSHING - 59,5MM LONG    COD.78811370317"</f>
        <v>BUSHING - 59,5MM LONG    COD.78811370317</v>
      </c>
      <c r="C3691" s="2" t="str">
        <f t="shared" si="147"/>
        <v>UN</v>
      </c>
      <c r="D3691" s="7">
        <v>918</v>
      </c>
      <c r="E3691" s="3">
        <v>11</v>
      </c>
      <c r="F3691" s="3">
        <v>11</v>
      </c>
      <c r="G3691" t="s">
        <v>514</v>
      </c>
    </row>
    <row r="3692" spans="1:7" x14ac:dyDescent="0.25">
      <c r="A3692" s="1" t="str">
        <f>"502888"</f>
        <v>502888</v>
      </c>
      <c r="B3692" s="2" t="str">
        <f>"BUSHING -APPLYING ROOLER COD.78806083958"</f>
        <v>BUSHING -APPLYING ROOLER COD.78806083958</v>
      </c>
      <c r="C3692" s="2" t="str">
        <f t="shared" si="147"/>
        <v>UN</v>
      </c>
      <c r="D3692" s="7">
        <v>918</v>
      </c>
      <c r="E3692" s="3">
        <v>11</v>
      </c>
      <c r="F3692" s="3">
        <v>11</v>
      </c>
      <c r="G3692" t="s">
        <v>514</v>
      </c>
    </row>
    <row r="3693" spans="1:7" x14ac:dyDescent="0.25">
      <c r="A3693" s="1" t="str">
        <f>"502211"</f>
        <v>502211</v>
      </c>
      <c r="B3693" s="2" t="str">
        <f>"BUTIJAO DE GAS 13KG"</f>
        <v>BUTIJAO DE GAS 13KG</v>
      </c>
      <c r="C3693" s="2" t="str">
        <f t="shared" si="147"/>
        <v>UN</v>
      </c>
      <c r="D3693" s="7">
        <v>402</v>
      </c>
      <c r="E3693" s="3">
        <v>4</v>
      </c>
      <c r="F3693" s="3">
        <v>4</v>
      </c>
      <c r="G3693" t="s">
        <v>513</v>
      </c>
    </row>
    <row r="3694" spans="1:7" x14ac:dyDescent="0.25">
      <c r="A3694" s="1" t="str">
        <f>"6146"</f>
        <v>6146</v>
      </c>
      <c r="B3694" s="2" t="str">
        <f>"BUTIROMETRO P CREME 70%"</f>
        <v>BUTIROMETRO P CREME 70%</v>
      </c>
      <c r="C3694" s="2" t="str">
        <f t="shared" ref="C3694:C3700" si="148">"PC"</f>
        <v>PC</v>
      </c>
      <c r="D3694" s="7">
        <v>406</v>
      </c>
      <c r="E3694" s="3">
        <v>4</v>
      </c>
      <c r="F3694" s="3">
        <v>4</v>
      </c>
      <c r="G3694" t="s">
        <v>512</v>
      </c>
    </row>
    <row r="3695" spans="1:7" x14ac:dyDescent="0.25">
      <c r="A3695" s="1" t="str">
        <f>"6127"</f>
        <v>6127</v>
      </c>
      <c r="B3695" s="2" t="str">
        <f>"BUTIROMETRO P CREME 70%  (CALIBRADO)"</f>
        <v>BUTIROMETRO P CREME 70%  (CALIBRADO)</v>
      </c>
      <c r="C3695" s="2" t="str">
        <f t="shared" si="148"/>
        <v>PC</v>
      </c>
      <c r="D3695" s="7">
        <v>406</v>
      </c>
      <c r="E3695" s="3">
        <v>4</v>
      </c>
      <c r="F3695" s="3">
        <v>4</v>
      </c>
      <c r="G3695" t="s">
        <v>513</v>
      </c>
    </row>
    <row r="3696" spans="1:7" x14ac:dyDescent="0.25">
      <c r="A3696" s="1" t="str">
        <f>"6135"</f>
        <v>6135</v>
      </c>
      <c r="B3696" s="2" t="str">
        <f>"BUTIROMETRO P LEITE 8%"</f>
        <v>BUTIROMETRO P LEITE 8%</v>
      </c>
      <c r="C3696" s="2" t="str">
        <f t="shared" si="148"/>
        <v>PC</v>
      </c>
      <c r="D3696" s="7">
        <v>406</v>
      </c>
      <c r="E3696" s="3">
        <v>4</v>
      </c>
      <c r="F3696" s="3">
        <v>4</v>
      </c>
      <c r="G3696" t="s">
        <v>514</v>
      </c>
    </row>
    <row r="3697" spans="1:7" x14ac:dyDescent="0.25">
      <c r="A3697" s="1" t="str">
        <f>"6128"</f>
        <v>6128</v>
      </c>
      <c r="B3697" s="2" t="str">
        <f>"BUTIROMETRO P LEITE 8% (CALIBRADO)"</f>
        <v>BUTIROMETRO P LEITE 8% (CALIBRADO)</v>
      </c>
      <c r="C3697" s="2" t="str">
        <f t="shared" si="148"/>
        <v>PC</v>
      </c>
      <c r="D3697" s="7">
        <v>406</v>
      </c>
      <c r="E3697" s="3">
        <v>4</v>
      </c>
      <c r="F3697" s="3">
        <v>4</v>
      </c>
      <c r="G3697" t="s">
        <v>514</v>
      </c>
    </row>
    <row r="3698" spans="1:7" x14ac:dyDescent="0.25">
      <c r="A3698" s="1" t="str">
        <f>"519841"</f>
        <v>519841</v>
      </c>
      <c r="B3698" s="2" t="str">
        <f>"BUTIROMETRO P LEITE 8% GERBER"</f>
        <v>BUTIROMETRO P LEITE 8% GERBER</v>
      </c>
      <c r="C3698" s="2" t="str">
        <f t="shared" si="148"/>
        <v>PC</v>
      </c>
      <c r="D3698" s="7">
        <v>406</v>
      </c>
      <c r="E3698" s="3">
        <v>4</v>
      </c>
      <c r="F3698" s="3">
        <v>4</v>
      </c>
      <c r="G3698" t="s">
        <v>514</v>
      </c>
    </row>
    <row r="3699" spans="1:7" x14ac:dyDescent="0.25">
      <c r="A3699" s="1" t="str">
        <f>"6145"</f>
        <v>6145</v>
      </c>
      <c r="B3699" s="2" t="str">
        <f>"BUTIROMETRO P QUEIJO 40% COMPLETO"</f>
        <v>BUTIROMETRO P QUEIJO 40% COMPLETO</v>
      </c>
      <c r="C3699" s="2" t="str">
        <f t="shared" si="148"/>
        <v>PC</v>
      </c>
      <c r="D3699" s="7">
        <v>406</v>
      </c>
      <c r="E3699" s="3">
        <v>4</v>
      </c>
      <c r="F3699" s="3">
        <v>4</v>
      </c>
      <c r="G3699" t="s">
        <v>513</v>
      </c>
    </row>
    <row r="3700" spans="1:7" x14ac:dyDescent="0.25">
      <c r="A3700" s="1" t="str">
        <f>"6129"</f>
        <v>6129</v>
      </c>
      <c r="B3700" s="2" t="str">
        <f>"BUTIROMETRO P QUEIJO 40% COMPLETO (CALIBRADO)"</f>
        <v>BUTIROMETRO P QUEIJO 40% COMPLETO (CALIBRADO)</v>
      </c>
      <c r="C3700" s="2" t="str">
        <f t="shared" si="148"/>
        <v>PC</v>
      </c>
      <c r="D3700" s="7">
        <v>406</v>
      </c>
      <c r="E3700" s="3">
        <v>4</v>
      </c>
      <c r="F3700" s="3">
        <v>4</v>
      </c>
      <c r="G3700" t="s">
        <v>513</v>
      </c>
    </row>
    <row r="3701" spans="1:7" x14ac:dyDescent="0.25">
      <c r="A3701" s="1" t="str">
        <f>"518654"</f>
        <v>518654</v>
      </c>
      <c r="B3701" s="2" t="str">
        <f>"BUZINA 48V EMPILHADEIRA STILL"</f>
        <v>BUZINA 48V EMPILHADEIRA STILL</v>
      </c>
      <c r="C3701" s="2" t="str">
        <f t="shared" ref="C3701:C3732" si="149">"UN"</f>
        <v>UN</v>
      </c>
      <c r="D3701" s="7">
        <v>918</v>
      </c>
      <c r="E3701" s="3">
        <v>11</v>
      </c>
      <c r="F3701" s="3">
        <v>11</v>
      </c>
      <c r="G3701" t="s">
        <v>513</v>
      </c>
    </row>
    <row r="3702" spans="1:7" x14ac:dyDescent="0.25">
      <c r="A3702" s="1" t="str">
        <f>"519785"</f>
        <v>519785</v>
      </c>
      <c r="B3702" s="2" t="str">
        <f>"BUZINA AR 3 CORNETAS VM 12V X 24V"</f>
        <v>BUZINA AR 3 CORNETAS VM 12V X 24V</v>
      </c>
      <c r="C3702" s="2" t="str">
        <f t="shared" si="149"/>
        <v>UN</v>
      </c>
      <c r="D3702" s="7">
        <v>704</v>
      </c>
      <c r="E3702" s="3">
        <v>9</v>
      </c>
      <c r="F3702" s="3">
        <v>9</v>
      </c>
      <c r="G3702" t="s">
        <v>512</v>
      </c>
    </row>
    <row r="3703" spans="1:7" x14ac:dyDescent="0.25">
      <c r="A3703" s="1" t="str">
        <f>"505207"</f>
        <v>505207</v>
      </c>
      <c r="B3703" s="2" t="str">
        <f>"BUZINA AR FRANCESA PRETA"</f>
        <v>BUZINA AR FRANCESA PRETA</v>
      </c>
      <c r="C3703" s="2" t="str">
        <f t="shared" si="149"/>
        <v>UN</v>
      </c>
      <c r="D3703" s="7">
        <v>704</v>
      </c>
      <c r="E3703" s="3">
        <v>9</v>
      </c>
      <c r="F3703" s="3">
        <v>9</v>
      </c>
      <c r="G3703" t="s">
        <v>513</v>
      </c>
    </row>
    <row r="3704" spans="1:7" x14ac:dyDescent="0.25">
      <c r="A3704" s="1" t="str">
        <f>"519243"</f>
        <v>519243</v>
      </c>
      <c r="B3704" s="2" t="str">
        <f>"BUZINA CARACOL VW 12V"</f>
        <v>BUZINA CARACOL VW 12V</v>
      </c>
      <c r="C3704" s="2" t="str">
        <f t="shared" si="149"/>
        <v>UN</v>
      </c>
      <c r="D3704" s="7">
        <v>704</v>
      </c>
      <c r="E3704" s="3">
        <v>9</v>
      </c>
      <c r="F3704" s="3">
        <v>9</v>
      </c>
      <c r="G3704" t="s">
        <v>514</v>
      </c>
    </row>
    <row r="3705" spans="1:7" x14ac:dyDescent="0.25">
      <c r="A3705" s="1" t="str">
        <f>"522913"</f>
        <v>522913</v>
      </c>
      <c r="B3705" s="2" t="str">
        <f>"BUZINA ELETRICA 12V"</f>
        <v>BUZINA ELETRICA 12V</v>
      </c>
      <c r="C3705" s="2" t="str">
        <f t="shared" si="149"/>
        <v>UN</v>
      </c>
      <c r="D3705" s="7">
        <v>704</v>
      </c>
      <c r="E3705" s="3">
        <v>9</v>
      </c>
      <c r="F3705" s="3">
        <v>9</v>
      </c>
      <c r="G3705" t="s">
        <v>515</v>
      </c>
    </row>
    <row r="3706" spans="1:7" x14ac:dyDescent="0.25">
      <c r="A3706" s="1" t="str">
        <f>"519399"</f>
        <v>519399</v>
      </c>
      <c r="B3706" s="2" t="str">
        <f>"BUZINA ELETRICA 24V"</f>
        <v>BUZINA ELETRICA 24V</v>
      </c>
      <c r="C3706" s="2" t="str">
        <f t="shared" si="149"/>
        <v>UN</v>
      </c>
      <c r="D3706" s="7">
        <v>704</v>
      </c>
      <c r="E3706" s="3">
        <v>9</v>
      </c>
      <c r="F3706" s="3">
        <v>9</v>
      </c>
      <c r="G3706" t="s">
        <v>512</v>
      </c>
    </row>
    <row r="3707" spans="1:7" x14ac:dyDescent="0.25">
      <c r="A3707" s="1" t="str">
        <f>"514398"</f>
        <v>514398</v>
      </c>
      <c r="B3707" s="2" t="str">
        <f>"BYG EVOLUTION 2.6 6 85 X 1.150MM DUPLA E M NYLON"</f>
        <v>BYG EVOLUTION 2.6 6 85 X 1.150MM DUPLA E M NYLON</v>
      </c>
      <c r="C3707" s="2" t="str">
        <f t="shared" si="149"/>
        <v>UN</v>
      </c>
      <c r="D3707" s="7">
        <v>1300</v>
      </c>
      <c r="E3707" s="3">
        <v>99</v>
      </c>
      <c r="F3707" s="3">
        <v>99</v>
      </c>
      <c r="G3707" t="s">
        <v>516</v>
      </c>
    </row>
    <row r="3708" spans="1:7" x14ac:dyDescent="0.25">
      <c r="A3708" s="1" t="str">
        <f>"510403"</f>
        <v>510403</v>
      </c>
      <c r="B3708" s="2" t="str">
        <f>"C. ENGRENAGEM A6 MOTOR BIDIRECIONAL"</f>
        <v>C. ENGRENAGEM A6 MOTOR BIDIRECIONAL</v>
      </c>
      <c r="C3708" s="2" t="str">
        <f t="shared" si="149"/>
        <v>UN</v>
      </c>
      <c r="D3708" s="7">
        <v>918</v>
      </c>
      <c r="E3708" s="3">
        <v>11</v>
      </c>
      <c r="F3708" s="3">
        <v>11</v>
      </c>
      <c r="G3708" t="s">
        <v>515</v>
      </c>
    </row>
    <row r="3709" spans="1:7" x14ac:dyDescent="0.25">
      <c r="A3709" s="1" t="str">
        <f>"522428"</f>
        <v>522428</v>
      </c>
      <c r="B3709" s="2" t="str">
        <f>"C. H.90° AI DC 100X100MM"</f>
        <v>C. H.90° AI DC 100X100MM</v>
      </c>
      <c r="C3709" s="2" t="str">
        <f t="shared" si="149"/>
        <v>UN</v>
      </c>
      <c r="D3709" s="7">
        <v>811</v>
      </c>
      <c r="E3709" s="3">
        <v>10</v>
      </c>
      <c r="F3709" s="3">
        <v>10</v>
      </c>
      <c r="G3709" t="s">
        <v>514</v>
      </c>
    </row>
    <row r="3710" spans="1:7" x14ac:dyDescent="0.25">
      <c r="A3710" s="1" t="str">
        <f>"521973"</f>
        <v>521973</v>
      </c>
      <c r="B3710" s="2" t="str">
        <f>"C. H.90º AI DC 100X50MM"</f>
        <v>C. H.90º AI DC 100X50MM</v>
      </c>
      <c r="C3710" s="2" t="str">
        <f t="shared" si="149"/>
        <v>UN</v>
      </c>
      <c r="D3710" s="7">
        <v>811</v>
      </c>
      <c r="E3710" s="3">
        <v>8</v>
      </c>
      <c r="F3710" s="3">
        <v>8</v>
      </c>
      <c r="G3710" t="s">
        <v>512</v>
      </c>
    </row>
    <row r="3711" spans="1:7" x14ac:dyDescent="0.25">
      <c r="A3711" s="1" t="str">
        <f>"527057"</f>
        <v>527057</v>
      </c>
      <c r="B3711" s="2" t="str">
        <f>"C. H.90º GF 30X30MM"</f>
        <v>C. H.90º GF 30X30MM</v>
      </c>
      <c r="C3711" s="2" t="str">
        <f t="shared" si="149"/>
        <v>UN</v>
      </c>
      <c r="D3711" s="7">
        <v>811</v>
      </c>
      <c r="E3711" s="3">
        <v>8</v>
      </c>
      <c r="F3711" s="3">
        <v>8</v>
      </c>
      <c r="G3711" t="s">
        <v>513</v>
      </c>
    </row>
    <row r="3712" spans="1:7" x14ac:dyDescent="0.25">
      <c r="A3712" s="1" t="str">
        <f>"522646"</f>
        <v>522646</v>
      </c>
      <c r="B3712" s="2" t="str">
        <f>"C. H.I.45º AI DC 400X100MM"</f>
        <v>C. H.I.45º AI DC 400X100MM</v>
      </c>
      <c r="C3712" s="2" t="str">
        <f t="shared" si="149"/>
        <v>UN</v>
      </c>
      <c r="D3712" s="7">
        <v>811</v>
      </c>
      <c r="E3712" s="3">
        <v>8</v>
      </c>
      <c r="F3712" s="3">
        <v>8</v>
      </c>
      <c r="G3712" t="s">
        <v>514</v>
      </c>
    </row>
    <row r="3713" spans="1:7" x14ac:dyDescent="0.25">
      <c r="A3713" s="1" t="str">
        <f>"522645"</f>
        <v>522645</v>
      </c>
      <c r="B3713" s="2" t="str">
        <f>"C. H.I.90º AI DC 400X100MM"</f>
        <v>C. H.I.90º AI DC 400X100MM</v>
      </c>
      <c r="C3713" s="2" t="str">
        <f t="shared" si="149"/>
        <v>UN</v>
      </c>
      <c r="D3713" s="7">
        <v>811</v>
      </c>
      <c r="E3713" s="3">
        <v>8</v>
      </c>
      <c r="F3713" s="3">
        <v>8</v>
      </c>
      <c r="G3713" t="s">
        <v>514</v>
      </c>
    </row>
    <row r="3714" spans="1:7" x14ac:dyDescent="0.25">
      <c r="A3714" s="1" t="str">
        <f>"521978"</f>
        <v>521978</v>
      </c>
      <c r="B3714" s="2" t="str">
        <f>"C. V.E.45º AI DC 100X100MM"</f>
        <v>C. V.E.45º AI DC 100X100MM</v>
      </c>
      <c r="C3714" s="2" t="str">
        <f t="shared" si="149"/>
        <v>UN</v>
      </c>
      <c r="D3714" s="7">
        <v>811</v>
      </c>
      <c r="E3714" s="3">
        <v>8</v>
      </c>
      <c r="F3714" s="3">
        <v>8</v>
      </c>
      <c r="G3714" t="s">
        <v>512</v>
      </c>
    </row>
    <row r="3715" spans="1:7" x14ac:dyDescent="0.25">
      <c r="A3715" s="1" t="str">
        <f>"522640"</f>
        <v>522640</v>
      </c>
      <c r="B3715" s="2" t="str">
        <f>"C. V.E.45º AI DC 400X100MM"</f>
        <v>C. V.E.45º AI DC 400X100MM</v>
      </c>
      <c r="C3715" s="2" t="str">
        <f t="shared" si="149"/>
        <v>UN</v>
      </c>
      <c r="D3715" s="7">
        <v>811</v>
      </c>
      <c r="E3715" s="3">
        <v>8</v>
      </c>
      <c r="F3715" s="3">
        <v>8</v>
      </c>
      <c r="G3715" t="s">
        <v>513</v>
      </c>
    </row>
    <row r="3716" spans="1:7" x14ac:dyDescent="0.25">
      <c r="A3716" s="1" t="str">
        <f>"521977"</f>
        <v>521977</v>
      </c>
      <c r="B3716" s="2" t="str">
        <f>"C. V.E.45º AI DC 50X50MM"</f>
        <v>C. V.E.45º AI DC 50X50MM</v>
      </c>
      <c r="C3716" s="2" t="str">
        <f t="shared" si="149"/>
        <v>UN</v>
      </c>
      <c r="D3716" s="7">
        <v>811</v>
      </c>
      <c r="E3716" s="3">
        <v>8</v>
      </c>
      <c r="F3716" s="3">
        <v>8</v>
      </c>
      <c r="G3716" t="s">
        <v>514</v>
      </c>
    </row>
    <row r="3717" spans="1:7" x14ac:dyDescent="0.25">
      <c r="A3717" s="1" t="str">
        <f>"521982"</f>
        <v>521982</v>
      </c>
      <c r="B3717" s="2" t="str">
        <f>"C. V.E.90º AI DC 100X100MM"</f>
        <v>C. V.E.90º AI DC 100X100MM</v>
      </c>
      <c r="C3717" s="2" t="str">
        <f t="shared" si="149"/>
        <v>UN</v>
      </c>
      <c r="D3717" s="7">
        <v>811</v>
      </c>
      <c r="E3717" s="3">
        <v>8</v>
      </c>
      <c r="F3717" s="3">
        <v>8</v>
      </c>
      <c r="G3717" t="s">
        <v>514</v>
      </c>
    </row>
    <row r="3718" spans="1:7" x14ac:dyDescent="0.25">
      <c r="A3718" s="1" t="str">
        <f>"521976"</f>
        <v>521976</v>
      </c>
      <c r="B3718" s="2" t="str">
        <f>"C. V.E.90º AI DC 100X50MM"</f>
        <v>C. V.E.90º AI DC 100X50MM</v>
      </c>
      <c r="C3718" s="2" t="str">
        <f t="shared" si="149"/>
        <v>UN</v>
      </c>
      <c r="D3718" s="7">
        <v>811</v>
      </c>
      <c r="E3718" s="3">
        <v>8</v>
      </c>
      <c r="F3718" s="3">
        <v>8</v>
      </c>
      <c r="G3718" t="s">
        <v>514</v>
      </c>
    </row>
    <row r="3719" spans="1:7" x14ac:dyDescent="0.25">
      <c r="A3719" s="1" t="str">
        <f>"521210"</f>
        <v>521210</v>
      </c>
      <c r="B3719" s="2" t="str">
        <f>"C. V.E.90º AI DC 200X100MM"</f>
        <v>C. V.E.90º AI DC 200X100MM</v>
      </c>
      <c r="C3719" s="2" t="str">
        <f t="shared" si="149"/>
        <v>UN</v>
      </c>
      <c r="D3719" s="7">
        <v>811</v>
      </c>
      <c r="E3719" s="3">
        <v>8</v>
      </c>
      <c r="F3719" s="3">
        <v>8</v>
      </c>
      <c r="G3719" t="s">
        <v>513</v>
      </c>
    </row>
    <row r="3720" spans="1:7" x14ac:dyDescent="0.25">
      <c r="A3720" s="1" t="str">
        <f>"522639"</f>
        <v>522639</v>
      </c>
      <c r="B3720" s="2" t="str">
        <f>"C. V.E.90º AI DC 400X100MM"</f>
        <v>C. V.E.90º AI DC 400X100MM</v>
      </c>
      <c r="C3720" s="2" t="str">
        <f t="shared" si="149"/>
        <v>UN</v>
      </c>
      <c r="D3720" s="7">
        <v>811</v>
      </c>
      <c r="E3720" s="3">
        <v>8</v>
      </c>
      <c r="F3720" s="3">
        <v>8</v>
      </c>
      <c r="G3720" t="s">
        <v>512</v>
      </c>
    </row>
    <row r="3721" spans="1:7" x14ac:dyDescent="0.25">
      <c r="A3721" s="1" t="str">
        <f>"521981"</f>
        <v>521981</v>
      </c>
      <c r="B3721" s="2" t="str">
        <f>"C. V.E.90º AI DC 50X50MM"</f>
        <v>C. V.E.90º AI DC 50X50MM</v>
      </c>
      <c r="C3721" s="2" t="str">
        <f t="shared" si="149"/>
        <v>UN</v>
      </c>
      <c r="D3721" s="7">
        <v>811</v>
      </c>
      <c r="E3721" s="3">
        <v>8</v>
      </c>
      <c r="F3721" s="3">
        <v>8</v>
      </c>
      <c r="G3721" t="s">
        <v>513</v>
      </c>
    </row>
    <row r="3722" spans="1:7" x14ac:dyDescent="0.25">
      <c r="A3722" s="1" t="str">
        <f>"521005"</f>
        <v>521005</v>
      </c>
      <c r="B3722" s="2" t="str">
        <f>"C. V.E.90º GF 100X50MM"</f>
        <v>C. V.E.90º GF 100X50MM</v>
      </c>
      <c r="C3722" s="2" t="str">
        <f t="shared" si="149"/>
        <v>UN</v>
      </c>
      <c r="D3722" s="7">
        <v>811</v>
      </c>
      <c r="E3722" s="3">
        <v>8</v>
      </c>
      <c r="F3722" s="3">
        <v>8</v>
      </c>
      <c r="G3722" t="s">
        <v>514</v>
      </c>
    </row>
    <row r="3723" spans="1:7" x14ac:dyDescent="0.25">
      <c r="A3723" s="1" t="str">
        <f>"520999"</f>
        <v>520999</v>
      </c>
      <c r="B3723" s="2" t="str">
        <f>"C. V.E.90º GF 50X50MM"</f>
        <v>C. V.E.90º GF 50X50MM</v>
      </c>
      <c r="C3723" s="2" t="str">
        <f t="shared" si="149"/>
        <v>UN</v>
      </c>
      <c r="D3723" s="7">
        <v>811</v>
      </c>
      <c r="E3723" s="3">
        <v>8</v>
      </c>
      <c r="F3723" s="3">
        <v>8</v>
      </c>
      <c r="G3723" t="s">
        <v>514</v>
      </c>
    </row>
    <row r="3724" spans="1:7" x14ac:dyDescent="0.25">
      <c r="A3724" s="1" t="str">
        <f>"521980"</f>
        <v>521980</v>
      </c>
      <c r="B3724" s="2" t="str">
        <f>"C. V.I.45º AI DC 100X100MM"</f>
        <v>C. V.I.45º AI DC 100X100MM</v>
      </c>
      <c r="C3724" s="2" t="str">
        <f t="shared" si="149"/>
        <v>UN</v>
      </c>
      <c r="D3724" s="7">
        <v>811</v>
      </c>
      <c r="E3724" s="3">
        <v>8</v>
      </c>
      <c r="F3724" s="3">
        <v>8</v>
      </c>
      <c r="G3724" t="s">
        <v>514</v>
      </c>
    </row>
    <row r="3725" spans="1:7" x14ac:dyDescent="0.25">
      <c r="A3725" s="1" t="str">
        <f>"522641"</f>
        <v>522641</v>
      </c>
      <c r="B3725" s="2" t="str">
        <f>"C. V.I.45º AI DC 400X100MM"</f>
        <v>C. V.I.45º AI DC 400X100MM</v>
      </c>
      <c r="C3725" s="2" t="str">
        <f t="shared" si="149"/>
        <v>UN</v>
      </c>
      <c r="D3725" s="7">
        <v>811</v>
      </c>
      <c r="E3725" s="3">
        <v>8</v>
      </c>
      <c r="F3725" s="3">
        <v>8</v>
      </c>
      <c r="G3725" t="s">
        <v>513</v>
      </c>
    </row>
    <row r="3726" spans="1:7" x14ac:dyDescent="0.25">
      <c r="A3726" s="1" t="str">
        <f>"521979"</f>
        <v>521979</v>
      </c>
      <c r="B3726" s="2" t="str">
        <f>"C. V.I.45º AI DC 50X50MM"</f>
        <v>C. V.I.45º AI DC 50X50MM</v>
      </c>
      <c r="C3726" s="2" t="str">
        <f t="shared" si="149"/>
        <v>UN</v>
      </c>
      <c r="D3726" s="7">
        <v>811</v>
      </c>
      <c r="E3726" s="3">
        <v>8</v>
      </c>
      <c r="F3726" s="3">
        <v>8</v>
      </c>
      <c r="G3726" t="s">
        <v>513</v>
      </c>
    </row>
    <row r="3727" spans="1:7" x14ac:dyDescent="0.25">
      <c r="A3727" s="1" t="str">
        <f>"522149"</f>
        <v>522149</v>
      </c>
      <c r="B3727" s="2" t="str">
        <f>"C. V.I.90º AI DC 100X100MM"</f>
        <v>C. V.I.90º AI DC 100X100MM</v>
      </c>
      <c r="C3727" s="2" t="str">
        <f t="shared" si="149"/>
        <v>UN</v>
      </c>
      <c r="D3727" s="7">
        <v>811</v>
      </c>
      <c r="E3727" s="3">
        <v>8</v>
      </c>
      <c r="F3727" s="3">
        <v>8</v>
      </c>
      <c r="G3727" t="s">
        <v>513</v>
      </c>
    </row>
    <row r="3728" spans="1:7" x14ac:dyDescent="0.25">
      <c r="A3728" s="1" t="str">
        <f>"521209"</f>
        <v>521209</v>
      </c>
      <c r="B3728" s="2" t="str">
        <f>"C. V.I.90º AI DC 200X100MM"</f>
        <v>C. V.I.90º AI DC 200X100MM</v>
      </c>
      <c r="C3728" s="2" t="str">
        <f t="shared" si="149"/>
        <v>UN</v>
      </c>
      <c r="D3728" s="7">
        <v>811</v>
      </c>
      <c r="E3728" s="3">
        <v>8</v>
      </c>
      <c r="F3728" s="3">
        <v>8</v>
      </c>
      <c r="G3728" t="s">
        <v>512</v>
      </c>
    </row>
    <row r="3729" spans="1:7" x14ac:dyDescent="0.25">
      <c r="A3729" s="1" t="str">
        <f>"522822"</f>
        <v>522822</v>
      </c>
      <c r="B3729" s="2" t="str">
        <f>"C. V.I.90º AI DC 30X30MM"</f>
        <v>C. V.I.90º AI DC 30X30MM</v>
      </c>
      <c r="C3729" s="2" t="str">
        <f t="shared" si="149"/>
        <v>UN</v>
      </c>
      <c r="D3729" s="7">
        <v>811</v>
      </c>
      <c r="E3729" s="3">
        <v>10</v>
      </c>
      <c r="F3729" s="3">
        <v>10</v>
      </c>
      <c r="G3729" t="s">
        <v>513</v>
      </c>
    </row>
    <row r="3730" spans="1:7" x14ac:dyDescent="0.25">
      <c r="A3730" s="1" t="str">
        <f>"522642"</f>
        <v>522642</v>
      </c>
      <c r="B3730" s="2" t="str">
        <f>"C. V.I.90º AI DC 400X100MM"</f>
        <v>C. V.I.90º AI DC 400X100MM</v>
      </c>
      <c r="C3730" s="2" t="str">
        <f t="shared" si="149"/>
        <v>UN</v>
      </c>
      <c r="D3730" s="7">
        <v>811</v>
      </c>
      <c r="E3730" s="3">
        <v>8</v>
      </c>
      <c r="F3730" s="3">
        <v>8</v>
      </c>
      <c r="G3730" t="s">
        <v>514</v>
      </c>
    </row>
    <row r="3731" spans="1:7" x14ac:dyDescent="0.25">
      <c r="A3731" s="1" t="str">
        <f>"521006"</f>
        <v>521006</v>
      </c>
      <c r="B3731" s="2" t="str">
        <f>"C. V.I.90º GF 100X50MM"</f>
        <v>C. V.I.90º GF 100X50MM</v>
      </c>
      <c r="C3731" s="2" t="str">
        <f t="shared" si="149"/>
        <v>UN</v>
      </c>
      <c r="D3731" s="7">
        <v>811</v>
      </c>
      <c r="E3731" s="3">
        <v>8</v>
      </c>
      <c r="F3731" s="3">
        <v>8</v>
      </c>
      <c r="G3731" t="s">
        <v>515</v>
      </c>
    </row>
    <row r="3732" spans="1:7" x14ac:dyDescent="0.25">
      <c r="A3732" s="1" t="str">
        <f>"527058"</f>
        <v>527058</v>
      </c>
      <c r="B3732" s="2" t="str">
        <f>"C. V.I.90º GF 30X30MM"</f>
        <v>C. V.I.90º GF 30X30MM</v>
      </c>
      <c r="C3732" s="2" t="str">
        <f t="shared" si="149"/>
        <v>UN</v>
      </c>
      <c r="D3732" s="7">
        <v>811</v>
      </c>
      <c r="E3732" s="3">
        <v>8</v>
      </c>
      <c r="F3732" s="3">
        <v>8</v>
      </c>
      <c r="G3732" t="s">
        <v>512</v>
      </c>
    </row>
    <row r="3733" spans="1:7" x14ac:dyDescent="0.25">
      <c r="A3733" s="1" t="str">
        <f>"521000"</f>
        <v>521000</v>
      </c>
      <c r="B3733" s="2" t="str">
        <f>"C. V.I.90º GF 50X50MM"</f>
        <v>C. V.I.90º GF 50X50MM</v>
      </c>
      <c r="C3733" s="2" t="str">
        <f t="shared" ref="C3733:C3764" si="150">"UN"</f>
        <v>UN</v>
      </c>
      <c r="D3733" s="7">
        <v>811</v>
      </c>
      <c r="E3733" s="3">
        <v>8</v>
      </c>
      <c r="F3733" s="3">
        <v>8</v>
      </c>
      <c r="G3733" t="s">
        <v>516</v>
      </c>
    </row>
    <row r="3734" spans="1:7" x14ac:dyDescent="0.25">
      <c r="A3734" s="1" t="str">
        <f>"522765"</f>
        <v>522765</v>
      </c>
      <c r="B3734" s="2" t="str">
        <f>"C. V.I.90º GF 50X50MM"</f>
        <v>C. V.I.90º GF 50X50MM</v>
      </c>
      <c r="C3734" s="2" t="str">
        <f t="shared" si="150"/>
        <v>UN</v>
      </c>
      <c r="D3734" s="7">
        <v>811</v>
      </c>
      <c r="E3734" s="3">
        <v>8</v>
      </c>
      <c r="F3734" s="3">
        <v>8</v>
      </c>
      <c r="G3734" t="s">
        <v>515</v>
      </c>
    </row>
    <row r="3735" spans="1:7" x14ac:dyDescent="0.25">
      <c r="A3735" s="1" t="str">
        <f>"524756"</f>
        <v>524756</v>
      </c>
      <c r="B3735" s="2" t="str">
        <f>"C.H. 90° AI DC 200X50MM"</f>
        <v>C.H. 90° AI DC 200X50MM</v>
      </c>
      <c r="C3735" s="2" t="str">
        <f t="shared" si="150"/>
        <v>UN</v>
      </c>
      <c r="D3735" s="7">
        <v>811</v>
      </c>
      <c r="E3735" s="3">
        <v>8</v>
      </c>
      <c r="F3735" s="3">
        <v>8</v>
      </c>
      <c r="G3735" t="s">
        <v>514</v>
      </c>
    </row>
    <row r="3736" spans="1:7" x14ac:dyDescent="0.25">
      <c r="A3736" s="1" t="str">
        <f>"524941"</f>
        <v>524941</v>
      </c>
      <c r="B3736" s="2" t="str">
        <f>"C.H. 90° GF 200X50MM"</f>
        <v>C.H. 90° GF 200X50MM</v>
      </c>
      <c r="C3736" s="2" t="str">
        <f t="shared" si="150"/>
        <v>UN</v>
      </c>
      <c r="D3736" s="7">
        <v>811</v>
      </c>
      <c r="E3736" s="3">
        <v>10</v>
      </c>
      <c r="F3736" s="3">
        <v>10</v>
      </c>
      <c r="G3736" t="s">
        <v>512</v>
      </c>
    </row>
    <row r="3737" spans="1:7" x14ac:dyDescent="0.25">
      <c r="A3737" s="1" t="str">
        <f>"520997"</f>
        <v>520997</v>
      </c>
      <c r="B3737" s="2" t="str">
        <f>"C.H. 90º R= 320MM"</f>
        <v>C.H. 90º R= 320MM</v>
      </c>
      <c r="C3737" s="2" t="str">
        <f t="shared" si="150"/>
        <v>UN</v>
      </c>
      <c r="D3737" s="7">
        <v>811</v>
      </c>
      <c r="E3737" s="3">
        <v>8</v>
      </c>
      <c r="F3737" s="3">
        <v>8</v>
      </c>
      <c r="G3737" t="s">
        <v>513</v>
      </c>
    </row>
    <row r="3738" spans="1:7" x14ac:dyDescent="0.25">
      <c r="A3738" s="1" t="str">
        <f>"521975"</f>
        <v>521975</v>
      </c>
      <c r="B3738" s="2" t="str">
        <f>"C.H.45º AI DC 100X100MM"</f>
        <v>C.H.45º AI DC 100X100MM</v>
      </c>
      <c r="C3738" s="2" t="str">
        <f t="shared" si="150"/>
        <v>UN</v>
      </c>
      <c r="D3738" s="7">
        <v>811</v>
      </c>
      <c r="E3738" s="3">
        <v>8</v>
      </c>
      <c r="F3738" s="3">
        <v>8</v>
      </c>
      <c r="G3738" t="s">
        <v>514</v>
      </c>
    </row>
    <row r="3739" spans="1:7" x14ac:dyDescent="0.25">
      <c r="A3739" s="1" t="str">
        <f>"522147"</f>
        <v>522147</v>
      </c>
      <c r="B3739" s="2" t="str">
        <f>"C.H.45º AI DC 50X50MM"</f>
        <v>C.H.45º AI DC 50X50MM</v>
      </c>
      <c r="C3739" s="2" t="str">
        <f t="shared" si="150"/>
        <v>UN</v>
      </c>
      <c r="D3739" s="7">
        <v>811</v>
      </c>
      <c r="E3739" s="3">
        <v>8</v>
      </c>
      <c r="F3739" s="3">
        <v>8</v>
      </c>
      <c r="G3739" t="s">
        <v>514</v>
      </c>
    </row>
    <row r="3740" spans="1:7" x14ac:dyDescent="0.25">
      <c r="A3740" s="1" t="str">
        <f>"526240"</f>
        <v>526240</v>
      </c>
      <c r="B3740" s="2" t="str">
        <f>"C.H.45º GF 100X50MM"</f>
        <v>C.H.45º GF 100X50MM</v>
      </c>
      <c r="C3740" s="2" t="str">
        <f t="shared" si="150"/>
        <v>UN</v>
      </c>
      <c r="D3740" s="7">
        <v>811</v>
      </c>
      <c r="E3740" s="3">
        <v>8</v>
      </c>
      <c r="F3740" s="3">
        <v>8</v>
      </c>
      <c r="G3740" t="s">
        <v>512</v>
      </c>
    </row>
    <row r="3741" spans="1:7" x14ac:dyDescent="0.25">
      <c r="A3741" s="1" t="str">
        <f>"521974"</f>
        <v>521974</v>
      </c>
      <c r="B3741" s="2" t="str">
        <f>"C.H.90º AI DC 100X100MM"</f>
        <v>C.H.90º AI DC 100X100MM</v>
      </c>
      <c r="C3741" s="2" t="str">
        <f t="shared" si="150"/>
        <v>UN</v>
      </c>
      <c r="D3741" s="7">
        <v>811</v>
      </c>
      <c r="E3741" s="3">
        <v>8</v>
      </c>
      <c r="F3741" s="3">
        <v>8</v>
      </c>
      <c r="G3741" t="s">
        <v>513</v>
      </c>
    </row>
    <row r="3742" spans="1:7" x14ac:dyDescent="0.25">
      <c r="A3742" s="1" t="str">
        <f>"521211"</f>
        <v>521211</v>
      </c>
      <c r="B3742" s="2" t="str">
        <f>"C.H.90º AI DC 200X100MM"</f>
        <v>C.H.90º AI DC 200X100MM</v>
      </c>
      <c r="C3742" s="2" t="str">
        <f t="shared" si="150"/>
        <v>UN</v>
      </c>
      <c r="D3742" s="7">
        <v>811</v>
      </c>
      <c r="E3742" s="3">
        <v>8</v>
      </c>
      <c r="F3742" s="3">
        <v>8</v>
      </c>
      <c r="G3742" t="s">
        <v>514</v>
      </c>
    </row>
    <row r="3743" spans="1:7" x14ac:dyDescent="0.25">
      <c r="A3743" s="1" t="str">
        <f>"522821"</f>
        <v>522821</v>
      </c>
      <c r="B3743" s="2" t="str">
        <f>"C.H.90º AI DC 30X30MM"</f>
        <v>C.H.90º AI DC 30X30MM</v>
      </c>
      <c r="C3743" s="2" t="str">
        <f t="shared" si="150"/>
        <v>UN</v>
      </c>
      <c r="D3743" s="7">
        <v>811</v>
      </c>
      <c r="E3743" s="3">
        <v>10</v>
      </c>
      <c r="F3743" s="3">
        <v>10</v>
      </c>
      <c r="G3743" t="s">
        <v>514</v>
      </c>
    </row>
    <row r="3744" spans="1:7" x14ac:dyDescent="0.25">
      <c r="A3744" s="1" t="str">
        <f>"522823"</f>
        <v>522823</v>
      </c>
      <c r="B3744" s="2" t="str">
        <f>"C.H.90º AI DC 30X30MM"</f>
        <v>C.H.90º AI DC 30X30MM</v>
      </c>
      <c r="C3744" s="2" t="str">
        <f t="shared" si="150"/>
        <v>UN</v>
      </c>
      <c r="D3744" s="7">
        <v>811</v>
      </c>
      <c r="E3744" s="3">
        <v>10</v>
      </c>
      <c r="F3744" s="3">
        <v>10</v>
      </c>
      <c r="G3744" t="s">
        <v>514</v>
      </c>
    </row>
    <row r="3745" spans="1:7" x14ac:dyDescent="0.25">
      <c r="A3745" s="1" t="str">
        <f>"521972"</f>
        <v>521972</v>
      </c>
      <c r="B3745" s="2" t="str">
        <f>"C.H.90º AI DC 50X50MM"</f>
        <v>C.H.90º AI DC 50X50MM</v>
      </c>
      <c r="C3745" s="2" t="str">
        <f t="shared" si="150"/>
        <v>UN</v>
      </c>
      <c r="D3745" s="7">
        <v>811</v>
      </c>
      <c r="E3745" s="3">
        <v>8</v>
      </c>
      <c r="F3745" s="3">
        <v>8</v>
      </c>
      <c r="G3745" t="s">
        <v>513</v>
      </c>
    </row>
    <row r="3746" spans="1:7" x14ac:dyDescent="0.25">
      <c r="A3746" s="1" t="str">
        <f>"526607"</f>
        <v>526607</v>
      </c>
      <c r="B3746" s="2" t="str">
        <f>"C.H.90º GE 50X50MM"</f>
        <v>C.H.90º GE 50X50MM</v>
      </c>
      <c r="C3746" s="2" t="str">
        <f t="shared" si="150"/>
        <v>UN</v>
      </c>
      <c r="D3746" s="7">
        <v>811</v>
      </c>
      <c r="E3746" s="3">
        <v>8</v>
      </c>
      <c r="F3746" s="3">
        <v>8</v>
      </c>
      <c r="G3746" t="s">
        <v>512</v>
      </c>
    </row>
    <row r="3747" spans="1:7" x14ac:dyDescent="0.25">
      <c r="A3747" s="1" t="str">
        <f>"522769"</f>
        <v>522769</v>
      </c>
      <c r="B3747" s="2" t="str">
        <f>"C.H.90º GF 100X100MM"</f>
        <v>C.H.90º GF 100X100MM</v>
      </c>
      <c r="C3747" s="2" t="str">
        <f t="shared" si="150"/>
        <v>UN</v>
      </c>
      <c r="D3747" s="7">
        <v>811</v>
      </c>
      <c r="E3747" s="3">
        <v>8</v>
      </c>
      <c r="F3747" s="3">
        <v>8</v>
      </c>
      <c r="G3747" t="s">
        <v>513</v>
      </c>
    </row>
    <row r="3748" spans="1:7" x14ac:dyDescent="0.25">
      <c r="A3748" s="1" t="str">
        <f>"521009"</f>
        <v>521009</v>
      </c>
      <c r="B3748" s="2" t="str">
        <f>"C.H.90º GF 100X50MM"</f>
        <v>C.H.90º GF 100X50MM</v>
      </c>
      <c r="C3748" s="2" t="str">
        <f t="shared" si="150"/>
        <v>UN</v>
      </c>
      <c r="D3748" s="7">
        <v>811</v>
      </c>
      <c r="E3748" s="3">
        <v>8</v>
      </c>
      <c r="F3748" s="3">
        <v>8</v>
      </c>
      <c r="G3748" t="s">
        <v>514</v>
      </c>
    </row>
    <row r="3749" spans="1:7" x14ac:dyDescent="0.25">
      <c r="A3749" s="1" t="str">
        <f>"526608"</f>
        <v>526608</v>
      </c>
      <c r="B3749" s="2" t="str">
        <f>"C.H.90º GF 30X30MM"</f>
        <v>C.H.90º GF 30X30MM</v>
      </c>
      <c r="C3749" s="2" t="str">
        <f t="shared" si="150"/>
        <v>UN</v>
      </c>
      <c r="D3749" s="7">
        <v>811</v>
      </c>
      <c r="E3749" s="3">
        <v>8</v>
      </c>
      <c r="F3749" s="3">
        <v>8</v>
      </c>
      <c r="G3749" t="s">
        <v>514</v>
      </c>
    </row>
    <row r="3750" spans="1:7" x14ac:dyDescent="0.25">
      <c r="A3750" s="1" t="str">
        <f>"521003"</f>
        <v>521003</v>
      </c>
      <c r="B3750" s="2" t="str">
        <f>"C.H.90º GF 50X50MM"</f>
        <v>C.H.90º GF 50X50MM</v>
      </c>
      <c r="C3750" s="2" t="str">
        <f t="shared" si="150"/>
        <v>UN</v>
      </c>
      <c r="D3750" s="7">
        <v>811</v>
      </c>
      <c r="E3750" s="3">
        <v>8</v>
      </c>
      <c r="F3750" s="3">
        <v>8</v>
      </c>
      <c r="G3750" t="s">
        <v>514</v>
      </c>
    </row>
    <row r="3751" spans="1:7" x14ac:dyDescent="0.25">
      <c r="A3751" s="1" t="str">
        <f>"524755"</f>
        <v>524755</v>
      </c>
      <c r="B3751" s="2" t="str">
        <f>"C.V.E. 90° AI DC 200X50MM"</f>
        <v>C.V.E. 90° AI DC 200X50MM</v>
      </c>
      <c r="C3751" s="2" t="str">
        <f t="shared" si="150"/>
        <v>UN</v>
      </c>
      <c r="D3751" s="7">
        <v>811</v>
      </c>
      <c r="E3751" s="3">
        <v>8</v>
      </c>
      <c r="F3751" s="3">
        <v>8</v>
      </c>
      <c r="G3751" t="s">
        <v>513</v>
      </c>
    </row>
    <row r="3752" spans="1:7" x14ac:dyDescent="0.25">
      <c r="A3752" s="1" t="str">
        <f>"524954"</f>
        <v>524954</v>
      </c>
      <c r="B3752" s="2" t="str">
        <f>"C.V.E. 90° GF 200X50MM"</f>
        <v>C.V.E. 90° GF 200X50MM</v>
      </c>
      <c r="C3752" s="2" t="str">
        <f t="shared" si="150"/>
        <v>UN</v>
      </c>
      <c r="D3752" s="7">
        <v>811</v>
      </c>
      <c r="E3752" s="3">
        <v>10</v>
      </c>
      <c r="F3752" s="3">
        <v>10</v>
      </c>
      <c r="G3752" t="s">
        <v>513</v>
      </c>
    </row>
    <row r="3753" spans="1:7" x14ac:dyDescent="0.25">
      <c r="A3753" s="1" t="str">
        <f>"527527"</f>
        <v>527527</v>
      </c>
      <c r="B3753" s="2" t="str">
        <f>"C.V.E. 90° GF 30X30MM"</f>
        <v>C.V.E. 90° GF 30X30MM</v>
      </c>
      <c r="C3753" s="2" t="str">
        <f t="shared" si="150"/>
        <v>UN</v>
      </c>
      <c r="D3753" s="7">
        <v>811</v>
      </c>
      <c r="E3753" s="3">
        <v>8</v>
      </c>
      <c r="F3753" s="3">
        <v>8</v>
      </c>
      <c r="G3753" t="s">
        <v>513</v>
      </c>
    </row>
    <row r="3754" spans="1:7" x14ac:dyDescent="0.25">
      <c r="A3754" s="1" t="str">
        <f>"522281"</f>
        <v>522281</v>
      </c>
      <c r="B3754" s="2" t="str">
        <f>"C.V.E.90° AI DC 100X50MM"</f>
        <v>C.V.E.90° AI DC 100X50MM</v>
      </c>
      <c r="C3754" s="2" t="str">
        <f t="shared" si="150"/>
        <v>UN</v>
      </c>
      <c r="D3754" s="7">
        <v>811</v>
      </c>
      <c r="E3754" s="3">
        <v>8</v>
      </c>
      <c r="F3754" s="3">
        <v>8</v>
      </c>
      <c r="G3754" t="s">
        <v>512</v>
      </c>
    </row>
    <row r="3755" spans="1:7" x14ac:dyDescent="0.25">
      <c r="A3755" s="1" t="str">
        <f>"523193"</f>
        <v>523193</v>
      </c>
      <c r="B3755" s="2" t="str">
        <f>"C.V.E.90° AI DC 50X50MM"</f>
        <v>C.V.E.90° AI DC 50X50MM</v>
      </c>
      <c r="C3755" s="2" t="str">
        <f t="shared" si="150"/>
        <v>UN</v>
      </c>
      <c r="D3755" s="7">
        <v>811</v>
      </c>
      <c r="E3755" s="3">
        <v>8</v>
      </c>
      <c r="F3755" s="3">
        <v>8</v>
      </c>
      <c r="G3755" t="s">
        <v>513</v>
      </c>
    </row>
    <row r="3756" spans="1:7" x14ac:dyDescent="0.25">
      <c r="A3756" s="1" t="str">
        <f>"524931"</f>
        <v>524931</v>
      </c>
      <c r="B3756" s="2" t="str">
        <f>"C.V.E.90° GF 100X50MM"</f>
        <v>C.V.E.90° GF 100X50MM</v>
      </c>
      <c r="C3756" s="2" t="str">
        <f t="shared" si="150"/>
        <v>UN</v>
      </c>
      <c r="D3756" s="7">
        <v>811</v>
      </c>
      <c r="E3756" s="3">
        <v>10</v>
      </c>
      <c r="F3756" s="3">
        <v>10</v>
      </c>
      <c r="G3756" t="s">
        <v>514</v>
      </c>
    </row>
    <row r="3757" spans="1:7" x14ac:dyDescent="0.25">
      <c r="A3757" s="1" t="str">
        <f>"522767"</f>
        <v>522767</v>
      </c>
      <c r="B3757" s="2" t="str">
        <f>"C.V.E.90º GF 100X100MM"</f>
        <v>C.V.E.90º GF 100X100MM</v>
      </c>
      <c r="C3757" s="2" t="str">
        <f t="shared" si="150"/>
        <v>UN</v>
      </c>
      <c r="D3757" s="7">
        <v>811</v>
      </c>
      <c r="E3757" s="3">
        <v>8</v>
      </c>
      <c r="F3757" s="3">
        <v>8</v>
      </c>
      <c r="G3757" t="s">
        <v>515</v>
      </c>
    </row>
    <row r="3758" spans="1:7" x14ac:dyDescent="0.25">
      <c r="A3758" s="1" t="str">
        <f>"527405"</f>
        <v>527405</v>
      </c>
      <c r="B3758" s="2" t="str">
        <f>"C.V.E.90º GF 30X30MM"</f>
        <v>C.V.E.90º GF 30X30MM</v>
      </c>
      <c r="C3758" s="2" t="str">
        <f t="shared" si="150"/>
        <v>UN</v>
      </c>
      <c r="D3758" s="7">
        <v>811</v>
      </c>
      <c r="E3758" s="3">
        <v>8</v>
      </c>
      <c r="F3758" s="3">
        <v>8</v>
      </c>
      <c r="G3758" t="s">
        <v>512</v>
      </c>
    </row>
    <row r="3759" spans="1:7" x14ac:dyDescent="0.25">
      <c r="A3759" s="1" t="str">
        <f>"524757"</f>
        <v>524757</v>
      </c>
      <c r="B3759" s="2" t="str">
        <f>"C.V.I. 90° AI DC 200X50MM"</f>
        <v>C.V.I. 90° AI DC 200X50MM</v>
      </c>
      <c r="C3759" s="2" t="str">
        <f t="shared" si="150"/>
        <v>UN</v>
      </c>
      <c r="D3759" s="7">
        <v>811</v>
      </c>
      <c r="E3759" s="3">
        <v>8</v>
      </c>
      <c r="F3759" s="3">
        <v>8</v>
      </c>
      <c r="G3759" t="s">
        <v>516</v>
      </c>
    </row>
    <row r="3760" spans="1:7" x14ac:dyDescent="0.25">
      <c r="A3760" s="1" t="str">
        <f>"524759"</f>
        <v>524759</v>
      </c>
      <c r="B3760" s="2" t="str">
        <f>"C.V.I. AI DC 90° 100X50MM"</f>
        <v>C.V.I. AI DC 90° 100X50MM</v>
      </c>
      <c r="C3760" s="2" t="str">
        <f t="shared" si="150"/>
        <v>UN</v>
      </c>
      <c r="D3760" s="7">
        <v>811</v>
      </c>
      <c r="E3760" s="3">
        <v>8</v>
      </c>
      <c r="F3760" s="3">
        <v>8</v>
      </c>
      <c r="G3760" t="s">
        <v>515</v>
      </c>
    </row>
    <row r="3761" spans="1:7" x14ac:dyDescent="0.25">
      <c r="A3761" s="1" t="str">
        <f>"524939"</f>
        <v>524939</v>
      </c>
      <c r="B3761" s="2" t="str">
        <f>"C.V.I. GF 90° 100X50MM"</f>
        <v>C.V.I. GF 90° 100X50MM</v>
      </c>
      <c r="C3761" s="2" t="str">
        <f t="shared" si="150"/>
        <v>UN</v>
      </c>
      <c r="D3761" s="7">
        <v>811</v>
      </c>
      <c r="E3761" s="3">
        <v>10</v>
      </c>
      <c r="F3761" s="3">
        <v>10</v>
      </c>
      <c r="G3761" t="s">
        <v>514</v>
      </c>
    </row>
    <row r="3762" spans="1:7" x14ac:dyDescent="0.25">
      <c r="A3762" s="1" t="str">
        <f>"522280"</f>
        <v>522280</v>
      </c>
      <c r="B3762" s="2" t="str">
        <f>"C.V.I.90° AI DC 50X50MM"</f>
        <v>C.V.I.90° AI DC 50X50MM</v>
      </c>
      <c r="C3762" s="2" t="str">
        <f t="shared" si="150"/>
        <v>UN</v>
      </c>
      <c r="D3762" s="7">
        <v>811</v>
      </c>
      <c r="E3762" s="3">
        <v>8</v>
      </c>
      <c r="F3762" s="3">
        <v>8</v>
      </c>
      <c r="G3762" t="s">
        <v>512</v>
      </c>
    </row>
    <row r="3763" spans="1:7" x14ac:dyDescent="0.25">
      <c r="A3763" s="1" t="str">
        <f>"522275"</f>
        <v>522275</v>
      </c>
      <c r="B3763" s="2" t="str">
        <f>"C.V.I.90° AL DC 200X100MM"</f>
        <v>C.V.I.90° AL DC 200X100MM</v>
      </c>
      <c r="C3763" s="2" t="str">
        <f t="shared" si="150"/>
        <v>UN</v>
      </c>
      <c r="D3763" s="7">
        <v>811</v>
      </c>
      <c r="E3763" s="3">
        <v>8</v>
      </c>
      <c r="F3763" s="3">
        <v>8</v>
      </c>
      <c r="G3763" t="s">
        <v>513</v>
      </c>
    </row>
    <row r="3764" spans="1:7" x14ac:dyDescent="0.25">
      <c r="A3764" s="1" t="str">
        <f>"522148"</f>
        <v>522148</v>
      </c>
      <c r="B3764" s="2" t="str">
        <f>"C.V.I.90º AI DC 50X50MM"</f>
        <v>C.V.I.90º AI DC 50X50MM</v>
      </c>
      <c r="C3764" s="2" t="str">
        <f t="shared" si="150"/>
        <v>UN</v>
      </c>
      <c r="D3764" s="7">
        <v>811</v>
      </c>
      <c r="E3764" s="3">
        <v>8</v>
      </c>
      <c r="F3764" s="3">
        <v>8</v>
      </c>
      <c r="G3764" t="s">
        <v>514</v>
      </c>
    </row>
    <row r="3765" spans="1:7" x14ac:dyDescent="0.25">
      <c r="A3765" s="1" t="str">
        <f>"522768"</f>
        <v>522768</v>
      </c>
      <c r="B3765" s="2" t="str">
        <f>"C.V.I.90º GF 100X100MM"</f>
        <v>C.V.I.90º GF 100X100MM</v>
      </c>
      <c r="C3765" s="2" t="str">
        <f t="shared" ref="C3765:C3792" si="151">"UN"</f>
        <v>UN</v>
      </c>
      <c r="D3765" s="7">
        <v>811</v>
      </c>
      <c r="E3765" s="3">
        <v>8</v>
      </c>
      <c r="F3765" s="3">
        <v>8</v>
      </c>
      <c r="G3765" t="s">
        <v>514</v>
      </c>
    </row>
    <row r="3766" spans="1:7" x14ac:dyDescent="0.25">
      <c r="A3766" s="1" t="str">
        <f>"525589"</f>
        <v>525589</v>
      </c>
      <c r="B3766" s="2" t="str">
        <f>"CABEÇA DE DOSAGEM"</f>
        <v>CABEÇA DE DOSAGEM</v>
      </c>
      <c r="C3766" s="2" t="str">
        <f t="shared" si="151"/>
        <v>UN</v>
      </c>
      <c r="D3766" s="7">
        <v>1300</v>
      </c>
      <c r="E3766" s="3">
        <v>10</v>
      </c>
      <c r="F3766" s="3">
        <v>10</v>
      </c>
      <c r="G3766" t="s">
        <v>512</v>
      </c>
    </row>
    <row r="3767" spans="1:7" x14ac:dyDescent="0.25">
      <c r="A3767" s="1" t="str">
        <f>"516928"</f>
        <v>516928</v>
      </c>
      <c r="B3767" s="2" t="str">
        <f>"CABEÇAL DE APOIO RETANGULAR DF 48,3MM"</f>
        <v>CABEÇAL DE APOIO RETANGULAR DF 48,3MM</v>
      </c>
      <c r="C3767" s="2" t="str">
        <f t="shared" si="151"/>
        <v>UN</v>
      </c>
      <c r="D3767" s="7">
        <v>918</v>
      </c>
      <c r="E3767" s="3">
        <v>11</v>
      </c>
      <c r="F3767" s="3">
        <v>11</v>
      </c>
      <c r="G3767" t="s">
        <v>513</v>
      </c>
    </row>
    <row r="3768" spans="1:7" x14ac:dyDescent="0.25">
      <c r="A3768" s="1" t="str">
        <f>"518568"</f>
        <v>518568</v>
      </c>
      <c r="B3768" s="2" t="str">
        <f>"CABECEIRA CALHA PISO DN200X100MM"</f>
        <v>CABECEIRA CALHA PISO DN200X100MM</v>
      </c>
      <c r="C3768" s="2" t="str">
        <f t="shared" si="151"/>
        <v>UN</v>
      </c>
      <c r="D3768" s="7">
        <v>917</v>
      </c>
      <c r="E3768" s="3">
        <v>10</v>
      </c>
      <c r="F3768" s="3">
        <v>10</v>
      </c>
      <c r="G3768" t="s">
        <v>514</v>
      </c>
    </row>
    <row r="3769" spans="1:7" x14ac:dyDescent="0.25">
      <c r="A3769" s="1" t="str">
        <f>"524037"</f>
        <v>524037</v>
      </c>
      <c r="B3769" s="2" t="str">
        <f>"CABECEIRA DIREITA 575429.01"</f>
        <v>CABECEIRA DIREITA 575429.01</v>
      </c>
      <c r="C3769" s="2" t="str">
        <f t="shared" si="151"/>
        <v>UN</v>
      </c>
      <c r="D3769" s="7">
        <v>99999</v>
      </c>
      <c r="E3769" s="3">
        <v>99</v>
      </c>
      <c r="F3769" s="3">
        <v>99</v>
      </c>
      <c r="G3769" t="s">
        <v>514</v>
      </c>
    </row>
    <row r="3770" spans="1:7" x14ac:dyDescent="0.25">
      <c r="A3770" s="1" t="str">
        <f>"521828"</f>
        <v>521828</v>
      </c>
      <c r="B3770" s="2" t="str">
        <f>"CABECEIRA DIREITA 575431.01"</f>
        <v>CABECEIRA DIREITA 575431.01</v>
      </c>
      <c r="C3770" s="2" t="str">
        <f t="shared" si="151"/>
        <v>UN</v>
      </c>
      <c r="D3770" s="7">
        <v>99999</v>
      </c>
      <c r="E3770" s="3">
        <v>99</v>
      </c>
      <c r="F3770" s="3">
        <v>99</v>
      </c>
      <c r="G3770" t="s">
        <v>514</v>
      </c>
    </row>
    <row r="3771" spans="1:7" x14ac:dyDescent="0.25">
      <c r="A3771" s="1" t="str">
        <f>"524038"</f>
        <v>524038</v>
      </c>
      <c r="B3771" s="2" t="str">
        <f>"CABECEIRA ESQUERDA 575429.02"</f>
        <v>CABECEIRA ESQUERDA 575429.02</v>
      </c>
      <c r="C3771" s="2" t="str">
        <f t="shared" si="151"/>
        <v>UN</v>
      </c>
      <c r="D3771" s="7">
        <v>99999</v>
      </c>
      <c r="E3771" s="3">
        <v>99</v>
      </c>
      <c r="F3771" s="3">
        <v>99</v>
      </c>
      <c r="G3771" t="s">
        <v>513</v>
      </c>
    </row>
    <row r="3772" spans="1:7" x14ac:dyDescent="0.25">
      <c r="A3772" s="1" t="str">
        <f>"521829"</f>
        <v>521829</v>
      </c>
      <c r="B3772" s="2" t="str">
        <f>"CABECEIRA ESQUERDA 575431.02"</f>
        <v>CABECEIRA ESQUERDA 575431.02</v>
      </c>
      <c r="C3772" s="2" t="str">
        <f t="shared" si="151"/>
        <v>UN</v>
      </c>
      <c r="D3772" s="7">
        <v>99999</v>
      </c>
      <c r="E3772" s="3">
        <v>99</v>
      </c>
      <c r="F3772" s="3">
        <v>99</v>
      </c>
      <c r="G3772" t="s">
        <v>512</v>
      </c>
    </row>
    <row r="3773" spans="1:7" x14ac:dyDescent="0.25">
      <c r="A3773" s="1" t="str">
        <f>"501547"</f>
        <v>501547</v>
      </c>
      <c r="B3773" s="2" t="str">
        <f>"CABEÇOTE"</f>
        <v>CABEÇOTE</v>
      </c>
      <c r="C3773" s="2" t="str">
        <f t="shared" si="151"/>
        <v>UN</v>
      </c>
      <c r="D3773" s="7">
        <v>704</v>
      </c>
      <c r="E3773" s="3">
        <v>9</v>
      </c>
      <c r="F3773" s="3">
        <v>9</v>
      </c>
      <c r="G3773" t="s">
        <v>513</v>
      </c>
    </row>
    <row r="3774" spans="1:7" x14ac:dyDescent="0.25">
      <c r="A3774" s="1" t="str">
        <f>"511824"</f>
        <v>511824</v>
      </c>
      <c r="B3774" s="2" t="str">
        <f>"CABECOTE ASPIRAÇAO MS034/036/360/038"</f>
        <v>CABECOTE ASPIRAÇAO MS034/036/360/038</v>
      </c>
      <c r="C3774" s="2" t="str">
        <f t="shared" si="151"/>
        <v>UN</v>
      </c>
      <c r="D3774" s="7">
        <v>402</v>
      </c>
      <c r="E3774" s="3">
        <v>4</v>
      </c>
      <c r="F3774" s="3">
        <v>4</v>
      </c>
      <c r="G3774" t="s">
        <v>514</v>
      </c>
    </row>
    <row r="3775" spans="1:7" x14ac:dyDescent="0.25">
      <c r="A3775" s="1" t="str">
        <f>"511740"</f>
        <v>511740</v>
      </c>
      <c r="B3775" s="2" t="str">
        <f>"CABEÇOTE ASPIRAÇAO MS034/036/360/038"</f>
        <v>CABEÇOTE ASPIRAÇAO MS034/036/360/038</v>
      </c>
      <c r="C3775" s="2" t="str">
        <f t="shared" si="151"/>
        <v>UN</v>
      </c>
      <c r="D3775" s="7">
        <v>402</v>
      </c>
      <c r="E3775" s="3">
        <v>4</v>
      </c>
      <c r="F3775" s="3">
        <v>4</v>
      </c>
      <c r="G3775" t="s">
        <v>514</v>
      </c>
    </row>
    <row r="3776" spans="1:7" x14ac:dyDescent="0.25">
      <c r="A3776" s="1" t="str">
        <f>"527466"</f>
        <v>527466</v>
      </c>
      <c r="B3776" s="2" t="str">
        <f>"CABEÇOTE AUTOMATICO 24V VALVULA KEYSTONE 2"" 2287215"</f>
        <v>CABEÇOTE AUTOMATICO 24V VALVULA KEYSTONE 2" 2287215</v>
      </c>
      <c r="C3776" s="2" t="str">
        <f t="shared" si="151"/>
        <v>UN</v>
      </c>
      <c r="D3776" s="7">
        <v>807</v>
      </c>
      <c r="E3776" s="3">
        <v>11</v>
      </c>
      <c r="F3776" s="3">
        <v>11</v>
      </c>
      <c r="G3776" t="s">
        <v>514</v>
      </c>
    </row>
    <row r="3777" spans="1:7" x14ac:dyDescent="0.25">
      <c r="A3777" s="1" t="str">
        <f>"527465"</f>
        <v>527465</v>
      </c>
      <c r="B3777" s="2" t="str">
        <f>"CABEÇOTE AUTOMATICO ASI VALVULA KEYSTONE 1 1/2"" 2287216"</f>
        <v>CABEÇOTE AUTOMATICO ASI VALVULA KEYSTONE 1 1/2" 2287216</v>
      </c>
      <c r="C3777" s="2" t="str">
        <f t="shared" si="151"/>
        <v>UN</v>
      </c>
      <c r="D3777" s="7">
        <v>807</v>
      </c>
      <c r="E3777" s="3">
        <v>11</v>
      </c>
      <c r="F3777" s="3">
        <v>11</v>
      </c>
      <c r="G3777" t="s">
        <v>513</v>
      </c>
    </row>
    <row r="3778" spans="1:7" x14ac:dyDescent="0.25">
      <c r="A3778" s="1" t="str">
        <f>"501548"</f>
        <v>501548</v>
      </c>
      <c r="B3778" s="2" t="str">
        <f>"CABEÇOTE C/ UMBILICAL 3M CIJ VJ 1510 (SEM MODULOS)"</f>
        <v>CABEÇOTE C/ UMBILICAL 3M CIJ VJ 1510 (SEM MODULOS)</v>
      </c>
      <c r="C3778" s="2" t="str">
        <f t="shared" si="151"/>
        <v>UN</v>
      </c>
      <c r="D3778" s="7">
        <v>811</v>
      </c>
      <c r="E3778" s="3">
        <v>8</v>
      </c>
      <c r="F3778" s="3">
        <v>8</v>
      </c>
      <c r="G3778" t="s">
        <v>513</v>
      </c>
    </row>
    <row r="3779" spans="1:7" x14ac:dyDescent="0.25">
      <c r="A3779" s="1" t="str">
        <f>"504553"</f>
        <v>504553</v>
      </c>
      <c r="B3779" s="2" t="str">
        <f>"CABECOTE COMPRESSOR"</f>
        <v>CABECOTE COMPRESSOR</v>
      </c>
      <c r="C3779" s="2" t="str">
        <f t="shared" si="151"/>
        <v>UN</v>
      </c>
      <c r="D3779" s="7">
        <v>704</v>
      </c>
      <c r="E3779" s="3">
        <v>9</v>
      </c>
      <c r="F3779" s="3">
        <v>9</v>
      </c>
      <c r="G3779" t="s">
        <v>513</v>
      </c>
    </row>
    <row r="3780" spans="1:7" x14ac:dyDescent="0.25">
      <c r="A3780" s="1" t="str">
        <f>"514836"</f>
        <v>514836</v>
      </c>
      <c r="B3780" s="2" t="str">
        <f>"CABEÇOTE DE ALUMINIO 1.1/4"</f>
        <v>CABEÇOTE DE ALUMINIO 1.1/4</v>
      </c>
      <c r="C3780" s="2" t="str">
        <f t="shared" si="151"/>
        <v>UN</v>
      </c>
      <c r="D3780" s="7">
        <v>811</v>
      </c>
      <c r="E3780" s="3">
        <v>8</v>
      </c>
      <c r="F3780" s="3">
        <v>8</v>
      </c>
      <c r="G3780" t="s">
        <v>512</v>
      </c>
    </row>
    <row r="3781" spans="1:7" x14ac:dyDescent="0.25">
      <c r="A3781" s="1" t="str">
        <f>"514835"</f>
        <v>514835</v>
      </c>
      <c r="B3781" s="2" t="str">
        <f>"CABEÇOTE DE ALUMINIO 3/4"</f>
        <v>CABEÇOTE DE ALUMINIO 3/4</v>
      </c>
      <c r="C3781" s="2" t="str">
        <f t="shared" si="151"/>
        <v>UN</v>
      </c>
      <c r="D3781" s="7">
        <v>811</v>
      </c>
      <c r="E3781" s="3">
        <v>8</v>
      </c>
      <c r="F3781" s="3">
        <v>8</v>
      </c>
      <c r="G3781" t="s">
        <v>513</v>
      </c>
    </row>
    <row r="3782" spans="1:7" x14ac:dyDescent="0.25">
      <c r="A3782" s="1" t="str">
        <f>"521304"</f>
        <v>521304</v>
      </c>
      <c r="B3782" s="2" t="str">
        <f>"CABEÇOTE DE ASPIRAÇÃO AÇO INOXIDAVEL PBIB23236"</f>
        <v>CABEÇOTE DE ASPIRAÇÃO AÇO INOXIDAVEL PBIB23236</v>
      </c>
      <c r="C3782" s="2" t="str">
        <f t="shared" si="151"/>
        <v>UN</v>
      </c>
      <c r="D3782" s="7">
        <v>1300</v>
      </c>
      <c r="E3782" s="3">
        <v>13</v>
      </c>
      <c r="F3782" s="3">
        <v>13</v>
      </c>
      <c r="G3782" t="s">
        <v>514</v>
      </c>
    </row>
    <row r="3783" spans="1:7" x14ac:dyDescent="0.25">
      <c r="A3783" s="1" t="str">
        <f>"526768"</f>
        <v>526768</v>
      </c>
      <c r="B3783" s="2" t="str">
        <f>"CABEÇOTE DIGITAL. DG 40.000 3"""</f>
        <v>CABEÇOTE DIGITAL. DG 40.000 3"</v>
      </c>
      <c r="C3783" s="2" t="str">
        <f t="shared" si="151"/>
        <v>UN</v>
      </c>
      <c r="D3783" s="7">
        <v>811</v>
      </c>
      <c r="E3783" s="3">
        <v>8</v>
      </c>
      <c r="F3783" s="3">
        <v>8</v>
      </c>
      <c r="G3783" t="s">
        <v>515</v>
      </c>
    </row>
    <row r="3784" spans="1:7" x14ac:dyDescent="0.25">
      <c r="A3784" s="1" t="str">
        <f>"510659"</f>
        <v>510659</v>
      </c>
      <c r="B3784" s="2" t="str">
        <f>"CABEÇOTE DUPLO 1000GR - PAC 1"</f>
        <v>CABEÇOTE DUPLO 1000GR - PAC 1</v>
      </c>
      <c r="C3784" s="2" t="str">
        <f t="shared" si="151"/>
        <v>UN</v>
      </c>
      <c r="D3784" s="7">
        <v>918</v>
      </c>
      <c r="E3784" s="3">
        <v>11</v>
      </c>
      <c r="F3784" s="3">
        <v>11</v>
      </c>
      <c r="G3784" t="s">
        <v>512</v>
      </c>
    </row>
    <row r="3785" spans="1:7" x14ac:dyDescent="0.25">
      <c r="A3785" s="1" t="str">
        <f>"508014"</f>
        <v>508014</v>
      </c>
      <c r="B3785" s="2" t="str">
        <f>"CABEÇOTE MAQ. INDUÇÃO CANAL AB 1377-5 MAXIMO 51MM"</f>
        <v>CABEÇOTE MAQ. INDUÇÃO CANAL AB 1377-5 MAXIMO 51MM</v>
      </c>
      <c r="C3785" s="2" t="str">
        <f t="shared" si="151"/>
        <v>UN</v>
      </c>
      <c r="D3785" s="7">
        <v>918</v>
      </c>
      <c r="E3785" s="3">
        <v>11</v>
      </c>
      <c r="F3785" s="3">
        <v>11</v>
      </c>
      <c r="G3785" t="s">
        <v>516</v>
      </c>
    </row>
    <row r="3786" spans="1:7" x14ac:dyDescent="0.25">
      <c r="A3786" s="1" t="str">
        <f>"519866"</f>
        <v>519866</v>
      </c>
      <c r="B3786" s="2" t="str">
        <f>"CABEÇOTE UMBILICAL 3M CIJ 1210"</f>
        <v>CABEÇOTE UMBILICAL 3M CIJ 1210</v>
      </c>
      <c r="C3786" s="2" t="str">
        <f t="shared" si="151"/>
        <v>UN</v>
      </c>
      <c r="D3786" s="7">
        <v>811</v>
      </c>
      <c r="E3786" s="3">
        <v>8</v>
      </c>
      <c r="F3786" s="3">
        <v>8</v>
      </c>
      <c r="G3786" t="s">
        <v>515</v>
      </c>
    </row>
    <row r="3787" spans="1:7" x14ac:dyDescent="0.25">
      <c r="A3787" s="1" t="str">
        <f>"517713"</f>
        <v>517713</v>
      </c>
      <c r="B3787" s="2" t="str">
        <f>"CABIDE CERAMICA BRANCO CD7025 A8XD5,7CM"</f>
        <v>CABIDE CERAMICA BRANCO CD7025 A8XD5,7CM</v>
      </c>
      <c r="C3787" s="2" t="str">
        <f t="shared" si="151"/>
        <v>UN</v>
      </c>
      <c r="D3787" s="7">
        <v>1200</v>
      </c>
      <c r="E3787" s="3">
        <v>4</v>
      </c>
      <c r="F3787" s="3">
        <v>4</v>
      </c>
      <c r="G3787" t="s">
        <v>514</v>
      </c>
    </row>
    <row r="3788" spans="1:7" x14ac:dyDescent="0.25">
      <c r="A3788" s="1" t="str">
        <f>"513570"</f>
        <v>513570</v>
      </c>
      <c r="B3788" s="2" t="str">
        <f>"CABIDE PLASTICO KIT C/3"</f>
        <v>CABIDE PLASTICO KIT C/3</v>
      </c>
      <c r="C3788" s="2" t="str">
        <f t="shared" si="151"/>
        <v>UN</v>
      </c>
      <c r="D3788" s="7">
        <v>99999</v>
      </c>
      <c r="E3788" s="3">
        <v>99</v>
      </c>
      <c r="F3788" s="3">
        <v>99</v>
      </c>
      <c r="G3788" t="s">
        <v>512</v>
      </c>
    </row>
    <row r="3789" spans="1:7" x14ac:dyDescent="0.25">
      <c r="A3789" s="1" t="str">
        <f>"519216"</f>
        <v>519216</v>
      </c>
      <c r="B3789" s="2" t="str">
        <f>"CABINA SEG. BIOL. BIOSEG 12 C/ AREA TRAB. INOX 304 110/220V"</f>
        <v>CABINA SEG. BIOL. BIOSEG 12 C/ AREA TRAB. INOX 304 110/220V</v>
      </c>
      <c r="C3789" s="2" t="str">
        <f t="shared" si="151"/>
        <v>UN</v>
      </c>
      <c r="D3789" s="7">
        <v>1700</v>
      </c>
      <c r="E3789" s="3">
        <v>13</v>
      </c>
      <c r="F3789" s="3">
        <v>13</v>
      </c>
      <c r="G3789" t="s">
        <v>513</v>
      </c>
    </row>
    <row r="3790" spans="1:7" x14ac:dyDescent="0.25">
      <c r="A3790" s="1" t="str">
        <f>"523311"</f>
        <v>523311</v>
      </c>
      <c r="B3790" s="2" t="str">
        <f>"CABINE AÇO INOX PORTAS POLICARB E COMP DE SEGURANÇA NR-12 FL"</f>
        <v>CABINE AÇO INOX PORTAS POLICARB E COMP DE SEGURANÇA NR-12 FL</v>
      </c>
      <c r="C3790" s="2" t="str">
        <f t="shared" si="151"/>
        <v>UN</v>
      </c>
      <c r="D3790" s="7">
        <v>1300</v>
      </c>
      <c r="E3790" s="3">
        <v>10</v>
      </c>
      <c r="F3790" s="3">
        <v>10</v>
      </c>
      <c r="G3790" t="s">
        <v>514</v>
      </c>
    </row>
    <row r="3791" spans="1:7" x14ac:dyDescent="0.25">
      <c r="A3791" s="1" t="str">
        <f>"521374"</f>
        <v>521374</v>
      </c>
      <c r="B3791" s="2" t="str">
        <f>"CABINE DE PROTEÇÃO ROLOS DE PRENSA"</f>
        <v>CABINE DE PROTEÇÃO ROLOS DE PRENSA</v>
      </c>
      <c r="C3791" s="2" t="str">
        <f t="shared" si="151"/>
        <v>UN</v>
      </c>
      <c r="D3791" s="7">
        <v>1300</v>
      </c>
      <c r="E3791" s="3">
        <v>13</v>
      </c>
      <c r="F3791" s="3">
        <v>13</v>
      </c>
      <c r="G3791" t="s">
        <v>514</v>
      </c>
    </row>
    <row r="3792" spans="1:7" x14ac:dyDescent="0.25">
      <c r="A3792" s="1" t="str">
        <f>"523361"</f>
        <v>523361</v>
      </c>
      <c r="B3792" s="2" t="str">
        <f>"CABINE METALICA PADRÃO CPFL 15KV"</f>
        <v>CABINE METALICA PADRÃO CPFL 15KV</v>
      </c>
      <c r="C3792" s="2" t="str">
        <f t="shared" si="151"/>
        <v>UN</v>
      </c>
      <c r="D3792" s="7">
        <v>900</v>
      </c>
      <c r="E3792" s="3">
        <v>11</v>
      </c>
      <c r="F3792" s="3">
        <v>11</v>
      </c>
      <c r="G3792" t="s">
        <v>512</v>
      </c>
    </row>
    <row r="3793" spans="1:7" x14ac:dyDescent="0.25">
      <c r="A3793" s="1" t="str">
        <f>"510342"</f>
        <v>510342</v>
      </c>
      <c r="B3793" s="2" t="str">
        <f>"CABO"</f>
        <v>CABO</v>
      </c>
      <c r="C3793" s="2" t="str">
        <f>"MT"</f>
        <v>MT</v>
      </c>
      <c r="D3793" s="7">
        <v>602</v>
      </c>
      <c r="E3793" s="3">
        <v>8</v>
      </c>
      <c r="F3793" s="3">
        <v>8</v>
      </c>
      <c r="G3793" t="s">
        <v>513</v>
      </c>
    </row>
    <row r="3794" spans="1:7" x14ac:dyDescent="0.25">
      <c r="A3794" s="1" t="str">
        <f>"527383"</f>
        <v>527383</v>
      </c>
      <c r="B3794" s="2" t="str">
        <f>"CABO 10 MM 750V VERDE E AMARELO NEXANS"</f>
        <v>CABO 10 MM 750V VERDE E AMARELO NEXANS</v>
      </c>
      <c r="C3794" s="2" t="str">
        <f>"UN"</f>
        <v>UN</v>
      </c>
      <c r="D3794" s="7">
        <v>811</v>
      </c>
      <c r="E3794" s="3">
        <v>11</v>
      </c>
      <c r="F3794" s="3">
        <v>11</v>
      </c>
      <c r="G3794" t="s">
        <v>514</v>
      </c>
    </row>
    <row r="3795" spans="1:7" x14ac:dyDescent="0.25">
      <c r="A3795" s="1" t="str">
        <f>"518916"</f>
        <v>518916</v>
      </c>
      <c r="B3795" s="2" t="str">
        <f>"CABO 12/20KV 50MM ALUMINIO"</f>
        <v>CABO 12/20KV 50MM ALUMINIO</v>
      </c>
      <c r="C3795" s="2" t="str">
        <f>"UN"</f>
        <v>UN</v>
      </c>
      <c r="D3795" s="7">
        <v>811</v>
      </c>
      <c r="E3795" s="3">
        <v>8</v>
      </c>
      <c r="F3795" s="3">
        <v>8</v>
      </c>
      <c r="G3795" t="s">
        <v>514</v>
      </c>
    </row>
    <row r="3796" spans="1:7" x14ac:dyDescent="0.25">
      <c r="A3796" s="1" t="str">
        <f>"513072"</f>
        <v>513072</v>
      </c>
      <c r="B3796" s="2" t="str">
        <f>"CABO 16X0,50MM CONTROLE 500V PT CL4"</f>
        <v>CABO 16X0,50MM CONTROLE 500V PT CL4</v>
      </c>
      <c r="C3796" s="2" t="str">
        <f>"MT"</f>
        <v>MT</v>
      </c>
      <c r="D3796" s="7">
        <v>602</v>
      </c>
      <c r="E3796" s="3">
        <v>8</v>
      </c>
      <c r="F3796" s="3">
        <v>8</v>
      </c>
      <c r="G3796" t="s">
        <v>514</v>
      </c>
    </row>
    <row r="3797" spans="1:7" x14ac:dyDescent="0.25">
      <c r="A3797" s="1" t="str">
        <f>"520233"</f>
        <v>520233</v>
      </c>
      <c r="B3797" s="2" t="str">
        <f>"CABO 16X0,5MM"</f>
        <v>CABO 16X0,5MM</v>
      </c>
      <c r="C3797" s="2" t="str">
        <f>"UN"</f>
        <v>UN</v>
      </c>
      <c r="D3797" s="7">
        <v>811</v>
      </c>
      <c r="E3797" s="3">
        <v>10</v>
      </c>
      <c r="F3797" s="3">
        <v>10</v>
      </c>
      <c r="G3797" t="s">
        <v>513</v>
      </c>
    </row>
    <row r="3798" spans="1:7" x14ac:dyDescent="0.25">
      <c r="A3798" s="1" t="str">
        <f>"526471"</f>
        <v>526471</v>
      </c>
      <c r="B3798" s="2" t="str">
        <f>"CABO 18X1MM CONTROLE 500V PT CL4"</f>
        <v>CABO 18X1MM CONTROLE 500V PT CL4</v>
      </c>
      <c r="C3798" s="2" t="str">
        <f>"MT"</f>
        <v>MT</v>
      </c>
      <c r="D3798" s="7">
        <v>602</v>
      </c>
      <c r="E3798" s="3">
        <v>8</v>
      </c>
      <c r="F3798" s="3">
        <v>8</v>
      </c>
      <c r="G3798" t="s">
        <v>512</v>
      </c>
    </row>
    <row r="3799" spans="1:7" x14ac:dyDescent="0.25">
      <c r="A3799" s="1" t="str">
        <f>"509732"</f>
        <v>509732</v>
      </c>
      <c r="B3799" s="2" t="str">
        <f>"CABO 1KV 50MM2 FICAP EPR/B 90G"</f>
        <v>CABO 1KV 50MM2 FICAP EPR/B 90G</v>
      </c>
      <c r="C3799" s="2" t="str">
        <f>"UN"</f>
        <v>UN</v>
      </c>
      <c r="D3799" s="7">
        <v>811</v>
      </c>
      <c r="E3799" s="3">
        <v>10</v>
      </c>
      <c r="F3799" s="3">
        <v>10</v>
      </c>
      <c r="G3799" t="s">
        <v>513</v>
      </c>
    </row>
    <row r="3800" spans="1:7" x14ac:dyDescent="0.25">
      <c r="A3800" s="1" t="str">
        <f>"509786"</f>
        <v>509786</v>
      </c>
      <c r="B3800" s="2" t="str">
        <f>"CABO 1KV 95MM2 AZ FITER FLEX"</f>
        <v>CABO 1KV 95MM2 AZ FITER FLEX</v>
      </c>
      <c r="C3800" s="2" t="str">
        <f>"UN"</f>
        <v>UN</v>
      </c>
      <c r="D3800" s="7">
        <v>900</v>
      </c>
      <c r="E3800" s="3">
        <v>11</v>
      </c>
      <c r="F3800" s="3">
        <v>11</v>
      </c>
      <c r="G3800" t="s">
        <v>514</v>
      </c>
    </row>
    <row r="3801" spans="1:7" x14ac:dyDescent="0.25">
      <c r="A3801" s="1" t="str">
        <f>"511709"</f>
        <v>511709</v>
      </c>
      <c r="B3801" s="2" t="str">
        <f>"CABO 1KV FITER FLEX 4 X 16 MM2"</f>
        <v>CABO 1KV FITER FLEX 4 X 16 MM2</v>
      </c>
      <c r="C3801" s="2" t="str">
        <f>"MT"</f>
        <v>MT</v>
      </c>
      <c r="D3801" s="7">
        <v>602</v>
      </c>
      <c r="E3801" s="3">
        <v>8</v>
      </c>
      <c r="F3801" s="3">
        <v>8</v>
      </c>
      <c r="G3801" t="s">
        <v>514</v>
      </c>
    </row>
    <row r="3802" spans="1:7" x14ac:dyDescent="0.25">
      <c r="A3802" s="1" t="str">
        <f>"526984"</f>
        <v>526984</v>
      </c>
      <c r="B3802" s="2" t="str">
        <f>"CABO 1KV NEXANS FITER FLEX 90 G° 3X16MM²"</f>
        <v>CABO 1KV NEXANS FITER FLEX 90 G° 3X16MM²</v>
      </c>
      <c r="C3802" s="2" t="str">
        <f>"MT"</f>
        <v>MT</v>
      </c>
      <c r="D3802" s="7">
        <v>602</v>
      </c>
      <c r="E3802" s="3">
        <v>8</v>
      </c>
      <c r="F3802" s="3">
        <v>8</v>
      </c>
      <c r="G3802" t="s">
        <v>514</v>
      </c>
    </row>
    <row r="3803" spans="1:7" x14ac:dyDescent="0.25">
      <c r="A3803" s="1" t="str">
        <f>"526983"</f>
        <v>526983</v>
      </c>
      <c r="B3803" s="2" t="str">
        <f>"CABO 1KV NEXANS FITER FLEX 90 G° 4X16MM²"</f>
        <v>CABO 1KV NEXANS FITER FLEX 90 G° 4X16MM²</v>
      </c>
      <c r="C3803" s="2" t="str">
        <f>"MT"</f>
        <v>MT</v>
      </c>
      <c r="D3803" s="7">
        <v>602</v>
      </c>
      <c r="E3803" s="3">
        <v>8</v>
      </c>
      <c r="F3803" s="3">
        <v>8</v>
      </c>
      <c r="G3803" t="s">
        <v>513</v>
      </c>
    </row>
    <row r="3804" spans="1:7" x14ac:dyDescent="0.25">
      <c r="A3804" s="1" t="str">
        <f>"527384"</f>
        <v>527384</v>
      </c>
      <c r="B3804" s="2" t="str">
        <f>"CABO 25 MM 750V VERDE E AMARELO NEXANS"</f>
        <v>CABO 25 MM 750V VERDE E AMARELO NEXANS</v>
      </c>
      <c r="C3804" s="2" t="str">
        <f t="shared" ref="C3804:C3809" si="152">"UN"</f>
        <v>UN</v>
      </c>
      <c r="D3804" s="7">
        <v>811</v>
      </c>
      <c r="E3804" s="3">
        <v>11</v>
      </c>
      <c r="F3804" s="3">
        <v>11</v>
      </c>
      <c r="G3804" t="s">
        <v>513</v>
      </c>
    </row>
    <row r="3805" spans="1:7" x14ac:dyDescent="0.25">
      <c r="A3805" s="1" t="str">
        <f>"508353"</f>
        <v>508353</v>
      </c>
      <c r="B3805" s="2" t="str">
        <f>"CABO 2762353 MAQ. CATERPILAR"</f>
        <v>CABO 2762353 MAQ. CATERPILAR</v>
      </c>
      <c r="C3805" s="2" t="str">
        <f t="shared" si="152"/>
        <v>UN</v>
      </c>
      <c r="D3805" s="7">
        <v>704</v>
      </c>
      <c r="E3805" s="3">
        <v>9</v>
      </c>
      <c r="F3805" s="3">
        <v>9</v>
      </c>
      <c r="G3805" t="s">
        <v>513</v>
      </c>
    </row>
    <row r="3806" spans="1:7" x14ac:dyDescent="0.25">
      <c r="A3806" s="1" t="str">
        <f>"518808"</f>
        <v>518808</v>
      </c>
      <c r="B3806" s="2" t="str">
        <f>"CABO 3 MT V20 6SL3256-0 VP00-0VA0"</f>
        <v>CABO 3 MT V20 6SL3256-0 VP00-0VA0</v>
      </c>
      <c r="C3806" s="2" t="str">
        <f t="shared" si="152"/>
        <v>UN</v>
      </c>
      <c r="D3806" s="7">
        <v>811</v>
      </c>
      <c r="E3806" s="3">
        <v>8</v>
      </c>
      <c r="F3806" s="3">
        <v>8</v>
      </c>
      <c r="G3806" t="s">
        <v>512</v>
      </c>
    </row>
    <row r="3807" spans="1:7" x14ac:dyDescent="0.25">
      <c r="A3807" s="1" t="str">
        <f>"522251"</f>
        <v>522251</v>
      </c>
      <c r="B3807" s="2" t="str">
        <f>"CABO 30 VOLTS"</f>
        <v>CABO 30 VOLTS</v>
      </c>
      <c r="C3807" s="2" t="str">
        <f t="shared" si="152"/>
        <v>UN</v>
      </c>
      <c r="D3807" s="7">
        <v>99999</v>
      </c>
      <c r="E3807" s="3">
        <v>99</v>
      </c>
      <c r="F3807" s="3">
        <v>99</v>
      </c>
      <c r="G3807" t="s">
        <v>513</v>
      </c>
    </row>
    <row r="3808" spans="1:7" x14ac:dyDescent="0.25">
      <c r="A3808" s="1" t="str">
        <f>"527381"</f>
        <v>527381</v>
      </c>
      <c r="B3808" s="2" t="str">
        <f>"CABO 4 MM 750V VERDE E AMARELO NEXANS"</f>
        <v>CABO 4 MM 750V VERDE E AMARELO NEXANS</v>
      </c>
      <c r="C3808" s="2" t="str">
        <f t="shared" si="152"/>
        <v>UN</v>
      </c>
      <c r="D3808" s="7">
        <v>811</v>
      </c>
      <c r="E3808" s="3">
        <v>11</v>
      </c>
      <c r="F3808" s="3">
        <v>11</v>
      </c>
      <c r="G3808" t="s">
        <v>514</v>
      </c>
    </row>
    <row r="3809" spans="1:7" x14ac:dyDescent="0.25">
      <c r="A3809" s="1" t="str">
        <f>"521199"</f>
        <v>521199</v>
      </c>
      <c r="B3809" s="2" t="str">
        <f>"CABO 4 X 0,34 FICHA M12 CU SN/NI,90º,L=5M"</f>
        <v>CABO 4 X 0,34 FICHA M12 CU SN/NI,90º,L=5M</v>
      </c>
      <c r="C3809" s="2" t="str">
        <f t="shared" si="152"/>
        <v>UN</v>
      </c>
      <c r="D3809" s="7">
        <v>811</v>
      </c>
      <c r="E3809" s="3">
        <v>8</v>
      </c>
      <c r="F3809" s="3">
        <v>8</v>
      </c>
      <c r="G3809" t="s">
        <v>515</v>
      </c>
    </row>
    <row r="3810" spans="1:7" x14ac:dyDescent="0.25">
      <c r="A3810" s="1" t="str">
        <f>"511890"</f>
        <v>511890</v>
      </c>
      <c r="B3810" s="2" t="str">
        <f>"CABO 4 X 1MM C/ MALHA"</f>
        <v>CABO 4 X 1MM C/ MALHA</v>
      </c>
      <c r="C3810" s="2" t="str">
        <f>"MT"</f>
        <v>MT</v>
      </c>
      <c r="D3810" s="7">
        <v>602</v>
      </c>
      <c r="E3810" s="3">
        <v>8</v>
      </c>
      <c r="F3810" s="3">
        <v>8</v>
      </c>
      <c r="G3810" t="s">
        <v>512</v>
      </c>
    </row>
    <row r="3811" spans="1:7" x14ac:dyDescent="0.25">
      <c r="A3811" s="1" t="str">
        <f>"527382"</f>
        <v>527382</v>
      </c>
      <c r="B3811" s="2" t="str">
        <f>"CABO 6 MM 750V VERDE E AMARELO NEXANS"</f>
        <v>CABO 6 MM 750V VERDE E AMARELO NEXANS</v>
      </c>
      <c r="C3811" s="2" t="str">
        <f t="shared" ref="C3811:C3817" si="153">"UN"</f>
        <v>UN</v>
      </c>
      <c r="D3811" s="7">
        <v>811</v>
      </c>
      <c r="E3811" s="3">
        <v>11</v>
      </c>
      <c r="F3811" s="3">
        <v>11</v>
      </c>
      <c r="G3811" t="s">
        <v>516</v>
      </c>
    </row>
    <row r="3812" spans="1:7" x14ac:dyDescent="0.25">
      <c r="A3812" s="1" t="str">
        <f>"517152"</f>
        <v>517152</v>
      </c>
      <c r="B3812" s="2" t="str">
        <f>"CABO 901-0 MPI 5M 6ES7901-0BF00-0AA0 SIEMENS"</f>
        <v>CABO 901-0 MPI 5M 6ES7901-0BF00-0AA0 SIEMENS</v>
      </c>
      <c r="C3812" s="2" t="str">
        <f t="shared" si="153"/>
        <v>UN</v>
      </c>
      <c r="D3812" s="7">
        <v>811</v>
      </c>
      <c r="E3812" s="3">
        <v>8</v>
      </c>
      <c r="F3812" s="3">
        <v>8</v>
      </c>
      <c r="G3812" t="s">
        <v>515</v>
      </c>
    </row>
    <row r="3813" spans="1:7" x14ac:dyDescent="0.25">
      <c r="A3813" s="1" t="str">
        <f>"516054"</f>
        <v>516054</v>
      </c>
      <c r="B3813" s="2" t="str">
        <f>"CABO ACELERADOR SR400/420"</f>
        <v>CABO ACELERADOR SR400/420</v>
      </c>
      <c r="C3813" s="2" t="str">
        <f t="shared" si="153"/>
        <v>UN</v>
      </c>
      <c r="D3813" s="7">
        <v>600</v>
      </c>
      <c r="E3813" s="3">
        <v>8</v>
      </c>
      <c r="F3813" s="3">
        <v>8</v>
      </c>
      <c r="G3813" t="s">
        <v>514</v>
      </c>
    </row>
    <row r="3814" spans="1:7" x14ac:dyDescent="0.25">
      <c r="A3814" s="1" t="str">
        <f>"527792"</f>
        <v>527792</v>
      </c>
      <c r="B3814" s="2" t="str">
        <f>"CABO ADAPTADOR P2 PARA FONE E MICROFONE HEADSET"</f>
        <v>CABO ADAPTADOR P2 PARA FONE E MICROFONE HEADSET</v>
      </c>
      <c r="C3814" s="2" t="str">
        <f t="shared" si="153"/>
        <v>UN</v>
      </c>
      <c r="D3814" s="7">
        <v>401</v>
      </c>
      <c r="E3814" s="3">
        <v>4</v>
      </c>
      <c r="F3814" s="3">
        <v>4</v>
      </c>
      <c r="G3814" t="s">
        <v>512</v>
      </c>
    </row>
    <row r="3815" spans="1:7" x14ac:dyDescent="0.25">
      <c r="A3815" s="1" t="str">
        <f>"510203"</f>
        <v>510203</v>
      </c>
      <c r="B3815" s="2" t="str">
        <f>"CABO AF4X22AWG (C3-5102)"</f>
        <v>CABO AF4X22AWG (C3-5102)</v>
      </c>
      <c r="C3815" s="2" t="str">
        <f t="shared" si="153"/>
        <v>UN</v>
      </c>
      <c r="D3815" s="7">
        <v>900</v>
      </c>
      <c r="E3815" s="3">
        <v>11</v>
      </c>
      <c r="F3815" s="3">
        <v>11</v>
      </c>
      <c r="G3815" t="s">
        <v>513</v>
      </c>
    </row>
    <row r="3816" spans="1:7" x14ac:dyDescent="0.25">
      <c r="A3816" s="1" t="str">
        <f>"523713"</f>
        <v>523713</v>
      </c>
      <c r="B3816" s="2" t="str">
        <f>"CABO ALIMENTAÇÃO IMPRESSORA ZEBRA GC420 TT"</f>
        <v>CABO ALIMENTAÇÃO IMPRESSORA ZEBRA GC420 TT</v>
      </c>
      <c r="C3816" s="2" t="str">
        <f t="shared" si="153"/>
        <v>UN</v>
      </c>
      <c r="D3816" s="7">
        <v>99999</v>
      </c>
      <c r="E3816" s="3">
        <v>99</v>
      </c>
      <c r="F3816" s="3">
        <v>99</v>
      </c>
      <c r="G3816" t="s">
        <v>514</v>
      </c>
    </row>
    <row r="3817" spans="1:7" x14ac:dyDescent="0.25">
      <c r="A3817" s="1" t="str">
        <f>"526859"</f>
        <v>526859</v>
      </c>
      <c r="B3817" s="2" t="str">
        <f>"CABO ALIMENTAÇÃO IONIZADOR IZS40-CP"</f>
        <v>CABO ALIMENTAÇÃO IONIZADOR IZS40-CP</v>
      </c>
      <c r="C3817" s="2" t="str">
        <f t="shared" si="153"/>
        <v>UN</v>
      </c>
      <c r="D3817" s="7">
        <v>918</v>
      </c>
      <c r="E3817" s="3">
        <v>11</v>
      </c>
      <c r="F3817" s="3">
        <v>11</v>
      </c>
      <c r="G3817" t="s">
        <v>514</v>
      </c>
    </row>
    <row r="3818" spans="1:7" x14ac:dyDescent="0.25">
      <c r="A3818" s="1" t="str">
        <f>"500552"</f>
        <v>500552</v>
      </c>
      <c r="B3818" s="2" t="str">
        <f>"CABO ALTA TEMP.SILICONE 2,5MM 12AWG"</f>
        <v>CABO ALTA TEMP.SILICONE 2,5MM 12AWG</v>
      </c>
      <c r="C3818" s="2" t="str">
        <f>"MT"</f>
        <v>MT</v>
      </c>
      <c r="D3818" s="7">
        <v>602</v>
      </c>
      <c r="E3818" s="3">
        <v>8</v>
      </c>
      <c r="F3818" s="3">
        <v>8</v>
      </c>
      <c r="G3818" t="s">
        <v>512</v>
      </c>
    </row>
    <row r="3819" spans="1:7" x14ac:dyDescent="0.25">
      <c r="A3819" s="1" t="str">
        <f>"520550"</f>
        <v>520550</v>
      </c>
      <c r="B3819" s="2" t="str">
        <f>"CABO ALTA TENSÃO 2,5MM"</f>
        <v>CABO ALTA TENSÃO 2,5MM</v>
      </c>
      <c r="C3819" s="2" t="str">
        <f>"MT"</f>
        <v>MT</v>
      </c>
      <c r="D3819" s="7">
        <v>811</v>
      </c>
      <c r="E3819" s="3">
        <v>8</v>
      </c>
      <c r="F3819" s="3">
        <v>8</v>
      </c>
      <c r="G3819" t="s">
        <v>513</v>
      </c>
    </row>
    <row r="3820" spans="1:7" x14ac:dyDescent="0.25">
      <c r="A3820" s="1" t="str">
        <f>"522960"</f>
        <v>522960</v>
      </c>
      <c r="B3820" s="2" t="str">
        <f>"CABO ALUMINIO 1KV XLPE/ST2 C2 NBL 1X150"</f>
        <v>CABO ALUMINIO 1KV XLPE/ST2 C2 NBL 1X150</v>
      </c>
      <c r="C3820" s="2" t="str">
        <f>"UN"</f>
        <v>UN</v>
      </c>
      <c r="D3820" s="7">
        <v>811</v>
      </c>
      <c r="E3820" s="3">
        <v>10</v>
      </c>
      <c r="F3820" s="3">
        <v>10</v>
      </c>
      <c r="G3820" t="s">
        <v>514</v>
      </c>
    </row>
    <row r="3821" spans="1:7" x14ac:dyDescent="0.25">
      <c r="A3821" s="1" t="str">
        <f>"522959"</f>
        <v>522959</v>
      </c>
      <c r="B3821" s="2" t="str">
        <f>"CABO ALUMINIO 1KV XLPE/ST2 C2 NBL 1X240"</f>
        <v>CABO ALUMINIO 1KV XLPE/ST2 C2 NBL 1X240</v>
      </c>
      <c r="C3821" s="2" t="str">
        <f>"UN"</f>
        <v>UN</v>
      </c>
      <c r="D3821" s="7">
        <v>811</v>
      </c>
      <c r="E3821" s="3">
        <v>10</v>
      </c>
      <c r="F3821" s="3">
        <v>10</v>
      </c>
      <c r="G3821" t="s">
        <v>514</v>
      </c>
    </row>
    <row r="3822" spans="1:7" x14ac:dyDescent="0.25">
      <c r="A3822" s="1" t="str">
        <f>"513566"</f>
        <v>513566</v>
      </c>
      <c r="B3822" s="2" t="str">
        <f>"CABO ALUMINIO NOBRE C/ ROSCA"</f>
        <v>CABO ALUMINIO NOBRE C/ ROSCA</v>
      </c>
      <c r="C3822" s="2" t="str">
        <f>"UN"</f>
        <v>UN</v>
      </c>
      <c r="D3822" s="7">
        <v>400</v>
      </c>
      <c r="E3822" s="3">
        <v>4</v>
      </c>
      <c r="F3822" s="3">
        <v>4</v>
      </c>
      <c r="G3822" t="s">
        <v>514</v>
      </c>
    </row>
    <row r="3823" spans="1:7" x14ac:dyDescent="0.25">
      <c r="A3823" s="1" t="str">
        <f>"519448"</f>
        <v>519448</v>
      </c>
      <c r="B3823" s="2" t="str">
        <f>"CABO ALUMINIO NOBRE S/ ROSCA"</f>
        <v>CABO ALUMINIO NOBRE S/ ROSCA</v>
      </c>
      <c r="C3823" s="2" t="str">
        <f>"UN"</f>
        <v>UN</v>
      </c>
      <c r="D3823" s="7">
        <v>400</v>
      </c>
      <c r="E3823" s="3">
        <v>4</v>
      </c>
      <c r="F3823" s="3">
        <v>4</v>
      </c>
      <c r="G3823" t="s">
        <v>513</v>
      </c>
    </row>
    <row r="3824" spans="1:7" x14ac:dyDescent="0.25">
      <c r="A3824" s="1" t="str">
        <f>"511759"</f>
        <v>511759</v>
      </c>
      <c r="B3824" s="2" t="str">
        <f>"CABO ALUMINIO QUAD. ALXLPCA 3X35+1X35MM"</f>
        <v>CABO ALUMINIO QUAD. ALXLPCA 3X35+1X35MM</v>
      </c>
      <c r="C3824" s="2" t="str">
        <f>"MT"</f>
        <v>MT</v>
      </c>
      <c r="D3824" s="7">
        <v>602</v>
      </c>
      <c r="E3824" s="3">
        <v>8</v>
      </c>
      <c r="F3824" s="3">
        <v>8</v>
      </c>
      <c r="G3824" t="s">
        <v>512</v>
      </c>
    </row>
    <row r="3825" spans="1:7" x14ac:dyDescent="0.25">
      <c r="A3825" s="1" t="str">
        <f>"517737"</f>
        <v>517737</v>
      </c>
      <c r="B3825" s="2" t="str">
        <f>"CABO ALUMINIO QUAD. ALXLPCA 3X50+1X50MM"</f>
        <v>CABO ALUMINIO QUAD. ALXLPCA 3X50+1X50MM</v>
      </c>
      <c r="C3825" s="2" t="str">
        <f>"UN"</f>
        <v>UN</v>
      </c>
      <c r="D3825" s="7">
        <v>811</v>
      </c>
      <c r="E3825" s="3">
        <v>8</v>
      </c>
      <c r="F3825" s="3">
        <v>8</v>
      </c>
      <c r="G3825" t="s">
        <v>513</v>
      </c>
    </row>
    <row r="3826" spans="1:7" x14ac:dyDescent="0.25">
      <c r="A3826" s="1" t="str">
        <f>"518946"</f>
        <v>518946</v>
      </c>
      <c r="B3826" s="2" t="str">
        <f>"CABO ALUMINIO QUAD. ALXLPCA 3X95+1X70MM"</f>
        <v>CABO ALUMINIO QUAD. ALXLPCA 3X95+1X70MM</v>
      </c>
      <c r="C3826" s="2" t="str">
        <f>"MT"</f>
        <v>MT</v>
      </c>
      <c r="D3826" s="7">
        <v>602</v>
      </c>
      <c r="E3826" s="3">
        <v>8</v>
      </c>
      <c r="F3826" s="3">
        <v>8</v>
      </c>
      <c r="G3826" t="s">
        <v>514</v>
      </c>
    </row>
    <row r="3827" spans="1:7" x14ac:dyDescent="0.25">
      <c r="A3827" s="1" t="str">
        <f>"519673"</f>
        <v>519673</v>
      </c>
      <c r="B3827" s="2" t="str">
        <f>"CABO ALUMINIO QUADRUPLEX 16MM"</f>
        <v>CABO ALUMINIO QUADRUPLEX 16MM</v>
      </c>
      <c r="C3827" s="2" t="str">
        <f>"MT"</f>
        <v>MT</v>
      </c>
      <c r="D3827" s="7">
        <v>602</v>
      </c>
      <c r="E3827" s="3">
        <v>8</v>
      </c>
      <c r="F3827" s="3">
        <v>8</v>
      </c>
      <c r="G3827" t="s">
        <v>514</v>
      </c>
    </row>
    <row r="3828" spans="1:7" x14ac:dyDescent="0.25">
      <c r="A3828" s="1" t="str">
        <f>"526826"</f>
        <v>526826</v>
      </c>
      <c r="B3828" s="8" t="s">
        <v>484</v>
      </c>
      <c r="C3828" s="2" t="str">
        <f>"UN"</f>
        <v>UN</v>
      </c>
      <c r="D3828" s="7">
        <v>811</v>
      </c>
      <c r="E3828" s="3">
        <v>11</v>
      </c>
      <c r="F3828" s="3">
        <v>11</v>
      </c>
      <c r="G3828" t="s">
        <v>514</v>
      </c>
    </row>
    <row r="3829" spans="1:7" x14ac:dyDescent="0.25">
      <c r="A3829" s="1" t="str">
        <f>"523242"</f>
        <v>523242</v>
      </c>
      <c r="B3829" s="2" t="str">
        <f>"CABO AV X P2"</f>
        <v>CABO AV X P2</v>
      </c>
      <c r="C3829" s="2" t="str">
        <f>"MT"</f>
        <v>MT</v>
      </c>
      <c r="D3829" s="7">
        <v>602</v>
      </c>
      <c r="E3829" s="3">
        <v>8</v>
      </c>
      <c r="F3829" s="3">
        <v>8</v>
      </c>
      <c r="G3829" t="s">
        <v>513</v>
      </c>
    </row>
    <row r="3830" spans="1:7" x14ac:dyDescent="0.25">
      <c r="A3830" s="1" t="str">
        <f>"512269"</f>
        <v>512269</v>
      </c>
      <c r="B3830" s="2" t="str">
        <f>"CABO BATERIA"</f>
        <v>CABO BATERIA</v>
      </c>
      <c r="C3830" s="2" t="str">
        <f>"MT"</f>
        <v>MT</v>
      </c>
      <c r="D3830" s="7">
        <v>602</v>
      </c>
      <c r="E3830" s="3">
        <v>8</v>
      </c>
      <c r="F3830" s="3">
        <v>8</v>
      </c>
      <c r="G3830" t="s">
        <v>513</v>
      </c>
    </row>
    <row r="3831" spans="1:7" x14ac:dyDescent="0.25">
      <c r="A3831" s="1" t="str">
        <f>"525166"</f>
        <v>525166</v>
      </c>
      <c r="B3831" s="2" t="str">
        <f>"CABO BLINDADO 4 X Z 1MM"</f>
        <v>CABO BLINDADO 4 X Z 1MM</v>
      </c>
      <c r="C3831" s="2" t="str">
        <f>"UN"</f>
        <v>UN</v>
      </c>
      <c r="D3831" s="7">
        <v>811</v>
      </c>
      <c r="E3831" s="3">
        <v>10</v>
      </c>
      <c r="F3831" s="3">
        <v>10</v>
      </c>
      <c r="G3831" t="s">
        <v>513</v>
      </c>
    </row>
    <row r="3832" spans="1:7" x14ac:dyDescent="0.25">
      <c r="A3832" s="1" t="str">
        <f>"525082"</f>
        <v>525082</v>
      </c>
      <c r="B3832" s="2" t="str">
        <f>"CABO BLINDADO 4X4MM 1KV"</f>
        <v>CABO BLINDADO 4X4MM 1KV</v>
      </c>
      <c r="C3832" s="2" t="str">
        <f>"UN"</f>
        <v>UN</v>
      </c>
      <c r="D3832" s="7">
        <v>811</v>
      </c>
      <c r="E3832" s="3">
        <v>10</v>
      </c>
      <c r="F3832" s="3">
        <v>10</v>
      </c>
      <c r="G3832" t="s">
        <v>512</v>
      </c>
    </row>
    <row r="3833" spans="1:7" x14ac:dyDescent="0.25">
      <c r="A3833" s="1" t="str">
        <f>"510205"</f>
        <v>510205</v>
      </c>
      <c r="B3833" s="2" t="str">
        <f>"CABO BLINDADO ESPIRAL AF4X26AWG C3-5102"</f>
        <v>CABO BLINDADO ESPIRAL AF4X26AWG C3-5102</v>
      </c>
      <c r="C3833" s="2" t="str">
        <f>"UN"</f>
        <v>UN</v>
      </c>
      <c r="D3833" s="7">
        <v>900</v>
      </c>
      <c r="E3833" s="3">
        <v>11</v>
      </c>
      <c r="F3833" s="3">
        <v>11</v>
      </c>
      <c r="G3833" t="s">
        <v>513</v>
      </c>
    </row>
    <row r="3834" spans="1:7" x14ac:dyDescent="0.25">
      <c r="A3834" s="1" t="str">
        <f>"527844"</f>
        <v>527844</v>
      </c>
      <c r="B3834" s="2" t="str">
        <f>"CABO BLINDADO MULT 105G 6x26AWG"</f>
        <v>CABO BLINDADO MULT 105G 6x26AWG</v>
      </c>
      <c r="C3834" s="2" t="str">
        <f>"UN"</f>
        <v>UN</v>
      </c>
      <c r="D3834" s="7">
        <v>811</v>
      </c>
      <c r="E3834" s="3">
        <v>8</v>
      </c>
      <c r="F3834" s="3">
        <v>8</v>
      </c>
      <c r="G3834" t="s">
        <v>514</v>
      </c>
    </row>
    <row r="3835" spans="1:7" x14ac:dyDescent="0.25">
      <c r="A3835" s="1" t="str">
        <f>"526760"</f>
        <v>526760</v>
      </c>
      <c r="B3835" s="2" t="str">
        <f>"CABO C CONNECT NEBU M12W8-K-5-N-LE8"</f>
        <v>CABO C CONNECT NEBU M12W8-K-5-N-LE8</v>
      </c>
      <c r="C3835" s="2" t="str">
        <f>"PÇ"</f>
        <v>PÇ</v>
      </c>
      <c r="D3835" s="7">
        <v>808</v>
      </c>
      <c r="E3835" s="3">
        <v>11</v>
      </c>
      <c r="F3835" s="3">
        <v>11</v>
      </c>
      <c r="G3835" t="s">
        <v>515</v>
      </c>
    </row>
    <row r="3836" spans="1:7" x14ac:dyDescent="0.25">
      <c r="A3836" s="1" t="str">
        <f>"521393"</f>
        <v>521393</v>
      </c>
      <c r="B3836" s="8" t="s">
        <v>200</v>
      </c>
      <c r="C3836" s="2" t="str">
        <f>"UN"</f>
        <v>UN</v>
      </c>
      <c r="D3836" s="7">
        <v>600</v>
      </c>
      <c r="E3836" s="3">
        <v>8</v>
      </c>
      <c r="F3836" s="3">
        <v>8</v>
      </c>
      <c r="G3836" t="s">
        <v>512</v>
      </c>
    </row>
    <row r="3837" spans="1:7" x14ac:dyDescent="0.25">
      <c r="A3837" s="1" t="str">
        <f>"517770"</f>
        <v>517770</v>
      </c>
      <c r="B3837" s="2" t="str">
        <f>"CABO C/ CONEXÃO NEBV-H1G2-KN-1-N-LE2"</f>
        <v>CABO C/ CONEXÃO NEBV-H1G2-KN-1-N-LE2</v>
      </c>
      <c r="C3837" s="2" t="str">
        <f>"UN"</f>
        <v>UN</v>
      </c>
      <c r="D3837" s="7">
        <v>913</v>
      </c>
      <c r="E3837" s="3">
        <v>11</v>
      </c>
      <c r="F3837" s="3">
        <v>11</v>
      </c>
      <c r="G3837" t="s">
        <v>516</v>
      </c>
    </row>
    <row r="3838" spans="1:7" x14ac:dyDescent="0.25">
      <c r="A3838" s="1" t="str">
        <f>"527628"</f>
        <v>527628</v>
      </c>
      <c r="B3838" s="2" t="str">
        <f>"CABO CCI 50 X 02 PARES"</f>
        <v>CABO CCI 50 X 02 PARES</v>
      </c>
      <c r="C3838" s="2" t="str">
        <f>"UN"</f>
        <v>UN</v>
      </c>
      <c r="D3838" s="7">
        <v>601</v>
      </c>
      <c r="E3838" s="3">
        <v>8</v>
      </c>
      <c r="F3838" s="3">
        <v>8</v>
      </c>
      <c r="G3838" t="s">
        <v>515</v>
      </c>
    </row>
    <row r="3839" spans="1:7" x14ac:dyDescent="0.25">
      <c r="A3839" s="1" t="str">
        <f>"518435"</f>
        <v>518435</v>
      </c>
      <c r="B3839" s="2" t="str">
        <f>"CABO COAXIAL RG 06"</f>
        <v>CABO COAXIAL RG 06</v>
      </c>
      <c r="C3839" s="2" t="str">
        <f>"MT"</f>
        <v>MT</v>
      </c>
      <c r="D3839" s="7">
        <v>602</v>
      </c>
      <c r="E3839" s="3">
        <v>8</v>
      </c>
      <c r="F3839" s="3">
        <v>8</v>
      </c>
      <c r="G3839" t="s">
        <v>514</v>
      </c>
    </row>
    <row r="3840" spans="1:7" x14ac:dyDescent="0.25">
      <c r="A3840" s="1" t="str">
        <f>"513411"</f>
        <v>513411</v>
      </c>
      <c r="B3840" s="2" t="str">
        <f>"CABO COAXIAL RGC59 MALHA 95% 750 HMS"</f>
        <v>CABO COAXIAL RGC59 MALHA 95% 750 HMS</v>
      </c>
      <c r="C3840" s="2" t="str">
        <f>"MT"</f>
        <v>MT</v>
      </c>
      <c r="D3840" s="7">
        <v>602</v>
      </c>
      <c r="E3840" s="3">
        <v>4</v>
      </c>
      <c r="F3840" s="3">
        <v>4</v>
      </c>
      <c r="G3840" t="s">
        <v>512</v>
      </c>
    </row>
    <row r="3841" spans="1:7" x14ac:dyDescent="0.25">
      <c r="A3841" s="1" t="str">
        <f>"524770"</f>
        <v>524770</v>
      </c>
      <c r="B3841" s="2" t="str">
        <f>"CABO COAXIAL SN6 10M"</f>
        <v>CABO COAXIAL SN6 10M</v>
      </c>
      <c r="C3841" s="2" t="str">
        <f t="shared" ref="C3841:C3852" si="154">"UN"</f>
        <v>UN</v>
      </c>
      <c r="D3841" s="7">
        <v>406</v>
      </c>
      <c r="E3841" s="3">
        <v>10</v>
      </c>
      <c r="F3841" s="3">
        <v>10</v>
      </c>
      <c r="G3841" t="s">
        <v>513</v>
      </c>
    </row>
    <row r="3842" spans="1:7" x14ac:dyDescent="0.25">
      <c r="A3842" s="1" t="str">
        <f>"521543"</f>
        <v>521543</v>
      </c>
      <c r="B3842" s="2" t="str">
        <f>"CABO COBRE (DIVERSOS)"</f>
        <v>CABO COBRE (DIVERSOS)</v>
      </c>
      <c r="C3842" s="2" t="str">
        <f t="shared" si="154"/>
        <v>UN</v>
      </c>
      <c r="D3842" s="7">
        <v>99999</v>
      </c>
      <c r="E3842" s="3">
        <v>99</v>
      </c>
      <c r="F3842" s="3">
        <v>99</v>
      </c>
      <c r="G3842" t="s">
        <v>514</v>
      </c>
    </row>
    <row r="3843" spans="1:7" x14ac:dyDescent="0.25">
      <c r="A3843" s="1" t="str">
        <f>"526178"</f>
        <v>526178</v>
      </c>
      <c r="B3843" s="2" t="str">
        <f>"CABO COBRE 1KV HEPR/ST2 C4 NBL 3X4,0 -PR,AZ,VD"</f>
        <v>CABO COBRE 1KV HEPR/ST2 C4 NBL 3X4,0 -PR,AZ,VD</v>
      </c>
      <c r="C3843" s="2" t="str">
        <f t="shared" si="154"/>
        <v>UN</v>
      </c>
      <c r="D3843" s="7">
        <v>811</v>
      </c>
      <c r="E3843" s="3">
        <v>10</v>
      </c>
      <c r="F3843" s="3">
        <v>10</v>
      </c>
      <c r="G3843" t="s">
        <v>514</v>
      </c>
    </row>
    <row r="3844" spans="1:7" x14ac:dyDescent="0.25">
      <c r="A3844" s="1" t="str">
        <f>"526179"</f>
        <v>526179</v>
      </c>
      <c r="B3844" s="2" t="str">
        <f>"CABO COBRE 1KV HEPR/ST2 C4 NBL 4X2,5-PR/AZ/BR/VM"</f>
        <v>CABO COBRE 1KV HEPR/ST2 C4 NBL 4X2,5-PR/AZ/BR/VM</v>
      </c>
      <c r="C3844" s="2" t="str">
        <f t="shared" si="154"/>
        <v>UN</v>
      </c>
      <c r="D3844" s="7">
        <v>811</v>
      </c>
      <c r="E3844" s="3">
        <v>10</v>
      </c>
      <c r="F3844" s="3">
        <v>10</v>
      </c>
      <c r="G3844" t="s">
        <v>512</v>
      </c>
    </row>
    <row r="3845" spans="1:7" x14ac:dyDescent="0.25">
      <c r="A3845" s="1" t="str">
        <f>"526180"</f>
        <v>526180</v>
      </c>
      <c r="B3845" s="2" t="str">
        <f>"CABO COBRE 1KV HEPR/ST2 C4 NBL 4X4,0-PR/AZ/BR/VM"</f>
        <v>CABO COBRE 1KV HEPR/ST2 C4 NBL 4X4,0-PR/AZ/BR/VM</v>
      </c>
      <c r="C3845" s="2" t="str">
        <f t="shared" si="154"/>
        <v>UN</v>
      </c>
      <c r="D3845" s="7">
        <v>811</v>
      </c>
      <c r="E3845" s="3">
        <v>10</v>
      </c>
      <c r="F3845" s="3">
        <v>10</v>
      </c>
      <c r="G3845" t="s">
        <v>513</v>
      </c>
    </row>
    <row r="3846" spans="1:7" x14ac:dyDescent="0.25">
      <c r="A3846" s="1" t="str">
        <f>"573789"</f>
        <v>573789</v>
      </c>
      <c r="B3846" s="2" t="str">
        <f>"CABO COBRE 1KV HEPR/ST2 C5 NBL 1X150,0 - AZ"</f>
        <v>CABO COBRE 1KV HEPR/ST2 C5 NBL 1X150,0 - AZ</v>
      </c>
      <c r="C3846" s="2" t="str">
        <f t="shared" si="154"/>
        <v>UN</v>
      </c>
      <c r="D3846" s="7">
        <v>811</v>
      </c>
      <c r="E3846" s="3">
        <v>10</v>
      </c>
      <c r="F3846" s="3">
        <v>10</v>
      </c>
      <c r="G3846" t="s">
        <v>514</v>
      </c>
    </row>
    <row r="3847" spans="1:7" x14ac:dyDescent="0.25">
      <c r="A3847" s="1" t="str">
        <f>"573788"</f>
        <v>573788</v>
      </c>
      <c r="B3847" s="2" t="str">
        <f>"CABO COBRE 1KV HEPR/ST2 C5 NBL 1X150,0 - PR"</f>
        <v>CABO COBRE 1KV HEPR/ST2 C5 NBL 1X150,0 - PR</v>
      </c>
      <c r="C3847" s="2" t="str">
        <f t="shared" si="154"/>
        <v>UN</v>
      </c>
      <c r="D3847" s="7">
        <v>811</v>
      </c>
      <c r="E3847" s="3">
        <v>10</v>
      </c>
      <c r="F3847" s="3">
        <v>10</v>
      </c>
      <c r="G3847" t="s">
        <v>514</v>
      </c>
    </row>
    <row r="3848" spans="1:7" x14ac:dyDescent="0.25">
      <c r="A3848" s="1" t="str">
        <f>"573790"</f>
        <v>573790</v>
      </c>
      <c r="B3848" s="2" t="str">
        <f>"CABO COBRE 1KV HEPR/ST2 C5 NBL 1X150,0 - VD"</f>
        <v>CABO COBRE 1KV HEPR/ST2 C5 NBL 1X150,0 - VD</v>
      </c>
      <c r="C3848" s="2" t="str">
        <f t="shared" si="154"/>
        <v>UN</v>
      </c>
      <c r="D3848" s="7">
        <v>811</v>
      </c>
      <c r="E3848" s="3">
        <v>10</v>
      </c>
      <c r="F3848" s="3">
        <v>10</v>
      </c>
      <c r="G3848" t="s">
        <v>514</v>
      </c>
    </row>
    <row r="3849" spans="1:7" x14ac:dyDescent="0.25">
      <c r="A3849" s="1" t="str">
        <f>"522958"</f>
        <v>522958</v>
      </c>
      <c r="B3849" s="2" t="str">
        <f>"CABO COBRE 1KV HEPR/ST2 C5 NBL 1X240,0 - A"</f>
        <v>CABO COBRE 1KV HEPR/ST2 C5 NBL 1X240,0 - A</v>
      </c>
      <c r="C3849" s="2" t="str">
        <f t="shared" si="154"/>
        <v>UN</v>
      </c>
      <c r="D3849" s="7">
        <v>811</v>
      </c>
      <c r="E3849" s="3">
        <v>10</v>
      </c>
      <c r="F3849" s="3">
        <v>10</v>
      </c>
      <c r="G3849" t="s">
        <v>513</v>
      </c>
    </row>
    <row r="3850" spans="1:7" x14ac:dyDescent="0.25">
      <c r="A3850" s="1" t="str">
        <f>"522956"</f>
        <v>522956</v>
      </c>
      <c r="B3850" s="2" t="str">
        <f>"CABO COBRE 1KV HEPR/ST2 C5 NBL 1X240,0 - P"</f>
        <v>CABO COBRE 1KV HEPR/ST2 C5 NBL 1X240,0 - P</v>
      </c>
      <c r="C3850" s="2" t="str">
        <f t="shared" si="154"/>
        <v>UN</v>
      </c>
      <c r="D3850" s="7">
        <v>811</v>
      </c>
      <c r="E3850" s="3">
        <v>10</v>
      </c>
      <c r="F3850" s="3">
        <v>10</v>
      </c>
      <c r="G3850" t="s">
        <v>512</v>
      </c>
    </row>
    <row r="3851" spans="1:7" x14ac:dyDescent="0.25">
      <c r="A3851" s="1" t="str">
        <f>"522957"</f>
        <v>522957</v>
      </c>
      <c r="B3851" s="2" t="str">
        <f>"CABO COBRE 1KV HEPR/ST2 C5 NBL 1X240,0 - V"</f>
        <v>CABO COBRE 1KV HEPR/ST2 C5 NBL 1X240,0 - V</v>
      </c>
      <c r="C3851" s="2" t="str">
        <f t="shared" si="154"/>
        <v>UN</v>
      </c>
      <c r="D3851" s="7">
        <v>811</v>
      </c>
      <c r="E3851" s="3">
        <v>10</v>
      </c>
      <c r="F3851" s="3">
        <v>10</v>
      </c>
      <c r="G3851" t="s">
        <v>513</v>
      </c>
    </row>
    <row r="3852" spans="1:7" x14ac:dyDescent="0.25">
      <c r="A3852" s="1" t="str">
        <f>"526177"</f>
        <v>526177</v>
      </c>
      <c r="B3852" s="2" t="str">
        <f>"CABO COBRE 1KV HEPR/ST2 C5 NBL 3X25,0 -PR,AZ,VD"</f>
        <v>CABO COBRE 1KV HEPR/ST2 C5 NBL 3X25,0 -PR,AZ,VD</v>
      </c>
      <c r="C3852" s="2" t="str">
        <f t="shared" si="154"/>
        <v>UN</v>
      </c>
      <c r="D3852" s="7">
        <v>811</v>
      </c>
      <c r="E3852" s="3">
        <v>10</v>
      </c>
      <c r="F3852" s="3">
        <v>10</v>
      </c>
      <c r="G3852" t="s">
        <v>514</v>
      </c>
    </row>
    <row r="3853" spans="1:7" x14ac:dyDescent="0.25">
      <c r="A3853" s="1" t="str">
        <f>"522174"</f>
        <v>522174</v>
      </c>
      <c r="B3853" s="2" t="str">
        <f>"CABO COBRE FLX IS0,6/1KV EPR90°C GSETTEIRISTECH C5 1x25mm²VD"</f>
        <v>CABO COBRE FLX IS0,6/1KV EPR90°C GSETTEIRISTECH C5 1x25mm²VD</v>
      </c>
      <c r="C3853" s="2" t="str">
        <f t="shared" ref="C3853:C3863" si="155">"MT"</f>
        <v>MT</v>
      </c>
      <c r="D3853" s="7">
        <v>602</v>
      </c>
      <c r="E3853" s="3">
        <v>8</v>
      </c>
      <c r="F3853" s="3">
        <v>8</v>
      </c>
      <c r="G3853" t="s">
        <v>514</v>
      </c>
    </row>
    <row r="3854" spans="1:7" x14ac:dyDescent="0.25">
      <c r="A3854" s="1" t="str">
        <f>"522171"</f>
        <v>522171</v>
      </c>
      <c r="B3854" s="2" t="str">
        <f>"CABO COBRE FLX IS0,6/1KV EPR90°C GSETTEIRISTECH C5 1x50mm²PT"</f>
        <v>CABO COBRE FLX IS0,6/1KV EPR90°C GSETTEIRISTECH C5 1x50mm²PT</v>
      </c>
      <c r="C3854" s="2" t="str">
        <f t="shared" si="155"/>
        <v>MT</v>
      </c>
      <c r="D3854" s="7">
        <v>602</v>
      </c>
      <c r="E3854" s="3">
        <v>8</v>
      </c>
      <c r="F3854" s="3">
        <v>8</v>
      </c>
      <c r="G3854" t="s">
        <v>514</v>
      </c>
    </row>
    <row r="3855" spans="1:7" x14ac:dyDescent="0.25">
      <c r="A3855" s="1" t="str">
        <f>"522175"</f>
        <v>522175</v>
      </c>
      <c r="B3855" s="2" t="str">
        <f>"CABO COBRE FLX IS0,6/1KV EPR90°C GSETTEIRISTECH C51x120mm²VD"</f>
        <v>CABO COBRE FLX IS0,6/1KV EPR90°C GSETTEIRISTECH C51x120mm²VD</v>
      </c>
      <c r="C3855" s="2" t="str">
        <f t="shared" si="155"/>
        <v>MT</v>
      </c>
      <c r="D3855" s="7">
        <v>602</v>
      </c>
      <c r="E3855" s="3">
        <v>8</v>
      </c>
      <c r="F3855" s="3">
        <v>8</v>
      </c>
      <c r="G3855" t="s">
        <v>513</v>
      </c>
    </row>
    <row r="3856" spans="1:7" x14ac:dyDescent="0.25">
      <c r="A3856" s="1" t="str">
        <f>"522176"</f>
        <v>522176</v>
      </c>
      <c r="B3856" s="2" t="str">
        <f>"CABO COBRE FLX IS0,6/1KV EPR90°C GSETTEIRISTECH C51x150mm²VD"</f>
        <v>CABO COBRE FLX IS0,6/1KV EPR90°C GSETTEIRISTECH C51x150mm²VD</v>
      </c>
      <c r="C3856" s="2" t="str">
        <f t="shared" si="155"/>
        <v>MT</v>
      </c>
      <c r="D3856" s="7">
        <v>602</v>
      </c>
      <c r="E3856" s="3">
        <v>8</v>
      </c>
      <c r="F3856" s="3">
        <v>8</v>
      </c>
      <c r="G3856" t="s">
        <v>513</v>
      </c>
    </row>
    <row r="3857" spans="1:7" x14ac:dyDescent="0.25">
      <c r="A3857" s="1" t="str">
        <f>"522172"</f>
        <v>522172</v>
      </c>
      <c r="B3857" s="2" t="str">
        <f>"CABO COBRE FLX IS0,6/1KV EPR90°C GSETTEIRISTECHC5 1x150mm²PT"</f>
        <v>CABO COBRE FLX IS0,6/1KV EPR90°C GSETTEIRISTECHC5 1x150mm²PT</v>
      </c>
      <c r="C3857" s="2" t="str">
        <f t="shared" si="155"/>
        <v>MT</v>
      </c>
      <c r="D3857" s="7">
        <v>602</v>
      </c>
      <c r="E3857" s="3">
        <v>8</v>
      </c>
      <c r="F3857" s="3">
        <v>8</v>
      </c>
      <c r="G3857" t="s">
        <v>513</v>
      </c>
    </row>
    <row r="3858" spans="1:7" x14ac:dyDescent="0.25">
      <c r="A3858" s="1" t="str">
        <f>"522173"</f>
        <v>522173</v>
      </c>
      <c r="B3858" s="2" t="str">
        <f>"CABO COBRE FLX IS0,6/1KV EPR90°C GSETTEIRISTECHC5 1x240mm²PT"</f>
        <v>CABO COBRE FLX IS0,6/1KV EPR90°C GSETTEIRISTECHC5 1x240mm²PT</v>
      </c>
      <c r="C3858" s="2" t="str">
        <f t="shared" si="155"/>
        <v>MT</v>
      </c>
      <c r="D3858" s="7">
        <v>602</v>
      </c>
      <c r="E3858" s="3">
        <v>8</v>
      </c>
      <c r="F3858" s="3">
        <v>8</v>
      </c>
      <c r="G3858" t="s">
        <v>512</v>
      </c>
    </row>
    <row r="3859" spans="1:7" x14ac:dyDescent="0.25">
      <c r="A3859" s="1" t="str">
        <f>"522177"</f>
        <v>522177</v>
      </c>
      <c r="B3859" s="2" t="str">
        <f>"CABO COBRE FLX IS0,6/1KV EPR90°C GSETTEIRISTECHC5 1x240mm²VD"</f>
        <v>CABO COBRE FLX IS0,6/1KV EPR90°C GSETTEIRISTECHC5 1x240mm²VD</v>
      </c>
      <c r="C3859" s="2" t="str">
        <f t="shared" si="155"/>
        <v>MT</v>
      </c>
      <c r="D3859" s="7">
        <v>602</v>
      </c>
      <c r="E3859" s="3">
        <v>8</v>
      </c>
      <c r="F3859" s="3">
        <v>8</v>
      </c>
      <c r="G3859" t="s">
        <v>513</v>
      </c>
    </row>
    <row r="3860" spans="1:7" x14ac:dyDescent="0.25">
      <c r="A3860" s="1" t="str">
        <f>"524230"</f>
        <v>524230</v>
      </c>
      <c r="B3860" s="2" t="str">
        <f>"CABO COBRE FLX IS0,6/1KV EPR90°C GSETTEIRISTECHC5 3x2,5mm²PT"</f>
        <v>CABO COBRE FLX IS0,6/1KV EPR90°C GSETTEIRISTECHC5 3x2,5mm²PT</v>
      </c>
      <c r="C3860" s="2" t="str">
        <f t="shared" si="155"/>
        <v>MT</v>
      </c>
      <c r="D3860" s="7">
        <v>602</v>
      </c>
      <c r="E3860" s="3">
        <v>8</v>
      </c>
      <c r="F3860" s="3">
        <v>8</v>
      </c>
      <c r="G3860" t="s">
        <v>514</v>
      </c>
    </row>
    <row r="3861" spans="1:7" x14ac:dyDescent="0.25">
      <c r="A3861" s="1" t="str">
        <f>"522178"</f>
        <v>522178</v>
      </c>
      <c r="B3861" s="2" t="str">
        <f>"CABO COBRE FLX IS0,6/1KV EPR90°C GSETTEIRISTECHC5 4x2,5mm²PT"</f>
        <v>CABO COBRE FLX IS0,6/1KV EPR90°C GSETTEIRISTECHC5 4x2,5mm²PT</v>
      </c>
      <c r="C3861" s="2" t="str">
        <f t="shared" si="155"/>
        <v>MT</v>
      </c>
      <c r="D3861" s="7">
        <v>602</v>
      </c>
      <c r="E3861" s="3">
        <v>8</v>
      </c>
      <c r="F3861" s="3">
        <v>8</v>
      </c>
      <c r="G3861" t="s">
        <v>515</v>
      </c>
    </row>
    <row r="3862" spans="1:7" x14ac:dyDescent="0.25">
      <c r="A3862" s="1" t="str">
        <f>"524231"</f>
        <v>524231</v>
      </c>
      <c r="B3862" s="2" t="str">
        <f>"CABO COBRE FLX IS0,6/1KV EPR90°C GSETTEIRISTECHC5 4x4.0mm²P"</f>
        <v>CABO COBRE FLX IS0,6/1KV EPR90°C GSETTEIRISTECHC5 4x4.0mm²P</v>
      </c>
      <c r="C3862" s="2" t="str">
        <f t="shared" si="155"/>
        <v>MT</v>
      </c>
      <c r="D3862" s="7">
        <v>602</v>
      </c>
      <c r="E3862" s="3">
        <v>8</v>
      </c>
      <c r="F3862" s="3">
        <v>8</v>
      </c>
      <c r="G3862" t="s">
        <v>512</v>
      </c>
    </row>
    <row r="3863" spans="1:7" x14ac:dyDescent="0.25">
      <c r="A3863" s="1" t="str">
        <f>"522153"</f>
        <v>522153</v>
      </c>
      <c r="B3863" s="2" t="str">
        <f>"CABO COBRE NU 50MM 7 FIOS 3MM (NBR6524)"</f>
        <v>CABO COBRE NU 50MM 7 FIOS 3MM (NBR6524)</v>
      </c>
      <c r="C3863" s="2" t="str">
        <f t="shared" si="155"/>
        <v>MT</v>
      </c>
      <c r="D3863" s="7">
        <v>602</v>
      </c>
      <c r="E3863" s="3">
        <v>8</v>
      </c>
      <c r="F3863" s="3">
        <v>8</v>
      </c>
      <c r="G3863" t="s">
        <v>516</v>
      </c>
    </row>
    <row r="3864" spans="1:7" x14ac:dyDescent="0.25">
      <c r="A3864" s="1" t="str">
        <f>"526538"</f>
        <v>526538</v>
      </c>
      <c r="B3864" s="2" t="str">
        <f>"CABO COM CONECTOR ANGULAR M12 .COD.EVF004"</f>
        <v>CABO COM CONECTOR ANGULAR M12 .COD.EVF004</v>
      </c>
      <c r="C3864" s="2" t="str">
        <f>"UN"</f>
        <v>UN</v>
      </c>
      <c r="D3864" s="7">
        <v>811</v>
      </c>
      <c r="E3864" s="3">
        <v>8</v>
      </c>
      <c r="F3864" s="3">
        <v>8</v>
      </c>
      <c r="G3864" t="s">
        <v>515</v>
      </c>
    </row>
    <row r="3865" spans="1:7" x14ac:dyDescent="0.25">
      <c r="A3865" s="1" t="str">
        <f>"527335"</f>
        <v>527335</v>
      </c>
      <c r="B3865" s="2" t="str">
        <f>"CABO COM CONECTOR EVC561"</f>
        <v>CABO COM CONECTOR EVC561</v>
      </c>
      <c r="C3865" s="2" t="str">
        <f>"UN"</f>
        <v>UN</v>
      </c>
      <c r="D3865" s="7">
        <v>811</v>
      </c>
      <c r="E3865" s="3">
        <v>8</v>
      </c>
      <c r="F3865" s="3">
        <v>8</v>
      </c>
      <c r="G3865" t="s">
        <v>514</v>
      </c>
    </row>
    <row r="3866" spans="1:7" x14ac:dyDescent="0.25">
      <c r="A3866" s="1" t="str">
        <f>"527336"</f>
        <v>527336</v>
      </c>
      <c r="B3866" s="2" t="str">
        <f>"CABO COM CONECTOR EVC591"</f>
        <v>CABO COM CONECTOR EVC591</v>
      </c>
      <c r="C3866" s="2" t="str">
        <f>"UN"</f>
        <v>UN</v>
      </c>
      <c r="D3866" s="7">
        <v>811</v>
      </c>
      <c r="E3866" s="3">
        <v>8</v>
      </c>
      <c r="F3866" s="3">
        <v>8</v>
      </c>
      <c r="G3866" t="s">
        <v>512</v>
      </c>
    </row>
    <row r="3867" spans="1:7" x14ac:dyDescent="0.25">
      <c r="A3867" s="1" t="str">
        <f>"526572"</f>
        <v>526572</v>
      </c>
      <c r="B3867" s="2" t="str">
        <f>"CABO COM CONECTOR EVT006"</f>
        <v>CABO COM CONECTOR EVT006</v>
      </c>
      <c r="C3867" s="2" t="str">
        <f>"UN"</f>
        <v>UN</v>
      </c>
      <c r="D3867" s="7">
        <v>811</v>
      </c>
      <c r="E3867" s="3">
        <v>8</v>
      </c>
      <c r="F3867" s="3">
        <v>8</v>
      </c>
      <c r="G3867" t="s">
        <v>513</v>
      </c>
    </row>
    <row r="3868" spans="1:7" x14ac:dyDescent="0.25">
      <c r="A3868" s="1" t="str">
        <f>"526575"</f>
        <v>526575</v>
      </c>
      <c r="B3868" s="2" t="str">
        <f>"CABO COM CONECTOR EVT068"</f>
        <v>CABO COM CONECTOR EVT068</v>
      </c>
      <c r="C3868" s="2" t="str">
        <f>"PC"</f>
        <v>PC</v>
      </c>
      <c r="D3868" s="7">
        <v>600</v>
      </c>
      <c r="E3868" s="3">
        <v>8</v>
      </c>
      <c r="F3868" s="3">
        <v>8</v>
      </c>
      <c r="G3868" t="s">
        <v>514</v>
      </c>
    </row>
    <row r="3869" spans="1:7" x14ac:dyDescent="0.25">
      <c r="A3869" s="1" t="str">
        <f>"526722"</f>
        <v>526722</v>
      </c>
      <c r="B3869" s="2" t="str">
        <f>"CABO COM CONECTOR EVT388"</f>
        <v>CABO COM CONECTOR EVT388</v>
      </c>
      <c r="C3869" s="2" t="str">
        <f t="shared" ref="C3869:C3874" si="156">"MT"</f>
        <v>MT</v>
      </c>
      <c r="D3869" s="7">
        <v>602</v>
      </c>
      <c r="E3869" s="3">
        <v>8</v>
      </c>
      <c r="F3869" s="3">
        <v>8</v>
      </c>
      <c r="G3869" t="s">
        <v>514</v>
      </c>
    </row>
    <row r="3870" spans="1:7" x14ac:dyDescent="0.25">
      <c r="A3870" s="1" t="str">
        <f>"526721"</f>
        <v>526721</v>
      </c>
      <c r="B3870" s="2" t="str">
        <f>"CABO COM CONECTOR EVT443"</f>
        <v>CABO COM CONECTOR EVT443</v>
      </c>
      <c r="C3870" s="2" t="str">
        <f t="shared" si="156"/>
        <v>MT</v>
      </c>
      <c r="D3870" s="7">
        <v>602</v>
      </c>
      <c r="E3870" s="3">
        <v>8</v>
      </c>
      <c r="F3870" s="3">
        <v>8</v>
      </c>
      <c r="G3870" t="s">
        <v>512</v>
      </c>
    </row>
    <row r="3871" spans="1:7" x14ac:dyDescent="0.25">
      <c r="A3871" s="1" t="str">
        <f>"522181"</f>
        <v>522181</v>
      </c>
      <c r="B3871" s="2" t="str">
        <f>"CABO COM IS 750 CL5 COND COLOR 25X1MM"</f>
        <v>CABO COM IS 750 CL5 COND COLOR 25X1MM</v>
      </c>
      <c r="C3871" s="2" t="str">
        <f t="shared" si="156"/>
        <v>MT</v>
      </c>
      <c r="D3871" s="7">
        <v>602</v>
      </c>
      <c r="E3871" s="3">
        <v>8</v>
      </c>
      <c r="F3871" s="3">
        <v>8</v>
      </c>
      <c r="G3871" t="s">
        <v>513</v>
      </c>
    </row>
    <row r="3872" spans="1:7" x14ac:dyDescent="0.25">
      <c r="A3872" s="1" t="str">
        <f>"522179"</f>
        <v>522179</v>
      </c>
      <c r="B3872" s="2" t="str">
        <f>"CABO COM IS 750 CL5 COND COLOR 25X1MM SHIELD BLINDADO"</f>
        <v>CABO COM IS 750 CL5 COND COLOR 25X1MM SHIELD BLINDADO</v>
      </c>
      <c r="C3872" s="2" t="str">
        <f t="shared" si="156"/>
        <v>MT</v>
      </c>
      <c r="D3872" s="7">
        <v>602</v>
      </c>
      <c r="E3872" s="3">
        <v>8</v>
      </c>
      <c r="F3872" s="3">
        <v>8</v>
      </c>
      <c r="G3872" t="s">
        <v>514</v>
      </c>
    </row>
    <row r="3873" spans="1:7" x14ac:dyDescent="0.25">
      <c r="A3873" s="1" t="str">
        <f>"522182"</f>
        <v>522182</v>
      </c>
      <c r="B3873" s="2" t="str">
        <f>"CABO COM IS 750 CL5 COND COLOR 3X1MM"</f>
        <v>CABO COM IS 750 CL5 COND COLOR 3X1MM</v>
      </c>
      <c r="C3873" s="2" t="str">
        <f t="shared" si="156"/>
        <v>MT</v>
      </c>
      <c r="D3873" s="7">
        <v>602</v>
      </c>
      <c r="E3873" s="3">
        <v>8</v>
      </c>
      <c r="F3873" s="3">
        <v>8</v>
      </c>
      <c r="G3873" t="s">
        <v>514</v>
      </c>
    </row>
    <row r="3874" spans="1:7" x14ac:dyDescent="0.25">
      <c r="A3874" s="1" t="str">
        <f>"522180"</f>
        <v>522180</v>
      </c>
      <c r="B3874" s="2" t="str">
        <f>"CABO COM IS 750 CL5 COND COLOR 3X1MM SHIELD BLINDADO"</f>
        <v>CABO COM IS 750 CL5 COND COLOR 3X1MM SHIELD BLINDADO</v>
      </c>
      <c r="C3874" s="2" t="str">
        <f t="shared" si="156"/>
        <v>MT</v>
      </c>
      <c r="D3874" s="7">
        <v>602</v>
      </c>
      <c r="E3874" s="3">
        <v>8</v>
      </c>
      <c r="F3874" s="3">
        <v>8</v>
      </c>
      <c r="G3874" t="s">
        <v>514</v>
      </c>
    </row>
    <row r="3875" spans="1:7" x14ac:dyDescent="0.25">
      <c r="A3875" s="1" t="str">
        <f>"517744"</f>
        <v>517744</v>
      </c>
      <c r="B3875" s="2" t="str">
        <f>"CABO COM SERIAL ENTRE CLP E IHM - GT01 900.01.0260"</f>
        <v>CABO COM SERIAL ENTRE CLP E IHM - GT01 900.01.0260</v>
      </c>
      <c r="C3875" s="2" t="str">
        <f>"UN"</f>
        <v>UN</v>
      </c>
      <c r="D3875" s="7">
        <v>811</v>
      </c>
      <c r="E3875" s="3">
        <v>8</v>
      </c>
      <c r="F3875" s="3">
        <v>8</v>
      </c>
      <c r="G3875" t="s">
        <v>513</v>
      </c>
    </row>
    <row r="3876" spans="1:7" x14ac:dyDescent="0.25">
      <c r="A3876" s="1" t="str">
        <f>"518054"</f>
        <v>518054</v>
      </c>
      <c r="B3876" s="2" t="str">
        <f>"CABO COM SERIAL ENTRE CLP E IHM - GT01 900.01.0261"</f>
        <v>CABO COM SERIAL ENTRE CLP E IHM - GT01 900.01.0261</v>
      </c>
      <c r="C3876" s="2" t="str">
        <f>"UN"</f>
        <v>UN</v>
      </c>
      <c r="D3876" s="7">
        <v>811</v>
      </c>
      <c r="E3876" s="3">
        <v>8</v>
      </c>
      <c r="F3876" s="3">
        <v>8</v>
      </c>
      <c r="G3876" t="s">
        <v>512</v>
      </c>
    </row>
    <row r="3877" spans="1:7" x14ac:dyDescent="0.25">
      <c r="A3877" s="1" t="str">
        <f>"514134"</f>
        <v>514134</v>
      </c>
      <c r="B3877" s="2" t="str">
        <f>"CABO COMANDO 10 X 1,0MM FLEX CLASSE 5"</f>
        <v>CABO COMANDO 10 X 1,0MM FLEX CLASSE 5</v>
      </c>
      <c r="C3877" s="2" t="str">
        <f>"UN"</f>
        <v>UN</v>
      </c>
      <c r="D3877" s="7">
        <v>602</v>
      </c>
      <c r="E3877" s="3">
        <v>8</v>
      </c>
      <c r="F3877" s="3">
        <v>8</v>
      </c>
      <c r="G3877" t="s">
        <v>513</v>
      </c>
    </row>
    <row r="3878" spans="1:7" x14ac:dyDescent="0.25">
      <c r="A3878" s="1" t="str">
        <f>"511238"</f>
        <v>511238</v>
      </c>
      <c r="B3878" s="2" t="str">
        <f>"CABO COMANDO 4 X 1,00MM"</f>
        <v>CABO COMANDO 4 X 1,00MM</v>
      </c>
      <c r="C3878" s="2" t="str">
        <f>"MT"</f>
        <v>MT</v>
      </c>
      <c r="D3878" s="7">
        <v>602</v>
      </c>
      <c r="E3878" s="3">
        <v>8</v>
      </c>
      <c r="F3878" s="3">
        <v>8</v>
      </c>
      <c r="G3878" t="s">
        <v>514</v>
      </c>
    </row>
    <row r="3879" spans="1:7" x14ac:dyDescent="0.25">
      <c r="A3879" s="1" t="str">
        <f>"509562"</f>
        <v>509562</v>
      </c>
      <c r="B3879" s="2" t="str">
        <f>"CABO COMUNICAÇAO PLC/UNITRONICS"</f>
        <v>CABO COMUNICAÇAO PLC/UNITRONICS</v>
      </c>
      <c r="C3879" s="2" t="str">
        <f>"MT"</f>
        <v>MT</v>
      </c>
      <c r="D3879" s="7">
        <v>602</v>
      </c>
      <c r="E3879" s="3">
        <v>8</v>
      </c>
      <c r="F3879" s="3">
        <v>8</v>
      </c>
      <c r="G3879" t="s">
        <v>514</v>
      </c>
    </row>
    <row r="3880" spans="1:7" x14ac:dyDescent="0.25">
      <c r="A3880" s="1" t="str">
        <f>"522844"</f>
        <v>522844</v>
      </c>
      <c r="B3880" s="8" t="s">
        <v>341</v>
      </c>
      <c r="C3880" s="2" t="str">
        <f>"UN"</f>
        <v>UN</v>
      </c>
      <c r="D3880" s="7">
        <v>900</v>
      </c>
      <c r="E3880" s="3">
        <v>10</v>
      </c>
      <c r="F3880" s="3">
        <v>10</v>
      </c>
      <c r="G3880" t="s">
        <v>514</v>
      </c>
    </row>
    <row r="3881" spans="1:7" x14ac:dyDescent="0.25">
      <c r="A3881" s="1" t="str">
        <f>"525600"</f>
        <v>525600</v>
      </c>
      <c r="B3881" s="2" t="str">
        <f>"CABO CONECTOR FEMEA 4 POLOS M8 5 METROS"</f>
        <v>CABO CONECTOR FEMEA 4 POLOS M8 5 METROS</v>
      </c>
      <c r="C3881" s="2" t="str">
        <f>"UN"</f>
        <v>UN</v>
      </c>
      <c r="D3881" s="7">
        <v>918</v>
      </c>
      <c r="E3881" s="3">
        <v>10</v>
      </c>
      <c r="F3881" s="3">
        <v>10</v>
      </c>
      <c r="G3881" t="s">
        <v>513</v>
      </c>
    </row>
    <row r="3882" spans="1:7" x14ac:dyDescent="0.25">
      <c r="A3882" s="1" t="str">
        <f>"527777"</f>
        <v>527777</v>
      </c>
      <c r="B3882" s="2" t="str">
        <f>"CABO CONECTOR FEMEA P SENSOR SICK M08 3P 5P SCAB08000011S"</f>
        <v>CABO CONECTOR FEMEA P SENSOR SICK M08 3P 5P SCAB08000011S</v>
      </c>
      <c r="C3882" s="2" t="str">
        <f>"UN"</f>
        <v>UN</v>
      </c>
      <c r="D3882" s="7">
        <v>811</v>
      </c>
      <c r="E3882" s="3">
        <v>8</v>
      </c>
      <c r="F3882" s="3">
        <v>8</v>
      </c>
      <c r="G3882" t="s">
        <v>513</v>
      </c>
    </row>
    <row r="3883" spans="1:7" x14ac:dyDescent="0.25">
      <c r="A3883" s="1" t="str">
        <f>"526861"</f>
        <v>526861</v>
      </c>
      <c r="B3883" s="2" t="str">
        <f>"CABO CONEXÃO NEBU-M12W5-K-5-LE5 567844"</f>
        <v>CABO CONEXÃO NEBU-M12W5-K-5-LE5 567844</v>
      </c>
      <c r="C3883" s="2" t="str">
        <f>"UN"</f>
        <v>UN</v>
      </c>
      <c r="D3883" s="7">
        <v>808</v>
      </c>
      <c r="E3883" s="3">
        <v>11</v>
      </c>
      <c r="F3883" s="3">
        <v>11</v>
      </c>
      <c r="G3883" t="s">
        <v>513</v>
      </c>
    </row>
    <row r="3884" spans="1:7" x14ac:dyDescent="0.25">
      <c r="A3884" s="1" t="str">
        <f>"521987"</f>
        <v>521987</v>
      </c>
      <c r="B3884" s="2" t="str">
        <f>"CABO CONT. CL5 PVC 70º 1 PAR S/ BLINDAGEM"</f>
        <v>CABO CONT. CL5 PVC 70º 1 PAR S/ BLINDAGEM</v>
      </c>
      <c r="C3884" s="2" t="str">
        <f>"MT"</f>
        <v>MT</v>
      </c>
      <c r="D3884" s="7">
        <v>602</v>
      </c>
      <c r="E3884" s="3">
        <v>8</v>
      </c>
      <c r="F3884" s="3">
        <v>8</v>
      </c>
      <c r="G3884" t="s">
        <v>512</v>
      </c>
    </row>
    <row r="3885" spans="1:7" x14ac:dyDescent="0.25">
      <c r="A3885" s="1" t="str">
        <f>"511482"</f>
        <v>511482</v>
      </c>
      <c r="B3885" s="2" t="str">
        <f>"CABO DE AÇO 1/2"""</f>
        <v>CABO DE AÇO 1/2"</v>
      </c>
      <c r="C3885" s="2" t="str">
        <f>"UN"</f>
        <v>UN</v>
      </c>
      <c r="D3885" s="7">
        <v>402</v>
      </c>
      <c r="E3885" s="3">
        <v>4</v>
      </c>
      <c r="F3885" s="3">
        <v>4</v>
      </c>
      <c r="G3885" t="s">
        <v>513</v>
      </c>
    </row>
    <row r="3886" spans="1:7" x14ac:dyDescent="0.25">
      <c r="A3886" s="1" t="str">
        <f>"517040"</f>
        <v>517040</v>
      </c>
      <c r="B3886" s="2" t="str">
        <f>"CABO DE AÇO 1/4"" (6,35MM) 6X19 AA - GALVANIZADO"</f>
        <v>CABO DE AÇO 1/4" (6,35MM) 6X19 AA - GALVANIZADO</v>
      </c>
      <c r="C3886" s="2" t="str">
        <f>"UN"</f>
        <v>UN</v>
      </c>
      <c r="D3886" s="7">
        <v>918</v>
      </c>
      <c r="E3886" s="3">
        <v>10</v>
      </c>
      <c r="F3886" s="3">
        <v>10</v>
      </c>
      <c r="G3886" t="s">
        <v>514</v>
      </c>
    </row>
    <row r="3887" spans="1:7" x14ac:dyDescent="0.25">
      <c r="A3887" s="1" t="str">
        <f>"514476"</f>
        <v>514476</v>
      </c>
      <c r="B3887" s="2" t="str">
        <f>"CABO DE AÇO 1/8"""</f>
        <v>CABO DE AÇO 1/8"</v>
      </c>
      <c r="C3887" s="2" t="str">
        <f>"UN"</f>
        <v>UN</v>
      </c>
      <c r="D3887" s="7">
        <v>917</v>
      </c>
      <c r="E3887" s="3">
        <v>4</v>
      </c>
      <c r="F3887" s="3">
        <v>4</v>
      </c>
      <c r="G3887" t="s">
        <v>515</v>
      </c>
    </row>
    <row r="3888" spans="1:7" x14ac:dyDescent="0.25">
      <c r="A3888" s="1" t="str">
        <f>"526696"</f>
        <v>526696</v>
      </c>
      <c r="B3888" s="2" t="str">
        <f>"CABO DE AÇO 3,2MM"</f>
        <v>CABO DE AÇO 3,2MM</v>
      </c>
      <c r="C3888" s="2" t="str">
        <f>"UN"</f>
        <v>UN</v>
      </c>
      <c r="D3888" s="7">
        <v>812</v>
      </c>
      <c r="E3888" s="3">
        <v>10</v>
      </c>
      <c r="F3888" s="3">
        <v>10</v>
      </c>
      <c r="G3888" t="s">
        <v>512</v>
      </c>
    </row>
    <row r="3889" spans="1:7" x14ac:dyDescent="0.25">
      <c r="A3889" s="1" t="str">
        <f>"518519"</f>
        <v>518519</v>
      </c>
      <c r="B3889" s="2" t="str">
        <f>"CABO DE AÇO 3/16"""</f>
        <v>CABO DE AÇO 3/16"</v>
      </c>
      <c r="C3889" s="2" t="str">
        <f>"UN"</f>
        <v>UN</v>
      </c>
      <c r="D3889" s="7">
        <v>402</v>
      </c>
      <c r="E3889" s="3">
        <v>4</v>
      </c>
      <c r="F3889" s="3">
        <v>4</v>
      </c>
      <c r="G3889" t="s">
        <v>516</v>
      </c>
    </row>
    <row r="3890" spans="1:7" x14ac:dyDescent="0.25">
      <c r="A3890" s="1" t="str">
        <f>"523353"</f>
        <v>523353</v>
      </c>
      <c r="B3890" s="2" t="str">
        <f>"CABO DE AÇO 3/8"</f>
        <v>CABO DE AÇO 3/8</v>
      </c>
      <c r="C3890" s="2" t="str">
        <f>"MT"</f>
        <v>MT</v>
      </c>
      <c r="D3890" s="7">
        <v>402</v>
      </c>
      <c r="E3890" s="3">
        <v>4</v>
      </c>
      <c r="F3890" s="3">
        <v>4</v>
      </c>
      <c r="G3890" t="s">
        <v>515</v>
      </c>
    </row>
    <row r="3891" spans="1:7" x14ac:dyDescent="0.25">
      <c r="A3891" s="1" t="str">
        <f>"519340"</f>
        <v>519340</v>
      </c>
      <c r="B3891" s="2" t="str">
        <f>"CABO DE AÇO 5/16"""</f>
        <v>CABO DE AÇO 5/16"</v>
      </c>
      <c r="C3891" s="2" t="str">
        <f>"UN"</f>
        <v>UN</v>
      </c>
      <c r="D3891" s="7">
        <v>402</v>
      </c>
      <c r="E3891" s="3">
        <v>4</v>
      </c>
      <c r="F3891" s="3">
        <v>4</v>
      </c>
      <c r="G3891" t="s">
        <v>514</v>
      </c>
    </row>
    <row r="3892" spans="1:7" x14ac:dyDescent="0.25">
      <c r="A3892" s="1" t="str">
        <f>"526628"</f>
        <v>526628</v>
      </c>
      <c r="B3892" s="2" t="str">
        <f>"CABO DE AÇO 5/32"""</f>
        <v>CABO DE AÇO 5/32"</v>
      </c>
      <c r="C3892" s="2" t="str">
        <f>"UN"</f>
        <v>UN</v>
      </c>
      <c r="D3892" s="7">
        <v>816</v>
      </c>
      <c r="E3892" s="3">
        <v>11</v>
      </c>
      <c r="F3892" s="3">
        <v>11</v>
      </c>
      <c r="G3892" t="s">
        <v>512</v>
      </c>
    </row>
    <row r="3893" spans="1:7" x14ac:dyDescent="0.25">
      <c r="A3893" s="1" t="str">
        <f>"523449"</f>
        <v>523449</v>
      </c>
      <c r="B3893" s="2" t="str">
        <f>"CABO DE AÇO 5/8"</f>
        <v>CABO DE AÇO 5/8</v>
      </c>
      <c r="C3893" s="2" t="str">
        <f>"MT"</f>
        <v>MT</v>
      </c>
      <c r="D3893" s="7">
        <v>402</v>
      </c>
      <c r="E3893" s="3">
        <v>4</v>
      </c>
      <c r="F3893" s="3">
        <v>4</v>
      </c>
      <c r="G3893" t="s">
        <v>513</v>
      </c>
    </row>
    <row r="3894" spans="1:7" x14ac:dyDescent="0.25">
      <c r="A3894" s="1" t="str">
        <f>"521490"</f>
        <v>521490</v>
      </c>
      <c r="B3894" s="2" t="str">
        <f>"CABO DE AÇO 8MM"</f>
        <v>CABO DE AÇO 8MM</v>
      </c>
      <c r="C3894" s="2" t="str">
        <f>"MT"</f>
        <v>MT</v>
      </c>
      <c r="D3894" s="7">
        <v>402</v>
      </c>
      <c r="E3894" s="3">
        <v>4</v>
      </c>
      <c r="F3894" s="3">
        <v>4</v>
      </c>
      <c r="G3894" t="s">
        <v>514</v>
      </c>
    </row>
    <row r="3895" spans="1:7" x14ac:dyDescent="0.25">
      <c r="A3895" s="1" t="str">
        <f>"524254"</f>
        <v>524254</v>
      </c>
      <c r="B3895" s="2" t="str">
        <f>"CABO DE AÇO GALVANIZADO P/ HCA 10MT"</f>
        <v>CABO DE AÇO GALVANIZADO P/ HCA 10MT</v>
      </c>
      <c r="C3895" s="2" t="str">
        <f>"UN"</f>
        <v>UN</v>
      </c>
      <c r="D3895" s="7">
        <v>99999</v>
      </c>
      <c r="E3895" s="3">
        <v>99</v>
      </c>
      <c r="F3895" s="3">
        <v>99</v>
      </c>
      <c r="G3895" t="s">
        <v>514</v>
      </c>
    </row>
    <row r="3896" spans="1:7" x14ac:dyDescent="0.25">
      <c r="A3896" s="1" t="str">
        <f>"522771"</f>
        <v>522771</v>
      </c>
      <c r="B3896" s="2" t="str">
        <f>"CABO DE AÇO POLIDO 6,35 -1/4 -6X7"</f>
        <v>CABO DE AÇO POLIDO 6,35 -1/4 -6X7</v>
      </c>
      <c r="C3896" s="2" t="str">
        <f>"MT"</f>
        <v>MT</v>
      </c>
      <c r="D3896" s="7">
        <v>402</v>
      </c>
      <c r="E3896" s="3">
        <v>4</v>
      </c>
      <c r="F3896" s="3">
        <v>4</v>
      </c>
      <c r="G3896" t="s">
        <v>512</v>
      </c>
    </row>
    <row r="3897" spans="1:7" x14ac:dyDescent="0.25">
      <c r="A3897" s="1" t="str">
        <f>"520738"</f>
        <v>520738</v>
      </c>
      <c r="B3897" s="2" t="str">
        <f>"CABO DE AÇO REVESTIDO 4,8MM X 1,8MT"</f>
        <v>CABO DE AÇO REVESTIDO 4,8MM X 1,8MT</v>
      </c>
      <c r="C3897" s="2" t="str">
        <f>"UN"</f>
        <v>UN</v>
      </c>
      <c r="D3897" s="7">
        <v>817</v>
      </c>
      <c r="E3897" s="3">
        <v>4</v>
      </c>
      <c r="F3897" s="3">
        <v>4</v>
      </c>
      <c r="G3897" t="s">
        <v>513</v>
      </c>
    </row>
    <row r="3898" spans="1:7" x14ac:dyDescent="0.25">
      <c r="A3898" s="1" t="str">
        <f>"527120"</f>
        <v>527120</v>
      </c>
      <c r="B3898" s="2" t="str">
        <f>"CABO DE AÇO REVESTIDO 4,8MM X 1,8MT CA1,8"</f>
        <v>CABO DE AÇO REVESTIDO 4,8MM X 1,8MT CA1,8</v>
      </c>
      <c r="C3898" s="2" t="str">
        <f>"UN"</f>
        <v>UN</v>
      </c>
      <c r="D3898" s="7">
        <v>501</v>
      </c>
      <c r="E3898" s="3">
        <v>5</v>
      </c>
      <c r="F3898" s="3">
        <v>5</v>
      </c>
      <c r="G3898" t="s">
        <v>514</v>
      </c>
    </row>
    <row r="3899" spans="1:7" x14ac:dyDescent="0.25">
      <c r="A3899" s="1" t="str">
        <f>"527119"</f>
        <v>527119</v>
      </c>
      <c r="B3899" s="2" t="str">
        <f>"CABO DE AÇO REVESTIDO 4,8MM X 1MT CA1"</f>
        <v>CABO DE AÇO REVESTIDO 4,8MM X 1MT CA1</v>
      </c>
      <c r="C3899" s="2" t="str">
        <f>"UN"</f>
        <v>UN</v>
      </c>
      <c r="D3899" s="7">
        <v>501</v>
      </c>
      <c r="E3899" s="3">
        <v>5</v>
      </c>
      <c r="F3899" s="3">
        <v>5</v>
      </c>
      <c r="G3899" t="s">
        <v>514</v>
      </c>
    </row>
    <row r="3900" spans="1:7" x14ac:dyDescent="0.25">
      <c r="A3900" s="1" t="str">
        <f>"513564"</f>
        <v>513564</v>
      </c>
      <c r="B3900" s="2" t="str">
        <f>"CABO DE ALUMINIO"</f>
        <v>CABO DE ALUMINIO</v>
      </c>
      <c r="C3900" s="2" t="str">
        <f>"UN"</f>
        <v>UN</v>
      </c>
      <c r="D3900" s="7">
        <v>408</v>
      </c>
      <c r="E3900" s="3">
        <v>4</v>
      </c>
      <c r="F3900" s="3">
        <v>4</v>
      </c>
      <c r="G3900" t="s">
        <v>514</v>
      </c>
    </row>
    <row r="3901" spans="1:7" x14ac:dyDescent="0.25">
      <c r="A3901" s="1" t="str">
        <f>"6066"</f>
        <v>6066</v>
      </c>
      <c r="B3901" s="2" t="str">
        <f>"CABO DE ALUMINIO 1,20MTS P/ ESCOVA (141)"</f>
        <v>CABO DE ALUMINIO 1,20MTS P/ ESCOVA (141)</v>
      </c>
      <c r="C3901" s="2" t="str">
        <f>"UN"</f>
        <v>UN</v>
      </c>
      <c r="D3901" s="7">
        <v>408</v>
      </c>
      <c r="E3901" s="3">
        <v>4</v>
      </c>
      <c r="F3901" s="3">
        <v>4</v>
      </c>
      <c r="G3901" t="s">
        <v>513</v>
      </c>
    </row>
    <row r="3902" spans="1:7" x14ac:dyDescent="0.25">
      <c r="A3902" s="1" t="str">
        <f>"523020"</f>
        <v>523020</v>
      </c>
      <c r="B3902" s="2" t="str">
        <f>"CABO DE COBRE 120MM 750V 70° AZUL CLARO (NEUTRO)"</f>
        <v>CABO DE COBRE 120MM 750V 70° AZUL CLARO (NEUTRO)</v>
      </c>
      <c r="C3902" s="2" t="str">
        <f>"MT"</f>
        <v>MT</v>
      </c>
      <c r="D3902" s="7">
        <v>811</v>
      </c>
      <c r="E3902" s="3">
        <v>10</v>
      </c>
      <c r="F3902" s="3">
        <v>10</v>
      </c>
      <c r="G3902" t="s">
        <v>512</v>
      </c>
    </row>
    <row r="3903" spans="1:7" x14ac:dyDescent="0.25">
      <c r="A3903" s="1" t="str">
        <f>"523019"</f>
        <v>523019</v>
      </c>
      <c r="B3903" s="2" t="str">
        <f>"CABO DE COBRE 120MM 750V 70° VERDE"</f>
        <v>CABO DE COBRE 120MM 750V 70° VERDE</v>
      </c>
      <c r="C3903" s="2" t="str">
        <f>"MT"</f>
        <v>MT</v>
      </c>
      <c r="D3903" s="7">
        <v>811</v>
      </c>
      <c r="E3903" s="3">
        <v>10</v>
      </c>
      <c r="F3903" s="3">
        <v>10</v>
      </c>
      <c r="G3903" t="s">
        <v>513</v>
      </c>
    </row>
    <row r="3904" spans="1:7" x14ac:dyDescent="0.25">
      <c r="A3904" s="1" t="str">
        <f>"523018"</f>
        <v>523018</v>
      </c>
      <c r="B3904" s="2" t="str">
        <f>"CABO DE COBRE 185MM 750V 70° PRETO"</f>
        <v>CABO DE COBRE 185MM 750V 70° PRETO</v>
      </c>
      <c r="C3904" s="2" t="str">
        <f>"MT"</f>
        <v>MT</v>
      </c>
      <c r="D3904" s="7">
        <v>811</v>
      </c>
      <c r="E3904" s="3">
        <v>10</v>
      </c>
      <c r="F3904" s="3">
        <v>10</v>
      </c>
      <c r="G3904" t="s">
        <v>514</v>
      </c>
    </row>
    <row r="3905" spans="1:7" x14ac:dyDescent="0.25">
      <c r="A3905" s="1" t="str">
        <f>"523017"</f>
        <v>523017</v>
      </c>
      <c r="B3905" s="2" t="str">
        <f>"CABO DE COBRE 2X1MM"</f>
        <v>CABO DE COBRE 2X1MM</v>
      </c>
      <c r="C3905" s="2" t="str">
        <f>"MT"</f>
        <v>MT</v>
      </c>
      <c r="D3905" s="7">
        <v>811</v>
      </c>
      <c r="E3905" s="3">
        <v>10</v>
      </c>
      <c r="F3905" s="3">
        <v>10</v>
      </c>
      <c r="G3905" t="s">
        <v>514</v>
      </c>
    </row>
    <row r="3906" spans="1:7" x14ac:dyDescent="0.25">
      <c r="A3906" s="1" t="str">
        <f>"522974"</f>
        <v>522974</v>
      </c>
      <c r="B3906" s="2" t="str">
        <f>"CABO DE COBRE 4 X 4MM"</f>
        <v>CABO DE COBRE 4 X 4MM</v>
      </c>
      <c r="C3906" s="2" t="str">
        <f>"UN"</f>
        <v>UN</v>
      </c>
      <c r="D3906" s="7">
        <v>811</v>
      </c>
      <c r="E3906" s="3">
        <v>10</v>
      </c>
      <c r="F3906" s="3">
        <v>10</v>
      </c>
      <c r="G3906" t="s">
        <v>514</v>
      </c>
    </row>
    <row r="3907" spans="1:7" x14ac:dyDescent="0.25">
      <c r="A3907" s="1" t="str">
        <f>"524587"</f>
        <v>524587</v>
      </c>
      <c r="B3907" s="2" t="str">
        <f>"CABO DE COBRE 50MM 105G 12/20KV"</f>
        <v>CABO DE COBRE 50MM 105G 12/20KV</v>
      </c>
      <c r="C3907" s="2" t="str">
        <f>"UN"</f>
        <v>UN</v>
      </c>
      <c r="D3907" s="7">
        <v>811</v>
      </c>
      <c r="E3907" s="3">
        <v>10</v>
      </c>
      <c r="F3907" s="3">
        <v>10</v>
      </c>
      <c r="G3907" t="s">
        <v>513</v>
      </c>
    </row>
    <row r="3908" spans="1:7" x14ac:dyDescent="0.25">
      <c r="A3908" s="1" t="str">
        <f>"525966"</f>
        <v>525966</v>
      </c>
      <c r="B3908" s="2" t="str">
        <f>"CABO DE COBRE NU 30MM"</f>
        <v>CABO DE COBRE NU 30MM</v>
      </c>
      <c r="C3908" s="2" t="str">
        <f>"UN"</f>
        <v>UN</v>
      </c>
      <c r="D3908" s="7">
        <v>900</v>
      </c>
      <c r="E3908" s="3">
        <v>11</v>
      </c>
      <c r="F3908" s="3">
        <v>11</v>
      </c>
      <c r="G3908" t="s">
        <v>513</v>
      </c>
    </row>
    <row r="3909" spans="1:7" x14ac:dyDescent="0.25">
      <c r="A3909" s="1" t="str">
        <f>"524583"</f>
        <v>524583</v>
      </c>
      <c r="B3909" s="2" t="str">
        <f>"CABO DE COBRE NU 50MM"</f>
        <v>CABO DE COBRE NU 50MM</v>
      </c>
      <c r="C3909" s="2" t="str">
        <f>"UN"</f>
        <v>UN</v>
      </c>
      <c r="D3909" s="7">
        <v>811</v>
      </c>
      <c r="E3909" s="3">
        <v>10</v>
      </c>
      <c r="F3909" s="3">
        <v>10</v>
      </c>
      <c r="G3909" t="s">
        <v>513</v>
      </c>
    </row>
    <row r="3910" spans="1:7" x14ac:dyDescent="0.25">
      <c r="A3910" s="1" t="str">
        <f>"523208"</f>
        <v>523208</v>
      </c>
      <c r="B3910" s="2" t="str">
        <f>"CABO DE COBRE TETRAPOLAR FLEX 0,6/1KV EPR90° CLASSE05 4X4MM"</f>
        <v>CABO DE COBRE TETRAPOLAR FLEX 0,6/1KV EPR90° CLASSE05 4X4MM</v>
      </c>
      <c r="C3910" s="2" t="str">
        <f>"MT"</f>
        <v>MT</v>
      </c>
      <c r="D3910" s="7">
        <v>811</v>
      </c>
      <c r="E3910" s="3">
        <v>10</v>
      </c>
      <c r="F3910" s="3">
        <v>10</v>
      </c>
      <c r="G3910" t="s">
        <v>512</v>
      </c>
    </row>
    <row r="3911" spans="1:7" x14ac:dyDescent="0.25">
      <c r="A3911" s="1" t="str">
        <f>"523207"</f>
        <v>523207</v>
      </c>
      <c r="B3911" s="2" t="str">
        <f>"CABO DE COBRE TRIPOLAR FLEX 0,6/1KV EPR90° CLASSE05 3X2,5MM"</f>
        <v>CABO DE COBRE TRIPOLAR FLEX 0,6/1KV EPR90° CLASSE05 3X2,5MM</v>
      </c>
      <c r="C3911" s="2" t="str">
        <f>"MT"</f>
        <v>MT</v>
      </c>
      <c r="D3911" s="7">
        <v>811</v>
      </c>
      <c r="E3911" s="3">
        <v>10</v>
      </c>
      <c r="F3911" s="3">
        <v>10</v>
      </c>
      <c r="G3911" t="s">
        <v>513</v>
      </c>
    </row>
    <row r="3912" spans="1:7" x14ac:dyDescent="0.25">
      <c r="A3912" s="1" t="str">
        <f>"522975"</f>
        <v>522975</v>
      </c>
      <c r="B3912" s="2" t="str">
        <f>"CABO DE COBRE UNI 6MM 70° 750V PRETO"</f>
        <v>CABO DE COBRE UNI 6MM 70° 750V PRETO</v>
      </c>
      <c r="C3912" s="2" t="str">
        <f>"UN"</f>
        <v>UN</v>
      </c>
      <c r="D3912" s="7">
        <v>811</v>
      </c>
      <c r="E3912" s="3">
        <v>10</v>
      </c>
      <c r="F3912" s="3">
        <v>10</v>
      </c>
      <c r="G3912" t="s">
        <v>514</v>
      </c>
    </row>
    <row r="3913" spans="1:7" x14ac:dyDescent="0.25">
      <c r="A3913" s="1" t="str">
        <f>"522976"</f>
        <v>522976</v>
      </c>
      <c r="B3913" s="2" t="str">
        <f>"CABO DE COBRE UNI 6MM 70° 750V VERDE"</f>
        <v>CABO DE COBRE UNI 6MM 70° 750V VERDE</v>
      </c>
      <c r="C3913" s="2" t="str">
        <f>"UN"</f>
        <v>UN</v>
      </c>
      <c r="D3913" s="7">
        <v>811</v>
      </c>
      <c r="E3913" s="3">
        <v>10</v>
      </c>
      <c r="F3913" s="3">
        <v>10</v>
      </c>
      <c r="G3913" t="s">
        <v>515</v>
      </c>
    </row>
    <row r="3914" spans="1:7" x14ac:dyDescent="0.25">
      <c r="A3914" s="1" t="str">
        <f>"520395"</f>
        <v>520395</v>
      </c>
      <c r="B3914" s="2" t="str">
        <f>"CABO DE COMANDO 16VIAS PO 0,5MM"</f>
        <v>CABO DE COMANDO 16VIAS PO 0,5MM</v>
      </c>
      <c r="C3914" s="2" t="str">
        <f>"MT"</f>
        <v>MT</v>
      </c>
      <c r="D3914" s="7">
        <v>602</v>
      </c>
      <c r="E3914" s="3">
        <v>8</v>
      </c>
      <c r="F3914" s="3">
        <v>8</v>
      </c>
      <c r="G3914" t="s">
        <v>512</v>
      </c>
    </row>
    <row r="3915" spans="1:7" x14ac:dyDescent="0.25">
      <c r="A3915" s="1" t="str">
        <f>"518955"</f>
        <v>518955</v>
      </c>
      <c r="B3915" s="2" t="str">
        <f>"CABO DE COMANDO 1MM 16 VIAS"</f>
        <v>CABO DE COMANDO 1MM 16 VIAS</v>
      </c>
      <c r="C3915" s="2" t="str">
        <f>"MT"</f>
        <v>MT</v>
      </c>
      <c r="D3915" s="7">
        <v>602</v>
      </c>
      <c r="E3915" s="3">
        <v>8</v>
      </c>
      <c r="F3915" s="3">
        <v>8</v>
      </c>
      <c r="G3915" t="s">
        <v>516</v>
      </c>
    </row>
    <row r="3916" spans="1:7" x14ac:dyDescent="0.25">
      <c r="A3916" s="1" t="str">
        <f>"511730"</f>
        <v>511730</v>
      </c>
      <c r="B3916" s="2" t="str">
        <f>"CABO DE COMANDO 1MM 6 VIAS"</f>
        <v>CABO DE COMANDO 1MM 6 VIAS</v>
      </c>
      <c r="C3916" s="2" t="str">
        <f>"MT"</f>
        <v>MT</v>
      </c>
      <c r="D3916" s="7">
        <v>602</v>
      </c>
      <c r="E3916" s="3">
        <v>8</v>
      </c>
      <c r="F3916" s="3">
        <v>8</v>
      </c>
      <c r="G3916" t="s">
        <v>515</v>
      </c>
    </row>
    <row r="3917" spans="1:7" x14ac:dyDescent="0.25">
      <c r="A3917" s="1" t="str">
        <f>"511731"</f>
        <v>511731</v>
      </c>
      <c r="B3917" s="2" t="str">
        <f>"CABO DE COMANDO 1MM 7 VIAS"</f>
        <v>CABO DE COMANDO 1MM 7 VIAS</v>
      </c>
      <c r="C3917" s="2" t="str">
        <f>"MT"</f>
        <v>MT</v>
      </c>
      <c r="D3917" s="7">
        <v>602</v>
      </c>
      <c r="E3917" s="3">
        <v>8</v>
      </c>
      <c r="F3917" s="3">
        <v>8</v>
      </c>
      <c r="G3917" t="s">
        <v>514</v>
      </c>
    </row>
    <row r="3918" spans="1:7" x14ac:dyDescent="0.25">
      <c r="A3918" s="1" t="str">
        <f>"528103"</f>
        <v>528103</v>
      </c>
      <c r="B3918" s="2" t="str">
        <f>"CABO DE CONEXAO NEBS- L1G4- K 2.5 - LE4 572576"</f>
        <v>CABO DE CONEXAO NEBS- L1G4- K 2.5 - LE4 572576</v>
      </c>
      <c r="C3918" s="2" t="str">
        <f>"UN"</f>
        <v>UN</v>
      </c>
      <c r="D3918" s="7">
        <v>811</v>
      </c>
      <c r="E3918" s="3">
        <v>11</v>
      </c>
      <c r="F3918" s="3">
        <v>11</v>
      </c>
      <c r="G3918" t="s">
        <v>512</v>
      </c>
    </row>
    <row r="3919" spans="1:7" x14ac:dyDescent="0.25">
      <c r="A3919" s="1" t="str">
        <f>"528007"</f>
        <v>528007</v>
      </c>
      <c r="B3919" s="2" t="str">
        <f>"CABO DE CONEXAO NEBS- L1G4-K-5-LE4 572577"</f>
        <v>CABO DE CONEXAO NEBS- L1G4-K-5-LE4 572577</v>
      </c>
      <c r="C3919" s="2" t="str">
        <f>"UN"</f>
        <v>UN</v>
      </c>
      <c r="D3919" s="7">
        <v>811</v>
      </c>
      <c r="E3919" s="3">
        <v>11</v>
      </c>
      <c r="F3919" s="3">
        <v>11</v>
      </c>
      <c r="G3919" t="s">
        <v>513</v>
      </c>
    </row>
    <row r="3920" spans="1:7" x14ac:dyDescent="0.25">
      <c r="A3920" s="1" t="str">
        <f>"517736"</f>
        <v>517736</v>
      </c>
      <c r="B3920" s="2" t="str">
        <f>"CABO DE CONEXAO NEBU-M8G3-K-2.5-LE3 541333"</f>
        <v>CABO DE CONEXAO NEBU-M8G3-K-2.5-LE3 541333</v>
      </c>
      <c r="C3920" s="2" t="str">
        <f>"UN"</f>
        <v>UN</v>
      </c>
      <c r="D3920" s="7">
        <v>811</v>
      </c>
      <c r="E3920" s="3">
        <v>8</v>
      </c>
      <c r="F3920" s="3">
        <v>8</v>
      </c>
      <c r="G3920" t="s">
        <v>514</v>
      </c>
    </row>
    <row r="3921" spans="1:7" x14ac:dyDescent="0.25">
      <c r="A3921" s="1" t="str">
        <f>"520549"</f>
        <v>520549</v>
      </c>
      <c r="B3921" s="2" t="str">
        <f>"CABO DE CONTROLE 16 VIAS POR 1MM"</f>
        <v>CABO DE CONTROLE 16 VIAS POR 1MM</v>
      </c>
      <c r="C3921" s="2" t="str">
        <f>"MT"</f>
        <v>MT</v>
      </c>
      <c r="D3921" s="7">
        <v>811</v>
      </c>
      <c r="E3921" s="3">
        <v>8</v>
      </c>
      <c r="F3921" s="3">
        <v>8</v>
      </c>
      <c r="G3921" t="s">
        <v>514</v>
      </c>
    </row>
    <row r="3922" spans="1:7" x14ac:dyDescent="0.25">
      <c r="A3922" s="1" t="str">
        <f>"523374"</f>
        <v>523374</v>
      </c>
      <c r="B3922" s="2" t="str">
        <f>"CABO DE CONTROLE DA TALHA 7 VIAS + TERRA 8 METROS"</f>
        <v>CABO DE CONTROLE DA TALHA 7 VIAS + TERRA 8 METROS</v>
      </c>
      <c r="C3922" s="2" t="str">
        <f t="shared" ref="C3922:C3929" si="157">"UN"</f>
        <v>UN</v>
      </c>
      <c r="D3922" s="7">
        <v>403</v>
      </c>
      <c r="E3922" s="3">
        <v>10</v>
      </c>
      <c r="F3922" s="3">
        <v>10</v>
      </c>
      <c r="G3922" t="s">
        <v>512</v>
      </c>
    </row>
    <row r="3923" spans="1:7" x14ac:dyDescent="0.25">
      <c r="A3923" s="1" t="str">
        <f>"524641"</f>
        <v>524641</v>
      </c>
      <c r="B3923" s="8" t="s">
        <v>408</v>
      </c>
      <c r="C3923" s="2" t="str">
        <f t="shared" si="157"/>
        <v>UN</v>
      </c>
      <c r="D3923" s="7">
        <v>406</v>
      </c>
      <c r="E3923" s="3">
        <v>13</v>
      </c>
      <c r="F3923" s="3">
        <v>13</v>
      </c>
      <c r="G3923" t="s">
        <v>513</v>
      </c>
    </row>
    <row r="3924" spans="1:7" x14ac:dyDescent="0.25">
      <c r="A3924" s="1" t="str">
        <f>"513949"</f>
        <v>513949</v>
      </c>
      <c r="B3924" s="2" t="str">
        <f>"CABO DE DADOS SERIAL HDATA"</f>
        <v>CABO DE DADOS SERIAL HDATA</v>
      </c>
      <c r="C3924" s="2" t="str">
        <f t="shared" si="157"/>
        <v>UN</v>
      </c>
      <c r="D3924" s="7">
        <v>99999</v>
      </c>
      <c r="E3924" s="3">
        <v>99</v>
      </c>
      <c r="F3924" s="3">
        <v>99</v>
      </c>
      <c r="G3924" t="s">
        <v>514</v>
      </c>
    </row>
    <row r="3925" spans="1:7" x14ac:dyDescent="0.25">
      <c r="A3925" s="1" t="str">
        <f>"513971"</f>
        <v>513971</v>
      </c>
      <c r="B3925" s="2" t="str">
        <f>"CABO DE ENXADA"</f>
        <v>CABO DE ENXADA</v>
      </c>
      <c r="C3925" s="2" t="str">
        <f t="shared" si="157"/>
        <v>UN</v>
      </c>
      <c r="D3925" s="7">
        <v>919</v>
      </c>
      <c r="E3925" s="3">
        <v>99</v>
      </c>
      <c r="F3925" s="3">
        <v>99</v>
      </c>
      <c r="G3925" t="s">
        <v>514</v>
      </c>
    </row>
    <row r="3926" spans="1:7" x14ac:dyDescent="0.25">
      <c r="A3926" s="1" t="str">
        <f>"513320"</f>
        <v>513320</v>
      </c>
      <c r="B3926" s="2" t="str">
        <f>"CABO DE FORÇA 1/2"""</f>
        <v>CABO DE FORÇA 1/2"</v>
      </c>
      <c r="C3926" s="2" t="str">
        <f t="shared" si="157"/>
        <v>UN</v>
      </c>
      <c r="D3926" s="7">
        <v>918</v>
      </c>
      <c r="E3926" s="3">
        <v>11</v>
      </c>
      <c r="F3926" s="3">
        <v>11</v>
      </c>
      <c r="G3926" t="s">
        <v>514</v>
      </c>
    </row>
    <row r="3927" spans="1:7" x14ac:dyDescent="0.25">
      <c r="A3927" s="1" t="str">
        <f>"510183"</f>
        <v>510183</v>
      </c>
      <c r="B3927" s="2" t="str">
        <f>"CABO DE INGUINIÇAO 10M"</f>
        <v>CABO DE INGUINIÇAO 10M</v>
      </c>
      <c r="C3927" s="2" t="str">
        <f t="shared" si="157"/>
        <v>UN</v>
      </c>
      <c r="D3927" s="7">
        <v>402</v>
      </c>
      <c r="E3927" s="3">
        <v>4</v>
      </c>
      <c r="F3927" s="3">
        <v>4</v>
      </c>
      <c r="G3927" t="s">
        <v>513</v>
      </c>
    </row>
    <row r="3928" spans="1:7" x14ac:dyDescent="0.25">
      <c r="A3928" s="1" t="str">
        <f>"519527"</f>
        <v>519527</v>
      </c>
      <c r="B3928" s="2" t="str">
        <f>"CABO DE MACHADO"</f>
        <v>CABO DE MACHADO</v>
      </c>
      <c r="C3928" s="2" t="str">
        <f t="shared" si="157"/>
        <v>UN</v>
      </c>
      <c r="D3928" s="7">
        <v>919</v>
      </c>
      <c r="E3928" s="3">
        <v>99</v>
      </c>
      <c r="F3928" s="3">
        <v>99</v>
      </c>
      <c r="G3928" t="s">
        <v>512</v>
      </c>
    </row>
    <row r="3929" spans="1:7" x14ac:dyDescent="0.25">
      <c r="A3929" s="1" t="str">
        <f>"522915"</f>
        <v>522915</v>
      </c>
      <c r="B3929" s="2" t="str">
        <f>"CABO DE MARTELO"</f>
        <v>CABO DE MARTELO</v>
      </c>
      <c r="C3929" s="2" t="str">
        <f t="shared" si="157"/>
        <v>UN</v>
      </c>
      <c r="D3929" s="7">
        <v>919</v>
      </c>
      <c r="E3929" s="3">
        <v>99</v>
      </c>
      <c r="F3929" s="3">
        <v>99</v>
      </c>
      <c r="G3929" t="s">
        <v>513</v>
      </c>
    </row>
    <row r="3930" spans="1:7" x14ac:dyDescent="0.25">
      <c r="A3930" s="1" t="str">
        <f>"526570"</f>
        <v>526570</v>
      </c>
      <c r="B3930" s="2" t="str">
        <f>"CABO DE MEDIÇÃO CYK10 MEMOSEN CYK10-0101"</f>
        <v>CABO DE MEDIÇÃO CYK10 MEMOSEN CYK10-0101</v>
      </c>
      <c r="C3930" s="2" t="str">
        <f>"PC"</f>
        <v>PC</v>
      </c>
      <c r="D3930" s="7">
        <v>600</v>
      </c>
      <c r="E3930" s="3">
        <v>8</v>
      </c>
      <c r="F3930" s="3">
        <v>8</v>
      </c>
      <c r="G3930" t="s">
        <v>514</v>
      </c>
    </row>
    <row r="3931" spans="1:7" x14ac:dyDescent="0.25">
      <c r="A3931" s="1" t="str">
        <f>"521369"</f>
        <v>521369</v>
      </c>
      <c r="B3931" s="2" t="str">
        <f>"CABO DE PICARETA"</f>
        <v>CABO DE PICARETA</v>
      </c>
      <c r="C3931" s="2" t="str">
        <f>"UN"</f>
        <v>UN</v>
      </c>
      <c r="D3931" s="7">
        <v>919</v>
      </c>
      <c r="E3931" s="3">
        <v>99</v>
      </c>
      <c r="F3931" s="3">
        <v>99</v>
      </c>
      <c r="G3931" t="s">
        <v>514</v>
      </c>
    </row>
    <row r="3932" spans="1:7" x14ac:dyDescent="0.25">
      <c r="A3932" s="1" t="str">
        <f>"517968"</f>
        <v>517968</v>
      </c>
      <c r="B3932" s="2" t="str">
        <f>"CABO DE POTENCIA P/ SERVOS A5 LIQI ATÉ 1,2KW CONECTOR 3MT"</f>
        <v>CABO DE POTENCIA P/ SERVOS A5 LIQI ATÉ 1,2KW CONECTOR 3MT</v>
      </c>
      <c r="C3932" s="2" t="str">
        <f>"UN"</f>
        <v>UN</v>
      </c>
      <c r="D3932" s="7">
        <v>811</v>
      </c>
      <c r="E3932" s="3">
        <v>8</v>
      </c>
      <c r="F3932" s="3">
        <v>8</v>
      </c>
      <c r="G3932" t="s">
        <v>514</v>
      </c>
    </row>
    <row r="3933" spans="1:7" x14ac:dyDescent="0.25">
      <c r="A3933" s="1" t="str">
        <f>"510506"</f>
        <v>510506</v>
      </c>
      <c r="B3933" s="2" t="str">
        <f>"CABO DE VASSOURA - MADEIRA"</f>
        <v>CABO DE VASSOURA - MADEIRA</v>
      </c>
      <c r="C3933" s="2" t="str">
        <f>"UN"</f>
        <v>UN</v>
      </c>
      <c r="D3933" s="7">
        <v>400</v>
      </c>
      <c r="E3933" s="3">
        <v>4</v>
      </c>
      <c r="F3933" s="3">
        <v>4</v>
      </c>
      <c r="G3933" t="s">
        <v>513</v>
      </c>
    </row>
    <row r="3934" spans="1:7" x14ac:dyDescent="0.25">
      <c r="A3934" s="1" t="str">
        <f>"522817"</f>
        <v>522817</v>
      </c>
      <c r="B3934" s="2" t="str">
        <f>"CABO DE VIDA"</f>
        <v>CABO DE VIDA</v>
      </c>
      <c r="C3934" s="2" t="str">
        <f>"UN"</f>
        <v>UN</v>
      </c>
      <c r="D3934" s="7">
        <v>99999</v>
      </c>
      <c r="E3934" s="3">
        <v>99</v>
      </c>
      <c r="F3934" s="3">
        <v>99</v>
      </c>
      <c r="G3934" t="s">
        <v>513</v>
      </c>
    </row>
    <row r="3935" spans="1:7" x14ac:dyDescent="0.25">
      <c r="A3935" s="1" t="str">
        <f>"517967"</f>
        <v>517967</v>
      </c>
      <c r="B3935" s="2" t="str">
        <f>"CABO ENCODER P/ SERVOS A5LIQI ATÉ 1,2KW CONECTOR 3MT"</f>
        <v>CABO ENCODER P/ SERVOS A5LIQI ATÉ 1,2KW CONECTOR 3MT</v>
      </c>
      <c r="C3935" s="2" t="str">
        <f>"UN"</f>
        <v>UN</v>
      </c>
      <c r="D3935" s="7">
        <v>811</v>
      </c>
      <c r="E3935" s="3">
        <v>8</v>
      </c>
      <c r="F3935" s="3">
        <v>8</v>
      </c>
      <c r="G3935" t="s">
        <v>513</v>
      </c>
    </row>
    <row r="3936" spans="1:7" x14ac:dyDescent="0.25">
      <c r="A3936" s="1" t="str">
        <f>"510379"</f>
        <v>510379</v>
      </c>
      <c r="B3936" s="2" t="str">
        <f>"CABO EXT. USB LEADER 2,0 AM/AF REF.8602"</f>
        <v>CABO EXT. USB LEADER 2,0 AM/AF REF.8602</v>
      </c>
      <c r="C3936" s="2" t="str">
        <f>"MT"</f>
        <v>MT</v>
      </c>
      <c r="D3936" s="7">
        <v>602</v>
      </c>
      <c r="E3936" s="3">
        <v>8</v>
      </c>
      <c r="F3936" s="3">
        <v>8</v>
      </c>
      <c r="G3936" t="s">
        <v>512</v>
      </c>
    </row>
    <row r="3937" spans="1:7" x14ac:dyDescent="0.25">
      <c r="A3937" s="1" t="str">
        <f>"510636"</f>
        <v>510636</v>
      </c>
      <c r="B3937" s="2" t="str">
        <f>"CABO EXTENSOR 2,5MM"</f>
        <v>CABO EXTENSOR 2,5MM</v>
      </c>
      <c r="C3937" s="2" t="str">
        <f>"MT"</f>
        <v>MT</v>
      </c>
      <c r="D3937" s="7">
        <v>602</v>
      </c>
      <c r="E3937" s="3">
        <v>8</v>
      </c>
      <c r="F3937" s="3">
        <v>8</v>
      </c>
      <c r="G3937" t="s">
        <v>513</v>
      </c>
    </row>
    <row r="3938" spans="1:7" x14ac:dyDescent="0.25">
      <c r="A3938" s="1" t="str">
        <f>"522331"</f>
        <v>522331</v>
      </c>
      <c r="B3938" s="2" t="str">
        <f>"CABO EXTENSOR 3MT"</f>
        <v>CABO EXTENSOR 3MT</v>
      </c>
      <c r="C3938" s="2" t="str">
        <f>"UN"</f>
        <v>UN</v>
      </c>
      <c r="D3938" s="7">
        <v>400</v>
      </c>
      <c r="E3938" s="3">
        <v>4</v>
      </c>
      <c r="F3938" s="3">
        <v>4</v>
      </c>
      <c r="G3938" t="s">
        <v>514</v>
      </c>
    </row>
    <row r="3939" spans="1:7" x14ac:dyDescent="0.25">
      <c r="A3939" s="1" t="str">
        <f>"513071"</f>
        <v>513071</v>
      </c>
      <c r="B3939" s="2" t="str">
        <f>"CABO EXTENSOR 4.5MT"</f>
        <v>CABO EXTENSOR 4.5MT</v>
      </c>
      <c r="C3939" s="2" t="str">
        <f>"MT"</f>
        <v>MT</v>
      </c>
      <c r="D3939" s="7">
        <v>602</v>
      </c>
      <c r="E3939" s="3">
        <v>8</v>
      </c>
      <c r="F3939" s="3">
        <v>8</v>
      </c>
      <c r="G3939" t="s">
        <v>515</v>
      </c>
    </row>
    <row r="3940" spans="1:7" x14ac:dyDescent="0.25">
      <c r="A3940" s="1" t="str">
        <f>"518190"</f>
        <v>518190</v>
      </c>
      <c r="B3940" s="2" t="str">
        <f>"CABO EXTENSOR 6MT"</f>
        <v>CABO EXTENSOR 6MT</v>
      </c>
      <c r="C3940" s="2" t="str">
        <f>"UN"</f>
        <v>UN</v>
      </c>
      <c r="D3940" s="7">
        <v>400</v>
      </c>
      <c r="E3940" s="3">
        <v>4</v>
      </c>
      <c r="F3940" s="3">
        <v>4</v>
      </c>
      <c r="G3940" t="s">
        <v>512</v>
      </c>
    </row>
    <row r="3941" spans="1:7" x14ac:dyDescent="0.25">
      <c r="A3941" s="1" t="str">
        <f>"522045"</f>
        <v>522045</v>
      </c>
      <c r="B3941" s="2" t="str">
        <f>"CABO EXTENSOR DE 3 MT MINIPA MBR 240EXT"</f>
        <v>CABO EXTENSOR DE 3 MT MINIPA MBR 240EXT</v>
      </c>
      <c r="C3941" s="2" t="str">
        <f>"UN"</f>
        <v>UN</v>
      </c>
      <c r="D3941" s="7">
        <v>817</v>
      </c>
      <c r="E3941" s="3">
        <v>13</v>
      </c>
      <c r="F3941" s="3">
        <v>13</v>
      </c>
      <c r="G3941" t="s">
        <v>516</v>
      </c>
    </row>
    <row r="3942" spans="1:7" x14ac:dyDescent="0.25">
      <c r="A3942" s="1" t="str">
        <f>"503711"</f>
        <v>503711</v>
      </c>
      <c r="B3942" s="2" t="str">
        <f>"CABO FIBRA OTICO E32-DC200"</f>
        <v>CABO FIBRA OTICO E32-DC200</v>
      </c>
      <c r="C3942" s="2" t="str">
        <f>"UN"</f>
        <v>UN</v>
      </c>
      <c r="D3942" s="7">
        <v>900</v>
      </c>
      <c r="E3942" s="3">
        <v>11</v>
      </c>
      <c r="F3942" s="3">
        <v>11</v>
      </c>
      <c r="G3942" t="s">
        <v>515</v>
      </c>
    </row>
    <row r="3943" spans="1:7" x14ac:dyDescent="0.25">
      <c r="A3943" s="1" t="str">
        <f>"513513"</f>
        <v>513513</v>
      </c>
      <c r="B3943" s="2" t="str">
        <f>"CABO FICAP 0,5MM 750V FLEXIVEL - AZUL"</f>
        <v>CABO FICAP 0,5MM 750V FLEXIVEL - AZUL</v>
      </c>
      <c r="C3943" s="2" t="str">
        <f t="shared" ref="C3943:C3964" si="158">"MT"</f>
        <v>MT</v>
      </c>
      <c r="D3943" s="7">
        <v>602</v>
      </c>
      <c r="E3943" s="3">
        <v>8</v>
      </c>
      <c r="F3943" s="3">
        <v>8</v>
      </c>
      <c r="G3943" t="s">
        <v>514</v>
      </c>
    </row>
    <row r="3944" spans="1:7" x14ac:dyDescent="0.25">
      <c r="A3944" s="1" t="str">
        <f>"513512"</f>
        <v>513512</v>
      </c>
      <c r="B3944" s="2" t="str">
        <f>"CABO FICAP 0,5MM 750V FLEXIVEL - PRETO"</f>
        <v>CABO FICAP 0,5MM 750V FLEXIVEL - PRETO</v>
      </c>
      <c r="C3944" s="2" t="str">
        <f t="shared" si="158"/>
        <v>MT</v>
      </c>
      <c r="D3944" s="7">
        <v>602</v>
      </c>
      <c r="E3944" s="3">
        <v>8</v>
      </c>
      <c r="F3944" s="3">
        <v>8</v>
      </c>
      <c r="G3944" t="s">
        <v>512</v>
      </c>
    </row>
    <row r="3945" spans="1:7" x14ac:dyDescent="0.25">
      <c r="A3945" s="1" t="str">
        <f>"511786"</f>
        <v>511786</v>
      </c>
      <c r="B3945" s="2" t="str">
        <f>"CABO FICAP 0,75MM 750V FLEXIVEL - AZUL"</f>
        <v>CABO FICAP 0,75MM 750V FLEXIVEL - AZUL</v>
      </c>
      <c r="C3945" s="2" t="str">
        <f t="shared" si="158"/>
        <v>MT</v>
      </c>
      <c r="D3945" s="7">
        <v>602</v>
      </c>
      <c r="E3945" s="3">
        <v>8</v>
      </c>
      <c r="F3945" s="3">
        <v>8</v>
      </c>
      <c r="G3945" t="s">
        <v>513</v>
      </c>
    </row>
    <row r="3946" spans="1:7" x14ac:dyDescent="0.25">
      <c r="A3946" s="1" t="str">
        <f>"511753"</f>
        <v>511753</v>
      </c>
      <c r="B3946" s="2" t="str">
        <f>"CABO FICAP 0,75MM 750V FLEXIVEL - BRANCO"</f>
        <v>CABO FICAP 0,75MM 750V FLEXIVEL - BRANCO</v>
      </c>
      <c r="C3946" s="2" t="str">
        <f t="shared" si="158"/>
        <v>MT</v>
      </c>
      <c r="D3946" s="7">
        <v>602</v>
      </c>
      <c r="E3946" s="3">
        <v>8</v>
      </c>
      <c r="F3946" s="3">
        <v>8</v>
      </c>
      <c r="G3946" t="s">
        <v>514</v>
      </c>
    </row>
    <row r="3947" spans="1:7" x14ac:dyDescent="0.25">
      <c r="A3947" s="1" t="str">
        <f>"511755"</f>
        <v>511755</v>
      </c>
      <c r="B3947" s="2" t="str">
        <f>"CABO FICAP 0,75MM 750V FLEXIVEL - PRETO"</f>
        <v>CABO FICAP 0,75MM 750V FLEXIVEL - PRETO</v>
      </c>
      <c r="C3947" s="2" t="str">
        <f t="shared" si="158"/>
        <v>MT</v>
      </c>
      <c r="D3947" s="7">
        <v>602</v>
      </c>
      <c r="E3947" s="3">
        <v>8</v>
      </c>
      <c r="F3947" s="3">
        <v>8</v>
      </c>
      <c r="G3947" t="s">
        <v>514</v>
      </c>
    </row>
    <row r="3948" spans="1:7" x14ac:dyDescent="0.25">
      <c r="A3948" s="1" t="str">
        <f>"511754"</f>
        <v>511754</v>
      </c>
      <c r="B3948" s="2" t="str">
        <f>"CABO FICAP 0,75MM 750V FLEXIVEL - VERM."</f>
        <v>CABO FICAP 0,75MM 750V FLEXIVEL - VERM.</v>
      </c>
      <c r="C3948" s="2" t="str">
        <f t="shared" si="158"/>
        <v>MT</v>
      </c>
      <c r="D3948" s="7">
        <v>602</v>
      </c>
      <c r="E3948" s="3">
        <v>8</v>
      </c>
      <c r="F3948" s="3">
        <v>8</v>
      </c>
      <c r="G3948" t="s">
        <v>512</v>
      </c>
    </row>
    <row r="3949" spans="1:7" x14ac:dyDescent="0.25">
      <c r="A3949" s="1" t="str">
        <f>"510288"</f>
        <v>510288</v>
      </c>
      <c r="B3949" s="2" t="str">
        <f>"CABO FICAP 01MM 750V FLEXIVEL -  AMARELO"</f>
        <v>CABO FICAP 01MM 750V FLEXIVEL -  AMARELO</v>
      </c>
      <c r="C3949" s="2" t="str">
        <f t="shared" si="158"/>
        <v>MT</v>
      </c>
      <c r="D3949" s="7">
        <v>602</v>
      </c>
      <c r="E3949" s="3">
        <v>8</v>
      </c>
      <c r="F3949" s="3">
        <v>8</v>
      </c>
      <c r="G3949" t="s">
        <v>513</v>
      </c>
    </row>
    <row r="3950" spans="1:7" x14ac:dyDescent="0.25">
      <c r="A3950" s="1" t="str">
        <f>"510287"</f>
        <v>510287</v>
      </c>
      <c r="B3950" s="2" t="str">
        <f>"CABO FICAP 01MM 750V FLEXIVEL -  AZUL"</f>
        <v>CABO FICAP 01MM 750V FLEXIVEL -  AZUL</v>
      </c>
      <c r="C3950" s="2" t="str">
        <f t="shared" si="158"/>
        <v>MT</v>
      </c>
      <c r="D3950" s="7">
        <v>602</v>
      </c>
      <c r="E3950" s="3">
        <v>8</v>
      </c>
      <c r="F3950" s="3">
        <v>8</v>
      </c>
      <c r="G3950" t="s">
        <v>514</v>
      </c>
    </row>
    <row r="3951" spans="1:7" x14ac:dyDescent="0.25">
      <c r="A3951" s="1" t="str">
        <f>"505996"</f>
        <v>505996</v>
      </c>
      <c r="B3951" s="2" t="str">
        <f>"CABO FICAP 01MM 750V FLEXIVEL -  BRANCO"</f>
        <v>CABO FICAP 01MM 750V FLEXIVEL -  BRANCO</v>
      </c>
      <c r="C3951" s="2" t="str">
        <f t="shared" si="158"/>
        <v>MT</v>
      </c>
      <c r="D3951" s="7">
        <v>602</v>
      </c>
      <c r="E3951" s="3">
        <v>8</v>
      </c>
      <c r="F3951" s="3">
        <v>8</v>
      </c>
      <c r="G3951" t="s">
        <v>514</v>
      </c>
    </row>
    <row r="3952" spans="1:7" x14ac:dyDescent="0.25">
      <c r="A3952" s="1" t="str">
        <f>"527091"</f>
        <v>527091</v>
      </c>
      <c r="B3952" s="2" t="str">
        <f>"CABO FICAP 01MM 750V FLEXIVEL -  MARRON"</f>
        <v>CABO FICAP 01MM 750V FLEXIVEL -  MARRON</v>
      </c>
      <c r="C3952" s="2" t="str">
        <f t="shared" si="158"/>
        <v>MT</v>
      </c>
      <c r="D3952" s="7">
        <v>602</v>
      </c>
      <c r="E3952" s="3">
        <v>8</v>
      </c>
      <c r="F3952" s="3">
        <v>8</v>
      </c>
      <c r="G3952" t="s">
        <v>514</v>
      </c>
    </row>
    <row r="3953" spans="1:7" x14ac:dyDescent="0.25">
      <c r="A3953" s="1" t="str">
        <f>"505997"</f>
        <v>505997</v>
      </c>
      <c r="B3953" s="2" t="str">
        <f>"CABO FICAP 01MM 750V FLEXIVEL -  PRETO"</f>
        <v>CABO FICAP 01MM 750V FLEXIVEL -  PRETO</v>
      </c>
      <c r="C3953" s="2" t="str">
        <f t="shared" si="158"/>
        <v>MT</v>
      </c>
      <c r="D3953" s="7">
        <v>602</v>
      </c>
      <c r="E3953" s="3">
        <v>8</v>
      </c>
      <c r="F3953" s="3">
        <v>8</v>
      </c>
      <c r="G3953" t="s">
        <v>513</v>
      </c>
    </row>
    <row r="3954" spans="1:7" x14ac:dyDescent="0.25">
      <c r="A3954" s="1" t="str">
        <f>"510289"</f>
        <v>510289</v>
      </c>
      <c r="B3954" s="2" t="str">
        <f>"CABO FICAP 01MM 750V FLEXIVEL -  VERMELHO"</f>
        <v>CABO FICAP 01MM 750V FLEXIVEL -  VERMELHO</v>
      </c>
      <c r="C3954" s="2" t="str">
        <f t="shared" si="158"/>
        <v>MT</v>
      </c>
      <c r="D3954" s="7">
        <v>602</v>
      </c>
      <c r="E3954" s="3">
        <v>8</v>
      </c>
      <c r="F3954" s="3">
        <v>8</v>
      </c>
      <c r="G3954" t="s">
        <v>512</v>
      </c>
    </row>
    <row r="3955" spans="1:7" x14ac:dyDescent="0.25">
      <c r="A3955" s="1" t="str">
        <f>"505011"</f>
        <v>505011</v>
      </c>
      <c r="B3955" s="2" t="str">
        <f>"CABO FICAP 04MM 750V FLEXIVEL -  AZUL"</f>
        <v>CABO FICAP 04MM 750V FLEXIVEL -  AZUL</v>
      </c>
      <c r="C3955" s="2" t="str">
        <f t="shared" si="158"/>
        <v>MT</v>
      </c>
      <c r="D3955" s="7">
        <v>602</v>
      </c>
      <c r="E3955" s="3">
        <v>8</v>
      </c>
      <c r="F3955" s="3">
        <v>8</v>
      </c>
      <c r="G3955" t="s">
        <v>513</v>
      </c>
    </row>
    <row r="3956" spans="1:7" x14ac:dyDescent="0.25">
      <c r="A3956" s="1" t="str">
        <f>"526262"</f>
        <v>526262</v>
      </c>
      <c r="B3956" s="2" t="str">
        <f>"CABO FICAP 04MM 750V FLEXIVEL -  BRANCO"</f>
        <v>CABO FICAP 04MM 750V FLEXIVEL -  BRANCO</v>
      </c>
      <c r="C3956" s="2" t="str">
        <f t="shared" si="158"/>
        <v>MT</v>
      </c>
      <c r="D3956" s="7">
        <v>602</v>
      </c>
      <c r="E3956" s="3">
        <v>8</v>
      </c>
      <c r="F3956" s="3">
        <v>8</v>
      </c>
      <c r="G3956" t="s">
        <v>514</v>
      </c>
    </row>
    <row r="3957" spans="1:7" x14ac:dyDescent="0.25">
      <c r="A3957" s="1" t="str">
        <f>"516296"</f>
        <v>516296</v>
      </c>
      <c r="B3957" s="2" t="str">
        <f>"CABO FICAP 04MM 750V FLEXIVEL -  PRETO"</f>
        <v>CABO FICAP 04MM 750V FLEXIVEL -  PRETO</v>
      </c>
      <c r="C3957" s="2" t="str">
        <f t="shared" si="158"/>
        <v>MT</v>
      </c>
      <c r="D3957" s="7">
        <v>602</v>
      </c>
      <c r="E3957" s="3">
        <v>8</v>
      </c>
      <c r="F3957" s="3">
        <v>8</v>
      </c>
      <c r="G3957" t="s">
        <v>514</v>
      </c>
    </row>
    <row r="3958" spans="1:7" x14ac:dyDescent="0.25">
      <c r="A3958" s="1" t="str">
        <f>"523916"</f>
        <v>523916</v>
      </c>
      <c r="B3958" s="2" t="str">
        <f>"CABO FICAP 04MM 750V FLEXIVEL - VERDE"</f>
        <v>CABO FICAP 04MM 750V FLEXIVEL - VERDE</v>
      </c>
      <c r="C3958" s="2" t="str">
        <f t="shared" si="158"/>
        <v>MT</v>
      </c>
      <c r="D3958" s="7">
        <v>602</v>
      </c>
      <c r="E3958" s="3">
        <v>8</v>
      </c>
      <c r="F3958" s="3">
        <v>8</v>
      </c>
      <c r="G3958" t="s">
        <v>514</v>
      </c>
    </row>
    <row r="3959" spans="1:7" x14ac:dyDescent="0.25">
      <c r="A3959" s="1" t="str">
        <f>"523915"</f>
        <v>523915</v>
      </c>
      <c r="B3959" s="2" t="str">
        <f>"CABO FICAP 04MM 750V FLEXIVEL - VERMELHO"</f>
        <v>CABO FICAP 04MM 750V FLEXIVEL - VERMELHO</v>
      </c>
      <c r="C3959" s="2" t="str">
        <f t="shared" si="158"/>
        <v>MT</v>
      </c>
      <c r="D3959" s="7">
        <v>602</v>
      </c>
      <c r="E3959" s="3">
        <v>8</v>
      </c>
      <c r="F3959" s="3">
        <v>8</v>
      </c>
      <c r="G3959" t="s">
        <v>513</v>
      </c>
    </row>
    <row r="3960" spans="1:7" x14ac:dyDescent="0.25">
      <c r="A3960" s="1" t="str">
        <f>"526263"</f>
        <v>526263</v>
      </c>
      <c r="B3960" s="2" t="str">
        <f>"CABO FICAP 06MM 750V FLEXIVEL -  AMARELO"</f>
        <v>CABO FICAP 06MM 750V FLEXIVEL -  AMARELO</v>
      </c>
      <c r="C3960" s="2" t="str">
        <f t="shared" si="158"/>
        <v>MT</v>
      </c>
      <c r="D3960" s="7">
        <v>602</v>
      </c>
      <c r="E3960" s="3">
        <v>8</v>
      </c>
      <c r="F3960" s="3">
        <v>8</v>
      </c>
      <c r="G3960" t="s">
        <v>513</v>
      </c>
    </row>
    <row r="3961" spans="1:7" x14ac:dyDescent="0.25">
      <c r="A3961" s="1" t="str">
        <f>"518337"</f>
        <v>518337</v>
      </c>
      <c r="B3961" s="2" t="str">
        <f>"CABO FICAP 06MM 750V FLEXIVEL -  AZUL CLARO"</f>
        <v>CABO FICAP 06MM 750V FLEXIVEL -  AZUL CLARO</v>
      </c>
      <c r="C3961" s="2" t="str">
        <f t="shared" si="158"/>
        <v>MT</v>
      </c>
      <c r="D3961" s="7">
        <v>602</v>
      </c>
      <c r="E3961" s="3">
        <v>8</v>
      </c>
      <c r="F3961" s="3">
        <v>8</v>
      </c>
      <c r="G3961" t="s">
        <v>513</v>
      </c>
    </row>
    <row r="3962" spans="1:7" x14ac:dyDescent="0.25">
      <c r="A3962" s="1" t="str">
        <f>"504135"</f>
        <v>504135</v>
      </c>
      <c r="B3962" s="2" t="str">
        <f>"CABO FICAP 06MM 750V FLEXIVEL -  PRETO"</f>
        <v>CABO FICAP 06MM 750V FLEXIVEL -  PRETO</v>
      </c>
      <c r="C3962" s="2" t="str">
        <f t="shared" si="158"/>
        <v>MT</v>
      </c>
      <c r="D3962" s="7">
        <v>602</v>
      </c>
      <c r="E3962" s="3">
        <v>8</v>
      </c>
      <c r="F3962" s="3">
        <v>8</v>
      </c>
      <c r="G3962" t="s">
        <v>512</v>
      </c>
    </row>
    <row r="3963" spans="1:7" x14ac:dyDescent="0.25">
      <c r="A3963" s="1" t="str">
        <f>"523917"</f>
        <v>523917</v>
      </c>
      <c r="B3963" s="2" t="str">
        <f>"CABO FICAP 06MM 750V FLEXIVEL -  VERDE"</f>
        <v>CABO FICAP 06MM 750V FLEXIVEL -  VERDE</v>
      </c>
      <c r="C3963" s="2" t="str">
        <f t="shared" si="158"/>
        <v>MT</v>
      </c>
      <c r="D3963" s="7">
        <v>602</v>
      </c>
      <c r="E3963" s="3">
        <v>8</v>
      </c>
      <c r="F3963" s="3">
        <v>8</v>
      </c>
      <c r="G3963" t="s">
        <v>513</v>
      </c>
    </row>
    <row r="3964" spans="1:7" x14ac:dyDescent="0.25">
      <c r="A3964" s="1" t="str">
        <f>"518746"</f>
        <v>518746</v>
      </c>
      <c r="B3964" s="2" t="str">
        <f>"CABO FICAP 06MM 750V FLEXIVEL -  VERMELHO"</f>
        <v>CABO FICAP 06MM 750V FLEXIVEL -  VERMELHO</v>
      </c>
      <c r="C3964" s="2" t="str">
        <f t="shared" si="158"/>
        <v>MT</v>
      </c>
      <c r="D3964" s="7">
        <v>602</v>
      </c>
      <c r="E3964" s="3">
        <v>8</v>
      </c>
      <c r="F3964" s="3">
        <v>8</v>
      </c>
      <c r="G3964" t="s">
        <v>514</v>
      </c>
    </row>
    <row r="3965" spans="1:7" x14ac:dyDescent="0.25">
      <c r="A3965" s="1" t="str">
        <f>"511609"</f>
        <v>511609</v>
      </c>
      <c r="B3965" s="2" t="str">
        <f>"CABO FICAP 06MM 750V VD/AM TERRA"</f>
        <v>CABO FICAP 06MM 750V VD/AM TERRA</v>
      </c>
      <c r="C3965" s="2" t="str">
        <f>"UN"</f>
        <v>UN</v>
      </c>
      <c r="D3965" s="7">
        <v>704</v>
      </c>
      <c r="E3965" s="3">
        <v>9</v>
      </c>
      <c r="F3965" s="3">
        <v>9</v>
      </c>
      <c r="G3965" t="s">
        <v>515</v>
      </c>
    </row>
    <row r="3966" spans="1:7" x14ac:dyDescent="0.25">
      <c r="A3966" s="1" t="str">
        <f>"523549"</f>
        <v>523549</v>
      </c>
      <c r="B3966" s="2" t="str">
        <f>"CABO FICAP 1,5 750V FLEXIVEL VD/AM"</f>
        <v>CABO FICAP 1,5 750V FLEXIVEL VD/AM</v>
      </c>
      <c r="C3966" s="2" t="str">
        <f>"UN"</f>
        <v>UN</v>
      </c>
      <c r="D3966" s="7">
        <v>811</v>
      </c>
      <c r="E3966" s="3">
        <v>8</v>
      </c>
      <c r="F3966" s="3">
        <v>8</v>
      </c>
      <c r="G3966" t="s">
        <v>512</v>
      </c>
    </row>
    <row r="3967" spans="1:7" x14ac:dyDescent="0.25">
      <c r="A3967" s="1" t="str">
        <f>"527920"</f>
        <v>527920</v>
      </c>
      <c r="B3967" s="2" t="str">
        <f>"CABO FICAP 1,5MM 750V FLEXIVEL - AMARELO"</f>
        <v>CABO FICAP 1,5MM 750V FLEXIVEL - AMARELO</v>
      </c>
      <c r="C3967" s="2" t="str">
        <f>"MT"</f>
        <v>MT</v>
      </c>
      <c r="D3967" s="7">
        <v>602</v>
      </c>
      <c r="E3967" s="3">
        <v>8</v>
      </c>
      <c r="F3967" s="3">
        <v>8</v>
      </c>
      <c r="G3967" t="s">
        <v>516</v>
      </c>
    </row>
    <row r="3968" spans="1:7" x14ac:dyDescent="0.25">
      <c r="A3968" s="1" t="str">
        <f>"516168"</f>
        <v>516168</v>
      </c>
      <c r="B3968" s="2" t="str">
        <f>"CABO FICAP 1,5MM 750V FLEXIVEL-  AZUL"</f>
        <v>CABO FICAP 1,5MM 750V FLEXIVEL-  AZUL</v>
      </c>
      <c r="C3968" s="2" t="str">
        <f>"MT"</f>
        <v>MT</v>
      </c>
      <c r="D3968" s="7">
        <v>602</v>
      </c>
      <c r="E3968" s="3">
        <v>8</v>
      </c>
      <c r="F3968" s="3">
        <v>8</v>
      </c>
      <c r="G3968" t="s">
        <v>515</v>
      </c>
    </row>
    <row r="3969" spans="1:7" x14ac:dyDescent="0.25">
      <c r="A3969" s="1" t="str">
        <f>"500654"</f>
        <v>500654</v>
      </c>
      <c r="B3969" s="2" t="str">
        <f>"CABO FICAP 1,5MM 750V FLEXIVEL-  PRETO"</f>
        <v>CABO FICAP 1,5MM 750V FLEXIVEL-  PRETO</v>
      </c>
      <c r="C3969" s="2" t="str">
        <f>"MT"</f>
        <v>MT</v>
      </c>
      <c r="D3969" s="7">
        <v>602</v>
      </c>
      <c r="E3969" s="3">
        <v>8</v>
      </c>
      <c r="F3969" s="3">
        <v>8</v>
      </c>
      <c r="G3969" t="s">
        <v>514</v>
      </c>
    </row>
    <row r="3970" spans="1:7" x14ac:dyDescent="0.25">
      <c r="A3970" s="1" t="str">
        <f>"517086"</f>
        <v>517086</v>
      </c>
      <c r="B3970" s="2" t="str">
        <f>"CABO FICAP 1,5MM 750V FLEXIVEL-  VERMELHO"</f>
        <v>CABO FICAP 1,5MM 750V FLEXIVEL-  VERMELHO</v>
      </c>
      <c r="C3970" s="2" t="str">
        <f>"UN"</f>
        <v>UN</v>
      </c>
      <c r="D3970" s="7">
        <v>811</v>
      </c>
      <c r="E3970" s="3">
        <v>8</v>
      </c>
      <c r="F3970" s="3">
        <v>8</v>
      </c>
      <c r="G3970" t="s">
        <v>512</v>
      </c>
    </row>
    <row r="3971" spans="1:7" x14ac:dyDescent="0.25">
      <c r="A3971" s="1" t="str">
        <f>"526227"</f>
        <v>526227</v>
      </c>
      <c r="B3971" s="2" t="str">
        <f>"CABO FICAP 1,5MM NEXANS FLEXIVEL-  AMARELO"</f>
        <v>CABO FICAP 1,5MM NEXANS FLEXIVEL-  AMARELO</v>
      </c>
      <c r="C3971" s="2" t="str">
        <f>"MT"</f>
        <v>MT</v>
      </c>
      <c r="D3971" s="7">
        <v>602</v>
      </c>
      <c r="E3971" s="3">
        <v>8</v>
      </c>
      <c r="F3971" s="3">
        <v>8</v>
      </c>
      <c r="G3971" t="s">
        <v>513</v>
      </c>
    </row>
    <row r="3972" spans="1:7" x14ac:dyDescent="0.25">
      <c r="A3972" s="1" t="str">
        <f>"518562"</f>
        <v>518562</v>
      </c>
      <c r="B3972" s="2" t="str">
        <f>"CABO FICAP 1,5MM NEXANS FLEXIVEL-  BRANCO"</f>
        <v>CABO FICAP 1,5MM NEXANS FLEXIVEL-  BRANCO</v>
      </c>
      <c r="C3972" s="2" t="str">
        <f>"MT"</f>
        <v>MT</v>
      </c>
      <c r="D3972" s="7">
        <v>602</v>
      </c>
      <c r="E3972" s="3">
        <v>8</v>
      </c>
      <c r="F3972" s="3">
        <v>8</v>
      </c>
      <c r="G3972" t="s">
        <v>514</v>
      </c>
    </row>
    <row r="3973" spans="1:7" x14ac:dyDescent="0.25">
      <c r="A3973" s="1" t="str">
        <f>"501411"</f>
        <v>501411</v>
      </c>
      <c r="B3973" s="2" t="str">
        <f>"CABO FICAP 10MM 750V FLEXIVEL -  AZUL"</f>
        <v>CABO FICAP 10MM 750V FLEXIVEL -  AZUL</v>
      </c>
      <c r="C3973" s="2" t="str">
        <f>"MT"</f>
        <v>MT</v>
      </c>
      <c r="D3973" s="7">
        <v>602</v>
      </c>
      <c r="E3973" s="3">
        <v>8</v>
      </c>
      <c r="F3973" s="3">
        <v>8</v>
      </c>
      <c r="G3973" t="s">
        <v>514</v>
      </c>
    </row>
    <row r="3974" spans="1:7" x14ac:dyDescent="0.25">
      <c r="A3974" s="1" t="str">
        <f>"500902"</f>
        <v>500902</v>
      </c>
      <c r="B3974" s="2" t="str">
        <f>"CABO FICAP 10MM 750V FLEXIVEL -  PRETO"</f>
        <v>CABO FICAP 10MM 750V FLEXIVEL -  PRETO</v>
      </c>
      <c r="C3974" s="2" t="str">
        <f>"MT"</f>
        <v>MT</v>
      </c>
      <c r="D3974" s="7">
        <v>602</v>
      </c>
      <c r="E3974" s="3">
        <v>8</v>
      </c>
      <c r="F3974" s="3">
        <v>8</v>
      </c>
      <c r="G3974" t="s">
        <v>512</v>
      </c>
    </row>
    <row r="3975" spans="1:7" x14ac:dyDescent="0.25">
      <c r="A3975" s="1" t="str">
        <f>"511610"</f>
        <v>511610</v>
      </c>
      <c r="B3975" s="2" t="str">
        <f>"CABO FICAP 10MM 750V VD/AM TERRA"</f>
        <v>CABO FICAP 10MM 750V VD/AM TERRA</v>
      </c>
      <c r="C3975" s="2" t="str">
        <f>"UN"</f>
        <v>UN</v>
      </c>
      <c r="D3975" s="7">
        <v>704</v>
      </c>
      <c r="E3975" s="3">
        <v>9</v>
      </c>
      <c r="F3975" s="3">
        <v>9</v>
      </c>
      <c r="G3975" t="s">
        <v>513</v>
      </c>
    </row>
    <row r="3976" spans="1:7" x14ac:dyDescent="0.25">
      <c r="A3976" s="1" t="str">
        <f>"508791"</f>
        <v>508791</v>
      </c>
      <c r="B3976" s="2" t="str">
        <f>"CABO FICAP 120MM 750V FLEXIVEL-  PRETO"</f>
        <v>CABO FICAP 120MM 750V FLEXIVEL-  PRETO</v>
      </c>
      <c r="C3976" s="2" t="str">
        <f>"MT"</f>
        <v>MT</v>
      </c>
      <c r="D3976" s="7">
        <v>602</v>
      </c>
      <c r="E3976" s="3">
        <v>8</v>
      </c>
      <c r="F3976" s="3">
        <v>8</v>
      </c>
      <c r="G3976" t="s">
        <v>514</v>
      </c>
    </row>
    <row r="3977" spans="1:7" x14ac:dyDescent="0.25">
      <c r="A3977" s="1" t="str">
        <f>"509939"</f>
        <v>509939</v>
      </c>
      <c r="B3977" s="2" t="str">
        <f>"CABO FICAP 12MM 750V FLEXIVEL - PRETO"</f>
        <v>CABO FICAP 12MM 750V FLEXIVEL - PRETO</v>
      </c>
      <c r="C3977" s="2" t="str">
        <f>"MT"</f>
        <v>MT</v>
      </c>
      <c r="D3977" s="7">
        <v>602</v>
      </c>
      <c r="E3977" s="3">
        <v>8</v>
      </c>
      <c r="F3977" s="3">
        <v>8</v>
      </c>
      <c r="G3977" t="s">
        <v>514</v>
      </c>
    </row>
    <row r="3978" spans="1:7" x14ac:dyDescent="0.25">
      <c r="A3978" s="1" t="str">
        <f>"515913"</f>
        <v>515913</v>
      </c>
      <c r="B3978" s="2" t="str">
        <f>"CABO FICAP 16MM  750V VD/AM TERRA"</f>
        <v>CABO FICAP 16MM  750V VD/AM TERRA</v>
      </c>
      <c r="C3978" s="2" t="str">
        <f>"UN"</f>
        <v>UN</v>
      </c>
      <c r="D3978" s="7">
        <v>99999</v>
      </c>
      <c r="E3978" s="3">
        <v>99</v>
      </c>
      <c r="F3978" s="3">
        <v>99</v>
      </c>
      <c r="G3978" t="s">
        <v>514</v>
      </c>
    </row>
    <row r="3979" spans="1:7" x14ac:dyDescent="0.25">
      <c r="A3979" s="1" t="str">
        <f>"509883"</f>
        <v>509883</v>
      </c>
      <c r="B3979" s="2" t="str">
        <f>"CABO FICAP 16MM 750V FLEXIVEL -  AZUL"</f>
        <v>CABO FICAP 16MM 750V FLEXIVEL -  AZUL</v>
      </c>
      <c r="C3979" s="2" t="str">
        <f>"MT"</f>
        <v>MT</v>
      </c>
      <c r="D3979" s="7">
        <v>602</v>
      </c>
      <c r="E3979" s="3">
        <v>8</v>
      </c>
      <c r="F3979" s="3">
        <v>8</v>
      </c>
      <c r="G3979" t="s">
        <v>513</v>
      </c>
    </row>
    <row r="3980" spans="1:7" x14ac:dyDescent="0.25">
      <c r="A3980" s="1" t="str">
        <f>"501608"</f>
        <v>501608</v>
      </c>
      <c r="B3980" s="2" t="str">
        <f>"CABO FICAP 16MM 750V FLEXIVEL -  PRETO"</f>
        <v>CABO FICAP 16MM 750V FLEXIVEL -  PRETO</v>
      </c>
      <c r="C3980" s="2" t="str">
        <f>"UN"</f>
        <v>UN</v>
      </c>
      <c r="D3980" s="7">
        <v>811</v>
      </c>
      <c r="E3980" s="3">
        <v>10</v>
      </c>
      <c r="F3980" s="3">
        <v>10</v>
      </c>
      <c r="G3980" t="s">
        <v>512</v>
      </c>
    </row>
    <row r="3981" spans="1:7" x14ac:dyDescent="0.25">
      <c r="A3981" s="1" t="str">
        <f>"517189"</f>
        <v>517189</v>
      </c>
      <c r="B3981" s="2" t="str">
        <f>"CABO FICAP 16MM 750V FLEXIVEL -  VERDE E AMARELO"</f>
        <v>CABO FICAP 16MM 750V FLEXIVEL -  VERDE E AMARELO</v>
      </c>
      <c r="C3981" s="2" t="str">
        <f>"UN"</f>
        <v>UN</v>
      </c>
      <c r="D3981" s="7">
        <v>811</v>
      </c>
      <c r="E3981" s="3">
        <v>8</v>
      </c>
      <c r="F3981" s="3">
        <v>8</v>
      </c>
      <c r="G3981" t="s">
        <v>513</v>
      </c>
    </row>
    <row r="3982" spans="1:7" x14ac:dyDescent="0.25">
      <c r="A3982" s="1" t="str">
        <f>"505998"</f>
        <v>505998</v>
      </c>
      <c r="B3982" s="2" t="str">
        <f>"CABO FICAP 2,5MM 750V FLEXIVEL - AMARELO"</f>
        <v>CABO FICAP 2,5MM 750V FLEXIVEL - AMARELO</v>
      </c>
      <c r="C3982" s="2" t="str">
        <f t="shared" ref="C3982:C3990" si="159">"MT"</f>
        <v>MT</v>
      </c>
      <c r="D3982" s="7">
        <v>602</v>
      </c>
      <c r="E3982" s="3">
        <v>8</v>
      </c>
      <c r="F3982" s="3">
        <v>8</v>
      </c>
      <c r="G3982" t="s">
        <v>514</v>
      </c>
    </row>
    <row r="3983" spans="1:7" x14ac:dyDescent="0.25">
      <c r="A3983" s="1" t="str">
        <f>"527220"</f>
        <v>527220</v>
      </c>
      <c r="B3983" s="2" t="str">
        <f>"CABO FICAP 2,5MM 750V FLEXIVEL - AZUL"</f>
        <v>CABO FICAP 2,5MM 750V FLEXIVEL - AZUL</v>
      </c>
      <c r="C3983" s="2" t="str">
        <f t="shared" si="159"/>
        <v>MT</v>
      </c>
      <c r="D3983" s="7">
        <v>602</v>
      </c>
      <c r="E3983" s="3">
        <v>8</v>
      </c>
      <c r="F3983" s="3">
        <v>8</v>
      </c>
      <c r="G3983" t="s">
        <v>514</v>
      </c>
    </row>
    <row r="3984" spans="1:7" x14ac:dyDescent="0.25">
      <c r="A3984" s="1" t="str">
        <f>"511282"</f>
        <v>511282</v>
      </c>
      <c r="B3984" s="2" t="str">
        <f>"CABO FICAP 2,5MM 750V FLEXIVEL - BRANCO"</f>
        <v>CABO FICAP 2,5MM 750V FLEXIVEL - BRANCO</v>
      </c>
      <c r="C3984" s="2" t="str">
        <f t="shared" si="159"/>
        <v>MT</v>
      </c>
      <c r="D3984" s="7">
        <v>602</v>
      </c>
      <c r="E3984" s="3">
        <v>8</v>
      </c>
      <c r="F3984" s="3">
        <v>8</v>
      </c>
      <c r="G3984" t="s">
        <v>514</v>
      </c>
    </row>
    <row r="3985" spans="1:7" x14ac:dyDescent="0.25">
      <c r="A3985" s="1" t="str">
        <f>"521771"</f>
        <v>521771</v>
      </c>
      <c r="B3985" s="2" t="str">
        <f>"CABO FICAP 2,5MM 750V FLEXIVEL - CINZA"</f>
        <v>CABO FICAP 2,5MM 750V FLEXIVEL - CINZA</v>
      </c>
      <c r="C3985" s="2" t="str">
        <f t="shared" si="159"/>
        <v>MT</v>
      </c>
      <c r="D3985" s="7">
        <v>602</v>
      </c>
      <c r="E3985" s="3">
        <v>8</v>
      </c>
      <c r="F3985" s="3">
        <v>8</v>
      </c>
      <c r="G3985" t="s">
        <v>513</v>
      </c>
    </row>
    <row r="3986" spans="1:7" x14ac:dyDescent="0.25">
      <c r="A3986" s="1" t="str">
        <f>"505382"</f>
        <v>505382</v>
      </c>
      <c r="B3986" s="2" t="str">
        <f>"CABO FICAP 2,5MM 750V FLEXIVEL - PRETO"</f>
        <v>CABO FICAP 2,5MM 750V FLEXIVEL - PRETO</v>
      </c>
      <c r="C3986" s="2" t="str">
        <f t="shared" si="159"/>
        <v>MT</v>
      </c>
      <c r="D3986" s="7">
        <v>602</v>
      </c>
      <c r="E3986" s="3">
        <v>8</v>
      </c>
      <c r="F3986" s="3">
        <v>8</v>
      </c>
      <c r="G3986" t="s">
        <v>513</v>
      </c>
    </row>
    <row r="3987" spans="1:7" x14ac:dyDescent="0.25">
      <c r="A3987" s="1" t="str">
        <f>"511283"</f>
        <v>511283</v>
      </c>
      <c r="B3987" s="2" t="str">
        <f>"CABO FICAP 2,5MM 750V FLEXIVEL - VERDE"</f>
        <v>CABO FICAP 2,5MM 750V FLEXIVEL - VERDE</v>
      </c>
      <c r="C3987" s="2" t="str">
        <f t="shared" si="159"/>
        <v>MT</v>
      </c>
      <c r="D3987" s="7">
        <v>602</v>
      </c>
      <c r="E3987" s="3">
        <v>8</v>
      </c>
      <c r="F3987" s="3">
        <v>8</v>
      </c>
      <c r="G3987" t="s">
        <v>513</v>
      </c>
    </row>
    <row r="3988" spans="1:7" x14ac:dyDescent="0.25">
      <c r="A3988" s="1" t="str">
        <f>"509211"</f>
        <v>509211</v>
      </c>
      <c r="B3988" s="2" t="str">
        <f>"CABO FICAP 2,5MM 750V FLEXIVEL - VERMELHO"</f>
        <v>CABO FICAP 2,5MM 750V FLEXIVEL - VERMELHO</v>
      </c>
      <c r="C3988" s="2" t="str">
        <f t="shared" si="159"/>
        <v>MT</v>
      </c>
      <c r="D3988" s="7">
        <v>602</v>
      </c>
      <c r="E3988" s="3">
        <v>8</v>
      </c>
      <c r="F3988" s="3">
        <v>8</v>
      </c>
      <c r="G3988" t="s">
        <v>512</v>
      </c>
    </row>
    <row r="3989" spans="1:7" x14ac:dyDescent="0.25">
      <c r="A3989" s="1" t="str">
        <f>"509385"</f>
        <v>509385</v>
      </c>
      <c r="B3989" s="2" t="str">
        <f>"CABO FICAP 2,5MM NEXANS FLEXIVEL - AZUL"</f>
        <v>CABO FICAP 2,5MM NEXANS FLEXIVEL - AZUL</v>
      </c>
      <c r="C3989" s="2" t="str">
        <f t="shared" si="159"/>
        <v>MT</v>
      </c>
      <c r="D3989" s="7">
        <v>602</v>
      </c>
      <c r="E3989" s="3">
        <v>8</v>
      </c>
      <c r="F3989" s="3">
        <v>8</v>
      </c>
      <c r="G3989" t="s">
        <v>513</v>
      </c>
    </row>
    <row r="3990" spans="1:7" x14ac:dyDescent="0.25">
      <c r="A3990" s="1" t="str">
        <f>"511954"</f>
        <v>511954</v>
      </c>
      <c r="B3990" s="2" t="str">
        <f>"CABO FICAP 2,5MM NEXANS FLEXIVEL  VD/AM TERRA"</f>
        <v>CABO FICAP 2,5MM NEXANS FLEXIVEL  VD/AM TERRA</v>
      </c>
      <c r="C3990" s="2" t="str">
        <f t="shared" si="159"/>
        <v>MT</v>
      </c>
      <c r="D3990" s="7">
        <v>602</v>
      </c>
      <c r="E3990" s="3">
        <v>8</v>
      </c>
      <c r="F3990" s="3">
        <v>8</v>
      </c>
      <c r="G3990" t="s">
        <v>514</v>
      </c>
    </row>
    <row r="3991" spans="1:7" x14ac:dyDescent="0.25">
      <c r="A3991" s="1" t="str">
        <f>"517969"</f>
        <v>517969</v>
      </c>
      <c r="B3991" s="2" t="str">
        <f>"CABO FICAP 25MM 750V PRETO"</f>
        <v>CABO FICAP 25MM 750V PRETO</v>
      </c>
      <c r="C3991" s="2" t="str">
        <f>"UN"</f>
        <v>UN</v>
      </c>
      <c r="D3991" s="7">
        <v>811</v>
      </c>
      <c r="E3991" s="3">
        <v>8</v>
      </c>
      <c r="F3991" s="3">
        <v>8</v>
      </c>
      <c r="G3991" t="s">
        <v>515</v>
      </c>
    </row>
    <row r="3992" spans="1:7" x14ac:dyDescent="0.25">
      <c r="A3992" s="1" t="str">
        <f>"511466"</f>
        <v>511466</v>
      </c>
      <c r="B3992" s="2" t="str">
        <f>"CABO FICAP 25MM 750V VD/AM TERRA NEXANS FICAP"</f>
        <v>CABO FICAP 25MM 750V VD/AM TERRA NEXANS FICAP</v>
      </c>
      <c r="C3992" s="2" t="str">
        <f>"MT"</f>
        <v>MT</v>
      </c>
      <c r="D3992" s="7">
        <v>602</v>
      </c>
      <c r="E3992" s="3">
        <v>8</v>
      </c>
      <c r="F3992" s="3">
        <v>8</v>
      </c>
      <c r="G3992" t="s">
        <v>512</v>
      </c>
    </row>
    <row r="3993" spans="1:7" x14ac:dyDescent="0.25">
      <c r="A3993" s="1" t="str">
        <f>"522598"</f>
        <v>522598</v>
      </c>
      <c r="B3993" s="2" t="str">
        <f>"CABO FICAP 35MM - VERDE"</f>
        <v>CABO FICAP 35MM - VERDE</v>
      </c>
      <c r="C3993" s="2" t="str">
        <f>"UN"</f>
        <v>UN</v>
      </c>
      <c r="D3993" s="7">
        <v>811</v>
      </c>
      <c r="E3993" s="3">
        <v>10</v>
      </c>
      <c r="F3993" s="3">
        <v>10</v>
      </c>
      <c r="G3993" t="s">
        <v>516</v>
      </c>
    </row>
    <row r="3994" spans="1:7" x14ac:dyDescent="0.25">
      <c r="A3994" s="1" t="str">
        <f>"501501"</f>
        <v>501501</v>
      </c>
      <c r="B3994" s="2" t="str">
        <f>"CABO FICAP 35MM 750V FLEXIVEL AZUL"</f>
        <v>CABO FICAP 35MM 750V FLEXIVEL AZUL</v>
      </c>
      <c r="C3994" s="2" t="str">
        <f>"UN"</f>
        <v>UN</v>
      </c>
      <c r="D3994" s="7">
        <v>811</v>
      </c>
      <c r="E3994" s="3">
        <v>8</v>
      </c>
      <c r="F3994" s="3">
        <v>8</v>
      </c>
      <c r="G3994" t="s">
        <v>515</v>
      </c>
    </row>
    <row r="3995" spans="1:7" x14ac:dyDescent="0.25">
      <c r="A3995" s="1" t="str">
        <f>"501498"</f>
        <v>501498</v>
      </c>
      <c r="B3995" s="2" t="str">
        <f>"CABO FICAP 35MM 750V FLEXIVEL PRETO"</f>
        <v>CABO FICAP 35MM 750V FLEXIVEL PRETO</v>
      </c>
      <c r="C3995" s="2" t="str">
        <f t="shared" ref="C3995:C4006" si="160">"MT"</f>
        <v>MT</v>
      </c>
      <c r="D3995" s="7">
        <v>602</v>
      </c>
      <c r="E3995" s="3">
        <v>8</v>
      </c>
      <c r="F3995" s="3">
        <v>8</v>
      </c>
      <c r="G3995" t="s">
        <v>514</v>
      </c>
    </row>
    <row r="3996" spans="1:7" x14ac:dyDescent="0.25">
      <c r="A3996" s="1" t="str">
        <f>"522315"</f>
        <v>522315</v>
      </c>
      <c r="B3996" s="2" t="str">
        <f>"CABO FICAP 4MM 750V FLEXIVEL  - PRETO"</f>
        <v>CABO FICAP 4MM 750V FLEXIVEL  - PRETO</v>
      </c>
      <c r="C3996" s="2" t="str">
        <f t="shared" si="160"/>
        <v>MT</v>
      </c>
      <c r="D3996" s="7">
        <v>811</v>
      </c>
      <c r="E3996" s="3">
        <v>10</v>
      </c>
      <c r="F3996" s="3">
        <v>10</v>
      </c>
      <c r="G3996" t="s">
        <v>512</v>
      </c>
    </row>
    <row r="3997" spans="1:7" x14ac:dyDescent="0.25">
      <c r="A3997" s="1" t="str">
        <f>"503188"</f>
        <v>503188</v>
      </c>
      <c r="B3997" s="2" t="str">
        <f>"CABO FICAP 50MM 750V FLEXIVEL"</f>
        <v>CABO FICAP 50MM 750V FLEXIVEL</v>
      </c>
      <c r="C3997" s="2" t="str">
        <f t="shared" si="160"/>
        <v>MT</v>
      </c>
      <c r="D3997" s="7">
        <v>602</v>
      </c>
      <c r="E3997" s="3">
        <v>8</v>
      </c>
      <c r="F3997" s="3">
        <v>8</v>
      </c>
      <c r="G3997" t="s">
        <v>513</v>
      </c>
    </row>
    <row r="3998" spans="1:7" x14ac:dyDescent="0.25">
      <c r="A3998" s="1" t="str">
        <f>"525413"</f>
        <v>525413</v>
      </c>
      <c r="B3998" s="2" t="str">
        <f>"CABO FICAP 50MM 750V FLEXIVEL AZUL"</f>
        <v>CABO FICAP 50MM 750V FLEXIVEL AZUL</v>
      </c>
      <c r="C3998" s="2" t="str">
        <f t="shared" si="160"/>
        <v>MT</v>
      </c>
      <c r="D3998" s="7">
        <v>602</v>
      </c>
      <c r="E3998" s="3">
        <v>8</v>
      </c>
      <c r="F3998" s="3">
        <v>8</v>
      </c>
      <c r="G3998" t="s">
        <v>514</v>
      </c>
    </row>
    <row r="3999" spans="1:7" x14ac:dyDescent="0.25">
      <c r="A3999" s="1" t="str">
        <f>"521985"</f>
        <v>521985</v>
      </c>
      <c r="B3999" s="2" t="str">
        <f>"CABO FICAP 50MM 750V FLEXIVEL VERDE"</f>
        <v>CABO FICAP 50MM 750V FLEXIVEL VERDE</v>
      </c>
      <c r="C3999" s="2" t="str">
        <f t="shared" si="160"/>
        <v>MT</v>
      </c>
      <c r="D3999" s="7">
        <v>602</v>
      </c>
      <c r="E3999" s="3">
        <v>8</v>
      </c>
      <c r="F3999" s="3">
        <v>8</v>
      </c>
      <c r="G3999" t="s">
        <v>514</v>
      </c>
    </row>
    <row r="4000" spans="1:7" x14ac:dyDescent="0.25">
      <c r="A4000" s="1" t="str">
        <f>"512863"</f>
        <v>512863</v>
      </c>
      <c r="B4000" s="2" t="str">
        <f>"CABO FICAP 50MM 750V FLEXIVEL VERDE/AMARELO"</f>
        <v>CABO FICAP 50MM 750V FLEXIVEL VERDE/AMARELO</v>
      </c>
      <c r="C4000" s="2" t="str">
        <f t="shared" si="160"/>
        <v>MT</v>
      </c>
      <c r="D4000" s="7">
        <v>602</v>
      </c>
      <c r="E4000" s="3">
        <v>8</v>
      </c>
      <c r="F4000" s="3">
        <v>8</v>
      </c>
      <c r="G4000" t="s">
        <v>512</v>
      </c>
    </row>
    <row r="4001" spans="1:7" x14ac:dyDescent="0.25">
      <c r="A4001" s="1" t="str">
        <f>"510048"</f>
        <v>510048</v>
      </c>
      <c r="B4001" s="2" t="str">
        <f>"CABO FICAP 70MM FLEXIVEL - AZUL"</f>
        <v>CABO FICAP 70MM FLEXIVEL - AZUL</v>
      </c>
      <c r="C4001" s="2" t="str">
        <f t="shared" si="160"/>
        <v>MT</v>
      </c>
      <c r="D4001" s="7">
        <v>602</v>
      </c>
      <c r="E4001" s="3">
        <v>8</v>
      </c>
      <c r="F4001" s="3">
        <v>8</v>
      </c>
      <c r="G4001" t="s">
        <v>513</v>
      </c>
    </row>
    <row r="4002" spans="1:7" x14ac:dyDescent="0.25">
      <c r="A4002" s="1" t="str">
        <f>"503108"</f>
        <v>503108</v>
      </c>
      <c r="B4002" s="2" t="str">
        <f>"CABO FICAP 70MM FLEXIVEL - PRETO"</f>
        <v>CABO FICAP 70MM FLEXIVEL - PRETO</v>
      </c>
      <c r="C4002" s="2" t="str">
        <f t="shared" si="160"/>
        <v>MT</v>
      </c>
      <c r="D4002" s="7">
        <v>602</v>
      </c>
      <c r="E4002" s="3">
        <v>8</v>
      </c>
      <c r="F4002" s="3">
        <v>8</v>
      </c>
      <c r="G4002" t="s">
        <v>514</v>
      </c>
    </row>
    <row r="4003" spans="1:7" x14ac:dyDescent="0.25">
      <c r="A4003" s="1" t="str">
        <f>"510049"</f>
        <v>510049</v>
      </c>
      <c r="B4003" s="2" t="str">
        <f>"CABO FICAP 70MM FLEXIVEL - VERDE"</f>
        <v>CABO FICAP 70MM FLEXIVEL - VERDE</v>
      </c>
      <c r="C4003" s="2" t="str">
        <f t="shared" si="160"/>
        <v>MT</v>
      </c>
      <c r="D4003" s="7">
        <v>602</v>
      </c>
      <c r="E4003" s="3">
        <v>8</v>
      </c>
      <c r="F4003" s="3">
        <v>8</v>
      </c>
      <c r="G4003" t="s">
        <v>514</v>
      </c>
    </row>
    <row r="4004" spans="1:7" x14ac:dyDescent="0.25">
      <c r="A4004" s="1" t="str">
        <f>"508169"</f>
        <v>508169</v>
      </c>
      <c r="B4004" s="2" t="str">
        <f>"CABO FICAP 95MM 750V FLEXIVEL"</f>
        <v>CABO FICAP 95MM 750V FLEXIVEL</v>
      </c>
      <c r="C4004" s="2" t="str">
        <f t="shared" si="160"/>
        <v>MT</v>
      </c>
      <c r="D4004" s="7">
        <v>602</v>
      </c>
      <c r="E4004" s="3">
        <v>8</v>
      </c>
      <c r="F4004" s="3">
        <v>8</v>
      </c>
      <c r="G4004" t="s">
        <v>514</v>
      </c>
    </row>
    <row r="4005" spans="1:7" x14ac:dyDescent="0.25">
      <c r="A4005" s="1" t="str">
        <f>"524862"</f>
        <v>524862</v>
      </c>
      <c r="B4005" s="2" t="str">
        <f>"CABO FICAP FLEXIVEL 1,5MM AZUL 750V"</f>
        <v>CABO FICAP FLEXIVEL 1,5MM AZUL 750V</v>
      </c>
      <c r="C4005" s="2" t="str">
        <f t="shared" si="160"/>
        <v>MT</v>
      </c>
      <c r="D4005" s="7">
        <v>602</v>
      </c>
      <c r="E4005" s="3">
        <v>8</v>
      </c>
      <c r="F4005" s="3">
        <v>8</v>
      </c>
      <c r="G4005" t="s">
        <v>513</v>
      </c>
    </row>
    <row r="4006" spans="1:7" x14ac:dyDescent="0.25">
      <c r="A4006" s="1" t="str">
        <f>"524861"</f>
        <v>524861</v>
      </c>
      <c r="B4006" s="2" t="str">
        <f>"CABO FICAP FLEXIVEL 1,5MM CINZA"</f>
        <v>CABO FICAP FLEXIVEL 1,5MM CINZA</v>
      </c>
      <c r="C4006" s="2" t="str">
        <f t="shared" si="160"/>
        <v>MT</v>
      </c>
      <c r="D4006" s="7">
        <v>602</v>
      </c>
      <c r="E4006" s="3">
        <v>8</v>
      </c>
      <c r="F4006" s="3">
        <v>8</v>
      </c>
      <c r="G4006" t="s">
        <v>512</v>
      </c>
    </row>
    <row r="4007" spans="1:7" x14ac:dyDescent="0.25">
      <c r="A4007" s="1" t="str">
        <f>"526160"</f>
        <v>526160</v>
      </c>
      <c r="B4007" s="2" t="str">
        <f>"CABO FILTER FLEX 3X70MM+1X35MM 1KV"</f>
        <v>CABO FILTER FLEX 3X70MM+1X35MM 1KV</v>
      </c>
      <c r="C4007" s="2" t="str">
        <f>"UN"</f>
        <v>UN</v>
      </c>
      <c r="D4007" s="7">
        <v>811</v>
      </c>
      <c r="E4007" s="3">
        <v>10</v>
      </c>
      <c r="F4007" s="3">
        <v>10</v>
      </c>
      <c r="G4007" t="s">
        <v>513</v>
      </c>
    </row>
    <row r="4008" spans="1:7" x14ac:dyDescent="0.25">
      <c r="A4008" s="1" t="str">
        <f>"526162"</f>
        <v>526162</v>
      </c>
      <c r="B4008" s="2" t="str">
        <f>"CABO FILTERFLEX BLIND 3X50MM+1X25 1KV"</f>
        <v>CABO FILTERFLEX BLIND 3X50MM+1X25 1KV</v>
      </c>
      <c r="C4008" s="2" t="str">
        <f>"UN"</f>
        <v>UN</v>
      </c>
      <c r="D4008" s="7">
        <v>811</v>
      </c>
      <c r="E4008" s="3">
        <v>10</v>
      </c>
      <c r="F4008" s="3">
        <v>10</v>
      </c>
      <c r="G4008" t="s">
        <v>514</v>
      </c>
    </row>
    <row r="4009" spans="1:7" x14ac:dyDescent="0.25">
      <c r="A4009" s="1" t="str">
        <f>"520642"</f>
        <v>520642</v>
      </c>
      <c r="B4009" s="2" t="str">
        <f>"CABO FITA 10 VIAS 700MM 300V C/ CONEXÃO"</f>
        <v>CABO FITA 10 VIAS 700MM 300V C/ CONEXÃO</v>
      </c>
      <c r="C4009" s="2" t="str">
        <f>"UN"</f>
        <v>UN</v>
      </c>
      <c r="D4009" s="7">
        <v>811</v>
      </c>
      <c r="E4009" s="3">
        <v>11</v>
      </c>
      <c r="F4009" s="3">
        <v>11</v>
      </c>
      <c r="G4009" t="s">
        <v>514</v>
      </c>
    </row>
    <row r="4010" spans="1:7" x14ac:dyDescent="0.25">
      <c r="A4010" s="1" t="str">
        <f>"519043"</f>
        <v>519043</v>
      </c>
      <c r="B4010" s="2" t="str">
        <f>"CABO FITER FLEX PRETO 2 X 1,5MM"</f>
        <v>CABO FITER FLEX PRETO 2 X 1,5MM</v>
      </c>
      <c r="C4010" s="2" t="str">
        <f>"MT"</f>
        <v>MT</v>
      </c>
      <c r="D4010" s="7">
        <v>602</v>
      </c>
      <c r="E4010" s="3">
        <v>8</v>
      </c>
      <c r="F4010" s="3">
        <v>8</v>
      </c>
      <c r="G4010" t="s">
        <v>514</v>
      </c>
    </row>
    <row r="4011" spans="1:7" x14ac:dyDescent="0.25">
      <c r="A4011" s="1" t="str">
        <f>"518745"</f>
        <v>518745</v>
      </c>
      <c r="B4011" s="2" t="str">
        <f>"CABO FITER FLEX PRETO 2 X 2,5MM"</f>
        <v>CABO FITER FLEX PRETO 2 X 2,5MM</v>
      </c>
      <c r="C4011" s="2" t="str">
        <f>"MT"</f>
        <v>MT</v>
      </c>
      <c r="D4011" s="7">
        <v>602</v>
      </c>
      <c r="E4011" s="3">
        <v>8</v>
      </c>
      <c r="F4011" s="3">
        <v>8</v>
      </c>
      <c r="G4011" t="s">
        <v>513</v>
      </c>
    </row>
    <row r="4012" spans="1:7" x14ac:dyDescent="0.25">
      <c r="A4012" s="1" t="str">
        <f>"512296"</f>
        <v>512296</v>
      </c>
      <c r="B4012" s="2" t="str">
        <f>"CABO FITER FLEX PRETO 4 X 2,5MM"</f>
        <v>CABO FITER FLEX PRETO 4 X 2,5MM</v>
      </c>
      <c r="C4012" s="2" t="str">
        <f>"MT"</f>
        <v>MT</v>
      </c>
      <c r="D4012" s="7">
        <v>602</v>
      </c>
      <c r="E4012" s="3">
        <v>8</v>
      </c>
      <c r="F4012" s="3">
        <v>8</v>
      </c>
      <c r="G4012" t="s">
        <v>513</v>
      </c>
    </row>
    <row r="4013" spans="1:7" x14ac:dyDescent="0.25">
      <c r="A4013" s="1" t="str">
        <f>"516478"</f>
        <v>516478</v>
      </c>
      <c r="B4013" s="2" t="str">
        <f>"CABO FITER FLEX PRETO 4 X 4MM"</f>
        <v>CABO FITER FLEX PRETO 4 X 4MM</v>
      </c>
      <c r="C4013" s="2" t="str">
        <f>"UN"</f>
        <v>UN</v>
      </c>
      <c r="D4013" s="7">
        <v>811</v>
      </c>
      <c r="E4013" s="3">
        <v>8</v>
      </c>
      <c r="F4013" s="3">
        <v>8</v>
      </c>
      <c r="G4013" t="s">
        <v>513</v>
      </c>
    </row>
    <row r="4014" spans="1:7" x14ac:dyDescent="0.25">
      <c r="A4014" s="1" t="str">
        <f>"516479"</f>
        <v>516479</v>
      </c>
      <c r="B4014" s="2" t="str">
        <f>"CABO FITER FLEX PRETO 4 X 6MM"</f>
        <v>CABO FITER FLEX PRETO 4 X 6MM</v>
      </c>
      <c r="C4014" s="2" t="str">
        <f>"UN"</f>
        <v>UN</v>
      </c>
      <c r="D4014" s="7">
        <v>811</v>
      </c>
      <c r="E4014" s="3">
        <v>8</v>
      </c>
      <c r="F4014" s="3">
        <v>8</v>
      </c>
      <c r="G4014" t="s">
        <v>512</v>
      </c>
    </row>
    <row r="4015" spans="1:7" x14ac:dyDescent="0.25">
      <c r="A4015" s="1" t="str">
        <f>"509706"</f>
        <v>509706</v>
      </c>
      <c r="B4015" s="2" t="str">
        <f>"CABO FITER-FLEX AZUL  6MM"</f>
        <v>CABO FITER-FLEX AZUL  6MM</v>
      </c>
      <c r="C4015" s="2" t="str">
        <f t="shared" ref="C4015:C4022" si="161">"MT"</f>
        <v>MT</v>
      </c>
      <c r="D4015" s="7">
        <v>602</v>
      </c>
      <c r="E4015" s="3">
        <v>8</v>
      </c>
      <c r="F4015" s="3">
        <v>8</v>
      </c>
      <c r="G4015" t="s">
        <v>513</v>
      </c>
    </row>
    <row r="4016" spans="1:7" x14ac:dyDescent="0.25">
      <c r="A4016" s="1" t="str">
        <f>"510290"</f>
        <v>510290</v>
      </c>
      <c r="B4016" s="2" t="str">
        <f>"CABO FITER-FLEX AZUL 10MM"</f>
        <v>CABO FITER-FLEX AZUL 10MM</v>
      </c>
      <c r="C4016" s="2" t="str">
        <f t="shared" si="161"/>
        <v>MT</v>
      </c>
      <c r="D4016" s="7">
        <v>602</v>
      </c>
      <c r="E4016" s="3">
        <v>8</v>
      </c>
      <c r="F4016" s="3">
        <v>8</v>
      </c>
      <c r="G4016" t="s">
        <v>514</v>
      </c>
    </row>
    <row r="4017" spans="1:7" x14ac:dyDescent="0.25">
      <c r="A4017" s="1" t="str">
        <f>"516989"</f>
        <v>516989</v>
      </c>
      <c r="B4017" s="2" t="str">
        <f>"CABO FITER-FLEX AZUL 150MM"</f>
        <v>CABO FITER-FLEX AZUL 150MM</v>
      </c>
      <c r="C4017" s="2" t="str">
        <f t="shared" si="161"/>
        <v>MT</v>
      </c>
      <c r="D4017" s="7">
        <v>602</v>
      </c>
      <c r="E4017" s="3">
        <v>8</v>
      </c>
      <c r="F4017" s="3">
        <v>8</v>
      </c>
      <c r="G4017" t="s">
        <v>515</v>
      </c>
    </row>
    <row r="4018" spans="1:7" x14ac:dyDescent="0.25">
      <c r="A4018" s="1" t="str">
        <f>"511859"</f>
        <v>511859</v>
      </c>
      <c r="B4018" s="2" t="str">
        <f>"CABO FITER-FLEX AZUL 16MM"</f>
        <v>CABO FITER-FLEX AZUL 16MM</v>
      </c>
      <c r="C4018" s="2" t="str">
        <f t="shared" si="161"/>
        <v>MT</v>
      </c>
      <c r="D4018" s="7">
        <v>602</v>
      </c>
      <c r="E4018" s="3">
        <v>8</v>
      </c>
      <c r="F4018" s="3">
        <v>8</v>
      </c>
      <c r="G4018" t="s">
        <v>512</v>
      </c>
    </row>
    <row r="4019" spans="1:7" x14ac:dyDescent="0.25">
      <c r="A4019" s="1" t="str">
        <f>"511286"</f>
        <v>511286</v>
      </c>
      <c r="B4019" s="2" t="str">
        <f>"CABO FITER-FLEX AZUL 185MM"</f>
        <v>CABO FITER-FLEX AZUL 185MM</v>
      </c>
      <c r="C4019" s="2" t="str">
        <f t="shared" si="161"/>
        <v>MT</v>
      </c>
      <c r="D4019" s="7">
        <v>602</v>
      </c>
      <c r="E4019" s="3">
        <v>8</v>
      </c>
      <c r="F4019" s="3">
        <v>8</v>
      </c>
      <c r="G4019" t="s">
        <v>516</v>
      </c>
    </row>
    <row r="4020" spans="1:7" x14ac:dyDescent="0.25">
      <c r="A4020" s="1" t="str">
        <f>"507066"</f>
        <v>507066</v>
      </c>
      <c r="B4020" s="2" t="str">
        <f>"CABO FITER-FLEX AZUL 25MM"</f>
        <v>CABO FITER-FLEX AZUL 25MM</v>
      </c>
      <c r="C4020" s="2" t="str">
        <f t="shared" si="161"/>
        <v>MT</v>
      </c>
      <c r="D4020" s="7">
        <v>602</v>
      </c>
      <c r="E4020" s="3">
        <v>8</v>
      </c>
      <c r="F4020" s="3">
        <v>8</v>
      </c>
      <c r="G4020" t="s">
        <v>515</v>
      </c>
    </row>
    <row r="4021" spans="1:7" x14ac:dyDescent="0.25">
      <c r="A4021" s="1" t="str">
        <f>"506903"</f>
        <v>506903</v>
      </c>
      <c r="B4021" s="2" t="str">
        <f>"CABO FITER-FLEX AZUL 35MM"</f>
        <v>CABO FITER-FLEX AZUL 35MM</v>
      </c>
      <c r="C4021" s="2" t="str">
        <f t="shared" si="161"/>
        <v>MT</v>
      </c>
      <c r="D4021" s="7">
        <v>602</v>
      </c>
      <c r="E4021" s="3">
        <v>8</v>
      </c>
      <c r="F4021" s="3">
        <v>8</v>
      </c>
      <c r="G4021" t="s">
        <v>514</v>
      </c>
    </row>
    <row r="4022" spans="1:7" x14ac:dyDescent="0.25">
      <c r="A4022" s="1" t="str">
        <f>"505027"</f>
        <v>505027</v>
      </c>
      <c r="B4022" s="2" t="str">
        <f>"CABO FITER-FLEX AZUL 50MM"</f>
        <v>CABO FITER-FLEX AZUL 50MM</v>
      </c>
      <c r="C4022" s="2" t="str">
        <f t="shared" si="161"/>
        <v>MT</v>
      </c>
      <c r="D4022" s="7">
        <v>602</v>
      </c>
      <c r="E4022" s="3">
        <v>8</v>
      </c>
      <c r="F4022" s="3">
        <v>8</v>
      </c>
      <c r="G4022" t="s">
        <v>512</v>
      </c>
    </row>
    <row r="4023" spans="1:7" x14ac:dyDescent="0.25">
      <c r="A4023" s="1" t="str">
        <f>"517085"</f>
        <v>517085</v>
      </c>
      <c r="B4023" s="2" t="str">
        <f>"CABO FITER-FLEX PRETO  6MM"</f>
        <v>CABO FITER-FLEX PRETO  6MM</v>
      </c>
      <c r="C4023" s="2" t="str">
        <f>"UN"</f>
        <v>UN</v>
      </c>
      <c r="D4023" s="7">
        <v>811</v>
      </c>
      <c r="E4023" s="3">
        <v>8</v>
      </c>
      <c r="F4023" s="3">
        <v>8</v>
      </c>
      <c r="G4023" t="s">
        <v>513</v>
      </c>
    </row>
    <row r="4024" spans="1:7" x14ac:dyDescent="0.25">
      <c r="A4024" s="1" t="str">
        <f>"516038"</f>
        <v>516038</v>
      </c>
      <c r="B4024" s="2" t="str">
        <f>"CABO FITER-FLEX PRETO 10 X 1,0MM"</f>
        <v>CABO FITER-FLEX PRETO 10 X 1,0MM</v>
      </c>
      <c r="C4024" s="2" t="str">
        <f t="shared" ref="C4024:C4045" si="162">"MT"</f>
        <v>MT</v>
      </c>
      <c r="D4024" s="7">
        <v>602</v>
      </c>
      <c r="E4024" s="3">
        <v>8</v>
      </c>
      <c r="F4024" s="3">
        <v>8</v>
      </c>
      <c r="G4024" t="s">
        <v>514</v>
      </c>
    </row>
    <row r="4025" spans="1:7" x14ac:dyDescent="0.25">
      <c r="A4025" s="1" t="str">
        <f>"509705"</f>
        <v>509705</v>
      </c>
      <c r="B4025" s="2" t="str">
        <f>"CABO FITER-FLEX PRETO 10MM"</f>
        <v>CABO FITER-FLEX PRETO 10MM</v>
      </c>
      <c r="C4025" s="2" t="str">
        <f t="shared" si="162"/>
        <v>MT</v>
      </c>
      <c r="D4025" s="7">
        <v>602</v>
      </c>
      <c r="E4025" s="3">
        <v>8</v>
      </c>
      <c r="F4025" s="3">
        <v>8</v>
      </c>
      <c r="G4025" t="s">
        <v>514</v>
      </c>
    </row>
    <row r="4026" spans="1:7" x14ac:dyDescent="0.25">
      <c r="A4026" s="1" t="str">
        <f>"511272"</f>
        <v>511272</v>
      </c>
      <c r="B4026" s="2" t="str">
        <f>"CABO FITER-FLEX PRETO 120MM"</f>
        <v>CABO FITER-FLEX PRETO 120MM</v>
      </c>
      <c r="C4026" s="2" t="str">
        <f t="shared" si="162"/>
        <v>MT</v>
      </c>
      <c r="D4026" s="7">
        <v>602</v>
      </c>
      <c r="E4026" s="3">
        <v>8</v>
      </c>
      <c r="F4026" s="3">
        <v>8</v>
      </c>
      <c r="G4026" t="s">
        <v>512</v>
      </c>
    </row>
    <row r="4027" spans="1:7" x14ac:dyDescent="0.25">
      <c r="A4027" s="1" t="str">
        <f>"511271"</f>
        <v>511271</v>
      </c>
      <c r="B4027" s="2" t="str">
        <f>"CABO FITER-FLEX PRETO 150MM"</f>
        <v>CABO FITER-FLEX PRETO 150MM</v>
      </c>
      <c r="C4027" s="2" t="str">
        <f t="shared" si="162"/>
        <v>MT</v>
      </c>
      <c r="D4027" s="7">
        <v>602</v>
      </c>
      <c r="E4027" s="3">
        <v>8</v>
      </c>
      <c r="F4027" s="3">
        <v>8</v>
      </c>
      <c r="G4027" t="s">
        <v>513</v>
      </c>
    </row>
    <row r="4028" spans="1:7" x14ac:dyDescent="0.25">
      <c r="A4028" s="1" t="str">
        <f>"509960"</f>
        <v>509960</v>
      </c>
      <c r="B4028" s="2" t="str">
        <f>"CABO FITER-FLEX PRETO 16MM"</f>
        <v>CABO FITER-FLEX PRETO 16MM</v>
      </c>
      <c r="C4028" s="2" t="str">
        <f t="shared" si="162"/>
        <v>MT</v>
      </c>
      <c r="D4028" s="7">
        <v>602</v>
      </c>
      <c r="E4028" s="3">
        <v>8</v>
      </c>
      <c r="F4028" s="3">
        <v>8</v>
      </c>
      <c r="G4028" t="s">
        <v>514</v>
      </c>
    </row>
    <row r="4029" spans="1:7" x14ac:dyDescent="0.25">
      <c r="A4029" s="1" t="str">
        <f>"509774"</f>
        <v>509774</v>
      </c>
      <c r="B4029" s="2" t="str">
        <f>"CABO FITER-FLEX PRETO 185MM"</f>
        <v>CABO FITER-FLEX PRETO 185MM</v>
      </c>
      <c r="C4029" s="2" t="str">
        <f t="shared" si="162"/>
        <v>MT</v>
      </c>
      <c r="D4029" s="7">
        <v>602</v>
      </c>
      <c r="E4029" s="3">
        <v>8</v>
      </c>
      <c r="F4029" s="3">
        <v>8</v>
      </c>
      <c r="G4029" t="s">
        <v>514</v>
      </c>
    </row>
    <row r="4030" spans="1:7" x14ac:dyDescent="0.25">
      <c r="A4030" s="1" t="str">
        <f>"511746"</f>
        <v>511746</v>
      </c>
      <c r="B4030" s="2" t="str">
        <f>"CABO FITER-FLEX PRETO 240MM"</f>
        <v>CABO FITER-FLEX PRETO 240MM</v>
      </c>
      <c r="C4030" s="2" t="str">
        <f t="shared" si="162"/>
        <v>MT</v>
      </c>
      <c r="D4030" s="7">
        <v>602</v>
      </c>
      <c r="E4030" s="3">
        <v>8</v>
      </c>
      <c r="F4030" s="3">
        <v>8</v>
      </c>
      <c r="G4030" t="s">
        <v>514</v>
      </c>
    </row>
    <row r="4031" spans="1:7" x14ac:dyDescent="0.25">
      <c r="A4031" s="1" t="str">
        <f>"516037"</f>
        <v>516037</v>
      </c>
      <c r="B4031" s="2" t="str">
        <f>"CABO FITER-FLEX PRETO 25 X 1,0MM"</f>
        <v>CABO FITER-FLEX PRETO 25 X 1,0MM</v>
      </c>
      <c r="C4031" s="2" t="str">
        <f t="shared" si="162"/>
        <v>MT</v>
      </c>
      <c r="D4031" s="7">
        <v>602</v>
      </c>
      <c r="E4031" s="3">
        <v>8</v>
      </c>
      <c r="F4031" s="3">
        <v>8</v>
      </c>
      <c r="G4031" t="s">
        <v>513</v>
      </c>
    </row>
    <row r="4032" spans="1:7" x14ac:dyDescent="0.25">
      <c r="A4032" s="1" t="str">
        <f>"509824"</f>
        <v>509824</v>
      </c>
      <c r="B4032" s="2" t="str">
        <f>"CABO FITER-FLEX PRETO 25MM"</f>
        <v>CABO FITER-FLEX PRETO 25MM</v>
      </c>
      <c r="C4032" s="2" t="str">
        <f t="shared" si="162"/>
        <v>MT</v>
      </c>
      <c r="D4032" s="7">
        <v>602</v>
      </c>
      <c r="E4032" s="3">
        <v>8</v>
      </c>
      <c r="F4032" s="3">
        <v>8</v>
      </c>
      <c r="G4032" t="s">
        <v>512</v>
      </c>
    </row>
    <row r="4033" spans="1:7" x14ac:dyDescent="0.25">
      <c r="A4033" s="1" t="str">
        <f>"510985"</f>
        <v>510985</v>
      </c>
      <c r="B4033" s="2" t="str">
        <f>"CABO FITER-FLEX PRETO 35MM"</f>
        <v>CABO FITER-FLEX PRETO 35MM</v>
      </c>
      <c r="C4033" s="2" t="str">
        <f t="shared" si="162"/>
        <v>MT</v>
      </c>
      <c r="D4033" s="7">
        <v>602</v>
      </c>
      <c r="E4033" s="3">
        <v>8</v>
      </c>
      <c r="F4033" s="3">
        <v>8</v>
      </c>
      <c r="G4033" t="s">
        <v>513</v>
      </c>
    </row>
    <row r="4034" spans="1:7" x14ac:dyDescent="0.25">
      <c r="A4034" s="1" t="str">
        <f>"512239"</f>
        <v>512239</v>
      </c>
      <c r="B4034" s="2" t="str">
        <f>"CABO FITER-FLEX PRETO 4 X 10MM"</f>
        <v>CABO FITER-FLEX PRETO 4 X 10MM</v>
      </c>
      <c r="C4034" s="2" t="str">
        <f t="shared" si="162"/>
        <v>MT</v>
      </c>
      <c r="D4034" s="7">
        <v>602</v>
      </c>
      <c r="E4034" s="3">
        <v>8</v>
      </c>
      <c r="F4034" s="3">
        <v>8</v>
      </c>
      <c r="G4034" t="s">
        <v>514</v>
      </c>
    </row>
    <row r="4035" spans="1:7" x14ac:dyDescent="0.25">
      <c r="A4035" s="1" t="str">
        <f>"511833"</f>
        <v>511833</v>
      </c>
      <c r="B4035" s="2" t="str">
        <f>"CABO FITER-FLEX PRETO 4 X 16MM"</f>
        <v>CABO FITER-FLEX PRETO 4 X 16MM</v>
      </c>
      <c r="C4035" s="2" t="str">
        <f t="shared" si="162"/>
        <v>MT</v>
      </c>
      <c r="D4035" s="7">
        <v>602</v>
      </c>
      <c r="E4035" s="3">
        <v>8</v>
      </c>
      <c r="F4035" s="3">
        <v>8</v>
      </c>
      <c r="G4035" t="s">
        <v>514</v>
      </c>
    </row>
    <row r="4036" spans="1:7" x14ac:dyDescent="0.25">
      <c r="A4036" s="1" t="str">
        <f>"516337"</f>
        <v>516337</v>
      </c>
      <c r="B4036" s="2" t="str">
        <f>"CABO FITER-FLEX PRETO 4 X 2,5MM"</f>
        <v>CABO FITER-FLEX PRETO 4 X 2,5MM</v>
      </c>
      <c r="C4036" s="2" t="str">
        <f t="shared" si="162"/>
        <v>MT</v>
      </c>
      <c r="D4036" s="7">
        <v>602</v>
      </c>
      <c r="E4036" s="3">
        <v>8</v>
      </c>
      <c r="F4036" s="3">
        <v>8</v>
      </c>
      <c r="G4036" t="s">
        <v>514</v>
      </c>
    </row>
    <row r="4037" spans="1:7" x14ac:dyDescent="0.25">
      <c r="A4037" s="1" t="str">
        <f>"510857"</f>
        <v>510857</v>
      </c>
      <c r="B4037" s="2" t="str">
        <f>"CABO FITER-FLEX PRETO 50MM"</f>
        <v>CABO FITER-FLEX PRETO 50MM</v>
      </c>
      <c r="C4037" s="2" t="str">
        <f t="shared" si="162"/>
        <v>MT</v>
      </c>
      <c r="D4037" s="7">
        <v>602</v>
      </c>
      <c r="E4037" s="3">
        <v>8</v>
      </c>
      <c r="F4037" s="3">
        <v>8</v>
      </c>
      <c r="G4037" t="s">
        <v>513</v>
      </c>
    </row>
    <row r="4038" spans="1:7" x14ac:dyDescent="0.25">
      <c r="A4038" s="1" t="str">
        <f>"509882"</f>
        <v>509882</v>
      </c>
      <c r="B4038" s="2" t="str">
        <f>"CABO FITER-FLEX PRETO 70MM"</f>
        <v>CABO FITER-FLEX PRETO 70MM</v>
      </c>
      <c r="C4038" s="2" t="str">
        <f t="shared" si="162"/>
        <v>MT</v>
      </c>
      <c r="D4038" s="7">
        <v>602</v>
      </c>
      <c r="E4038" s="3">
        <v>8</v>
      </c>
      <c r="F4038" s="3">
        <v>8</v>
      </c>
      <c r="G4038" t="s">
        <v>513</v>
      </c>
    </row>
    <row r="4039" spans="1:7" x14ac:dyDescent="0.25">
      <c r="A4039" s="1" t="str">
        <f>"510711"</f>
        <v>510711</v>
      </c>
      <c r="B4039" s="2" t="str">
        <f>"CABO FITER-FLEX PRETO 95MM"</f>
        <v>CABO FITER-FLEX PRETO 95MM</v>
      </c>
      <c r="C4039" s="2" t="str">
        <f t="shared" si="162"/>
        <v>MT</v>
      </c>
      <c r="D4039" s="7">
        <v>602</v>
      </c>
      <c r="E4039" s="3">
        <v>8</v>
      </c>
      <c r="F4039" s="3">
        <v>8</v>
      </c>
      <c r="G4039" t="s">
        <v>513</v>
      </c>
    </row>
    <row r="4040" spans="1:7" x14ac:dyDescent="0.25">
      <c r="A4040" s="1" t="str">
        <f>"521605"</f>
        <v>521605</v>
      </c>
      <c r="B4040" s="2" t="str">
        <f>"CABO FITER-FLEX VD/AM 01MM"</f>
        <v>CABO FITER-FLEX VD/AM 01MM</v>
      </c>
      <c r="C4040" s="2" t="str">
        <f t="shared" si="162"/>
        <v>MT</v>
      </c>
      <c r="D4040" s="7">
        <v>602</v>
      </c>
      <c r="E4040" s="3">
        <v>8</v>
      </c>
      <c r="F4040" s="3">
        <v>8</v>
      </c>
      <c r="G4040" t="s">
        <v>512</v>
      </c>
    </row>
    <row r="4041" spans="1:7" x14ac:dyDescent="0.25">
      <c r="A4041" s="1" t="str">
        <f>"511275"</f>
        <v>511275</v>
      </c>
      <c r="B4041" s="2" t="str">
        <f>"CABO FITER-FLEX VD/AM 06MM"</f>
        <v>CABO FITER-FLEX VD/AM 06MM</v>
      </c>
      <c r="C4041" s="2" t="str">
        <f t="shared" si="162"/>
        <v>MT</v>
      </c>
      <c r="D4041" s="7">
        <v>602</v>
      </c>
      <c r="E4041" s="3">
        <v>8</v>
      </c>
      <c r="F4041" s="3">
        <v>8</v>
      </c>
      <c r="G4041" t="s">
        <v>513</v>
      </c>
    </row>
    <row r="4042" spans="1:7" x14ac:dyDescent="0.25">
      <c r="A4042" s="1" t="str">
        <f>"511274"</f>
        <v>511274</v>
      </c>
      <c r="B4042" s="2" t="str">
        <f>"CABO FITER-FLEX VD/AM 10MM"</f>
        <v>CABO FITER-FLEX VD/AM 10MM</v>
      </c>
      <c r="C4042" s="2" t="str">
        <f t="shared" si="162"/>
        <v>MT</v>
      </c>
      <c r="D4042" s="7">
        <v>602</v>
      </c>
      <c r="E4042" s="3">
        <v>8</v>
      </c>
      <c r="F4042" s="3">
        <v>8</v>
      </c>
      <c r="G4042" t="s">
        <v>514</v>
      </c>
    </row>
    <row r="4043" spans="1:7" x14ac:dyDescent="0.25">
      <c r="A4043" s="1" t="str">
        <f>"511276"</f>
        <v>511276</v>
      </c>
      <c r="B4043" s="2" t="str">
        <f>"CABO FITER-FLEX VD/AM 2,5MM"</f>
        <v>CABO FITER-FLEX VD/AM 2,5MM</v>
      </c>
      <c r="C4043" s="2" t="str">
        <f t="shared" si="162"/>
        <v>MT</v>
      </c>
      <c r="D4043" s="7">
        <v>602</v>
      </c>
      <c r="E4043" s="3">
        <v>8</v>
      </c>
      <c r="F4043" s="3">
        <v>8</v>
      </c>
      <c r="G4043" t="s">
        <v>515</v>
      </c>
    </row>
    <row r="4044" spans="1:7" x14ac:dyDescent="0.25">
      <c r="A4044" s="1" t="str">
        <f>"511273"</f>
        <v>511273</v>
      </c>
      <c r="B4044" s="2" t="str">
        <f>"CABO FITER-FLEX VD/AM 25MM"</f>
        <v>CABO FITER-FLEX VD/AM 25MM</v>
      </c>
      <c r="C4044" s="2" t="str">
        <f t="shared" si="162"/>
        <v>MT</v>
      </c>
      <c r="D4044" s="7">
        <v>602</v>
      </c>
      <c r="E4044" s="3">
        <v>8</v>
      </c>
      <c r="F4044" s="3">
        <v>8</v>
      </c>
      <c r="G4044" t="s">
        <v>512</v>
      </c>
    </row>
    <row r="4045" spans="1:7" x14ac:dyDescent="0.25">
      <c r="A4045" s="1" t="str">
        <f>"526475"</f>
        <v>526475</v>
      </c>
      <c r="B4045" s="2" t="str">
        <f>"CABO FITER-FLEX VERDE 185MM 70ºC"</f>
        <v>CABO FITER-FLEX VERDE 185MM 70ºC</v>
      </c>
      <c r="C4045" s="2" t="str">
        <f t="shared" si="162"/>
        <v>MT</v>
      </c>
      <c r="D4045" s="7">
        <v>602</v>
      </c>
      <c r="E4045" s="3">
        <v>8</v>
      </c>
      <c r="F4045" s="3">
        <v>8</v>
      </c>
      <c r="G4045" t="s">
        <v>516</v>
      </c>
    </row>
    <row r="4046" spans="1:7" x14ac:dyDescent="0.25">
      <c r="A4046" s="1" t="str">
        <f>"517746"</f>
        <v>517746</v>
      </c>
      <c r="B4046" s="2" t="str">
        <f>"CABO FLAT 1MT"</f>
        <v>CABO FLAT 1MT</v>
      </c>
      <c r="C4046" s="2" t="str">
        <f t="shared" ref="C4046:C4056" si="163">"UN"</f>
        <v>UN</v>
      </c>
      <c r="D4046" s="7">
        <v>811</v>
      </c>
      <c r="E4046" s="3">
        <v>8</v>
      </c>
      <c r="F4046" s="3">
        <v>8</v>
      </c>
      <c r="G4046" t="s">
        <v>515</v>
      </c>
    </row>
    <row r="4047" spans="1:7" x14ac:dyDescent="0.25">
      <c r="A4047" s="1" t="str">
        <f>"517773"</f>
        <v>517773</v>
      </c>
      <c r="B4047" s="2" t="str">
        <f>"CABO FLAT 50CM"</f>
        <v>CABO FLAT 50CM</v>
      </c>
      <c r="C4047" s="2" t="str">
        <f t="shared" si="163"/>
        <v>UN</v>
      </c>
      <c r="D4047" s="7">
        <v>811</v>
      </c>
      <c r="E4047" s="3">
        <v>8</v>
      </c>
      <c r="F4047" s="3">
        <v>8</v>
      </c>
      <c r="G4047" t="s">
        <v>514</v>
      </c>
    </row>
    <row r="4048" spans="1:7" x14ac:dyDescent="0.25">
      <c r="A4048" s="1" t="str">
        <f>"522689"</f>
        <v>522689</v>
      </c>
      <c r="B4048" s="2" t="str">
        <f>"CABO FLEX 240MM2 AZUL EPR 90ºC CLASSE 0,6 1,0KV"</f>
        <v>CABO FLEX 240MM2 AZUL EPR 90ºC CLASSE 0,6 1,0KV</v>
      </c>
      <c r="C4048" s="2" t="str">
        <f t="shared" si="163"/>
        <v>UN</v>
      </c>
      <c r="D4048" s="7">
        <v>811</v>
      </c>
      <c r="E4048" s="3">
        <v>8</v>
      </c>
      <c r="F4048" s="3">
        <v>8</v>
      </c>
      <c r="G4048" t="s">
        <v>512</v>
      </c>
    </row>
    <row r="4049" spans="1:7" x14ac:dyDescent="0.25">
      <c r="A4049" s="1" t="str">
        <f>"522688"</f>
        <v>522688</v>
      </c>
      <c r="B4049" s="2" t="str">
        <f>"CABO FLEX 240MM2 PRETO EPR 90ºC CLASSE 0,6 1,0KV"</f>
        <v>CABO FLEX 240MM2 PRETO EPR 90ºC CLASSE 0,6 1,0KV</v>
      </c>
      <c r="C4049" s="2" t="str">
        <f t="shared" si="163"/>
        <v>UN</v>
      </c>
      <c r="D4049" s="7">
        <v>811</v>
      </c>
      <c r="E4049" s="3">
        <v>8</v>
      </c>
      <c r="F4049" s="3">
        <v>8</v>
      </c>
      <c r="G4049" t="s">
        <v>513</v>
      </c>
    </row>
    <row r="4050" spans="1:7" x14ac:dyDescent="0.25">
      <c r="A4050" s="1" t="str">
        <f>"521782"</f>
        <v>521782</v>
      </c>
      <c r="B4050" s="2" t="str">
        <f>"CABO FLEXÍVEL (COR AZUL CÓD. 10780)"</f>
        <v>CABO FLEXÍVEL (COR AZUL CÓD. 10780)</v>
      </c>
      <c r="C4050" s="2" t="str">
        <f t="shared" si="163"/>
        <v>UN</v>
      </c>
      <c r="D4050" s="7">
        <v>400</v>
      </c>
      <c r="E4050" s="3">
        <v>4</v>
      </c>
      <c r="F4050" s="3">
        <v>4</v>
      </c>
      <c r="G4050" t="s">
        <v>514</v>
      </c>
    </row>
    <row r="4051" spans="1:7" x14ac:dyDescent="0.25">
      <c r="A4051" s="1" t="str">
        <f>"523743"</f>
        <v>523743</v>
      </c>
      <c r="B4051" s="2" t="str">
        <f>"CABO FLEXÍVEL (COR BRANCO CÓD. 10784)"</f>
        <v>CABO FLEXÍVEL (COR BRANCO CÓD. 10784)</v>
      </c>
      <c r="C4051" s="2" t="str">
        <f t="shared" si="163"/>
        <v>UN</v>
      </c>
      <c r="D4051" s="7">
        <v>400</v>
      </c>
      <c r="E4051" s="3">
        <v>4</v>
      </c>
      <c r="F4051" s="3">
        <v>4</v>
      </c>
      <c r="G4051" t="s">
        <v>514</v>
      </c>
    </row>
    <row r="4052" spans="1:7" x14ac:dyDescent="0.25">
      <c r="A4052" s="1" t="str">
        <f>"526181"</f>
        <v>526181</v>
      </c>
      <c r="B4052" s="2" t="str">
        <f>"CABO FLEXIVEL 25MM 750V AZUL"</f>
        <v>CABO FLEXIVEL 25MM 750V AZUL</v>
      </c>
      <c r="C4052" s="2" t="str">
        <f t="shared" si="163"/>
        <v>UN</v>
      </c>
      <c r="D4052" s="7">
        <v>811</v>
      </c>
      <c r="E4052" s="3">
        <v>8</v>
      </c>
      <c r="F4052" s="3">
        <v>8</v>
      </c>
      <c r="G4052" t="s">
        <v>512</v>
      </c>
    </row>
    <row r="4053" spans="1:7" x14ac:dyDescent="0.25">
      <c r="A4053" s="1" t="str">
        <f>"521759"</f>
        <v>521759</v>
      </c>
      <c r="B4053" s="2" t="str">
        <f>"CABO FLEXIVEL 3 X 0,5MM"</f>
        <v>CABO FLEXIVEL 3 X 0,5MM</v>
      </c>
      <c r="C4053" s="2" t="str">
        <f t="shared" si="163"/>
        <v>UN</v>
      </c>
      <c r="D4053" s="7">
        <v>99999</v>
      </c>
      <c r="E4053" s="3">
        <v>99</v>
      </c>
      <c r="F4053" s="3">
        <v>99</v>
      </c>
      <c r="G4053" t="s">
        <v>513</v>
      </c>
    </row>
    <row r="4054" spans="1:7" x14ac:dyDescent="0.25">
      <c r="A4054" s="1" t="str">
        <f>"526951"</f>
        <v>526951</v>
      </c>
      <c r="B4054" s="2" t="str">
        <f>"CABO FLEXIVEL 35MM VERDE - LAMESA"</f>
        <v>CABO FLEXIVEL 35MM VERDE - LAMESA</v>
      </c>
      <c r="C4054" s="2" t="str">
        <f t="shared" si="163"/>
        <v>UN</v>
      </c>
      <c r="D4054" s="7">
        <v>811</v>
      </c>
      <c r="E4054" s="3">
        <v>8</v>
      </c>
      <c r="F4054" s="3">
        <v>8</v>
      </c>
      <c r="G4054" t="s">
        <v>514</v>
      </c>
    </row>
    <row r="4055" spans="1:7" x14ac:dyDescent="0.25">
      <c r="A4055" s="1" t="str">
        <f>"521758"</f>
        <v>521758</v>
      </c>
      <c r="B4055" s="2" t="str">
        <f>"CABO FLEXIVEL 5G1"</f>
        <v>CABO FLEXIVEL 5G1</v>
      </c>
      <c r="C4055" s="2" t="str">
        <f t="shared" si="163"/>
        <v>UN</v>
      </c>
      <c r="D4055" s="7">
        <v>99999</v>
      </c>
      <c r="E4055" s="3">
        <v>99</v>
      </c>
      <c r="F4055" s="3">
        <v>99</v>
      </c>
      <c r="G4055" t="s">
        <v>514</v>
      </c>
    </row>
    <row r="4056" spans="1:7" x14ac:dyDescent="0.25">
      <c r="A4056" s="1" t="str">
        <f>"526952"</f>
        <v>526952</v>
      </c>
      <c r="B4056" s="2" t="str">
        <f>"CABO FLEXIVEL 95MM PRETO - LAMESA"</f>
        <v>CABO FLEXIVEL 95MM PRETO - LAMESA</v>
      </c>
      <c r="C4056" s="2" t="str">
        <f t="shared" si="163"/>
        <v>UN</v>
      </c>
      <c r="D4056" s="7">
        <v>811</v>
      </c>
      <c r="E4056" s="3">
        <v>8</v>
      </c>
      <c r="F4056" s="3">
        <v>8</v>
      </c>
      <c r="G4056" t="s">
        <v>514</v>
      </c>
    </row>
    <row r="4057" spans="1:7" x14ac:dyDescent="0.25">
      <c r="A4057" s="1" t="str">
        <f>"510378"</f>
        <v>510378</v>
      </c>
      <c r="B4057" s="2" t="str">
        <f>"CABO FORÇA 1,8MT LEADER REF.6800"</f>
        <v>CABO FORÇA 1,8MT LEADER REF.6800</v>
      </c>
      <c r="C4057" s="2" t="str">
        <f>"MT"</f>
        <v>MT</v>
      </c>
      <c r="D4057" s="7">
        <v>602</v>
      </c>
      <c r="E4057" s="3">
        <v>8</v>
      </c>
      <c r="F4057" s="3">
        <v>8</v>
      </c>
      <c r="G4057" t="s">
        <v>513</v>
      </c>
    </row>
    <row r="4058" spans="1:7" x14ac:dyDescent="0.25">
      <c r="A4058" s="1" t="str">
        <f>"526110"</f>
        <v>526110</v>
      </c>
      <c r="B4058" s="2" t="str">
        <f>"CABO FREIO"</f>
        <v>CABO FREIO</v>
      </c>
      <c r="C4058" s="2" t="str">
        <f>"UN"</f>
        <v>UN</v>
      </c>
      <c r="D4058" s="7">
        <v>704</v>
      </c>
      <c r="E4058" s="3">
        <v>9</v>
      </c>
      <c r="F4058" s="3">
        <v>9</v>
      </c>
      <c r="G4058" t="s">
        <v>512</v>
      </c>
    </row>
    <row r="4059" spans="1:7" x14ac:dyDescent="0.25">
      <c r="A4059" s="1" t="str">
        <f>"516136"</f>
        <v>516136</v>
      </c>
      <c r="B4059" s="2" t="str">
        <f>"CABO FREIO FG-25"</f>
        <v>CABO FREIO FG-25</v>
      </c>
      <c r="C4059" s="2" t="str">
        <f>"UN"</f>
        <v>UN</v>
      </c>
      <c r="D4059" s="7">
        <v>918</v>
      </c>
      <c r="E4059" s="3">
        <v>11</v>
      </c>
      <c r="F4059" s="3">
        <v>11</v>
      </c>
      <c r="G4059" t="s">
        <v>513</v>
      </c>
    </row>
    <row r="4060" spans="1:7" x14ac:dyDescent="0.25">
      <c r="A4060" s="1" t="str">
        <f>"513947"</f>
        <v>513947</v>
      </c>
      <c r="B4060" s="2" t="str">
        <f>"CABO GIGALAN 4/24 CAT 6E"</f>
        <v>CABO GIGALAN 4/24 CAT 6E</v>
      </c>
      <c r="C4060" s="2" t="str">
        <f>"MT"</f>
        <v>MT</v>
      </c>
      <c r="D4060" s="7">
        <v>602</v>
      </c>
      <c r="E4060" s="3">
        <v>8</v>
      </c>
      <c r="F4060" s="3">
        <v>8</v>
      </c>
      <c r="G4060" t="s">
        <v>514</v>
      </c>
    </row>
    <row r="4061" spans="1:7" x14ac:dyDescent="0.25">
      <c r="A4061" s="1" t="str">
        <f>"522196"</f>
        <v>522196</v>
      </c>
      <c r="B4061" s="2" t="str">
        <f>"CABO HDMI X HDMI 1,2 METROS"</f>
        <v>CABO HDMI X HDMI 1,2 METROS</v>
      </c>
      <c r="C4061" s="2" t="str">
        <f t="shared" ref="C4061:C4067" si="164">"UN"</f>
        <v>UN</v>
      </c>
      <c r="D4061" s="7">
        <v>602</v>
      </c>
      <c r="E4061" s="3">
        <v>8</v>
      </c>
      <c r="F4061" s="3">
        <v>8</v>
      </c>
      <c r="G4061" t="s">
        <v>514</v>
      </c>
    </row>
    <row r="4062" spans="1:7" x14ac:dyDescent="0.25">
      <c r="A4062" s="1" t="str">
        <f>"522244"</f>
        <v>522244</v>
      </c>
      <c r="B4062" s="2" t="str">
        <f>"CABO HDMI X HDMI 10 METROS"</f>
        <v>CABO HDMI X HDMI 10 METROS</v>
      </c>
      <c r="C4062" s="2" t="str">
        <f t="shared" si="164"/>
        <v>UN</v>
      </c>
      <c r="D4062" s="7">
        <v>602</v>
      </c>
      <c r="E4062" s="3">
        <v>8</v>
      </c>
      <c r="F4062" s="3">
        <v>8</v>
      </c>
      <c r="G4062" t="s">
        <v>514</v>
      </c>
    </row>
    <row r="4063" spans="1:7" x14ac:dyDescent="0.25">
      <c r="A4063" s="1" t="str">
        <f>"523238"</f>
        <v>523238</v>
      </c>
      <c r="B4063" s="2" t="str">
        <f>"CABO HDMI X HDMI 15 METROS"</f>
        <v>CABO HDMI X HDMI 15 METROS</v>
      </c>
      <c r="C4063" s="2" t="str">
        <f t="shared" si="164"/>
        <v>UN</v>
      </c>
      <c r="D4063" s="7">
        <v>602</v>
      </c>
      <c r="E4063" s="3">
        <v>8</v>
      </c>
      <c r="F4063" s="3">
        <v>8</v>
      </c>
      <c r="G4063" t="s">
        <v>513</v>
      </c>
    </row>
    <row r="4064" spans="1:7" x14ac:dyDescent="0.25">
      <c r="A4064" s="1" t="str">
        <f>"521170"</f>
        <v>521170</v>
      </c>
      <c r="B4064" s="2" t="str">
        <f>"CABO HDMI X HDMI 2 METROS"</f>
        <v>CABO HDMI X HDMI 2 METROS</v>
      </c>
      <c r="C4064" s="2" t="str">
        <f t="shared" si="164"/>
        <v>UN</v>
      </c>
      <c r="D4064" s="7">
        <v>602</v>
      </c>
      <c r="E4064" s="3">
        <v>8</v>
      </c>
      <c r="F4064" s="3">
        <v>8</v>
      </c>
      <c r="G4064" t="s">
        <v>513</v>
      </c>
    </row>
    <row r="4065" spans="1:7" x14ac:dyDescent="0.25">
      <c r="A4065" s="1" t="str">
        <f>"519297"</f>
        <v>519297</v>
      </c>
      <c r="B4065" s="2" t="str">
        <f>"CABO HDMI X HDMI 3 METROS"</f>
        <v>CABO HDMI X HDMI 3 METROS</v>
      </c>
      <c r="C4065" s="2" t="str">
        <f t="shared" si="164"/>
        <v>UN</v>
      </c>
      <c r="D4065" s="7">
        <v>602</v>
      </c>
      <c r="E4065" s="3">
        <v>8</v>
      </c>
      <c r="F4065" s="3">
        <v>8</v>
      </c>
      <c r="G4065" t="s">
        <v>513</v>
      </c>
    </row>
    <row r="4066" spans="1:7" x14ac:dyDescent="0.25">
      <c r="A4066" s="1" t="str">
        <f>"521171"</f>
        <v>521171</v>
      </c>
      <c r="B4066" s="2" t="str">
        <f>"CABO HDMI X HDMI 5 METROS"</f>
        <v>CABO HDMI X HDMI 5 METROS</v>
      </c>
      <c r="C4066" s="2" t="str">
        <f t="shared" si="164"/>
        <v>UN</v>
      </c>
      <c r="D4066" s="7">
        <v>602</v>
      </c>
      <c r="E4066" s="3">
        <v>8</v>
      </c>
      <c r="F4066" s="3">
        <v>8</v>
      </c>
      <c r="G4066" t="s">
        <v>512</v>
      </c>
    </row>
    <row r="4067" spans="1:7" x14ac:dyDescent="0.25">
      <c r="A4067" s="1" t="str">
        <f>"515527"</f>
        <v>515527</v>
      </c>
      <c r="B4067" s="2" t="str">
        <f>"CABO IND ETHERNET"</f>
        <v>CABO IND ETHERNET</v>
      </c>
      <c r="C4067" s="2" t="str">
        <f t="shared" si="164"/>
        <v>UN</v>
      </c>
      <c r="D4067" s="7">
        <v>811</v>
      </c>
      <c r="E4067" s="3">
        <v>8</v>
      </c>
      <c r="F4067" s="3">
        <v>8</v>
      </c>
      <c r="G4067" t="s">
        <v>513</v>
      </c>
    </row>
    <row r="4068" spans="1:7" x14ac:dyDescent="0.25">
      <c r="A4068" s="1" t="str">
        <f>"521986"</f>
        <v>521986</v>
      </c>
      <c r="B4068" s="2" t="str">
        <f>"CABO INST. CL5 PVC 70º 1 PAR BLINDAGEM ELETROSTATICA TOTAL"</f>
        <v>CABO INST. CL5 PVC 70º 1 PAR BLINDAGEM ELETROSTATICA TOTAL</v>
      </c>
      <c r="C4068" s="2" t="str">
        <f>"MT"</f>
        <v>MT</v>
      </c>
      <c r="D4068" s="7">
        <v>602</v>
      </c>
      <c r="E4068" s="3">
        <v>8</v>
      </c>
      <c r="F4068" s="3">
        <v>8</v>
      </c>
      <c r="G4068" t="s">
        <v>514</v>
      </c>
    </row>
    <row r="4069" spans="1:7" x14ac:dyDescent="0.25">
      <c r="A4069" s="1" t="str">
        <f>"4158"</f>
        <v>4158</v>
      </c>
      <c r="B4069" s="2" t="str">
        <f>"CABO INTERFACE - CLP AFPOR - KP 30CM"</f>
        <v>CABO INTERFACE - CLP AFPOR - KP 30CM</v>
      </c>
      <c r="C4069" s="2" t="str">
        <f>"UN"</f>
        <v>UN</v>
      </c>
      <c r="D4069" s="7">
        <v>900</v>
      </c>
      <c r="E4069" s="3">
        <v>11</v>
      </c>
      <c r="F4069" s="3">
        <v>11</v>
      </c>
      <c r="G4069" t="s">
        <v>515</v>
      </c>
    </row>
    <row r="4070" spans="1:7" x14ac:dyDescent="0.25">
      <c r="A4070" s="1" t="str">
        <f>"524061"</f>
        <v>524061</v>
      </c>
      <c r="B4070" s="2" t="str">
        <f>"CABO LINE CORD FOR RUNNING THE SINGLE SLOT ZEBRA"</f>
        <v>CABO LINE CORD FOR RUNNING THE SINGLE SLOT ZEBRA</v>
      </c>
      <c r="C4070" s="2" t="str">
        <f>"UN"</f>
        <v>UN</v>
      </c>
      <c r="D4070" s="7">
        <v>99999</v>
      </c>
      <c r="E4070" s="3">
        <v>99</v>
      </c>
      <c r="F4070" s="3">
        <v>99</v>
      </c>
      <c r="G4070" t="s">
        <v>512</v>
      </c>
    </row>
    <row r="4071" spans="1:7" x14ac:dyDescent="0.25">
      <c r="A4071" s="1" t="str">
        <f>"524989"</f>
        <v>524989</v>
      </c>
      <c r="B4071" s="2" t="str">
        <f>"CABO MANGA 12 X 26 AWG"</f>
        <v>CABO MANGA 12 X 26 AWG</v>
      </c>
      <c r="C4071" s="2" t="str">
        <f>"UN"</f>
        <v>UN</v>
      </c>
      <c r="D4071" s="7">
        <v>811</v>
      </c>
      <c r="E4071" s="3">
        <v>10</v>
      </c>
      <c r="F4071" s="3">
        <v>10</v>
      </c>
      <c r="G4071" t="s">
        <v>516</v>
      </c>
    </row>
    <row r="4072" spans="1:7" x14ac:dyDescent="0.25">
      <c r="A4072" s="1" t="str">
        <f>"522314"</f>
        <v>522314</v>
      </c>
      <c r="B4072" s="2" t="str">
        <f>"CABO MAT 10 500C 750V BR/PR"</f>
        <v>CABO MAT 10 500C 750V BR/PR</v>
      </c>
      <c r="C4072" s="2" t="str">
        <f>"MT"</f>
        <v>MT</v>
      </c>
      <c r="D4072" s="7">
        <v>811</v>
      </c>
      <c r="E4072" s="3">
        <v>10</v>
      </c>
      <c r="F4072" s="3">
        <v>10</v>
      </c>
      <c r="G4072" t="s">
        <v>515</v>
      </c>
    </row>
    <row r="4073" spans="1:7" x14ac:dyDescent="0.25">
      <c r="A4073" s="1" t="str">
        <f>"522313"</f>
        <v>522313</v>
      </c>
      <c r="B4073" s="2" t="str">
        <f>"CABO MAT 6.0 NU 500C 750V BR/PR"</f>
        <v>CABO MAT 6.0 NU 500C 750V BR/PR</v>
      </c>
      <c r="C4073" s="2" t="str">
        <f>"MT"</f>
        <v>MT</v>
      </c>
      <c r="D4073" s="7">
        <v>811</v>
      </c>
      <c r="E4073" s="3">
        <v>10</v>
      </c>
      <c r="F4073" s="3">
        <v>10</v>
      </c>
      <c r="G4073" t="s">
        <v>514</v>
      </c>
    </row>
    <row r="4074" spans="1:7" x14ac:dyDescent="0.25">
      <c r="A4074" s="1" t="str">
        <f>"524062"</f>
        <v>524062</v>
      </c>
      <c r="B4074" s="2" t="str">
        <f>"CABO MICRO USB ZEBRA"</f>
        <v>CABO MICRO USB ZEBRA</v>
      </c>
      <c r="C4074" s="2" t="str">
        <f>"UN"</f>
        <v>UN</v>
      </c>
      <c r="D4074" s="7">
        <v>99999</v>
      </c>
      <c r="E4074" s="3">
        <v>99</v>
      </c>
      <c r="F4074" s="3">
        <v>99</v>
      </c>
      <c r="G4074" t="s">
        <v>512</v>
      </c>
    </row>
    <row r="4075" spans="1:7" x14ac:dyDescent="0.25">
      <c r="A4075" s="1" t="str">
        <f>"518324"</f>
        <v>518324</v>
      </c>
      <c r="B4075" s="2" t="str">
        <f>"CABO MULTIPLO 04 X 35MM"</f>
        <v>CABO MULTIPLO 04 X 35MM</v>
      </c>
      <c r="C4075" s="2" t="str">
        <f>"MT"</f>
        <v>MT</v>
      </c>
      <c r="D4075" s="7">
        <v>602</v>
      </c>
      <c r="E4075" s="3">
        <v>8</v>
      </c>
      <c r="F4075" s="3">
        <v>8</v>
      </c>
      <c r="G4075" t="s">
        <v>513</v>
      </c>
    </row>
    <row r="4076" spans="1:7" x14ac:dyDescent="0.25">
      <c r="A4076" s="1" t="str">
        <f>"511151"</f>
        <v>511151</v>
      </c>
      <c r="B4076" s="2" t="str">
        <f>"CABO MULTIPLO 06 X 1MM"</f>
        <v>CABO MULTIPLO 06 X 1MM</v>
      </c>
      <c r="C4076" s="2" t="str">
        <f>"MT"</f>
        <v>MT</v>
      </c>
      <c r="D4076" s="7">
        <v>602</v>
      </c>
      <c r="E4076" s="3">
        <v>8</v>
      </c>
      <c r="F4076" s="3">
        <v>8</v>
      </c>
      <c r="G4076" t="s">
        <v>514</v>
      </c>
    </row>
    <row r="4077" spans="1:7" x14ac:dyDescent="0.25">
      <c r="A4077" s="1" t="str">
        <f>"511150"</f>
        <v>511150</v>
      </c>
      <c r="B4077" s="2" t="str">
        <f>"CABO MULTIPLO 10 X 1MM"</f>
        <v>CABO MULTIPLO 10 X 1MM</v>
      </c>
      <c r="C4077" s="2" t="str">
        <f>"MT"</f>
        <v>MT</v>
      </c>
      <c r="D4077" s="7">
        <v>602</v>
      </c>
      <c r="E4077" s="3">
        <v>8</v>
      </c>
      <c r="F4077" s="3">
        <v>8</v>
      </c>
      <c r="G4077" t="s">
        <v>514</v>
      </c>
    </row>
    <row r="4078" spans="1:7" x14ac:dyDescent="0.25">
      <c r="A4078" s="1" t="str">
        <f>"526161"</f>
        <v>526161</v>
      </c>
      <c r="B4078" s="2" t="str">
        <f>"CABO MULTIVIAS 20X1,5MM"</f>
        <v>CABO MULTIVIAS 20X1,5MM</v>
      </c>
      <c r="C4078" s="2" t="str">
        <f>"UN"</f>
        <v>UN</v>
      </c>
      <c r="D4078" s="7">
        <v>811</v>
      </c>
      <c r="E4078" s="3">
        <v>10</v>
      </c>
      <c r="F4078" s="3">
        <v>10</v>
      </c>
      <c r="G4078" t="s">
        <v>512</v>
      </c>
    </row>
    <row r="4079" spans="1:7" x14ac:dyDescent="0.25">
      <c r="A4079" s="1" t="str">
        <f>"517624"</f>
        <v>517624</v>
      </c>
      <c r="B4079" s="2" t="str">
        <f>"CABO NU P/ ATERRAMENTO 25MM"</f>
        <v>CABO NU P/ ATERRAMENTO 25MM</v>
      </c>
      <c r="C4079" s="2" t="str">
        <f>"MT"</f>
        <v>MT</v>
      </c>
      <c r="D4079" s="7">
        <v>602</v>
      </c>
      <c r="E4079" s="3">
        <v>8</v>
      </c>
      <c r="F4079" s="3">
        <v>8</v>
      </c>
      <c r="G4079" t="s">
        <v>513</v>
      </c>
    </row>
    <row r="4080" spans="1:7" x14ac:dyDescent="0.25">
      <c r="A4080" s="1" t="str">
        <f>"506458"</f>
        <v>506458</v>
      </c>
      <c r="B4080" s="2" t="str">
        <f>"CABO NU P/ ATERRAMENTO 35MM"</f>
        <v>CABO NU P/ ATERRAMENTO 35MM</v>
      </c>
      <c r="C4080" s="2" t="str">
        <f>"UN"</f>
        <v>UN</v>
      </c>
      <c r="D4080" s="7">
        <v>900</v>
      </c>
      <c r="E4080" s="3">
        <v>11</v>
      </c>
      <c r="F4080" s="3">
        <v>11</v>
      </c>
      <c r="G4080" t="s">
        <v>514</v>
      </c>
    </row>
    <row r="4081" spans="1:7" x14ac:dyDescent="0.25">
      <c r="A4081" s="1" t="str">
        <f>"502707"</f>
        <v>502707</v>
      </c>
      <c r="B4081" s="2" t="str">
        <f>"CABO NU P/ ATERRAMENTO 70MM"</f>
        <v>CABO NU P/ ATERRAMENTO 70MM</v>
      </c>
      <c r="C4081" s="2" t="str">
        <f>"MT"</f>
        <v>MT</v>
      </c>
      <c r="D4081" s="7">
        <v>602</v>
      </c>
      <c r="E4081" s="3">
        <v>8</v>
      </c>
      <c r="F4081" s="3">
        <v>8</v>
      </c>
      <c r="G4081" t="s">
        <v>514</v>
      </c>
    </row>
    <row r="4082" spans="1:7" x14ac:dyDescent="0.25">
      <c r="A4082" s="1" t="str">
        <f>"525350"</f>
        <v>525350</v>
      </c>
      <c r="B4082" s="2" t="str">
        <f>"CABO OPTICO AS SECO CFOI SM EO 4FO COG INTERNO"</f>
        <v>CABO OPTICO AS SECO CFOI SM EO 4FO COG INTERNO</v>
      </c>
      <c r="C4082" s="2" t="str">
        <f>"UN"</f>
        <v>UN</v>
      </c>
      <c r="D4082" s="7">
        <v>99999</v>
      </c>
      <c r="E4082" s="3">
        <v>99</v>
      </c>
      <c r="F4082" s="3">
        <v>99</v>
      </c>
      <c r="G4082" t="s">
        <v>514</v>
      </c>
    </row>
    <row r="4083" spans="1:7" x14ac:dyDescent="0.25">
      <c r="A4083" s="1" t="str">
        <f>"523908"</f>
        <v>523908</v>
      </c>
      <c r="B4083" s="2" t="str">
        <f>"CABO OPTICO CFOT SM UT 12F COG"</f>
        <v>CABO OPTICO CFOT SM UT 12F COG</v>
      </c>
      <c r="C4083" s="2" t="str">
        <f>"UN"</f>
        <v>UN</v>
      </c>
      <c r="D4083" s="7">
        <v>99999</v>
      </c>
      <c r="E4083" s="3">
        <v>99</v>
      </c>
      <c r="F4083" s="3">
        <v>99</v>
      </c>
      <c r="G4083" t="s">
        <v>513</v>
      </c>
    </row>
    <row r="4084" spans="1:7" x14ac:dyDescent="0.25">
      <c r="A4084" s="1" t="str">
        <f>"520885"</f>
        <v>520885</v>
      </c>
      <c r="B4084" s="2" t="str">
        <f>"CABO OPTICO OPTIC-LAN MM50 04F COG"</f>
        <v>CABO OPTICO OPTIC-LAN MM50 04F COG</v>
      </c>
      <c r="C4084" s="2" t="str">
        <f>"MT"</f>
        <v>MT</v>
      </c>
      <c r="D4084" s="7">
        <v>602</v>
      </c>
      <c r="E4084" s="3">
        <v>8</v>
      </c>
      <c r="F4084" s="3">
        <v>8</v>
      </c>
      <c r="G4084" t="s">
        <v>512</v>
      </c>
    </row>
    <row r="4085" spans="1:7" x14ac:dyDescent="0.25">
      <c r="A4085" s="1" t="str">
        <f>"510635"</f>
        <v>510635</v>
      </c>
      <c r="B4085" s="2" t="str">
        <f>"CABO P/ MONITOR 15X15"</f>
        <v>CABO P/ MONITOR 15X15</v>
      </c>
      <c r="C4085" s="2" t="str">
        <f>"MT"</f>
        <v>MT</v>
      </c>
      <c r="D4085" s="7">
        <v>602</v>
      </c>
      <c r="E4085" s="3">
        <v>8</v>
      </c>
      <c r="F4085" s="3">
        <v>8</v>
      </c>
      <c r="G4085" t="s">
        <v>513</v>
      </c>
    </row>
    <row r="4086" spans="1:7" x14ac:dyDescent="0.25">
      <c r="A4086" s="1" t="str">
        <f>"515895"</f>
        <v>515895</v>
      </c>
      <c r="B4086" s="2" t="str">
        <f>"CABO P/ ROLO TIPO GAIOLA"</f>
        <v>CABO P/ ROLO TIPO GAIOLA</v>
      </c>
      <c r="C4086" s="2" t="str">
        <f t="shared" ref="C4086:C4095" si="165">"UN"</f>
        <v>UN</v>
      </c>
      <c r="D4086" s="7">
        <v>99999</v>
      </c>
      <c r="E4086" s="3">
        <v>99</v>
      </c>
      <c r="F4086" s="3">
        <v>99</v>
      </c>
      <c r="G4086" t="s">
        <v>514</v>
      </c>
    </row>
    <row r="4087" spans="1:7" x14ac:dyDescent="0.25">
      <c r="A4087" s="1" t="str">
        <f>"516892"</f>
        <v>516892</v>
      </c>
      <c r="B4087" s="2" t="str">
        <f>"CABO P/ VB INOX (PADRÃO CASTINOX) 1 A 2"" RETRATIL"</f>
        <v>CABO P/ VB INOX (PADRÃO CASTINOX) 1 A 2" RETRATIL</v>
      </c>
      <c r="C4087" s="2" t="str">
        <f t="shared" si="165"/>
        <v>UN</v>
      </c>
      <c r="D4087" s="7">
        <v>915</v>
      </c>
      <c r="E4087" s="3">
        <v>10</v>
      </c>
      <c r="F4087" s="3">
        <v>10</v>
      </c>
      <c r="G4087" t="s">
        <v>514</v>
      </c>
    </row>
    <row r="4088" spans="1:7" x14ac:dyDescent="0.25">
      <c r="A4088" s="1" t="str">
        <f>"517036"</f>
        <v>517036</v>
      </c>
      <c r="B4088" s="2" t="str">
        <f>"CABO P/ VB INOX (PADRÃO CASTINOX) 2 1/2"" A 3''"</f>
        <v>CABO P/ VB INOX (PADRÃO CASTINOX) 2 1/2" A 3''</v>
      </c>
      <c r="C4088" s="2" t="str">
        <f t="shared" si="165"/>
        <v>UN</v>
      </c>
      <c r="D4088" s="7">
        <v>915</v>
      </c>
      <c r="E4088" s="3">
        <v>10</v>
      </c>
      <c r="F4088" s="3">
        <v>10</v>
      </c>
      <c r="G4088" t="s">
        <v>514</v>
      </c>
    </row>
    <row r="4089" spans="1:7" x14ac:dyDescent="0.25">
      <c r="A4089" s="1" t="str">
        <f>"522064"</f>
        <v>522064</v>
      </c>
      <c r="B4089" s="2" t="str">
        <f>"CABO P/ VB INOX (PADRÃO HINOXILINE 2 1/2"" RETRATIL"</f>
        <v>CABO P/ VB INOX (PADRÃO HINOXILINE 2 1/2" RETRATIL</v>
      </c>
      <c r="C4089" s="2" t="str">
        <f t="shared" si="165"/>
        <v>UN</v>
      </c>
      <c r="D4089" s="7">
        <v>915</v>
      </c>
      <c r="E4089" s="3">
        <v>10</v>
      </c>
      <c r="F4089" s="3">
        <v>10</v>
      </c>
      <c r="G4089" t="s">
        <v>513</v>
      </c>
    </row>
    <row r="4090" spans="1:7" x14ac:dyDescent="0.25">
      <c r="A4090" s="1" t="str">
        <f>"522063"</f>
        <v>522063</v>
      </c>
      <c r="B4090" s="2" t="str">
        <f>"CABO P/ VB INOX (PADRÃO HINOXILINE 2"" RETRATIL"</f>
        <v>CABO P/ VB INOX (PADRÃO HINOXILINE 2" RETRATIL</v>
      </c>
      <c r="C4090" s="2" t="str">
        <f t="shared" si="165"/>
        <v>UN</v>
      </c>
      <c r="D4090" s="7">
        <v>915</v>
      </c>
      <c r="E4090" s="3">
        <v>10</v>
      </c>
      <c r="F4090" s="3">
        <v>10</v>
      </c>
      <c r="G4090" t="s">
        <v>513</v>
      </c>
    </row>
    <row r="4091" spans="1:7" x14ac:dyDescent="0.25">
      <c r="A4091" s="1" t="str">
        <f>"526711"</f>
        <v>526711</v>
      </c>
      <c r="B4091" s="2" t="str">
        <f>"CABO P/ VB INOX (PADRÃO MICROMETAL) 1 A 2 "" RETRATIL"</f>
        <v>CABO P/ VB INOX (PADRÃO MICROMETAL) 1 A 2 " RETRATIL</v>
      </c>
      <c r="C4091" s="2" t="str">
        <f t="shared" si="165"/>
        <v>UN</v>
      </c>
      <c r="D4091" s="7">
        <v>915</v>
      </c>
      <c r="E4091" s="3">
        <v>10</v>
      </c>
      <c r="F4091" s="3">
        <v>10</v>
      </c>
      <c r="G4091" t="s">
        <v>513</v>
      </c>
    </row>
    <row r="4092" spans="1:7" x14ac:dyDescent="0.25">
      <c r="A4092" s="1" t="str">
        <f>"526635"</f>
        <v>526635</v>
      </c>
      <c r="B4092" s="2" t="str">
        <f>"CABO P/ VB INOX (PADRÃO MICROMETAL) 2 1/2 E 3"" RETRATIL"</f>
        <v>CABO P/ VB INOX (PADRÃO MICROMETAL) 2 1/2 E 3" RETRATIL</v>
      </c>
      <c r="C4092" s="2" t="str">
        <f t="shared" si="165"/>
        <v>UN</v>
      </c>
      <c r="D4092" s="7">
        <v>915</v>
      </c>
      <c r="E4092" s="3">
        <v>10</v>
      </c>
      <c r="F4092" s="3">
        <v>10</v>
      </c>
      <c r="G4092" t="s">
        <v>512</v>
      </c>
    </row>
    <row r="4093" spans="1:7" x14ac:dyDescent="0.25">
      <c r="A4093" s="1" t="str">
        <f>"515658"</f>
        <v>515658</v>
      </c>
      <c r="B4093" s="2" t="str">
        <f>"CABO P/HMI REMOTA"</f>
        <v>CABO P/HMI REMOTA</v>
      </c>
      <c r="C4093" s="2" t="str">
        <f t="shared" si="165"/>
        <v>UN</v>
      </c>
      <c r="D4093" s="7">
        <v>811</v>
      </c>
      <c r="E4093" s="3">
        <v>8</v>
      </c>
      <c r="F4093" s="3">
        <v>8</v>
      </c>
      <c r="G4093" t="s">
        <v>513</v>
      </c>
    </row>
    <row r="4094" spans="1:7" x14ac:dyDescent="0.25">
      <c r="A4094" s="1" t="str">
        <f>"524111"</f>
        <v>524111</v>
      </c>
      <c r="B4094" s="2" t="str">
        <f>"CABO P2/P2"</f>
        <v>CABO P2/P2</v>
      </c>
      <c r="C4094" s="2" t="str">
        <f t="shared" si="165"/>
        <v>UN</v>
      </c>
      <c r="D4094" s="7">
        <v>99999</v>
      </c>
      <c r="E4094" s="3">
        <v>99</v>
      </c>
      <c r="F4094" s="3">
        <v>99</v>
      </c>
      <c r="G4094" t="s">
        <v>514</v>
      </c>
    </row>
    <row r="4095" spans="1:7" x14ac:dyDescent="0.25">
      <c r="A4095" s="1" t="str">
        <f>"522847"</f>
        <v>522847</v>
      </c>
      <c r="B4095" s="2" t="str">
        <f>"CABO P3/P2"</f>
        <v>CABO P3/P2</v>
      </c>
      <c r="C4095" s="2" t="str">
        <f t="shared" si="165"/>
        <v>UN</v>
      </c>
      <c r="D4095" s="7">
        <v>99999</v>
      </c>
      <c r="E4095" s="3">
        <v>99</v>
      </c>
      <c r="F4095" s="3">
        <v>99</v>
      </c>
      <c r="G4095" t="s">
        <v>515</v>
      </c>
    </row>
    <row r="4096" spans="1:7" x14ac:dyDescent="0.25">
      <c r="A4096" s="1" t="str">
        <f>"511997"</f>
        <v>511997</v>
      </c>
      <c r="B4096" s="2" t="str">
        <f>"CABO PADRÃO C/ CONECTOR DB9 CAB-RS-3M"</f>
        <v>CABO PADRÃO C/ CONECTOR DB9 CAB-RS-3M</v>
      </c>
      <c r="C4096" s="2" t="str">
        <f>"MT"</f>
        <v>MT</v>
      </c>
      <c r="D4096" s="7">
        <v>602</v>
      </c>
      <c r="E4096" s="3">
        <v>8</v>
      </c>
      <c r="F4096" s="3">
        <v>8</v>
      </c>
      <c r="G4096" t="s">
        <v>512</v>
      </c>
    </row>
    <row r="4097" spans="1:7" x14ac:dyDescent="0.25">
      <c r="A4097" s="1" t="str">
        <f>"522183"</f>
        <v>522183</v>
      </c>
      <c r="B4097" s="2" t="str">
        <f>"CABO PAR TRANÇADO CAT6  BLINDADO 1572A BK 4/24 R100 ETHERNET"</f>
        <v>CABO PAR TRANÇADO CAT6  BLINDADO 1572A BK 4/24 R100 ETHERNET</v>
      </c>
      <c r="C4097" s="2" t="str">
        <f>"MT"</f>
        <v>MT</v>
      </c>
      <c r="D4097" s="7">
        <v>602</v>
      </c>
      <c r="E4097" s="3">
        <v>8</v>
      </c>
      <c r="F4097" s="3">
        <v>8</v>
      </c>
      <c r="G4097" t="s">
        <v>516</v>
      </c>
    </row>
    <row r="4098" spans="1:7" x14ac:dyDescent="0.25">
      <c r="A4098" s="1" t="str">
        <f>"523505"</f>
        <v>523505</v>
      </c>
      <c r="B4098" s="2" t="str">
        <f>"CABO PARA PÁ COLETORA  (COR VERMELHO CÓD. 80203)"</f>
        <v>CABO PARA PÁ COLETORA  (COR VERMELHO CÓD. 80203)</v>
      </c>
      <c r="C4098" s="2" t="str">
        <f t="shared" ref="C4098:C4104" si="166">"UN"</f>
        <v>UN</v>
      </c>
      <c r="D4098" s="7">
        <v>400</v>
      </c>
      <c r="E4098" s="3">
        <v>4</v>
      </c>
      <c r="F4098" s="3">
        <v>4</v>
      </c>
      <c r="G4098" t="s">
        <v>515</v>
      </c>
    </row>
    <row r="4099" spans="1:7" x14ac:dyDescent="0.25">
      <c r="A4099" s="1" t="str">
        <f>"523141"</f>
        <v>523141</v>
      </c>
      <c r="B4099" s="2" t="str">
        <f>"CABO PARA PÁ COLETORA (COR AMARELO CÓD. 80203)"</f>
        <v>CABO PARA PÁ COLETORA (COR AMARELO CÓD. 80203)</v>
      </c>
      <c r="C4099" s="2" t="str">
        <f t="shared" si="166"/>
        <v>UN</v>
      </c>
      <c r="D4099" s="7">
        <v>400</v>
      </c>
      <c r="E4099" s="3">
        <v>4</v>
      </c>
      <c r="F4099" s="3">
        <v>4</v>
      </c>
      <c r="G4099" t="s">
        <v>514</v>
      </c>
    </row>
    <row r="4100" spans="1:7" x14ac:dyDescent="0.25">
      <c r="A4100" s="1" t="str">
        <f>"521262"</f>
        <v>521262</v>
      </c>
      <c r="B4100" s="2" t="str">
        <f>"CABO PARA PÁ COLETORA (COR MARROM CÓD. 80203)"</f>
        <v>CABO PARA PÁ COLETORA (COR MARROM CÓD. 80203)</v>
      </c>
      <c r="C4100" s="2" t="str">
        <f t="shared" si="166"/>
        <v>UN</v>
      </c>
      <c r="D4100" s="7">
        <v>400</v>
      </c>
      <c r="E4100" s="3">
        <v>4</v>
      </c>
      <c r="F4100" s="3">
        <v>4</v>
      </c>
      <c r="G4100" t="s">
        <v>512</v>
      </c>
    </row>
    <row r="4101" spans="1:7" x14ac:dyDescent="0.25">
      <c r="A4101" s="1" t="str">
        <f>"522208"</f>
        <v>522208</v>
      </c>
      <c r="B4101" s="2" t="str">
        <f>"CABO PARA PÁ COLETORA (COR ROXO CÓD. 80203)"</f>
        <v>CABO PARA PÁ COLETORA (COR ROXO CÓD. 80203)</v>
      </c>
      <c r="C4101" s="2" t="str">
        <f t="shared" si="166"/>
        <v>UN</v>
      </c>
      <c r="D4101" s="7">
        <v>400</v>
      </c>
      <c r="E4101" s="3">
        <v>4</v>
      </c>
      <c r="F4101" s="3">
        <v>4</v>
      </c>
      <c r="G4101" t="s">
        <v>513</v>
      </c>
    </row>
    <row r="4102" spans="1:7" x14ac:dyDescent="0.25">
      <c r="A4102" s="1" t="str">
        <f>"523236"</f>
        <v>523236</v>
      </c>
      <c r="B4102" s="2" t="str">
        <f>"CABO PARA PÁ COLETORA (COR VERDE CÓD. 80203)"</f>
        <v>CABO PARA PÁ COLETORA (COR VERDE CÓD. 80203)</v>
      </c>
      <c r="C4102" s="2" t="str">
        <f t="shared" si="166"/>
        <v>UN</v>
      </c>
      <c r="D4102" s="7">
        <v>400</v>
      </c>
      <c r="E4102" s="3">
        <v>4</v>
      </c>
      <c r="F4102" s="3">
        <v>4</v>
      </c>
      <c r="G4102" t="s">
        <v>514</v>
      </c>
    </row>
    <row r="4103" spans="1:7" x14ac:dyDescent="0.25">
      <c r="A4103" s="1" t="str">
        <f>"512535"</f>
        <v>512535</v>
      </c>
      <c r="B4103" s="2" t="str">
        <f>"CABO PLANO EXTENSOR TECLADO CIJ 400"</f>
        <v>CABO PLANO EXTENSOR TECLADO CIJ 400</v>
      </c>
      <c r="C4103" s="2" t="str">
        <f t="shared" si="166"/>
        <v>UN</v>
      </c>
      <c r="D4103" s="7">
        <v>900</v>
      </c>
      <c r="E4103" s="3">
        <v>11</v>
      </c>
      <c r="F4103" s="3">
        <v>11</v>
      </c>
      <c r="G4103" t="s">
        <v>514</v>
      </c>
    </row>
    <row r="4104" spans="1:7" x14ac:dyDescent="0.25">
      <c r="A4104" s="1" t="str">
        <f>"521365"</f>
        <v>521365</v>
      </c>
      <c r="B4104" s="8" t="s">
        <v>197</v>
      </c>
      <c r="C4104" s="2" t="str">
        <f t="shared" si="166"/>
        <v>UN</v>
      </c>
      <c r="D4104" s="7">
        <v>811</v>
      </c>
      <c r="E4104" s="3">
        <v>8</v>
      </c>
      <c r="F4104" s="3">
        <v>8</v>
      </c>
      <c r="G4104" t="s">
        <v>512</v>
      </c>
    </row>
    <row r="4105" spans="1:7" x14ac:dyDescent="0.25">
      <c r="A4105" s="1" t="str">
        <f>"515908"</f>
        <v>515908</v>
      </c>
      <c r="B4105" s="2" t="str">
        <f>"CABO PP 10 X 1,0 MM / 750V"</f>
        <v>CABO PP 10 X 1,0 MM / 750V</v>
      </c>
      <c r="C4105" s="2" t="str">
        <f>"MT"</f>
        <v>MT</v>
      </c>
      <c r="D4105" s="7">
        <v>99999</v>
      </c>
      <c r="E4105" s="3">
        <v>99</v>
      </c>
      <c r="F4105" s="3">
        <v>99</v>
      </c>
      <c r="G4105" t="s">
        <v>513</v>
      </c>
    </row>
    <row r="4106" spans="1:7" x14ac:dyDescent="0.25">
      <c r="A4106" s="1" t="str">
        <f>"526512"</f>
        <v>526512</v>
      </c>
      <c r="B4106" s="2" t="str">
        <f>"CABO PP 10X 1,0 MM / 750V COM MALHA"</f>
        <v>CABO PP 10X 1,0 MM / 750V COM MALHA</v>
      </c>
      <c r="C4106" s="2" t="str">
        <f>"UN"</f>
        <v>UN</v>
      </c>
      <c r="D4106" s="7">
        <v>99999</v>
      </c>
      <c r="E4106" s="3">
        <v>99</v>
      </c>
      <c r="F4106" s="3">
        <v>99</v>
      </c>
      <c r="G4106" t="s">
        <v>514</v>
      </c>
    </row>
    <row r="4107" spans="1:7" x14ac:dyDescent="0.25">
      <c r="A4107" s="1" t="str">
        <f>"524675"</f>
        <v>524675</v>
      </c>
      <c r="B4107" s="2" t="str">
        <f>"CABO PP 12 X 1 MM 750V"</f>
        <v>CABO PP 12 X 1 MM 750V</v>
      </c>
      <c r="C4107" s="2" t="str">
        <f>"UN"</f>
        <v>UN</v>
      </c>
      <c r="D4107" s="7">
        <v>811</v>
      </c>
      <c r="E4107" s="3">
        <v>10</v>
      </c>
      <c r="F4107" s="3">
        <v>10</v>
      </c>
      <c r="G4107" t="s">
        <v>514</v>
      </c>
    </row>
    <row r="4108" spans="1:7" x14ac:dyDescent="0.25">
      <c r="A4108" s="1" t="str">
        <f>"512091"</f>
        <v>512091</v>
      </c>
      <c r="B4108" s="2" t="str">
        <f>"CABO PP 12 X 1,0 MM COM MALHA"</f>
        <v>CABO PP 12 X 1,0 MM COM MALHA</v>
      </c>
      <c r="C4108" s="2" t="str">
        <f>"MT"</f>
        <v>MT</v>
      </c>
      <c r="D4108" s="7">
        <v>602</v>
      </c>
      <c r="E4108" s="3">
        <v>8</v>
      </c>
      <c r="F4108" s="3">
        <v>8</v>
      </c>
      <c r="G4108" t="s">
        <v>514</v>
      </c>
    </row>
    <row r="4109" spans="1:7" x14ac:dyDescent="0.25">
      <c r="A4109" s="1" t="str">
        <f>"512093"</f>
        <v>512093</v>
      </c>
      <c r="B4109" s="2" t="str">
        <f>"CABO PP 16 X 1,0 MM"</f>
        <v>CABO PP 16 X 1,0 MM</v>
      </c>
      <c r="C4109" s="2" t="str">
        <f>"MT"</f>
        <v>MT</v>
      </c>
      <c r="D4109" s="7">
        <v>602</v>
      </c>
      <c r="E4109" s="3">
        <v>8</v>
      </c>
      <c r="F4109" s="3">
        <v>8</v>
      </c>
      <c r="G4109" t="s">
        <v>513</v>
      </c>
    </row>
    <row r="4110" spans="1:7" x14ac:dyDescent="0.25">
      <c r="A4110" s="1" t="str">
        <f>"521395"</f>
        <v>521395</v>
      </c>
      <c r="B4110" s="2" t="str">
        <f>"CABO PP 2 X 0,5 MM / 750V - FICAP"</f>
        <v>CABO PP 2 X 0,5 MM / 750V - FICAP</v>
      </c>
      <c r="C4110" s="2" t="str">
        <f>"MT"</f>
        <v>MT</v>
      </c>
      <c r="D4110" s="7">
        <v>602</v>
      </c>
      <c r="E4110" s="3">
        <v>8</v>
      </c>
      <c r="F4110" s="3">
        <v>8</v>
      </c>
      <c r="G4110" t="s">
        <v>512</v>
      </c>
    </row>
    <row r="4111" spans="1:7" x14ac:dyDescent="0.25">
      <c r="A4111" s="1" t="str">
        <f>"524951"</f>
        <v>524951</v>
      </c>
      <c r="B4111" s="2" t="str">
        <f>"CABO PP 2 X 0,75 MM / 750V"</f>
        <v>CABO PP 2 X 0,75 MM / 750V</v>
      </c>
      <c r="C4111" s="2" t="str">
        <f>"UN"</f>
        <v>UN</v>
      </c>
      <c r="D4111" s="7">
        <v>811</v>
      </c>
      <c r="E4111" s="3">
        <v>10</v>
      </c>
      <c r="F4111" s="3">
        <v>10</v>
      </c>
      <c r="G4111" t="s">
        <v>513</v>
      </c>
    </row>
    <row r="4112" spans="1:7" x14ac:dyDescent="0.25">
      <c r="A4112" s="1" t="str">
        <f>"501453"</f>
        <v>501453</v>
      </c>
      <c r="B4112" s="2" t="str">
        <f>"CABO PP 2 X 1,0 MM / 750V - FICAP"</f>
        <v>CABO PP 2 X 1,0 MM / 750V - FICAP</v>
      </c>
      <c r="C4112" s="2" t="str">
        <f>"MT"</f>
        <v>MT</v>
      </c>
      <c r="D4112" s="7">
        <v>602</v>
      </c>
      <c r="E4112" s="3">
        <v>8</v>
      </c>
      <c r="F4112" s="3">
        <v>8</v>
      </c>
      <c r="G4112" t="s">
        <v>514</v>
      </c>
    </row>
    <row r="4113" spans="1:7" x14ac:dyDescent="0.25">
      <c r="A4113" s="1" t="str">
        <f>"500333"</f>
        <v>500333</v>
      </c>
      <c r="B4113" s="2" t="str">
        <f>"CABO PP 2 X 1,5 MM / 750V - FICAP"</f>
        <v>CABO PP 2 X 1,5 MM / 750V - FICAP</v>
      </c>
      <c r="C4113" s="2" t="str">
        <f>"MT"</f>
        <v>MT</v>
      </c>
      <c r="D4113" s="7">
        <v>602</v>
      </c>
      <c r="E4113" s="3">
        <v>8</v>
      </c>
      <c r="F4113" s="3">
        <v>8</v>
      </c>
      <c r="G4113" t="s">
        <v>514</v>
      </c>
    </row>
    <row r="4114" spans="1:7" x14ac:dyDescent="0.25">
      <c r="A4114" s="1" t="str">
        <f>"506825"</f>
        <v>506825</v>
      </c>
      <c r="B4114" s="2" t="str">
        <f>"CABO PP 2 X 2,5 MM / 750V"</f>
        <v>CABO PP 2 X 2,5 MM / 750V</v>
      </c>
      <c r="C4114" s="2" t="str">
        <f>"MT"</f>
        <v>MT</v>
      </c>
      <c r="D4114" s="7">
        <v>602</v>
      </c>
      <c r="E4114" s="3">
        <v>8</v>
      </c>
      <c r="F4114" s="3">
        <v>8</v>
      </c>
      <c r="G4114" t="s">
        <v>514</v>
      </c>
    </row>
    <row r="4115" spans="1:7" x14ac:dyDescent="0.25">
      <c r="A4115" s="1" t="str">
        <f>"524912"</f>
        <v>524912</v>
      </c>
      <c r="B4115" s="2" t="str">
        <f>"CABO PP 2 X 4,0 MM / 750V"</f>
        <v>CABO PP 2 X 4,0 MM / 750V</v>
      </c>
      <c r="C4115" s="2" t="str">
        <f>"MT"</f>
        <v>MT</v>
      </c>
      <c r="D4115" s="7">
        <v>602</v>
      </c>
      <c r="E4115" s="3">
        <v>8</v>
      </c>
      <c r="F4115" s="3">
        <v>8</v>
      </c>
      <c r="G4115" t="s">
        <v>513</v>
      </c>
    </row>
    <row r="4116" spans="1:7" x14ac:dyDescent="0.25">
      <c r="A4116" s="1" t="str">
        <f>"517027"</f>
        <v>517027</v>
      </c>
      <c r="B4116" s="2" t="str">
        <f>"CABO PP 20 X 1,0 MM / 750V"</f>
        <v>CABO PP 20 X 1,0 MM / 750V</v>
      </c>
      <c r="C4116" s="2" t="str">
        <f>"UN"</f>
        <v>UN</v>
      </c>
      <c r="D4116" s="7">
        <v>811</v>
      </c>
      <c r="E4116" s="3">
        <v>8</v>
      </c>
      <c r="F4116" s="3">
        <v>8</v>
      </c>
      <c r="G4116" t="s">
        <v>513</v>
      </c>
    </row>
    <row r="4117" spans="1:7" x14ac:dyDescent="0.25">
      <c r="A4117" s="1" t="str">
        <f>"525121"</f>
        <v>525121</v>
      </c>
      <c r="B4117" s="2" t="str">
        <f>"CABO PP 20X1MM CONTROLE 750V 90°"</f>
        <v>CABO PP 20X1MM CONTROLE 750V 90°</v>
      </c>
      <c r="C4117" s="2" t="str">
        <f>"MT"</f>
        <v>MT</v>
      </c>
      <c r="D4117" s="7">
        <v>602</v>
      </c>
      <c r="E4117" s="3">
        <v>8</v>
      </c>
      <c r="F4117" s="3">
        <v>8</v>
      </c>
      <c r="G4117" t="s">
        <v>513</v>
      </c>
    </row>
    <row r="4118" spans="1:7" x14ac:dyDescent="0.25">
      <c r="A4118" s="1" t="str">
        <f>"511933"</f>
        <v>511933</v>
      </c>
      <c r="B4118" s="2" t="str">
        <f>"CABO PP 25 X 1,0 MM / 750V"</f>
        <v>CABO PP 25 X 1,0 MM / 750V</v>
      </c>
      <c r="C4118" s="2" t="str">
        <f>"MT"</f>
        <v>MT</v>
      </c>
      <c r="D4118" s="7">
        <v>602</v>
      </c>
      <c r="E4118" s="3">
        <v>8</v>
      </c>
      <c r="F4118" s="3">
        <v>8</v>
      </c>
      <c r="G4118" t="s">
        <v>512</v>
      </c>
    </row>
    <row r="4119" spans="1:7" x14ac:dyDescent="0.25">
      <c r="A4119" s="1" t="str">
        <f>"524950"</f>
        <v>524950</v>
      </c>
      <c r="B4119" s="2" t="str">
        <f>"CABO PP 25 X 1,0 MM / 750V"</f>
        <v>CABO PP 25 X 1,0 MM / 750V</v>
      </c>
      <c r="C4119" s="2" t="str">
        <f>"UN"</f>
        <v>UN</v>
      </c>
      <c r="D4119" s="7">
        <v>811</v>
      </c>
      <c r="E4119" s="3">
        <v>10</v>
      </c>
      <c r="F4119" s="3">
        <v>10</v>
      </c>
      <c r="G4119" t="s">
        <v>513</v>
      </c>
    </row>
    <row r="4120" spans="1:7" x14ac:dyDescent="0.25">
      <c r="A4120" s="1" t="str">
        <f>"520545"</f>
        <v>520545</v>
      </c>
      <c r="B4120" s="2" t="str">
        <f>"CABO PP 2X 0,75 MM / 750V"</f>
        <v>CABO PP 2X 0,75 MM / 750V</v>
      </c>
      <c r="C4120" s="2" t="str">
        <f>"MT"</f>
        <v>MT</v>
      </c>
      <c r="D4120" s="7">
        <v>602</v>
      </c>
      <c r="E4120" s="3">
        <v>8</v>
      </c>
      <c r="F4120" s="3">
        <v>8</v>
      </c>
      <c r="G4120" t="s">
        <v>514</v>
      </c>
    </row>
    <row r="4121" spans="1:7" x14ac:dyDescent="0.25">
      <c r="A4121" s="1" t="str">
        <f>"508502"</f>
        <v>508502</v>
      </c>
      <c r="B4121" s="2" t="str">
        <f>"CABO PP 2X1,5MM 500V PT CL5"</f>
        <v>CABO PP 2X1,5MM 500V PT CL5</v>
      </c>
      <c r="C4121" s="2" t="str">
        <f>"MT"</f>
        <v>MT</v>
      </c>
      <c r="D4121" s="7">
        <v>602</v>
      </c>
      <c r="E4121" s="3">
        <v>8</v>
      </c>
      <c r="F4121" s="3">
        <v>8</v>
      </c>
      <c r="G4121" t="s">
        <v>515</v>
      </c>
    </row>
    <row r="4122" spans="1:7" x14ac:dyDescent="0.25">
      <c r="A4122" s="1" t="str">
        <f>"519016"</f>
        <v>519016</v>
      </c>
      <c r="B4122" s="2" t="str">
        <f>"CABO PP 3 X 0,5 MM / 750V"</f>
        <v>CABO PP 3 X 0,5 MM / 750V</v>
      </c>
      <c r="C4122" s="2" t="str">
        <f>"MT"</f>
        <v>MT</v>
      </c>
      <c r="D4122" s="7">
        <v>602</v>
      </c>
      <c r="E4122" s="3">
        <v>8</v>
      </c>
      <c r="F4122" s="3">
        <v>8</v>
      </c>
      <c r="G4122" t="s">
        <v>512</v>
      </c>
    </row>
    <row r="4123" spans="1:7" x14ac:dyDescent="0.25">
      <c r="A4123" s="1" t="str">
        <f>"527231"</f>
        <v>527231</v>
      </c>
      <c r="B4123" s="2" t="str">
        <f>"CABO PP 3 X 0,75MM / 750V"</f>
        <v>CABO PP 3 X 0,75MM / 750V</v>
      </c>
      <c r="C4123" s="2" t="str">
        <f>"MT"</f>
        <v>MT</v>
      </c>
      <c r="D4123" s="7">
        <v>99999</v>
      </c>
      <c r="E4123" s="3">
        <v>99</v>
      </c>
      <c r="F4123" s="3">
        <v>99</v>
      </c>
      <c r="G4123" t="s">
        <v>516</v>
      </c>
    </row>
    <row r="4124" spans="1:7" x14ac:dyDescent="0.25">
      <c r="A4124" s="1" t="str">
        <f>"523550"</f>
        <v>523550</v>
      </c>
      <c r="B4124" s="2" t="str">
        <f>"CABO PP 3 X 1 BLINDADO COM MALHA TRANÇADA FICAP"</f>
        <v>CABO PP 3 X 1 BLINDADO COM MALHA TRANÇADA FICAP</v>
      </c>
      <c r="C4124" s="2" t="str">
        <f>"UN"</f>
        <v>UN</v>
      </c>
      <c r="D4124" s="7">
        <v>811</v>
      </c>
      <c r="E4124" s="3">
        <v>8</v>
      </c>
      <c r="F4124" s="3">
        <v>8</v>
      </c>
      <c r="G4124" t="s">
        <v>515</v>
      </c>
    </row>
    <row r="4125" spans="1:7" x14ac:dyDescent="0.25">
      <c r="A4125" s="1" t="str">
        <f>"503664"</f>
        <v>503664</v>
      </c>
      <c r="B4125" s="2" t="str">
        <f>"CABO PP 3 X 1,0 MM / 750V"</f>
        <v>CABO PP 3 X 1,0 MM / 750V</v>
      </c>
      <c r="C4125" s="2" t="str">
        <f t="shared" ref="C4125:C4130" si="167">"MT"</f>
        <v>MT</v>
      </c>
      <c r="D4125" s="7">
        <v>602</v>
      </c>
      <c r="E4125" s="3">
        <v>8</v>
      </c>
      <c r="F4125" s="3">
        <v>8</v>
      </c>
      <c r="G4125" t="s">
        <v>514</v>
      </c>
    </row>
    <row r="4126" spans="1:7" x14ac:dyDescent="0.25">
      <c r="A4126" s="1" t="str">
        <f>"506437"</f>
        <v>506437</v>
      </c>
      <c r="B4126" s="2" t="str">
        <f>"CABO PP 3 X 1,5 MM / 750V"</f>
        <v>CABO PP 3 X 1,5 MM / 750V</v>
      </c>
      <c r="C4126" s="2" t="str">
        <f t="shared" si="167"/>
        <v>MT</v>
      </c>
      <c r="D4126" s="7">
        <v>602</v>
      </c>
      <c r="E4126" s="3">
        <v>8</v>
      </c>
      <c r="F4126" s="3">
        <v>8</v>
      </c>
      <c r="G4126" t="s">
        <v>512</v>
      </c>
    </row>
    <row r="4127" spans="1:7" x14ac:dyDescent="0.25">
      <c r="A4127" s="1" t="str">
        <f>"500927"</f>
        <v>500927</v>
      </c>
      <c r="B4127" s="2" t="str">
        <f>"CABO PP 3 X 10  MM / 750V"</f>
        <v>CABO PP 3 X 10  MM / 750V</v>
      </c>
      <c r="C4127" s="2" t="str">
        <f t="shared" si="167"/>
        <v>MT</v>
      </c>
      <c r="D4127" s="7">
        <v>602</v>
      </c>
      <c r="E4127" s="3">
        <v>8</v>
      </c>
      <c r="F4127" s="3">
        <v>8</v>
      </c>
      <c r="G4127" t="s">
        <v>513</v>
      </c>
    </row>
    <row r="4128" spans="1:7" x14ac:dyDescent="0.25">
      <c r="A4128" s="1" t="str">
        <f>"506957"</f>
        <v>506957</v>
      </c>
      <c r="B4128" s="2" t="str">
        <f>"CABO PP 3 X 2,5 MM / 750V"</f>
        <v>CABO PP 3 X 2,5 MM / 750V</v>
      </c>
      <c r="C4128" s="2" t="str">
        <f t="shared" si="167"/>
        <v>MT</v>
      </c>
      <c r="D4128" s="7">
        <v>602</v>
      </c>
      <c r="E4128" s="3">
        <v>8</v>
      </c>
      <c r="F4128" s="3">
        <v>8</v>
      </c>
      <c r="G4128" t="s">
        <v>514</v>
      </c>
    </row>
    <row r="4129" spans="1:7" x14ac:dyDescent="0.25">
      <c r="A4129" s="1" t="str">
        <f>"507531"</f>
        <v>507531</v>
      </c>
      <c r="B4129" s="2" t="str">
        <f>"CABO PP 3 X 4,0 MM / 750V"</f>
        <v>CABO PP 3 X 4,0 MM / 750V</v>
      </c>
      <c r="C4129" s="2" t="str">
        <f t="shared" si="167"/>
        <v>MT</v>
      </c>
      <c r="D4129" s="7">
        <v>602</v>
      </c>
      <c r="E4129" s="3">
        <v>8</v>
      </c>
      <c r="F4129" s="3">
        <v>8</v>
      </c>
      <c r="G4129" t="s">
        <v>514</v>
      </c>
    </row>
    <row r="4130" spans="1:7" x14ac:dyDescent="0.25">
      <c r="A4130" s="1" t="str">
        <f>"512329"</f>
        <v>512329</v>
      </c>
      <c r="B4130" s="2" t="str">
        <f>"CABO PP 3 X 6,0 MM / 750V"</f>
        <v>CABO PP 3 X 6,0 MM / 750V</v>
      </c>
      <c r="C4130" s="2" t="str">
        <f t="shared" si="167"/>
        <v>MT</v>
      </c>
      <c r="D4130" s="7">
        <v>602</v>
      </c>
      <c r="E4130" s="3">
        <v>8</v>
      </c>
      <c r="F4130" s="3">
        <v>8</v>
      </c>
      <c r="G4130" t="s">
        <v>512</v>
      </c>
    </row>
    <row r="4131" spans="1:7" x14ac:dyDescent="0.25">
      <c r="A4131" s="1" t="str">
        <f>"526513"</f>
        <v>526513</v>
      </c>
      <c r="B4131" s="2" t="str">
        <f>"CABO PP 3X 1,0 MM / 750V COM MALHA"</f>
        <v>CABO PP 3X 1,0 MM / 750V COM MALHA</v>
      </c>
      <c r="C4131" s="2" t="str">
        <f>"UN"</f>
        <v>UN</v>
      </c>
      <c r="D4131" s="7">
        <v>99999</v>
      </c>
      <c r="E4131" s="3">
        <v>99</v>
      </c>
      <c r="F4131" s="3">
        <v>99</v>
      </c>
      <c r="G4131" t="s">
        <v>513</v>
      </c>
    </row>
    <row r="4132" spans="1:7" x14ac:dyDescent="0.25">
      <c r="A4132" s="1" t="str">
        <f>"573780"</f>
        <v>573780</v>
      </c>
      <c r="B4132" s="2" t="str">
        <f>"CABO PP 3X0,75MM COM MALHA DE COBRE"</f>
        <v>CABO PP 3X0,75MM COM MALHA DE COBRE</v>
      </c>
      <c r="C4132" s="2" t="str">
        <f t="shared" ref="C4132:C4138" si="168">"MT"</f>
        <v>MT</v>
      </c>
      <c r="D4132" s="7">
        <v>99999</v>
      </c>
      <c r="E4132" s="3">
        <v>99</v>
      </c>
      <c r="F4132" s="3">
        <v>99</v>
      </c>
      <c r="G4132" t="s">
        <v>514</v>
      </c>
    </row>
    <row r="4133" spans="1:7" x14ac:dyDescent="0.25">
      <c r="A4133" s="1" t="str">
        <f>"525120"</f>
        <v>525120</v>
      </c>
      <c r="B4133" s="2" t="str">
        <f>"CABO PP 3X2,5MM 1KV COM MALHA 90°"</f>
        <v>CABO PP 3X2,5MM 1KV COM MALHA 90°</v>
      </c>
      <c r="C4133" s="2" t="str">
        <f t="shared" si="168"/>
        <v>MT</v>
      </c>
      <c r="D4133" s="7">
        <v>602</v>
      </c>
      <c r="E4133" s="3">
        <v>8</v>
      </c>
      <c r="F4133" s="3">
        <v>8</v>
      </c>
      <c r="G4133" t="s">
        <v>514</v>
      </c>
    </row>
    <row r="4134" spans="1:7" x14ac:dyDescent="0.25">
      <c r="A4134" s="1" t="str">
        <f>"525118"</f>
        <v>525118</v>
      </c>
      <c r="B4134" s="2" t="str">
        <f>"CABO PP 3X50MM + 25MM / 1KV COM MALHA 90°"</f>
        <v>CABO PP 3X50MM + 25MM / 1KV COM MALHA 90°</v>
      </c>
      <c r="C4134" s="2" t="str">
        <f t="shared" si="168"/>
        <v>MT</v>
      </c>
      <c r="D4134" s="7">
        <v>602</v>
      </c>
      <c r="E4134" s="3">
        <v>8</v>
      </c>
      <c r="F4134" s="3">
        <v>8</v>
      </c>
      <c r="G4134" t="s">
        <v>514</v>
      </c>
    </row>
    <row r="4135" spans="1:7" x14ac:dyDescent="0.25">
      <c r="A4135" s="1" t="str">
        <f>"511752"</f>
        <v>511752</v>
      </c>
      <c r="B4135" s="2" t="str">
        <f>"CABO PP 4 X 0,5 MM NEXANS FICAP"</f>
        <v>CABO PP 4 X 0,5 MM NEXANS FICAP</v>
      </c>
      <c r="C4135" s="2" t="str">
        <f t="shared" si="168"/>
        <v>MT</v>
      </c>
      <c r="D4135" s="7">
        <v>602</v>
      </c>
      <c r="E4135" s="3">
        <v>8</v>
      </c>
      <c r="F4135" s="3">
        <v>8</v>
      </c>
      <c r="G4135" t="s">
        <v>513</v>
      </c>
    </row>
    <row r="4136" spans="1:7" x14ac:dyDescent="0.25">
      <c r="A4136" s="1" t="str">
        <f>"527219"</f>
        <v>527219</v>
      </c>
      <c r="B4136" s="2" t="str">
        <f>"CABO PP 4 X 0,75 MM COM MALHA ALUMINIZADA"</f>
        <v>CABO PP 4 X 0,75 MM COM MALHA ALUMINIZADA</v>
      </c>
      <c r="C4136" s="2" t="str">
        <f t="shared" si="168"/>
        <v>MT</v>
      </c>
      <c r="D4136" s="7">
        <v>602</v>
      </c>
      <c r="E4136" s="3">
        <v>8</v>
      </c>
      <c r="F4136" s="3">
        <v>8</v>
      </c>
      <c r="G4136" t="s">
        <v>512</v>
      </c>
    </row>
    <row r="4137" spans="1:7" x14ac:dyDescent="0.25">
      <c r="A4137" s="1" t="str">
        <f>"512144"</f>
        <v>512144</v>
      </c>
      <c r="B4137" s="2" t="str">
        <f>"CABO PP 4 X 0,75MM NEXANS FICAP"</f>
        <v>CABO PP 4 X 0,75MM NEXANS FICAP</v>
      </c>
      <c r="C4137" s="2" t="str">
        <f t="shared" si="168"/>
        <v>MT</v>
      </c>
      <c r="D4137" s="7">
        <v>602</v>
      </c>
      <c r="E4137" s="3">
        <v>8</v>
      </c>
      <c r="F4137" s="3">
        <v>8</v>
      </c>
      <c r="G4137" t="s">
        <v>513</v>
      </c>
    </row>
    <row r="4138" spans="1:7" x14ac:dyDescent="0.25">
      <c r="A4138" s="1" t="str">
        <f>"508427"</f>
        <v>508427</v>
      </c>
      <c r="B4138" s="2" t="str">
        <f>"CABO PP 4 X 1,0 MM / 750V"</f>
        <v>CABO PP 4 X 1,0 MM / 750V</v>
      </c>
      <c r="C4138" s="2" t="str">
        <f t="shared" si="168"/>
        <v>MT</v>
      </c>
      <c r="D4138" s="7">
        <v>602</v>
      </c>
      <c r="E4138" s="3">
        <v>8</v>
      </c>
      <c r="F4138" s="3">
        <v>8</v>
      </c>
      <c r="G4138" t="s">
        <v>514</v>
      </c>
    </row>
    <row r="4139" spans="1:7" x14ac:dyDescent="0.25">
      <c r="A4139" s="1" t="str">
        <f>"526511"</f>
        <v>526511</v>
      </c>
      <c r="B4139" s="2" t="str">
        <f>"CABO PP 4 X 1,0 MM / 750V COM MALHA"</f>
        <v>CABO PP 4 X 1,0 MM / 750V COM MALHA</v>
      </c>
      <c r="C4139" s="2" t="str">
        <f>"UN"</f>
        <v>UN</v>
      </c>
      <c r="D4139" s="7">
        <v>99999</v>
      </c>
      <c r="E4139" s="3">
        <v>99</v>
      </c>
      <c r="F4139" s="3">
        <v>99</v>
      </c>
      <c r="G4139" t="s">
        <v>514</v>
      </c>
    </row>
    <row r="4140" spans="1:7" x14ac:dyDescent="0.25">
      <c r="A4140" s="1" t="str">
        <f>"512092"</f>
        <v>512092</v>
      </c>
      <c r="B4140" s="2" t="str">
        <f>"CABO PP 4 X 1,0 MM COM MALHA"</f>
        <v>CABO PP 4 X 1,0 MM COM MALHA</v>
      </c>
      <c r="C4140" s="2" t="str">
        <f t="shared" ref="C4140:C4155" si="169">"MT"</f>
        <v>MT</v>
      </c>
      <c r="D4140" s="7">
        <v>602</v>
      </c>
      <c r="E4140" s="3">
        <v>8</v>
      </c>
      <c r="F4140" s="3">
        <v>8</v>
      </c>
      <c r="G4140" t="s">
        <v>514</v>
      </c>
    </row>
    <row r="4141" spans="1:7" x14ac:dyDescent="0.25">
      <c r="A4141" s="1" t="str">
        <f>"515907"</f>
        <v>515907</v>
      </c>
      <c r="B4141" s="2" t="str">
        <f>"CABO PP 4 X 1,0MM / 750V NUMERADO"</f>
        <v>CABO PP 4 X 1,0MM / 750V NUMERADO</v>
      </c>
      <c r="C4141" s="2" t="str">
        <f t="shared" si="169"/>
        <v>MT</v>
      </c>
      <c r="D4141" s="7">
        <v>99999</v>
      </c>
      <c r="E4141" s="3">
        <v>99</v>
      </c>
      <c r="F4141" s="3">
        <v>99</v>
      </c>
      <c r="G4141" t="s">
        <v>513</v>
      </c>
    </row>
    <row r="4142" spans="1:7" x14ac:dyDescent="0.25">
      <c r="A4142" s="1" t="str">
        <f>"500553"</f>
        <v>500553</v>
      </c>
      <c r="B4142" s="2" t="str">
        <f>"CABO PP 4 X 1,5 MM / 750V"</f>
        <v>CABO PP 4 X 1,5 MM / 750V</v>
      </c>
      <c r="C4142" s="2" t="str">
        <f t="shared" si="169"/>
        <v>MT</v>
      </c>
      <c r="D4142" s="7">
        <v>602</v>
      </c>
      <c r="E4142" s="3">
        <v>8</v>
      </c>
      <c r="F4142" s="3">
        <v>8</v>
      </c>
      <c r="G4142" t="s">
        <v>513</v>
      </c>
    </row>
    <row r="4143" spans="1:7" x14ac:dyDescent="0.25">
      <c r="A4143" s="1" t="str">
        <f>"508428"</f>
        <v>508428</v>
      </c>
      <c r="B4143" s="2" t="str">
        <f>"CABO PP 4 X 10  MM / 750V - FICAP"</f>
        <v>CABO PP 4 X 10  MM / 750V - FICAP</v>
      </c>
      <c r="C4143" s="2" t="str">
        <f t="shared" si="169"/>
        <v>MT</v>
      </c>
      <c r="D4143" s="7">
        <v>602</v>
      </c>
      <c r="E4143" s="3">
        <v>8</v>
      </c>
      <c r="F4143" s="3">
        <v>8</v>
      </c>
      <c r="G4143" t="s">
        <v>513</v>
      </c>
    </row>
    <row r="4144" spans="1:7" x14ac:dyDescent="0.25">
      <c r="A4144" s="1" t="str">
        <f>"506080"</f>
        <v>506080</v>
      </c>
      <c r="B4144" s="2" t="str">
        <f>"CABO PP 4 X 16  MM / 750V"</f>
        <v>CABO PP 4 X 16  MM / 750V</v>
      </c>
      <c r="C4144" s="2" t="str">
        <f t="shared" si="169"/>
        <v>MT</v>
      </c>
      <c r="D4144" s="7">
        <v>602</v>
      </c>
      <c r="E4144" s="3">
        <v>8</v>
      </c>
      <c r="F4144" s="3">
        <v>8</v>
      </c>
      <c r="G4144" t="s">
        <v>512</v>
      </c>
    </row>
    <row r="4145" spans="1:7" x14ac:dyDescent="0.25">
      <c r="A4145" s="1" t="str">
        <f>"517766"</f>
        <v>517766</v>
      </c>
      <c r="B4145" s="2" t="str">
        <f>"CABO PP 4 X 18  MM / 750V BLINDADO"</f>
        <v>CABO PP 4 X 18  MM / 750V BLINDADO</v>
      </c>
      <c r="C4145" s="2" t="str">
        <f t="shared" si="169"/>
        <v>MT</v>
      </c>
      <c r="D4145" s="7">
        <v>602</v>
      </c>
      <c r="E4145" s="3">
        <v>8</v>
      </c>
      <c r="F4145" s="3">
        <v>8</v>
      </c>
      <c r="G4145" t="s">
        <v>513</v>
      </c>
    </row>
    <row r="4146" spans="1:7" x14ac:dyDescent="0.25">
      <c r="A4146" s="1" t="str">
        <f>"500799"</f>
        <v>500799</v>
      </c>
      <c r="B4146" s="2" t="str">
        <f>"CABO PP 4 X 2,5 MM / 750V"</f>
        <v>CABO PP 4 X 2,5 MM / 750V</v>
      </c>
      <c r="C4146" s="2" t="str">
        <f t="shared" si="169"/>
        <v>MT</v>
      </c>
      <c r="D4146" s="7">
        <v>602</v>
      </c>
      <c r="E4146" s="3">
        <v>8</v>
      </c>
      <c r="F4146" s="3">
        <v>8</v>
      </c>
      <c r="G4146" t="s">
        <v>514</v>
      </c>
    </row>
    <row r="4147" spans="1:7" x14ac:dyDescent="0.25">
      <c r="A4147" s="1" t="str">
        <f>"525487"</f>
        <v>525487</v>
      </c>
      <c r="B4147" s="2" t="str">
        <f>"CABO PP 4 X 2,5 MM / 750V COM MALHA BLINDADO"</f>
        <v>CABO PP 4 X 2,5 MM / 750V COM MALHA BLINDADO</v>
      </c>
      <c r="C4147" s="2" t="str">
        <f t="shared" si="169"/>
        <v>MT</v>
      </c>
      <c r="D4147" s="7">
        <v>602</v>
      </c>
      <c r="E4147" s="3">
        <v>8</v>
      </c>
      <c r="F4147" s="3">
        <v>8</v>
      </c>
      <c r="G4147" t="s">
        <v>515</v>
      </c>
    </row>
    <row r="4148" spans="1:7" x14ac:dyDescent="0.25">
      <c r="A4148" s="1" t="str">
        <f>"512070"</f>
        <v>512070</v>
      </c>
      <c r="B4148" s="2" t="str">
        <f>"CABO PP 4 X 25  MM / 750V"</f>
        <v>CABO PP 4 X 25  MM / 750V</v>
      </c>
      <c r="C4148" s="2" t="str">
        <f t="shared" si="169"/>
        <v>MT</v>
      </c>
      <c r="D4148" s="7">
        <v>602</v>
      </c>
      <c r="E4148" s="3">
        <v>8</v>
      </c>
      <c r="F4148" s="3">
        <v>8</v>
      </c>
      <c r="G4148" t="s">
        <v>512</v>
      </c>
    </row>
    <row r="4149" spans="1:7" x14ac:dyDescent="0.25">
      <c r="A4149" s="1" t="str">
        <f>"517424"</f>
        <v>517424</v>
      </c>
      <c r="B4149" s="2" t="str">
        <f>"CABO PP 4 X 35MM NEXANS FICAP"</f>
        <v>CABO PP 4 X 35MM NEXANS FICAP</v>
      </c>
      <c r="C4149" s="2" t="str">
        <f t="shared" si="169"/>
        <v>MT</v>
      </c>
      <c r="D4149" s="7">
        <v>811</v>
      </c>
      <c r="E4149" s="3">
        <v>8</v>
      </c>
      <c r="F4149" s="3">
        <v>8</v>
      </c>
      <c r="G4149" t="s">
        <v>516</v>
      </c>
    </row>
    <row r="4150" spans="1:7" x14ac:dyDescent="0.25">
      <c r="A4150" s="1" t="str">
        <f>"500883"</f>
        <v>500883</v>
      </c>
      <c r="B4150" s="2" t="str">
        <f>"CABO PP 4 X 4,0 MM / 750V"</f>
        <v>CABO PP 4 X 4,0 MM / 750V</v>
      </c>
      <c r="C4150" s="2" t="str">
        <f t="shared" si="169"/>
        <v>MT</v>
      </c>
      <c r="D4150" s="7">
        <v>602</v>
      </c>
      <c r="E4150" s="3">
        <v>8</v>
      </c>
      <c r="F4150" s="3">
        <v>8</v>
      </c>
      <c r="G4150" t="s">
        <v>515</v>
      </c>
    </row>
    <row r="4151" spans="1:7" x14ac:dyDescent="0.25">
      <c r="A4151" s="1" t="str">
        <f>"500837"</f>
        <v>500837</v>
      </c>
      <c r="B4151" s="2" t="str">
        <f>"CABO PP 4 X 6,0 MM / 750V"</f>
        <v>CABO PP 4 X 6,0 MM / 750V</v>
      </c>
      <c r="C4151" s="2" t="str">
        <f t="shared" si="169"/>
        <v>MT</v>
      </c>
      <c r="D4151" s="7">
        <v>602</v>
      </c>
      <c r="E4151" s="3">
        <v>8</v>
      </c>
      <c r="F4151" s="3">
        <v>8</v>
      </c>
      <c r="G4151" t="s">
        <v>514</v>
      </c>
    </row>
    <row r="4152" spans="1:7" x14ac:dyDescent="0.25">
      <c r="A4152" s="1" t="str">
        <f>"520546"</f>
        <v>520546</v>
      </c>
      <c r="B4152" s="2" t="str">
        <f>"CABO PP 4X 0,75 MM / 750V"</f>
        <v>CABO PP 4X 0,75 MM / 750V</v>
      </c>
      <c r="C4152" s="2" t="str">
        <f t="shared" si="169"/>
        <v>MT</v>
      </c>
      <c r="D4152" s="7">
        <v>602</v>
      </c>
      <c r="E4152" s="3">
        <v>8</v>
      </c>
      <c r="F4152" s="3">
        <v>8</v>
      </c>
      <c r="G4152" t="s">
        <v>512</v>
      </c>
    </row>
    <row r="4153" spans="1:7" x14ac:dyDescent="0.25">
      <c r="A4153" s="1" t="str">
        <f>"520654"</f>
        <v>520654</v>
      </c>
      <c r="B4153" s="2" t="str">
        <f>"CABO PP 4X10MM 500V PT CL5"</f>
        <v>CABO PP 4X10MM 500V PT CL5</v>
      </c>
      <c r="C4153" s="2" t="str">
        <f t="shared" si="169"/>
        <v>MT</v>
      </c>
      <c r="D4153" s="7">
        <v>602</v>
      </c>
      <c r="E4153" s="3">
        <v>8</v>
      </c>
      <c r="F4153" s="3">
        <v>8</v>
      </c>
      <c r="G4153" t="s">
        <v>513</v>
      </c>
    </row>
    <row r="4154" spans="1:7" x14ac:dyDescent="0.25">
      <c r="A4154" s="1" t="str">
        <f>"525119"</f>
        <v>525119</v>
      </c>
      <c r="B4154" s="2" t="str">
        <f>"CABO PP 4X2,5MM 1KV COM MALHA 90°"</f>
        <v>CABO PP 4X2,5MM 1KV COM MALHA 90°</v>
      </c>
      <c r="C4154" s="2" t="str">
        <f t="shared" si="169"/>
        <v>MT</v>
      </c>
      <c r="D4154" s="7">
        <v>602</v>
      </c>
      <c r="E4154" s="3">
        <v>8</v>
      </c>
      <c r="F4154" s="3">
        <v>8</v>
      </c>
      <c r="G4154" t="s">
        <v>514</v>
      </c>
    </row>
    <row r="4155" spans="1:7" x14ac:dyDescent="0.25">
      <c r="A4155" s="1" t="str">
        <f>"520651"</f>
        <v>520651</v>
      </c>
      <c r="B4155" s="2" t="str">
        <f>"CABO PP 4X4MM 500V PT CL5"</f>
        <v>CABO PP 4X4MM 500V PT CL5</v>
      </c>
      <c r="C4155" s="2" t="str">
        <f t="shared" si="169"/>
        <v>MT</v>
      </c>
      <c r="D4155" s="7">
        <v>602</v>
      </c>
      <c r="E4155" s="3">
        <v>8</v>
      </c>
      <c r="F4155" s="3">
        <v>8</v>
      </c>
      <c r="G4155" t="s">
        <v>514</v>
      </c>
    </row>
    <row r="4156" spans="1:7" x14ac:dyDescent="0.25">
      <c r="A4156" s="1" t="str">
        <f>"524952"</f>
        <v>524952</v>
      </c>
      <c r="B4156" s="2" t="str">
        <f>"CABO PP 5 X 1,5 MM / 750V"</f>
        <v>CABO PP 5 X 1,5 MM / 750V</v>
      </c>
      <c r="C4156" s="2" t="str">
        <f>"UN"</f>
        <v>UN</v>
      </c>
      <c r="D4156" s="7">
        <v>811</v>
      </c>
      <c r="E4156" s="3">
        <v>10</v>
      </c>
      <c r="F4156" s="3">
        <v>10</v>
      </c>
      <c r="G4156" t="s">
        <v>512</v>
      </c>
    </row>
    <row r="4157" spans="1:7" x14ac:dyDescent="0.25">
      <c r="A4157" s="1" t="str">
        <f>"522581"</f>
        <v>522581</v>
      </c>
      <c r="B4157" s="2" t="str">
        <f>"CABO PP 5 X 2,5MM"</f>
        <v>CABO PP 5 X 2,5MM</v>
      </c>
      <c r="C4157" s="2" t="str">
        <f>"UN"</f>
        <v>UN</v>
      </c>
      <c r="D4157" s="7">
        <v>600</v>
      </c>
      <c r="E4157" s="3">
        <v>10</v>
      </c>
      <c r="F4157" s="3">
        <v>10</v>
      </c>
      <c r="G4157" t="s">
        <v>513</v>
      </c>
    </row>
    <row r="4158" spans="1:7" x14ac:dyDescent="0.25">
      <c r="A4158" s="1" t="str">
        <f>"526704"</f>
        <v>526704</v>
      </c>
      <c r="B4158" s="2" t="str">
        <f>"CABO PP 5 X 25MM"</f>
        <v>CABO PP 5 X 25MM</v>
      </c>
      <c r="C4158" s="2" t="str">
        <f>"UN"</f>
        <v>UN</v>
      </c>
      <c r="D4158" s="7">
        <v>601</v>
      </c>
      <c r="E4158" s="3">
        <v>8</v>
      </c>
      <c r="F4158" s="3">
        <v>8</v>
      </c>
      <c r="G4158" t="s">
        <v>514</v>
      </c>
    </row>
    <row r="4159" spans="1:7" x14ac:dyDescent="0.25">
      <c r="A4159" s="1" t="str">
        <f>"527254"</f>
        <v>527254</v>
      </c>
      <c r="B4159" s="2" t="str">
        <f>"CABO PP 5 X 4MM NEXANS"</f>
        <v>CABO PP 5 X 4MM NEXANS</v>
      </c>
      <c r="C4159" s="2" t="str">
        <f>"MT"</f>
        <v>MT</v>
      </c>
      <c r="D4159" s="7">
        <v>602</v>
      </c>
      <c r="E4159" s="3">
        <v>8</v>
      </c>
      <c r="F4159" s="3">
        <v>8</v>
      </c>
      <c r="G4159" t="s">
        <v>514</v>
      </c>
    </row>
    <row r="4160" spans="1:7" x14ac:dyDescent="0.25">
      <c r="A4160" s="1" t="str">
        <f>"527915"</f>
        <v>527915</v>
      </c>
      <c r="B4160" s="2" t="str">
        <f>"CABO PP 5 X 6 MM"</f>
        <v>CABO PP 5 X 6 MM</v>
      </c>
      <c r="C4160" s="2" t="str">
        <f>"MT"</f>
        <v>MT</v>
      </c>
      <c r="D4160" s="7">
        <v>602</v>
      </c>
      <c r="E4160" s="3">
        <v>8</v>
      </c>
      <c r="F4160" s="3">
        <v>8</v>
      </c>
      <c r="G4160" t="s">
        <v>514</v>
      </c>
    </row>
    <row r="4161" spans="1:7" x14ac:dyDescent="0.25">
      <c r="A4161" s="1" t="str">
        <f>"503873"</f>
        <v>503873</v>
      </c>
      <c r="B4161" s="2" t="str">
        <f>"CABO PP 6 X 1,0 MM / 750V"</f>
        <v>CABO PP 6 X 1,0 MM / 750V</v>
      </c>
      <c r="C4161" s="2" t="str">
        <f>"MT"</f>
        <v>MT</v>
      </c>
      <c r="D4161" s="7">
        <v>602</v>
      </c>
      <c r="E4161" s="3">
        <v>8</v>
      </c>
      <c r="F4161" s="3">
        <v>8</v>
      </c>
      <c r="G4161" t="s">
        <v>513</v>
      </c>
    </row>
    <row r="4162" spans="1:7" x14ac:dyDescent="0.25">
      <c r="A4162" s="1" t="str">
        <f>"509940"</f>
        <v>509940</v>
      </c>
      <c r="B4162" s="2" t="str">
        <f>"CABO PP 6 X 4,0 MM / 750V"</f>
        <v>CABO PP 6 X 4,0 MM / 750V</v>
      </c>
      <c r="C4162" s="2" t="str">
        <f>"MT"</f>
        <v>MT</v>
      </c>
      <c r="D4162" s="7">
        <v>602</v>
      </c>
      <c r="E4162" s="3">
        <v>8</v>
      </c>
      <c r="F4162" s="3">
        <v>8</v>
      </c>
      <c r="G4162" t="s">
        <v>512</v>
      </c>
    </row>
    <row r="4163" spans="1:7" x14ac:dyDescent="0.25">
      <c r="A4163" s="1" t="str">
        <f>"527232"</f>
        <v>527232</v>
      </c>
      <c r="B4163" s="2" t="str">
        <f>"CABO PP 7 X 0,75MM / 750V"</f>
        <v>CABO PP 7 X 0,75MM / 750V</v>
      </c>
      <c r="C4163" s="2" t="str">
        <f>"MT"</f>
        <v>MT</v>
      </c>
      <c r="D4163" s="7">
        <v>99999</v>
      </c>
      <c r="E4163" s="3">
        <v>99</v>
      </c>
      <c r="F4163" s="3">
        <v>99</v>
      </c>
      <c r="G4163" t="s">
        <v>513</v>
      </c>
    </row>
    <row r="4164" spans="1:7" x14ac:dyDescent="0.25">
      <c r="A4164" s="1" t="str">
        <f>"515872"</f>
        <v>515872</v>
      </c>
      <c r="B4164" s="2" t="str">
        <f>"CABO PP 7 X 1,0 MM / 750V"</f>
        <v>CABO PP 7 X 1,0 MM / 750V</v>
      </c>
      <c r="C4164" s="2" t="str">
        <f>"UN"</f>
        <v>UN</v>
      </c>
      <c r="D4164" s="7">
        <v>99999</v>
      </c>
      <c r="E4164" s="3">
        <v>99</v>
      </c>
      <c r="F4164" s="3">
        <v>99</v>
      </c>
      <c r="G4164" t="s">
        <v>514</v>
      </c>
    </row>
    <row r="4165" spans="1:7" x14ac:dyDescent="0.25">
      <c r="A4165" s="1" t="str">
        <f>"526510"</f>
        <v>526510</v>
      </c>
      <c r="B4165" s="2" t="str">
        <f>"CABO PP 7 X 1,0 MM / 750V COM MALHA"</f>
        <v>CABO PP 7 X 1,0 MM / 750V COM MALHA</v>
      </c>
      <c r="C4165" s="2" t="str">
        <f>"UN"</f>
        <v>UN</v>
      </c>
      <c r="D4165" s="7">
        <v>99999</v>
      </c>
      <c r="E4165" s="3">
        <v>99</v>
      </c>
      <c r="F4165" s="3">
        <v>99</v>
      </c>
      <c r="G4165" t="s">
        <v>514</v>
      </c>
    </row>
    <row r="4166" spans="1:7" x14ac:dyDescent="0.25">
      <c r="A4166" s="1" t="str">
        <f>"524949"</f>
        <v>524949</v>
      </c>
      <c r="B4166" s="2" t="str">
        <f>"CABO PP 7 X 1,5 MM / 750V"</f>
        <v>CABO PP 7 X 1,5 MM / 750V</v>
      </c>
      <c r="C4166" s="2" t="str">
        <f>"UN"</f>
        <v>UN</v>
      </c>
      <c r="D4166" s="7">
        <v>811</v>
      </c>
      <c r="E4166" s="3">
        <v>10</v>
      </c>
      <c r="F4166" s="3">
        <v>10</v>
      </c>
      <c r="G4166" t="s">
        <v>514</v>
      </c>
    </row>
    <row r="4167" spans="1:7" x14ac:dyDescent="0.25">
      <c r="A4167" s="1" t="str">
        <f>"521830"</f>
        <v>521830</v>
      </c>
      <c r="B4167" s="2" t="str">
        <f>"CABO PP FITER FLEX 5 X 2,5MM"</f>
        <v>CABO PP FITER FLEX 5 X 2,5MM</v>
      </c>
      <c r="C4167" s="2" t="str">
        <f>"MT"</f>
        <v>MT</v>
      </c>
      <c r="D4167" s="7">
        <v>602</v>
      </c>
      <c r="E4167" s="3">
        <v>8</v>
      </c>
      <c r="F4167" s="3">
        <v>8</v>
      </c>
      <c r="G4167" t="s">
        <v>513</v>
      </c>
    </row>
    <row r="4168" spans="1:7" x14ac:dyDescent="0.25">
      <c r="A4168" s="1" t="str">
        <f>"524064"</f>
        <v>524064</v>
      </c>
      <c r="B4168" s="2" t="str">
        <f>"CABO PP RED 3 X 0 75MM PRETO L 1,5M"</f>
        <v>CABO PP RED 3 X 0 75MM PRETO L 1,5M</v>
      </c>
      <c r="C4168" s="2" t="str">
        <f t="shared" ref="C4168:C4173" si="170">"UN"</f>
        <v>UN</v>
      </c>
      <c r="D4168" s="7">
        <v>99999</v>
      </c>
      <c r="E4168" s="3">
        <v>99</v>
      </c>
      <c r="F4168" s="3">
        <v>99</v>
      </c>
      <c r="G4168" t="s">
        <v>513</v>
      </c>
    </row>
    <row r="4169" spans="1:7" x14ac:dyDescent="0.25">
      <c r="A4169" s="1" t="str">
        <f>"525222"</f>
        <v>525222</v>
      </c>
      <c r="B4169" s="2" t="str">
        <f>"CABO PREFABRICADO CABLE 01994875/4.0"</f>
        <v>CABO PREFABRICADO CABLE 01994875/4.0</v>
      </c>
      <c r="C4169" s="2" t="str">
        <f t="shared" si="170"/>
        <v>UN</v>
      </c>
      <c r="D4169" s="7">
        <v>811</v>
      </c>
      <c r="E4169" s="3">
        <v>10</v>
      </c>
      <c r="F4169" s="3">
        <v>10</v>
      </c>
      <c r="G4169" t="s">
        <v>513</v>
      </c>
    </row>
    <row r="4170" spans="1:7" x14ac:dyDescent="0.25">
      <c r="A4170" s="1" t="str">
        <f>"525221"</f>
        <v>525221</v>
      </c>
      <c r="B4170" s="2" t="str">
        <f>"CABO PREFABRICADO CABLE 05904544/4.0"</f>
        <v>CABO PREFABRICADO CABLE 05904544/4.0</v>
      </c>
      <c r="C4170" s="2" t="str">
        <f t="shared" si="170"/>
        <v>UN</v>
      </c>
      <c r="D4170" s="7">
        <v>811</v>
      </c>
      <c r="E4170" s="3">
        <v>10</v>
      </c>
      <c r="F4170" s="3">
        <v>10</v>
      </c>
      <c r="G4170" t="s">
        <v>512</v>
      </c>
    </row>
    <row r="4171" spans="1:7" x14ac:dyDescent="0.25">
      <c r="A4171" s="1" t="str">
        <f>"517745"</f>
        <v>517745</v>
      </c>
      <c r="B4171" s="2" t="str">
        <f>"CABO PROGRAMAÇÃO SERIAL P/ CLP FPOR/FPX SIGMA"</f>
        <v>CABO PROGRAMAÇÃO SERIAL P/ CLP FPOR/FPX SIGMA</v>
      </c>
      <c r="C4171" s="2" t="str">
        <f t="shared" si="170"/>
        <v>UN</v>
      </c>
      <c r="D4171" s="7">
        <v>811</v>
      </c>
      <c r="E4171" s="3">
        <v>8</v>
      </c>
      <c r="F4171" s="3">
        <v>8</v>
      </c>
      <c r="G4171" t="s">
        <v>513</v>
      </c>
    </row>
    <row r="4172" spans="1:7" x14ac:dyDescent="0.25">
      <c r="A4172" s="1" t="str">
        <f>"517534"</f>
        <v>517534</v>
      </c>
      <c r="B4172" s="2" t="str">
        <f>"CABO PRONTO P/ PROGRAMAÇÃO SIGMA-5 (CN7)"</f>
        <v>CABO PRONTO P/ PROGRAMAÇÃO SIGMA-5 (CN7)</v>
      </c>
      <c r="C4172" s="2" t="str">
        <f t="shared" si="170"/>
        <v>UN</v>
      </c>
      <c r="D4172" s="7">
        <v>811</v>
      </c>
      <c r="E4172" s="3">
        <v>8</v>
      </c>
      <c r="F4172" s="3">
        <v>8</v>
      </c>
      <c r="G4172" t="s">
        <v>514</v>
      </c>
    </row>
    <row r="4173" spans="1:7" x14ac:dyDescent="0.25">
      <c r="A4173" s="1" t="str">
        <f>"510588"</f>
        <v>510588</v>
      </c>
      <c r="B4173" s="2" t="str">
        <f>"CABO PX COM CONECTOR RADIO"</f>
        <v>CABO PX COM CONECTOR RADIO</v>
      </c>
      <c r="C4173" s="2" t="str">
        <f t="shared" si="170"/>
        <v>UN</v>
      </c>
      <c r="D4173" s="7">
        <v>900</v>
      </c>
      <c r="E4173" s="3">
        <v>11</v>
      </c>
      <c r="F4173" s="3">
        <v>11</v>
      </c>
      <c r="G4173" t="s">
        <v>515</v>
      </c>
    </row>
    <row r="4174" spans="1:7" x14ac:dyDescent="0.25">
      <c r="A4174" s="1" t="str">
        <f>"526831"</f>
        <v>526831</v>
      </c>
      <c r="B4174" s="2" t="str">
        <f>"CABO REDE CAT-5E MULTILAN F/UTP ID/OD CMX PRETO"</f>
        <v>CABO REDE CAT-5E MULTILAN F/UTP ID/OD CMX PRETO</v>
      </c>
      <c r="C4174" s="2" t="str">
        <f t="shared" ref="C4174:C4181" si="171">"MT"</f>
        <v>MT</v>
      </c>
      <c r="D4174" s="7">
        <v>602</v>
      </c>
      <c r="E4174" s="3">
        <v>8</v>
      </c>
      <c r="F4174" s="3">
        <v>8</v>
      </c>
      <c r="G4174" t="s">
        <v>512</v>
      </c>
    </row>
    <row r="4175" spans="1:7" x14ac:dyDescent="0.25">
      <c r="A4175" s="1" t="str">
        <f>"526023"</f>
        <v>526023</v>
      </c>
      <c r="B4175" s="2" t="str">
        <f>"CABO REDE FICAP CAT 6"</f>
        <v>CABO REDE FICAP CAT 6</v>
      </c>
      <c r="C4175" s="2" t="str">
        <f t="shared" si="171"/>
        <v>MT</v>
      </c>
      <c r="D4175" s="7">
        <v>602</v>
      </c>
      <c r="E4175" s="3">
        <v>8</v>
      </c>
      <c r="F4175" s="3">
        <v>8</v>
      </c>
      <c r="G4175" t="s">
        <v>516</v>
      </c>
    </row>
    <row r="4176" spans="1:7" x14ac:dyDescent="0.25">
      <c r="A4176" s="1" t="str">
        <f>"520884"</f>
        <v>520884</v>
      </c>
      <c r="B4176" s="2" t="str">
        <f>"CABO REDE GIGALAN CAT 5E AZUL"</f>
        <v>CABO REDE GIGALAN CAT 5E AZUL</v>
      </c>
      <c r="C4176" s="2" t="str">
        <f t="shared" si="171"/>
        <v>MT</v>
      </c>
      <c r="D4176" s="7">
        <v>602</v>
      </c>
      <c r="E4176" s="3">
        <v>8</v>
      </c>
      <c r="F4176" s="3">
        <v>8</v>
      </c>
      <c r="G4176" t="s">
        <v>515</v>
      </c>
    </row>
    <row r="4177" spans="1:7" x14ac:dyDescent="0.25">
      <c r="A4177" s="1" t="str">
        <f>"517383"</f>
        <v>517383</v>
      </c>
      <c r="B4177" s="2" t="str">
        <f>"CABO REDE GIGALAN CAT 6 CINZA"</f>
        <v>CABO REDE GIGALAN CAT 6 CINZA</v>
      </c>
      <c r="C4177" s="2" t="str">
        <f t="shared" si="171"/>
        <v>MT</v>
      </c>
      <c r="D4177" s="7">
        <v>602</v>
      </c>
      <c r="E4177" s="3">
        <v>8</v>
      </c>
      <c r="F4177" s="3">
        <v>8</v>
      </c>
      <c r="G4177" t="s">
        <v>514</v>
      </c>
    </row>
    <row r="4178" spans="1:7" x14ac:dyDescent="0.25">
      <c r="A4178" s="1" t="str">
        <f>"527950"</f>
        <v>527950</v>
      </c>
      <c r="B4178" s="2" t="str">
        <f>"CABO REDE GIGALAN FURUKAWA CAT 6 VERDE"</f>
        <v>CABO REDE GIGALAN FURUKAWA CAT 6 VERDE</v>
      </c>
      <c r="C4178" s="2" t="str">
        <f t="shared" si="171"/>
        <v>MT</v>
      </c>
      <c r="D4178" s="7">
        <v>602</v>
      </c>
      <c r="E4178" s="3">
        <v>8</v>
      </c>
      <c r="F4178" s="3">
        <v>8</v>
      </c>
      <c r="G4178" t="s">
        <v>512</v>
      </c>
    </row>
    <row r="4179" spans="1:7" x14ac:dyDescent="0.25">
      <c r="A4179" s="1" t="str">
        <f>"527790"</f>
        <v>527790</v>
      </c>
      <c r="B4179" s="2" t="str">
        <f>"CABO REDE GIGALAN FURUKAWA CAT 6 VERMELHO"</f>
        <v>CABO REDE GIGALAN FURUKAWA CAT 6 VERMELHO</v>
      </c>
      <c r="C4179" s="2" t="str">
        <f t="shared" si="171"/>
        <v>MT</v>
      </c>
      <c r="D4179" s="7">
        <v>602</v>
      </c>
      <c r="E4179" s="3">
        <v>8</v>
      </c>
      <c r="F4179" s="3">
        <v>8</v>
      </c>
      <c r="G4179" t="s">
        <v>513</v>
      </c>
    </row>
    <row r="4180" spans="1:7" x14ac:dyDescent="0.25">
      <c r="A4180" s="1" t="str">
        <f>"519265"</f>
        <v>519265</v>
      </c>
      <c r="B4180" s="2" t="str">
        <f>"CABO REDE INDOR/OUTDOR CAPA SIMPLES"</f>
        <v>CABO REDE INDOR/OUTDOR CAPA SIMPLES</v>
      </c>
      <c r="C4180" s="2" t="str">
        <f t="shared" si="171"/>
        <v>MT</v>
      </c>
      <c r="D4180" s="7">
        <v>602</v>
      </c>
      <c r="E4180" s="3">
        <v>8</v>
      </c>
      <c r="F4180" s="3">
        <v>8</v>
      </c>
      <c r="G4180" t="s">
        <v>514</v>
      </c>
    </row>
    <row r="4181" spans="1:7" x14ac:dyDescent="0.25">
      <c r="A4181" s="1" t="str">
        <f>"503162"</f>
        <v>503162</v>
      </c>
      <c r="B4181" s="2" t="str">
        <f>"CABO REDE TRANÇADO INDUSTRIAL"</f>
        <v>CABO REDE TRANÇADO INDUSTRIAL</v>
      </c>
      <c r="C4181" s="2" t="str">
        <f t="shared" si="171"/>
        <v>MT</v>
      </c>
      <c r="D4181" s="7">
        <v>602</v>
      </c>
      <c r="E4181" s="3">
        <v>8</v>
      </c>
      <c r="F4181" s="3">
        <v>8</v>
      </c>
      <c r="G4181" t="s">
        <v>514</v>
      </c>
    </row>
    <row r="4182" spans="1:7" x14ac:dyDescent="0.25">
      <c r="A4182" s="1" t="str">
        <f>"524815"</f>
        <v>524815</v>
      </c>
      <c r="B4182" s="2" t="str">
        <f>"CABO RETINIDA FLUTUANTE 30 M PARA BOIA CIRCULAR SALVA VIDAS"</f>
        <v>CABO RETINIDA FLUTUANTE 30 M PARA BOIA CIRCULAR SALVA VIDAS</v>
      </c>
      <c r="C4182" s="2" t="str">
        <f>"UN"</f>
        <v>UN</v>
      </c>
      <c r="D4182" s="7">
        <v>99999</v>
      </c>
      <c r="E4182" s="3">
        <v>99</v>
      </c>
      <c r="F4182" s="3">
        <v>99</v>
      </c>
      <c r="G4182" t="s">
        <v>512</v>
      </c>
    </row>
    <row r="4183" spans="1:7" x14ac:dyDescent="0.25">
      <c r="A4183" s="1" t="str">
        <f>"521956"</f>
        <v>521956</v>
      </c>
      <c r="B4183" s="2" t="str">
        <f>"CABO REVESTIDO P/ VARAL 15MT"</f>
        <v>CABO REVESTIDO P/ VARAL 15MT</v>
      </c>
      <c r="C4183" s="2" t="str">
        <f>"UN"</f>
        <v>UN</v>
      </c>
      <c r="D4183" s="7">
        <v>99999</v>
      </c>
      <c r="E4183" s="3">
        <v>99</v>
      </c>
      <c r="F4183" s="3">
        <v>99</v>
      </c>
      <c r="G4183" t="s">
        <v>513</v>
      </c>
    </row>
    <row r="4184" spans="1:7" x14ac:dyDescent="0.25">
      <c r="A4184" s="1" t="str">
        <f>"513534"</f>
        <v>513534</v>
      </c>
      <c r="B4184" s="2" t="str">
        <f>"CABO RIGIDO 10MM"</f>
        <v>CABO RIGIDO 10MM</v>
      </c>
      <c r="C4184" s="2" t="str">
        <f>"UN"</f>
        <v>UN</v>
      </c>
      <c r="D4184" s="7">
        <v>900</v>
      </c>
      <c r="E4184" s="3">
        <v>11</v>
      </c>
      <c r="F4184" s="3">
        <v>11</v>
      </c>
      <c r="G4184" t="s">
        <v>514</v>
      </c>
    </row>
    <row r="4185" spans="1:7" x14ac:dyDescent="0.25">
      <c r="A4185" s="1" t="str">
        <f>"517403"</f>
        <v>517403</v>
      </c>
      <c r="B4185" s="2" t="str">
        <f>"CABO RS-232C 90091AC/T LX300/BEMATECH"</f>
        <v>CABO RS-232C 90091AC/T LX300/BEMATECH</v>
      </c>
      <c r="C4185" s="2" t="str">
        <f>"UN"</f>
        <v>UN</v>
      </c>
      <c r="D4185" s="7">
        <v>811</v>
      </c>
      <c r="E4185" s="3">
        <v>8</v>
      </c>
      <c r="F4185" s="3">
        <v>8</v>
      </c>
      <c r="G4185" t="s">
        <v>514</v>
      </c>
    </row>
    <row r="4186" spans="1:7" x14ac:dyDescent="0.25">
      <c r="A4186" s="1" t="str">
        <f>"517356"</f>
        <v>517356</v>
      </c>
      <c r="B4186" s="2" t="str">
        <f>"CABO RS-232C 9091AC/T LX300/BEMA TECH (CE-6101)"</f>
        <v>CABO RS-232C 9091AC/T LX300/BEMA TECH (CE-6101)</v>
      </c>
      <c r="C4186" s="2" t="str">
        <f>"UN"</f>
        <v>UN</v>
      </c>
      <c r="D4186" s="7">
        <v>811</v>
      </c>
      <c r="E4186" s="3">
        <v>8</v>
      </c>
      <c r="F4186" s="3">
        <v>8</v>
      </c>
      <c r="G4186" t="s">
        <v>514</v>
      </c>
    </row>
    <row r="4187" spans="1:7" x14ac:dyDescent="0.25">
      <c r="A4187" s="1" t="str">
        <f>"513078"</f>
        <v>513078</v>
      </c>
      <c r="B4187" s="2" t="str">
        <f>"CABO SENSOR SICK PVC M08 4P FEM RET 2M LAR SCAB08000017"</f>
        <v>CABO SENSOR SICK PVC M08 4P FEM RET 2M LAR SCAB08000017</v>
      </c>
      <c r="C4187" s="2" t="str">
        <f>"PC"</f>
        <v>PC</v>
      </c>
      <c r="D4187" s="7">
        <v>908</v>
      </c>
      <c r="E4187" s="3">
        <v>11</v>
      </c>
      <c r="F4187" s="3">
        <v>11</v>
      </c>
      <c r="G4187" t="s">
        <v>513</v>
      </c>
    </row>
    <row r="4188" spans="1:7" x14ac:dyDescent="0.25">
      <c r="A4188" s="1" t="str">
        <f>"511241"</f>
        <v>511241</v>
      </c>
      <c r="B4188" s="2" t="str">
        <f>"CABO SERIAL HMI REMOTA CFW08"</f>
        <v>CABO SERIAL HMI REMOTA CFW08</v>
      </c>
      <c r="C4188" s="2" t="str">
        <f>"MT"</f>
        <v>MT</v>
      </c>
      <c r="D4188" s="7">
        <v>602</v>
      </c>
      <c r="E4188" s="3">
        <v>8</v>
      </c>
      <c r="F4188" s="3">
        <v>8</v>
      </c>
      <c r="G4188" t="s">
        <v>512</v>
      </c>
    </row>
    <row r="4189" spans="1:7" x14ac:dyDescent="0.25">
      <c r="A4189" s="1" t="str">
        <f>"506410"</f>
        <v>506410</v>
      </c>
      <c r="B4189" s="2" t="str">
        <f>"CABO SILICONADO 4MM 750V"</f>
        <v>CABO SILICONADO 4MM 750V</v>
      </c>
      <c r="C4189" s="2" t="str">
        <f>"MT"</f>
        <v>MT</v>
      </c>
      <c r="D4189" s="7">
        <v>602</v>
      </c>
      <c r="E4189" s="3">
        <v>8</v>
      </c>
      <c r="F4189" s="3">
        <v>8</v>
      </c>
      <c r="G4189" t="s">
        <v>513</v>
      </c>
    </row>
    <row r="4190" spans="1:7" x14ac:dyDescent="0.25">
      <c r="A4190" s="1" t="str">
        <f>"506123"</f>
        <v>506123</v>
      </c>
      <c r="B4190" s="2" t="str">
        <f>"CABO SILICONADO C/ AMIANTO 10MM 750ºC"</f>
        <v>CABO SILICONADO C/ AMIANTO 10MM 750ºC</v>
      </c>
      <c r="C4190" s="2" t="str">
        <f>"MT"</f>
        <v>MT</v>
      </c>
      <c r="D4190" s="7">
        <v>602</v>
      </c>
      <c r="E4190" s="3">
        <v>8</v>
      </c>
      <c r="F4190" s="3">
        <v>8</v>
      </c>
      <c r="G4190" t="s">
        <v>514</v>
      </c>
    </row>
    <row r="4191" spans="1:7" x14ac:dyDescent="0.25">
      <c r="A4191" s="1" t="str">
        <f>"517779"</f>
        <v>517779</v>
      </c>
      <c r="B4191" s="2" t="str">
        <f>"CABO SILICONADO P/ ALTA TEMPERATURA 1MM C/ TRAMA NYLON"</f>
        <v>CABO SILICONADO P/ ALTA TEMPERATURA 1MM C/ TRAMA NYLON</v>
      </c>
      <c r="C4191" s="2" t="str">
        <f>"MT"</f>
        <v>MT</v>
      </c>
      <c r="D4191" s="7">
        <v>602</v>
      </c>
      <c r="E4191" s="3">
        <v>8</v>
      </c>
      <c r="F4191" s="3">
        <v>8</v>
      </c>
      <c r="G4191" t="s">
        <v>514</v>
      </c>
    </row>
    <row r="4192" spans="1:7" x14ac:dyDescent="0.25">
      <c r="A4192" s="1" t="str">
        <f>"512324"</f>
        <v>512324</v>
      </c>
      <c r="B4192" s="2" t="str">
        <f>"CABO SILICONADO P/ ALTA TEMPERATURA 2,5MM C/ TRAMA NYLON"</f>
        <v>CABO SILICONADO P/ ALTA TEMPERATURA 2,5MM C/ TRAMA NYLON</v>
      </c>
      <c r="C4192" s="2" t="str">
        <f>"UN"</f>
        <v>UN</v>
      </c>
      <c r="D4192" s="7">
        <v>900</v>
      </c>
      <c r="E4192" s="3">
        <v>11</v>
      </c>
      <c r="F4192" s="3">
        <v>11</v>
      </c>
      <c r="G4192" t="s">
        <v>514</v>
      </c>
    </row>
    <row r="4193" spans="1:7" x14ac:dyDescent="0.25">
      <c r="A4193" s="1" t="str">
        <f>"517775"</f>
        <v>517775</v>
      </c>
      <c r="B4193" s="2" t="str">
        <f>"CABO SILICONADO P/ ALTA TEMPERATURA 6MM C/ TRAMA NYLON"</f>
        <v>CABO SILICONADO P/ ALTA TEMPERATURA 6MM C/ TRAMA NYLON</v>
      </c>
      <c r="C4193" s="2" t="str">
        <f>"MT"</f>
        <v>MT</v>
      </c>
      <c r="D4193" s="7">
        <v>602</v>
      </c>
      <c r="E4193" s="3">
        <v>8</v>
      </c>
      <c r="F4193" s="3">
        <v>8</v>
      </c>
      <c r="G4193" t="s">
        <v>513</v>
      </c>
    </row>
    <row r="4194" spans="1:7" x14ac:dyDescent="0.25">
      <c r="A4194" s="1" t="str">
        <f>"500432"</f>
        <v>500432</v>
      </c>
      <c r="B4194" s="2" t="str">
        <f>"CABO TELEFONE CCI 01 PAR"</f>
        <v>CABO TELEFONE CCI 01 PAR</v>
      </c>
      <c r="C4194" s="2" t="str">
        <f>"MT"</f>
        <v>MT</v>
      </c>
      <c r="D4194" s="7">
        <v>602</v>
      </c>
      <c r="E4194" s="3">
        <v>8</v>
      </c>
      <c r="F4194" s="3">
        <v>8</v>
      </c>
      <c r="G4194" t="s">
        <v>513</v>
      </c>
    </row>
    <row r="4195" spans="1:7" x14ac:dyDescent="0.25">
      <c r="A4195" s="1" t="str">
        <f>"510488"</f>
        <v>510488</v>
      </c>
      <c r="B4195" s="2" t="str">
        <f>"CABO TELEFONE CCI 04 PARES"</f>
        <v>CABO TELEFONE CCI 04 PARES</v>
      </c>
      <c r="C4195" s="2" t="str">
        <f>"MT"</f>
        <v>MT</v>
      </c>
      <c r="D4195" s="7">
        <v>602</v>
      </c>
      <c r="E4195" s="3">
        <v>8</v>
      </c>
      <c r="F4195" s="3">
        <v>8</v>
      </c>
      <c r="G4195" t="s">
        <v>513</v>
      </c>
    </row>
    <row r="4196" spans="1:7" x14ac:dyDescent="0.25">
      <c r="A4196" s="1" t="str">
        <f>"500431"</f>
        <v>500431</v>
      </c>
      <c r="B4196" s="2" t="str">
        <f>"CABO TELEFONE CCI 10 PARES"</f>
        <v>CABO TELEFONE CCI 10 PARES</v>
      </c>
      <c r="C4196" s="2" t="str">
        <f>"MT"</f>
        <v>MT</v>
      </c>
      <c r="D4196" s="7">
        <v>602</v>
      </c>
      <c r="E4196" s="3">
        <v>8</v>
      </c>
      <c r="F4196" s="3">
        <v>8</v>
      </c>
      <c r="G4196" t="s">
        <v>512</v>
      </c>
    </row>
    <row r="4197" spans="1:7" x14ac:dyDescent="0.25">
      <c r="A4197" s="1" t="str">
        <f>"517088"</f>
        <v>517088</v>
      </c>
      <c r="B4197" s="2" t="str">
        <f>"CABO TELEFONE PRETO P/ LIGAÇÃO EXTERNA"</f>
        <v>CABO TELEFONE PRETO P/ LIGAÇÃO EXTERNA</v>
      </c>
      <c r="C4197" s="2" t="str">
        <f t="shared" ref="C4197:C4205" si="172">"UN"</f>
        <v>UN</v>
      </c>
      <c r="D4197" s="7">
        <v>811</v>
      </c>
      <c r="E4197" s="3">
        <v>8</v>
      </c>
      <c r="F4197" s="3">
        <v>8</v>
      </c>
      <c r="G4197" t="s">
        <v>513</v>
      </c>
    </row>
    <row r="4198" spans="1:7" x14ac:dyDescent="0.25">
      <c r="A4198" s="1" t="str">
        <f>"513260"</f>
        <v>513260</v>
      </c>
      <c r="B4198" s="2" t="str">
        <f>"CABO TELEFONICO ESPIRAL"</f>
        <v>CABO TELEFONICO ESPIRAL</v>
      </c>
      <c r="C4198" s="2" t="str">
        <f t="shared" si="172"/>
        <v>UN</v>
      </c>
      <c r="D4198" s="7">
        <v>99999</v>
      </c>
      <c r="E4198" s="3">
        <v>99</v>
      </c>
      <c r="F4198" s="3">
        <v>99</v>
      </c>
      <c r="G4198" t="s">
        <v>514</v>
      </c>
    </row>
    <row r="4199" spans="1:7" x14ac:dyDescent="0.25">
      <c r="A4199" s="1" t="str">
        <f>"524829"</f>
        <v>524829</v>
      </c>
      <c r="B4199" s="2" t="str">
        <f>"CABO TELESCOPICO DE 6 MT (ALUMÍNIO)"</f>
        <v>CABO TELESCOPICO DE 6 MT (ALUMÍNIO)</v>
      </c>
      <c r="C4199" s="2" t="str">
        <f t="shared" si="172"/>
        <v>UN</v>
      </c>
      <c r="D4199" s="7">
        <v>99999</v>
      </c>
      <c r="E4199" s="3">
        <v>99</v>
      </c>
      <c r="F4199" s="3">
        <v>99</v>
      </c>
      <c r="G4199" t="s">
        <v>515</v>
      </c>
    </row>
    <row r="4200" spans="1:7" x14ac:dyDescent="0.25">
      <c r="A4200" s="1" t="str">
        <f>"522984"</f>
        <v>522984</v>
      </c>
      <c r="B4200" s="2" t="str">
        <f>"CABO TELESCÓPIO (COR PRETO CÓD. 49775)"</f>
        <v>CABO TELESCÓPIO (COR PRETO CÓD. 49775)</v>
      </c>
      <c r="C4200" s="2" t="str">
        <f t="shared" si="172"/>
        <v>UN</v>
      </c>
      <c r="D4200" s="7">
        <v>400</v>
      </c>
      <c r="E4200" s="3">
        <v>4</v>
      </c>
      <c r="F4200" s="3">
        <v>4</v>
      </c>
      <c r="G4200" t="s">
        <v>512</v>
      </c>
    </row>
    <row r="4201" spans="1:7" x14ac:dyDescent="0.25">
      <c r="A4201" s="1" t="str">
        <f>"523735"</f>
        <v>523735</v>
      </c>
      <c r="B4201" s="2" t="str">
        <f>"CABO TELESCÓPIO (COR PRETO CÓD. 49779)"</f>
        <v>CABO TELESCÓPIO (COR PRETO CÓD. 49779)</v>
      </c>
      <c r="C4201" s="2" t="str">
        <f t="shared" si="172"/>
        <v>UN</v>
      </c>
      <c r="D4201" s="7">
        <v>400</v>
      </c>
      <c r="E4201" s="3">
        <v>4</v>
      </c>
      <c r="F4201" s="3">
        <v>4</v>
      </c>
      <c r="G4201" t="s">
        <v>516</v>
      </c>
    </row>
    <row r="4202" spans="1:7" x14ac:dyDescent="0.25">
      <c r="A4202" s="1" t="str">
        <f>"501006"</f>
        <v>501006</v>
      </c>
      <c r="B4202" s="2" t="str">
        <f>"CABO TERMOPAR COMP. J FIBRA 2X22"</f>
        <v>CABO TERMOPAR COMP. J FIBRA 2X22</v>
      </c>
      <c r="C4202" s="2" t="str">
        <f t="shared" si="172"/>
        <v>UN</v>
      </c>
      <c r="D4202" s="7">
        <v>900</v>
      </c>
      <c r="E4202" s="3">
        <v>11</v>
      </c>
      <c r="F4202" s="3">
        <v>11</v>
      </c>
      <c r="G4202" t="s">
        <v>515</v>
      </c>
    </row>
    <row r="4203" spans="1:7" x14ac:dyDescent="0.25">
      <c r="A4203" s="1" t="str">
        <f>"517154"</f>
        <v>517154</v>
      </c>
      <c r="B4203" s="2" t="str">
        <f>"CABO TRA 4MM 75 OH FLEX+BIP 2X26 80% CFTV"</f>
        <v>CABO TRA 4MM 75 OH FLEX+BIP 2X26 80% CFTV</v>
      </c>
      <c r="C4203" s="2" t="str">
        <f t="shared" si="172"/>
        <v>UN</v>
      </c>
      <c r="D4203" s="7">
        <v>811</v>
      </c>
      <c r="E4203" s="3">
        <v>8</v>
      </c>
      <c r="F4203" s="3">
        <v>8</v>
      </c>
      <c r="G4203" t="s">
        <v>514</v>
      </c>
    </row>
    <row r="4204" spans="1:7" x14ac:dyDescent="0.25">
      <c r="A4204" s="1" t="str">
        <f>"525164"</f>
        <v>525164</v>
      </c>
      <c r="B4204" s="2" t="str">
        <f>"CABO TRANSM. DE DADOS GIGALAN F/UTP 23AWGX4P CAT.6 IN/OUT"</f>
        <v>CABO TRANSM. DE DADOS GIGALAN F/UTP 23AWGX4P CAT.6 IN/OUT</v>
      </c>
      <c r="C4204" s="2" t="str">
        <f t="shared" si="172"/>
        <v>UN</v>
      </c>
      <c r="D4204" s="7">
        <v>811</v>
      </c>
      <c r="E4204" s="3">
        <v>10</v>
      </c>
      <c r="F4204" s="3">
        <v>10</v>
      </c>
      <c r="G4204" t="s">
        <v>512</v>
      </c>
    </row>
    <row r="4205" spans="1:7" x14ac:dyDescent="0.25">
      <c r="A4205" s="1" t="str">
        <f>"523892"</f>
        <v>523892</v>
      </c>
      <c r="B4205" s="2" t="str">
        <f>"CABO TRANSMISSÃO DADOS GIGALAN GRRN U/UTP 23AWGX4P CAT6 L"</f>
        <v>CABO TRANSMISSÃO DADOS GIGALAN GRRN U/UTP 23AWGX4P CAT6 L</v>
      </c>
      <c r="C4205" s="2" t="str">
        <f t="shared" si="172"/>
        <v>UN</v>
      </c>
      <c r="D4205" s="7">
        <v>99999</v>
      </c>
      <c r="E4205" s="3">
        <v>99</v>
      </c>
      <c r="F4205" s="3">
        <v>99</v>
      </c>
      <c r="G4205" t="s">
        <v>513</v>
      </c>
    </row>
    <row r="4206" spans="1:7" x14ac:dyDescent="0.25">
      <c r="A4206" s="1" t="str">
        <f>"527259"</f>
        <v>527259</v>
      </c>
      <c r="B4206" s="2" t="str">
        <f>"CABO TRANSMISSAO DE DADOS GIGALAN F/UTP 23AWGX4P CAT.6 INDOO"</f>
        <v>CABO TRANSMISSAO DE DADOS GIGALAN F/UTP 23AWGX4P CAT.6 INDOO</v>
      </c>
      <c r="C4206" s="2" t="str">
        <f>"MT"</f>
        <v>MT</v>
      </c>
      <c r="D4206" s="7">
        <v>602</v>
      </c>
      <c r="E4206" s="3">
        <v>8</v>
      </c>
      <c r="F4206" s="3">
        <v>8</v>
      </c>
      <c r="G4206" t="s">
        <v>514</v>
      </c>
    </row>
    <row r="4207" spans="1:7" x14ac:dyDescent="0.25">
      <c r="A4207" s="1" t="str">
        <f>"525495"</f>
        <v>525495</v>
      </c>
      <c r="B4207" s="2" t="str">
        <f>"CABO UNIPOLAR LAMEX XLPE 120MM²"</f>
        <v>CABO UNIPOLAR LAMEX XLPE 120MM²</v>
      </c>
      <c r="C4207" s="2" t="str">
        <f>"UN"</f>
        <v>UN</v>
      </c>
      <c r="D4207" s="7">
        <v>900</v>
      </c>
      <c r="E4207" s="3">
        <v>11</v>
      </c>
      <c r="F4207" s="3">
        <v>11</v>
      </c>
      <c r="G4207" t="s">
        <v>514</v>
      </c>
    </row>
    <row r="4208" spans="1:7" x14ac:dyDescent="0.25">
      <c r="A4208" s="1" t="str">
        <f>"525494"</f>
        <v>525494</v>
      </c>
      <c r="B4208" s="2" t="str">
        <f>"CABO UNIPOLAR LAMEX XLPE 240MM²"</f>
        <v>CABO UNIPOLAR LAMEX XLPE 240MM²</v>
      </c>
      <c r="C4208" s="2" t="str">
        <f>"UN"</f>
        <v>UN</v>
      </c>
      <c r="D4208" s="7">
        <v>900</v>
      </c>
      <c r="E4208" s="3">
        <v>11</v>
      </c>
      <c r="F4208" s="3">
        <v>11</v>
      </c>
      <c r="G4208" t="s">
        <v>512</v>
      </c>
    </row>
    <row r="4209" spans="1:7" x14ac:dyDescent="0.25">
      <c r="A4209" s="1" t="str">
        <f>"521053"</f>
        <v>521053</v>
      </c>
      <c r="B4209" s="2" t="str">
        <f>"CABO USB"</f>
        <v>CABO USB</v>
      </c>
      <c r="C4209" s="2" t="str">
        <f>"MT"</f>
        <v>MT</v>
      </c>
      <c r="D4209" s="7">
        <v>602</v>
      </c>
      <c r="E4209" s="3">
        <v>8</v>
      </c>
      <c r="F4209" s="3">
        <v>8</v>
      </c>
      <c r="G4209" t="s">
        <v>513</v>
      </c>
    </row>
    <row r="4210" spans="1:7" x14ac:dyDescent="0.25">
      <c r="A4210" s="1" t="str">
        <f>"510173"</f>
        <v>510173</v>
      </c>
      <c r="B4210" s="2" t="str">
        <f>"CABO USB 2.0 IMPRESSORA"</f>
        <v>CABO USB 2.0 IMPRESSORA</v>
      </c>
      <c r="C4210" s="2" t="str">
        <f>"MT"</f>
        <v>MT</v>
      </c>
      <c r="D4210" s="7">
        <v>602</v>
      </c>
      <c r="E4210" s="3">
        <v>8</v>
      </c>
      <c r="F4210" s="3">
        <v>8</v>
      </c>
      <c r="G4210" t="s">
        <v>514</v>
      </c>
    </row>
    <row r="4211" spans="1:7" x14ac:dyDescent="0.25">
      <c r="A4211" s="1" t="str">
        <f>"514589"</f>
        <v>514589</v>
      </c>
      <c r="B4211" s="2" t="str">
        <f>"CABO VELA"</f>
        <v>CABO VELA</v>
      </c>
      <c r="C4211" s="2" t="str">
        <f t="shared" ref="C4211:C4234" si="173">"UN"</f>
        <v>UN</v>
      </c>
      <c r="D4211" s="7">
        <v>704</v>
      </c>
      <c r="E4211" s="3">
        <v>9</v>
      </c>
      <c r="F4211" s="3">
        <v>9</v>
      </c>
      <c r="G4211" t="s">
        <v>514</v>
      </c>
    </row>
    <row r="4212" spans="1:7" x14ac:dyDescent="0.25">
      <c r="A4212" s="1" t="str">
        <f>"504603"</f>
        <v>504603</v>
      </c>
      <c r="B4212" s="2" t="str">
        <f>"CABO VELOCIMETRO"</f>
        <v>CABO VELOCIMETRO</v>
      </c>
      <c r="C4212" s="2" t="str">
        <f t="shared" si="173"/>
        <v>UN</v>
      </c>
      <c r="D4212" s="7">
        <v>704</v>
      </c>
      <c r="E4212" s="3">
        <v>9</v>
      </c>
      <c r="F4212" s="3">
        <v>9</v>
      </c>
      <c r="G4212" t="s">
        <v>514</v>
      </c>
    </row>
    <row r="4213" spans="1:7" x14ac:dyDescent="0.25">
      <c r="A4213" s="1" t="str">
        <f>"524306"</f>
        <v>524306</v>
      </c>
      <c r="B4213" s="2" t="str">
        <f>"CABO/LEITOR USB TRANSFERÊNCIA DADOS ANALISADOR DE GASES"</f>
        <v>CABO/LEITOR USB TRANSFERÊNCIA DADOS ANALISADOR DE GASES</v>
      </c>
      <c r="C4213" s="2" t="str">
        <f t="shared" si="173"/>
        <v>UN</v>
      </c>
      <c r="D4213" s="7">
        <v>99999</v>
      </c>
      <c r="E4213" s="3">
        <v>99</v>
      </c>
      <c r="F4213" s="3">
        <v>99</v>
      </c>
      <c r="G4213" t="s">
        <v>513</v>
      </c>
    </row>
    <row r="4214" spans="1:7" x14ac:dyDescent="0.25">
      <c r="A4214" s="1" t="str">
        <f>"523491"</f>
        <v>523491</v>
      </c>
      <c r="B4214" s="2" t="str">
        <f>"CABOS ALUMINIO PEGA STANDARD 30 CM (COR BRANCO CÓD. 49801)"</f>
        <v>CABOS ALUMINIO PEGA STANDARD 30 CM (COR BRANCO CÓD. 49801)</v>
      </c>
      <c r="C4214" s="2" t="str">
        <f t="shared" si="173"/>
        <v>UN</v>
      </c>
      <c r="D4214" s="7">
        <v>400</v>
      </c>
      <c r="E4214" s="3">
        <v>4</v>
      </c>
      <c r="F4214" s="3">
        <v>4</v>
      </c>
      <c r="G4214" t="s">
        <v>512</v>
      </c>
    </row>
    <row r="4215" spans="1:7" x14ac:dyDescent="0.25">
      <c r="A4215" s="1" t="str">
        <f>"522705"</f>
        <v>522705</v>
      </c>
      <c r="B4215" s="2" t="str">
        <f>"CABOS ALUMINIO PEGA STANDARD 30CM (COR VERMELHO CÓD.49801)"</f>
        <v>CABOS ALUMINIO PEGA STANDARD 30CM (COR VERMELHO CÓD.49801)</v>
      </c>
      <c r="C4215" s="2" t="str">
        <f t="shared" si="173"/>
        <v>UN</v>
      </c>
      <c r="D4215" s="7">
        <v>400</v>
      </c>
      <c r="E4215" s="3">
        <v>4</v>
      </c>
      <c r="F4215" s="3">
        <v>4</v>
      </c>
      <c r="G4215" t="s">
        <v>513</v>
      </c>
    </row>
    <row r="4216" spans="1:7" x14ac:dyDescent="0.25">
      <c r="A4216" s="1" t="str">
        <f>"523494"</f>
        <v>523494</v>
      </c>
      <c r="B4216" s="2" t="str">
        <f>"CABOS ALUMINIO PEGA STANDARD 80CM (COR AMARELO CÓD.49802)"</f>
        <v>CABOS ALUMINIO PEGA STANDARD 80CM (COR AMARELO CÓD.49802)</v>
      </c>
      <c r="C4216" s="2" t="str">
        <f t="shared" si="173"/>
        <v>UN</v>
      </c>
      <c r="D4216" s="7">
        <v>400</v>
      </c>
      <c r="E4216" s="3">
        <v>4</v>
      </c>
      <c r="F4216" s="3">
        <v>4</v>
      </c>
      <c r="G4216" t="s">
        <v>514</v>
      </c>
    </row>
    <row r="4217" spans="1:7" x14ac:dyDescent="0.25">
      <c r="A4217" s="1" t="str">
        <f>"523742"</f>
        <v>523742</v>
      </c>
      <c r="B4217" s="2" t="str">
        <f>"CABOS ALUMINIO PEGA STANDARD 80CM (COR BRANCO CÓD. 49802)"</f>
        <v>CABOS ALUMINIO PEGA STANDARD 80CM (COR BRANCO CÓD. 49802)</v>
      </c>
      <c r="C4217" s="2" t="str">
        <f t="shared" si="173"/>
        <v>UN</v>
      </c>
      <c r="D4217" s="7">
        <v>400</v>
      </c>
      <c r="E4217" s="3">
        <v>4</v>
      </c>
      <c r="F4217" s="3">
        <v>4</v>
      </c>
      <c r="G4217" t="s">
        <v>514</v>
      </c>
    </row>
    <row r="4218" spans="1:7" x14ac:dyDescent="0.25">
      <c r="A4218" s="1" t="str">
        <f>"526365"</f>
        <v>526365</v>
      </c>
      <c r="B4218" s="2" t="str">
        <f>"CABOS ALUMÍNIO PEGA STANDARD 80CM (COR MARROM CÓD. 49802)"</f>
        <v>CABOS ALUMÍNIO PEGA STANDARD 80CM (COR MARROM CÓD. 49802)</v>
      </c>
      <c r="C4218" s="2" t="str">
        <f t="shared" si="173"/>
        <v>UN</v>
      </c>
      <c r="D4218" s="7">
        <v>400</v>
      </c>
      <c r="E4218" s="3">
        <v>4</v>
      </c>
      <c r="F4218" s="3">
        <v>4</v>
      </c>
      <c r="G4218" t="s">
        <v>514</v>
      </c>
    </row>
    <row r="4219" spans="1:7" x14ac:dyDescent="0.25">
      <c r="A4219" s="1" t="str">
        <f>"523346"</f>
        <v>523346</v>
      </c>
      <c r="B4219" s="2" t="str">
        <f>"CABOS ALUMÍNIO PEGA STANDARD 80CM (COR VERDE CÓD. 49802)"</f>
        <v>CABOS ALUMÍNIO PEGA STANDARD 80CM (COR VERDE CÓD. 49802)</v>
      </c>
      <c r="C4219" s="2" t="str">
        <f t="shared" si="173"/>
        <v>UN</v>
      </c>
      <c r="D4219" s="7">
        <v>400</v>
      </c>
      <c r="E4219" s="3">
        <v>4</v>
      </c>
      <c r="F4219" s="3">
        <v>4</v>
      </c>
      <c r="G4219" t="s">
        <v>513</v>
      </c>
    </row>
    <row r="4220" spans="1:7" x14ac:dyDescent="0.25">
      <c r="A4220" s="1" t="str">
        <f>"521064"</f>
        <v>521064</v>
      </c>
      <c r="B4220" s="2" t="str">
        <f>"CABOS DE ALUMÍNIO COM PEGA STANDARD (COR AMARELO CÓD. 15032)"</f>
        <v>CABOS DE ALUMÍNIO COM PEGA STANDARD (COR AMARELO CÓD. 15032)</v>
      </c>
      <c r="C4220" s="2" t="str">
        <f t="shared" si="173"/>
        <v>UN</v>
      </c>
      <c r="D4220" s="7">
        <v>400</v>
      </c>
      <c r="E4220" s="3">
        <v>4</v>
      </c>
      <c r="F4220" s="3">
        <v>4</v>
      </c>
      <c r="G4220" t="s">
        <v>513</v>
      </c>
    </row>
    <row r="4221" spans="1:7" x14ac:dyDescent="0.25">
      <c r="A4221" s="1" t="str">
        <f>"521063"</f>
        <v>521063</v>
      </c>
      <c r="B4221" s="2" t="str">
        <f>"CABOS DE ALUMÍNIO COM PEGA STANDARD (COR AZUL CÓD. 15032)"</f>
        <v>CABOS DE ALUMÍNIO COM PEGA STANDARD (COR AZUL CÓD. 15032)</v>
      </c>
      <c r="C4221" s="2" t="str">
        <f t="shared" si="173"/>
        <v>UN</v>
      </c>
      <c r="D4221" s="7">
        <v>400</v>
      </c>
      <c r="E4221" s="3">
        <v>4</v>
      </c>
      <c r="F4221" s="3">
        <v>4</v>
      </c>
      <c r="G4221" t="s">
        <v>513</v>
      </c>
    </row>
    <row r="4222" spans="1:7" x14ac:dyDescent="0.25">
      <c r="A4222" s="1" t="str">
        <f>"527317"</f>
        <v>527317</v>
      </c>
      <c r="B4222" s="2" t="str">
        <f>"CABOS DE ALUMÍNIO COM PEGA STANDARD (COR AZUL CÓD. 50321)"</f>
        <v>CABOS DE ALUMÍNIO COM PEGA STANDARD (COR AZUL CÓD. 50321)</v>
      </c>
      <c r="C4222" s="2" t="str">
        <f t="shared" si="173"/>
        <v>UN</v>
      </c>
      <c r="D4222" s="7">
        <v>400</v>
      </c>
      <c r="E4222" s="3">
        <v>4</v>
      </c>
      <c r="F4222" s="3">
        <v>4</v>
      </c>
      <c r="G4222" t="s">
        <v>512</v>
      </c>
    </row>
    <row r="4223" spans="1:7" x14ac:dyDescent="0.25">
      <c r="A4223" s="1" t="str">
        <f>"521256"</f>
        <v>521256</v>
      </c>
      <c r="B4223" s="2" t="str">
        <f>"CABOS DE ALUMÍNIO COM PEGA STANDARD (COR LARANJA CÓD. 15032)"</f>
        <v>CABOS DE ALUMÍNIO COM PEGA STANDARD (COR LARANJA CÓD. 15032)</v>
      </c>
      <c r="C4223" s="2" t="str">
        <f t="shared" si="173"/>
        <v>UN</v>
      </c>
      <c r="D4223" s="7">
        <v>400</v>
      </c>
      <c r="E4223" s="3">
        <v>4</v>
      </c>
      <c r="F4223" s="3">
        <v>4</v>
      </c>
      <c r="G4223" t="s">
        <v>513</v>
      </c>
    </row>
    <row r="4224" spans="1:7" x14ac:dyDescent="0.25">
      <c r="A4224" s="1" t="str">
        <f>"521263"</f>
        <v>521263</v>
      </c>
      <c r="B4224" s="2" t="str">
        <f>"CABOS DE ALUMÍNIO COM PEGA STANDARD (COR MARROM CÓD. 15032)"</f>
        <v>CABOS DE ALUMÍNIO COM PEGA STANDARD (COR MARROM CÓD. 15032)</v>
      </c>
      <c r="C4224" s="2" t="str">
        <f t="shared" si="173"/>
        <v>UN</v>
      </c>
      <c r="D4224" s="7">
        <v>400</v>
      </c>
      <c r="E4224" s="3">
        <v>4</v>
      </c>
      <c r="F4224" s="3">
        <v>4</v>
      </c>
      <c r="G4224" t="s">
        <v>514</v>
      </c>
    </row>
    <row r="4225" spans="1:7" x14ac:dyDescent="0.25">
      <c r="A4225" s="1" t="str">
        <f>"521065"</f>
        <v>521065</v>
      </c>
      <c r="B4225" s="2" t="str">
        <f>"CABOS DE ALUMÍNIO COM PEGA STANDARD (COR ROXO CÓD. 15032)"</f>
        <v>CABOS DE ALUMÍNIO COM PEGA STANDARD (COR ROXO CÓD. 15032)</v>
      </c>
      <c r="C4225" s="2" t="str">
        <f t="shared" si="173"/>
        <v>UN</v>
      </c>
      <c r="D4225" s="7">
        <v>400</v>
      </c>
      <c r="E4225" s="3">
        <v>4</v>
      </c>
      <c r="F4225" s="3">
        <v>4</v>
      </c>
      <c r="G4225" t="s">
        <v>515</v>
      </c>
    </row>
    <row r="4226" spans="1:7" x14ac:dyDescent="0.25">
      <c r="A4226" s="1" t="str">
        <f>"521248"</f>
        <v>521248</v>
      </c>
      <c r="B4226" s="2" t="str">
        <f>"CABOS DE ALUMÍNIO COM PEGA STANDARD (COR VERDE CÓD. 15032)"</f>
        <v>CABOS DE ALUMÍNIO COM PEGA STANDARD (COR VERDE CÓD. 15032)</v>
      </c>
      <c r="C4226" s="2" t="str">
        <f t="shared" si="173"/>
        <v>UN</v>
      </c>
      <c r="D4226" s="7">
        <v>400</v>
      </c>
      <c r="E4226" s="3">
        <v>4</v>
      </c>
      <c r="F4226" s="3">
        <v>4</v>
      </c>
      <c r="G4226" t="s">
        <v>512</v>
      </c>
    </row>
    <row r="4227" spans="1:7" x14ac:dyDescent="0.25">
      <c r="A4227" s="1" t="str">
        <f>"527821"</f>
        <v>527821</v>
      </c>
      <c r="B4227" s="2" t="str">
        <f>"CABOS DE ALUMÍNIO COM PEGA STANDARD (COR VERDE CÓD. 49812)"</f>
        <v>CABOS DE ALUMÍNIO COM PEGA STANDARD (COR VERDE CÓD. 49812)</v>
      </c>
      <c r="C4227" s="2" t="str">
        <f t="shared" si="173"/>
        <v>UN</v>
      </c>
      <c r="D4227" s="7">
        <v>400</v>
      </c>
      <c r="E4227" s="3">
        <v>4</v>
      </c>
      <c r="F4227" s="3">
        <v>4</v>
      </c>
      <c r="G4227" t="s">
        <v>516</v>
      </c>
    </row>
    <row r="4228" spans="1:7" x14ac:dyDescent="0.25">
      <c r="A4228" s="1" t="str">
        <f>"521252"</f>
        <v>521252</v>
      </c>
      <c r="B4228" s="2" t="str">
        <f>"CABOS DE ALUMÍNIO COM PEGA STANDARD (COR VERMELHO CÓD.15032)"</f>
        <v>CABOS DE ALUMÍNIO COM PEGA STANDARD (COR VERMELHO CÓD.15032)</v>
      </c>
      <c r="C4228" s="2" t="str">
        <f t="shared" si="173"/>
        <v>UN</v>
      </c>
      <c r="D4228" s="7">
        <v>400</v>
      </c>
      <c r="E4228" s="3">
        <v>4</v>
      </c>
      <c r="F4228" s="3">
        <v>4</v>
      </c>
      <c r="G4228" t="s">
        <v>515</v>
      </c>
    </row>
    <row r="4229" spans="1:7" x14ac:dyDescent="0.25">
      <c r="A4229" s="1" t="str">
        <f>"523596"</f>
        <v>523596</v>
      </c>
      <c r="B4229" s="2" t="str">
        <f>"CABOS EM ALUMINIO COM PEGA STANDARD (COR BRANCO CÓD. 15032)"</f>
        <v>CABOS EM ALUMINIO COM PEGA STANDARD (COR BRANCO CÓD. 15032)</v>
      </c>
      <c r="C4229" s="2" t="str">
        <f t="shared" si="173"/>
        <v>UN</v>
      </c>
      <c r="D4229" s="7">
        <v>704</v>
      </c>
      <c r="E4229" s="3">
        <v>9</v>
      </c>
      <c r="F4229" s="3">
        <v>9</v>
      </c>
      <c r="G4229" t="s">
        <v>514</v>
      </c>
    </row>
    <row r="4230" spans="1:7" x14ac:dyDescent="0.25">
      <c r="A4230" s="1" t="str">
        <f>"527273"</f>
        <v>527273</v>
      </c>
      <c r="B4230" s="2" t="str">
        <f>"CABOS EXTENSÍVEIS (COR MARROM CÓD. 49852)"</f>
        <v>CABOS EXTENSÍVEIS (COR MARROM CÓD. 49852)</v>
      </c>
      <c r="C4230" s="2" t="str">
        <f t="shared" si="173"/>
        <v>UN</v>
      </c>
      <c r="D4230" s="7">
        <v>400</v>
      </c>
      <c r="E4230" s="3">
        <v>4</v>
      </c>
      <c r="F4230" s="3">
        <v>4</v>
      </c>
      <c r="G4230" t="s">
        <v>512</v>
      </c>
    </row>
    <row r="4231" spans="1:7" x14ac:dyDescent="0.25">
      <c r="A4231" s="1" t="str">
        <f>"522982"</f>
        <v>522982</v>
      </c>
      <c r="B4231" s="2" t="str">
        <f>"CABOS EXTENSÍVEIS PASSAGEM DE ÁGUA (COR AMARELO CÓD 49825)"</f>
        <v>CABOS EXTENSÍVEIS PASSAGEM DE ÁGUA (COR AMARELO CÓD 49825)</v>
      </c>
      <c r="C4231" s="2" t="str">
        <f t="shared" si="173"/>
        <v>UN</v>
      </c>
      <c r="D4231" s="7">
        <v>400</v>
      </c>
      <c r="E4231" s="3">
        <v>4</v>
      </c>
      <c r="F4231" s="3">
        <v>4</v>
      </c>
      <c r="G4231" t="s">
        <v>513</v>
      </c>
    </row>
    <row r="4232" spans="1:7" x14ac:dyDescent="0.25">
      <c r="A4232" s="1" t="str">
        <f>"522981"</f>
        <v>522981</v>
      </c>
      <c r="B4232" s="2" t="str">
        <f>"CABOS EXTENSÍVEIS PASSAGEM DE ÁGUA (COR AZUL CÓD.49825)"</f>
        <v>CABOS EXTENSÍVEIS PASSAGEM DE ÁGUA (COR AZUL CÓD.49825)</v>
      </c>
      <c r="C4232" s="2" t="str">
        <f t="shared" si="173"/>
        <v>UN</v>
      </c>
      <c r="D4232" s="7">
        <v>400</v>
      </c>
      <c r="E4232" s="3">
        <v>4</v>
      </c>
      <c r="F4232" s="3">
        <v>4</v>
      </c>
      <c r="G4232" t="s">
        <v>514</v>
      </c>
    </row>
    <row r="4233" spans="1:7" x14ac:dyDescent="0.25">
      <c r="A4233" s="1" t="str">
        <f>"522983"</f>
        <v>522983</v>
      </c>
      <c r="B4233" s="2" t="str">
        <f>"CABOS EXTENSÍVEIS PASSAGEM DE ÁGUA (COR VERDE CÓD. 49825)"</f>
        <v>CABOS EXTENSÍVEIS PASSAGEM DE ÁGUA (COR VERDE CÓD. 49825)</v>
      </c>
      <c r="C4233" s="2" t="str">
        <f t="shared" si="173"/>
        <v>UN</v>
      </c>
      <c r="D4233" s="7">
        <v>400</v>
      </c>
      <c r="E4233" s="3">
        <v>4</v>
      </c>
      <c r="F4233" s="3">
        <v>4</v>
      </c>
      <c r="G4233" t="s">
        <v>514</v>
      </c>
    </row>
    <row r="4234" spans="1:7" x14ac:dyDescent="0.25">
      <c r="A4234" s="1" t="str">
        <f>"515037"</f>
        <v>515037</v>
      </c>
      <c r="B4234" s="2" t="str">
        <f>"CAÇAMBA PARA TINTA"</f>
        <v>CAÇAMBA PARA TINTA</v>
      </c>
      <c r="C4234" s="2" t="str">
        <f t="shared" si="173"/>
        <v>UN</v>
      </c>
      <c r="D4234" s="7">
        <v>803</v>
      </c>
      <c r="E4234" s="3">
        <v>4</v>
      </c>
      <c r="F4234" s="3">
        <v>4</v>
      </c>
      <c r="G4234" t="s">
        <v>512</v>
      </c>
    </row>
    <row r="4235" spans="1:7" x14ac:dyDescent="0.25">
      <c r="A4235" s="1" t="str">
        <f>"527524"</f>
        <v>527524</v>
      </c>
      <c r="B4235" s="2" t="str">
        <f>"CAÇAPA NYLON P/ CENTRIFUGA"</f>
        <v>CAÇAPA NYLON P/ CENTRIFUGA</v>
      </c>
      <c r="C4235" s="2" t="str">
        <f>"PC"</f>
        <v>PC</v>
      </c>
      <c r="D4235" s="7">
        <v>406</v>
      </c>
      <c r="E4235" s="3">
        <v>4</v>
      </c>
      <c r="F4235" s="3">
        <v>4</v>
      </c>
      <c r="G4235" t="s">
        <v>513</v>
      </c>
    </row>
    <row r="4236" spans="1:7" x14ac:dyDescent="0.25">
      <c r="A4236" s="1" t="str">
        <f>"7126"</f>
        <v>7126</v>
      </c>
      <c r="B4236" s="2" t="str">
        <f>"CACAU ALCALINO"</f>
        <v>CACAU ALCALINO</v>
      </c>
      <c r="C4236" s="2" t="str">
        <f>"KG"</f>
        <v>KG</v>
      </c>
      <c r="D4236" s="7">
        <v>24</v>
      </c>
      <c r="E4236" s="3">
        <v>2</v>
      </c>
      <c r="F4236" s="3">
        <v>2</v>
      </c>
      <c r="G4236" t="s">
        <v>514</v>
      </c>
    </row>
    <row r="4237" spans="1:7" x14ac:dyDescent="0.25">
      <c r="A4237" s="1" t="str">
        <f>"526319"</f>
        <v>526319</v>
      </c>
      <c r="B4237" s="2" t="str">
        <f>"CACHEPÔ"</f>
        <v>CACHEPÔ</v>
      </c>
      <c r="C4237" s="2" t="str">
        <f t="shared" ref="C4237:C4274" si="174">"UN"</f>
        <v>UN</v>
      </c>
      <c r="D4237" s="7">
        <v>99999</v>
      </c>
      <c r="E4237" s="3">
        <v>99</v>
      </c>
      <c r="F4237" s="3">
        <v>99</v>
      </c>
      <c r="G4237" t="s">
        <v>514</v>
      </c>
    </row>
    <row r="4238" spans="1:7" x14ac:dyDescent="0.25">
      <c r="A4238" s="1" t="str">
        <f>"516489"</f>
        <v>516489</v>
      </c>
      <c r="B4238" s="2" t="str">
        <f>"CACHIMBO PVC PRETO 2"""</f>
        <v>CACHIMBO PVC PRETO 2"</v>
      </c>
      <c r="C4238" s="2" t="str">
        <f t="shared" si="174"/>
        <v>UN</v>
      </c>
      <c r="D4238" s="7">
        <v>811</v>
      </c>
      <c r="E4238" s="3">
        <v>8</v>
      </c>
      <c r="F4238" s="3">
        <v>8</v>
      </c>
      <c r="G4238" t="s">
        <v>514</v>
      </c>
    </row>
    <row r="4239" spans="1:7" x14ac:dyDescent="0.25">
      <c r="A4239" s="1" t="str">
        <f>"523382"</f>
        <v>523382</v>
      </c>
      <c r="B4239" s="2" t="str">
        <f>"CADASTRADOR BIOMETRICO SEAGEM"</f>
        <v>CADASTRADOR BIOMETRICO SEAGEM</v>
      </c>
      <c r="C4239" s="2" t="str">
        <f t="shared" si="174"/>
        <v>UN</v>
      </c>
      <c r="D4239" s="7">
        <v>99999</v>
      </c>
      <c r="E4239" s="3">
        <v>99</v>
      </c>
      <c r="F4239" s="3">
        <v>99</v>
      </c>
      <c r="G4239" t="s">
        <v>513</v>
      </c>
    </row>
    <row r="4240" spans="1:7" x14ac:dyDescent="0.25">
      <c r="A4240" s="1" t="str">
        <f>"504345"</f>
        <v>504345</v>
      </c>
      <c r="B4240" s="2" t="str">
        <f>"CADEADO - 20MM (PADO)"</f>
        <v>CADEADO - 20MM (PADO)</v>
      </c>
      <c r="C4240" s="2" t="str">
        <f t="shared" si="174"/>
        <v>UN</v>
      </c>
      <c r="D4240" s="7">
        <v>403</v>
      </c>
      <c r="E4240" s="3">
        <v>4</v>
      </c>
      <c r="F4240" s="3">
        <v>4</v>
      </c>
      <c r="G4240" t="s">
        <v>512</v>
      </c>
    </row>
    <row r="4241" spans="1:7" x14ac:dyDescent="0.25">
      <c r="A4241" s="1" t="str">
        <f>"500393"</f>
        <v>500393</v>
      </c>
      <c r="B4241" s="2" t="str">
        <f>"CADEADO - 25MM (PADO)"</f>
        <v>CADEADO - 25MM (PADO)</v>
      </c>
      <c r="C4241" s="2" t="str">
        <f t="shared" si="174"/>
        <v>UN</v>
      </c>
      <c r="D4241" s="7">
        <v>403</v>
      </c>
      <c r="E4241" s="3">
        <v>4</v>
      </c>
      <c r="F4241" s="3">
        <v>4</v>
      </c>
      <c r="G4241" t="s">
        <v>513</v>
      </c>
    </row>
    <row r="4242" spans="1:7" x14ac:dyDescent="0.25">
      <c r="A4242" s="1" t="str">
        <f>"523576"</f>
        <v>523576</v>
      </c>
      <c r="B4242" s="2" t="str">
        <f>"CADEADO - 25MM (PADO) COM SENHA SEGREDO (PRETO)"</f>
        <v>CADEADO - 25MM (PADO) COM SENHA SEGREDO (PRETO)</v>
      </c>
      <c r="C4242" s="2" t="str">
        <f t="shared" si="174"/>
        <v>UN</v>
      </c>
      <c r="D4242" s="7">
        <v>403</v>
      </c>
      <c r="E4242" s="3">
        <v>4</v>
      </c>
      <c r="F4242" s="3">
        <v>4</v>
      </c>
      <c r="G4242" t="s">
        <v>514</v>
      </c>
    </row>
    <row r="4243" spans="1:7" x14ac:dyDescent="0.25">
      <c r="A4243" s="1" t="str">
        <f>"500330"</f>
        <v>500330</v>
      </c>
      <c r="B4243" s="2" t="str">
        <f>"CADEADO - 30MM (PADO)"</f>
        <v>CADEADO - 30MM (PADO)</v>
      </c>
      <c r="C4243" s="2" t="str">
        <f t="shared" si="174"/>
        <v>UN</v>
      </c>
      <c r="D4243" s="7">
        <v>403</v>
      </c>
      <c r="E4243" s="3">
        <v>4</v>
      </c>
      <c r="F4243" s="3">
        <v>4</v>
      </c>
      <c r="G4243" t="s">
        <v>514</v>
      </c>
    </row>
    <row r="4244" spans="1:7" x14ac:dyDescent="0.25">
      <c r="A4244" s="1" t="str">
        <f>"503475"</f>
        <v>503475</v>
      </c>
      <c r="B4244" s="2" t="str">
        <f>"CADEADO - 35MM (PADO)"</f>
        <v>CADEADO - 35MM (PADO)</v>
      </c>
      <c r="C4244" s="2" t="str">
        <f t="shared" si="174"/>
        <v>UN</v>
      </c>
      <c r="D4244" s="7">
        <v>403</v>
      </c>
      <c r="E4244" s="3">
        <v>4</v>
      </c>
      <c r="F4244" s="3">
        <v>4</v>
      </c>
      <c r="G4244" t="s">
        <v>514</v>
      </c>
    </row>
    <row r="4245" spans="1:7" x14ac:dyDescent="0.25">
      <c r="A4245" s="1" t="str">
        <f>"513915"</f>
        <v>513915</v>
      </c>
      <c r="B4245" s="2" t="str">
        <f>"CADEADO - 40MM (PADO)"</f>
        <v>CADEADO - 40MM (PADO)</v>
      </c>
      <c r="C4245" s="2" t="str">
        <f t="shared" si="174"/>
        <v>UN</v>
      </c>
      <c r="D4245" s="7">
        <v>917</v>
      </c>
      <c r="E4245" s="3">
        <v>4</v>
      </c>
      <c r="F4245" s="3">
        <v>4</v>
      </c>
      <c r="G4245" t="s">
        <v>513</v>
      </c>
    </row>
    <row r="4246" spans="1:7" x14ac:dyDescent="0.25">
      <c r="A4246" s="1" t="str">
        <f>"500034"</f>
        <v>500034</v>
      </c>
      <c r="B4246" s="2" t="str">
        <f>"CADEADO - 45MM (PADO)"</f>
        <v>CADEADO - 45MM (PADO)</v>
      </c>
      <c r="C4246" s="2" t="str">
        <f t="shared" si="174"/>
        <v>UN</v>
      </c>
      <c r="D4246" s="7">
        <v>403</v>
      </c>
      <c r="E4246" s="3">
        <v>4</v>
      </c>
      <c r="F4246" s="3">
        <v>4</v>
      </c>
      <c r="G4246" t="s">
        <v>513</v>
      </c>
    </row>
    <row r="4247" spans="1:7" x14ac:dyDescent="0.25">
      <c r="A4247" s="1" t="str">
        <f>"501338"</f>
        <v>501338</v>
      </c>
      <c r="B4247" s="2" t="str">
        <f>"CADEADO - 50MM (PADO)"</f>
        <v>CADEADO - 50MM (PADO)</v>
      </c>
      <c r="C4247" s="2" t="str">
        <f t="shared" si="174"/>
        <v>UN</v>
      </c>
      <c r="D4247" s="7">
        <v>403</v>
      </c>
      <c r="E4247" s="3">
        <v>4</v>
      </c>
      <c r="F4247" s="3">
        <v>4</v>
      </c>
      <c r="G4247" t="s">
        <v>513</v>
      </c>
    </row>
    <row r="4248" spans="1:7" x14ac:dyDescent="0.25">
      <c r="A4248" s="1" t="str">
        <f>"519412"</f>
        <v>519412</v>
      </c>
      <c r="B4248" s="2" t="str">
        <f>"CADEADO - 60MM (PADO)"</f>
        <v>CADEADO - 60MM (PADO)</v>
      </c>
      <c r="C4248" s="2" t="str">
        <f t="shared" si="174"/>
        <v>UN</v>
      </c>
      <c r="D4248" s="7">
        <v>403</v>
      </c>
      <c r="E4248" s="3">
        <v>4</v>
      </c>
      <c r="F4248" s="3">
        <v>4</v>
      </c>
      <c r="G4248" t="s">
        <v>512</v>
      </c>
    </row>
    <row r="4249" spans="1:7" x14ac:dyDescent="0.25">
      <c r="A4249" s="1" t="str">
        <f>"527762"</f>
        <v>527762</v>
      </c>
      <c r="B4249" s="2" t="str">
        <f>"CADEADO C/ SEGREDO NILKO 0320283 AZUL"</f>
        <v>CADEADO C/ SEGREDO NILKO 0320283 AZUL</v>
      </c>
      <c r="C4249" s="2" t="str">
        <f t="shared" si="174"/>
        <v>UN</v>
      </c>
      <c r="D4249" s="7">
        <v>403</v>
      </c>
      <c r="E4249" s="3">
        <v>4</v>
      </c>
      <c r="F4249" s="3">
        <v>4</v>
      </c>
      <c r="G4249" t="s">
        <v>513</v>
      </c>
    </row>
    <row r="4250" spans="1:7" x14ac:dyDescent="0.25">
      <c r="A4250" s="1" t="str">
        <f>"526382"</f>
        <v>526382</v>
      </c>
      <c r="B4250" s="2" t="str">
        <f>"CADEADO PADO 30MM AMARELO"</f>
        <v>CADEADO PADO 30MM AMARELO</v>
      </c>
      <c r="C4250" s="2" t="str">
        <f t="shared" si="174"/>
        <v>UN</v>
      </c>
      <c r="D4250" s="7">
        <v>817</v>
      </c>
      <c r="E4250" s="3">
        <v>4</v>
      </c>
      <c r="F4250" s="3">
        <v>4</v>
      </c>
      <c r="G4250" t="s">
        <v>514</v>
      </c>
    </row>
    <row r="4251" spans="1:7" x14ac:dyDescent="0.25">
      <c r="A4251" s="1" t="str">
        <f>"526381"</f>
        <v>526381</v>
      </c>
      <c r="B4251" s="2" t="str">
        <f>"CADEADO PADO 30MM AZUL"</f>
        <v>CADEADO PADO 30MM AZUL</v>
      </c>
      <c r="C4251" s="2" t="str">
        <f t="shared" si="174"/>
        <v>UN</v>
      </c>
      <c r="D4251" s="7">
        <v>817</v>
      </c>
      <c r="E4251" s="3">
        <v>4</v>
      </c>
      <c r="F4251" s="3">
        <v>4</v>
      </c>
      <c r="G4251" t="s">
        <v>515</v>
      </c>
    </row>
    <row r="4252" spans="1:7" x14ac:dyDescent="0.25">
      <c r="A4252" s="1" t="str">
        <f>"527412"</f>
        <v>527412</v>
      </c>
      <c r="B4252" s="2" t="str">
        <f>"CADEADO PADO 30MM PRETO"</f>
        <v>CADEADO PADO 30MM PRETO</v>
      </c>
      <c r="C4252" s="2" t="str">
        <f t="shared" si="174"/>
        <v>UN</v>
      </c>
      <c r="D4252" s="7">
        <v>817</v>
      </c>
      <c r="E4252" s="3">
        <v>4</v>
      </c>
      <c r="F4252" s="3">
        <v>4</v>
      </c>
      <c r="G4252" t="s">
        <v>512</v>
      </c>
    </row>
    <row r="4253" spans="1:7" x14ac:dyDescent="0.25">
      <c r="A4253" s="1" t="str">
        <f>"526383"</f>
        <v>526383</v>
      </c>
      <c r="B4253" s="2" t="str">
        <f>"CADEADO PADO 30MM VERMELHO"</f>
        <v>CADEADO PADO 30MM VERMELHO</v>
      </c>
      <c r="C4253" s="2" t="str">
        <f t="shared" si="174"/>
        <v>UN</v>
      </c>
      <c r="D4253" s="7">
        <v>817</v>
      </c>
      <c r="E4253" s="3">
        <v>4</v>
      </c>
      <c r="F4253" s="3">
        <v>4</v>
      </c>
      <c r="G4253" t="s">
        <v>516</v>
      </c>
    </row>
    <row r="4254" spans="1:7" x14ac:dyDescent="0.25">
      <c r="A4254" s="1" t="str">
        <f>"520735"</f>
        <v>520735</v>
      </c>
      <c r="B4254" s="2" t="str">
        <f>"CADEADO PLAST. HASTE AÇO AM 01 CHAVE 38MM"</f>
        <v>CADEADO PLAST. HASTE AÇO AM 01 CHAVE 38MM</v>
      </c>
      <c r="C4254" s="2" t="str">
        <f t="shared" si="174"/>
        <v>UN</v>
      </c>
      <c r="D4254" s="7">
        <v>817</v>
      </c>
      <c r="E4254" s="3">
        <v>4</v>
      </c>
      <c r="F4254" s="3">
        <v>4</v>
      </c>
      <c r="G4254" t="s">
        <v>515</v>
      </c>
    </row>
    <row r="4255" spans="1:7" x14ac:dyDescent="0.25">
      <c r="A4255" s="1" t="str">
        <f>"524093"</f>
        <v>524093</v>
      </c>
      <c r="B4255" s="2" t="str">
        <f>"CADEADO PLAST. HASTE AÇO AZ 01 CHAVE 38MM"</f>
        <v>CADEADO PLAST. HASTE AÇO AZ 01 CHAVE 38MM</v>
      </c>
      <c r="C4255" s="2" t="str">
        <f t="shared" si="174"/>
        <v>UN</v>
      </c>
      <c r="D4255" s="7">
        <v>817</v>
      </c>
      <c r="E4255" s="3">
        <v>4</v>
      </c>
      <c r="F4255" s="3">
        <v>4</v>
      </c>
      <c r="G4255" t="s">
        <v>514</v>
      </c>
    </row>
    <row r="4256" spans="1:7" x14ac:dyDescent="0.25">
      <c r="A4256" s="1" t="str">
        <f>"522085"</f>
        <v>522085</v>
      </c>
      <c r="B4256" s="2" t="str">
        <f>"CADEADO PLAST. HASTE AÇO PT 01 CHAVE 38MM"</f>
        <v>CADEADO PLAST. HASTE AÇO PT 01 CHAVE 38MM</v>
      </c>
      <c r="C4256" s="2" t="str">
        <f t="shared" si="174"/>
        <v>UN</v>
      </c>
      <c r="D4256" s="7">
        <v>817</v>
      </c>
      <c r="E4256" s="3">
        <v>4</v>
      </c>
      <c r="F4256" s="3">
        <v>4</v>
      </c>
      <c r="G4256" t="s">
        <v>512</v>
      </c>
    </row>
    <row r="4257" spans="1:7" x14ac:dyDescent="0.25">
      <c r="A4257" s="1" t="str">
        <f>"520730"</f>
        <v>520730</v>
      </c>
      <c r="B4257" s="2" t="str">
        <f>"CADEADO PLAST. HASTE AÇO VM 01 CHAVE 38MM"</f>
        <v>CADEADO PLAST. HASTE AÇO VM 01 CHAVE 38MM</v>
      </c>
      <c r="C4257" s="2" t="str">
        <f t="shared" si="174"/>
        <v>UN</v>
      </c>
      <c r="D4257" s="7">
        <v>817</v>
      </c>
      <c r="E4257" s="3">
        <v>4</v>
      </c>
      <c r="F4257" s="3">
        <v>4</v>
      </c>
      <c r="G4257" t="s">
        <v>513</v>
      </c>
    </row>
    <row r="4258" spans="1:7" x14ac:dyDescent="0.25">
      <c r="A4258" s="1" t="str">
        <f>"517245"</f>
        <v>517245</v>
      </c>
      <c r="B4258" s="2" t="str">
        <f>"CADEIRA (AREA DE DESCANSO)"</f>
        <v>CADEIRA (AREA DE DESCANSO)</v>
      </c>
      <c r="C4258" s="2" t="str">
        <f t="shared" si="174"/>
        <v>UN</v>
      </c>
      <c r="D4258" s="7">
        <v>1200</v>
      </c>
      <c r="E4258" s="3">
        <v>4</v>
      </c>
      <c r="F4258" s="3">
        <v>4</v>
      </c>
      <c r="G4258" t="s">
        <v>514</v>
      </c>
    </row>
    <row r="4259" spans="1:7" x14ac:dyDescent="0.25">
      <c r="A4259" s="1" t="str">
        <f>"509130"</f>
        <v>509130</v>
      </c>
      <c r="B4259" s="2" t="str">
        <f>"CADEIRA COMPUTADOR FIXA CADEFLEX"</f>
        <v>CADEIRA COMPUTADOR FIXA CADEFLEX</v>
      </c>
      <c r="C4259" s="2" t="str">
        <f t="shared" si="174"/>
        <v>UN</v>
      </c>
      <c r="D4259" s="7">
        <v>401</v>
      </c>
      <c r="E4259" s="3">
        <v>4</v>
      </c>
      <c r="F4259" s="3">
        <v>4</v>
      </c>
      <c r="G4259" t="s">
        <v>514</v>
      </c>
    </row>
    <row r="4260" spans="1:7" x14ac:dyDescent="0.25">
      <c r="A4260" s="1" t="str">
        <f>"517633"</f>
        <v>517633</v>
      </c>
      <c r="B4260" s="2" t="str">
        <f>"CADEIRA DOBRAVEL DE MADEIRA - IMBUIA"</f>
        <v>CADEIRA DOBRAVEL DE MADEIRA - IMBUIA</v>
      </c>
      <c r="C4260" s="2" t="str">
        <f t="shared" si="174"/>
        <v>UN</v>
      </c>
      <c r="D4260" s="7">
        <v>1200</v>
      </c>
      <c r="E4260" s="3">
        <v>10</v>
      </c>
      <c r="F4260" s="3">
        <v>10</v>
      </c>
      <c r="G4260" t="s">
        <v>512</v>
      </c>
    </row>
    <row r="4261" spans="1:7" x14ac:dyDescent="0.25">
      <c r="A4261" s="1" t="str">
        <f>"517246"</f>
        <v>517246</v>
      </c>
      <c r="B4261" s="2" t="str">
        <f>"CADEIRA EXECUTIVA MODELO CAIXA"</f>
        <v>CADEIRA EXECUTIVA MODELO CAIXA</v>
      </c>
      <c r="C4261" s="2" t="str">
        <f t="shared" si="174"/>
        <v>UN</v>
      </c>
      <c r="D4261" s="7">
        <v>1200</v>
      </c>
      <c r="E4261" s="3">
        <v>4</v>
      </c>
      <c r="F4261" s="3">
        <v>4</v>
      </c>
      <c r="G4261" t="s">
        <v>513</v>
      </c>
    </row>
    <row r="4262" spans="1:7" x14ac:dyDescent="0.25">
      <c r="A4262" s="1" t="str">
        <f>"515338"</f>
        <v>515338</v>
      </c>
      <c r="B4262" s="2" t="str">
        <f>"CADEIRA EXECUTIVO GIRATORIO REVESTIMENTO EM TECIDO"</f>
        <v>CADEIRA EXECUTIVO GIRATORIO REVESTIMENTO EM TECIDO</v>
      </c>
      <c r="C4262" s="2" t="str">
        <f t="shared" si="174"/>
        <v>UN</v>
      </c>
      <c r="D4262" s="7">
        <v>1200</v>
      </c>
      <c r="E4262" s="3">
        <v>13</v>
      </c>
      <c r="F4262" s="3">
        <v>13</v>
      </c>
      <c r="G4262" t="s">
        <v>514</v>
      </c>
    </row>
    <row r="4263" spans="1:7" x14ac:dyDescent="0.25">
      <c r="A4263" s="1" t="str">
        <f>"512974"</f>
        <v>512974</v>
      </c>
      <c r="B4263" s="2" t="str">
        <f>"CADEIRA GIR PRES COST BASE PRETA BRAÇO FIXO CORSA PRETO"</f>
        <v>CADEIRA GIR PRES COST BASE PRETA BRAÇO FIXO CORSA PRETO</v>
      </c>
      <c r="C4263" s="2" t="str">
        <f t="shared" si="174"/>
        <v>UN</v>
      </c>
      <c r="D4263" s="7">
        <v>401</v>
      </c>
      <c r="E4263" s="3">
        <v>4</v>
      </c>
      <c r="F4263" s="3">
        <v>4</v>
      </c>
      <c r="G4263" t="s">
        <v>514</v>
      </c>
    </row>
    <row r="4264" spans="1:7" x14ac:dyDescent="0.25">
      <c r="A4264" s="1" t="str">
        <f>"522374"</f>
        <v>522374</v>
      </c>
      <c r="B4264" s="2" t="str">
        <f>"CADEIRA ISO FIXA EST PRETA ASS E ENC POLIPROPILENO"</f>
        <v>CADEIRA ISO FIXA EST PRETA ASS E ENC POLIPROPILENO</v>
      </c>
      <c r="C4264" s="2" t="str">
        <f t="shared" si="174"/>
        <v>UN</v>
      </c>
      <c r="D4264" s="7">
        <v>1200</v>
      </c>
      <c r="E4264" s="3">
        <v>4</v>
      </c>
      <c r="F4264" s="3">
        <v>4</v>
      </c>
      <c r="G4264" t="s">
        <v>514</v>
      </c>
    </row>
    <row r="4265" spans="1:7" x14ac:dyDescent="0.25">
      <c r="A4265" s="1" t="str">
        <f>"511898"</f>
        <v>511898</v>
      </c>
      <c r="B4265" s="2" t="str">
        <f>"CADEIRA LUX AZUL"</f>
        <v>CADEIRA LUX AZUL</v>
      </c>
      <c r="C4265" s="2" t="str">
        <f t="shared" si="174"/>
        <v>UN</v>
      </c>
      <c r="D4265" s="7">
        <v>1200</v>
      </c>
      <c r="E4265" s="3">
        <v>13</v>
      </c>
      <c r="F4265" s="3">
        <v>13</v>
      </c>
      <c r="G4265" t="s">
        <v>513</v>
      </c>
    </row>
    <row r="4266" spans="1:7" x14ac:dyDescent="0.25">
      <c r="A4266" s="1" t="str">
        <f>"511899"</f>
        <v>511899</v>
      </c>
      <c r="B4266" s="2" t="str">
        <f>"CADEIRA LUX RET AZUL"</f>
        <v>CADEIRA LUX RET AZUL</v>
      </c>
      <c r="C4266" s="2" t="str">
        <f t="shared" si="174"/>
        <v>UN</v>
      </c>
      <c r="D4266" s="7">
        <v>1200</v>
      </c>
      <c r="E4266" s="3">
        <v>13</v>
      </c>
      <c r="F4266" s="3">
        <v>13</v>
      </c>
      <c r="G4266" t="s">
        <v>512</v>
      </c>
    </row>
    <row r="4267" spans="1:7" x14ac:dyDescent="0.25">
      <c r="A4267" s="1" t="str">
        <f>"509501"</f>
        <v>509501</v>
      </c>
      <c r="B4267" s="2" t="str">
        <f>"CADEIRA P/ SECRETARIA"</f>
        <v>CADEIRA P/ SECRETARIA</v>
      </c>
      <c r="C4267" s="2" t="str">
        <f t="shared" si="174"/>
        <v>UN</v>
      </c>
      <c r="D4267" s="7">
        <v>1200</v>
      </c>
      <c r="E4267" s="3">
        <v>13</v>
      </c>
      <c r="F4267" s="3">
        <v>13</v>
      </c>
      <c r="G4267" t="s">
        <v>513</v>
      </c>
    </row>
    <row r="4268" spans="1:7" x14ac:dyDescent="0.25">
      <c r="A4268" s="1" t="str">
        <f>"510499"</f>
        <v>510499</v>
      </c>
      <c r="B4268" s="2" t="str">
        <f>"CADEIRA PLASTICO BRANCA 150KG"</f>
        <v>CADEIRA PLASTICO BRANCA 150KG</v>
      </c>
      <c r="C4268" s="2" t="str">
        <f t="shared" si="174"/>
        <v>UN</v>
      </c>
      <c r="D4268" s="7">
        <v>401</v>
      </c>
      <c r="E4268" s="3">
        <v>4</v>
      </c>
      <c r="F4268" s="3">
        <v>4</v>
      </c>
      <c r="G4268" t="s">
        <v>514</v>
      </c>
    </row>
    <row r="4269" spans="1:7" x14ac:dyDescent="0.25">
      <c r="A4269" s="1" t="str">
        <f>"522375"</f>
        <v>522375</v>
      </c>
      <c r="B4269" s="2" t="str">
        <f>"CADEIRA PRESIDENTE MOD 1402"</f>
        <v>CADEIRA PRESIDENTE MOD 1402</v>
      </c>
      <c r="C4269" s="2" t="str">
        <f t="shared" si="174"/>
        <v>UN</v>
      </c>
      <c r="D4269" s="7">
        <v>1200</v>
      </c>
      <c r="E4269" s="3">
        <v>4</v>
      </c>
      <c r="F4269" s="3">
        <v>4</v>
      </c>
      <c r="G4269" t="s">
        <v>514</v>
      </c>
    </row>
    <row r="4270" spans="1:7" x14ac:dyDescent="0.25">
      <c r="A4270" s="1" t="str">
        <f>"522376"</f>
        <v>522376</v>
      </c>
      <c r="B4270" s="2" t="str">
        <f>"CADEIRA PRESIDENTE MOD 1402"</f>
        <v>CADEIRA PRESIDENTE MOD 1402</v>
      </c>
      <c r="C4270" s="2" t="str">
        <f t="shared" si="174"/>
        <v>UN</v>
      </c>
      <c r="D4270" s="7">
        <v>1200</v>
      </c>
      <c r="E4270" s="3">
        <v>4</v>
      </c>
      <c r="F4270" s="3">
        <v>4</v>
      </c>
      <c r="G4270" t="s">
        <v>514</v>
      </c>
    </row>
    <row r="4271" spans="1:7" x14ac:dyDescent="0.25">
      <c r="A4271" s="1" t="str">
        <f>"515339"</f>
        <v>515339</v>
      </c>
      <c r="B4271" s="2" t="str">
        <f>"CADEIRA RECEPÇÃO"</f>
        <v>CADEIRA RECEPÇÃO</v>
      </c>
      <c r="C4271" s="2" t="str">
        <f t="shared" si="174"/>
        <v>UN</v>
      </c>
      <c r="D4271" s="7">
        <v>1200</v>
      </c>
      <c r="E4271" s="3">
        <v>13</v>
      </c>
      <c r="F4271" s="3">
        <v>13</v>
      </c>
      <c r="G4271" t="s">
        <v>513</v>
      </c>
    </row>
    <row r="4272" spans="1:7" x14ac:dyDescent="0.25">
      <c r="A4272" s="1" t="str">
        <f>"515210"</f>
        <v>515210</v>
      </c>
      <c r="B4272" s="2" t="str">
        <f>"CADEIRA SECRETARIA COM PRANCHETA TREINAMENTO"</f>
        <v>CADEIRA SECRETARIA COM PRANCHETA TREINAMENTO</v>
      </c>
      <c r="C4272" s="2" t="str">
        <f t="shared" si="174"/>
        <v>UN</v>
      </c>
      <c r="D4272" s="7">
        <v>401</v>
      </c>
      <c r="E4272" s="3">
        <v>4</v>
      </c>
      <c r="F4272" s="3">
        <v>4</v>
      </c>
      <c r="G4272" t="s">
        <v>513</v>
      </c>
    </row>
    <row r="4273" spans="1:7" x14ac:dyDescent="0.25">
      <c r="A4273" s="1" t="str">
        <f>"522377"</f>
        <v>522377</v>
      </c>
      <c r="B4273" s="2" t="str">
        <f>"CADEIRA UNIVERSITARIA EXECUTIVA PRANCHETA CZ FIXA PRETA"</f>
        <v>CADEIRA UNIVERSITARIA EXECUTIVA PRANCHETA CZ FIXA PRETA</v>
      </c>
      <c r="C4273" s="2" t="str">
        <f t="shared" si="174"/>
        <v>UN</v>
      </c>
      <c r="D4273" s="7">
        <v>1200</v>
      </c>
      <c r="E4273" s="3">
        <v>4</v>
      </c>
      <c r="F4273" s="3">
        <v>4</v>
      </c>
      <c r="G4273" t="s">
        <v>513</v>
      </c>
    </row>
    <row r="4274" spans="1:7" x14ac:dyDescent="0.25">
      <c r="A4274" s="1" t="str">
        <f>"515333"</f>
        <v>515333</v>
      </c>
      <c r="B4274" s="2" t="str">
        <f>"CADEIRAS DE MADEIRA P/ REFEITORIO"</f>
        <v>CADEIRAS DE MADEIRA P/ REFEITORIO</v>
      </c>
      <c r="C4274" s="2" t="str">
        <f t="shared" si="174"/>
        <v>UN</v>
      </c>
      <c r="D4274" s="7">
        <v>1200</v>
      </c>
      <c r="E4274" s="3">
        <v>13</v>
      </c>
      <c r="F4274" s="3">
        <v>13</v>
      </c>
      <c r="G4274" t="s">
        <v>512</v>
      </c>
    </row>
    <row r="4275" spans="1:7" x14ac:dyDescent="0.25">
      <c r="A4275" s="1" t="str">
        <f>"527185"</f>
        <v>527185</v>
      </c>
      <c r="B4275" s="2" t="str">
        <f>"CADEIRINHA 30X30X45 #16"</f>
        <v>CADEIRINHA 30X30X45 #16</v>
      </c>
      <c r="C4275" s="2" t="str">
        <f>"PC"</f>
        <v>PC</v>
      </c>
      <c r="D4275" s="7">
        <v>806</v>
      </c>
      <c r="E4275" s="3">
        <v>10</v>
      </c>
      <c r="F4275" s="3">
        <v>10</v>
      </c>
      <c r="G4275" t="s">
        <v>513</v>
      </c>
    </row>
    <row r="4276" spans="1:7" x14ac:dyDescent="0.25">
      <c r="A4276" s="1" t="str">
        <f>"505781"</f>
        <v>505781</v>
      </c>
      <c r="B4276" s="2" t="str">
        <f>"CADEIRINHA 50X30MM CHAPA16"</f>
        <v>CADEIRINHA 50X30MM CHAPA16</v>
      </c>
      <c r="C4276" s="2" t="str">
        <f>"PC"</f>
        <v>PC</v>
      </c>
      <c r="D4276" s="7">
        <v>806</v>
      </c>
      <c r="E4276" s="3">
        <v>10</v>
      </c>
      <c r="F4276" s="3">
        <v>10</v>
      </c>
      <c r="G4276" t="s">
        <v>514</v>
      </c>
    </row>
    <row r="4277" spans="1:7" x14ac:dyDescent="0.25">
      <c r="A4277" s="1" t="str">
        <f>"502542"</f>
        <v>502542</v>
      </c>
      <c r="B4277" s="2" t="str">
        <f>"CADEIRINHA Nº71 BARRA (3 METROS)"</f>
        <v>CADEIRINHA Nº71 BARRA (3 METROS)</v>
      </c>
      <c r="C4277" s="2" t="str">
        <f>"UN"</f>
        <v>UN</v>
      </c>
      <c r="D4277" s="7">
        <v>402</v>
      </c>
      <c r="E4277" s="3">
        <v>4</v>
      </c>
      <c r="F4277" s="3">
        <v>4</v>
      </c>
      <c r="G4277" t="s">
        <v>515</v>
      </c>
    </row>
    <row r="4278" spans="1:7" x14ac:dyDescent="0.25">
      <c r="A4278" s="1" t="str">
        <f>"523062"</f>
        <v>523062</v>
      </c>
      <c r="B4278" s="2" t="str">
        <f>"CADERNETA"</f>
        <v>CADERNETA</v>
      </c>
      <c r="C4278" s="2" t="str">
        <f>"PC"</f>
        <v>PC</v>
      </c>
      <c r="D4278" s="7">
        <v>401</v>
      </c>
      <c r="E4278" s="3">
        <v>4</v>
      </c>
      <c r="F4278" s="3">
        <v>4</v>
      </c>
      <c r="G4278" t="s">
        <v>512</v>
      </c>
    </row>
    <row r="4279" spans="1:7" x14ac:dyDescent="0.25">
      <c r="A4279" s="1" t="str">
        <f>"523352"</f>
        <v>523352</v>
      </c>
      <c r="B4279" s="2" t="str">
        <f>"CADERNETA (PLANOGRAMA) CAPA COL. PAPEL CARTÃO 16X11,5 25PG"</f>
        <v>CADERNETA (PLANOGRAMA) CAPA COL. PAPEL CARTÃO 16X11,5 25PG</v>
      </c>
      <c r="C4279" s="2" t="str">
        <f t="shared" ref="C4279:C4292" si="175">"UN"</f>
        <v>UN</v>
      </c>
      <c r="D4279" s="7">
        <v>401</v>
      </c>
      <c r="E4279" s="3">
        <v>4</v>
      </c>
      <c r="F4279" s="3">
        <v>4</v>
      </c>
      <c r="G4279" t="s">
        <v>516</v>
      </c>
    </row>
    <row r="4280" spans="1:7" x14ac:dyDescent="0.25">
      <c r="A4280" s="1" t="str">
        <f>"526960"</f>
        <v>526960</v>
      </c>
      <c r="B4280" s="2" t="str">
        <f>"CADERNO 100 FOLHAS205MMX300M CAPA DURA COR PRETA S/ ESPIRAL"</f>
        <v>CADERNO 100 FOLHAS205MMX300M CAPA DURA COR PRETA S/ ESPIRAL</v>
      </c>
      <c r="C4280" s="2" t="str">
        <f t="shared" si="175"/>
        <v>UN</v>
      </c>
      <c r="D4280" s="7">
        <v>401</v>
      </c>
      <c r="E4280" s="3">
        <v>4</v>
      </c>
      <c r="F4280" s="3">
        <v>4</v>
      </c>
      <c r="G4280" t="s">
        <v>515</v>
      </c>
    </row>
    <row r="4281" spans="1:7" x14ac:dyDescent="0.25">
      <c r="A4281" s="1" t="str">
        <f>"513371"</f>
        <v>513371</v>
      </c>
      <c r="B4281" s="2" t="str">
        <f>"CADERNO 200 FOLHAS"</f>
        <v>CADERNO 200 FOLHAS</v>
      </c>
      <c r="C4281" s="2" t="str">
        <f t="shared" si="175"/>
        <v>UN</v>
      </c>
      <c r="D4281" s="7">
        <v>401</v>
      </c>
      <c r="E4281" s="3">
        <v>4</v>
      </c>
      <c r="F4281" s="3">
        <v>4</v>
      </c>
      <c r="G4281" t="s">
        <v>514</v>
      </c>
    </row>
    <row r="4282" spans="1:7" x14ac:dyDescent="0.25">
      <c r="A4282" s="1" t="str">
        <f>"6740"</f>
        <v>6740</v>
      </c>
      <c r="B4282" s="2" t="str">
        <f>"CADERNO 612 CAPA 25 TUCSON COR 481"</f>
        <v>CADERNO 612 CAPA 25 TUCSON COR 481</v>
      </c>
      <c r="C4282" s="2" t="str">
        <f t="shared" si="175"/>
        <v>UN</v>
      </c>
      <c r="D4282" s="7">
        <v>401</v>
      </c>
      <c r="E4282" s="3">
        <v>4</v>
      </c>
      <c r="F4282" s="3">
        <v>4</v>
      </c>
      <c r="G4282" t="s">
        <v>512</v>
      </c>
    </row>
    <row r="4283" spans="1:7" x14ac:dyDescent="0.25">
      <c r="A4283" s="1" t="str">
        <f>"523318"</f>
        <v>523318</v>
      </c>
      <c r="B4283" s="2" t="str">
        <f>"CADERNO CAPA PRISMALUX 13X21CM 160 PÁG 01 FITA/ELAST VERT"</f>
        <v>CADERNO CAPA PRISMALUX 13X21CM 160 PÁG 01 FITA/ELAST VERT</v>
      </c>
      <c r="C4283" s="2" t="str">
        <f t="shared" si="175"/>
        <v>UN</v>
      </c>
      <c r="D4283" s="7">
        <v>401</v>
      </c>
      <c r="E4283" s="3">
        <v>4</v>
      </c>
      <c r="F4283" s="3">
        <v>4</v>
      </c>
      <c r="G4283" t="s">
        <v>513</v>
      </c>
    </row>
    <row r="4284" spans="1:7" x14ac:dyDescent="0.25">
      <c r="A4284" s="1" t="str">
        <f>"521532"</f>
        <v>521532</v>
      </c>
      <c r="B4284" s="2" t="str">
        <f>"CADERNO EXECUTIVO 14,1 X 20,5 CM CAPA MATRA COR AZUL"</f>
        <v>CADERNO EXECUTIVO 14,1 X 20,5 CM CAPA MATRA COR AZUL</v>
      </c>
      <c r="C4284" s="2" t="str">
        <f t="shared" si="175"/>
        <v>UN</v>
      </c>
      <c r="D4284" s="7">
        <v>99999</v>
      </c>
      <c r="E4284" s="3">
        <v>99</v>
      </c>
      <c r="F4284" s="3">
        <v>99</v>
      </c>
      <c r="G4284" t="s">
        <v>514</v>
      </c>
    </row>
    <row r="4285" spans="1:7" x14ac:dyDescent="0.25">
      <c r="A4285" s="1" t="str">
        <f>"518196"</f>
        <v>518196</v>
      </c>
      <c r="B4285" s="2" t="str">
        <f>"CADERNO EXECUTIVO 20,3 X 27,5 CM CAPA MADEIRA COR PRATA-FM"</f>
        <v>CADERNO EXECUTIVO 20,3 X 27,5 CM CAPA MADEIRA COR PRATA-FM</v>
      </c>
      <c r="C4285" s="2" t="str">
        <f t="shared" si="175"/>
        <v>UN</v>
      </c>
      <c r="D4285" s="7">
        <v>401</v>
      </c>
      <c r="E4285" s="3">
        <v>4</v>
      </c>
      <c r="F4285" s="3">
        <v>4</v>
      </c>
      <c r="G4285" t="s">
        <v>514</v>
      </c>
    </row>
    <row r="4286" spans="1:7" x14ac:dyDescent="0.25">
      <c r="A4286" s="1" t="str">
        <f>"514626"</f>
        <v>514626</v>
      </c>
      <c r="B4286" s="2" t="str">
        <f>"CADERNO EXECUTIVO KENYA AZUL ESCURO 16,8 X 24,0CM"</f>
        <v>CADERNO EXECUTIVO KENYA AZUL ESCURO 16,8 X 24,0CM</v>
      </c>
      <c r="C4286" s="2" t="str">
        <f t="shared" si="175"/>
        <v>UN</v>
      </c>
      <c r="D4286" s="7">
        <v>401</v>
      </c>
      <c r="E4286" s="3">
        <v>4</v>
      </c>
      <c r="F4286" s="3">
        <v>4</v>
      </c>
      <c r="G4286" t="s">
        <v>512</v>
      </c>
    </row>
    <row r="4287" spans="1:7" x14ac:dyDescent="0.25">
      <c r="A4287" s="1" t="str">
        <f>"523972"</f>
        <v>523972</v>
      </c>
      <c r="B4287" s="2" t="str">
        <f>"CADERNO GUIA DE LIDERES"</f>
        <v>CADERNO GUIA DE LIDERES</v>
      </c>
      <c r="C4287" s="2" t="str">
        <f t="shared" si="175"/>
        <v>UN</v>
      </c>
      <c r="D4287" s="7">
        <v>99999</v>
      </c>
      <c r="E4287" s="3">
        <v>99</v>
      </c>
      <c r="F4287" s="3">
        <v>99</v>
      </c>
      <c r="G4287" t="s">
        <v>513</v>
      </c>
    </row>
    <row r="4288" spans="1:7" x14ac:dyDescent="0.25">
      <c r="A4288" s="1" t="str">
        <f>"524622"</f>
        <v>524622</v>
      </c>
      <c r="B4288" s="2" t="str">
        <f>"CADINHO GOOCH VIDRO F ALTA DISCO POROSO VIDRO HX0004-00395"</f>
        <v>CADINHO GOOCH VIDRO F ALTA DISCO POROSO VIDRO HX0004-00395</v>
      </c>
      <c r="C4288" s="2" t="str">
        <f t="shared" si="175"/>
        <v>UN</v>
      </c>
      <c r="D4288" s="7">
        <v>406</v>
      </c>
      <c r="E4288" s="3">
        <v>13</v>
      </c>
      <c r="F4288" s="3">
        <v>13</v>
      </c>
      <c r="G4288" t="s">
        <v>514</v>
      </c>
    </row>
    <row r="4289" spans="1:7" x14ac:dyDescent="0.25">
      <c r="A4289" s="1" t="str">
        <f>"515197"</f>
        <v>515197</v>
      </c>
      <c r="B4289" s="2" t="str">
        <f>"CADINHO T 150"</f>
        <v>CADINHO T 150</v>
      </c>
      <c r="C4289" s="2" t="str">
        <f t="shared" si="175"/>
        <v>UN</v>
      </c>
      <c r="D4289" s="7">
        <v>406</v>
      </c>
      <c r="E4289" s="3">
        <v>4</v>
      </c>
      <c r="F4289" s="3">
        <v>4</v>
      </c>
      <c r="G4289" t="s">
        <v>514</v>
      </c>
    </row>
    <row r="4290" spans="1:7" x14ac:dyDescent="0.25">
      <c r="A4290" s="1" t="str">
        <f>"515558"</f>
        <v>515558</v>
      </c>
      <c r="B4290" s="2" t="str">
        <f>"CADO HMI REMOTA SERIAL"</f>
        <v>CADO HMI REMOTA SERIAL</v>
      </c>
      <c r="C4290" s="2" t="str">
        <f t="shared" si="175"/>
        <v>UN</v>
      </c>
      <c r="D4290" s="7">
        <v>811</v>
      </c>
      <c r="E4290" s="3">
        <v>8</v>
      </c>
      <c r="F4290" s="3">
        <v>8</v>
      </c>
      <c r="G4290" t="s">
        <v>514</v>
      </c>
    </row>
    <row r="4291" spans="1:7" x14ac:dyDescent="0.25">
      <c r="A4291" s="1" t="str">
        <f>"513856"</f>
        <v>513856</v>
      </c>
      <c r="B4291" s="2" t="str">
        <f>"CAFE"</f>
        <v>CAFE</v>
      </c>
      <c r="C4291" s="2" t="str">
        <f t="shared" si="175"/>
        <v>UN</v>
      </c>
      <c r="D4291" s="7">
        <v>99999</v>
      </c>
      <c r="E4291" s="3">
        <v>99</v>
      </c>
      <c r="F4291" s="3">
        <v>99</v>
      </c>
      <c r="G4291" t="s">
        <v>513</v>
      </c>
    </row>
    <row r="4292" spans="1:7" x14ac:dyDescent="0.25">
      <c r="A4292" s="1" t="str">
        <f>"513969"</f>
        <v>513969</v>
      </c>
      <c r="B4292" s="2" t="str">
        <f>"CAFE EXPRESSO GRAOS"</f>
        <v>CAFE EXPRESSO GRAOS</v>
      </c>
      <c r="C4292" s="2" t="str">
        <f t="shared" si="175"/>
        <v>UN</v>
      </c>
      <c r="D4292" s="7">
        <v>401</v>
      </c>
      <c r="E4292" s="3">
        <v>4</v>
      </c>
      <c r="F4292" s="3">
        <v>4</v>
      </c>
      <c r="G4292" t="s">
        <v>512</v>
      </c>
    </row>
    <row r="4293" spans="1:7" x14ac:dyDescent="0.25">
      <c r="A4293" s="1" t="str">
        <f>"2124"</f>
        <v>2124</v>
      </c>
      <c r="B4293" s="2" t="str">
        <f>"CAFE TORRADO MOIDO 500 g"</f>
        <v>CAFE TORRADO MOIDO 500 g</v>
      </c>
      <c r="C4293" s="2" t="str">
        <f>"KG"</f>
        <v>KG</v>
      </c>
      <c r="D4293" s="7">
        <v>401</v>
      </c>
      <c r="E4293" s="3">
        <v>4</v>
      </c>
      <c r="F4293" s="3">
        <v>4</v>
      </c>
      <c r="G4293" t="s">
        <v>513</v>
      </c>
    </row>
    <row r="4294" spans="1:7" x14ac:dyDescent="0.25">
      <c r="A4294" s="1" t="str">
        <f>"514712"</f>
        <v>514712</v>
      </c>
      <c r="B4294" s="2" t="str">
        <f>"CAFETEIRA ELETRICA"</f>
        <v>CAFETEIRA ELETRICA</v>
      </c>
      <c r="C4294" s="2" t="str">
        <f t="shared" ref="C4294:C4325" si="176">"UN"</f>
        <v>UN</v>
      </c>
      <c r="D4294" s="7">
        <v>401</v>
      </c>
      <c r="E4294" s="3">
        <v>4</v>
      </c>
      <c r="F4294" s="3">
        <v>4</v>
      </c>
      <c r="G4294" t="s">
        <v>514</v>
      </c>
    </row>
    <row r="4295" spans="1:7" x14ac:dyDescent="0.25">
      <c r="A4295" s="1" t="str">
        <f>"516452"</f>
        <v>516452</v>
      </c>
      <c r="B4295" s="2" t="str">
        <f>"CAFETEIRA ELETRICA 14 CAFES DCM 127V DELLAR"</f>
        <v>CAFETEIRA ELETRICA 14 CAFES DCM 127V DELLAR</v>
      </c>
      <c r="C4295" s="2" t="str">
        <f t="shared" si="176"/>
        <v>UN</v>
      </c>
      <c r="D4295" s="7">
        <v>1200</v>
      </c>
      <c r="E4295" s="3">
        <v>4</v>
      </c>
      <c r="F4295" s="3">
        <v>4</v>
      </c>
      <c r="G4295" t="s">
        <v>514</v>
      </c>
    </row>
    <row r="4296" spans="1:7" x14ac:dyDescent="0.25">
      <c r="A4296" s="1" t="str">
        <f>"527616"</f>
        <v>527616</v>
      </c>
      <c r="B4296" s="2" t="str">
        <f>"CAFETEIRA MARCHESONI 6 LITROS"</f>
        <v>CAFETEIRA MARCHESONI 6 LITROS</v>
      </c>
      <c r="C4296" s="2" t="str">
        <f t="shared" si="176"/>
        <v>UN</v>
      </c>
      <c r="D4296" s="7">
        <v>811</v>
      </c>
      <c r="E4296" s="3">
        <v>8</v>
      </c>
      <c r="F4296" s="3">
        <v>8</v>
      </c>
      <c r="G4296" t="s">
        <v>514</v>
      </c>
    </row>
    <row r="4297" spans="1:7" x14ac:dyDescent="0.25">
      <c r="A4297" s="1" t="str">
        <f>"527533"</f>
        <v>527533</v>
      </c>
      <c r="B4297" s="2" t="str">
        <f>"CAFETEIRA MARCHESONI 8 LITROS"</f>
        <v>CAFETEIRA MARCHESONI 8 LITROS</v>
      </c>
      <c r="C4297" s="2" t="str">
        <f t="shared" si="176"/>
        <v>UN</v>
      </c>
      <c r="D4297" s="7">
        <v>811</v>
      </c>
      <c r="E4297" s="3">
        <v>8</v>
      </c>
      <c r="F4297" s="3">
        <v>8</v>
      </c>
      <c r="G4297" t="s">
        <v>513</v>
      </c>
    </row>
    <row r="4298" spans="1:7" x14ac:dyDescent="0.25">
      <c r="A4298" s="1" t="str">
        <f>"508982"</f>
        <v>508982</v>
      </c>
      <c r="B4298" s="2" t="str">
        <f>"CAIBRO 2,5M"</f>
        <v>CAIBRO 2,5M</v>
      </c>
      <c r="C4298" s="2" t="str">
        <f t="shared" si="176"/>
        <v>UN</v>
      </c>
      <c r="D4298" s="7">
        <v>403</v>
      </c>
      <c r="E4298" s="3">
        <v>4</v>
      </c>
      <c r="F4298" s="3">
        <v>4</v>
      </c>
      <c r="G4298" t="s">
        <v>513</v>
      </c>
    </row>
    <row r="4299" spans="1:7" x14ac:dyDescent="0.25">
      <c r="A4299" s="1" t="str">
        <f>"505420"</f>
        <v>505420</v>
      </c>
      <c r="B4299" s="2" t="str">
        <f>"CAIBRO 2MT"</f>
        <v>CAIBRO 2MT</v>
      </c>
      <c r="C4299" s="2" t="str">
        <f t="shared" si="176"/>
        <v>UN</v>
      </c>
      <c r="D4299" s="7">
        <v>403</v>
      </c>
      <c r="E4299" s="3">
        <v>4</v>
      </c>
      <c r="F4299" s="3">
        <v>4</v>
      </c>
      <c r="G4299" t="s">
        <v>513</v>
      </c>
    </row>
    <row r="4300" spans="1:7" x14ac:dyDescent="0.25">
      <c r="A4300" s="1" t="str">
        <f>"505421"</f>
        <v>505421</v>
      </c>
      <c r="B4300" s="2" t="str">
        <f>"CAIBRO 5CM X 5CM X 3MT"</f>
        <v>CAIBRO 5CM X 5CM X 3MT</v>
      </c>
      <c r="C4300" s="2" t="str">
        <f t="shared" si="176"/>
        <v>UN</v>
      </c>
      <c r="D4300" s="7">
        <v>403</v>
      </c>
      <c r="E4300" s="3">
        <v>4</v>
      </c>
      <c r="F4300" s="3">
        <v>4</v>
      </c>
      <c r="G4300" t="s">
        <v>512</v>
      </c>
    </row>
    <row r="4301" spans="1:7" x14ac:dyDescent="0.25">
      <c r="A4301" s="1" t="str">
        <f>"525052"</f>
        <v>525052</v>
      </c>
      <c r="B4301" s="2" t="str">
        <f>"CAIBRO 6CM X 5CM X 3MT"</f>
        <v>CAIBRO 6CM X 5CM X 3MT</v>
      </c>
      <c r="C4301" s="2" t="str">
        <f t="shared" si="176"/>
        <v>UN</v>
      </c>
      <c r="D4301" s="7">
        <v>803</v>
      </c>
      <c r="E4301" s="3">
        <v>4</v>
      </c>
      <c r="F4301" s="3">
        <v>4</v>
      </c>
      <c r="G4301" t="s">
        <v>513</v>
      </c>
    </row>
    <row r="4302" spans="1:7" x14ac:dyDescent="0.25">
      <c r="A4302" s="1" t="str">
        <f>"522910"</f>
        <v>522910</v>
      </c>
      <c r="B4302" s="2" t="str">
        <f>"CAIBRO 7,5 X 7,5CM"</f>
        <v>CAIBRO 7,5 X 7,5CM</v>
      </c>
      <c r="C4302" s="2" t="str">
        <f t="shared" si="176"/>
        <v>UN</v>
      </c>
      <c r="D4302" s="7">
        <v>917</v>
      </c>
      <c r="E4302" s="3">
        <v>10</v>
      </c>
      <c r="F4302" s="3">
        <v>10</v>
      </c>
      <c r="G4302" t="s">
        <v>514</v>
      </c>
    </row>
    <row r="4303" spans="1:7" x14ac:dyDescent="0.25">
      <c r="A4303" s="1" t="str">
        <f>"514619"</f>
        <v>514619</v>
      </c>
      <c r="B4303" s="2" t="str">
        <f>"CAIXA"</f>
        <v>CAIXA</v>
      </c>
      <c r="C4303" s="2" t="str">
        <f t="shared" si="176"/>
        <v>UN</v>
      </c>
      <c r="D4303" s="7">
        <v>1300</v>
      </c>
      <c r="E4303" s="3">
        <v>13</v>
      </c>
      <c r="F4303" s="3">
        <v>13</v>
      </c>
      <c r="G4303" t="s">
        <v>515</v>
      </c>
    </row>
    <row r="4304" spans="1:7" x14ac:dyDescent="0.25">
      <c r="A4304" s="1" t="str">
        <f>"523760"</f>
        <v>523760</v>
      </c>
      <c r="B4304" s="2" t="str">
        <f>"CAIXA 10000 LITROS"</f>
        <v>CAIXA 10000 LITROS</v>
      </c>
      <c r="C4304" s="2" t="str">
        <f t="shared" si="176"/>
        <v>UN</v>
      </c>
      <c r="D4304" s="7">
        <v>99999</v>
      </c>
      <c r="E4304" s="3">
        <v>99</v>
      </c>
      <c r="F4304" s="3">
        <v>99</v>
      </c>
      <c r="G4304" t="s">
        <v>512</v>
      </c>
    </row>
    <row r="4305" spans="1:7" x14ac:dyDescent="0.25">
      <c r="A4305" s="1" t="str">
        <f>"521636"</f>
        <v>521636</v>
      </c>
      <c r="B4305" s="2" t="str">
        <f>"CAIXA 1030 PP BR"</f>
        <v>CAIXA 1030 PP BR</v>
      </c>
      <c r="C4305" s="2" t="str">
        <f t="shared" si="176"/>
        <v>UN</v>
      </c>
      <c r="D4305" s="7">
        <v>99999</v>
      </c>
      <c r="E4305" s="3">
        <v>99</v>
      </c>
      <c r="F4305" s="3">
        <v>99</v>
      </c>
      <c r="G4305" t="s">
        <v>516</v>
      </c>
    </row>
    <row r="4306" spans="1:7" x14ac:dyDescent="0.25">
      <c r="A4306" s="1" t="str">
        <f>"514267"</f>
        <v>514267</v>
      </c>
      <c r="B4306" s="2" t="str">
        <f>"CAIXA 20 X 15 X 09"</f>
        <v>CAIXA 20 X 15 X 09</v>
      </c>
      <c r="C4306" s="2" t="str">
        <f t="shared" si="176"/>
        <v>UN</v>
      </c>
      <c r="D4306" s="7">
        <v>401</v>
      </c>
      <c r="E4306" s="3">
        <v>4</v>
      </c>
      <c r="F4306" s="3">
        <v>4</v>
      </c>
      <c r="G4306" t="s">
        <v>515</v>
      </c>
    </row>
    <row r="4307" spans="1:7" x14ac:dyDescent="0.25">
      <c r="A4307" s="1" t="str">
        <f>"520652"</f>
        <v>520652</v>
      </c>
      <c r="B4307" s="2" t="str">
        <f>"CAIXA 800X600X250 C/ FLANGE CL 806025"</f>
        <v>CAIXA 800X600X250 C/ FLANGE CL 806025</v>
      </c>
      <c r="C4307" s="2" t="str">
        <f t="shared" si="176"/>
        <v>UN</v>
      </c>
      <c r="D4307" s="7">
        <v>811</v>
      </c>
      <c r="E4307" s="3">
        <v>8</v>
      </c>
      <c r="F4307" s="3">
        <v>8</v>
      </c>
      <c r="G4307" t="s">
        <v>514</v>
      </c>
    </row>
    <row r="4308" spans="1:7" x14ac:dyDescent="0.25">
      <c r="A4308" s="1" t="str">
        <f>"522756"</f>
        <v>522756</v>
      </c>
      <c r="B4308" s="2" t="str">
        <f>"CAIXA ACOPLADA P/ BACIA IZY BRANCA DECA"</f>
        <v>CAIXA ACOPLADA P/ BACIA IZY BRANCA DECA</v>
      </c>
      <c r="C4308" s="2" t="str">
        <f t="shared" si="176"/>
        <v>UN</v>
      </c>
      <c r="D4308" s="7">
        <v>917</v>
      </c>
      <c r="E4308" s="3">
        <v>10</v>
      </c>
      <c r="F4308" s="3">
        <v>10</v>
      </c>
      <c r="G4308" t="s">
        <v>512</v>
      </c>
    </row>
    <row r="4309" spans="1:7" x14ac:dyDescent="0.25">
      <c r="A4309" s="1" t="str">
        <f>"515325"</f>
        <v>515325</v>
      </c>
      <c r="B4309" s="2" t="str">
        <f>"CAIXA AGUA GELADA CERPENTINA DE COBRE 8000LITROS REV. INOX"</f>
        <v>CAIXA AGUA GELADA CERPENTINA DE COBRE 8000LITROS REV. INOX</v>
      </c>
      <c r="C4309" s="2" t="str">
        <f t="shared" si="176"/>
        <v>UN</v>
      </c>
      <c r="D4309" s="7">
        <v>1300</v>
      </c>
      <c r="E4309" s="3">
        <v>13</v>
      </c>
      <c r="F4309" s="3">
        <v>13</v>
      </c>
      <c r="G4309" t="s">
        <v>513</v>
      </c>
    </row>
    <row r="4310" spans="1:7" x14ac:dyDescent="0.25">
      <c r="A4310" s="1" t="str">
        <f>"515324"</f>
        <v>515324</v>
      </c>
      <c r="B4310" s="2" t="str">
        <f>"CAIXA AGUA GELADA CERPENTINA DE COBRE 8000LITROS REV. MADEIR"</f>
        <v>CAIXA AGUA GELADA CERPENTINA DE COBRE 8000LITROS REV. MADEIR</v>
      </c>
      <c r="C4310" s="2" t="str">
        <f t="shared" si="176"/>
        <v>UN</v>
      </c>
      <c r="D4310" s="7">
        <v>1300</v>
      </c>
      <c r="E4310" s="3">
        <v>13</v>
      </c>
      <c r="F4310" s="3">
        <v>13</v>
      </c>
      <c r="G4310" t="s">
        <v>514</v>
      </c>
    </row>
    <row r="4311" spans="1:7" x14ac:dyDescent="0.25">
      <c r="A4311" s="1" t="str">
        <f>"518903"</f>
        <v>518903</v>
      </c>
      <c r="B4311" s="2" t="str">
        <f>"CAIXA ALUMINIO BLINDADA 40X40X17 C/ TAMPA REVERSIVEL"</f>
        <v>CAIXA ALUMINIO BLINDADA 40X40X17 C/ TAMPA REVERSIVEL</v>
      </c>
      <c r="C4311" s="2" t="str">
        <f t="shared" si="176"/>
        <v>UN</v>
      </c>
      <c r="D4311" s="7">
        <v>811</v>
      </c>
      <c r="E4311" s="3">
        <v>8</v>
      </c>
      <c r="F4311" s="3">
        <v>8</v>
      </c>
      <c r="G4311" t="s">
        <v>514</v>
      </c>
    </row>
    <row r="4312" spans="1:7" x14ac:dyDescent="0.25">
      <c r="A4312" s="1" t="str">
        <f>"520729"</f>
        <v>520729</v>
      </c>
      <c r="B4312" s="2" t="str">
        <f>"CAIXA BLOQUEIO AÇO 13 CADEADOS 230 X 90 X 150MM"</f>
        <v>CAIXA BLOQUEIO AÇO 13 CADEADOS 230 X 90 X 150MM</v>
      </c>
      <c r="C4312" s="2" t="str">
        <f t="shared" si="176"/>
        <v>UN</v>
      </c>
      <c r="D4312" s="7">
        <v>817</v>
      </c>
      <c r="E4312" s="3">
        <v>4</v>
      </c>
      <c r="F4312" s="3">
        <v>4</v>
      </c>
      <c r="G4312" t="s">
        <v>512</v>
      </c>
    </row>
    <row r="4313" spans="1:7" x14ac:dyDescent="0.25">
      <c r="A4313" s="1" t="str">
        <f>"517368"</f>
        <v>517368</v>
      </c>
      <c r="B4313" s="2" t="str">
        <f>"CAIXA BOTÃO DUPLO LIGA/DESLIGA DE HIDRANTE"</f>
        <v>CAIXA BOTÃO DUPLO LIGA/DESLIGA DE HIDRANTE</v>
      </c>
      <c r="C4313" s="2" t="str">
        <f t="shared" si="176"/>
        <v>UN</v>
      </c>
      <c r="D4313" s="7">
        <v>811</v>
      </c>
      <c r="E4313" s="3">
        <v>8</v>
      </c>
      <c r="F4313" s="3">
        <v>8</v>
      </c>
      <c r="G4313" t="s">
        <v>513</v>
      </c>
    </row>
    <row r="4314" spans="1:7" x14ac:dyDescent="0.25">
      <c r="A4314" s="1" t="str">
        <f>"523295"</f>
        <v>523295</v>
      </c>
      <c r="B4314" s="2" t="str">
        <f>"CAIXA BOTOEIRA 22MM BM X 101"</f>
        <v>CAIXA BOTOEIRA 22MM BM X 101</v>
      </c>
      <c r="C4314" s="2" t="str">
        <f t="shared" si="176"/>
        <v>UN</v>
      </c>
      <c r="D4314" s="7">
        <v>811</v>
      </c>
      <c r="E4314" s="3">
        <v>8</v>
      </c>
      <c r="F4314" s="3">
        <v>8</v>
      </c>
      <c r="G4314" t="s">
        <v>514</v>
      </c>
    </row>
    <row r="4315" spans="1:7" x14ac:dyDescent="0.25">
      <c r="A4315" s="1" t="str">
        <f>"523294"</f>
        <v>523294</v>
      </c>
      <c r="B4315" s="2" t="str">
        <f>"CAIXA BOTOEIRA 22MM BM X 102"</f>
        <v>CAIXA BOTOEIRA 22MM BM X 102</v>
      </c>
      <c r="C4315" s="2" t="str">
        <f t="shared" si="176"/>
        <v>UN</v>
      </c>
      <c r="D4315" s="7">
        <v>811</v>
      </c>
      <c r="E4315" s="3">
        <v>8</v>
      </c>
      <c r="F4315" s="3">
        <v>8</v>
      </c>
      <c r="G4315" t="s">
        <v>514</v>
      </c>
    </row>
    <row r="4316" spans="1:7" x14ac:dyDescent="0.25">
      <c r="A4316" s="1" t="str">
        <f>"523296"</f>
        <v>523296</v>
      </c>
      <c r="B4316" s="2" t="str">
        <f>"CAIXA BOTOEIRA 22MM BM X 103"</f>
        <v>CAIXA BOTOEIRA 22MM BM X 103</v>
      </c>
      <c r="C4316" s="2" t="str">
        <f t="shared" si="176"/>
        <v>UN</v>
      </c>
      <c r="D4316" s="7">
        <v>811</v>
      </c>
      <c r="E4316" s="3">
        <v>8</v>
      </c>
      <c r="F4316" s="3">
        <v>8</v>
      </c>
      <c r="G4316" t="s">
        <v>514</v>
      </c>
    </row>
    <row r="4317" spans="1:7" x14ac:dyDescent="0.25">
      <c r="A4317" s="1" t="str">
        <f>"524901"</f>
        <v>524901</v>
      </c>
      <c r="B4317" s="2" t="str">
        <f>"CAIXA COLETA MATERIAL PERFURO CORTANTE (7 LITROS)"</f>
        <v>CAIXA COLETA MATERIAL PERFURO CORTANTE (7 LITROS)</v>
      </c>
      <c r="C4317" s="2" t="str">
        <f t="shared" si="176"/>
        <v>UN</v>
      </c>
      <c r="D4317" s="7">
        <v>99999</v>
      </c>
      <c r="E4317" s="3">
        <v>99</v>
      </c>
      <c r="F4317" s="3">
        <v>99</v>
      </c>
      <c r="G4317" t="s">
        <v>513</v>
      </c>
    </row>
    <row r="4318" spans="1:7" x14ac:dyDescent="0.25">
      <c r="A4318" s="1" t="str">
        <f>"523292"</f>
        <v>523292</v>
      </c>
      <c r="B4318" s="2" t="str">
        <f>"CAIXA CONTENÇÃO DT/100"</f>
        <v>CAIXA CONTENÇÃO DT/100</v>
      </c>
      <c r="C4318" s="2" t="str">
        <f t="shared" si="176"/>
        <v>UN</v>
      </c>
      <c r="D4318" s="7">
        <v>99999</v>
      </c>
      <c r="E4318" s="3">
        <v>99</v>
      </c>
      <c r="F4318" s="3">
        <v>99</v>
      </c>
      <c r="G4318" t="s">
        <v>512</v>
      </c>
    </row>
    <row r="4319" spans="1:7" x14ac:dyDescent="0.25">
      <c r="A4319" s="1" t="str">
        <f>"519700"</f>
        <v>519700</v>
      </c>
      <c r="B4319" s="2" t="str">
        <f>"CAIXA COZINHA MADEIRA 1000X600X600MM"</f>
        <v>CAIXA COZINHA MADEIRA 1000X600X600MM</v>
      </c>
      <c r="C4319" s="2" t="str">
        <f t="shared" si="176"/>
        <v>UN</v>
      </c>
      <c r="D4319" s="7">
        <v>99999</v>
      </c>
      <c r="E4319" s="3">
        <v>99</v>
      </c>
      <c r="F4319" s="3">
        <v>99</v>
      </c>
      <c r="G4319" t="s">
        <v>513</v>
      </c>
    </row>
    <row r="4320" spans="1:7" x14ac:dyDescent="0.25">
      <c r="A4320" s="1" t="str">
        <f>"516490"</f>
        <v>516490</v>
      </c>
      <c r="B4320" s="2" t="str">
        <f>"CAIXA CPFL TIPO III TRIF. MULTIPADRÃO"</f>
        <v>CAIXA CPFL TIPO III TRIF. MULTIPADRÃO</v>
      </c>
      <c r="C4320" s="2" t="str">
        <f t="shared" si="176"/>
        <v>UN</v>
      </c>
      <c r="D4320" s="7">
        <v>811</v>
      </c>
      <c r="E4320" s="3">
        <v>8</v>
      </c>
      <c r="F4320" s="3">
        <v>8</v>
      </c>
      <c r="G4320" t="s">
        <v>514</v>
      </c>
    </row>
    <row r="4321" spans="1:7" x14ac:dyDescent="0.25">
      <c r="A4321" s="1" t="str">
        <f>"515401"</f>
        <v>515401</v>
      </c>
      <c r="B4321" s="2" t="str">
        <f>"CAIXA D' AGUA GELADA 30.000 LTS"</f>
        <v>CAIXA D' AGUA GELADA 30.000 LTS</v>
      </c>
      <c r="C4321" s="2" t="str">
        <f t="shared" si="176"/>
        <v>UN</v>
      </c>
      <c r="D4321" s="7">
        <v>912</v>
      </c>
      <c r="E4321" s="3">
        <v>4</v>
      </c>
      <c r="F4321" s="3">
        <v>4</v>
      </c>
      <c r="G4321" t="s">
        <v>514</v>
      </c>
    </row>
    <row r="4322" spans="1:7" x14ac:dyDescent="0.25">
      <c r="A4322" s="1" t="str">
        <f>"515403"</f>
        <v>515403</v>
      </c>
      <c r="B4322" s="2" t="str">
        <f>"CAIXA D'AGUA DE FIBRA, COR AZUL, BAKOF 1.500 LTS"</f>
        <v>CAIXA D'AGUA DE FIBRA, COR AZUL, BAKOF 1.500 LTS</v>
      </c>
      <c r="C4322" s="2" t="str">
        <f t="shared" si="176"/>
        <v>UN</v>
      </c>
      <c r="D4322" s="7">
        <v>912</v>
      </c>
      <c r="E4322" s="3">
        <v>4</v>
      </c>
      <c r="F4322" s="3">
        <v>4</v>
      </c>
      <c r="G4322" t="s">
        <v>514</v>
      </c>
    </row>
    <row r="4323" spans="1:7" x14ac:dyDescent="0.25">
      <c r="A4323" s="1" t="str">
        <f>"515404"</f>
        <v>515404</v>
      </c>
      <c r="B4323" s="2" t="str">
        <f>"CAIXA D'AGUA DE FIBRA, COR AZUL, ISDRALIT 1.000 LTS"</f>
        <v>CAIXA D'AGUA DE FIBRA, COR AZUL, ISDRALIT 1.000 LTS</v>
      </c>
      <c r="C4323" s="2" t="str">
        <f t="shared" si="176"/>
        <v>UN</v>
      </c>
      <c r="D4323" s="7">
        <v>912</v>
      </c>
      <c r="E4323" s="3">
        <v>4</v>
      </c>
      <c r="F4323" s="3">
        <v>4</v>
      </c>
      <c r="G4323" t="s">
        <v>513</v>
      </c>
    </row>
    <row r="4324" spans="1:7" x14ac:dyDescent="0.25">
      <c r="A4324" s="1" t="str">
        <f>"515402"</f>
        <v>515402</v>
      </c>
      <c r="B4324" s="2" t="str">
        <f>"CAIXA D'AGUA DE FIBRA, COR AZUL, ISDRALIT 2.000 LTS"</f>
        <v>CAIXA D'AGUA DE FIBRA, COR AZUL, ISDRALIT 2.000 LTS</v>
      </c>
      <c r="C4324" s="2" t="str">
        <f t="shared" si="176"/>
        <v>UN</v>
      </c>
      <c r="D4324" s="7">
        <v>912</v>
      </c>
      <c r="E4324" s="3">
        <v>4</v>
      </c>
      <c r="F4324" s="3">
        <v>4</v>
      </c>
      <c r="G4324" t="s">
        <v>513</v>
      </c>
    </row>
    <row r="4325" spans="1:7" x14ac:dyDescent="0.25">
      <c r="A4325" s="1" t="str">
        <f>"515405"</f>
        <v>515405</v>
      </c>
      <c r="B4325" s="2" t="str">
        <f>"CAIXA D'AGUA EM AÇO CARBONO 10.000 LTS"</f>
        <v>CAIXA D'AGUA EM AÇO CARBONO 10.000 LTS</v>
      </c>
      <c r="C4325" s="2" t="str">
        <f t="shared" si="176"/>
        <v>UN</v>
      </c>
      <c r="D4325" s="7">
        <v>912</v>
      </c>
      <c r="E4325" s="3">
        <v>4</v>
      </c>
      <c r="F4325" s="3">
        <v>4</v>
      </c>
      <c r="G4325" t="s">
        <v>513</v>
      </c>
    </row>
    <row r="4326" spans="1:7" x14ac:dyDescent="0.25">
      <c r="A4326" s="1" t="str">
        <f>"510334"</f>
        <v>510334</v>
      </c>
      <c r="B4326" s="2" t="str">
        <f>"CAIXA D'AGUA PVC 150L"</f>
        <v>CAIXA D'AGUA PVC 150L</v>
      </c>
      <c r="C4326" s="2" t="str">
        <f t="shared" ref="C4326:C4357" si="177">"UN"</f>
        <v>UN</v>
      </c>
      <c r="D4326" s="7">
        <v>803</v>
      </c>
      <c r="E4326" s="3">
        <v>10</v>
      </c>
      <c r="F4326" s="3">
        <v>10</v>
      </c>
      <c r="G4326" t="s">
        <v>512</v>
      </c>
    </row>
    <row r="4327" spans="1:7" x14ac:dyDescent="0.25">
      <c r="A4327" s="1" t="str">
        <f>"510333"</f>
        <v>510333</v>
      </c>
      <c r="B4327" s="2" t="str">
        <f>"CAIXA D'AGUA PVC 250L"</f>
        <v>CAIXA D'AGUA PVC 250L</v>
      </c>
      <c r="C4327" s="2" t="str">
        <f t="shared" si="177"/>
        <v>UN</v>
      </c>
      <c r="D4327" s="7">
        <v>803</v>
      </c>
      <c r="E4327" s="3">
        <v>10</v>
      </c>
      <c r="F4327" s="3">
        <v>10</v>
      </c>
      <c r="G4327" t="s">
        <v>513</v>
      </c>
    </row>
    <row r="4328" spans="1:7" x14ac:dyDescent="0.25">
      <c r="A4328" s="1" t="str">
        <f>"510332"</f>
        <v>510332</v>
      </c>
      <c r="B4328" s="2" t="str">
        <f>"CAIXA D'AGUA PVC 310L"</f>
        <v>CAIXA D'AGUA PVC 310L</v>
      </c>
      <c r="C4328" s="2" t="str">
        <f t="shared" si="177"/>
        <v>UN</v>
      </c>
      <c r="D4328" s="7">
        <v>803</v>
      </c>
      <c r="E4328" s="3">
        <v>10</v>
      </c>
      <c r="F4328" s="3">
        <v>10</v>
      </c>
      <c r="G4328" t="s">
        <v>514</v>
      </c>
    </row>
    <row r="4329" spans="1:7" x14ac:dyDescent="0.25">
      <c r="A4329" s="1" t="str">
        <f>"510335"</f>
        <v>510335</v>
      </c>
      <c r="B4329" s="2" t="str">
        <f>"CAIXA D'AGUA PVC 500L"</f>
        <v>CAIXA D'AGUA PVC 500L</v>
      </c>
      <c r="C4329" s="2" t="str">
        <f t="shared" si="177"/>
        <v>UN</v>
      </c>
      <c r="D4329" s="7">
        <v>912</v>
      </c>
      <c r="E4329" s="3">
        <v>10</v>
      </c>
      <c r="F4329" s="3">
        <v>10</v>
      </c>
      <c r="G4329" t="s">
        <v>515</v>
      </c>
    </row>
    <row r="4330" spans="1:7" x14ac:dyDescent="0.25">
      <c r="A4330" s="1" t="str">
        <f>"510331"</f>
        <v>510331</v>
      </c>
      <c r="B4330" s="2" t="str">
        <f>"CAIXA D'AGUA PVC 750L"</f>
        <v>CAIXA D'AGUA PVC 750L</v>
      </c>
      <c r="C4330" s="2" t="str">
        <f t="shared" si="177"/>
        <v>UN</v>
      </c>
      <c r="D4330" s="7">
        <v>803</v>
      </c>
      <c r="E4330" s="3">
        <v>10</v>
      </c>
      <c r="F4330" s="3">
        <v>10</v>
      </c>
      <c r="G4330" t="s">
        <v>512</v>
      </c>
    </row>
    <row r="4331" spans="1:7" x14ac:dyDescent="0.25">
      <c r="A4331" s="1" t="str">
        <f>"527740"</f>
        <v>527740</v>
      </c>
      <c r="B4331" s="2" t="str">
        <f>"CAIXA DAGUA TUBULAR 150000 L CTU1504"</f>
        <v>CAIXA DAGUA TUBULAR 150000 L CTU1504</v>
      </c>
      <c r="C4331" s="2" t="str">
        <f t="shared" si="177"/>
        <v>UN</v>
      </c>
      <c r="D4331" s="7">
        <v>912</v>
      </c>
      <c r="E4331" s="3">
        <v>10</v>
      </c>
      <c r="F4331" s="3">
        <v>10</v>
      </c>
      <c r="G4331" t="s">
        <v>516</v>
      </c>
    </row>
    <row r="4332" spans="1:7" x14ac:dyDescent="0.25">
      <c r="A4332" s="1" t="str">
        <f>"6732"</f>
        <v>6732</v>
      </c>
      <c r="B4332" s="2" t="str">
        <f>"CAIXA DE ARQUIVO MORTO AZ (PLASTICO)"</f>
        <v>CAIXA DE ARQUIVO MORTO AZ (PLASTICO)</v>
      </c>
      <c r="C4332" s="2" t="str">
        <f t="shared" si="177"/>
        <v>UN</v>
      </c>
      <c r="D4332" s="7">
        <v>401</v>
      </c>
      <c r="E4332" s="3">
        <v>4</v>
      </c>
      <c r="F4332" s="3">
        <v>4</v>
      </c>
      <c r="G4332" t="s">
        <v>515</v>
      </c>
    </row>
    <row r="4333" spans="1:7" x14ac:dyDescent="0.25">
      <c r="A4333" s="1" t="str">
        <f>"2199"</f>
        <v>2199</v>
      </c>
      <c r="B4333" s="2" t="str">
        <f>"CAIXA DE ARQUIVO MORTO TILIBRA"</f>
        <v>CAIXA DE ARQUIVO MORTO TILIBRA</v>
      </c>
      <c r="C4333" s="2" t="str">
        <f t="shared" si="177"/>
        <v>UN</v>
      </c>
      <c r="D4333" s="7">
        <v>401</v>
      </c>
      <c r="E4333" s="3">
        <v>4</v>
      </c>
      <c r="F4333" s="3">
        <v>4</v>
      </c>
      <c r="G4333" t="s">
        <v>514</v>
      </c>
    </row>
    <row r="4334" spans="1:7" x14ac:dyDescent="0.25">
      <c r="A4334" s="1" t="str">
        <f>"514173"</f>
        <v>514173</v>
      </c>
      <c r="B4334" s="2" t="str">
        <f>"CAIXA DE CONTROLE"</f>
        <v>CAIXA DE CONTROLE</v>
      </c>
      <c r="C4334" s="2" t="str">
        <f t="shared" si="177"/>
        <v>UN</v>
      </c>
      <c r="D4334" s="7">
        <v>704</v>
      </c>
      <c r="E4334" s="3">
        <v>9</v>
      </c>
      <c r="F4334" s="3">
        <v>9</v>
      </c>
      <c r="G4334" t="s">
        <v>512</v>
      </c>
    </row>
    <row r="4335" spans="1:7" x14ac:dyDescent="0.25">
      <c r="A4335" s="1" t="str">
        <f>"513807"</f>
        <v>513807</v>
      </c>
      <c r="B4335" s="2" t="str">
        <f>"CAIXA DE CORRESPONDENCIA"</f>
        <v>CAIXA DE CORRESPONDENCIA</v>
      </c>
      <c r="C4335" s="2" t="str">
        <f t="shared" si="177"/>
        <v>UN</v>
      </c>
      <c r="D4335" s="7">
        <v>401</v>
      </c>
      <c r="E4335" s="3">
        <v>4</v>
      </c>
      <c r="F4335" s="3">
        <v>4</v>
      </c>
      <c r="G4335" t="s">
        <v>513</v>
      </c>
    </row>
    <row r="4336" spans="1:7" x14ac:dyDescent="0.25">
      <c r="A4336" s="1" t="str">
        <f>"523197"</f>
        <v>523197</v>
      </c>
      <c r="B4336" s="2" t="str">
        <f>"CAIXA DE DERIVAÇÃO 3/4 EM AL. C/ ROSCA NPT TIPO ""E"""</f>
        <v>CAIXA DE DERIVAÇÃO 3/4 EM AL. C/ ROSCA NPT TIPO "E"</v>
      </c>
      <c r="C4336" s="2" t="str">
        <f t="shared" si="177"/>
        <v>UN</v>
      </c>
      <c r="D4336" s="7">
        <v>811</v>
      </c>
      <c r="E4336" s="3">
        <v>10</v>
      </c>
      <c r="F4336" s="3">
        <v>10</v>
      </c>
      <c r="G4336" t="s">
        <v>514</v>
      </c>
    </row>
    <row r="4337" spans="1:7" x14ac:dyDescent="0.25">
      <c r="A4337" s="1" t="str">
        <f>"523198"</f>
        <v>523198</v>
      </c>
      <c r="B4337" s="2" t="str">
        <f>"CAIXA DE DERIVAÇÃO 3/4 EM AL. C/ ROSCA NPT TIPO ""LB"""</f>
        <v>CAIXA DE DERIVAÇÃO 3/4 EM AL. C/ ROSCA NPT TIPO "LB"</v>
      </c>
      <c r="C4337" s="2" t="str">
        <f t="shared" si="177"/>
        <v>UN</v>
      </c>
      <c r="D4337" s="7">
        <v>811</v>
      </c>
      <c r="E4337" s="3">
        <v>10</v>
      </c>
      <c r="F4337" s="3">
        <v>10</v>
      </c>
      <c r="G4337" t="s">
        <v>514</v>
      </c>
    </row>
    <row r="4338" spans="1:7" x14ac:dyDescent="0.25">
      <c r="A4338" s="1" t="str">
        <f>"523199"</f>
        <v>523199</v>
      </c>
      <c r="B4338" s="2" t="str">
        <f>"CAIXA DE DERIVAÇÃO 3/4 EM AL. C/ ROSCA NPT TIPO ""LL"""</f>
        <v>CAIXA DE DERIVAÇÃO 3/4 EM AL. C/ ROSCA NPT TIPO "LL"</v>
      </c>
      <c r="C4338" s="2" t="str">
        <f t="shared" si="177"/>
        <v>UN</v>
      </c>
      <c r="D4338" s="7">
        <v>811</v>
      </c>
      <c r="E4338" s="3">
        <v>10</v>
      </c>
      <c r="F4338" s="3">
        <v>10</v>
      </c>
      <c r="G4338" t="s">
        <v>512</v>
      </c>
    </row>
    <row r="4339" spans="1:7" x14ac:dyDescent="0.25">
      <c r="A4339" s="1" t="str">
        <f>"523200"</f>
        <v>523200</v>
      </c>
      <c r="B4339" s="2" t="str">
        <f>"CAIXA DE DERIVAÇÃO 3/4 EM AL. C/ ROSCA NPT TIPO ""LR"""</f>
        <v>CAIXA DE DERIVAÇÃO 3/4 EM AL. C/ ROSCA NPT TIPO "LR"</v>
      </c>
      <c r="C4339" s="2" t="str">
        <f t="shared" si="177"/>
        <v>UN</v>
      </c>
      <c r="D4339" s="7">
        <v>811</v>
      </c>
      <c r="E4339" s="3">
        <v>10</v>
      </c>
      <c r="F4339" s="3">
        <v>10</v>
      </c>
      <c r="G4339" t="s">
        <v>513</v>
      </c>
    </row>
    <row r="4340" spans="1:7" x14ac:dyDescent="0.25">
      <c r="A4340" s="1" t="str">
        <f>"523201"</f>
        <v>523201</v>
      </c>
      <c r="B4340" s="2" t="str">
        <f>"CAIXA DE DERIVAÇÃO 3/4 EM AL. C/ ROSCA NPT TIPO ""T"""</f>
        <v>CAIXA DE DERIVAÇÃO 3/4 EM AL. C/ ROSCA NPT TIPO "T"</v>
      </c>
      <c r="C4340" s="2" t="str">
        <f t="shared" si="177"/>
        <v>UN</v>
      </c>
      <c r="D4340" s="7">
        <v>811</v>
      </c>
      <c r="E4340" s="3">
        <v>10</v>
      </c>
      <c r="F4340" s="3">
        <v>10</v>
      </c>
      <c r="G4340" t="s">
        <v>514</v>
      </c>
    </row>
    <row r="4341" spans="1:7" x14ac:dyDescent="0.25">
      <c r="A4341" s="1" t="str">
        <f>"526141"</f>
        <v>526141</v>
      </c>
      <c r="B4341" s="2" t="str">
        <f>"CAIXA DE DERIVAÇÃO TIPO X 1X1 25MM"</f>
        <v>CAIXA DE DERIVAÇÃO TIPO X 1X1 25MM</v>
      </c>
      <c r="C4341" s="2" t="str">
        <f t="shared" si="177"/>
        <v>UN</v>
      </c>
      <c r="D4341" s="7">
        <v>601</v>
      </c>
      <c r="E4341" s="3">
        <v>8</v>
      </c>
      <c r="F4341" s="3">
        <v>8</v>
      </c>
      <c r="G4341" t="s">
        <v>514</v>
      </c>
    </row>
    <row r="4342" spans="1:7" x14ac:dyDescent="0.25">
      <c r="A4342" s="1" t="str">
        <f>"514858"</f>
        <v>514858</v>
      </c>
      <c r="B4342" s="2" t="str">
        <f>"CAIXA DE DESCARGA"</f>
        <v>CAIXA DE DESCARGA</v>
      </c>
      <c r="C4342" s="2" t="str">
        <f t="shared" si="177"/>
        <v>UN</v>
      </c>
      <c r="D4342" s="7">
        <v>917</v>
      </c>
      <c r="E4342" s="3">
        <v>4</v>
      </c>
      <c r="F4342" s="3">
        <v>4</v>
      </c>
      <c r="G4342" t="s">
        <v>514</v>
      </c>
    </row>
    <row r="4343" spans="1:7" x14ac:dyDescent="0.25">
      <c r="A4343" s="1" t="str">
        <f>"526458"</f>
        <v>526458</v>
      </c>
      <c r="B4343" s="2" t="str">
        <f>"CAIXA DE DRENO P/ AR CONDICIONADO"</f>
        <v>CAIXA DE DRENO P/ AR CONDICIONADO</v>
      </c>
      <c r="C4343" s="2" t="str">
        <f t="shared" si="177"/>
        <v>UN</v>
      </c>
      <c r="D4343" s="7">
        <v>913</v>
      </c>
      <c r="E4343" s="3">
        <v>11</v>
      </c>
      <c r="F4343" s="3">
        <v>11</v>
      </c>
      <c r="G4343" t="s">
        <v>513</v>
      </c>
    </row>
    <row r="4344" spans="1:7" x14ac:dyDescent="0.25">
      <c r="A4344" s="1" t="str">
        <f>"514805"</f>
        <v>514805</v>
      </c>
      <c r="B4344" s="2" t="str">
        <f>"CAIXA DE ENGRENAGEM"</f>
        <v>CAIXA DE ENGRENAGEM</v>
      </c>
      <c r="C4344" s="2" t="str">
        <f t="shared" si="177"/>
        <v>UN</v>
      </c>
      <c r="D4344" s="7">
        <v>402</v>
      </c>
      <c r="E4344" s="3">
        <v>4</v>
      </c>
      <c r="F4344" s="3">
        <v>4</v>
      </c>
      <c r="G4344" t="s">
        <v>512</v>
      </c>
    </row>
    <row r="4345" spans="1:7" x14ac:dyDescent="0.25">
      <c r="A4345" s="1" t="str">
        <f>"515779"</f>
        <v>515779</v>
      </c>
      <c r="B4345" s="2" t="str">
        <f>"CAIXA DE FERRAMENTA PEQUENA 400 X 110 X 160MM"</f>
        <v>CAIXA DE FERRAMENTA PEQUENA 400 X 110 X 160MM</v>
      </c>
      <c r="C4345" s="2" t="str">
        <f t="shared" si="177"/>
        <v>UN</v>
      </c>
      <c r="D4345" s="7">
        <v>99999</v>
      </c>
      <c r="E4345" s="3">
        <v>99</v>
      </c>
      <c r="F4345" s="3">
        <v>99</v>
      </c>
      <c r="G4345" t="s">
        <v>513</v>
      </c>
    </row>
    <row r="4346" spans="1:7" x14ac:dyDescent="0.25">
      <c r="A4346" s="1" t="str">
        <f>"513314"</f>
        <v>513314</v>
      </c>
      <c r="B4346" s="2" t="str">
        <f>"CAIXA DE FERRAMENTAS 4 REPARTICOES"</f>
        <v>CAIXA DE FERRAMENTAS 4 REPARTICOES</v>
      </c>
      <c r="C4346" s="2" t="str">
        <f t="shared" si="177"/>
        <v>UN</v>
      </c>
      <c r="D4346" s="7">
        <v>919</v>
      </c>
      <c r="E4346" s="3">
        <v>11</v>
      </c>
      <c r="F4346" s="3">
        <v>11</v>
      </c>
      <c r="G4346" t="s">
        <v>514</v>
      </c>
    </row>
    <row r="4347" spans="1:7" x14ac:dyDescent="0.25">
      <c r="A4347" s="1" t="str">
        <f>"518272"</f>
        <v>518272</v>
      </c>
      <c r="B4347" s="2" t="str">
        <f>"CAIXA DE FERRAMENTAS 5 REPARTICOES"</f>
        <v>CAIXA DE FERRAMENTAS 5 REPARTICOES</v>
      </c>
      <c r="C4347" s="2" t="str">
        <f t="shared" si="177"/>
        <v>UN</v>
      </c>
      <c r="D4347" s="7">
        <v>919</v>
      </c>
      <c r="E4347" s="3">
        <v>11</v>
      </c>
      <c r="F4347" s="3">
        <v>11</v>
      </c>
      <c r="G4347" t="s">
        <v>514</v>
      </c>
    </row>
    <row r="4348" spans="1:7" x14ac:dyDescent="0.25">
      <c r="A4348" s="1" t="str">
        <f>"513316"</f>
        <v>513316</v>
      </c>
      <c r="B4348" s="2" t="str">
        <f>"CAIXA DE FERRAMENTAS 7 REPARTICOES"</f>
        <v>CAIXA DE FERRAMENTAS 7 REPARTICOES</v>
      </c>
      <c r="C4348" s="2" t="str">
        <f t="shared" si="177"/>
        <v>UN</v>
      </c>
      <c r="D4348" s="7">
        <v>919</v>
      </c>
      <c r="E4348" s="3">
        <v>11</v>
      </c>
      <c r="F4348" s="3">
        <v>11</v>
      </c>
      <c r="G4348" t="s">
        <v>514</v>
      </c>
    </row>
    <row r="4349" spans="1:7" x14ac:dyDescent="0.25">
      <c r="A4349" s="1" t="str">
        <f>"515808"</f>
        <v>515808</v>
      </c>
      <c r="B4349" s="2" t="str">
        <f>"CAIXA DE FERRAMENTAS PLASTICA"</f>
        <v>CAIXA DE FERRAMENTAS PLASTICA</v>
      </c>
      <c r="C4349" s="2" t="str">
        <f t="shared" si="177"/>
        <v>UN</v>
      </c>
      <c r="D4349" s="7">
        <v>99999</v>
      </c>
      <c r="E4349" s="3">
        <v>99</v>
      </c>
      <c r="F4349" s="3">
        <v>99</v>
      </c>
      <c r="G4349" t="s">
        <v>513</v>
      </c>
    </row>
    <row r="4350" spans="1:7" x14ac:dyDescent="0.25">
      <c r="A4350" s="1" t="str">
        <f>"515003"</f>
        <v>515003</v>
      </c>
      <c r="B4350" s="2" t="str">
        <f>"CAIXA DE ISOPOR"</f>
        <v>CAIXA DE ISOPOR</v>
      </c>
      <c r="C4350" s="2" t="str">
        <f t="shared" si="177"/>
        <v>UN</v>
      </c>
      <c r="D4350" s="7">
        <v>401</v>
      </c>
      <c r="E4350" s="3">
        <v>4</v>
      </c>
      <c r="F4350" s="3">
        <v>4</v>
      </c>
      <c r="G4350" t="s">
        <v>513</v>
      </c>
    </row>
    <row r="4351" spans="1:7" x14ac:dyDescent="0.25">
      <c r="A4351" s="1" t="str">
        <f>"503168"</f>
        <v>503168</v>
      </c>
      <c r="B4351" s="2" t="str">
        <f>"CAIXA DE LUZ  4 X 2 DRYWALL TIGRE"</f>
        <v>CAIXA DE LUZ  4 X 2 DRYWALL TIGRE</v>
      </c>
      <c r="C4351" s="2" t="str">
        <f t="shared" si="177"/>
        <v>UN</v>
      </c>
      <c r="D4351" s="7">
        <v>601</v>
      </c>
      <c r="E4351" s="3">
        <v>8</v>
      </c>
      <c r="F4351" s="3">
        <v>8</v>
      </c>
      <c r="G4351" t="s">
        <v>513</v>
      </c>
    </row>
    <row r="4352" spans="1:7" x14ac:dyDescent="0.25">
      <c r="A4352" s="1" t="str">
        <f>"520988"</f>
        <v>520988</v>
      </c>
      <c r="B4352" s="2" t="str">
        <f>"CAIXA DE LUZ  4 X 2"""</f>
        <v>CAIXA DE LUZ  4 X 2"</v>
      </c>
      <c r="C4352" s="2" t="str">
        <f t="shared" si="177"/>
        <v>UN</v>
      </c>
      <c r="D4352" s="7">
        <v>601</v>
      </c>
      <c r="E4352" s="3">
        <v>8</v>
      </c>
      <c r="F4352" s="3">
        <v>8</v>
      </c>
      <c r="G4352" t="s">
        <v>512</v>
      </c>
    </row>
    <row r="4353" spans="1:7" x14ac:dyDescent="0.25">
      <c r="A4353" s="1" t="str">
        <f>"520923"</f>
        <v>520923</v>
      </c>
      <c r="B4353" s="2" t="str">
        <f>"CAIXA DE LUZ  4 X 4"""</f>
        <v>CAIXA DE LUZ  4 X 4"</v>
      </c>
      <c r="C4353" s="2" t="str">
        <f t="shared" si="177"/>
        <v>UN</v>
      </c>
      <c r="D4353" s="7">
        <v>601</v>
      </c>
      <c r="E4353" s="3">
        <v>8</v>
      </c>
      <c r="F4353" s="3">
        <v>8</v>
      </c>
      <c r="G4353" t="s">
        <v>513</v>
      </c>
    </row>
    <row r="4354" spans="1:7" x14ac:dyDescent="0.25">
      <c r="A4354" s="1" t="str">
        <f>"514266"</f>
        <v>514266</v>
      </c>
      <c r="B4354" s="2" t="str">
        <f>"CAIXA DE MADEIRA PARA EMBALAGEM"</f>
        <v>CAIXA DE MADEIRA PARA EMBALAGEM</v>
      </c>
      <c r="C4354" s="2" t="str">
        <f t="shared" si="177"/>
        <v>UN</v>
      </c>
      <c r="D4354" s="7">
        <v>811</v>
      </c>
      <c r="E4354" s="3">
        <v>8</v>
      </c>
      <c r="F4354" s="3">
        <v>8</v>
      </c>
      <c r="G4354" t="s">
        <v>514</v>
      </c>
    </row>
    <row r="4355" spans="1:7" x14ac:dyDescent="0.25">
      <c r="A4355" s="1" t="str">
        <f>"521132"</f>
        <v>521132</v>
      </c>
      <c r="B4355" s="2" t="str">
        <f>"CAIXA DE PAPELÃO 30 FRASCOS"</f>
        <v>CAIXA DE PAPELÃO 30 FRASCOS</v>
      </c>
      <c r="C4355" s="2" t="str">
        <f t="shared" si="177"/>
        <v>UN</v>
      </c>
      <c r="D4355" s="7">
        <v>402</v>
      </c>
      <c r="E4355" s="3">
        <v>4</v>
      </c>
      <c r="F4355" s="3">
        <v>4</v>
      </c>
      <c r="G4355" t="s">
        <v>515</v>
      </c>
    </row>
    <row r="4356" spans="1:7" x14ac:dyDescent="0.25">
      <c r="A4356" s="1" t="str">
        <f>"521133"</f>
        <v>521133</v>
      </c>
      <c r="B4356" s="2" t="str">
        <f>"CAIXA DE PAPELÃO 60 FRASCOS"</f>
        <v>CAIXA DE PAPELÃO 60 FRASCOS</v>
      </c>
      <c r="C4356" s="2" t="str">
        <f t="shared" si="177"/>
        <v>UN</v>
      </c>
      <c r="D4356" s="7">
        <v>402</v>
      </c>
      <c r="E4356" s="3">
        <v>4</v>
      </c>
      <c r="F4356" s="3">
        <v>4</v>
      </c>
      <c r="G4356" t="s">
        <v>512</v>
      </c>
    </row>
    <row r="4357" spans="1:7" x14ac:dyDescent="0.25">
      <c r="A4357" s="1" t="str">
        <f>"526150"</f>
        <v>526150</v>
      </c>
      <c r="B4357" s="2" t="str">
        <f>"CAIXA DE PASSAGEM 15X15 FERRO P/ PAREDE"</f>
        <v>CAIXA DE PASSAGEM 15X15 FERRO P/ PAREDE</v>
      </c>
      <c r="C4357" s="2" t="str">
        <f t="shared" si="177"/>
        <v>UN</v>
      </c>
      <c r="D4357" s="7">
        <v>917</v>
      </c>
      <c r="E4357" s="3">
        <v>11</v>
      </c>
      <c r="F4357" s="3">
        <v>11</v>
      </c>
      <c r="G4357" t="s">
        <v>516</v>
      </c>
    </row>
    <row r="4358" spans="1:7" x14ac:dyDescent="0.25">
      <c r="A4358" s="1" t="str">
        <f>"526151"</f>
        <v>526151</v>
      </c>
      <c r="B4358" s="2" t="str">
        <f>"CAIXA DE PASSAGEM 20X20 FERRO P/ PAREDE"</f>
        <v>CAIXA DE PASSAGEM 20X20 FERRO P/ PAREDE</v>
      </c>
      <c r="C4358" s="2" t="str">
        <f t="shared" ref="C4358:C4375" si="178">"UN"</f>
        <v>UN</v>
      </c>
      <c r="D4358" s="7">
        <v>917</v>
      </c>
      <c r="E4358" s="3">
        <v>11</v>
      </c>
      <c r="F4358" s="3">
        <v>11</v>
      </c>
      <c r="G4358" t="s">
        <v>515</v>
      </c>
    </row>
    <row r="4359" spans="1:7" x14ac:dyDescent="0.25">
      <c r="A4359" s="1" t="str">
        <f>"522781"</f>
        <v>522781</v>
      </c>
      <c r="B4359" s="2" t="str">
        <f>"CAIXA DE PASSAGEM ALUMINIO 30X30X12CM WETTZEL"</f>
        <v>CAIXA DE PASSAGEM ALUMINIO 30X30X12CM WETTZEL</v>
      </c>
      <c r="C4359" s="2" t="str">
        <f t="shared" si="178"/>
        <v>UN</v>
      </c>
      <c r="D4359" s="7">
        <v>601</v>
      </c>
      <c r="E4359" s="3">
        <v>8</v>
      </c>
      <c r="F4359" s="3">
        <v>8</v>
      </c>
      <c r="G4359" t="s">
        <v>514</v>
      </c>
    </row>
    <row r="4360" spans="1:7" x14ac:dyDescent="0.25">
      <c r="A4360" s="1" t="str">
        <f>"510343"</f>
        <v>510343</v>
      </c>
      <c r="B4360" s="2" t="str">
        <f>"CAIXA DE PROTEÇAO ALUMINIO MEDIA"</f>
        <v>CAIXA DE PROTEÇAO ALUMINIO MEDIA</v>
      </c>
      <c r="C4360" s="2" t="str">
        <f t="shared" si="178"/>
        <v>UN</v>
      </c>
      <c r="D4360" s="7">
        <v>601</v>
      </c>
      <c r="E4360" s="3">
        <v>8</v>
      </c>
      <c r="F4360" s="3">
        <v>8</v>
      </c>
      <c r="G4360" t="s">
        <v>512</v>
      </c>
    </row>
    <row r="4361" spans="1:7" x14ac:dyDescent="0.25">
      <c r="A4361" s="1" t="str">
        <f>"521297"</f>
        <v>521297</v>
      </c>
      <c r="B4361" s="2" t="str">
        <f>"CAIXA DE SOM"</f>
        <v>CAIXA DE SOM</v>
      </c>
      <c r="C4361" s="2" t="str">
        <f t="shared" si="178"/>
        <v>UN</v>
      </c>
      <c r="D4361" s="7">
        <v>99999</v>
      </c>
      <c r="E4361" s="3">
        <v>99</v>
      </c>
      <c r="F4361" s="3">
        <v>99</v>
      </c>
      <c r="G4361" t="s">
        <v>513</v>
      </c>
    </row>
    <row r="4362" spans="1:7" x14ac:dyDescent="0.25">
      <c r="A4362" s="1" t="str">
        <f>"506961"</f>
        <v>506961</v>
      </c>
      <c r="B4362" s="2" t="str">
        <f>"CAIXA DERIVAÇAO POLIWETZEL MODELO X 1"""</f>
        <v>CAIXA DERIVAÇAO POLIWETZEL MODELO X 1"</v>
      </c>
      <c r="C4362" s="2" t="str">
        <f t="shared" si="178"/>
        <v>UN</v>
      </c>
      <c r="D4362" s="7">
        <v>917</v>
      </c>
      <c r="E4362" s="3">
        <v>11</v>
      </c>
      <c r="F4362" s="3">
        <v>11</v>
      </c>
      <c r="G4362" t="s">
        <v>514</v>
      </c>
    </row>
    <row r="4363" spans="1:7" x14ac:dyDescent="0.25">
      <c r="A4363" s="1" t="str">
        <f>"509957"</f>
        <v>509957</v>
      </c>
      <c r="B4363" s="2" t="str">
        <f>"CAIXA DERIVAÇAO POLIWETZEL MODELO X 3/4"""</f>
        <v>CAIXA DERIVAÇAO POLIWETZEL MODELO X 3/4"</v>
      </c>
      <c r="C4363" s="2" t="str">
        <f t="shared" si="178"/>
        <v>UN</v>
      </c>
      <c r="D4363" s="7">
        <v>601</v>
      </c>
      <c r="E4363" s="3">
        <v>8</v>
      </c>
      <c r="F4363" s="3">
        <v>8</v>
      </c>
      <c r="G4363" t="s">
        <v>514</v>
      </c>
    </row>
    <row r="4364" spans="1:7" x14ac:dyDescent="0.25">
      <c r="A4364" s="1" t="str">
        <f>"508039"</f>
        <v>508039</v>
      </c>
      <c r="B4364" s="2" t="str">
        <f>"CAIXA DIGITAL C/ ADESIVOS"</f>
        <v>CAIXA DIGITAL C/ ADESIVOS</v>
      </c>
      <c r="C4364" s="2" t="str">
        <f t="shared" si="178"/>
        <v>UN</v>
      </c>
      <c r="D4364" s="7">
        <v>704</v>
      </c>
      <c r="E4364" s="3">
        <v>9</v>
      </c>
      <c r="F4364" s="3">
        <v>9</v>
      </c>
      <c r="G4364" t="s">
        <v>512</v>
      </c>
    </row>
    <row r="4365" spans="1:7" x14ac:dyDescent="0.25">
      <c r="A4365" s="1" t="str">
        <f>"518287"</f>
        <v>518287</v>
      </c>
      <c r="B4365" s="2" t="str">
        <f>"CAIXA DIREÇÃO"</f>
        <v>CAIXA DIREÇÃO</v>
      </c>
      <c r="C4365" s="2" t="str">
        <f t="shared" si="178"/>
        <v>UN</v>
      </c>
      <c r="D4365" s="7">
        <v>704</v>
      </c>
      <c r="E4365" s="3">
        <v>9</v>
      </c>
      <c r="F4365" s="3">
        <v>9</v>
      </c>
      <c r="G4365" t="s">
        <v>513</v>
      </c>
    </row>
    <row r="4366" spans="1:7" x14ac:dyDescent="0.25">
      <c r="A4366" s="1" t="str">
        <f>"508723"</f>
        <v>508723</v>
      </c>
      <c r="B4366" s="2" t="str">
        <f>"CAIXA DISTRIBUIÇAO"</f>
        <v>CAIXA DISTRIBUIÇAO</v>
      </c>
      <c r="C4366" s="2" t="str">
        <f t="shared" si="178"/>
        <v>UN</v>
      </c>
      <c r="D4366" s="7">
        <v>402</v>
      </c>
      <c r="E4366" s="3">
        <v>4</v>
      </c>
      <c r="F4366" s="3">
        <v>4</v>
      </c>
      <c r="G4366" t="s">
        <v>514</v>
      </c>
    </row>
    <row r="4367" spans="1:7" x14ac:dyDescent="0.25">
      <c r="A4367" s="1" t="str">
        <f>"525311"</f>
        <v>525311</v>
      </c>
      <c r="B4367" s="2" t="str">
        <f>"CAIXA DO PISO ADERE GB HD EXT FORMIGRES COD-04611-4"</f>
        <v>CAIXA DO PISO ADERE GB HD EXT FORMIGRES COD-04611-4</v>
      </c>
      <c r="C4367" s="2" t="str">
        <f t="shared" si="178"/>
        <v>UN</v>
      </c>
      <c r="D4367" s="7">
        <v>99999</v>
      </c>
      <c r="E4367" s="3">
        <v>99</v>
      </c>
      <c r="F4367" s="3">
        <v>99</v>
      </c>
      <c r="G4367" t="s">
        <v>514</v>
      </c>
    </row>
    <row r="4368" spans="1:7" x14ac:dyDescent="0.25">
      <c r="A4368" s="1" t="str">
        <f>"525312"</f>
        <v>525312</v>
      </c>
      <c r="B4368" s="2" t="str">
        <f>"CAIXA DO REVESTIMENTO BRANCO 32 32X45 COD 03916-1"</f>
        <v>CAIXA DO REVESTIMENTO BRANCO 32 32X45 COD 03916-1</v>
      </c>
      <c r="C4368" s="2" t="str">
        <f t="shared" si="178"/>
        <v>UN</v>
      </c>
      <c r="D4368" s="7">
        <v>99999</v>
      </c>
      <c r="E4368" s="3">
        <v>99</v>
      </c>
      <c r="F4368" s="3">
        <v>99</v>
      </c>
      <c r="G4368" t="s">
        <v>514</v>
      </c>
    </row>
    <row r="4369" spans="1:7" x14ac:dyDescent="0.25">
      <c r="A4369" s="1" t="str">
        <f>"525201"</f>
        <v>525201</v>
      </c>
      <c r="B4369" s="2" t="str">
        <f>"CAIXA ELETRICA STECK 234X174X90MM IP55"</f>
        <v>CAIXA ELETRICA STECK 234X174X90MM IP55</v>
      </c>
      <c r="C4369" s="2" t="str">
        <f t="shared" si="178"/>
        <v>UN</v>
      </c>
      <c r="D4369" s="7">
        <v>601</v>
      </c>
      <c r="E4369" s="3">
        <v>8</v>
      </c>
      <c r="F4369" s="3">
        <v>8</v>
      </c>
      <c r="G4369" t="s">
        <v>513</v>
      </c>
    </row>
    <row r="4370" spans="1:7" x14ac:dyDescent="0.25">
      <c r="A4370" s="1" t="str">
        <f>"523545"</f>
        <v>523545</v>
      </c>
      <c r="B4370" s="2" t="str">
        <f>"CAIXA EM POLIESTER 250X600X120 SCHMERSAL"</f>
        <v>CAIXA EM POLIESTER 250X600X120 SCHMERSAL</v>
      </c>
      <c r="C4370" s="2" t="str">
        <f t="shared" si="178"/>
        <v>UN</v>
      </c>
      <c r="D4370" s="7">
        <v>811</v>
      </c>
      <c r="E4370" s="3">
        <v>8</v>
      </c>
      <c r="F4370" s="3">
        <v>8</v>
      </c>
      <c r="G4370" t="s">
        <v>512</v>
      </c>
    </row>
    <row r="4371" spans="1:7" x14ac:dyDescent="0.25">
      <c r="A4371" s="1" t="str">
        <f>"528097"</f>
        <v>528097</v>
      </c>
      <c r="B4371" s="2" t="str">
        <f>"CAIXA EMERGENCIA P/ CHAVES"</f>
        <v>CAIXA EMERGENCIA P/ CHAVES</v>
      </c>
      <c r="C4371" s="2" t="str">
        <f t="shared" si="178"/>
        <v>UN</v>
      </c>
      <c r="D4371" s="7">
        <v>99999</v>
      </c>
      <c r="E4371" s="3">
        <v>99</v>
      </c>
      <c r="F4371" s="3">
        <v>99</v>
      </c>
      <c r="G4371" t="s">
        <v>513</v>
      </c>
    </row>
    <row r="4372" spans="1:7" x14ac:dyDescent="0.25">
      <c r="A4372" s="1" t="str">
        <f>"522870"</f>
        <v>522870</v>
      </c>
      <c r="B4372" s="2" t="str">
        <f>"CAIXA ESTANQUE 4X2 C/ 2 EMBUTES SISTEMA AQUATIC"</f>
        <v>CAIXA ESTANQUE 4X2 C/ 2 EMBUTES SISTEMA AQUATIC</v>
      </c>
      <c r="C4372" s="2" t="str">
        <f t="shared" si="178"/>
        <v>UN</v>
      </c>
      <c r="D4372" s="7">
        <v>601</v>
      </c>
      <c r="E4372" s="3">
        <v>8</v>
      </c>
      <c r="F4372" s="3">
        <v>8</v>
      </c>
      <c r="G4372" t="s">
        <v>514</v>
      </c>
    </row>
    <row r="4373" spans="1:7" x14ac:dyDescent="0.25">
      <c r="A4373" s="1" t="str">
        <f>"527402"</f>
        <v>527402</v>
      </c>
      <c r="B4373" s="2" t="str">
        <f>"CAIXA ESTANQUE AQUATIC PIAL LEGRAND CÓD. 64221"</f>
        <v>CAIXA ESTANQUE AQUATIC PIAL LEGRAND CÓD. 64221</v>
      </c>
      <c r="C4373" s="2" t="str">
        <f t="shared" si="178"/>
        <v>UN</v>
      </c>
      <c r="D4373" s="7">
        <v>811</v>
      </c>
      <c r="E4373" s="3">
        <v>8</v>
      </c>
      <c r="F4373" s="3">
        <v>8</v>
      </c>
      <c r="G4373" t="s">
        <v>514</v>
      </c>
    </row>
    <row r="4374" spans="1:7" x14ac:dyDescent="0.25">
      <c r="A4374" s="1" t="str">
        <f>"508002"</f>
        <v>508002</v>
      </c>
      <c r="B4374" s="2" t="str">
        <f>"CAIXA FIBRA 40000LT C/ TAMPA"</f>
        <v>CAIXA FIBRA 40000LT C/ TAMPA</v>
      </c>
      <c r="C4374" s="2" t="str">
        <f t="shared" si="178"/>
        <v>UN</v>
      </c>
      <c r="D4374" s="7">
        <v>803</v>
      </c>
      <c r="E4374" s="3">
        <v>10</v>
      </c>
      <c r="F4374" s="3">
        <v>10</v>
      </c>
      <c r="G4374" t="s">
        <v>514</v>
      </c>
    </row>
    <row r="4375" spans="1:7" x14ac:dyDescent="0.25">
      <c r="A4375" s="1" t="str">
        <f>"518559"</f>
        <v>518559</v>
      </c>
      <c r="B4375" s="2" t="str">
        <f>"CAIXA GORDURA C/ TAMPA 50 X 100MM"</f>
        <v>CAIXA GORDURA C/ TAMPA 50 X 100MM</v>
      </c>
      <c r="C4375" s="2" t="str">
        <f t="shared" si="178"/>
        <v>UN</v>
      </c>
      <c r="D4375" s="7">
        <v>917</v>
      </c>
      <c r="E4375" s="3">
        <v>10</v>
      </c>
      <c r="F4375" s="3">
        <v>10</v>
      </c>
      <c r="G4375" t="s">
        <v>513</v>
      </c>
    </row>
    <row r="4376" spans="1:7" x14ac:dyDescent="0.25">
      <c r="A4376" s="1" t="str">
        <f>"508949"</f>
        <v>508949</v>
      </c>
      <c r="B4376" s="2" t="str">
        <f>"CAIXA INFERIOR PILOTO ""P"""</f>
        <v>CAIXA INFERIOR PILOTO "P"</v>
      </c>
      <c r="C4376" s="2" t="str">
        <f>"PC"</f>
        <v>PC</v>
      </c>
      <c r="D4376" s="7">
        <v>803</v>
      </c>
      <c r="E4376" s="3">
        <v>10</v>
      </c>
      <c r="F4376" s="3">
        <v>10</v>
      </c>
      <c r="G4376" t="s">
        <v>513</v>
      </c>
    </row>
    <row r="4377" spans="1:7" x14ac:dyDescent="0.25">
      <c r="A4377" s="1" t="str">
        <f>"522165"</f>
        <v>522165</v>
      </c>
      <c r="B4377" s="2" t="str">
        <f>"CAIXA INSP. SUSPENSA ALUMINIO 160X160X70MM BOCAL 1"" INTERNO"</f>
        <v>CAIXA INSP. SUSPENSA ALUMINIO 160X160X70MM BOCAL 1" INTERNO</v>
      </c>
      <c r="C4377" s="2" t="str">
        <f t="shared" ref="C4377:C4402" si="179">"UN"</f>
        <v>UN</v>
      </c>
      <c r="D4377" s="7">
        <v>811</v>
      </c>
      <c r="E4377" s="3">
        <v>8</v>
      </c>
      <c r="F4377" s="3">
        <v>8</v>
      </c>
      <c r="G4377" t="s">
        <v>513</v>
      </c>
    </row>
    <row r="4378" spans="1:7" x14ac:dyDescent="0.25">
      <c r="A4378" s="1" t="str">
        <f>"522609"</f>
        <v>522609</v>
      </c>
      <c r="B4378" s="2" t="str">
        <f>"CAIXA INSPEÇÃO 200MM C/ TAMPA P/ ATERRAMENTO"</f>
        <v>CAIXA INSPEÇÃO 200MM C/ TAMPA P/ ATERRAMENTO</v>
      </c>
      <c r="C4378" s="2" t="str">
        <f t="shared" si="179"/>
        <v>UN</v>
      </c>
      <c r="D4378" s="7">
        <v>918</v>
      </c>
      <c r="E4378" s="3">
        <v>11</v>
      </c>
      <c r="F4378" s="3">
        <v>11</v>
      </c>
      <c r="G4378" t="s">
        <v>512</v>
      </c>
    </row>
    <row r="4379" spans="1:7" x14ac:dyDescent="0.25">
      <c r="A4379" s="1" t="str">
        <f>"522155"</f>
        <v>522155</v>
      </c>
      <c r="B4379" s="2" t="str">
        <f>"CAIXA INSPEÇÃO 300MM C/ TAMPA TIPO SOLO"</f>
        <v>CAIXA INSPEÇÃO 300MM C/ TAMPA TIPO SOLO</v>
      </c>
      <c r="C4379" s="2" t="str">
        <f t="shared" si="179"/>
        <v>UN</v>
      </c>
      <c r="D4379" s="7">
        <v>918</v>
      </c>
      <c r="E4379" s="3">
        <v>11</v>
      </c>
      <c r="F4379" s="3">
        <v>11</v>
      </c>
      <c r="G4379" t="s">
        <v>513</v>
      </c>
    </row>
    <row r="4380" spans="1:7" x14ac:dyDescent="0.25">
      <c r="A4380" s="1" t="str">
        <f>"510973"</f>
        <v>510973</v>
      </c>
      <c r="B4380" s="2" t="str">
        <f>"CAIXA INSPEÇAO CONICA C/ TAMPA"</f>
        <v>CAIXA INSPEÇAO CONICA C/ TAMPA</v>
      </c>
      <c r="C4380" s="2" t="str">
        <f t="shared" si="179"/>
        <v>UN</v>
      </c>
      <c r="D4380" s="7">
        <v>601</v>
      </c>
      <c r="E4380" s="3">
        <v>8</v>
      </c>
      <c r="F4380" s="3">
        <v>8</v>
      </c>
      <c r="G4380" t="s">
        <v>514</v>
      </c>
    </row>
    <row r="4381" spans="1:7" x14ac:dyDescent="0.25">
      <c r="A4381" s="1" t="str">
        <f>"509484"</f>
        <v>509484</v>
      </c>
      <c r="B4381" s="2" t="str">
        <f>"CAIXA ISOTERMICA 34LTS COLEMAN"</f>
        <v>CAIXA ISOTERMICA 34LTS COLEMAN</v>
      </c>
      <c r="C4381" s="2" t="str">
        <f t="shared" si="179"/>
        <v>UN</v>
      </c>
      <c r="D4381" s="7">
        <v>402</v>
      </c>
      <c r="E4381" s="3">
        <v>4</v>
      </c>
      <c r="F4381" s="3">
        <v>4</v>
      </c>
      <c r="G4381" t="s">
        <v>515</v>
      </c>
    </row>
    <row r="4382" spans="1:7" x14ac:dyDescent="0.25">
      <c r="A4382" s="1" t="str">
        <f>"512524"</f>
        <v>512524</v>
      </c>
      <c r="B4382" s="2" t="str">
        <f>"CAIXA MADEIRA EMBALAGEM"</f>
        <v>CAIXA MADEIRA EMBALAGEM</v>
      </c>
      <c r="C4382" s="2" t="str">
        <f t="shared" si="179"/>
        <v>UN</v>
      </c>
      <c r="D4382" s="7">
        <v>601</v>
      </c>
      <c r="E4382" s="3">
        <v>8</v>
      </c>
      <c r="F4382" s="3">
        <v>8</v>
      </c>
      <c r="G4382" t="s">
        <v>512</v>
      </c>
    </row>
    <row r="4383" spans="1:7" x14ac:dyDescent="0.25">
      <c r="A4383" s="1" t="str">
        <f>"511845"</f>
        <v>511845</v>
      </c>
      <c r="B4383" s="2" t="str">
        <f>"CAIXA MANDO CARRO LAMINA"</f>
        <v>CAIXA MANDO CARRO LAMINA</v>
      </c>
      <c r="C4383" s="2" t="str">
        <f t="shared" si="179"/>
        <v>UN</v>
      </c>
      <c r="D4383" s="7">
        <v>918</v>
      </c>
      <c r="E4383" s="3">
        <v>11</v>
      </c>
      <c r="F4383" s="3">
        <v>11</v>
      </c>
      <c r="G4383" t="s">
        <v>516</v>
      </c>
    </row>
    <row r="4384" spans="1:7" x14ac:dyDescent="0.25">
      <c r="A4384" s="1" t="str">
        <f>"511627"</f>
        <v>511627</v>
      </c>
      <c r="B4384" s="2" t="str">
        <f>"CAIXA MANDO CARRO LAMINADO"</f>
        <v>CAIXA MANDO CARRO LAMINADO</v>
      </c>
      <c r="C4384" s="2" t="str">
        <f t="shared" si="179"/>
        <v>UN</v>
      </c>
      <c r="D4384" s="7">
        <v>918</v>
      </c>
      <c r="E4384" s="3">
        <v>11</v>
      </c>
      <c r="F4384" s="3">
        <v>11</v>
      </c>
      <c r="G4384" t="s">
        <v>515</v>
      </c>
    </row>
    <row r="4385" spans="1:7" x14ac:dyDescent="0.25">
      <c r="A4385" s="1" t="str">
        <f>"523929"</f>
        <v>523929</v>
      </c>
      <c r="B4385" s="2" t="str">
        <f>"CAIXA MATERIAL PERFURO CORTANTE 3 LITROS"</f>
        <v>CAIXA MATERIAL PERFURO CORTANTE 3 LITROS</v>
      </c>
      <c r="C4385" s="2" t="str">
        <f t="shared" si="179"/>
        <v>UN</v>
      </c>
      <c r="D4385" s="7">
        <v>99999</v>
      </c>
      <c r="E4385" s="3">
        <v>99</v>
      </c>
      <c r="F4385" s="3">
        <v>99</v>
      </c>
      <c r="G4385" t="s">
        <v>514</v>
      </c>
    </row>
    <row r="4386" spans="1:7" x14ac:dyDescent="0.25">
      <c r="A4386" s="1" t="str">
        <f>"522610"</f>
        <v>522610</v>
      </c>
      <c r="B4386" s="2" t="str">
        <f>"CAIXA MEDIÇÃO P/ ATERRAMENTO PVC 30X30CM C/ TAMPA"</f>
        <v>CAIXA MEDIÇÃO P/ ATERRAMENTO PVC 30X30CM C/ TAMPA</v>
      </c>
      <c r="C4386" s="2" t="str">
        <f t="shared" si="179"/>
        <v>UN</v>
      </c>
      <c r="D4386" s="7">
        <v>918</v>
      </c>
      <c r="E4386" s="3">
        <v>11</v>
      </c>
      <c r="F4386" s="3">
        <v>11</v>
      </c>
      <c r="G4386" t="s">
        <v>512</v>
      </c>
    </row>
    <row r="4387" spans="1:7" x14ac:dyDescent="0.25">
      <c r="A4387" s="1" t="str">
        <f>"505627"</f>
        <v>505627</v>
      </c>
      <c r="B4387" s="2" t="str">
        <f>"CAIXA METAL PADRAO CPFL 220V"</f>
        <v>CAIXA METAL PADRAO CPFL 220V</v>
      </c>
      <c r="C4387" s="2" t="str">
        <f t="shared" si="179"/>
        <v>UN</v>
      </c>
      <c r="D4387" s="7">
        <v>601</v>
      </c>
      <c r="E4387" s="3">
        <v>8</v>
      </c>
      <c r="F4387" s="3">
        <v>8</v>
      </c>
      <c r="G4387" t="s">
        <v>513</v>
      </c>
    </row>
    <row r="4388" spans="1:7" x14ac:dyDescent="0.25">
      <c r="A4388" s="1" t="str">
        <f>"508921"</f>
        <v>508921</v>
      </c>
      <c r="B4388" s="2" t="str">
        <f>"CAIXA MICRONDULADO"</f>
        <v>CAIXA MICRONDULADO</v>
      </c>
      <c r="C4388" s="2" t="str">
        <f t="shared" si="179"/>
        <v>UN</v>
      </c>
      <c r="D4388" s="7">
        <v>402</v>
      </c>
      <c r="E4388" s="3">
        <v>4</v>
      </c>
      <c r="F4388" s="3">
        <v>4</v>
      </c>
      <c r="G4388" t="s">
        <v>514</v>
      </c>
    </row>
    <row r="4389" spans="1:7" x14ac:dyDescent="0.25">
      <c r="A4389" s="1" t="str">
        <f>"521641"</f>
        <v>521641</v>
      </c>
      <c r="B4389" s="2" t="str">
        <f>"CAIXA NITRONBOX MEDIO"</f>
        <v>CAIXA NITRONBOX MEDIO</v>
      </c>
      <c r="C4389" s="2" t="str">
        <f t="shared" si="179"/>
        <v>UN</v>
      </c>
      <c r="D4389" s="7">
        <v>99999</v>
      </c>
      <c r="E4389" s="3">
        <v>99</v>
      </c>
      <c r="F4389" s="3">
        <v>99</v>
      </c>
      <c r="G4389" t="s">
        <v>514</v>
      </c>
    </row>
    <row r="4390" spans="1:7" x14ac:dyDescent="0.25">
      <c r="A4390" s="1" t="str">
        <f>"573807"</f>
        <v>573807</v>
      </c>
      <c r="B4390" s="2" t="str">
        <f>"CAIXA NITRONBOX MEDIO NITRON 109"</f>
        <v>CAIXA NITRONBOX MEDIO NITRON 109</v>
      </c>
      <c r="C4390" s="2" t="str">
        <f t="shared" si="179"/>
        <v>UN</v>
      </c>
      <c r="D4390" s="7">
        <v>1300</v>
      </c>
      <c r="E4390" s="3">
        <v>13</v>
      </c>
      <c r="F4390" s="3">
        <v>13</v>
      </c>
      <c r="G4390" t="s">
        <v>512</v>
      </c>
    </row>
    <row r="4391" spans="1:7" x14ac:dyDescent="0.25">
      <c r="A4391" s="1" t="str">
        <f>"512842"</f>
        <v>512842</v>
      </c>
      <c r="B4391" s="2" t="str">
        <f>"CAIXA ORGANIZADORA  12L"</f>
        <v>CAIXA ORGANIZADORA  12L</v>
      </c>
      <c r="C4391" s="2" t="str">
        <f t="shared" si="179"/>
        <v>UN</v>
      </c>
      <c r="D4391" s="7">
        <v>1200</v>
      </c>
      <c r="E4391" s="3">
        <v>4</v>
      </c>
      <c r="F4391" s="3">
        <v>4</v>
      </c>
      <c r="G4391" t="s">
        <v>513</v>
      </c>
    </row>
    <row r="4392" spans="1:7" x14ac:dyDescent="0.25">
      <c r="A4392" s="1" t="str">
        <f>"518684"</f>
        <v>518684</v>
      </c>
      <c r="B4392" s="2" t="str">
        <f>"CAIXA ORGANIZADORA  50LT"</f>
        <v>CAIXA ORGANIZADORA  50LT</v>
      </c>
      <c r="C4392" s="2" t="str">
        <f t="shared" si="179"/>
        <v>UN</v>
      </c>
      <c r="D4392" s="7">
        <v>1200</v>
      </c>
      <c r="E4392" s="3">
        <v>4</v>
      </c>
      <c r="F4392" s="3">
        <v>4</v>
      </c>
      <c r="G4392" t="s">
        <v>514</v>
      </c>
    </row>
    <row r="4393" spans="1:7" x14ac:dyDescent="0.25">
      <c r="A4393" s="1" t="str">
        <f>"522187"</f>
        <v>522187</v>
      </c>
      <c r="B4393" s="2" t="str">
        <f>"CAIXA ORGANIZADORA 06L"</f>
        <v>CAIXA ORGANIZADORA 06L</v>
      </c>
      <c r="C4393" s="2" t="str">
        <f t="shared" si="179"/>
        <v>UN</v>
      </c>
      <c r="D4393" s="7">
        <v>1200</v>
      </c>
      <c r="E4393" s="3">
        <v>4</v>
      </c>
      <c r="F4393" s="3">
        <v>4</v>
      </c>
      <c r="G4393" t="s">
        <v>514</v>
      </c>
    </row>
    <row r="4394" spans="1:7" x14ac:dyDescent="0.25">
      <c r="A4394" s="1" t="str">
        <f>"527649"</f>
        <v>527649</v>
      </c>
      <c r="B4394" s="2" t="str">
        <f>"CAIXA ORGANIZADORA 25L"</f>
        <v>CAIXA ORGANIZADORA 25L</v>
      </c>
      <c r="C4394" s="2" t="str">
        <f t="shared" si="179"/>
        <v>UN</v>
      </c>
      <c r="D4394" s="7">
        <v>1200</v>
      </c>
      <c r="E4394" s="3">
        <v>4</v>
      </c>
      <c r="F4394" s="3">
        <v>4</v>
      </c>
      <c r="G4394" t="s">
        <v>514</v>
      </c>
    </row>
    <row r="4395" spans="1:7" x14ac:dyDescent="0.25">
      <c r="A4395" s="1" t="str">
        <f>"528115"</f>
        <v>528115</v>
      </c>
      <c r="B4395" s="2" t="str">
        <f>"CAIXA ORGANIZADORA DE PROTECAO SOBREPOR 8,5X8,5CM"</f>
        <v>CAIXA ORGANIZADORA DE PROTECAO SOBREPOR 8,5X8,5CM</v>
      </c>
      <c r="C4395" s="2" t="str">
        <f t="shared" si="179"/>
        <v>UN</v>
      </c>
      <c r="D4395" s="7">
        <v>919</v>
      </c>
      <c r="E4395" s="3">
        <v>10</v>
      </c>
      <c r="F4395" s="3">
        <v>10</v>
      </c>
      <c r="G4395" t="s">
        <v>513</v>
      </c>
    </row>
    <row r="4396" spans="1:7" x14ac:dyDescent="0.25">
      <c r="A4396" s="1" t="str">
        <f>"523138"</f>
        <v>523138</v>
      </c>
      <c r="B4396" s="2" t="str">
        <f>"CAIXA P/ BOTOEIRA 2 FUROS 22MM"</f>
        <v>CAIXA P/ BOTOEIRA 2 FUROS 22MM</v>
      </c>
      <c r="C4396" s="2" t="str">
        <f t="shared" si="179"/>
        <v>UN</v>
      </c>
      <c r="D4396" s="7">
        <v>601</v>
      </c>
      <c r="E4396" s="3">
        <v>8</v>
      </c>
      <c r="F4396" s="3">
        <v>8</v>
      </c>
      <c r="G4396" t="s">
        <v>512</v>
      </c>
    </row>
    <row r="4397" spans="1:7" x14ac:dyDescent="0.25">
      <c r="A4397" s="1" t="str">
        <f>"514825"</f>
        <v>514825</v>
      </c>
      <c r="B4397" s="2" t="str">
        <f>"CAIXA P/ DESCARGA COMPLETA"</f>
        <v>CAIXA P/ DESCARGA COMPLETA</v>
      </c>
      <c r="C4397" s="2" t="str">
        <f t="shared" si="179"/>
        <v>UN</v>
      </c>
      <c r="D4397" s="7">
        <v>917</v>
      </c>
      <c r="E4397" s="3">
        <v>10</v>
      </c>
      <c r="F4397" s="3">
        <v>10</v>
      </c>
      <c r="G4397" t="s">
        <v>513</v>
      </c>
    </row>
    <row r="4398" spans="1:7" x14ac:dyDescent="0.25">
      <c r="A4398" s="1" t="str">
        <f>"509315"</f>
        <v>509315</v>
      </c>
      <c r="B4398" s="2" t="str">
        <f>"CAIXA P/ FLORES 38X38 REF.906.1"</f>
        <v>CAIXA P/ FLORES 38X38 REF.906.1</v>
      </c>
      <c r="C4398" s="2" t="str">
        <f t="shared" si="179"/>
        <v>UN</v>
      </c>
      <c r="D4398" s="7">
        <v>403</v>
      </c>
      <c r="E4398" s="3">
        <v>4</v>
      </c>
      <c r="F4398" s="3">
        <v>4</v>
      </c>
      <c r="G4398" t="s">
        <v>514</v>
      </c>
    </row>
    <row r="4399" spans="1:7" x14ac:dyDescent="0.25">
      <c r="A4399" s="1" t="str">
        <f>"510975"</f>
        <v>510975</v>
      </c>
      <c r="B4399" s="2" t="str">
        <f>"CAIXA PADRAO TIPO V"</f>
        <v>CAIXA PADRAO TIPO V</v>
      </c>
      <c r="C4399" s="2" t="str">
        <f t="shared" si="179"/>
        <v>UN</v>
      </c>
      <c r="D4399" s="7">
        <v>601</v>
      </c>
      <c r="E4399" s="3">
        <v>8</v>
      </c>
      <c r="F4399" s="3">
        <v>8</v>
      </c>
      <c r="G4399" t="s">
        <v>514</v>
      </c>
    </row>
    <row r="4400" spans="1:7" x14ac:dyDescent="0.25">
      <c r="A4400" s="1" t="str">
        <f>"524253"</f>
        <v>524253</v>
      </c>
      <c r="B4400" s="2" t="str">
        <f>"CAIXA PAPELÃO 345X275X108MM"</f>
        <v>CAIXA PAPELÃO 345X275X108MM</v>
      </c>
      <c r="C4400" s="2" t="str">
        <f t="shared" si="179"/>
        <v>UN</v>
      </c>
      <c r="D4400" s="7">
        <v>99999</v>
      </c>
      <c r="E4400" s="3">
        <v>99</v>
      </c>
      <c r="F4400" s="3">
        <v>99</v>
      </c>
      <c r="G4400" t="s">
        <v>514</v>
      </c>
    </row>
    <row r="4401" spans="1:7" x14ac:dyDescent="0.25">
      <c r="A4401" s="1" t="str">
        <f>"516637"</f>
        <v>516637</v>
      </c>
      <c r="B4401" s="2" t="str">
        <f>"CAIXA PAPELAO GIACOMINI"</f>
        <v>CAIXA PAPELAO GIACOMINI</v>
      </c>
      <c r="C4401" s="2" t="str">
        <f t="shared" si="179"/>
        <v>UN</v>
      </c>
      <c r="D4401" s="7">
        <v>301</v>
      </c>
      <c r="E4401" s="3">
        <v>4</v>
      </c>
      <c r="F4401" s="3">
        <v>4</v>
      </c>
      <c r="G4401" t="s">
        <v>513</v>
      </c>
    </row>
    <row r="4402" spans="1:7" x14ac:dyDescent="0.25">
      <c r="A4402" s="1" t="str">
        <f>"514407"</f>
        <v>514407</v>
      </c>
      <c r="B4402" s="2" t="str">
        <f>"CAIXA PARA ACOPLAR DECA"</f>
        <v>CAIXA PARA ACOPLAR DECA</v>
      </c>
      <c r="C4402" s="2" t="str">
        <f t="shared" si="179"/>
        <v>UN</v>
      </c>
      <c r="D4402" s="7">
        <v>803</v>
      </c>
      <c r="E4402" s="3">
        <v>4</v>
      </c>
      <c r="F4402" s="3">
        <v>4</v>
      </c>
      <c r="G4402" t="s">
        <v>513</v>
      </c>
    </row>
    <row r="4403" spans="1:7" x14ac:dyDescent="0.25">
      <c r="A4403" s="1" t="str">
        <f>"6646"</f>
        <v>6646</v>
      </c>
      <c r="B4403" s="2" t="str">
        <f>"CAIXA PARA CORRESPONDENCIA ACRILICA"</f>
        <v>CAIXA PARA CORRESPONDENCIA ACRILICA</v>
      </c>
      <c r="C4403" s="2" t="str">
        <f>"PC"</f>
        <v>PC</v>
      </c>
      <c r="D4403" s="7">
        <v>401</v>
      </c>
      <c r="E4403" s="3">
        <v>4</v>
      </c>
      <c r="F4403" s="3">
        <v>4</v>
      </c>
      <c r="G4403" t="s">
        <v>513</v>
      </c>
    </row>
    <row r="4404" spans="1:7" x14ac:dyDescent="0.25">
      <c r="A4404" s="1" t="str">
        <f>"518384"</f>
        <v>518384</v>
      </c>
      <c r="B4404" s="2" t="str">
        <f>"CAIXA PASSAGEM 29/16X7 S/ TAMPA 33000 PQ. POLAR"</f>
        <v>CAIXA PASSAGEM 29/16X7 S/ TAMPA 33000 PQ. POLAR</v>
      </c>
      <c r="C4404" s="2" t="str">
        <f t="shared" ref="C4404:C4436" si="180">"UN"</f>
        <v>UN</v>
      </c>
      <c r="D4404" s="7">
        <v>811</v>
      </c>
      <c r="E4404" s="3">
        <v>8</v>
      </c>
      <c r="F4404" s="3">
        <v>8</v>
      </c>
      <c r="G4404" t="s">
        <v>512</v>
      </c>
    </row>
    <row r="4405" spans="1:7" x14ac:dyDescent="0.25">
      <c r="A4405" s="1" t="str">
        <f>"525453"</f>
        <v>525453</v>
      </c>
      <c r="B4405" s="2" t="str">
        <f>"CAIXA PASSAGEM ALUMINIO BLINDADA CP-40X40X20 WETZEL"</f>
        <v>CAIXA PASSAGEM ALUMINIO BLINDADA CP-40X40X20 WETZEL</v>
      </c>
      <c r="C4405" s="2" t="str">
        <f t="shared" si="180"/>
        <v>UN</v>
      </c>
      <c r="D4405" s="7">
        <v>811</v>
      </c>
      <c r="E4405" s="3">
        <v>10</v>
      </c>
      <c r="F4405" s="3">
        <v>10</v>
      </c>
      <c r="G4405" t="s">
        <v>513</v>
      </c>
    </row>
    <row r="4406" spans="1:7" x14ac:dyDescent="0.25">
      <c r="A4406" s="1" t="str">
        <f>"519786"</f>
        <v>519786</v>
      </c>
      <c r="B4406" s="2" t="str">
        <f>"CAIXA PASSAGEM ALUMINIO BLNDADA 40X40X20CM"</f>
        <v>CAIXA PASSAGEM ALUMINIO BLNDADA 40X40X20CM</v>
      </c>
      <c r="C4406" s="2" t="str">
        <f t="shared" si="180"/>
        <v>UN</v>
      </c>
      <c r="D4406" s="7">
        <v>811</v>
      </c>
      <c r="E4406" s="3">
        <v>8</v>
      </c>
      <c r="F4406" s="3">
        <v>8</v>
      </c>
      <c r="G4406" t="s">
        <v>514</v>
      </c>
    </row>
    <row r="4407" spans="1:7" x14ac:dyDescent="0.25">
      <c r="A4407" s="1" t="str">
        <f>"514764"</f>
        <v>514764</v>
      </c>
      <c r="B4407" s="2" t="str">
        <f>"CAIXA PASSAGEM CONC. 30 X 30"</f>
        <v>CAIXA PASSAGEM CONC. 30 X 30</v>
      </c>
      <c r="C4407" s="2" t="str">
        <f t="shared" si="180"/>
        <v>UN</v>
      </c>
      <c r="D4407" s="7">
        <v>900</v>
      </c>
      <c r="E4407" s="3">
        <v>8</v>
      </c>
      <c r="F4407" s="3">
        <v>8</v>
      </c>
      <c r="G4407" t="s">
        <v>515</v>
      </c>
    </row>
    <row r="4408" spans="1:7" x14ac:dyDescent="0.25">
      <c r="A4408" s="1" t="str">
        <f>"517778"</f>
        <v>517778</v>
      </c>
      <c r="B4408" s="2" t="str">
        <f>"CAIXA PASSAGEM TELEFONICA 4X2"</f>
        <v>CAIXA PASSAGEM TELEFONICA 4X2</v>
      </c>
      <c r="C4408" s="2" t="str">
        <f t="shared" si="180"/>
        <v>UN</v>
      </c>
      <c r="D4408" s="7">
        <v>811</v>
      </c>
      <c r="E4408" s="3">
        <v>8</v>
      </c>
      <c r="F4408" s="3">
        <v>8</v>
      </c>
      <c r="G4408" t="s">
        <v>512</v>
      </c>
    </row>
    <row r="4409" spans="1:7" x14ac:dyDescent="0.25">
      <c r="A4409" s="1" t="str">
        <f>"512510"</f>
        <v>512510</v>
      </c>
      <c r="B4409" s="2" t="str">
        <f>"CAIXA PASSAGEM TELEFONICA 4X4"</f>
        <v>CAIXA PASSAGEM TELEFONICA 4X4</v>
      </c>
      <c r="C4409" s="2" t="str">
        <f t="shared" si="180"/>
        <v>UN</v>
      </c>
      <c r="D4409" s="7">
        <v>601</v>
      </c>
      <c r="E4409" s="3">
        <v>8</v>
      </c>
      <c r="F4409" s="3">
        <v>8</v>
      </c>
      <c r="G4409" t="s">
        <v>516</v>
      </c>
    </row>
    <row r="4410" spans="1:7" x14ac:dyDescent="0.25">
      <c r="A4410" s="1" t="str">
        <f>"527613"</f>
        <v>527613</v>
      </c>
      <c r="B4410" s="2" t="str">
        <f>"CAIXA PC SMART SISTEMA OPERACIONAL WINDOWS - HMIBMIEA5DD1E01"</f>
        <v>CAIXA PC SMART SISTEMA OPERACIONAL WINDOWS - HMIBMIEA5DD1E01</v>
      </c>
      <c r="C4410" s="2" t="str">
        <f t="shared" si="180"/>
        <v>UN</v>
      </c>
      <c r="D4410" s="7">
        <v>918</v>
      </c>
      <c r="E4410" s="3">
        <v>11</v>
      </c>
      <c r="F4410" s="3">
        <v>11</v>
      </c>
      <c r="G4410" t="s">
        <v>515</v>
      </c>
    </row>
    <row r="4411" spans="1:7" x14ac:dyDescent="0.25">
      <c r="A4411" s="1" t="str">
        <f>"513208"</f>
        <v>513208</v>
      </c>
      <c r="B4411" s="2" t="str">
        <f>"CAIXA PLASTICA"</f>
        <v>CAIXA PLASTICA</v>
      </c>
      <c r="C4411" s="2" t="str">
        <f t="shared" si="180"/>
        <v>UN</v>
      </c>
      <c r="D4411" s="7">
        <v>402</v>
      </c>
      <c r="E4411" s="3">
        <v>4</v>
      </c>
      <c r="F4411" s="3">
        <v>4</v>
      </c>
      <c r="G4411" t="s">
        <v>514</v>
      </c>
    </row>
    <row r="4412" spans="1:7" x14ac:dyDescent="0.25">
      <c r="A4412" s="1" t="str">
        <f>"CO39239000"</f>
        <v>CO39239000</v>
      </c>
      <c r="B4412" s="2" t="str">
        <f>"CAIXA PLASTICA"</f>
        <v>CAIXA PLASTICA</v>
      </c>
      <c r="C4412" s="2" t="str">
        <f t="shared" si="180"/>
        <v>UN</v>
      </c>
      <c r="D4412" s="7">
        <v>99999</v>
      </c>
      <c r="E4412" s="3">
        <v>99</v>
      </c>
      <c r="F4412" s="3">
        <v>99</v>
      </c>
      <c r="G4412" t="s">
        <v>512</v>
      </c>
    </row>
    <row r="4413" spans="1:7" x14ac:dyDescent="0.25">
      <c r="A4413" s="1" t="str">
        <f>"500569"</f>
        <v>500569</v>
      </c>
      <c r="B4413" s="2" t="str">
        <f>"CAIXA PLASTICA (SISTEMA X)"</f>
        <v>CAIXA PLASTICA (SISTEMA X)</v>
      </c>
      <c r="C4413" s="2" t="str">
        <f t="shared" si="180"/>
        <v>UN</v>
      </c>
      <c r="D4413" s="7">
        <v>601</v>
      </c>
      <c r="E4413" s="3">
        <v>8</v>
      </c>
      <c r="F4413" s="3">
        <v>8</v>
      </c>
      <c r="G4413" t="s">
        <v>513</v>
      </c>
    </row>
    <row r="4414" spans="1:7" x14ac:dyDescent="0.25">
      <c r="A4414" s="1" t="str">
        <f>"501489"</f>
        <v>501489</v>
      </c>
      <c r="B4414" s="2" t="str">
        <f>"CAIXA PLASTICA 110X110X75MM REF.0003070"</f>
        <v>CAIXA PLASTICA 110X110X75MM REF.0003070</v>
      </c>
      <c r="C4414" s="2" t="str">
        <f t="shared" si="180"/>
        <v>UN</v>
      </c>
      <c r="D4414" s="7">
        <v>601</v>
      </c>
      <c r="E4414" s="3">
        <v>8</v>
      </c>
      <c r="F4414" s="3">
        <v>8</v>
      </c>
      <c r="G4414" t="s">
        <v>514</v>
      </c>
    </row>
    <row r="4415" spans="1:7" x14ac:dyDescent="0.25">
      <c r="A4415" s="1" t="str">
        <f>"527849"</f>
        <v>527849</v>
      </c>
      <c r="B4415" s="2" t="str">
        <f>"CAIXA PLASTICA 370L PRETA C/ RODIZIO E ALÇA X370RP"</f>
        <v>CAIXA PLASTICA 370L PRETA C/ RODIZIO E ALÇA X370RP</v>
      </c>
      <c r="C4415" s="2" t="str">
        <f t="shared" si="180"/>
        <v>UN</v>
      </c>
      <c r="D4415" s="7">
        <v>99999</v>
      </c>
      <c r="E4415" s="3">
        <v>99</v>
      </c>
      <c r="F4415" s="3">
        <v>99</v>
      </c>
      <c r="G4415" t="s">
        <v>514</v>
      </c>
    </row>
    <row r="4416" spans="1:7" x14ac:dyDescent="0.25">
      <c r="A4416" s="1" t="str">
        <f>"502527"</f>
        <v>502527</v>
      </c>
      <c r="B4416" s="2" t="str">
        <f>"CAIXA PLASTICA 85X85X65MM REF.003050"</f>
        <v>CAIXA PLASTICA 85X85X65MM REF.003050</v>
      </c>
      <c r="C4416" s="2" t="str">
        <f t="shared" si="180"/>
        <v>UN</v>
      </c>
      <c r="D4416" s="7">
        <v>601</v>
      </c>
      <c r="E4416" s="3">
        <v>8</v>
      </c>
      <c r="F4416" s="3">
        <v>8</v>
      </c>
      <c r="G4416" t="s">
        <v>512</v>
      </c>
    </row>
    <row r="4417" spans="1:7" x14ac:dyDescent="0.25">
      <c r="A4417" s="1" t="str">
        <f>"500313"</f>
        <v>500313</v>
      </c>
      <c r="B4417" s="2" t="str">
        <f>"CAIXA PLASTICA AMARELA - 4 X 2"</f>
        <v>CAIXA PLASTICA AMARELA - 4 X 2</v>
      </c>
      <c r="C4417" s="2" t="str">
        <f t="shared" si="180"/>
        <v>UN</v>
      </c>
      <c r="D4417" s="7">
        <v>601</v>
      </c>
      <c r="E4417" s="3">
        <v>8</v>
      </c>
      <c r="F4417" s="3">
        <v>8</v>
      </c>
      <c r="G4417" t="s">
        <v>513</v>
      </c>
    </row>
    <row r="4418" spans="1:7" x14ac:dyDescent="0.25">
      <c r="A4418" s="1" t="str">
        <f>"505913"</f>
        <v>505913</v>
      </c>
      <c r="B4418" s="2" t="str">
        <f>"CAIXA PLASTICA AMARELA - 4 X 4"</f>
        <v>CAIXA PLASTICA AMARELA - 4 X 4</v>
      </c>
      <c r="C4418" s="2" t="str">
        <f t="shared" si="180"/>
        <v>UN</v>
      </c>
      <c r="D4418" s="7">
        <v>803</v>
      </c>
      <c r="E4418" s="3">
        <v>10</v>
      </c>
      <c r="F4418" s="3">
        <v>10</v>
      </c>
      <c r="G4418" t="s">
        <v>514</v>
      </c>
    </row>
    <row r="4419" spans="1:7" x14ac:dyDescent="0.25">
      <c r="A4419" s="1" t="str">
        <f>"515353"</f>
        <v>515353</v>
      </c>
      <c r="B4419" s="2" t="str">
        <f>"CAIXA PLASTICA FORMAS DE MUSSARELA"</f>
        <v>CAIXA PLASTICA FORMAS DE MUSSARELA</v>
      </c>
      <c r="C4419" s="2" t="str">
        <f t="shared" si="180"/>
        <v>UN</v>
      </c>
      <c r="D4419" s="7">
        <v>408</v>
      </c>
      <c r="E4419" s="3">
        <v>4</v>
      </c>
      <c r="F4419" s="3">
        <v>4</v>
      </c>
      <c r="G4419" t="s">
        <v>514</v>
      </c>
    </row>
    <row r="4420" spans="1:7" x14ac:dyDescent="0.25">
      <c r="A4420" s="1" t="str">
        <f>"521383"</f>
        <v>521383</v>
      </c>
      <c r="B4420" s="2" t="str">
        <f>"CAIXA PLASTICA MS05 PP-R 18LT 200X330X470MM AZUL"</f>
        <v>CAIXA PLASTICA MS05 PP-R 18LT 200X330X470MM AZUL</v>
      </c>
      <c r="C4420" s="2" t="str">
        <f t="shared" si="180"/>
        <v>UN</v>
      </c>
      <c r="D4420" s="7">
        <v>405</v>
      </c>
      <c r="E4420" s="3">
        <v>4</v>
      </c>
      <c r="F4420" s="3">
        <v>4</v>
      </c>
      <c r="G4420" t="s">
        <v>514</v>
      </c>
    </row>
    <row r="4421" spans="1:7" x14ac:dyDescent="0.25">
      <c r="A4421" s="1" t="str">
        <f>"520985"</f>
        <v>520985</v>
      </c>
      <c r="B4421" s="2" t="str">
        <f>"CAIXA PLASTICA Nº 3 PRETA"</f>
        <v>CAIXA PLASTICA Nº 3 PRETA</v>
      </c>
      <c r="C4421" s="2" t="str">
        <f t="shared" si="180"/>
        <v>UN</v>
      </c>
      <c r="D4421" s="7">
        <v>918</v>
      </c>
      <c r="E4421" s="3">
        <v>4</v>
      </c>
      <c r="F4421" s="3">
        <v>4</v>
      </c>
      <c r="G4421" t="s">
        <v>513</v>
      </c>
    </row>
    <row r="4422" spans="1:7" x14ac:dyDescent="0.25">
      <c r="A4422" s="1" t="str">
        <f>"518447"</f>
        <v>518447</v>
      </c>
      <c r="B4422" s="2" t="str">
        <f>"CAIXA PLASTICA Nº 5 PRETA"</f>
        <v>CAIXA PLASTICA Nº 5 PRETA</v>
      </c>
      <c r="C4422" s="2" t="str">
        <f t="shared" si="180"/>
        <v>UN</v>
      </c>
      <c r="D4422" s="7">
        <v>918</v>
      </c>
      <c r="E4422" s="3">
        <v>4</v>
      </c>
      <c r="F4422" s="3">
        <v>4</v>
      </c>
      <c r="G4422" t="s">
        <v>512</v>
      </c>
    </row>
    <row r="4423" spans="1:7" x14ac:dyDescent="0.25">
      <c r="A4423" s="1" t="str">
        <f>"518446"</f>
        <v>518446</v>
      </c>
      <c r="B4423" s="2" t="str">
        <f>"CAIXA PLASTICA Nº 7 PRETA"</f>
        <v>CAIXA PLASTICA Nº 7 PRETA</v>
      </c>
      <c r="C4423" s="2" t="str">
        <f t="shared" si="180"/>
        <v>UN</v>
      </c>
      <c r="D4423" s="7">
        <v>918</v>
      </c>
      <c r="E4423" s="3">
        <v>4</v>
      </c>
      <c r="F4423" s="3">
        <v>4</v>
      </c>
      <c r="G4423" t="s">
        <v>513</v>
      </c>
    </row>
    <row r="4424" spans="1:7" x14ac:dyDescent="0.25">
      <c r="A4424" s="1" t="str">
        <f>"521042"</f>
        <v>521042</v>
      </c>
      <c r="B4424" s="2" t="str">
        <f>"CAIXA PLASTICA ORGANIZADORA 33L"</f>
        <v>CAIXA PLASTICA ORGANIZADORA 33L</v>
      </c>
      <c r="C4424" s="2" t="str">
        <f t="shared" si="180"/>
        <v>UN</v>
      </c>
      <c r="D4424" s="7">
        <v>406</v>
      </c>
      <c r="E4424" s="3">
        <v>4</v>
      </c>
      <c r="F4424" s="3">
        <v>4</v>
      </c>
      <c r="G4424" t="s">
        <v>514</v>
      </c>
    </row>
    <row r="4425" spans="1:7" x14ac:dyDescent="0.25">
      <c r="A4425" s="1" t="str">
        <f>"515351"</f>
        <v>515351</v>
      </c>
      <c r="B4425" s="2" t="str">
        <f>"CAIXA PLASTICA P/ LEITE EMPACOTADO"</f>
        <v>CAIXA PLASTICA P/ LEITE EMPACOTADO</v>
      </c>
      <c r="C4425" s="2" t="str">
        <f t="shared" si="180"/>
        <v>UN</v>
      </c>
      <c r="D4425" s="7">
        <v>408</v>
      </c>
      <c r="E4425" s="3">
        <v>4</v>
      </c>
      <c r="F4425" s="3">
        <v>4</v>
      </c>
      <c r="G4425" t="s">
        <v>514</v>
      </c>
    </row>
    <row r="4426" spans="1:7" x14ac:dyDescent="0.25">
      <c r="A4426" s="1" t="str">
        <f>"521639"</f>
        <v>521639</v>
      </c>
      <c r="B4426" s="2" t="str">
        <f>"CAIXA PLASTICA RET. 16,5LT"</f>
        <v>CAIXA PLASTICA RET. 16,5LT</v>
      </c>
      <c r="C4426" s="2" t="str">
        <f t="shared" si="180"/>
        <v>UN</v>
      </c>
      <c r="D4426" s="7">
        <v>99999</v>
      </c>
      <c r="E4426" s="3">
        <v>99</v>
      </c>
      <c r="F4426" s="3">
        <v>99</v>
      </c>
      <c r="G4426" t="s">
        <v>514</v>
      </c>
    </row>
    <row r="4427" spans="1:7" x14ac:dyDescent="0.25">
      <c r="A4427" s="1" t="str">
        <f>"515350"</f>
        <v>515350</v>
      </c>
      <c r="B4427" s="2" t="str">
        <f>"CAIXA PLASTICA VASADA 26 LITROS"</f>
        <v>CAIXA PLASTICA VASADA 26 LITROS</v>
      </c>
      <c r="C4427" s="2" t="str">
        <f t="shared" si="180"/>
        <v>UN</v>
      </c>
      <c r="D4427" s="7">
        <v>408</v>
      </c>
      <c r="E4427" s="3">
        <v>4</v>
      </c>
      <c r="F4427" s="3">
        <v>4</v>
      </c>
      <c r="G4427" t="s">
        <v>513</v>
      </c>
    </row>
    <row r="4428" spans="1:7" x14ac:dyDescent="0.25">
      <c r="A4428" s="1" t="str">
        <f>"519689"</f>
        <v>519689</v>
      </c>
      <c r="B4428" s="2" t="str">
        <f>"CAIXA PORTA CHAVE 4 X 4 ABS COM MARTELO"</f>
        <v>CAIXA PORTA CHAVE 4 X 4 ABS COM MARTELO</v>
      </c>
      <c r="C4428" s="2" t="str">
        <f t="shared" si="180"/>
        <v>UN</v>
      </c>
      <c r="D4428" s="7">
        <v>920</v>
      </c>
      <c r="E4428" s="3">
        <v>4</v>
      </c>
      <c r="F4428" s="3">
        <v>4</v>
      </c>
      <c r="G4428" t="s">
        <v>513</v>
      </c>
    </row>
    <row r="4429" spans="1:7" x14ac:dyDescent="0.25">
      <c r="A4429" s="1" t="str">
        <f>"514596"</f>
        <v>514596</v>
      </c>
      <c r="B4429" s="2" t="str">
        <f>"CAIXA PRESENTE"</f>
        <v>CAIXA PRESENTE</v>
      </c>
      <c r="C4429" s="2" t="str">
        <f t="shared" si="180"/>
        <v>UN</v>
      </c>
      <c r="D4429" s="7">
        <v>401</v>
      </c>
      <c r="E4429" s="3">
        <v>4</v>
      </c>
      <c r="F4429" s="3">
        <v>4</v>
      </c>
      <c r="G4429" t="s">
        <v>513</v>
      </c>
    </row>
    <row r="4430" spans="1:7" x14ac:dyDescent="0.25">
      <c r="A4430" s="1" t="str">
        <f>"505755"</f>
        <v>505755</v>
      </c>
      <c r="B4430" s="2" t="str">
        <f>"CAIXA PROTECAO CAMERA"</f>
        <v>CAIXA PROTECAO CAMERA</v>
      </c>
      <c r="C4430" s="2" t="str">
        <f t="shared" si="180"/>
        <v>UN</v>
      </c>
      <c r="D4430" s="7">
        <v>814</v>
      </c>
      <c r="E4430" s="3">
        <v>10</v>
      </c>
      <c r="F4430" s="3">
        <v>10</v>
      </c>
      <c r="G4430" t="s">
        <v>512</v>
      </c>
    </row>
    <row r="4431" spans="1:7" x14ac:dyDescent="0.25">
      <c r="A4431" s="1" t="str">
        <f>"510200"</f>
        <v>510200</v>
      </c>
      <c r="B4431" s="2" t="str">
        <f>"CAIXA PROTEÇAO INOX"</f>
        <v>CAIXA PROTEÇAO INOX</v>
      </c>
      <c r="C4431" s="2" t="str">
        <f t="shared" si="180"/>
        <v>UN</v>
      </c>
      <c r="D4431" s="7">
        <v>402</v>
      </c>
      <c r="E4431" s="3">
        <v>4</v>
      </c>
      <c r="F4431" s="3">
        <v>4</v>
      </c>
      <c r="G4431" t="s">
        <v>513</v>
      </c>
    </row>
    <row r="4432" spans="1:7" x14ac:dyDescent="0.25">
      <c r="A4432" s="1" t="str">
        <f>"515971"</f>
        <v>515971</v>
      </c>
      <c r="B4432" s="2" t="str">
        <f>"CAIXA PROTEÇÃO SENSOR DE FLUXO"</f>
        <v>CAIXA PROTEÇÃO SENSOR DE FLUXO</v>
      </c>
      <c r="C4432" s="2" t="str">
        <f t="shared" si="180"/>
        <v>UN</v>
      </c>
      <c r="D4432" s="7">
        <v>99999</v>
      </c>
      <c r="E4432" s="3">
        <v>99</v>
      </c>
      <c r="F4432" s="3">
        <v>99</v>
      </c>
      <c r="G4432" t="s">
        <v>514</v>
      </c>
    </row>
    <row r="4433" spans="1:7" x14ac:dyDescent="0.25">
      <c r="A4433" s="1" t="str">
        <f>"528087"</f>
        <v>528087</v>
      </c>
      <c r="B4433" s="2" t="str">
        <f>"CAIXA REQUEIJAO 400G UNIFICADA 06 UNID"</f>
        <v>CAIXA REQUEIJAO 400G UNIFICADA 06 UNID</v>
      </c>
      <c r="C4433" s="2" t="str">
        <f t="shared" si="180"/>
        <v>UN</v>
      </c>
      <c r="D4433" s="7">
        <v>301</v>
      </c>
      <c r="E4433" s="3">
        <v>1</v>
      </c>
      <c r="F4433" s="3">
        <v>1</v>
      </c>
      <c r="G4433" t="s">
        <v>515</v>
      </c>
    </row>
    <row r="4434" spans="1:7" x14ac:dyDescent="0.25">
      <c r="A4434" s="1" t="str">
        <f>"573806"</f>
        <v>573806</v>
      </c>
      <c r="B4434" s="2" t="str">
        <f>"CAIXA RET PLEION 5 L 0510 COM TAMPA"</f>
        <v>CAIXA RET PLEION 5 L 0510 COM TAMPA</v>
      </c>
      <c r="C4434" s="2" t="str">
        <f t="shared" si="180"/>
        <v>UN</v>
      </c>
      <c r="D4434" s="7">
        <v>1300</v>
      </c>
      <c r="E4434" s="3">
        <v>13</v>
      </c>
      <c r="F4434" s="3">
        <v>13</v>
      </c>
      <c r="G4434" t="s">
        <v>512</v>
      </c>
    </row>
    <row r="4435" spans="1:7" x14ac:dyDescent="0.25">
      <c r="A4435" s="1" t="str">
        <f>"511771"</f>
        <v>511771</v>
      </c>
      <c r="B4435" s="2" t="str">
        <f>"CAIXA RODA PARA-LAMA"</f>
        <v>CAIXA RODA PARA-LAMA</v>
      </c>
      <c r="C4435" s="2" t="str">
        <f t="shared" si="180"/>
        <v>UN</v>
      </c>
      <c r="D4435" s="7">
        <v>704</v>
      </c>
      <c r="E4435" s="3">
        <v>9</v>
      </c>
      <c r="F4435" s="3">
        <v>9</v>
      </c>
      <c r="G4435" t="s">
        <v>516</v>
      </c>
    </row>
    <row r="4436" spans="1:7" x14ac:dyDescent="0.25">
      <c r="A4436" s="1" t="str">
        <f>"509010"</f>
        <v>509010</v>
      </c>
      <c r="B4436" s="2" t="str">
        <f>"CAIXA SANFONADA 3 GAVETAS"</f>
        <v>CAIXA SANFONADA 3 GAVETAS</v>
      </c>
      <c r="C4436" s="2" t="str">
        <f t="shared" si="180"/>
        <v>UN</v>
      </c>
      <c r="D4436" s="7">
        <v>403</v>
      </c>
      <c r="E4436" s="3">
        <v>4</v>
      </c>
      <c r="F4436" s="3">
        <v>4</v>
      </c>
      <c r="G4436" t="s">
        <v>515</v>
      </c>
    </row>
    <row r="4437" spans="1:7" x14ac:dyDescent="0.25">
      <c r="A4437" s="1" t="str">
        <f>"522557"</f>
        <v>522557</v>
      </c>
      <c r="B4437" s="2" t="str">
        <f>"CAIXA SANFONADA PVC C/ DN 150MM"</f>
        <v>CAIXA SANFONADA PVC C/ DN 150MM</v>
      </c>
      <c r="C4437" s="2" t="str">
        <f>"BR"</f>
        <v>BR</v>
      </c>
      <c r="D4437" s="7">
        <v>809</v>
      </c>
      <c r="E4437" s="3">
        <v>10</v>
      </c>
      <c r="F4437" s="3">
        <v>10</v>
      </c>
      <c r="G4437" t="s">
        <v>514</v>
      </c>
    </row>
    <row r="4438" spans="1:7" x14ac:dyDescent="0.25">
      <c r="A4438" s="1" t="str">
        <f>"515198"</f>
        <v>515198</v>
      </c>
      <c r="B4438" s="2" t="str">
        <f>"CAIXA SECA MB 1938S"</f>
        <v>CAIXA SECA MB 1938S</v>
      </c>
      <c r="C4438" s="2" t="str">
        <f t="shared" ref="C4438:C4444" si="181">"UN"</f>
        <v>UN</v>
      </c>
      <c r="D4438" s="7">
        <v>704</v>
      </c>
      <c r="E4438" s="3">
        <v>9</v>
      </c>
      <c r="F4438" s="3">
        <v>9</v>
      </c>
      <c r="G4438" t="s">
        <v>512</v>
      </c>
    </row>
    <row r="4439" spans="1:7" x14ac:dyDescent="0.25">
      <c r="A4439" s="1" t="str">
        <f>"525403"</f>
        <v>525403</v>
      </c>
      <c r="B4439" s="2" t="str">
        <f>"CAIXA SEPARADORA DE AGUA E OLEO 3.000LT HORA LUBMIX MIX-CX30"</f>
        <v>CAIXA SEPARADORA DE AGUA E OLEO 3.000LT HORA LUBMIX MIX-CX30</v>
      </c>
      <c r="C4439" s="2" t="str">
        <f t="shared" si="181"/>
        <v>UN</v>
      </c>
      <c r="D4439" s="7">
        <v>917</v>
      </c>
      <c r="E4439" s="3">
        <v>10</v>
      </c>
      <c r="F4439" s="3">
        <v>10</v>
      </c>
      <c r="G4439" t="s">
        <v>513</v>
      </c>
    </row>
    <row r="4440" spans="1:7" x14ac:dyDescent="0.25">
      <c r="A4440" s="1" t="str">
        <f>"517354"</f>
        <v>517354</v>
      </c>
      <c r="B4440" s="2" t="str">
        <f>"CAIXA SIEMENS PARTIDA 3TW80111GA291AQ1"</f>
        <v>CAIXA SIEMENS PARTIDA 3TW80111GA291AQ1</v>
      </c>
      <c r="C4440" s="2" t="str">
        <f t="shared" si="181"/>
        <v>UN</v>
      </c>
      <c r="D4440" s="7">
        <v>811</v>
      </c>
      <c r="E4440" s="3">
        <v>8</v>
      </c>
      <c r="F4440" s="3">
        <v>8</v>
      </c>
      <c r="G4440" t="s">
        <v>514</v>
      </c>
    </row>
    <row r="4441" spans="1:7" x14ac:dyDescent="0.25">
      <c r="A4441" s="1" t="str">
        <f>"520496"</f>
        <v>520496</v>
      </c>
      <c r="B4441" s="2" t="str">
        <f>"CAIXA SIEMENS PARTIDA 3TW80212NA341AN2"</f>
        <v>CAIXA SIEMENS PARTIDA 3TW80212NA341AN2</v>
      </c>
      <c r="C4441" s="2" t="str">
        <f t="shared" si="181"/>
        <v>UN</v>
      </c>
      <c r="D4441" s="7">
        <v>811</v>
      </c>
      <c r="E4441" s="3">
        <v>8</v>
      </c>
      <c r="F4441" s="3">
        <v>8</v>
      </c>
      <c r="G4441" t="s">
        <v>514</v>
      </c>
    </row>
    <row r="4442" spans="1:7" x14ac:dyDescent="0.25">
      <c r="A4442" s="1" t="str">
        <f>"514566"</f>
        <v>514566</v>
      </c>
      <c r="B4442" s="2" t="str">
        <f>"CAIXA SIF. GORDURA TIGRE"</f>
        <v>CAIXA SIF. GORDURA TIGRE</v>
      </c>
      <c r="C4442" s="2" t="str">
        <f t="shared" si="181"/>
        <v>UN</v>
      </c>
      <c r="D4442" s="7">
        <v>917</v>
      </c>
      <c r="E4442" s="3">
        <v>10</v>
      </c>
      <c r="F4442" s="3">
        <v>10</v>
      </c>
      <c r="G4442" t="s">
        <v>512</v>
      </c>
    </row>
    <row r="4443" spans="1:7" x14ac:dyDescent="0.25">
      <c r="A4443" s="1" t="str">
        <f>"519926"</f>
        <v>519926</v>
      </c>
      <c r="B4443" s="2" t="str">
        <f>"CAIXA SIFONADA QUADRADA 100X100X50MM"</f>
        <v>CAIXA SIFONADA QUADRADA 100X100X50MM</v>
      </c>
      <c r="C4443" s="2" t="str">
        <f t="shared" si="181"/>
        <v>UN</v>
      </c>
      <c r="D4443" s="7">
        <v>917</v>
      </c>
      <c r="E4443" s="3">
        <v>10</v>
      </c>
      <c r="F4443" s="3">
        <v>10</v>
      </c>
      <c r="G4443" t="s">
        <v>513</v>
      </c>
    </row>
    <row r="4444" spans="1:7" x14ac:dyDescent="0.25">
      <c r="A4444" s="1" t="str">
        <f>"573779"</f>
        <v>573779</v>
      </c>
      <c r="B4444" s="2" t="str">
        <f>"CAIXA SILENTOQUE 4X2"</f>
        <v>CAIXA SILENTOQUE 4X2</v>
      </c>
      <c r="C4444" s="2" t="str">
        <f t="shared" si="181"/>
        <v>UN</v>
      </c>
      <c r="D4444" s="7">
        <v>301</v>
      </c>
      <c r="E4444" s="3">
        <v>4</v>
      </c>
      <c r="F4444" s="3">
        <v>4</v>
      </c>
      <c r="G4444" t="s">
        <v>514</v>
      </c>
    </row>
    <row r="4445" spans="1:7" x14ac:dyDescent="0.25">
      <c r="A4445" s="1" t="str">
        <f>"526145"</f>
        <v>526145</v>
      </c>
      <c r="B4445" s="2" t="str">
        <f>"CAIXA SOBREPOR"</f>
        <v>CAIXA SOBREPOR</v>
      </c>
      <c r="C4445" s="2" t="str">
        <f>"BR"</f>
        <v>BR</v>
      </c>
      <c r="D4445" s="7">
        <v>808</v>
      </c>
      <c r="E4445" s="3">
        <v>10</v>
      </c>
      <c r="F4445" s="3">
        <v>10</v>
      </c>
      <c r="G4445" t="s">
        <v>514</v>
      </c>
    </row>
    <row r="4446" spans="1:7" x14ac:dyDescent="0.25">
      <c r="A4446" s="1" t="str">
        <f>"521541"</f>
        <v>521541</v>
      </c>
      <c r="B4446" s="2" t="str">
        <f>"CAIXA SOM AMPLIF. STONE 250 C/ MICROF. E CARRINHO"</f>
        <v>CAIXA SOM AMPLIF. STONE 250 C/ MICROF. E CARRINHO</v>
      </c>
      <c r="C4446" s="2" t="str">
        <f t="shared" ref="C4446:C4458" si="182">"UN"</f>
        <v>UN</v>
      </c>
      <c r="D4446" s="7">
        <v>99999</v>
      </c>
      <c r="E4446" s="3">
        <v>99</v>
      </c>
      <c r="F4446" s="3">
        <v>99</v>
      </c>
      <c r="G4446" t="s">
        <v>514</v>
      </c>
    </row>
    <row r="4447" spans="1:7" x14ac:dyDescent="0.25">
      <c r="A4447" s="1" t="str">
        <f>"505972"</f>
        <v>505972</v>
      </c>
      <c r="B4447" s="2" t="str">
        <f>"CAIXA STECK 154X110X70"</f>
        <v>CAIXA STECK 154X110X70</v>
      </c>
      <c r="C4447" s="2" t="str">
        <f t="shared" si="182"/>
        <v>UN</v>
      </c>
      <c r="D4447" s="7">
        <v>601</v>
      </c>
      <c r="E4447" s="3">
        <v>8</v>
      </c>
      <c r="F4447" s="3">
        <v>8</v>
      </c>
      <c r="G4447" t="s">
        <v>513</v>
      </c>
    </row>
    <row r="4448" spans="1:7" x14ac:dyDescent="0.25">
      <c r="A4448" s="1" t="str">
        <f>"523137"</f>
        <v>523137</v>
      </c>
      <c r="B4448" s="2" t="str">
        <f>"CAIXA STECK 170X230X90"</f>
        <v>CAIXA STECK 170X230X90</v>
      </c>
      <c r="C4448" s="2" t="str">
        <f t="shared" si="182"/>
        <v>UN</v>
      </c>
      <c r="D4448" s="7">
        <v>601</v>
      </c>
      <c r="E4448" s="3">
        <v>8</v>
      </c>
      <c r="F4448" s="3">
        <v>8</v>
      </c>
      <c r="G4448" t="s">
        <v>512</v>
      </c>
    </row>
    <row r="4449" spans="1:7" x14ac:dyDescent="0.25">
      <c r="A4449" s="1" t="str">
        <f>"527109"</f>
        <v>527109</v>
      </c>
      <c r="B4449" s="2" t="str">
        <f>"CAIXA STECK 234X174X90 CEGA"</f>
        <v>CAIXA STECK 234X174X90 CEGA</v>
      </c>
      <c r="C4449" s="2" t="str">
        <f t="shared" si="182"/>
        <v>UN</v>
      </c>
      <c r="D4449" s="7">
        <v>811</v>
      </c>
      <c r="E4449" s="3">
        <v>8</v>
      </c>
      <c r="F4449" s="3">
        <v>8</v>
      </c>
      <c r="G4449" t="s">
        <v>513</v>
      </c>
    </row>
    <row r="4450" spans="1:7" x14ac:dyDescent="0.25">
      <c r="A4450" s="1" t="str">
        <f>"515852"</f>
        <v>515852</v>
      </c>
      <c r="B4450" s="2" t="str">
        <f>"CAIXA STECK BRANCA 150X110MM COD. SSX161"</f>
        <v>CAIXA STECK BRANCA 150X110MM COD. SSX161</v>
      </c>
      <c r="C4450" s="2" t="str">
        <f t="shared" si="182"/>
        <v>UN</v>
      </c>
      <c r="D4450" s="7">
        <v>99999</v>
      </c>
      <c r="E4450" s="3">
        <v>99</v>
      </c>
      <c r="F4450" s="3">
        <v>99</v>
      </c>
      <c r="G4450" t="s">
        <v>514</v>
      </c>
    </row>
    <row r="4451" spans="1:7" x14ac:dyDescent="0.25">
      <c r="A4451" s="1" t="str">
        <f>"515851"</f>
        <v>515851</v>
      </c>
      <c r="B4451" s="2" t="str">
        <f>"CAIXA STECK CINZA 100X100MM COD. S308"</f>
        <v>CAIXA STECK CINZA 100X100MM COD. S308</v>
      </c>
      <c r="C4451" s="2" t="str">
        <f t="shared" si="182"/>
        <v>UN</v>
      </c>
      <c r="D4451" s="7">
        <v>99999</v>
      </c>
      <c r="E4451" s="3">
        <v>10</v>
      </c>
      <c r="F4451" s="3">
        <v>10</v>
      </c>
      <c r="G4451" t="s">
        <v>514</v>
      </c>
    </row>
    <row r="4452" spans="1:7" x14ac:dyDescent="0.25">
      <c r="A4452" s="1" t="str">
        <f>"526736"</f>
        <v>526736</v>
      </c>
      <c r="B4452" s="2" t="str">
        <f>"CAIXA STECK LIGTH 300X220X148MM"</f>
        <v>CAIXA STECK LIGTH 300X220X148MM</v>
      </c>
      <c r="C4452" s="2" t="str">
        <f t="shared" si="182"/>
        <v>UN</v>
      </c>
      <c r="D4452" s="7">
        <v>600</v>
      </c>
      <c r="E4452" s="3">
        <v>8</v>
      </c>
      <c r="F4452" s="3">
        <v>8</v>
      </c>
      <c r="G4452" t="s">
        <v>514</v>
      </c>
    </row>
    <row r="4453" spans="1:7" x14ac:dyDescent="0.25">
      <c r="A4453" s="1" t="str">
        <f>"526157"</f>
        <v>526157</v>
      </c>
      <c r="B4453" s="2" t="str">
        <f>"CAIXA STECK S.EX. 171"</f>
        <v>CAIXA STECK S.EX. 171</v>
      </c>
      <c r="C4453" s="2" t="str">
        <f t="shared" si="182"/>
        <v>UN</v>
      </c>
      <c r="D4453" s="7">
        <v>704</v>
      </c>
      <c r="E4453" s="3">
        <v>9</v>
      </c>
      <c r="F4453" s="3">
        <v>9</v>
      </c>
      <c r="G4453" t="s">
        <v>513</v>
      </c>
    </row>
    <row r="4454" spans="1:7" x14ac:dyDescent="0.25">
      <c r="A4454" s="1" t="str">
        <f>"523639"</f>
        <v>523639</v>
      </c>
      <c r="B4454" s="2" t="str">
        <f>"CAIXA TERMICA 06L"</f>
        <v>CAIXA TERMICA 06L</v>
      </c>
      <c r="C4454" s="2" t="str">
        <f t="shared" si="182"/>
        <v>UN</v>
      </c>
      <c r="D4454" s="7">
        <v>401</v>
      </c>
      <c r="E4454" s="3">
        <v>4</v>
      </c>
      <c r="F4454" s="3">
        <v>4</v>
      </c>
      <c r="G4454" t="s">
        <v>513</v>
      </c>
    </row>
    <row r="4455" spans="1:7" x14ac:dyDescent="0.25">
      <c r="A4455" s="1" t="str">
        <f>"515248"</f>
        <v>515248</v>
      </c>
      <c r="B4455" s="2" t="str">
        <f>"CAIXA TERMICA 26L"</f>
        <v>CAIXA TERMICA 26L</v>
      </c>
      <c r="C4455" s="2" t="str">
        <f t="shared" si="182"/>
        <v>UN</v>
      </c>
      <c r="D4455" s="7">
        <v>401</v>
      </c>
      <c r="E4455" s="3">
        <v>4</v>
      </c>
      <c r="F4455" s="3">
        <v>4</v>
      </c>
      <c r="G4455" t="s">
        <v>513</v>
      </c>
    </row>
    <row r="4456" spans="1:7" x14ac:dyDescent="0.25">
      <c r="A4456" s="1" t="str">
        <f>"509407"</f>
        <v>509407</v>
      </c>
      <c r="B4456" s="2" t="str">
        <f>"CAIXA TOMADA AR COND. SIEMENS ARLIG BEGE"</f>
        <v>CAIXA TOMADA AR COND. SIEMENS ARLIG BEGE</v>
      </c>
      <c r="C4456" s="2" t="str">
        <f t="shared" si="182"/>
        <v>UN</v>
      </c>
      <c r="D4456" s="7">
        <v>601</v>
      </c>
      <c r="E4456" s="3">
        <v>8</v>
      </c>
      <c r="F4456" s="3">
        <v>8</v>
      </c>
      <c r="G4456" t="s">
        <v>512</v>
      </c>
    </row>
    <row r="4457" spans="1:7" x14ac:dyDescent="0.25">
      <c r="A4457" s="1" t="str">
        <f>"573805"</f>
        <v>573805</v>
      </c>
      <c r="B4457" s="2" t="str">
        <f>"CAIXA TOP STOCK SANREMO"</f>
        <v>CAIXA TOP STOCK SANREMO</v>
      </c>
      <c r="C4457" s="2" t="str">
        <f t="shared" si="182"/>
        <v>UN</v>
      </c>
      <c r="D4457" s="7">
        <v>1300</v>
      </c>
      <c r="E4457" s="3">
        <v>13</v>
      </c>
      <c r="F4457" s="3">
        <v>13</v>
      </c>
      <c r="G4457" t="s">
        <v>513</v>
      </c>
    </row>
    <row r="4458" spans="1:7" x14ac:dyDescent="0.25">
      <c r="A4458" s="1" t="str">
        <f>"516621"</f>
        <v>516621</v>
      </c>
      <c r="B4458" s="2" t="str">
        <f>"CAIXAS DE PAPEL DUPLEX"</f>
        <v>CAIXAS DE PAPEL DUPLEX</v>
      </c>
      <c r="C4458" s="2" t="str">
        <f t="shared" si="182"/>
        <v>UN</v>
      </c>
      <c r="D4458" s="7">
        <v>401</v>
      </c>
      <c r="E4458" s="3">
        <v>4</v>
      </c>
      <c r="F4458" s="3">
        <v>4</v>
      </c>
      <c r="G4458" t="s">
        <v>514</v>
      </c>
    </row>
    <row r="4459" spans="1:7" x14ac:dyDescent="0.25">
      <c r="A4459" s="1" t="str">
        <f>"511229"</f>
        <v>511229</v>
      </c>
      <c r="B4459" s="2" t="str">
        <f>"CAIXILHOS INDL GRADILUX"</f>
        <v>CAIXILHOS INDL GRADILUX</v>
      </c>
      <c r="C4459" s="2" t="str">
        <f>"BR"</f>
        <v>BR</v>
      </c>
      <c r="D4459" s="7">
        <v>807</v>
      </c>
      <c r="E4459" s="3">
        <v>10</v>
      </c>
      <c r="F4459" s="3">
        <v>10</v>
      </c>
      <c r="G4459" t="s">
        <v>515</v>
      </c>
    </row>
    <row r="4460" spans="1:7" x14ac:dyDescent="0.25">
      <c r="A4460" s="1" t="str">
        <f>"519793"</f>
        <v>519793</v>
      </c>
      <c r="B4460" s="2" t="str">
        <f>"CAL HIDRATADO SACO 20 KG"</f>
        <v>CAL HIDRATADO SACO 20 KG</v>
      </c>
      <c r="C4460" s="2" t="str">
        <f t="shared" ref="C4460:C4491" si="183">"UN"</f>
        <v>UN</v>
      </c>
      <c r="D4460" s="7">
        <v>403</v>
      </c>
      <c r="E4460" s="3">
        <v>4</v>
      </c>
      <c r="F4460" s="3">
        <v>4</v>
      </c>
      <c r="G4460" t="s">
        <v>512</v>
      </c>
    </row>
    <row r="4461" spans="1:7" x14ac:dyDescent="0.25">
      <c r="A4461" s="1" t="str">
        <f>"517635"</f>
        <v>517635</v>
      </c>
      <c r="B4461" s="2" t="str">
        <f>"CAL P/ PINTURA"</f>
        <v>CAL P/ PINTURA</v>
      </c>
      <c r="C4461" s="2" t="str">
        <f t="shared" si="183"/>
        <v>UN</v>
      </c>
      <c r="D4461" s="7">
        <v>917</v>
      </c>
      <c r="E4461" s="3">
        <v>10</v>
      </c>
      <c r="F4461" s="3">
        <v>10</v>
      </c>
      <c r="G4461" t="s">
        <v>516</v>
      </c>
    </row>
    <row r="4462" spans="1:7" x14ac:dyDescent="0.25">
      <c r="A4462" s="1" t="str">
        <f>"527077"</f>
        <v>527077</v>
      </c>
      <c r="B4462" s="2" t="str">
        <f>"CAL RASTREAVEL CLORO LIVRE, TOTAL E PH"</f>
        <v>CAL RASTREAVEL CLORO LIVRE, TOTAL E PH</v>
      </c>
      <c r="C4462" s="2" t="str">
        <f t="shared" si="183"/>
        <v>UN</v>
      </c>
      <c r="D4462" s="7">
        <v>1500</v>
      </c>
      <c r="E4462" s="3">
        <v>13</v>
      </c>
      <c r="F4462" s="3">
        <v>13</v>
      </c>
      <c r="G4462" t="s">
        <v>515</v>
      </c>
    </row>
    <row r="4463" spans="1:7" x14ac:dyDescent="0.25">
      <c r="A4463" s="1" t="str">
        <f>"527073"</f>
        <v>527073</v>
      </c>
      <c r="B4463" s="2" t="str">
        <f>"CAL RASTREAVEL DE COR"</f>
        <v>CAL RASTREAVEL DE COR</v>
      </c>
      <c r="C4463" s="2" t="str">
        <f t="shared" si="183"/>
        <v>UN</v>
      </c>
      <c r="D4463" s="7">
        <v>1500</v>
      </c>
      <c r="E4463" s="3">
        <v>13</v>
      </c>
      <c r="F4463" s="3">
        <v>13</v>
      </c>
      <c r="G4463" t="s">
        <v>514</v>
      </c>
    </row>
    <row r="4464" spans="1:7" x14ac:dyDescent="0.25">
      <c r="A4464" s="1" t="str">
        <f>"527075"</f>
        <v>527075</v>
      </c>
      <c r="B4464" s="2" t="str">
        <f>"CAL RASTREAVEL PH/TEMPERATURA"</f>
        <v>CAL RASTREAVEL PH/TEMPERATURA</v>
      </c>
      <c r="C4464" s="2" t="str">
        <f t="shared" si="183"/>
        <v>UN</v>
      </c>
      <c r="D4464" s="7">
        <v>1500</v>
      </c>
      <c r="E4464" s="3">
        <v>13</v>
      </c>
      <c r="F4464" s="3">
        <v>13</v>
      </c>
      <c r="G4464" t="s">
        <v>512</v>
      </c>
    </row>
    <row r="4465" spans="1:7" x14ac:dyDescent="0.25">
      <c r="A4465" s="1" t="str">
        <f>"527076"</f>
        <v>527076</v>
      </c>
      <c r="B4465" s="2" t="str">
        <f>"CAL RASTREAVEL REFRATOMETRO"</f>
        <v>CAL RASTREAVEL REFRATOMETRO</v>
      </c>
      <c r="C4465" s="2" t="str">
        <f t="shared" si="183"/>
        <v>UN</v>
      </c>
      <c r="D4465" s="7">
        <v>1500</v>
      </c>
      <c r="E4465" s="3">
        <v>13</v>
      </c>
      <c r="F4465" s="3">
        <v>13</v>
      </c>
      <c r="G4465" t="s">
        <v>513</v>
      </c>
    </row>
    <row r="4466" spans="1:7" x14ac:dyDescent="0.25">
      <c r="A4466" s="1" t="str">
        <f>"527074"</f>
        <v>527074</v>
      </c>
      <c r="B4466" s="2" t="str">
        <f>"CAL RASTREAVEL TURBIDIMETRO DIGITAL"</f>
        <v>CAL RASTREAVEL TURBIDIMETRO DIGITAL</v>
      </c>
      <c r="C4466" s="2" t="str">
        <f t="shared" si="183"/>
        <v>UN</v>
      </c>
      <c r="D4466" s="7">
        <v>1500</v>
      </c>
      <c r="E4466" s="3">
        <v>13</v>
      </c>
      <c r="F4466" s="3">
        <v>13</v>
      </c>
      <c r="G4466" t="s">
        <v>514</v>
      </c>
    </row>
    <row r="4467" spans="1:7" x14ac:dyDescent="0.25">
      <c r="A4467" s="1" t="str">
        <f>"500038"</f>
        <v>500038</v>
      </c>
      <c r="B4467" s="2" t="str">
        <f>"CAL VIRGEM  SACO 20 KG"</f>
        <v>CAL VIRGEM  SACO 20 KG</v>
      </c>
      <c r="C4467" s="2" t="str">
        <f t="shared" si="183"/>
        <v>UN</v>
      </c>
      <c r="D4467" s="7">
        <v>403</v>
      </c>
      <c r="E4467" s="3">
        <v>4</v>
      </c>
      <c r="F4467" s="3">
        <v>4</v>
      </c>
      <c r="G4467" t="s">
        <v>514</v>
      </c>
    </row>
    <row r="4468" spans="1:7" x14ac:dyDescent="0.25">
      <c r="A4468" s="1" t="str">
        <f>"521479"</f>
        <v>521479</v>
      </c>
      <c r="B4468" s="2" t="str">
        <f>"CALADOR BEG INOX 7 CAM. 1200MM CABO RECARTILHADO"</f>
        <v>CALADOR BEG INOX 7 CAM. 1200MM CABO RECARTILHADO</v>
      </c>
      <c r="C4468" s="2" t="str">
        <f t="shared" si="183"/>
        <v>UN</v>
      </c>
      <c r="D4468" s="7">
        <v>99999</v>
      </c>
      <c r="E4468" s="3">
        <v>99</v>
      </c>
      <c r="F4468" s="3">
        <v>99</v>
      </c>
      <c r="G4468" t="s">
        <v>512</v>
      </c>
    </row>
    <row r="4469" spans="1:7" x14ac:dyDescent="0.25">
      <c r="A4469" s="1" t="str">
        <f>"514977"</f>
        <v>514977</v>
      </c>
      <c r="B4469" s="2" t="str">
        <f>"CALAMED LOCAO"</f>
        <v>CALAMED LOCAO</v>
      </c>
      <c r="C4469" s="2" t="str">
        <f t="shared" si="183"/>
        <v>UN</v>
      </c>
      <c r="D4469" s="7">
        <v>406</v>
      </c>
      <c r="E4469" s="3">
        <v>4</v>
      </c>
      <c r="F4469" s="3">
        <v>4</v>
      </c>
      <c r="G4469" t="s">
        <v>513</v>
      </c>
    </row>
    <row r="4470" spans="1:7" x14ac:dyDescent="0.25">
      <c r="A4470" s="1" t="str">
        <f>"514016"</f>
        <v>514016</v>
      </c>
      <c r="B4470" s="2" t="str">
        <f>"CALÇA 1/2 COS/ELAST. RODOVERY (G)"</f>
        <v>CALÇA 1/2 COS/ELAST. RODOVERY (G)</v>
      </c>
      <c r="C4470" s="2" t="str">
        <f t="shared" si="183"/>
        <v>UN</v>
      </c>
      <c r="D4470" s="7">
        <v>500</v>
      </c>
      <c r="E4470" s="3">
        <v>5</v>
      </c>
      <c r="F4470" s="3">
        <v>5</v>
      </c>
      <c r="G4470" t="s">
        <v>514</v>
      </c>
    </row>
    <row r="4471" spans="1:7" x14ac:dyDescent="0.25">
      <c r="A4471" s="1" t="str">
        <f>"514017"</f>
        <v>514017</v>
      </c>
      <c r="B4471" s="2" t="str">
        <f>"CALÇA 1/2 COS/ELAST. RODOVERY (GG)"</f>
        <v>CALÇA 1/2 COS/ELAST. RODOVERY (GG)</v>
      </c>
      <c r="C4471" s="2" t="str">
        <f t="shared" si="183"/>
        <v>UN</v>
      </c>
      <c r="D4471" s="7">
        <v>500</v>
      </c>
      <c r="E4471" s="3">
        <v>5</v>
      </c>
      <c r="F4471" s="3">
        <v>5</v>
      </c>
      <c r="G4471" t="s">
        <v>514</v>
      </c>
    </row>
    <row r="4472" spans="1:7" x14ac:dyDescent="0.25">
      <c r="A4472" s="1" t="str">
        <f>"514015"</f>
        <v>514015</v>
      </c>
      <c r="B4472" s="2" t="str">
        <f>"CALÇA 1/2 COS/ELAST. RODOVERY (M)"</f>
        <v>CALÇA 1/2 COS/ELAST. RODOVERY (M)</v>
      </c>
      <c r="C4472" s="2" t="str">
        <f t="shared" si="183"/>
        <v>UN</v>
      </c>
      <c r="D4472" s="7">
        <v>500</v>
      </c>
      <c r="E4472" s="3">
        <v>5</v>
      </c>
      <c r="F4472" s="3">
        <v>5</v>
      </c>
      <c r="G4472" t="s">
        <v>514</v>
      </c>
    </row>
    <row r="4473" spans="1:7" x14ac:dyDescent="0.25">
      <c r="A4473" s="1" t="str">
        <f>"514863"</f>
        <v>514863</v>
      </c>
      <c r="B4473" s="2" t="str">
        <f>"CALÇA 1/2 COS/ELAST. RODOVERY (P)"</f>
        <v>CALÇA 1/2 COS/ELAST. RODOVERY (P)</v>
      </c>
      <c r="C4473" s="2" t="str">
        <f t="shared" si="183"/>
        <v>UN</v>
      </c>
      <c r="D4473" s="7">
        <v>500</v>
      </c>
      <c r="E4473" s="3">
        <v>5</v>
      </c>
      <c r="F4473" s="3">
        <v>5</v>
      </c>
      <c r="G4473" t="s">
        <v>513</v>
      </c>
    </row>
    <row r="4474" spans="1:7" x14ac:dyDescent="0.25">
      <c r="A4474" s="1" t="str">
        <f>"4032"</f>
        <v>4032</v>
      </c>
      <c r="B4474" s="2" t="str">
        <f>"CALÇA 1/2 COS/ELAST.AZUL  G  (CALDEIRA)"</f>
        <v>CALÇA 1/2 COS/ELAST.AZUL  G  (CALDEIRA)</v>
      </c>
      <c r="C4474" s="2" t="str">
        <f t="shared" si="183"/>
        <v>UN</v>
      </c>
      <c r="D4474" s="7">
        <v>500</v>
      </c>
      <c r="E4474" s="3">
        <v>5</v>
      </c>
      <c r="F4474" s="3">
        <v>5</v>
      </c>
      <c r="G4474" t="s">
        <v>512</v>
      </c>
    </row>
    <row r="4475" spans="1:7" x14ac:dyDescent="0.25">
      <c r="A4475" s="1" t="str">
        <f>"2582"</f>
        <v>2582</v>
      </c>
      <c r="B4475" s="2" t="str">
        <f>"CALÇA 1/2 COS/ELAST.AZUL  G (MANUTENCAO)"</f>
        <v>CALÇA 1/2 COS/ELAST.AZUL  G (MANUTENCAO)</v>
      </c>
      <c r="C4475" s="2" t="str">
        <f t="shared" si="183"/>
        <v>UN</v>
      </c>
      <c r="D4475" s="7">
        <v>500</v>
      </c>
      <c r="E4475" s="3">
        <v>5</v>
      </c>
      <c r="F4475" s="3">
        <v>5</v>
      </c>
      <c r="G4475" t="s">
        <v>513</v>
      </c>
    </row>
    <row r="4476" spans="1:7" x14ac:dyDescent="0.25">
      <c r="A4476" s="1" t="str">
        <f>"4033"</f>
        <v>4033</v>
      </c>
      <c r="B4476" s="2" t="str">
        <f>"CALÇA 1/2 COS/ELAST.AZUL  GG (CALDEIRA)"</f>
        <v>CALÇA 1/2 COS/ELAST.AZUL  GG (CALDEIRA)</v>
      </c>
      <c r="C4476" s="2" t="str">
        <f t="shared" si="183"/>
        <v>UN</v>
      </c>
      <c r="D4476" s="7">
        <v>500</v>
      </c>
      <c r="E4476" s="3">
        <v>5</v>
      </c>
      <c r="F4476" s="3">
        <v>5</v>
      </c>
      <c r="G4476" t="s">
        <v>514</v>
      </c>
    </row>
    <row r="4477" spans="1:7" x14ac:dyDescent="0.25">
      <c r="A4477" s="1" t="str">
        <f>"4031"</f>
        <v>4031</v>
      </c>
      <c r="B4477" s="2" t="str">
        <f>"CALÇA 1/2 COS/ELAST.AZUL  M  (CALDEIRA)"</f>
        <v>CALÇA 1/2 COS/ELAST.AZUL  M  (CALDEIRA)</v>
      </c>
      <c r="C4477" s="2" t="str">
        <f t="shared" si="183"/>
        <v>UN</v>
      </c>
      <c r="D4477" s="7">
        <v>500</v>
      </c>
      <c r="E4477" s="3">
        <v>5</v>
      </c>
      <c r="F4477" s="3">
        <v>5</v>
      </c>
      <c r="G4477" t="s">
        <v>514</v>
      </c>
    </row>
    <row r="4478" spans="1:7" x14ac:dyDescent="0.25">
      <c r="A4478" s="1" t="str">
        <f>"2581"</f>
        <v>2581</v>
      </c>
      <c r="B4478" s="2" t="str">
        <f>"CALÇA 1/2 COS/ELAST.AZUL  M  (MANUTENCAO"</f>
        <v>CALÇA 1/2 COS/ELAST.AZUL  M  (MANUTENCAO</v>
      </c>
      <c r="C4478" s="2" t="str">
        <f t="shared" si="183"/>
        <v>UN</v>
      </c>
      <c r="D4478" s="7">
        <v>500</v>
      </c>
      <c r="E4478" s="3">
        <v>5</v>
      </c>
      <c r="F4478" s="3">
        <v>5</v>
      </c>
      <c r="G4478" t="s">
        <v>514</v>
      </c>
    </row>
    <row r="4479" spans="1:7" x14ac:dyDescent="0.25">
      <c r="A4479" s="1" t="str">
        <f>"3095"</f>
        <v>3095</v>
      </c>
      <c r="B4479" s="2" t="str">
        <f>"CALÇA 1/2 COS/ELAST.AZUL  M  (MOTORISTA)"</f>
        <v>CALÇA 1/2 COS/ELAST.AZUL  M  (MOTORISTA)</v>
      </c>
      <c r="C4479" s="2" t="str">
        <f t="shared" si="183"/>
        <v>UN</v>
      </c>
      <c r="D4479" s="7">
        <v>500</v>
      </c>
      <c r="E4479" s="3">
        <v>5</v>
      </c>
      <c r="F4479" s="3">
        <v>5</v>
      </c>
      <c r="G4479" t="s">
        <v>513</v>
      </c>
    </row>
    <row r="4480" spans="1:7" x14ac:dyDescent="0.25">
      <c r="A4480" s="1" t="str">
        <f>"2452"</f>
        <v>2452</v>
      </c>
      <c r="B4480" s="2" t="str">
        <f>"CALÇA 1/2 COS/ELAST.AZUL GG (MANUTENCAO)"</f>
        <v>CALÇA 1/2 COS/ELAST.AZUL GG (MANUTENCAO)</v>
      </c>
      <c r="C4480" s="2" t="str">
        <f t="shared" si="183"/>
        <v>UN</v>
      </c>
      <c r="D4480" s="7">
        <v>500</v>
      </c>
      <c r="E4480" s="3">
        <v>5</v>
      </c>
      <c r="F4480" s="3">
        <v>5</v>
      </c>
      <c r="G4480" t="s">
        <v>513</v>
      </c>
    </row>
    <row r="4481" spans="1:7" x14ac:dyDescent="0.25">
      <c r="A4481" s="1" t="str">
        <f>"4423"</f>
        <v>4423</v>
      </c>
      <c r="B4481" s="2" t="str">
        <f>"CALÇA 1/2 COS/ELAST.CAQUI G  (MAQ.SOPRO)"</f>
        <v>CALÇA 1/2 COS/ELAST.CAQUI G  (MAQ.SOPRO)</v>
      </c>
      <c r="C4481" s="2" t="str">
        <f t="shared" si="183"/>
        <v>UN</v>
      </c>
      <c r="D4481" s="7">
        <v>500</v>
      </c>
      <c r="E4481" s="3">
        <v>5</v>
      </c>
      <c r="F4481" s="3">
        <v>5</v>
      </c>
      <c r="G4481" t="s">
        <v>513</v>
      </c>
    </row>
    <row r="4482" spans="1:7" x14ac:dyDescent="0.25">
      <c r="A4482" s="1" t="str">
        <f>"4424"</f>
        <v>4424</v>
      </c>
      <c r="B4482" s="2" t="str">
        <f>"CALÇA 1/2 COS/ELAST.CAQUI GG (MAQ.SOPRO)"</f>
        <v>CALÇA 1/2 COS/ELAST.CAQUI GG (MAQ.SOPRO)</v>
      </c>
      <c r="C4482" s="2" t="str">
        <f t="shared" si="183"/>
        <v>UN</v>
      </c>
      <c r="D4482" s="7">
        <v>501</v>
      </c>
      <c r="E4482" s="3">
        <v>5</v>
      </c>
      <c r="F4482" s="3">
        <v>5</v>
      </c>
      <c r="G4482" t="s">
        <v>512</v>
      </c>
    </row>
    <row r="4483" spans="1:7" x14ac:dyDescent="0.25">
      <c r="A4483" s="1" t="str">
        <f>"4422"</f>
        <v>4422</v>
      </c>
      <c r="B4483" s="2" t="str">
        <f>"CALÇA 1/2 COS/ELAST.CAQUI M  (MAQ.SOPRO)"</f>
        <v>CALÇA 1/2 COS/ELAST.CAQUI M  (MAQ.SOPRO)</v>
      </c>
      <c r="C4483" s="2" t="str">
        <f t="shared" si="183"/>
        <v>UN</v>
      </c>
      <c r="D4483" s="7">
        <v>500</v>
      </c>
      <c r="E4483" s="3">
        <v>5</v>
      </c>
      <c r="F4483" s="3">
        <v>5</v>
      </c>
      <c r="G4483" t="s">
        <v>513</v>
      </c>
    </row>
    <row r="4484" spans="1:7" x14ac:dyDescent="0.25">
      <c r="A4484" s="1" t="str">
        <f>"55555"</f>
        <v>55555</v>
      </c>
      <c r="B4484" s="2" t="str">
        <f>"CALÇA 1/2 COS/ELAST.CAQUI P  (MAQ.SOPRO)"</f>
        <v>CALÇA 1/2 COS/ELAST.CAQUI P  (MAQ.SOPRO)</v>
      </c>
      <c r="C4484" s="2" t="str">
        <f t="shared" si="183"/>
        <v>UN</v>
      </c>
      <c r="D4484" s="7">
        <v>500</v>
      </c>
      <c r="E4484" s="3">
        <v>5</v>
      </c>
      <c r="F4484" s="3">
        <v>5</v>
      </c>
      <c r="G4484" t="s">
        <v>514</v>
      </c>
    </row>
    <row r="4485" spans="1:7" x14ac:dyDescent="0.25">
      <c r="A4485" s="1" t="str">
        <f>"1787"</f>
        <v>1787</v>
      </c>
      <c r="B4485" s="2" t="str">
        <f>"CALÇA 1/2 COS/ELAST.CINZA - G"</f>
        <v>CALÇA 1/2 COS/ELAST.CINZA - G</v>
      </c>
      <c r="C4485" s="2" t="str">
        <f t="shared" si="183"/>
        <v>UN</v>
      </c>
      <c r="D4485" s="7">
        <v>500</v>
      </c>
      <c r="E4485" s="3">
        <v>5</v>
      </c>
      <c r="F4485" s="3">
        <v>5</v>
      </c>
      <c r="G4485" t="s">
        <v>515</v>
      </c>
    </row>
    <row r="4486" spans="1:7" x14ac:dyDescent="0.25">
      <c r="A4486" s="1" t="str">
        <f>"1788"</f>
        <v>1788</v>
      </c>
      <c r="B4486" s="2" t="str">
        <f>"CALÇA 1/2 COS/ELAST.CINZA - GG"</f>
        <v>CALÇA 1/2 COS/ELAST.CINZA - GG</v>
      </c>
      <c r="C4486" s="2" t="str">
        <f t="shared" si="183"/>
        <v>UN</v>
      </c>
      <c r="D4486" s="7">
        <v>500</v>
      </c>
      <c r="E4486" s="3">
        <v>5</v>
      </c>
      <c r="F4486" s="3">
        <v>5</v>
      </c>
      <c r="G4486" t="s">
        <v>512</v>
      </c>
    </row>
    <row r="4487" spans="1:7" x14ac:dyDescent="0.25">
      <c r="A4487" s="1" t="str">
        <f>"1786"</f>
        <v>1786</v>
      </c>
      <c r="B4487" s="2" t="str">
        <f>"CALÇA 1/2 COS/ELAST.CINZA - M"</f>
        <v>CALÇA 1/2 COS/ELAST.CINZA - M</v>
      </c>
      <c r="C4487" s="2" t="str">
        <f t="shared" si="183"/>
        <v>UN</v>
      </c>
      <c r="D4487" s="7">
        <v>500</v>
      </c>
      <c r="E4487" s="3">
        <v>5</v>
      </c>
      <c r="F4487" s="3">
        <v>5</v>
      </c>
      <c r="G4487" t="s">
        <v>516</v>
      </c>
    </row>
    <row r="4488" spans="1:7" x14ac:dyDescent="0.25">
      <c r="A4488" s="1" t="str">
        <f>"294"</f>
        <v>294</v>
      </c>
      <c r="B4488" s="2" t="str">
        <f>"CALÇA 1/2 COS/ELAST.CINZA - P"</f>
        <v>CALÇA 1/2 COS/ELAST.CINZA - P</v>
      </c>
      <c r="C4488" s="2" t="str">
        <f t="shared" si="183"/>
        <v>UN</v>
      </c>
      <c r="D4488" s="7">
        <v>500</v>
      </c>
      <c r="E4488" s="3">
        <v>5</v>
      </c>
      <c r="F4488" s="3">
        <v>5</v>
      </c>
      <c r="G4488" t="s">
        <v>515</v>
      </c>
    </row>
    <row r="4489" spans="1:7" x14ac:dyDescent="0.25">
      <c r="A4489" s="1" t="str">
        <f>"523867"</f>
        <v>523867</v>
      </c>
      <c r="B4489" s="2" t="str">
        <f>"CALÇA 100% ALGODÃO CINZA C/ FAIXA REFLETIVA CHUMBO M"</f>
        <v>CALÇA 100% ALGODÃO CINZA C/ FAIXA REFLETIVA CHUMBO M</v>
      </c>
      <c r="C4489" s="2" t="str">
        <f t="shared" si="183"/>
        <v>UN</v>
      </c>
      <c r="D4489" s="7">
        <v>500</v>
      </c>
      <c r="E4489" s="3">
        <v>5</v>
      </c>
      <c r="F4489" s="3">
        <v>5</v>
      </c>
      <c r="G4489" t="s">
        <v>514</v>
      </c>
    </row>
    <row r="4490" spans="1:7" x14ac:dyDescent="0.25">
      <c r="A4490" s="1" t="str">
        <f>"514585"</f>
        <v>514585</v>
      </c>
      <c r="B4490" s="2" t="str">
        <f>"CALÇA AZUL  M (AMARELO)"</f>
        <v>CALÇA AZUL  M (AMARELO)</v>
      </c>
      <c r="C4490" s="2" t="str">
        <f t="shared" si="183"/>
        <v>UN</v>
      </c>
      <c r="D4490" s="7">
        <v>500</v>
      </c>
      <c r="E4490" s="3">
        <v>5</v>
      </c>
      <c r="F4490" s="3">
        <v>5</v>
      </c>
      <c r="G4490" t="s">
        <v>512</v>
      </c>
    </row>
    <row r="4491" spans="1:7" x14ac:dyDescent="0.25">
      <c r="A4491" s="1" t="str">
        <f>"514586"</f>
        <v>514586</v>
      </c>
      <c r="B4491" s="2" t="str">
        <f>"CALÇA AZUL  M (AZUL)"</f>
        <v>CALÇA AZUL  M (AZUL)</v>
      </c>
      <c r="C4491" s="2" t="str">
        <f t="shared" si="183"/>
        <v>UN</v>
      </c>
      <c r="D4491" s="7">
        <v>500</v>
      </c>
      <c r="E4491" s="3">
        <v>5</v>
      </c>
      <c r="F4491" s="3">
        <v>5</v>
      </c>
      <c r="G4491" t="s">
        <v>513</v>
      </c>
    </row>
    <row r="4492" spans="1:7" x14ac:dyDescent="0.25">
      <c r="A4492" s="1" t="str">
        <f>"514587"</f>
        <v>514587</v>
      </c>
      <c r="B4492" s="2" t="str">
        <f>"CALÇA AZUL  M (VERDE)"</f>
        <v>CALÇA AZUL  M (VERDE)</v>
      </c>
      <c r="C4492" s="2" t="str">
        <f t="shared" ref="C4492:C4523" si="184">"UN"</f>
        <v>UN</v>
      </c>
      <c r="D4492" s="7">
        <v>500</v>
      </c>
      <c r="E4492" s="3">
        <v>5</v>
      </c>
      <c r="F4492" s="3">
        <v>5</v>
      </c>
      <c r="G4492" t="s">
        <v>514</v>
      </c>
    </row>
    <row r="4493" spans="1:7" x14ac:dyDescent="0.25">
      <c r="A4493" s="1" t="str">
        <f>"514588"</f>
        <v>514588</v>
      </c>
      <c r="B4493" s="2" t="str">
        <f>"CALÇA AZUL  M (VERMELHO)"</f>
        <v>CALÇA AZUL  M (VERMELHO)</v>
      </c>
      <c r="C4493" s="2" t="str">
        <f t="shared" si="184"/>
        <v>UN</v>
      </c>
      <c r="D4493" s="7">
        <v>500</v>
      </c>
      <c r="E4493" s="3">
        <v>5</v>
      </c>
      <c r="F4493" s="3">
        <v>5</v>
      </c>
      <c r="G4493" t="s">
        <v>514</v>
      </c>
    </row>
    <row r="4494" spans="1:7" x14ac:dyDescent="0.25">
      <c r="A4494" s="1" t="str">
        <f>"522023"</f>
        <v>522023</v>
      </c>
      <c r="B4494" s="2" t="str">
        <f>"CALÇA AZUL C/ FAIXA REFLETIVA G"</f>
        <v>CALÇA AZUL C/ FAIXA REFLETIVA G</v>
      </c>
      <c r="C4494" s="2" t="str">
        <f t="shared" si="184"/>
        <v>UN</v>
      </c>
      <c r="D4494" s="7">
        <v>500</v>
      </c>
      <c r="E4494" s="3">
        <v>4</v>
      </c>
      <c r="F4494" s="3">
        <v>4</v>
      </c>
      <c r="G4494" t="s">
        <v>512</v>
      </c>
    </row>
    <row r="4495" spans="1:7" x14ac:dyDescent="0.25">
      <c r="A4495" s="1" t="str">
        <f>"522024"</f>
        <v>522024</v>
      </c>
      <c r="B4495" s="2" t="str">
        <f>"CALÇA AZUL C/ FAIXA REFLETIVA GG"</f>
        <v>CALÇA AZUL C/ FAIXA REFLETIVA GG</v>
      </c>
      <c r="C4495" s="2" t="str">
        <f t="shared" si="184"/>
        <v>UN</v>
      </c>
      <c r="D4495" s="7">
        <v>500</v>
      </c>
      <c r="E4495" s="3">
        <v>4</v>
      </c>
      <c r="F4495" s="3">
        <v>4</v>
      </c>
      <c r="G4495" t="s">
        <v>513</v>
      </c>
    </row>
    <row r="4496" spans="1:7" x14ac:dyDescent="0.25">
      <c r="A4496" s="1" t="str">
        <f>"522022"</f>
        <v>522022</v>
      </c>
      <c r="B4496" s="2" t="str">
        <f>"CALÇA AZUL C/ FAIXA REFLETIVA M"</f>
        <v>CALÇA AZUL C/ FAIXA REFLETIVA M</v>
      </c>
      <c r="C4496" s="2" t="str">
        <f t="shared" si="184"/>
        <v>UN</v>
      </c>
      <c r="D4496" s="7">
        <v>500</v>
      </c>
      <c r="E4496" s="3">
        <v>4</v>
      </c>
      <c r="F4496" s="3">
        <v>4</v>
      </c>
      <c r="G4496" t="s">
        <v>514</v>
      </c>
    </row>
    <row r="4497" spans="1:7" x14ac:dyDescent="0.25">
      <c r="A4497" s="1" t="str">
        <f>"522021"</f>
        <v>522021</v>
      </c>
      <c r="B4497" s="2" t="str">
        <f>"CALÇA AZUL C/ FAIXA REFLETIVA P"</f>
        <v>CALÇA AZUL C/ FAIXA REFLETIVA P</v>
      </c>
      <c r="C4497" s="2" t="str">
        <f t="shared" si="184"/>
        <v>UN</v>
      </c>
      <c r="D4497" s="7">
        <v>500</v>
      </c>
      <c r="E4497" s="3">
        <v>4</v>
      </c>
      <c r="F4497" s="3">
        <v>4</v>
      </c>
      <c r="G4497" t="s">
        <v>514</v>
      </c>
    </row>
    <row r="4498" spans="1:7" x14ac:dyDescent="0.25">
      <c r="A4498" s="1" t="str">
        <f>"1789"</f>
        <v>1789</v>
      </c>
      <c r="B4498" s="2" t="str">
        <f>"CALÇA AZUL LEITE A GRANEL -G"</f>
        <v>CALÇA AZUL LEITE A GRANEL -G</v>
      </c>
      <c r="C4498" s="2" t="str">
        <f t="shared" si="184"/>
        <v>UN</v>
      </c>
      <c r="D4498" s="7">
        <v>500</v>
      </c>
      <c r="E4498" s="3">
        <v>5</v>
      </c>
      <c r="F4498" s="3">
        <v>5</v>
      </c>
      <c r="G4498" t="s">
        <v>514</v>
      </c>
    </row>
    <row r="4499" spans="1:7" x14ac:dyDescent="0.25">
      <c r="A4499" s="1" t="str">
        <f>"521435"</f>
        <v>521435</v>
      </c>
      <c r="B4499" s="2" t="str">
        <f>"CALÇA AZUL MARINHO EGG"</f>
        <v>CALÇA AZUL MARINHO EGG</v>
      </c>
      <c r="C4499" s="2" t="str">
        <f t="shared" si="184"/>
        <v>UN</v>
      </c>
      <c r="D4499" s="7">
        <v>500</v>
      </c>
      <c r="E4499" s="3">
        <v>5</v>
      </c>
      <c r="F4499" s="3">
        <v>5</v>
      </c>
      <c r="G4499" t="s">
        <v>513</v>
      </c>
    </row>
    <row r="4500" spans="1:7" x14ac:dyDescent="0.25">
      <c r="A4500" s="1" t="str">
        <f>"521433"</f>
        <v>521433</v>
      </c>
      <c r="B4500" s="2" t="str">
        <f>"CALÇA AZUL MARINHO G"</f>
        <v>CALÇA AZUL MARINHO G</v>
      </c>
      <c r="C4500" s="2" t="str">
        <f t="shared" si="184"/>
        <v>UN</v>
      </c>
      <c r="D4500" s="7">
        <v>500</v>
      </c>
      <c r="E4500" s="3">
        <v>5</v>
      </c>
      <c r="F4500" s="3">
        <v>5</v>
      </c>
      <c r="G4500" t="s">
        <v>512</v>
      </c>
    </row>
    <row r="4501" spans="1:7" x14ac:dyDescent="0.25">
      <c r="A4501" s="1" t="str">
        <f>"521434"</f>
        <v>521434</v>
      </c>
      <c r="B4501" s="2" t="str">
        <f>"CALÇA AZUL MARINHO GG"</f>
        <v>CALÇA AZUL MARINHO GG</v>
      </c>
      <c r="C4501" s="2" t="str">
        <f t="shared" si="184"/>
        <v>UN</v>
      </c>
      <c r="D4501" s="7">
        <v>500</v>
      </c>
      <c r="E4501" s="3">
        <v>5</v>
      </c>
      <c r="F4501" s="3">
        <v>5</v>
      </c>
      <c r="G4501" t="s">
        <v>513</v>
      </c>
    </row>
    <row r="4502" spans="1:7" x14ac:dyDescent="0.25">
      <c r="A4502" s="1" t="str">
        <f>"521432"</f>
        <v>521432</v>
      </c>
      <c r="B4502" s="2" t="str">
        <f>"CALÇA AZUL MARINHO M"</f>
        <v>CALÇA AZUL MARINHO M</v>
      </c>
      <c r="C4502" s="2" t="str">
        <f t="shared" si="184"/>
        <v>UN</v>
      </c>
      <c r="D4502" s="7">
        <v>500</v>
      </c>
      <c r="E4502" s="3">
        <v>5</v>
      </c>
      <c r="F4502" s="3">
        <v>5</v>
      </c>
      <c r="G4502" t="s">
        <v>514</v>
      </c>
    </row>
    <row r="4503" spans="1:7" x14ac:dyDescent="0.25">
      <c r="A4503" s="1" t="str">
        <f>"6944"</f>
        <v>6944</v>
      </c>
      <c r="B4503" s="2" t="str">
        <f>"CALÇA AZUL ROYAL G (AMARELA)"</f>
        <v>CALÇA AZUL ROYAL G (AMARELA)</v>
      </c>
      <c r="C4503" s="2" t="str">
        <f t="shared" si="184"/>
        <v>UN</v>
      </c>
      <c r="D4503" s="7">
        <v>500</v>
      </c>
      <c r="E4503" s="3">
        <v>5</v>
      </c>
      <c r="F4503" s="3">
        <v>5</v>
      </c>
      <c r="G4503" t="s">
        <v>514</v>
      </c>
    </row>
    <row r="4504" spans="1:7" x14ac:dyDescent="0.25">
      <c r="A4504" s="1" t="str">
        <f>"6943"</f>
        <v>6943</v>
      </c>
      <c r="B4504" s="2" t="str">
        <f>"CALÇA AZUL ROYAL G (AZUL)"</f>
        <v>CALÇA AZUL ROYAL G (AZUL)</v>
      </c>
      <c r="C4504" s="2" t="str">
        <f t="shared" si="184"/>
        <v>UN</v>
      </c>
      <c r="D4504" s="7">
        <v>500</v>
      </c>
      <c r="E4504" s="3">
        <v>5</v>
      </c>
      <c r="F4504" s="3">
        <v>5</v>
      </c>
      <c r="G4504" t="s">
        <v>514</v>
      </c>
    </row>
    <row r="4505" spans="1:7" x14ac:dyDescent="0.25">
      <c r="A4505" s="1" t="str">
        <f>"6942"</f>
        <v>6942</v>
      </c>
      <c r="B4505" s="2" t="str">
        <f>"CALÇA AZUL ROYAL G (VERDE)"</f>
        <v>CALÇA AZUL ROYAL G (VERDE)</v>
      </c>
      <c r="C4505" s="2" t="str">
        <f t="shared" si="184"/>
        <v>UN</v>
      </c>
      <c r="D4505" s="7">
        <v>500</v>
      </c>
      <c r="E4505" s="3">
        <v>5</v>
      </c>
      <c r="F4505" s="3">
        <v>5</v>
      </c>
      <c r="G4505" t="s">
        <v>513</v>
      </c>
    </row>
    <row r="4506" spans="1:7" x14ac:dyDescent="0.25">
      <c r="A4506" s="1" t="str">
        <f>"6941"</f>
        <v>6941</v>
      </c>
      <c r="B4506" s="2" t="str">
        <f>"CALÇA AZUL ROYAL G (VERMELHA)"</f>
        <v>CALÇA AZUL ROYAL G (VERMELHA)</v>
      </c>
      <c r="C4506" s="2" t="str">
        <f t="shared" si="184"/>
        <v>UN</v>
      </c>
      <c r="D4506" s="7">
        <v>500</v>
      </c>
      <c r="E4506" s="3">
        <v>5</v>
      </c>
      <c r="F4506" s="3">
        <v>5</v>
      </c>
      <c r="G4506" t="s">
        <v>513</v>
      </c>
    </row>
    <row r="4507" spans="1:7" x14ac:dyDescent="0.25">
      <c r="A4507" s="1" t="str">
        <f>"6940"</f>
        <v>6940</v>
      </c>
      <c r="B4507" s="2" t="str">
        <f>"CALÇA AZUL ROYAL GG (AMARELA)"</f>
        <v>CALÇA AZUL ROYAL GG (AMARELA)</v>
      </c>
      <c r="C4507" s="2" t="str">
        <f t="shared" si="184"/>
        <v>UN</v>
      </c>
      <c r="D4507" s="7">
        <v>500</v>
      </c>
      <c r="E4507" s="3">
        <v>5</v>
      </c>
      <c r="F4507" s="3">
        <v>5</v>
      </c>
      <c r="G4507" t="s">
        <v>513</v>
      </c>
    </row>
    <row r="4508" spans="1:7" x14ac:dyDescent="0.25">
      <c r="A4508" s="1" t="str">
        <f>"6939"</f>
        <v>6939</v>
      </c>
      <c r="B4508" s="2" t="str">
        <f>"CALÇA AZUL ROYAL GG (AZUL)"</f>
        <v>CALÇA AZUL ROYAL GG (AZUL)</v>
      </c>
      <c r="C4508" s="2" t="str">
        <f t="shared" si="184"/>
        <v>UN</v>
      </c>
      <c r="D4508" s="7">
        <v>500</v>
      </c>
      <c r="E4508" s="3">
        <v>5</v>
      </c>
      <c r="F4508" s="3">
        <v>5</v>
      </c>
      <c r="G4508" t="s">
        <v>512</v>
      </c>
    </row>
    <row r="4509" spans="1:7" x14ac:dyDescent="0.25">
      <c r="A4509" s="1" t="str">
        <f>"6938"</f>
        <v>6938</v>
      </c>
      <c r="B4509" s="2" t="str">
        <f>"CALÇA AZUL ROYAL GG (VERDE)"</f>
        <v>CALÇA AZUL ROYAL GG (VERDE)</v>
      </c>
      <c r="C4509" s="2" t="str">
        <f t="shared" si="184"/>
        <v>UN</v>
      </c>
      <c r="D4509" s="7">
        <v>500</v>
      </c>
      <c r="E4509" s="3">
        <v>5</v>
      </c>
      <c r="F4509" s="3">
        <v>5</v>
      </c>
      <c r="G4509" t="s">
        <v>513</v>
      </c>
    </row>
    <row r="4510" spans="1:7" x14ac:dyDescent="0.25">
      <c r="A4510" s="1" t="str">
        <f>"6937"</f>
        <v>6937</v>
      </c>
      <c r="B4510" s="2" t="str">
        <f>"CALÇA AZUL ROYAL GG (VERMELHA)"</f>
        <v>CALÇA AZUL ROYAL GG (VERMELHA)</v>
      </c>
      <c r="C4510" s="2" t="str">
        <f t="shared" si="184"/>
        <v>UN</v>
      </c>
      <c r="D4510" s="7">
        <v>500</v>
      </c>
      <c r="E4510" s="3">
        <v>5</v>
      </c>
      <c r="F4510" s="3">
        <v>5</v>
      </c>
      <c r="G4510" t="s">
        <v>514</v>
      </c>
    </row>
    <row r="4511" spans="1:7" x14ac:dyDescent="0.25">
      <c r="A4511" s="1" t="str">
        <f>"6948"</f>
        <v>6948</v>
      </c>
      <c r="B4511" s="2" t="str">
        <f>"CALÇA AZUL ROYAL M (AMARELA)"</f>
        <v>CALÇA AZUL ROYAL M (AMARELA)</v>
      </c>
      <c r="C4511" s="2" t="str">
        <f t="shared" si="184"/>
        <v>UN</v>
      </c>
      <c r="D4511" s="7">
        <v>500</v>
      </c>
      <c r="E4511" s="3">
        <v>5</v>
      </c>
      <c r="F4511" s="3">
        <v>5</v>
      </c>
      <c r="G4511" t="s">
        <v>515</v>
      </c>
    </row>
    <row r="4512" spans="1:7" x14ac:dyDescent="0.25">
      <c r="A4512" s="1" t="str">
        <f>"6947"</f>
        <v>6947</v>
      </c>
      <c r="B4512" s="2" t="str">
        <f>"CALÇA AZUL ROYAL M (AZUL)"</f>
        <v>CALÇA AZUL ROYAL M (AZUL)</v>
      </c>
      <c r="C4512" s="2" t="str">
        <f t="shared" si="184"/>
        <v>UN</v>
      </c>
      <c r="D4512" s="7">
        <v>500</v>
      </c>
      <c r="E4512" s="3">
        <v>5</v>
      </c>
      <c r="F4512" s="3">
        <v>5</v>
      </c>
      <c r="G4512" t="s">
        <v>512</v>
      </c>
    </row>
    <row r="4513" spans="1:7" x14ac:dyDescent="0.25">
      <c r="A4513" s="1" t="str">
        <f>"6946"</f>
        <v>6946</v>
      </c>
      <c r="B4513" s="2" t="str">
        <f>"CALÇA AZUL ROYAL M (VERDE)"</f>
        <v>CALÇA AZUL ROYAL M (VERDE)</v>
      </c>
      <c r="C4513" s="2" t="str">
        <f t="shared" si="184"/>
        <v>UN</v>
      </c>
      <c r="D4513" s="7">
        <v>500</v>
      </c>
      <c r="E4513" s="3">
        <v>5</v>
      </c>
      <c r="F4513" s="3">
        <v>5</v>
      </c>
      <c r="G4513" t="s">
        <v>516</v>
      </c>
    </row>
    <row r="4514" spans="1:7" x14ac:dyDescent="0.25">
      <c r="A4514" s="1" t="str">
        <f>"6945"</f>
        <v>6945</v>
      </c>
      <c r="B4514" s="2" t="str">
        <f>"CALÇA AZUL ROYAL M (VERMELHA)"</f>
        <v>CALÇA AZUL ROYAL M (VERMELHA)</v>
      </c>
      <c r="C4514" s="2" t="str">
        <f t="shared" si="184"/>
        <v>UN</v>
      </c>
      <c r="D4514" s="7">
        <v>500</v>
      </c>
      <c r="E4514" s="3">
        <v>5</v>
      </c>
      <c r="F4514" s="3">
        <v>5</v>
      </c>
      <c r="G4514" t="s">
        <v>515</v>
      </c>
    </row>
    <row r="4515" spans="1:7" x14ac:dyDescent="0.25">
      <c r="A4515" s="1" t="str">
        <f>"521431"</f>
        <v>521431</v>
      </c>
      <c r="B4515" s="2" t="str">
        <f>"CALÇA AZUL ROYAL P"</f>
        <v>CALÇA AZUL ROYAL P</v>
      </c>
      <c r="C4515" s="2" t="str">
        <f t="shared" si="184"/>
        <v>UN</v>
      </c>
      <c r="D4515" s="7">
        <v>500</v>
      </c>
      <c r="E4515" s="3">
        <v>5</v>
      </c>
      <c r="F4515" s="3">
        <v>5</v>
      </c>
      <c r="G4515" t="s">
        <v>514</v>
      </c>
    </row>
    <row r="4516" spans="1:7" x14ac:dyDescent="0.25">
      <c r="A4516" s="1" t="str">
        <f>"6052"</f>
        <v>6052</v>
      </c>
      <c r="B4516" s="2" t="str">
        <f>"CALÇA AZUL ROYAL P (AMARELA)"</f>
        <v>CALÇA AZUL ROYAL P (AMARELA)</v>
      </c>
      <c r="C4516" s="2" t="str">
        <f t="shared" si="184"/>
        <v>UN</v>
      </c>
      <c r="D4516" s="7">
        <v>500</v>
      </c>
      <c r="E4516" s="3">
        <v>5</v>
      </c>
      <c r="F4516" s="3">
        <v>5</v>
      </c>
      <c r="G4516" t="s">
        <v>512</v>
      </c>
    </row>
    <row r="4517" spans="1:7" x14ac:dyDescent="0.25">
      <c r="A4517" s="1" t="str">
        <f>"6042"</f>
        <v>6042</v>
      </c>
      <c r="B4517" s="2" t="str">
        <f>"CALÇA AZUL ROYAL P (AZUL)"</f>
        <v>CALÇA AZUL ROYAL P (AZUL)</v>
      </c>
      <c r="C4517" s="2" t="str">
        <f t="shared" si="184"/>
        <v>UN</v>
      </c>
      <c r="D4517" s="7">
        <v>500</v>
      </c>
      <c r="E4517" s="3">
        <v>5</v>
      </c>
      <c r="F4517" s="3">
        <v>5</v>
      </c>
      <c r="G4517" t="s">
        <v>513</v>
      </c>
    </row>
    <row r="4518" spans="1:7" x14ac:dyDescent="0.25">
      <c r="A4518" s="1" t="str">
        <f>"6054"</f>
        <v>6054</v>
      </c>
      <c r="B4518" s="2" t="str">
        <f>"CALÇA AZUL ROYAL P (VERDE)"</f>
        <v>CALÇA AZUL ROYAL P (VERDE)</v>
      </c>
      <c r="C4518" s="2" t="str">
        <f t="shared" si="184"/>
        <v>UN</v>
      </c>
      <c r="D4518" s="7">
        <v>500</v>
      </c>
      <c r="E4518" s="3">
        <v>5</v>
      </c>
      <c r="F4518" s="3">
        <v>5</v>
      </c>
      <c r="G4518" t="s">
        <v>514</v>
      </c>
    </row>
    <row r="4519" spans="1:7" x14ac:dyDescent="0.25">
      <c r="A4519" s="1" t="str">
        <f>"6055"</f>
        <v>6055</v>
      </c>
      <c r="B4519" s="2" t="str">
        <f>"CALÇA AZUL ROYAL P (VERMELHA)"</f>
        <v>CALÇA AZUL ROYAL P (VERMELHA)</v>
      </c>
      <c r="C4519" s="2" t="str">
        <f t="shared" si="184"/>
        <v>UN</v>
      </c>
      <c r="D4519" s="7">
        <v>500</v>
      </c>
      <c r="E4519" s="3">
        <v>5</v>
      </c>
      <c r="F4519" s="3">
        <v>5</v>
      </c>
      <c r="G4519" t="s">
        <v>514</v>
      </c>
    </row>
    <row r="4520" spans="1:7" x14ac:dyDescent="0.25">
      <c r="A4520" s="1" t="str">
        <f>"519732"</f>
        <v>519732</v>
      </c>
      <c r="B4520" s="2" t="str">
        <f>"CALÇA BRANCA"</f>
        <v>CALÇA BRANCA</v>
      </c>
      <c r="C4520" s="2" t="str">
        <f t="shared" si="184"/>
        <v>UN</v>
      </c>
      <c r="D4520" s="7">
        <v>99999</v>
      </c>
      <c r="E4520" s="3">
        <v>99</v>
      </c>
      <c r="F4520" s="3">
        <v>99</v>
      </c>
      <c r="G4520" t="s">
        <v>512</v>
      </c>
    </row>
    <row r="4521" spans="1:7" x14ac:dyDescent="0.25">
      <c r="A4521" s="1" t="str">
        <f>"522200"</f>
        <v>522200</v>
      </c>
      <c r="B4521" s="2" t="str">
        <f>"CALÇA BRANCA EGG"</f>
        <v>CALÇA BRANCA EGG</v>
      </c>
      <c r="C4521" s="2" t="str">
        <f t="shared" si="184"/>
        <v>UN</v>
      </c>
      <c r="D4521" s="7">
        <v>500</v>
      </c>
      <c r="E4521" s="3">
        <v>5</v>
      </c>
      <c r="F4521" s="3">
        <v>5</v>
      </c>
      <c r="G4521" t="s">
        <v>513</v>
      </c>
    </row>
    <row r="4522" spans="1:7" x14ac:dyDescent="0.25">
      <c r="A4522" s="1" t="str">
        <f>"521439"</f>
        <v>521439</v>
      </c>
      <c r="B4522" s="2" t="str">
        <f>"CALÇA BRANCA EGG - FABRICA"</f>
        <v>CALÇA BRANCA EGG - FABRICA</v>
      </c>
      <c r="C4522" s="2" t="str">
        <f t="shared" si="184"/>
        <v>UN</v>
      </c>
      <c r="D4522" s="7">
        <v>500</v>
      </c>
      <c r="E4522" s="3">
        <v>5</v>
      </c>
      <c r="F4522" s="3">
        <v>5</v>
      </c>
      <c r="G4522" t="s">
        <v>514</v>
      </c>
    </row>
    <row r="4523" spans="1:7" x14ac:dyDescent="0.25">
      <c r="A4523" s="1" t="str">
        <f>"515170"</f>
        <v>515170</v>
      </c>
      <c r="B4523" s="2" t="str">
        <f>"CALÇA BRANCA EGG (AMARELO)"</f>
        <v>CALÇA BRANCA EGG (AMARELO)</v>
      </c>
      <c r="C4523" s="2" t="str">
        <f t="shared" si="184"/>
        <v>UN</v>
      </c>
      <c r="D4523" s="7">
        <v>500</v>
      </c>
      <c r="E4523" s="3">
        <v>5</v>
      </c>
      <c r="F4523" s="3">
        <v>5</v>
      </c>
      <c r="G4523" t="s">
        <v>514</v>
      </c>
    </row>
    <row r="4524" spans="1:7" x14ac:dyDescent="0.25">
      <c r="A4524" s="1" t="str">
        <f>"515169"</f>
        <v>515169</v>
      </c>
      <c r="B4524" s="2" t="str">
        <f>"CALÇA BRANCA EGG (AZUL)"</f>
        <v>CALÇA BRANCA EGG (AZUL)</v>
      </c>
      <c r="C4524" s="2" t="str">
        <f t="shared" ref="C4524:C4555" si="185">"UN"</f>
        <v>UN</v>
      </c>
      <c r="D4524" s="7">
        <v>500</v>
      </c>
      <c r="E4524" s="3">
        <v>5</v>
      </c>
      <c r="F4524" s="3">
        <v>5</v>
      </c>
      <c r="G4524" t="s">
        <v>514</v>
      </c>
    </row>
    <row r="4525" spans="1:7" x14ac:dyDescent="0.25">
      <c r="A4525" s="1" t="str">
        <f>"515168"</f>
        <v>515168</v>
      </c>
      <c r="B4525" s="2" t="str">
        <f>"CALÇA BRANCA EGG (VERDE)"</f>
        <v>CALÇA BRANCA EGG (VERDE)</v>
      </c>
      <c r="C4525" s="2" t="str">
        <f t="shared" si="185"/>
        <v>UN</v>
      </c>
      <c r="D4525" s="7">
        <v>500</v>
      </c>
      <c r="E4525" s="3">
        <v>5</v>
      </c>
      <c r="F4525" s="3">
        <v>5</v>
      </c>
      <c r="G4525" t="s">
        <v>513</v>
      </c>
    </row>
    <row r="4526" spans="1:7" x14ac:dyDescent="0.25">
      <c r="A4526" s="1" t="str">
        <f>"515167"</f>
        <v>515167</v>
      </c>
      <c r="B4526" s="2" t="str">
        <f>"CALÇA BRANCA EGG (VERMELHO)"</f>
        <v>CALÇA BRANCA EGG (VERMELHO)</v>
      </c>
      <c r="C4526" s="2" t="str">
        <f t="shared" si="185"/>
        <v>UN</v>
      </c>
      <c r="D4526" s="7">
        <v>500</v>
      </c>
      <c r="E4526" s="3">
        <v>5</v>
      </c>
      <c r="F4526" s="3">
        <v>5</v>
      </c>
      <c r="G4526" t="s">
        <v>512</v>
      </c>
    </row>
    <row r="4527" spans="1:7" x14ac:dyDescent="0.25">
      <c r="A4527" s="1" t="str">
        <f>"521153"</f>
        <v>521153</v>
      </c>
      <c r="B4527" s="2" t="str">
        <f>"CALÇA BRANCA FEMININA 38"</f>
        <v>CALÇA BRANCA FEMININA 38</v>
      </c>
      <c r="C4527" s="2" t="str">
        <f t="shared" si="185"/>
        <v>UN</v>
      </c>
      <c r="D4527" s="7">
        <v>99999</v>
      </c>
      <c r="E4527" s="3">
        <v>5</v>
      </c>
      <c r="F4527" s="3">
        <v>5</v>
      </c>
      <c r="G4527" t="s">
        <v>513</v>
      </c>
    </row>
    <row r="4528" spans="1:7" x14ac:dyDescent="0.25">
      <c r="A4528" s="1" t="str">
        <f>"521154"</f>
        <v>521154</v>
      </c>
      <c r="B4528" s="2" t="str">
        <f>"CALÇA BRANCA FEMININA 40"</f>
        <v>CALÇA BRANCA FEMININA 40</v>
      </c>
      <c r="C4528" s="2" t="str">
        <f t="shared" si="185"/>
        <v>UN</v>
      </c>
      <c r="D4528" s="7">
        <v>99999</v>
      </c>
      <c r="E4528" s="3">
        <v>5</v>
      </c>
      <c r="F4528" s="3">
        <v>5</v>
      </c>
      <c r="G4528" t="s">
        <v>514</v>
      </c>
    </row>
    <row r="4529" spans="1:7" x14ac:dyDescent="0.25">
      <c r="A4529" s="1" t="str">
        <f>"521155"</f>
        <v>521155</v>
      </c>
      <c r="B4529" s="2" t="str">
        <f>"CALÇA BRANCA FEMININA 42"</f>
        <v>CALÇA BRANCA FEMININA 42</v>
      </c>
      <c r="C4529" s="2" t="str">
        <f t="shared" si="185"/>
        <v>UN</v>
      </c>
      <c r="D4529" s="7">
        <v>99999</v>
      </c>
      <c r="E4529" s="3">
        <v>5</v>
      </c>
      <c r="F4529" s="3">
        <v>5</v>
      </c>
      <c r="G4529" t="s">
        <v>514</v>
      </c>
    </row>
    <row r="4530" spans="1:7" x14ac:dyDescent="0.25">
      <c r="A4530" s="1" t="str">
        <f>"521156"</f>
        <v>521156</v>
      </c>
      <c r="B4530" s="2" t="str">
        <f>"CALÇA BRANCA FEMININA 44"</f>
        <v>CALÇA BRANCA FEMININA 44</v>
      </c>
      <c r="C4530" s="2" t="str">
        <f t="shared" si="185"/>
        <v>UN</v>
      </c>
      <c r="D4530" s="7">
        <v>99999</v>
      </c>
      <c r="E4530" s="3">
        <v>5</v>
      </c>
      <c r="F4530" s="3">
        <v>5</v>
      </c>
      <c r="G4530" t="s">
        <v>514</v>
      </c>
    </row>
    <row r="4531" spans="1:7" x14ac:dyDescent="0.25">
      <c r="A4531" s="1" t="str">
        <f>"521157"</f>
        <v>521157</v>
      </c>
      <c r="B4531" s="2" t="str">
        <f>"CALÇA BRANCA FEMININA 44"</f>
        <v>CALÇA BRANCA FEMININA 44</v>
      </c>
      <c r="C4531" s="2" t="str">
        <f t="shared" si="185"/>
        <v>UN</v>
      </c>
      <c r="D4531" s="7">
        <v>99999</v>
      </c>
      <c r="E4531" s="3">
        <v>5</v>
      </c>
      <c r="F4531" s="3">
        <v>5</v>
      </c>
      <c r="G4531" t="s">
        <v>513</v>
      </c>
    </row>
    <row r="4532" spans="1:7" x14ac:dyDescent="0.25">
      <c r="A4532" s="1" t="str">
        <f>"521158"</f>
        <v>521158</v>
      </c>
      <c r="B4532" s="2" t="str">
        <f>"CALÇA BRANCA FEMININA 46"</f>
        <v>CALÇA BRANCA FEMININA 46</v>
      </c>
      <c r="C4532" s="2" t="str">
        <f t="shared" si="185"/>
        <v>UN</v>
      </c>
      <c r="D4532" s="7">
        <v>99999</v>
      </c>
      <c r="E4532" s="3">
        <v>5</v>
      </c>
      <c r="F4532" s="3">
        <v>5</v>
      </c>
      <c r="G4532" t="s">
        <v>513</v>
      </c>
    </row>
    <row r="4533" spans="1:7" x14ac:dyDescent="0.25">
      <c r="A4533" s="1" t="str">
        <f>"521015"</f>
        <v>521015</v>
      </c>
      <c r="B4533" s="2" t="str">
        <f>"CALÇA BRANCA G"</f>
        <v>CALÇA BRANCA G</v>
      </c>
      <c r="C4533" s="2" t="str">
        <f t="shared" si="185"/>
        <v>UN</v>
      </c>
      <c r="D4533" s="7">
        <v>500</v>
      </c>
      <c r="E4533" s="3">
        <v>5</v>
      </c>
      <c r="F4533" s="3">
        <v>5</v>
      </c>
      <c r="G4533" t="s">
        <v>513</v>
      </c>
    </row>
    <row r="4534" spans="1:7" x14ac:dyDescent="0.25">
      <c r="A4534" s="1" t="str">
        <f>"521347"</f>
        <v>521347</v>
      </c>
      <c r="B4534" s="2" t="str">
        <f>"CALÇA BRANCA G - DIRETOR"</f>
        <v>CALÇA BRANCA G - DIRETOR</v>
      </c>
      <c r="C4534" s="2" t="str">
        <f t="shared" si="185"/>
        <v>UN</v>
      </c>
      <c r="D4534" s="7">
        <v>500</v>
      </c>
      <c r="E4534" s="3">
        <v>5</v>
      </c>
      <c r="F4534" s="3">
        <v>5</v>
      </c>
      <c r="G4534" t="s">
        <v>512</v>
      </c>
    </row>
    <row r="4535" spans="1:7" x14ac:dyDescent="0.25">
      <c r="A4535" s="1" t="str">
        <f>"521341"</f>
        <v>521341</v>
      </c>
      <c r="B4535" s="2" t="str">
        <f>"CALÇA BRANCA G - ENGENHARIA"</f>
        <v>CALÇA BRANCA G - ENGENHARIA</v>
      </c>
      <c r="C4535" s="2" t="str">
        <f t="shared" si="185"/>
        <v>UN</v>
      </c>
      <c r="D4535" s="7">
        <v>500</v>
      </c>
      <c r="E4535" s="3">
        <v>5</v>
      </c>
      <c r="F4535" s="3">
        <v>5</v>
      </c>
      <c r="G4535" t="s">
        <v>513</v>
      </c>
    </row>
    <row r="4536" spans="1:7" x14ac:dyDescent="0.25">
      <c r="A4536" s="1" t="str">
        <f>"521346"</f>
        <v>521346</v>
      </c>
      <c r="B4536" s="2" t="str">
        <f>"CALÇA BRANCA G - QUALIDADE"</f>
        <v>CALÇA BRANCA G - QUALIDADE</v>
      </c>
      <c r="C4536" s="2" t="str">
        <f t="shared" si="185"/>
        <v>UN</v>
      </c>
      <c r="D4536" s="7">
        <v>500</v>
      </c>
      <c r="E4536" s="3">
        <v>5</v>
      </c>
      <c r="F4536" s="3">
        <v>5</v>
      </c>
      <c r="G4536" t="s">
        <v>514</v>
      </c>
    </row>
    <row r="4537" spans="1:7" x14ac:dyDescent="0.25">
      <c r="A4537" s="1" t="str">
        <f>"521350"</f>
        <v>521350</v>
      </c>
      <c r="B4537" s="2" t="str">
        <f>"CALÇA BRANCA G - SEGURANÇA"</f>
        <v>CALÇA BRANCA G - SEGURANÇA</v>
      </c>
      <c r="C4537" s="2" t="str">
        <f t="shared" si="185"/>
        <v>UN</v>
      </c>
      <c r="D4537" s="7">
        <v>500</v>
      </c>
      <c r="E4537" s="3">
        <v>5</v>
      </c>
      <c r="F4537" s="3">
        <v>5</v>
      </c>
      <c r="G4537" t="s">
        <v>515</v>
      </c>
    </row>
    <row r="4538" spans="1:7" x14ac:dyDescent="0.25">
      <c r="A4538" s="1" t="str">
        <f>"6907"</f>
        <v>6907</v>
      </c>
      <c r="B4538" s="2" t="str">
        <f>"CALÇA BRANCA G (AMARELA)"</f>
        <v>CALÇA BRANCA G (AMARELA)</v>
      </c>
      <c r="C4538" s="2" t="str">
        <f t="shared" si="185"/>
        <v>UN</v>
      </c>
      <c r="D4538" s="7">
        <v>500</v>
      </c>
      <c r="E4538" s="3">
        <v>5</v>
      </c>
      <c r="F4538" s="3">
        <v>5</v>
      </c>
      <c r="G4538" t="s">
        <v>512</v>
      </c>
    </row>
    <row r="4539" spans="1:7" x14ac:dyDescent="0.25">
      <c r="A4539" s="1" t="str">
        <f>"6906"</f>
        <v>6906</v>
      </c>
      <c r="B4539" s="2" t="str">
        <f>"CALÇA BRANCA G (AZUL)"</f>
        <v>CALÇA BRANCA G (AZUL)</v>
      </c>
      <c r="C4539" s="2" t="str">
        <f t="shared" si="185"/>
        <v>UN</v>
      </c>
      <c r="D4539" s="7">
        <v>500</v>
      </c>
      <c r="E4539" s="3">
        <v>5</v>
      </c>
      <c r="F4539" s="3">
        <v>5</v>
      </c>
      <c r="G4539" t="s">
        <v>516</v>
      </c>
    </row>
    <row r="4540" spans="1:7" x14ac:dyDescent="0.25">
      <c r="A4540" s="1" t="str">
        <f>"6908"</f>
        <v>6908</v>
      </c>
      <c r="B4540" s="2" t="str">
        <f>"CALÇA BRANCA G (VERDE)"</f>
        <v>CALÇA BRANCA G (VERDE)</v>
      </c>
      <c r="C4540" s="2" t="str">
        <f t="shared" si="185"/>
        <v>UN</v>
      </c>
      <c r="D4540" s="7">
        <v>500</v>
      </c>
      <c r="E4540" s="3">
        <v>5</v>
      </c>
      <c r="F4540" s="3">
        <v>5</v>
      </c>
      <c r="G4540" t="s">
        <v>515</v>
      </c>
    </row>
    <row r="4541" spans="1:7" x14ac:dyDescent="0.25">
      <c r="A4541" s="1" t="str">
        <f>"6909"</f>
        <v>6909</v>
      </c>
      <c r="B4541" s="2" t="str">
        <f>"CALÇA BRANCA G (VERMELHA)"</f>
        <v>CALÇA BRANCA G (VERMELHA)</v>
      </c>
      <c r="C4541" s="2" t="str">
        <f t="shared" si="185"/>
        <v>UN</v>
      </c>
      <c r="D4541" s="7">
        <v>500</v>
      </c>
      <c r="E4541" s="3">
        <v>5</v>
      </c>
      <c r="F4541" s="3">
        <v>5</v>
      </c>
      <c r="G4541" t="s">
        <v>514</v>
      </c>
    </row>
    <row r="4542" spans="1:7" x14ac:dyDescent="0.25">
      <c r="A4542" s="1" t="str">
        <f>"521016"</f>
        <v>521016</v>
      </c>
      <c r="B4542" s="2" t="str">
        <f>"CALÇA BRANCA GG"</f>
        <v>CALÇA BRANCA GG</v>
      </c>
      <c r="C4542" s="2" t="str">
        <f t="shared" si="185"/>
        <v>UN</v>
      </c>
      <c r="D4542" s="7">
        <v>500</v>
      </c>
      <c r="E4542" s="3">
        <v>5</v>
      </c>
      <c r="F4542" s="3">
        <v>5</v>
      </c>
      <c r="G4542" t="s">
        <v>512</v>
      </c>
    </row>
    <row r="4543" spans="1:7" x14ac:dyDescent="0.25">
      <c r="A4543" s="1" t="str">
        <f>"521367"</f>
        <v>521367</v>
      </c>
      <c r="B4543" s="2" t="str">
        <f>"CALÇA BRANCA GG - ENGENHARIA"</f>
        <v>CALÇA BRANCA GG - ENGENHARIA</v>
      </c>
      <c r="C4543" s="2" t="str">
        <f t="shared" si="185"/>
        <v>UN</v>
      </c>
      <c r="D4543" s="7">
        <v>500</v>
      </c>
      <c r="E4543" s="3">
        <v>5</v>
      </c>
      <c r="F4543" s="3">
        <v>5</v>
      </c>
      <c r="G4543" t="s">
        <v>513</v>
      </c>
    </row>
    <row r="4544" spans="1:7" x14ac:dyDescent="0.25">
      <c r="A4544" s="1" t="str">
        <f>"521495"</f>
        <v>521495</v>
      </c>
      <c r="B4544" s="2" t="str">
        <f>"CALÇA BRANCA GG - FABRICA"</f>
        <v>CALÇA BRANCA GG - FABRICA</v>
      </c>
      <c r="C4544" s="2" t="str">
        <f t="shared" si="185"/>
        <v>UN</v>
      </c>
      <c r="D4544" s="7">
        <v>500</v>
      </c>
      <c r="E4544" s="3">
        <v>5</v>
      </c>
      <c r="F4544" s="3">
        <v>5</v>
      </c>
      <c r="G4544" t="s">
        <v>514</v>
      </c>
    </row>
    <row r="4545" spans="1:7" x14ac:dyDescent="0.25">
      <c r="A4545" s="1" t="str">
        <f>"521343"</f>
        <v>521343</v>
      </c>
      <c r="B4545" s="2" t="str">
        <f>"CALÇA BRANCA GG - GERENTE DE PRODUÇÃO"</f>
        <v>CALÇA BRANCA GG - GERENTE DE PRODUÇÃO</v>
      </c>
      <c r="C4545" s="2" t="str">
        <f t="shared" si="185"/>
        <v>UN</v>
      </c>
      <c r="D4545" s="7">
        <v>500</v>
      </c>
      <c r="E4545" s="3">
        <v>5</v>
      </c>
      <c r="F4545" s="3">
        <v>5</v>
      </c>
      <c r="G4545" t="s">
        <v>514</v>
      </c>
    </row>
    <row r="4546" spans="1:7" x14ac:dyDescent="0.25">
      <c r="A4546" s="1" t="str">
        <f>"523542"</f>
        <v>523542</v>
      </c>
      <c r="B4546" s="2" t="str">
        <f>"CALÇA BRANCA GG - QUALIDADE"</f>
        <v>CALÇA BRANCA GG - QUALIDADE</v>
      </c>
      <c r="C4546" s="2" t="str">
        <f t="shared" si="185"/>
        <v>UN</v>
      </c>
      <c r="D4546" s="7">
        <v>500</v>
      </c>
      <c r="E4546" s="3">
        <v>5</v>
      </c>
      <c r="F4546" s="3">
        <v>5</v>
      </c>
      <c r="G4546" t="s">
        <v>512</v>
      </c>
    </row>
    <row r="4547" spans="1:7" x14ac:dyDescent="0.25">
      <c r="A4547" s="1" t="str">
        <f>"6990"</f>
        <v>6990</v>
      </c>
      <c r="B4547" s="2" t="str">
        <f>"CALÇA BRANCA GG (AMARELO)"</f>
        <v>CALÇA BRANCA GG (AMARELO)</v>
      </c>
      <c r="C4547" s="2" t="str">
        <f t="shared" si="185"/>
        <v>UN</v>
      </c>
      <c r="D4547" s="7">
        <v>500</v>
      </c>
      <c r="E4547" s="3">
        <v>5</v>
      </c>
      <c r="F4547" s="3">
        <v>5</v>
      </c>
      <c r="G4547" t="s">
        <v>513</v>
      </c>
    </row>
    <row r="4548" spans="1:7" x14ac:dyDescent="0.25">
      <c r="A4548" s="1" t="str">
        <f>"6987"</f>
        <v>6987</v>
      </c>
      <c r="B4548" s="2" t="str">
        <f>"CALÇA BRANCA GG (AZUL)"</f>
        <v>CALÇA BRANCA GG (AZUL)</v>
      </c>
      <c r="C4548" s="2" t="str">
        <f t="shared" si="185"/>
        <v>UN</v>
      </c>
      <c r="D4548" s="7">
        <v>500</v>
      </c>
      <c r="E4548" s="3">
        <v>5</v>
      </c>
      <c r="F4548" s="3">
        <v>5</v>
      </c>
      <c r="G4548" t="s">
        <v>514</v>
      </c>
    </row>
    <row r="4549" spans="1:7" x14ac:dyDescent="0.25">
      <c r="A4549" s="1" t="str">
        <f>"6989"</f>
        <v>6989</v>
      </c>
      <c r="B4549" s="2" t="str">
        <f>"CALÇA BRANCA GG (VERDE)"</f>
        <v>CALÇA BRANCA GG (VERDE)</v>
      </c>
      <c r="C4549" s="2" t="str">
        <f t="shared" si="185"/>
        <v>UN</v>
      </c>
      <c r="D4549" s="7">
        <v>500</v>
      </c>
      <c r="E4549" s="3">
        <v>5</v>
      </c>
      <c r="F4549" s="3">
        <v>5</v>
      </c>
      <c r="G4549" t="s">
        <v>514</v>
      </c>
    </row>
    <row r="4550" spans="1:7" x14ac:dyDescent="0.25">
      <c r="A4550" s="1" t="str">
        <f>"6991"</f>
        <v>6991</v>
      </c>
      <c r="B4550" s="2" t="str">
        <f>"CALÇA BRANCA GG (VERMELHO)"</f>
        <v>CALÇA BRANCA GG (VERMELHO)</v>
      </c>
      <c r="C4550" s="2" t="str">
        <f t="shared" si="185"/>
        <v>UN</v>
      </c>
      <c r="D4550" s="7">
        <v>500</v>
      </c>
      <c r="E4550" s="3">
        <v>5</v>
      </c>
      <c r="F4550" s="3">
        <v>5</v>
      </c>
      <c r="G4550" t="s">
        <v>514</v>
      </c>
    </row>
    <row r="4551" spans="1:7" x14ac:dyDescent="0.25">
      <c r="A4551" s="1" t="str">
        <f>"521014"</f>
        <v>521014</v>
      </c>
      <c r="B4551" s="2" t="str">
        <f>"CALÇA BRANCA M"</f>
        <v>CALÇA BRANCA M</v>
      </c>
      <c r="C4551" s="2" t="str">
        <f t="shared" si="185"/>
        <v>UN</v>
      </c>
      <c r="D4551" s="7">
        <v>500</v>
      </c>
      <c r="E4551" s="3">
        <v>5</v>
      </c>
      <c r="F4551" s="3">
        <v>5</v>
      </c>
      <c r="G4551" t="s">
        <v>513</v>
      </c>
    </row>
    <row r="4552" spans="1:7" x14ac:dyDescent="0.25">
      <c r="A4552" s="1" t="str">
        <f>"521340"</f>
        <v>521340</v>
      </c>
      <c r="B4552" s="2" t="str">
        <f>"CALÇA BRANCA M - ENGENHARIA"</f>
        <v>CALÇA BRANCA M - ENGENHARIA</v>
      </c>
      <c r="C4552" s="2" t="str">
        <f t="shared" si="185"/>
        <v>UN</v>
      </c>
      <c r="D4552" s="7">
        <v>500</v>
      </c>
      <c r="E4552" s="3">
        <v>5</v>
      </c>
      <c r="F4552" s="3">
        <v>5</v>
      </c>
      <c r="G4552" t="s">
        <v>512</v>
      </c>
    </row>
    <row r="4553" spans="1:7" x14ac:dyDescent="0.25">
      <c r="A4553" s="1" t="str">
        <f>"521351"</f>
        <v>521351</v>
      </c>
      <c r="B4553" s="2" t="str">
        <f>"CALÇA BRANCA M - GERENTE DE PCP"</f>
        <v>CALÇA BRANCA M - GERENTE DE PCP</v>
      </c>
      <c r="C4553" s="2" t="str">
        <f t="shared" si="185"/>
        <v>UN</v>
      </c>
      <c r="D4553" s="7">
        <v>500</v>
      </c>
      <c r="E4553" s="3">
        <v>5</v>
      </c>
      <c r="F4553" s="3">
        <v>5</v>
      </c>
      <c r="G4553" t="s">
        <v>513</v>
      </c>
    </row>
    <row r="4554" spans="1:7" x14ac:dyDescent="0.25">
      <c r="A4554" s="1" t="str">
        <f>"521342"</f>
        <v>521342</v>
      </c>
      <c r="B4554" s="2" t="str">
        <f>"CALÇA BRANCA M - GERENTE DE QUALIDADE"</f>
        <v>CALÇA BRANCA M - GERENTE DE QUALIDADE</v>
      </c>
      <c r="C4554" s="2" t="str">
        <f t="shared" si="185"/>
        <v>UN</v>
      </c>
      <c r="D4554" s="7">
        <v>500</v>
      </c>
      <c r="E4554" s="3">
        <v>5</v>
      </c>
      <c r="F4554" s="3">
        <v>5</v>
      </c>
      <c r="G4554" t="s">
        <v>514</v>
      </c>
    </row>
    <row r="4555" spans="1:7" x14ac:dyDescent="0.25">
      <c r="A4555" s="1" t="str">
        <f>"521348"</f>
        <v>521348</v>
      </c>
      <c r="B4555" s="2" t="str">
        <f>"CALÇA BRANCA M - PCP"</f>
        <v>CALÇA BRANCA M - PCP</v>
      </c>
      <c r="C4555" s="2" t="str">
        <f t="shared" si="185"/>
        <v>UN</v>
      </c>
      <c r="D4555" s="7">
        <v>500</v>
      </c>
      <c r="E4555" s="3">
        <v>5</v>
      </c>
      <c r="F4555" s="3">
        <v>5</v>
      </c>
      <c r="G4555" t="s">
        <v>514</v>
      </c>
    </row>
    <row r="4556" spans="1:7" x14ac:dyDescent="0.25">
      <c r="A4556" s="1" t="str">
        <f>"521345"</f>
        <v>521345</v>
      </c>
      <c r="B4556" s="2" t="str">
        <f>"CALÇA BRANCA M - QUALIDADE"</f>
        <v>CALÇA BRANCA M - QUALIDADE</v>
      </c>
      <c r="C4556" s="2" t="str">
        <f t="shared" ref="C4556:C4587" si="186">"UN"</f>
        <v>UN</v>
      </c>
      <c r="D4556" s="7">
        <v>500</v>
      </c>
      <c r="E4556" s="3">
        <v>5</v>
      </c>
      <c r="F4556" s="3">
        <v>5</v>
      </c>
      <c r="G4556" t="s">
        <v>514</v>
      </c>
    </row>
    <row r="4557" spans="1:7" x14ac:dyDescent="0.25">
      <c r="A4557" s="1" t="str">
        <f>"521349"</f>
        <v>521349</v>
      </c>
      <c r="B4557" s="2" t="str">
        <f>"CALÇA BRANCA M - SEGURANÇA"</f>
        <v>CALÇA BRANCA M - SEGURANÇA</v>
      </c>
      <c r="C4557" s="2" t="str">
        <f t="shared" si="186"/>
        <v>UN</v>
      </c>
      <c r="D4557" s="7">
        <v>500</v>
      </c>
      <c r="E4557" s="3">
        <v>5</v>
      </c>
      <c r="F4557" s="3">
        <v>5</v>
      </c>
      <c r="G4557" t="s">
        <v>513</v>
      </c>
    </row>
    <row r="4558" spans="1:7" x14ac:dyDescent="0.25">
      <c r="A4558" s="1" t="str">
        <f>"6903"</f>
        <v>6903</v>
      </c>
      <c r="B4558" s="2" t="str">
        <f>"CALÇA BRANCA M (AMARELA)"</f>
        <v>CALÇA BRANCA M (AMARELA)</v>
      </c>
      <c r="C4558" s="2" t="str">
        <f t="shared" si="186"/>
        <v>UN</v>
      </c>
      <c r="D4558" s="7">
        <v>500</v>
      </c>
      <c r="E4558" s="3">
        <v>5</v>
      </c>
      <c r="F4558" s="3">
        <v>5</v>
      </c>
      <c r="G4558" t="s">
        <v>513</v>
      </c>
    </row>
    <row r="4559" spans="1:7" x14ac:dyDescent="0.25">
      <c r="A4559" s="1" t="str">
        <f>"6902"</f>
        <v>6902</v>
      </c>
      <c r="B4559" s="2" t="str">
        <f>"CALÇA BRANCA M (AZUL)"</f>
        <v>CALÇA BRANCA M (AZUL)</v>
      </c>
      <c r="C4559" s="2" t="str">
        <f t="shared" si="186"/>
        <v>UN</v>
      </c>
      <c r="D4559" s="7">
        <v>500</v>
      </c>
      <c r="E4559" s="3">
        <v>5</v>
      </c>
      <c r="F4559" s="3">
        <v>5</v>
      </c>
      <c r="G4559" t="s">
        <v>513</v>
      </c>
    </row>
    <row r="4560" spans="1:7" x14ac:dyDescent="0.25">
      <c r="A4560" s="1" t="str">
        <f>"6904"</f>
        <v>6904</v>
      </c>
      <c r="B4560" s="2" t="str">
        <f>"CALÇA BRANCA M (VERDE)"</f>
        <v>CALÇA BRANCA M (VERDE)</v>
      </c>
      <c r="C4560" s="2" t="str">
        <f t="shared" si="186"/>
        <v>UN</v>
      </c>
      <c r="D4560" s="7">
        <v>500</v>
      </c>
      <c r="E4560" s="3">
        <v>5</v>
      </c>
      <c r="F4560" s="3">
        <v>5</v>
      </c>
      <c r="G4560" t="s">
        <v>512</v>
      </c>
    </row>
    <row r="4561" spans="1:7" x14ac:dyDescent="0.25">
      <c r="A4561" s="1" t="str">
        <f>"6905"</f>
        <v>6905</v>
      </c>
      <c r="B4561" s="2" t="str">
        <f>"CALÇA BRANCA M (VERMELHA)"</f>
        <v>CALÇA BRANCA M (VERMELHA)</v>
      </c>
      <c r="C4561" s="2" t="str">
        <f t="shared" si="186"/>
        <v>UN</v>
      </c>
      <c r="D4561" s="7">
        <v>500</v>
      </c>
      <c r="E4561" s="3">
        <v>5</v>
      </c>
      <c r="F4561" s="3">
        <v>5</v>
      </c>
      <c r="G4561" t="s">
        <v>513</v>
      </c>
    </row>
    <row r="4562" spans="1:7" x14ac:dyDescent="0.25">
      <c r="A4562" s="1" t="str">
        <f>"521159"</f>
        <v>521159</v>
      </c>
      <c r="B4562" s="2" t="str">
        <f>"CALÇA BRANCA MASCULINA 44"</f>
        <v>CALÇA BRANCA MASCULINA 44</v>
      </c>
      <c r="C4562" s="2" t="str">
        <f t="shared" si="186"/>
        <v>UN</v>
      </c>
      <c r="D4562" s="7">
        <v>99999</v>
      </c>
      <c r="E4562" s="3">
        <v>5</v>
      </c>
      <c r="F4562" s="3">
        <v>5</v>
      </c>
      <c r="G4562" t="s">
        <v>514</v>
      </c>
    </row>
    <row r="4563" spans="1:7" x14ac:dyDescent="0.25">
      <c r="A4563" s="1" t="str">
        <f>"521160"</f>
        <v>521160</v>
      </c>
      <c r="B4563" s="2" t="str">
        <f>"CALÇA BRANCA MASCULINA 46"</f>
        <v>CALÇA BRANCA MASCULINA 46</v>
      </c>
      <c r="C4563" s="2" t="str">
        <f t="shared" si="186"/>
        <v>UN</v>
      </c>
      <c r="D4563" s="7">
        <v>99999</v>
      </c>
      <c r="E4563" s="3">
        <v>5</v>
      </c>
      <c r="F4563" s="3">
        <v>5</v>
      </c>
      <c r="G4563" t="s">
        <v>515</v>
      </c>
    </row>
    <row r="4564" spans="1:7" x14ac:dyDescent="0.25">
      <c r="A4564" s="1" t="str">
        <f>"521013"</f>
        <v>521013</v>
      </c>
      <c r="B4564" s="2" t="str">
        <f>"CALÇA BRANCA P"</f>
        <v>CALÇA BRANCA P</v>
      </c>
      <c r="C4564" s="2" t="str">
        <f t="shared" si="186"/>
        <v>UN</v>
      </c>
      <c r="D4564" s="7">
        <v>500</v>
      </c>
      <c r="E4564" s="3">
        <v>5</v>
      </c>
      <c r="F4564" s="3">
        <v>5</v>
      </c>
      <c r="G4564" t="s">
        <v>512</v>
      </c>
    </row>
    <row r="4565" spans="1:7" x14ac:dyDescent="0.25">
      <c r="A4565" s="1" t="str">
        <f>"521344"</f>
        <v>521344</v>
      </c>
      <c r="B4565" s="2" t="str">
        <f>"CALÇA BRANCA P - QUALIDADE"</f>
        <v>CALÇA BRANCA P - QUALIDADE</v>
      </c>
      <c r="C4565" s="2" t="str">
        <f t="shared" si="186"/>
        <v>UN</v>
      </c>
      <c r="D4565" s="7">
        <v>500</v>
      </c>
      <c r="E4565" s="3">
        <v>5</v>
      </c>
      <c r="F4565" s="3">
        <v>5</v>
      </c>
      <c r="G4565" t="s">
        <v>516</v>
      </c>
    </row>
    <row r="4566" spans="1:7" x14ac:dyDescent="0.25">
      <c r="A4566" s="1" t="str">
        <f>"6899"</f>
        <v>6899</v>
      </c>
      <c r="B4566" s="2" t="str">
        <f>"CALÇA BRANCA P (AMARELA)"</f>
        <v>CALÇA BRANCA P (AMARELA)</v>
      </c>
      <c r="C4566" s="2" t="str">
        <f t="shared" si="186"/>
        <v>UN</v>
      </c>
      <c r="D4566" s="7">
        <v>500</v>
      </c>
      <c r="E4566" s="3">
        <v>5</v>
      </c>
      <c r="F4566" s="3">
        <v>5</v>
      </c>
      <c r="G4566" t="s">
        <v>515</v>
      </c>
    </row>
    <row r="4567" spans="1:7" x14ac:dyDescent="0.25">
      <c r="A4567" s="1" t="str">
        <f>"6898"</f>
        <v>6898</v>
      </c>
      <c r="B4567" s="2" t="str">
        <f>"CALÇA BRANCA P (AZUL)"</f>
        <v>CALÇA BRANCA P (AZUL)</v>
      </c>
      <c r="C4567" s="2" t="str">
        <f t="shared" si="186"/>
        <v>UN</v>
      </c>
      <c r="D4567" s="7">
        <v>500</v>
      </c>
      <c r="E4567" s="3">
        <v>5</v>
      </c>
      <c r="F4567" s="3">
        <v>5</v>
      </c>
      <c r="G4567" t="s">
        <v>514</v>
      </c>
    </row>
    <row r="4568" spans="1:7" x14ac:dyDescent="0.25">
      <c r="A4568" s="1" t="str">
        <f>"6900"</f>
        <v>6900</v>
      </c>
      <c r="B4568" s="2" t="str">
        <f>"CALÇA BRANCA P (VERDE)"</f>
        <v>CALÇA BRANCA P (VERDE)</v>
      </c>
      <c r="C4568" s="2" t="str">
        <f t="shared" si="186"/>
        <v>UN</v>
      </c>
      <c r="D4568" s="7">
        <v>500</v>
      </c>
      <c r="E4568" s="3">
        <v>5</v>
      </c>
      <c r="F4568" s="3">
        <v>5</v>
      </c>
      <c r="G4568" t="s">
        <v>512</v>
      </c>
    </row>
    <row r="4569" spans="1:7" x14ac:dyDescent="0.25">
      <c r="A4569" s="1" t="str">
        <f>"6901"</f>
        <v>6901</v>
      </c>
      <c r="B4569" s="2" t="str">
        <f>"CALÇA BRANCA P (VERMELHA)"</f>
        <v>CALÇA BRANCA P (VERMELHA)</v>
      </c>
      <c r="C4569" s="2" t="str">
        <f t="shared" si="186"/>
        <v>UN</v>
      </c>
      <c r="D4569" s="7">
        <v>500</v>
      </c>
      <c r="E4569" s="3">
        <v>5</v>
      </c>
      <c r="F4569" s="3">
        <v>5</v>
      </c>
      <c r="G4569" t="s">
        <v>513</v>
      </c>
    </row>
    <row r="4570" spans="1:7" x14ac:dyDescent="0.25">
      <c r="A4570" s="1" t="str">
        <f>"523984"</f>
        <v>523984</v>
      </c>
      <c r="B4570" s="2" t="str">
        <f>"CALÇA C/ FAIXA REFLETIVA TAMANHO G AZUL MARINHO"</f>
        <v>CALÇA C/ FAIXA REFLETIVA TAMANHO G AZUL MARINHO</v>
      </c>
      <c r="C4570" s="2" t="str">
        <f t="shared" si="186"/>
        <v>UN</v>
      </c>
      <c r="D4570" s="7">
        <v>500</v>
      </c>
      <c r="E4570" s="3">
        <v>5</v>
      </c>
      <c r="F4570" s="3">
        <v>5</v>
      </c>
      <c r="G4570" t="s">
        <v>514</v>
      </c>
    </row>
    <row r="4571" spans="1:7" x14ac:dyDescent="0.25">
      <c r="A4571" s="1" t="str">
        <f>"523935"</f>
        <v>523935</v>
      </c>
      <c r="B4571" s="2" t="str">
        <f>"CALÇA C/ FAIXA REFLETIVA TAMANHO G BRANCA"</f>
        <v>CALÇA C/ FAIXA REFLETIVA TAMANHO G BRANCA</v>
      </c>
      <c r="C4571" s="2" t="str">
        <f t="shared" si="186"/>
        <v>UN</v>
      </c>
      <c r="D4571" s="7">
        <v>500</v>
      </c>
      <c r="E4571" s="3">
        <v>5</v>
      </c>
      <c r="F4571" s="3">
        <v>5</v>
      </c>
      <c r="G4571" t="s">
        <v>514</v>
      </c>
    </row>
    <row r="4572" spans="1:7" x14ac:dyDescent="0.25">
      <c r="A4572" s="1" t="str">
        <f>"523921"</f>
        <v>523921</v>
      </c>
      <c r="B4572" s="2" t="str">
        <f>"CALÇA C/ FAIXA REFLETIVA TAMANHO G CINZA CHUMBO"</f>
        <v>CALÇA C/ FAIXA REFLETIVA TAMANHO G CINZA CHUMBO</v>
      </c>
      <c r="C4572" s="2" t="str">
        <f t="shared" si="186"/>
        <v>UN</v>
      </c>
      <c r="D4572" s="7">
        <v>500</v>
      </c>
      <c r="E4572" s="3">
        <v>5</v>
      </c>
      <c r="F4572" s="3">
        <v>5</v>
      </c>
      <c r="G4572" t="s">
        <v>512</v>
      </c>
    </row>
    <row r="4573" spans="1:7" x14ac:dyDescent="0.25">
      <c r="A4573" s="1" t="str">
        <f>"523939"</f>
        <v>523939</v>
      </c>
      <c r="B4573" s="2" t="str">
        <f>"CALÇA C/ FAIXA REFLETIVA TAMANHO G CINZA MESCLA"</f>
        <v>CALÇA C/ FAIXA REFLETIVA TAMANHO G CINZA MESCLA</v>
      </c>
      <c r="C4573" s="2" t="str">
        <f t="shared" si="186"/>
        <v>UN</v>
      </c>
      <c r="D4573" s="7">
        <v>500</v>
      </c>
      <c r="E4573" s="3">
        <v>5</v>
      </c>
      <c r="F4573" s="3">
        <v>5</v>
      </c>
      <c r="G4573" t="s">
        <v>513</v>
      </c>
    </row>
    <row r="4574" spans="1:7" x14ac:dyDescent="0.25">
      <c r="A4574" s="1" t="str">
        <f>"523985"</f>
        <v>523985</v>
      </c>
      <c r="B4574" s="2" t="str">
        <f>"CALÇA C/ FAIXA REFLETIVA TAMANHO GG AZUL MARINHO"</f>
        <v>CALÇA C/ FAIXA REFLETIVA TAMANHO GG AZUL MARINHO</v>
      </c>
      <c r="C4574" s="2" t="str">
        <f t="shared" si="186"/>
        <v>UN</v>
      </c>
      <c r="D4574" s="7">
        <v>500</v>
      </c>
      <c r="E4574" s="3">
        <v>5</v>
      </c>
      <c r="F4574" s="3">
        <v>5</v>
      </c>
      <c r="G4574" t="s">
        <v>514</v>
      </c>
    </row>
    <row r="4575" spans="1:7" x14ac:dyDescent="0.25">
      <c r="A4575" s="1" t="str">
        <f>"523936"</f>
        <v>523936</v>
      </c>
      <c r="B4575" s="2" t="str">
        <f>"CALÇA C/ FAIXA REFLETIVA TAMANHO GG BRANCA"</f>
        <v>CALÇA C/ FAIXA REFLETIVA TAMANHO GG BRANCA</v>
      </c>
      <c r="C4575" s="2" t="str">
        <f t="shared" si="186"/>
        <v>UN</v>
      </c>
      <c r="D4575" s="7">
        <v>500</v>
      </c>
      <c r="E4575" s="3">
        <v>5</v>
      </c>
      <c r="F4575" s="3">
        <v>5</v>
      </c>
      <c r="G4575" t="s">
        <v>514</v>
      </c>
    </row>
    <row r="4576" spans="1:7" x14ac:dyDescent="0.25">
      <c r="A4576" s="1" t="str">
        <f>"526837"</f>
        <v>526837</v>
      </c>
      <c r="B4576" s="2" t="str">
        <f>"CALÇA C/ FAIXA REFLETIVA TAMANHO GG CINZA CHUMBO"</f>
        <v>CALÇA C/ FAIXA REFLETIVA TAMANHO GG CINZA CHUMBO</v>
      </c>
      <c r="C4576" s="2" t="str">
        <f t="shared" si="186"/>
        <v>UN</v>
      </c>
      <c r="D4576" s="7">
        <v>500</v>
      </c>
      <c r="E4576" s="3">
        <v>5</v>
      </c>
      <c r="F4576" s="3">
        <v>5</v>
      </c>
      <c r="G4576" t="s">
        <v>514</v>
      </c>
    </row>
    <row r="4577" spans="1:7" x14ac:dyDescent="0.25">
      <c r="A4577" s="1" t="str">
        <f>"523983"</f>
        <v>523983</v>
      </c>
      <c r="B4577" s="2" t="str">
        <f>"CALÇA C/ FAIXA REFLETIVA TAMANHO M AZUL MARINHO"</f>
        <v>CALÇA C/ FAIXA REFLETIVA TAMANHO M AZUL MARINHO</v>
      </c>
      <c r="C4577" s="2" t="str">
        <f t="shared" si="186"/>
        <v>UN</v>
      </c>
      <c r="D4577" s="7">
        <v>500</v>
      </c>
      <c r="E4577" s="3">
        <v>5</v>
      </c>
      <c r="F4577" s="3">
        <v>5</v>
      </c>
      <c r="G4577" t="s">
        <v>513</v>
      </c>
    </row>
    <row r="4578" spans="1:7" x14ac:dyDescent="0.25">
      <c r="A4578" s="1" t="str">
        <f>"523934"</f>
        <v>523934</v>
      </c>
      <c r="B4578" s="2" t="str">
        <f>"CALÇA C/ FAIXA REFLETIVA TAMANHO M BRANCA"</f>
        <v>CALÇA C/ FAIXA REFLETIVA TAMANHO M BRANCA</v>
      </c>
      <c r="C4578" s="2" t="str">
        <f t="shared" si="186"/>
        <v>UN</v>
      </c>
      <c r="D4578" s="7">
        <v>500</v>
      </c>
      <c r="E4578" s="3">
        <v>5</v>
      </c>
      <c r="F4578" s="3">
        <v>5</v>
      </c>
      <c r="G4578" t="s">
        <v>512</v>
      </c>
    </row>
    <row r="4579" spans="1:7" x14ac:dyDescent="0.25">
      <c r="A4579" s="1" t="str">
        <f>"523920"</f>
        <v>523920</v>
      </c>
      <c r="B4579" s="2" t="str">
        <f>"CALÇA C/ FAIXA REFLETIVA TAMANHO M CINZA CHUMBO"</f>
        <v>CALÇA C/ FAIXA REFLETIVA TAMANHO M CINZA CHUMBO</v>
      </c>
      <c r="C4579" s="2" t="str">
        <f t="shared" si="186"/>
        <v>UN</v>
      </c>
      <c r="D4579" s="7">
        <v>500</v>
      </c>
      <c r="E4579" s="3">
        <v>5</v>
      </c>
      <c r="F4579" s="3">
        <v>5</v>
      </c>
      <c r="G4579" t="s">
        <v>513</v>
      </c>
    </row>
    <row r="4580" spans="1:7" x14ac:dyDescent="0.25">
      <c r="A4580" s="1" t="str">
        <f>"523938"</f>
        <v>523938</v>
      </c>
      <c r="B4580" s="2" t="str">
        <f>"CALÇA C/ FAIXA REFLETIVA TAMANHO M CINZA MESCLA"</f>
        <v>CALÇA C/ FAIXA REFLETIVA TAMANHO M CINZA MESCLA</v>
      </c>
      <c r="C4580" s="2" t="str">
        <f t="shared" si="186"/>
        <v>UN</v>
      </c>
      <c r="D4580" s="7">
        <v>500</v>
      </c>
      <c r="E4580" s="3">
        <v>5</v>
      </c>
      <c r="F4580" s="3">
        <v>5</v>
      </c>
      <c r="G4580" t="s">
        <v>514</v>
      </c>
    </row>
    <row r="4581" spans="1:7" x14ac:dyDescent="0.25">
      <c r="A4581" s="1" t="str">
        <f>"523982"</f>
        <v>523982</v>
      </c>
      <c r="B4581" s="2" t="str">
        <f>"CALÇA C/ FAIXA REFLETIVA TAMANHO P AZUL MARINHO"</f>
        <v>CALÇA C/ FAIXA REFLETIVA TAMANHO P AZUL MARINHO</v>
      </c>
      <c r="C4581" s="2" t="str">
        <f t="shared" si="186"/>
        <v>UN</v>
      </c>
      <c r="D4581" s="7">
        <v>500</v>
      </c>
      <c r="E4581" s="3">
        <v>5</v>
      </c>
      <c r="F4581" s="3">
        <v>5</v>
      </c>
      <c r="G4581" t="s">
        <v>514</v>
      </c>
    </row>
    <row r="4582" spans="1:7" x14ac:dyDescent="0.25">
      <c r="A4582" s="1" t="str">
        <f>"523933"</f>
        <v>523933</v>
      </c>
      <c r="B4582" s="2" t="str">
        <f>"CALÇA C/ FAIXA REFLETIVA TAMANHO P BRANCA"</f>
        <v>CALÇA C/ FAIXA REFLETIVA TAMANHO P BRANCA</v>
      </c>
      <c r="C4582" s="2" t="str">
        <f t="shared" si="186"/>
        <v>UN</v>
      </c>
      <c r="D4582" s="7">
        <v>500</v>
      </c>
      <c r="E4582" s="3">
        <v>5</v>
      </c>
      <c r="F4582" s="3">
        <v>5</v>
      </c>
      <c r="G4582" t="s">
        <v>514</v>
      </c>
    </row>
    <row r="4583" spans="1:7" x14ac:dyDescent="0.25">
      <c r="A4583" s="1" t="str">
        <f>"523937"</f>
        <v>523937</v>
      </c>
      <c r="B4583" s="2" t="str">
        <f>"CALÇA C/ FAIXA REFLETIVA TAMANHO P CINZA MESCLA"</f>
        <v>CALÇA C/ FAIXA REFLETIVA TAMANHO P CINZA MESCLA</v>
      </c>
      <c r="C4583" s="2" t="str">
        <f t="shared" si="186"/>
        <v>UN</v>
      </c>
      <c r="D4583" s="7">
        <v>500</v>
      </c>
      <c r="E4583" s="3">
        <v>5</v>
      </c>
      <c r="F4583" s="3">
        <v>5</v>
      </c>
      <c r="G4583" t="s">
        <v>513</v>
      </c>
    </row>
    <row r="4584" spans="1:7" x14ac:dyDescent="0.25">
      <c r="A4584" s="1" t="str">
        <f>"6928"</f>
        <v>6928</v>
      </c>
      <c r="B4584" s="2" t="str">
        <f>"CALÇA CAQUI G (AMARELA)"</f>
        <v>CALÇA CAQUI G (AMARELA)</v>
      </c>
      <c r="C4584" s="2" t="str">
        <f t="shared" si="186"/>
        <v>UN</v>
      </c>
      <c r="D4584" s="7">
        <v>500</v>
      </c>
      <c r="E4584" s="3">
        <v>5</v>
      </c>
      <c r="F4584" s="3">
        <v>5</v>
      </c>
      <c r="G4584" t="s">
        <v>513</v>
      </c>
    </row>
    <row r="4585" spans="1:7" x14ac:dyDescent="0.25">
      <c r="A4585" s="1" t="str">
        <f>"6927"</f>
        <v>6927</v>
      </c>
      <c r="B4585" s="2" t="str">
        <f>"CALÇA CAQUI G (AZUL)"</f>
        <v>CALÇA CAQUI G (AZUL)</v>
      </c>
      <c r="C4585" s="2" t="str">
        <f t="shared" si="186"/>
        <v>UN</v>
      </c>
      <c r="D4585" s="7">
        <v>500</v>
      </c>
      <c r="E4585" s="3">
        <v>5</v>
      </c>
      <c r="F4585" s="3">
        <v>5</v>
      </c>
      <c r="G4585" t="s">
        <v>513</v>
      </c>
    </row>
    <row r="4586" spans="1:7" x14ac:dyDescent="0.25">
      <c r="A4586" s="1" t="str">
        <f>"6926"</f>
        <v>6926</v>
      </c>
      <c r="B4586" s="2" t="str">
        <f>"CALÇA CAQUI G (VERDE)"</f>
        <v>CALÇA CAQUI G (VERDE)</v>
      </c>
      <c r="C4586" s="2" t="str">
        <f t="shared" si="186"/>
        <v>UN</v>
      </c>
      <c r="D4586" s="7">
        <v>500</v>
      </c>
      <c r="E4586" s="3">
        <v>5</v>
      </c>
      <c r="F4586" s="3">
        <v>5</v>
      </c>
      <c r="G4586" t="s">
        <v>512</v>
      </c>
    </row>
    <row r="4587" spans="1:7" x14ac:dyDescent="0.25">
      <c r="A4587" s="1" t="str">
        <f>"6925"</f>
        <v>6925</v>
      </c>
      <c r="B4587" s="2" t="str">
        <f>"CALÇA CAQUI G (VERMELHA)"</f>
        <v>CALÇA CAQUI G (VERMELHA)</v>
      </c>
      <c r="C4587" s="2" t="str">
        <f t="shared" si="186"/>
        <v>UN</v>
      </c>
      <c r="D4587" s="7">
        <v>500</v>
      </c>
      <c r="E4587" s="3">
        <v>5</v>
      </c>
      <c r="F4587" s="3">
        <v>5</v>
      </c>
      <c r="G4587" t="s">
        <v>513</v>
      </c>
    </row>
    <row r="4588" spans="1:7" x14ac:dyDescent="0.25">
      <c r="A4588" s="1" t="str">
        <f>"6924"</f>
        <v>6924</v>
      </c>
      <c r="B4588" s="2" t="str">
        <f>"CALÇA CAQUI GG (AMARELA)"</f>
        <v>CALÇA CAQUI GG (AMARELA)</v>
      </c>
      <c r="C4588" s="2" t="str">
        <f t="shared" ref="C4588:C4619" si="187">"UN"</f>
        <v>UN</v>
      </c>
      <c r="D4588" s="7">
        <v>500</v>
      </c>
      <c r="E4588" s="3">
        <v>5</v>
      </c>
      <c r="F4588" s="3">
        <v>5</v>
      </c>
      <c r="G4588" t="s">
        <v>514</v>
      </c>
    </row>
    <row r="4589" spans="1:7" x14ac:dyDescent="0.25">
      <c r="A4589" s="1" t="str">
        <f>"6923"</f>
        <v>6923</v>
      </c>
      <c r="B4589" s="2" t="str">
        <f>"CALÇA CAQUI GG (AZUL)"</f>
        <v>CALÇA CAQUI GG (AZUL)</v>
      </c>
      <c r="C4589" s="2" t="str">
        <f t="shared" si="187"/>
        <v>UN</v>
      </c>
      <c r="D4589" s="7">
        <v>500</v>
      </c>
      <c r="E4589" s="3">
        <v>5</v>
      </c>
      <c r="F4589" s="3">
        <v>5</v>
      </c>
      <c r="G4589" t="s">
        <v>515</v>
      </c>
    </row>
    <row r="4590" spans="1:7" x14ac:dyDescent="0.25">
      <c r="A4590" s="1" t="str">
        <f>"6922"</f>
        <v>6922</v>
      </c>
      <c r="B4590" s="2" t="str">
        <f>"CALÇA CAQUI GG (VERDE)"</f>
        <v>CALÇA CAQUI GG (VERDE)</v>
      </c>
      <c r="C4590" s="2" t="str">
        <f t="shared" si="187"/>
        <v>UN</v>
      </c>
      <c r="D4590" s="7">
        <v>500</v>
      </c>
      <c r="E4590" s="3">
        <v>5</v>
      </c>
      <c r="F4590" s="3">
        <v>5</v>
      </c>
      <c r="G4590" t="s">
        <v>512</v>
      </c>
    </row>
    <row r="4591" spans="1:7" x14ac:dyDescent="0.25">
      <c r="A4591" s="1" t="str">
        <f>"6921"</f>
        <v>6921</v>
      </c>
      <c r="B4591" s="2" t="str">
        <f>"CALÇA CAQUI GG (VERMELHA)"</f>
        <v>CALÇA CAQUI GG (VERMELHA)</v>
      </c>
      <c r="C4591" s="2" t="str">
        <f t="shared" si="187"/>
        <v>UN</v>
      </c>
      <c r="D4591" s="7">
        <v>500</v>
      </c>
      <c r="E4591" s="3">
        <v>5</v>
      </c>
      <c r="F4591" s="3">
        <v>5</v>
      </c>
      <c r="G4591" t="s">
        <v>516</v>
      </c>
    </row>
    <row r="4592" spans="1:7" x14ac:dyDescent="0.25">
      <c r="A4592" s="1" t="str">
        <f>"6932"</f>
        <v>6932</v>
      </c>
      <c r="B4592" s="2" t="str">
        <f>"CALÇA CAQUI M (AMARELA)"</f>
        <v>CALÇA CAQUI M (AMARELA)</v>
      </c>
      <c r="C4592" s="2" t="str">
        <f t="shared" si="187"/>
        <v>UN</v>
      </c>
      <c r="D4592" s="7">
        <v>500</v>
      </c>
      <c r="E4592" s="3">
        <v>5</v>
      </c>
      <c r="F4592" s="3">
        <v>5</v>
      </c>
      <c r="G4592" t="s">
        <v>515</v>
      </c>
    </row>
    <row r="4593" spans="1:7" x14ac:dyDescent="0.25">
      <c r="A4593" s="1" t="str">
        <f>"6931"</f>
        <v>6931</v>
      </c>
      <c r="B4593" s="2" t="str">
        <f>"CALÇA CAQUI M (AZUL)"</f>
        <v>CALÇA CAQUI M (AZUL)</v>
      </c>
      <c r="C4593" s="2" t="str">
        <f t="shared" si="187"/>
        <v>UN</v>
      </c>
      <c r="D4593" s="7">
        <v>500</v>
      </c>
      <c r="E4593" s="3">
        <v>5</v>
      </c>
      <c r="F4593" s="3">
        <v>5</v>
      </c>
      <c r="G4593" t="s">
        <v>514</v>
      </c>
    </row>
    <row r="4594" spans="1:7" x14ac:dyDescent="0.25">
      <c r="A4594" s="1" t="str">
        <f>"6930"</f>
        <v>6930</v>
      </c>
      <c r="B4594" s="2" t="str">
        <f>"CALÇA CAQUI M (VERDE)"</f>
        <v>CALÇA CAQUI M (VERDE)</v>
      </c>
      <c r="C4594" s="2" t="str">
        <f t="shared" si="187"/>
        <v>UN</v>
      </c>
      <c r="D4594" s="7">
        <v>500</v>
      </c>
      <c r="E4594" s="3">
        <v>5</v>
      </c>
      <c r="F4594" s="3">
        <v>5</v>
      </c>
      <c r="G4594" t="s">
        <v>512</v>
      </c>
    </row>
    <row r="4595" spans="1:7" x14ac:dyDescent="0.25">
      <c r="A4595" s="1" t="str">
        <f>"6929"</f>
        <v>6929</v>
      </c>
      <c r="B4595" s="2" t="str">
        <f>"CALÇA CAQUI M (VERMELHA)"</f>
        <v>CALÇA CAQUI M (VERMELHA)</v>
      </c>
      <c r="C4595" s="2" t="str">
        <f t="shared" si="187"/>
        <v>UN</v>
      </c>
      <c r="D4595" s="7">
        <v>500</v>
      </c>
      <c r="E4595" s="3">
        <v>5</v>
      </c>
      <c r="F4595" s="3">
        <v>5</v>
      </c>
      <c r="G4595" t="s">
        <v>513</v>
      </c>
    </row>
    <row r="4596" spans="1:7" x14ac:dyDescent="0.25">
      <c r="A4596" s="1" t="str">
        <f>"6936"</f>
        <v>6936</v>
      </c>
      <c r="B4596" s="2" t="str">
        <f>"CALÇA CAQUI P (AMARELA)"</f>
        <v>CALÇA CAQUI P (AMARELA)</v>
      </c>
      <c r="C4596" s="2" t="str">
        <f t="shared" si="187"/>
        <v>UN</v>
      </c>
      <c r="D4596" s="7">
        <v>500</v>
      </c>
      <c r="E4596" s="3">
        <v>5</v>
      </c>
      <c r="F4596" s="3">
        <v>5</v>
      </c>
      <c r="G4596" t="s">
        <v>514</v>
      </c>
    </row>
    <row r="4597" spans="1:7" x14ac:dyDescent="0.25">
      <c r="A4597" s="1" t="str">
        <f>"6935"</f>
        <v>6935</v>
      </c>
      <c r="B4597" s="2" t="str">
        <f>"CALÇA CAQUI P (AZUL)"</f>
        <v>CALÇA CAQUI P (AZUL)</v>
      </c>
      <c r="C4597" s="2" t="str">
        <f t="shared" si="187"/>
        <v>UN</v>
      </c>
      <c r="D4597" s="7">
        <v>500</v>
      </c>
      <c r="E4597" s="3">
        <v>5</v>
      </c>
      <c r="F4597" s="3">
        <v>5</v>
      </c>
      <c r="G4597" t="s">
        <v>514</v>
      </c>
    </row>
    <row r="4598" spans="1:7" x14ac:dyDescent="0.25">
      <c r="A4598" s="1" t="str">
        <f>"6934"</f>
        <v>6934</v>
      </c>
      <c r="B4598" s="2" t="str">
        <f>"CALÇA CAQUI P (VERDE)"</f>
        <v>CALÇA CAQUI P (VERDE)</v>
      </c>
      <c r="C4598" s="2" t="str">
        <f t="shared" si="187"/>
        <v>UN</v>
      </c>
      <c r="D4598" s="7">
        <v>500</v>
      </c>
      <c r="E4598" s="3">
        <v>5</v>
      </c>
      <c r="F4598" s="3">
        <v>5</v>
      </c>
      <c r="G4598" t="s">
        <v>512</v>
      </c>
    </row>
    <row r="4599" spans="1:7" x14ac:dyDescent="0.25">
      <c r="A4599" s="1" t="str">
        <f>"6933"</f>
        <v>6933</v>
      </c>
      <c r="B4599" s="2" t="str">
        <f>"CALÇA CAQUI P (VERMELHA)"</f>
        <v>CALÇA CAQUI P (VERMELHA)</v>
      </c>
      <c r="C4599" s="2" t="str">
        <f t="shared" si="187"/>
        <v>UN</v>
      </c>
      <c r="D4599" s="7">
        <v>500</v>
      </c>
      <c r="E4599" s="3">
        <v>5</v>
      </c>
      <c r="F4599" s="3">
        <v>5</v>
      </c>
      <c r="G4599" t="s">
        <v>513</v>
      </c>
    </row>
    <row r="4600" spans="1:7" x14ac:dyDescent="0.25">
      <c r="A4600" s="1" t="str">
        <f>"521437"</f>
        <v>521437</v>
      </c>
      <c r="B4600" s="2" t="str">
        <f>"CALÇA CHUMBO EGG"</f>
        <v>CALÇA CHUMBO EGG</v>
      </c>
      <c r="C4600" s="2" t="str">
        <f t="shared" si="187"/>
        <v>UN</v>
      </c>
      <c r="D4600" s="7">
        <v>500</v>
      </c>
      <c r="E4600" s="3">
        <v>5</v>
      </c>
      <c r="F4600" s="3">
        <v>5</v>
      </c>
      <c r="G4600" t="s">
        <v>514</v>
      </c>
    </row>
    <row r="4601" spans="1:7" x14ac:dyDescent="0.25">
      <c r="A4601" s="1" t="str">
        <f>"6949"</f>
        <v>6949</v>
      </c>
      <c r="B4601" s="2" t="str">
        <f>"CALÇA CHUMBO G"</f>
        <v>CALÇA CHUMBO G</v>
      </c>
      <c r="C4601" s="2" t="str">
        <f t="shared" si="187"/>
        <v>UN</v>
      </c>
      <c r="D4601" s="7">
        <v>500</v>
      </c>
      <c r="E4601" s="3">
        <v>5</v>
      </c>
      <c r="F4601" s="3">
        <v>5</v>
      </c>
      <c r="G4601" t="s">
        <v>514</v>
      </c>
    </row>
    <row r="4602" spans="1:7" x14ac:dyDescent="0.25">
      <c r="A4602" s="1" t="str">
        <f>"515381"</f>
        <v>515381</v>
      </c>
      <c r="B4602" s="2" t="str">
        <f>"CALÇA CHUMBO GG"</f>
        <v>CALÇA CHUMBO GG</v>
      </c>
      <c r="C4602" s="2" t="str">
        <f t="shared" si="187"/>
        <v>UN</v>
      </c>
      <c r="D4602" s="7">
        <v>500</v>
      </c>
      <c r="E4602" s="3">
        <v>5</v>
      </c>
      <c r="F4602" s="3">
        <v>5</v>
      </c>
      <c r="G4602" t="s">
        <v>514</v>
      </c>
    </row>
    <row r="4603" spans="1:7" x14ac:dyDescent="0.25">
      <c r="A4603" s="1" t="str">
        <f>"6950"</f>
        <v>6950</v>
      </c>
      <c r="B4603" s="2" t="str">
        <f>"CALÇA CHUMBO M"</f>
        <v>CALÇA CHUMBO M</v>
      </c>
      <c r="C4603" s="2" t="str">
        <f t="shared" si="187"/>
        <v>UN</v>
      </c>
      <c r="D4603" s="7">
        <v>500</v>
      </c>
      <c r="E4603" s="3">
        <v>5</v>
      </c>
      <c r="F4603" s="3">
        <v>5</v>
      </c>
      <c r="G4603" t="s">
        <v>513</v>
      </c>
    </row>
    <row r="4604" spans="1:7" x14ac:dyDescent="0.25">
      <c r="A4604" s="1" t="str">
        <f>"514087"</f>
        <v>514087</v>
      </c>
      <c r="B4604" s="2" t="str">
        <f>"CALCA CHUMBO P"</f>
        <v>CALCA CHUMBO P</v>
      </c>
      <c r="C4604" s="2" t="str">
        <f t="shared" si="187"/>
        <v>UN</v>
      </c>
      <c r="D4604" s="7">
        <v>500</v>
      </c>
      <c r="E4604" s="3">
        <v>5</v>
      </c>
      <c r="F4604" s="3">
        <v>5</v>
      </c>
      <c r="G4604" t="s">
        <v>512</v>
      </c>
    </row>
    <row r="4605" spans="1:7" x14ac:dyDescent="0.25">
      <c r="A4605" s="1" t="str">
        <f>"521422"</f>
        <v>521422</v>
      </c>
      <c r="B4605" s="2" t="str">
        <f>"CALCA CINZA EGG"</f>
        <v>CALCA CINZA EGG</v>
      </c>
      <c r="C4605" s="2" t="str">
        <f t="shared" si="187"/>
        <v>UN</v>
      </c>
      <c r="D4605" s="7">
        <v>500</v>
      </c>
      <c r="E4605" s="3">
        <v>5</v>
      </c>
      <c r="F4605" s="3">
        <v>5</v>
      </c>
      <c r="G4605" t="s">
        <v>513</v>
      </c>
    </row>
    <row r="4606" spans="1:7" x14ac:dyDescent="0.25">
      <c r="A4606" s="1" t="str">
        <f>"521420"</f>
        <v>521420</v>
      </c>
      <c r="B4606" s="2" t="str">
        <f>"CALCA CINZA G"</f>
        <v>CALCA CINZA G</v>
      </c>
      <c r="C4606" s="2" t="str">
        <f t="shared" si="187"/>
        <v>UN</v>
      </c>
      <c r="D4606" s="7">
        <v>500</v>
      </c>
      <c r="E4606" s="3">
        <v>5</v>
      </c>
      <c r="F4606" s="3">
        <v>5</v>
      </c>
      <c r="G4606" t="s">
        <v>514</v>
      </c>
    </row>
    <row r="4607" spans="1:7" x14ac:dyDescent="0.25">
      <c r="A4607" s="1" t="str">
        <f>"514077"</f>
        <v>514077</v>
      </c>
      <c r="B4607" s="2" t="str">
        <f>"CALCA CINZA G (AMARELO)"</f>
        <v>CALCA CINZA G (AMARELO)</v>
      </c>
      <c r="C4607" s="2" t="str">
        <f t="shared" si="187"/>
        <v>UN</v>
      </c>
      <c r="D4607" s="7">
        <v>500</v>
      </c>
      <c r="E4607" s="3">
        <v>5</v>
      </c>
      <c r="F4607" s="3">
        <v>5</v>
      </c>
      <c r="G4607" t="s">
        <v>514</v>
      </c>
    </row>
    <row r="4608" spans="1:7" x14ac:dyDescent="0.25">
      <c r="A4608" s="1" t="str">
        <f>"514075"</f>
        <v>514075</v>
      </c>
      <c r="B4608" s="2" t="str">
        <f>"CALCA CINZA G (AZUL)"</f>
        <v>CALCA CINZA G (AZUL)</v>
      </c>
      <c r="C4608" s="2" t="str">
        <f t="shared" si="187"/>
        <v>UN</v>
      </c>
      <c r="D4608" s="7">
        <v>500</v>
      </c>
      <c r="E4608" s="3">
        <v>5</v>
      </c>
      <c r="F4608" s="3">
        <v>5</v>
      </c>
      <c r="G4608" t="s">
        <v>514</v>
      </c>
    </row>
    <row r="4609" spans="1:7" x14ac:dyDescent="0.25">
      <c r="A4609" s="1" t="str">
        <f>"514076"</f>
        <v>514076</v>
      </c>
      <c r="B4609" s="2" t="str">
        <f>"CALCA CINZA G (VERDE)"</f>
        <v>CALCA CINZA G (VERDE)</v>
      </c>
      <c r="C4609" s="2" t="str">
        <f t="shared" si="187"/>
        <v>UN</v>
      </c>
      <c r="D4609" s="7">
        <v>500</v>
      </c>
      <c r="E4609" s="3">
        <v>5</v>
      </c>
      <c r="F4609" s="3">
        <v>5</v>
      </c>
      <c r="G4609" t="s">
        <v>513</v>
      </c>
    </row>
    <row r="4610" spans="1:7" x14ac:dyDescent="0.25">
      <c r="A4610" s="1" t="str">
        <f>"514078"</f>
        <v>514078</v>
      </c>
      <c r="B4610" s="2" t="str">
        <f>"CALCA CINZA G (VERMELHO)"</f>
        <v>CALCA CINZA G (VERMELHO)</v>
      </c>
      <c r="C4610" s="2" t="str">
        <f t="shared" si="187"/>
        <v>UN</v>
      </c>
      <c r="D4610" s="7">
        <v>500</v>
      </c>
      <c r="E4610" s="3">
        <v>5</v>
      </c>
      <c r="F4610" s="3">
        <v>5</v>
      </c>
      <c r="G4610" t="s">
        <v>513</v>
      </c>
    </row>
    <row r="4611" spans="1:7" x14ac:dyDescent="0.25">
      <c r="A4611" s="1" t="str">
        <f>"521421"</f>
        <v>521421</v>
      </c>
      <c r="B4611" s="2" t="str">
        <f>"CALCA CINZA GG"</f>
        <v>CALCA CINZA GG</v>
      </c>
      <c r="C4611" s="2" t="str">
        <f t="shared" si="187"/>
        <v>UN</v>
      </c>
      <c r="D4611" s="7">
        <v>500</v>
      </c>
      <c r="E4611" s="3">
        <v>5</v>
      </c>
      <c r="F4611" s="3">
        <v>5</v>
      </c>
      <c r="G4611" t="s">
        <v>513</v>
      </c>
    </row>
    <row r="4612" spans="1:7" x14ac:dyDescent="0.25">
      <c r="A4612" s="1" t="str">
        <f>"514093"</f>
        <v>514093</v>
      </c>
      <c r="B4612" s="2" t="str">
        <f>"CALCA CINZA GG (AMARELO)"</f>
        <v>CALCA CINZA GG (AMARELO)</v>
      </c>
      <c r="C4612" s="2" t="str">
        <f t="shared" si="187"/>
        <v>UN</v>
      </c>
      <c r="D4612" s="7">
        <v>500</v>
      </c>
      <c r="E4612" s="3">
        <v>5</v>
      </c>
      <c r="F4612" s="3">
        <v>5</v>
      </c>
      <c r="G4612" t="s">
        <v>512</v>
      </c>
    </row>
    <row r="4613" spans="1:7" x14ac:dyDescent="0.25">
      <c r="A4613" s="1" t="str">
        <f>"514074"</f>
        <v>514074</v>
      </c>
      <c r="B4613" s="2" t="str">
        <f>"CALCA CINZA GG (AZUL)"</f>
        <v>CALCA CINZA GG (AZUL)</v>
      </c>
      <c r="C4613" s="2" t="str">
        <f t="shared" si="187"/>
        <v>UN</v>
      </c>
      <c r="D4613" s="7">
        <v>500</v>
      </c>
      <c r="E4613" s="3">
        <v>5</v>
      </c>
      <c r="F4613" s="3">
        <v>5</v>
      </c>
      <c r="G4613" t="s">
        <v>513</v>
      </c>
    </row>
    <row r="4614" spans="1:7" x14ac:dyDescent="0.25">
      <c r="A4614" s="1" t="str">
        <f>"514091"</f>
        <v>514091</v>
      </c>
      <c r="B4614" s="2" t="str">
        <f>"CALCA CINZA GG (VERDE)"</f>
        <v>CALCA CINZA GG (VERDE)</v>
      </c>
      <c r="C4614" s="2" t="str">
        <f t="shared" si="187"/>
        <v>UN</v>
      </c>
      <c r="D4614" s="7">
        <v>500</v>
      </c>
      <c r="E4614" s="3">
        <v>5</v>
      </c>
      <c r="F4614" s="3">
        <v>5</v>
      </c>
      <c r="G4614" t="s">
        <v>514</v>
      </c>
    </row>
    <row r="4615" spans="1:7" x14ac:dyDescent="0.25">
      <c r="A4615" s="1" t="str">
        <f>"514092"</f>
        <v>514092</v>
      </c>
      <c r="B4615" s="2" t="str">
        <f>"CALCA CINZA GG (VERMELHO)"</f>
        <v>CALCA CINZA GG (VERMELHO)</v>
      </c>
      <c r="C4615" s="2" t="str">
        <f t="shared" si="187"/>
        <v>UN</v>
      </c>
      <c r="D4615" s="7">
        <v>500</v>
      </c>
      <c r="E4615" s="3">
        <v>5</v>
      </c>
      <c r="F4615" s="3">
        <v>5</v>
      </c>
      <c r="G4615" t="s">
        <v>515</v>
      </c>
    </row>
    <row r="4616" spans="1:7" x14ac:dyDescent="0.25">
      <c r="A4616" s="1" t="str">
        <f>"521419"</f>
        <v>521419</v>
      </c>
      <c r="B4616" s="2" t="str">
        <f>"CALCA CINZA M"</f>
        <v>CALCA CINZA M</v>
      </c>
      <c r="C4616" s="2" t="str">
        <f t="shared" si="187"/>
        <v>UN</v>
      </c>
      <c r="D4616" s="7">
        <v>500</v>
      </c>
      <c r="E4616" s="3">
        <v>5</v>
      </c>
      <c r="F4616" s="3">
        <v>5</v>
      </c>
      <c r="G4616" t="s">
        <v>512</v>
      </c>
    </row>
    <row r="4617" spans="1:7" x14ac:dyDescent="0.25">
      <c r="A4617" s="1" t="str">
        <f>"6912"</f>
        <v>6912</v>
      </c>
      <c r="B4617" s="2" t="str">
        <f>"CALCA CINZA M (AMARELA)"</f>
        <v>CALCA CINZA M (AMARELA)</v>
      </c>
      <c r="C4617" s="2" t="str">
        <f t="shared" si="187"/>
        <v>UN</v>
      </c>
      <c r="D4617" s="7">
        <v>500</v>
      </c>
      <c r="E4617" s="3">
        <v>5</v>
      </c>
      <c r="F4617" s="3">
        <v>5</v>
      </c>
      <c r="G4617" t="s">
        <v>516</v>
      </c>
    </row>
    <row r="4618" spans="1:7" x14ac:dyDescent="0.25">
      <c r="A4618" s="1" t="str">
        <f>"6913"</f>
        <v>6913</v>
      </c>
      <c r="B4618" s="2" t="str">
        <f>"CALCA CINZA M (AZUL)"</f>
        <v>CALCA CINZA M (AZUL)</v>
      </c>
      <c r="C4618" s="2" t="str">
        <f t="shared" si="187"/>
        <v>UN</v>
      </c>
      <c r="D4618" s="7">
        <v>500</v>
      </c>
      <c r="E4618" s="3">
        <v>5</v>
      </c>
      <c r="F4618" s="3">
        <v>5</v>
      </c>
      <c r="G4618" t="s">
        <v>515</v>
      </c>
    </row>
    <row r="4619" spans="1:7" x14ac:dyDescent="0.25">
      <c r="A4619" s="1" t="str">
        <f>"6914"</f>
        <v>6914</v>
      </c>
      <c r="B4619" s="2" t="str">
        <f>"CALCA CINZA M (VERDE)"</f>
        <v>CALCA CINZA M (VERDE)</v>
      </c>
      <c r="C4619" s="2" t="str">
        <f t="shared" si="187"/>
        <v>UN</v>
      </c>
      <c r="D4619" s="7">
        <v>500</v>
      </c>
      <c r="E4619" s="3">
        <v>5</v>
      </c>
      <c r="F4619" s="3">
        <v>5</v>
      </c>
      <c r="G4619" t="s">
        <v>514</v>
      </c>
    </row>
    <row r="4620" spans="1:7" x14ac:dyDescent="0.25">
      <c r="A4620" s="1" t="str">
        <f>"6915"</f>
        <v>6915</v>
      </c>
      <c r="B4620" s="2" t="str">
        <f>"CALCA CINZA M (VERMELHA)"</f>
        <v>CALCA CINZA M (VERMELHA)</v>
      </c>
      <c r="C4620" s="2" t="str">
        <f t="shared" ref="C4620:C4637" si="188">"UN"</f>
        <v>UN</v>
      </c>
      <c r="D4620" s="7">
        <v>500</v>
      </c>
      <c r="E4620" s="3">
        <v>5</v>
      </c>
      <c r="F4620" s="3">
        <v>5</v>
      </c>
      <c r="G4620" t="s">
        <v>512</v>
      </c>
    </row>
    <row r="4621" spans="1:7" x14ac:dyDescent="0.25">
      <c r="A4621" s="1" t="str">
        <f>"521418"</f>
        <v>521418</v>
      </c>
      <c r="B4621" s="2" t="str">
        <f>"CALCA CINZA P"</f>
        <v>CALCA CINZA P</v>
      </c>
      <c r="C4621" s="2" t="str">
        <f t="shared" si="188"/>
        <v>UN</v>
      </c>
      <c r="D4621" s="7">
        <v>500</v>
      </c>
      <c r="E4621" s="3">
        <v>5</v>
      </c>
      <c r="F4621" s="3">
        <v>5</v>
      </c>
      <c r="G4621" t="s">
        <v>513</v>
      </c>
    </row>
    <row r="4622" spans="1:7" x14ac:dyDescent="0.25">
      <c r="A4622" s="1" t="str">
        <f>"514490"</f>
        <v>514490</v>
      </c>
      <c r="B4622" s="2" t="str">
        <f>"CALCA CINZA P (AMARELO)"</f>
        <v>CALCA CINZA P (AMARELO)</v>
      </c>
      <c r="C4622" s="2" t="str">
        <f t="shared" si="188"/>
        <v>UN</v>
      </c>
      <c r="D4622" s="7">
        <v>500</v>
      </c>
      <c r="E4622" s="3">
        <v>5</v>
      </c>
      <c r="F4622" s="3">
        <v>5</v>
      </c>
      <c r="G4622" t="s">
        <v>514</v>
      </c>
    </row>
    <row r="4623" spans="1:7" x14ac:dyDescent="0.25">
      <c r="A4623" s="1" t="str">
        <f>"514085"</f>
        <v>514085</v>
      </c>
      <c r="B4623" s="2" t="str">
        <f>"CALCA CINZA P (AZUL)"</f>
        <v>CALCA CINZA P (AZUL)</v>
      </c>
      <c r="C4623" s="2" t="str">
        <f t="shared" si="188"/>
        <v>UN</v>
      </c>
      <c r="D4623" s="7">
        <v>500</v>
      </c>
      <c r="E4623" s="3">
        <v>5</v>
      </c>
      <c r="F4623" s="3">
        <v>5</v>
      </c>
      <c r="G4623" t="s">
        <v>514</v>
      </c>
    </row>
    <row r="4624" spans="1:7" x14ac:dyDescent="0.25">
      <c r="A4624" s="1" t="str">
        <f>"514086"</f>
        <v>514086</v>
      </c>
      <c r="B4624" s="2" t="str">
        <f>"CALCA CINZA P (VERDE)"</f>
        <v>CALCA CINZA P (VERDE)</v>
      </c>
      <c r="C4624" s="2" t="str">
        <f t="shared" si="188"/>
        <v>UN</v>
      </c>
      <c r="D4624" s="7">
        <v>500</v>
      </c>
      <c r="E4624" s="3">
        <v>5</v>
      </c>
      <c r="F4624" s="3">
        <v>5</v>
      </c>
      <c r="G4624" t="s">
        <v>512</v>
      </c>
    </row>
    <row r="4625" spans="1:7" x14ac:dyDescent="0.25">
      <c r="A4625" s="1" t="str">
        <f>"514491"</f>
        <v>514491</v>
      </c>
      <c r="B4625" s="2" t="str">
        <f>"CALCA CINZA P (VERMELHO)"</f>
        <v>CALCA CINZA P (VERMELHO)</v>
      </c>
      <c r="C4625" s="2" t="str">
        <f t="shared" si="188"/>
        <v>UN</v>
      </c>
      <c r="D4625" s="7">
        <v>500</v>
      </c>
      <c r="E4625" s="3">
        <v>5</v>
      </c>
      <c r="F4625" s="3">
        <v>5</v>
      </c>
      <c r="G4625" t="s">
        <v>513</v>
      </c>
    </row>
    <row r="4626" spans="1:7" x14ac:dyDescent="0.25">
      <c r="A4626" s="1" t="str">
        <f>"1790"</f>
        <v>1790</v>
      </c>
      <c r="B4626" s="2" t="str">
        <f>"CALÇA COM ELASTICO BRANCA - G"</f>
        <v>CALÇA COM ELASTICO BRANCA - G</v>
      </c>
      <c r="C4626" s="2" t="str">
        <f t="shared" si="188"/>
        <v>UN</v>
      </c>
      <c r="D4626" s="7">
        <v>500</v>
      </c>
      <c r="E4626" s="3">
        <v>5</v>
      </c>
      <c r="F4626" s="3">
        <v>5</v>
      </c>
      <c r="G4626" t="s">
        <v>514</v>
      </c>
    </row>
    <row r="4627" spans="1:7" x14ac:dyDescent="0.25">
      <c r="A4627" s="1" t="str">
        <f>"1792"</f>
        <v>1792</v>
      </c>
      <c r="B4627" s="2" t="str">
        <f>"CALÇA COM ELASTICO BRANCA - GG"</f>
        <v>CALÇA COM ELASTICO BRANCA - GG</v>
      </c>
      <c r="C4627" s="2" t="str">
        <f t="shared" si="188"/>
        <v>UN</v>
      </c>
      <c r="D4627" s="7">
        <v>500</v>
      </c>
      <c r="E4627" s="3">
        <v>5</v>
      </c>
      <c r="F4627" s="3">
        <v>5</v>
      </c>
      <c r="G4627" t="s">
        <v>514</v>
      </c>
    </row>
    <row r="4628" spans="1:7" x14ac:dyDescent="0.25">
      <c r="A4628" s="1" t="str">
        <f>"1791"</f>
        <v>1791</v>
      </c>
      <c r="B4628" s="2" t="str">
        <f>"CALÇA COM ELASTICO BRANCA - M"</f>
        <v>CALÇA COM ELASTICO BRANCA - M</v>
      </c>
      <c r="C4628" s="2" t="str">
        <f t="shared" si="188"/>
        <v>UN</v>
      </c>
      <c r="D4628" s="7">
        <v>500</v>
      </c>
      <c r="E4628" s="3">
        <v>5</v>
      </c>
      <c r="F4628" s="3">
        <v>5</v>
      </c>
      <c r="G4628" t="s">
        <v>514</v>
      </c>
    </row>
    <row r="4629" spans="1:7" x14ac:dyDescent="0.25">
      <c r="A4629" s="1" t="str">
        <f>"300"</f>
        <v>300</v>
      </c>
      <c r="B4629" s="2" t="str">
        <f>"CALÇA COM ELASTICO BRANCA - P"</f>
        <v>CALÇA COM ELASTICO BRANCA - P</v>
      </c>
      <c r="C4629" s="2" t="str">
        <f t="shared" si="188"/>
        <v>UN</v>
      </c>
      <c r="D4629" s="7">
        <v>500</v>
      </c>
      <c r="E4629" s="3">
        <v>5</v>
      </c>
      <c r="F4629" s="3">
        <v>5</v>
      </c>
      <c r="G4629" t="s">
        <v>513</v>
      </c>
    </row>
    <row r="4630" spans="1:7" x14ac:dyDescent="0.25">
      <c r="A4630" s="1" t="str">
        <f>"6482"</f>
        <v>6482</v>
      </c>
      <c r="B4630" s="2" t="str">
        <f>"CALÇA COM ELASTICO BRANCA - PP"</f>
        <v>CALÇA COM ELASTICO BRANCA - PP</v>
      </c>
      <c r="C4630" s="2" t="str">
        <f t="shared" si="188"/>
        <v>UN</v>
      </c>
      <c r="D4630" s="7">
        <v>500</v>
      </c>
      <c r="E4630" s="3">
        <v>5</v>
      </c>
      <c r="F4630" s="3">
        <v>5</v>
      </c>
      <c r="G4630" t="s">
        <v>512</v>
      </c>
    </row>
    <row r="4631" spans="1:7" x14ac:dyDescent="0.25">
      <c r="A4631" s="1" t="str">
        <f>"6680"</f>
        <v>6680</v>
      </c>
      <c r="B4631" s="2" t="str">
        <f>"CALÇA DE MOLETON AZUL TAM. EGG"</f>
        <v>CALÇA DE MOLETON AZUL TAM. EGG</v>
      </c>
      <c r="C4631" s="2" t="str">
        <f t="shared" si="188"/>
        <v>UN</v>
      </c>
      <c r="D4631" s="7">
        <v>500</v>
      </c>
      <c r="E4631" s="3">
        <v>5</v>
      </c>
      <c r="F4631" s="3">
        <v>5</v>
      </c>
      <c r="G4631" t="s">
        <v>513</v>
      </c>
    </row>
    <row r="4632" spans="1:7" x14ac:dyDescent="0.25">
      <c r="A4632" s="1" t="str">
        <f>"6660"</f>
        <v>6660</v>
      </c>
      <c r="B4632" s="2" t="str">
        <f>"CALÇA DE MOLETON AZUL TAM. G"</f>
        <v>CALÇA DE MOLETON AZUL TAM. G</v>
      </c>
      <c r="C4632" s="2" t="str">
        <f t="shared" si="188"/>
        <v>UN</v>
      </c>
      <c r="D4632" s="7">
        <v>500</v>
      </c>
      <c r="E4632" s="3">
        <v>5</v>
      </c>
      <c r="F4632" s="3">
        <v>5</v>
      </c>
      <c r="G4632" t="s">
        <v>514</v>
      </c>
    </row>
    <row r="4633" spans="1:7" x14ac:dyDescent="0.25">
      <c r="A4633" s="1" t="str">
        <f>"6661"</f>
        <v>6661</v>
      </c>
      <c r="B4633" s="2" t="str">
        <f>"CALÇA DE MOLETON AZUL TAM. GG"</f>
        <v>CALÇA DE MOLETON AZUL TAM. GG</v>
      </c>
      <c r="C4633" s="2" t="str">
        <f t="shared" si="188"/>
        <v>UN</v>
      </c>
      <c r="D4633" s="7">
        <v>500</v>
      </c>
      <c r="E4633" s="3">
        <v>5</v>
      </c>
      <c r="F4633" s="3">
        <v>5</v>
      </c>
      <c r="G4633" t="s">
        <v>514</v>
      </c>
    </row>
    <row r="4634" spans="1:7" x14ac:dyDescent="0.25">
      <c r="A4634" s="1" t="str">
        <f>"6659"</f>
        <v>6659</v>
      </c>
      <c r="B4634" s="2" t="str">
        <f>"CALÇA DE MOLETON AZUL TAM. M"</f>
        <v>CALÇA DE MOLETON AZUL TAM. M</v>
      </c>
      <c r="C4634" s="2" t="str">
        <f t="shared" si="188"/>
        <v>UN</v>
      </c>
      <c r="D4634" s="7">
        <v>500</v>
      </c>
      <c r="E4634" s="3">
        <v>5</v>
      </c>
      <c r="F4634" s="3">
        <v>5</v>
      </c>
      <c r="G4634" t="s">
        <v>514</v>
      </c>
    </row>
    <row r="4635" spans="1:7" x14ac:dyDescent="0.25">
      <c r="A4635" s="1" t="str">
        <f>"6658"</f>
        <v>6658</v>
      </c>
      <c r="B4635" s="2" t="str">
        <f>"CALÇA DE MOLETON AZUL TAM. P"</f>
        <v>CALÇA DE MOLETON AZUL TAM. P</v>
      </c>
      <c r="C4635" s="2" t="str">
        <f t="shared" si="188"/>
        <v>UN</v>
      </c>
      <c r="D4635" s="7">
        <v>500</v>
      </c>
      <c r="E4635" s="3">
        <v>5</v>
      </c>
      <c r="F4635" s="3">
        <v>5</v>
      </c>
      <c r="G4635" t="s">
        <v>513</v>
      </c>
    </row>
    <row r="4636" spans="1:7" x14ac:dyDescent="0.25">
      <c r="A4636" s="1" t="str">
        <f>"6709"</f>
        <v>6709</v>
      </c>
      <c r="B4636" s="2" t="str">
        <f>"CALÇA FEMININA (LIMPEZA ESCRITORIO)"</f>
        <v>CALÇA FEMININA (LIMPEZA ESCRITORIO)</v>
      </c>
      <c r="C4636" s="2" t="str">
        <f t="shared" si="188"/>
        <v>UN</v>
      </c>
      <c r="D4636" s="7">
        <v>500</v>
      </c>
      <c r="E4636" s="3">
        <v>5</v>
      </c>
      <c r="F4636" s="3">
        <v>5</v>
      </c>
      <c r="G4636" t="s">
        <v>513</v>
      </c>
    </row>
    <row r="4637" spans="1:7" x14ac:dyDescent="0.25">
      <c r="A4637" s="1" t="str">
        <f>"514341"</f>
        <v>514341</v>
      </c>
      <c r="B4637" s="2" t="str">
        <f>"CALCA JEANS SERVICO"</f>
        <v>CALCA JEANS SERVICO</v>
      </c>
      <c r="C4637" s="2" t="str">
        <f t="shared" si="188"/>
        <v>UN</v>
      </c>
      <c r="D4637" s="7">
        <v>500</v>
      </c>
      <c r="E4637" s="3">
        <v>5</v>
      </c>
      <c r="F4637" s="3">
        <v>5</v>
      </c>
      <c r="G4637" t="s">
        <v>513</v>
      </c>
    </row>
    <row r="4638" spans="1:7" x14ac:dyDescent="0.25">
      <c r="A4638" s="1" t="str">
        <f>"2080"</f>
        <v>2080</v>
      </c>
      <c r="B4638" s="2" t="str">
        <f>"CALÇA P/ CAMARA FRIA EM NYLON CINZA EGG"</f>
        <v>CALÇA P/ CAMARA FRIA EM NYLON CINZA EGG</v>
      </c>
      <c r="C4638" s="2" t="str">
        <f t="shared" ref="C4638:C4648" si="189">"PC"</f>
        <v>PC</v>
      </c>
      <c r="D4638" s="7">
        <v>500</v>
      </c>
      <c r="E4638" s="3">
        <v>5</v>
      </c>
      <c r="F4638" s="3">
        <v>5</v>
      </c>
      <c r="G4638" t="s">
        <v>512</v>
      </c>
    </row>
    <row r="4639" spans="1:7" x14ac:dyDescent="0.25">
      <c r="A4639" s="1" t="str">
        <f>"2078"</f>
        <v>2078</v>
      </c>
      <c r="B4639" s="2" t="str">
        <f>"CALÇA P/ CAMARA FRIA EM NYLON CINZA G"</f>
        <v>CALÇA P/ CAMARA FRIA EM NYLON CINZA G</v>
      </c>
      <c r="C4639" s="2" t="str">
        <f t="shared" si="189"/>
        <v>PC</v>
      </c>
      <c r="D4639" s="7">
        <v>500</v>
      </c>
      <c r="E4639" s="3">
        <v>5</v>
      </c>
      <c r="F4639" s="3">
        <v>5</v>
      </c>
      <c r="G4639" t="s">
        <v>513</v>
      </c>
    </row>
    <row r="4640" spans="1:7" x14ac:dyDescent="0.25">
      <c r="A4640" s="1" t="str">
        <f>"2079"</f>
        <v>2079</v>
      </c>
      <c r="B4640" s="2" t="str">
        <f>"CALÇA P/ CAMARA FRIA EM NYLON CINZA GG"</f>
        <v>CALÇA P/ CAMARA FRIA EM NYLON CINZA GG</v>
      </c>
      <c r="C4640" s="2" t="str">
        <f t="shared" si="189"/>
        <v>PC</v>
      </c>
      <c r="D4640" s="7">
        <v>500</v>
      </c>
      <c r="E4640" s="3">
        <v>5</v>
      </c>
      <c r="F4640" s="3">
        <v>5</v>
      </c>
      <c r="G4640" t="s">
        <v>514</v>
      </c>
    </row>
    <row r="4641" spans="1:7" x14ac:dyDescent="0.25">
      <c r="A4641" s="1" t="str">
        <f>"2076"</f>
        <v>2076</v>
      </c>
      <c r="B4641" s="2" t="str">
        <f>"CALÇA P/CAMARA FRIA EM NYLON BRANCA G"</f>
        <v>CALÇA P/CAMARA FRIA EM NYLON BRANCA G</v>
      </c>
      <c r="C4641" s="2" t="str">
        <f t="shared" si="189"/>
        <v>PC</v>
      </c>
      <c r="D4641" s="7">
        <v>500</v>
      </c>
      <c r="E4641" s="3">
        <v>5</v>
      </c>
      <c r="F4641" s="3">
        <v>5</v>
      </c>
      <c r="G4641" t="s">
        <v>515</v>
      </c>
    </row>
    <row r="4642" spans="1:7" x14ac:dyDescent="0.25">
      <c r="A4642" s="1" t="str">
        <f>"2075"</f>
        <v>2075</v>
      </c>
      <c r="B4642" s="2" t="str">
        <f>"CALÇA P/CAMARA FRIA EM NYLON BRANCA M"</f>
        <v>CALÇA P/CAMARA FRIA EM NYLON BRANCA M</v>
      </c>
      <c r="C4642" s="2" t="str">
        <f t="shared" si="189"/>
        <v>PC</v>
      </c>
      <c r="D4642" s="7">
        <v>500</v>
      </c>
      <c r="E4642" s="3">
        <v>5</v>
      </c>
      <c r="F4642" s="3">
        <v>5</v>
      </c>
      <c r="G4642" t="s">
        <v>512</v>
      </c>
    </row>
    <row r="4643" spans="1:7" x14ac:dyDescent="0.25">
      <c r="A4643" s="1" t="str">
        <f>"2074"</f>
        <v>2074</v>
      </c>
      <c r="B4643" s="2" t="str">
        <f>"CALÇA P/CAMARA FRIA EM NYLON BRANCA P"</f>
        <v>CALÇA P/CAMARA FRIA EM NYLON BRANCA P</v>
      </c>
      <c r="C4643" s="2" t="str">
        <f t="shared" si="189"/>
        <v>PC</v>
      </c>
      <c r="D4643" s="7">
        <v>500</v>
      </c>
      <c r="E4643" s="3">
        <v>5</v>
      </c>
      <c r="F4643" s="3">
        <v>5</v>
      </c>
      <c r="G4643" t="s">
        <v>516</v>
      </c>
    </row>
    <row r="4644" spans="1:7" x14ac:dyDescent="0.25">
      <c r="A4644" s="1" t="str">
        <f>"847"</f>
        <v>847</v>
      </c>
      <c r="B4644" s="2" t="str">
        <f>"CALÇA P/CAMARA FRIA EM NYLON BS AZUL G CA-28157"</f>
        <v>CALÇA P/CAMARA FRIA EM NYLON BS AZUL G CA-28157</v>
      </c>
      <c r="C4644" s="2" t="str">
        <f t="shared" si="189"/>
        <v>PC</v>
      </c>
      <c r="D4644" s="7">
        <v>500</v>
      </c>
      <c r="E4644" s="3">
        <v>5</v>
      </c>
      <c r="F4644" s="3">
        <v>5</v>
      </c>
      <c r="G4644" t="s">
        <v>515</v>
      </c>
    </row>
    <row r="4645" spans="1:7" x14ac:dyDescent="0.25">
      <c r="A4645" s="1" t="str">
        <f>"2005"</f>
        <v>2005</v>
      </c>
      <c r="B4645" s="2" t="str">
        <f>"CALÇA P/CAMARA FRIA EM NYLON BS AZUL GG CA-28157"</f>
        <v>CALÇA P/CAMARA FRIA EM NYLON BS AZUL GG CA-28157</v>
      </c>
      <c r="C4645" s="2" t="str">
        <f t="shared" si="189"/>
        <v>PC</v>
      </c>
      <c r="D4645" s="7">
        <v>500</v>
      </c>
      <c r="E4645" s="3">
        <v>5</v>
      </c>
      <c r="F4645" s="3">
        <v>5</v>
      </c>
      <c r="G4645" t="s">
        <v>514</v>
      </c>
    </row>
    <row r="4646" spans="1:7" x14ac:dyDescent="0.25">
      <c r="A4646" s="1" t="str">
        <f>"2007"</f>
        <v>2007</v>
      </c>
      <c r="B4646" s="2" t="str">
        <f>"CALÇA P/CAMARA FRIA EM NYLON BS AZUL GGG CA-28157"</f>
        <v>CALÇA P/CAMARA FRIA EM NYLON BS AZUL GGG CA-28157</v>
      </c>
      <c r="C4646" s="2" t="str">
        <f t="shared" si="189"/>
        <v>PC</v>
      </c>
      <c r="D4646" s="7">
        <v>500</v>
      </c>
      <c r="E4646" s="3">
        <v>5</v>
      </c>
      <c r="F4646" s="3">
        <v>5</v>
      </c>
      <c r="G4646" t="s">
        <v>512</v>
      </c>
    </row>
    <row r="4647" spans="1:7" x14ac:dyDescent="0.25">
      <c r="A4647" s="1" t="str">
        <f>"2068"</f>
        <v>2068</v>
      </c>
      <c r="B4647" s="2" t="str">
        <f>"CALÇA P/CAMARA FRIA EM NYLON BS AZUL M CA-28157"</f>
        <v>CALÇA P/CAMARA FRIA EM NYLON BS AZUL M CA-28157</v>
      </c>
      <c r="C4647" s="2" t="str">
        <f t="shared" si="189"/>
        <v>PC</v>
      </c>
      <c r="D4647" s="7">
        <v>500</v>
      </c>
      <c r="E4647" s="3">
        <v>5</v>
      </c>
      <c r="F4647" s="3">
        <v>5</v>
      </c>
      <c r="G4647" t="s">
        <v>513</v>
      </c>
    </row>
    <row r="4648" spans="1:7" x14ac:dyDescent="0.25">
      <c r="A4648" s="1" t="str">
        <f>"2072"</f>
        <v>2072</v>
      </c>
      <c r="B4648" s="2" t="str">
        <f>"CALÇA P/CAMARA FRIA EM NYLON BS AZUL P CA-28157"</f>
        <v>CALÇA P/CAMARA FRIA EM NYLON BS AZUL P CA-28157</v>
      </c>
      <c r="C4648" s="2" t="str">
        <f t="shared" si="189"/>
        <v>PC</v>
      </c>
      <c r="D4648" s="7">
        <v>500</v>
      </c>
      <c r="E4648" s="3">
        <v>5</v>
      </c>
      <c r="F4648" s="3">
        <v>5</v>
      </c>
      <c r="G4648" t="s">
        <v>514</v>
      </c>
    </row>
    <row r="4649" spans="1:7" x14ac:dyDescent="0.25">
      <c r="A4649" s="1" t="str">
        <f>"6703"</f>
        <v>6703</v>
      </c>
      <c r="B4649" s="2" t="str">
        <f>"CALCA PROMOTORES DE VENDAS"</f>
        <v>CALCA PROMOTORES DE VENDAS</v>
      </c>
      <c r="C4649" s="2" t="str">
        <f t="shared" ref="C4649:C4672" si="190">"UN"</f>
        <v>UN</v>
      </c>
      <c r="D4649" s="7">
        <v>500</v>
      </c>
      <c r="E4649" s="3">
        <v>5</v>
      </c>
      <c r="F4649" s="3">
        <v>5</v>
      </c>
      <c r="G4649" t="s">
        <v>514</v>
      </c>
    </row>
    <row r="4650" spans="1:7" x14ac:dyDescent="0.25">
      <c r="A4650" s="1" t="str">
        <f>"522752"</f>
        <v>522752</v>
      </c>
      <c r="B4650" s="2" t="str">
        <f>"CALÇA RETARDANTE A CHAMAS 88/12 C/ FAIXA 50MM LOGO G"</f>
        <v>CALÇA RETARDANTE A CHAMAS 88/12 C/ FAIXA 50MM LOGO G</v>
      </c>
      <c r="C4650" s="2" t="str">
        <f t="shared" si="190"/>
        <v>UN</v>
      </c>
      <c r="D4650" s="7">
        <v>501</v>
      </c>
      <c r="E4650" s="3">
        <v>5</v>
      </c>
      <c r="F4650" s="3">
        <v>5</v>
      </c>
      <c r="G4650" t="s">
        <v>512</v>
      </c>
    </row>
    <row r="4651" spans="1:7" x14ac:dyDescent="0.25">
      <c r="A4651" s="1" t="str">
        <f>"522751"</f>
        <v>522751</v>
      </c>
      <c r="B4651" s="2" t="str">
        <f>"CALÇA RETARDANTE A CHAMAS 88/12 C/ FAIXA 50MM LOGO GG"</f>
        <v>CALÇA RETARDANTE A CHAMAS 88/12 C/ FAIXA 50MM LOGO GG</v>
      </c>
      <c r="C4651" s="2" t="str">
        <f t="shared" si="190"/>
        <v>UN</v>
      </c>
      <c r="D4651" s="7">
        <v>501</v>
      </c>
      <c r="E4651" s="3">
        <v>5</v>
      </c>
      <c r="F4651" s="3">
        <v>5</v>
      </c>
      <c r="G4651" t="s">
        <v>513</v>
      </c>
    </row>
    <row r="4652" spans="1:7" x14ac:dyDescent="0.25">
      <c r="A4652" s="1" t="str">
        <f>"523582"</f>
        <v>523582</v>
      </c>
      <c r="B4652" s="2" t="str">
        <f>"CALÇA RETARDANTE A CHAMAS 88/12 C/ FAIXA 50MM LOGO M"</f>
        <v>CALÇA RETARDANTE A CHAMAS 88/12 C/ FAIXA 50MM LOGO M</v>
      </c>
      <c r="C4652" s="2" t="str">
        <f t="shared" si="190"/>
        <v>UN</v>
      </c>
      <c r="D4652" s="7">
        <v>501</v>
      </c>
      <c r="E4652" s="3">
        <v>5</v>
      </c>
      <c r="F4652" s="3">
        <v>5</v>
      </c>
      <c r="G4652" t="s">
        <v>514</v>
      </c>
    </row>
    <row r="4653" spans="1:7" x14ac:dyDescent="0.25">
      <c r="A4653" s="1" t="str">
        <f>"523581"</f>
        <v>523581</v>
      </c>
      <c r="B4653" s="2" t="str">
        <f>"CALÇA RETARDANTE A CHAMAS 88/12 C/ FAIXA 50MM LOGO P"</f>
        <v>CALÇA RETARDANTE A CHAMAS 88/12 C/ FAIXA 50MM LOGO P</v>
      </c>
      <c r="C4653" s="2" t="str">
        <f t="shared" si="190"/>
        <v>UN</v>
      </c>
      <c r="D4653" s="7">
        <v>501</v>
      </c>
      <c r="E4653" s="3">
        <v>5</v>
      </c>
      <c r="F4653" s="3">
        <v>5</v>
      </c>
      <c r="G4653" t="s">
        <v>514</v>
      </c>
    </row>
    <row r="4654" spans="1:7" x14ac:dyDescent="0.25">
      <c r="A4654" s="1" t="str">
        <f>"514750"</f>
        <v>514750</v>
      </c>
      <c r="B4654" s="2" t="str">
        <f>"CALCA SOCIAL FEMININA"</f>
        <v>CALCA SOCIAL FEMININA</v>
      </c>
      <c r="C4654" s="2" t="str">
        <f t="shared" si="190"/>
        <v>UN</v>
      </c>
      <c r="D4654" s="7">
        <v>500</v>
      </c>
      <c r="E4654" s="3">
        <v>5</v>
      </c>
      <c r="F4654" s="3">
        <v>5</v>
      </c>
      <c r="G4654" t="s">
        <v>514</v>
      </c>
    </row>
    <row r="4655" spans="1:7" x14ac:dyDescent="0.25">
      <c r="A4655" s="1" t="str">
        <f>"519351"</f>
        <v>519351</v>
      </c>
      <c r="B4655" s="2" t="str">
        <f>"CALÇA SOCIAL FEMININA TAMANHO 36"</f>
        <v>CALÇA SOCIAL FEMININA TAMANHO 36</v>
      </c>
      <c r="C4655" s="2" t="str">
        <f t="shared" si="190"/>
        <v>UN</v>
      </c>
      <c r="D4655" s="7">
        <v>500</v>
      </c>
      <c r="E4655" s="3">
        <v>5</v>
      </c>
      <c r="F4655" s="3">
        <v>5</v>
      </c>
      <c r="G4655" t="s">
        <v>513</v>
      </c>
    </row>
    <row r="4656" spans="1:7" x14ac:dyDescent="0.25">
      <c r="A4656" s="1" t="str">
        <f>"519352"</f>
        <v>519352</v>
      </c>
      <c r="B4656" s="2" t="str">
        <f>"CALÇA SOCIAL FEMININA TAMANHO 38"</f>
        <v>CALÇA SOCIAL FEMININA TAMANHO 38</v>
      </c>
      <c r="C4656" s="2" t="str">
        <f t="shared" si="190"/>
        <v>UN</v>
      </c>
      <c r="D4656" s="7">
        <v>500</v>
      </c>
      <c r="E4656" s="3">
        <v>5</v>
      </c>
      <c r="F4656" s="3">
        <v>5</v>
      </c>
      <c r="G4656" t="s">
        <v>512</v>
      </c>
    </row>
    <row r="4657" spans="1:7" x14ac:dyDescent="0.25">
      <c r="A4657" s="1" t="str">
        <f>"519355"</f>
        <v>519355</v>
      </c>
      <c r="B4657" s="2" t="str">
        <f>"CALÇA SOCIAL FEMININA TAMANHO 40"</f>
        <v>CALÇA SOCIAL FEMININA TAMANHO 40</v>
      </c>
      <c r="C4657" s="2" t="str">
        <f t="shared" si="190"/>
        <v>UN</v>
      </c>
      <c r="D4657" s="7">
        <v>500</v>
      </c>
      <c r="E4657" s="3">
        <v>5</v>
      </c>
      <c r="F4657" s="3">
        <v>5</v>
      </c>
      <c r="G4657" t="s">
        <v>513</v>
      </c>
    </row>
    <row r="4658" spans="1:7" x14ac:dyDescent="0.25">
      <c r="A4658" s="1" t="str">
        <f>"519353"</f>
        <v>519353</v>
      </c>
      <c r="B4658" s="2" t="str">
        <f>"CALÇA SOCIAL FEMININA TAMANHO 42"</f>
        <v>CALÇA SOCIAL FEMININA TAMANHO 42</v>
      </c>
      <c r="C4658" s="2" t="str">
        <f t="shared" si="190"/>
        <v>UN</v>
      </c>
      <c r="D4658" s="7">
        <v>500</v>
      </c>
      <c r="E4658" s="3">
        <v>5</v>
      </c>
      <c r="F4658" s="3">
        <v>5</v>
      </c>
      <c r="G4658" t="s">
        <v>514</v>
      </c>
    </row>
    <row r="4659" spans="1:7" x14ac:dyDescent="0.25">
      <c r="A4659" s="1" t="str">
        <f>"519354"</f>
        <v>519354</v>
      </c>
      <c r="B4659" s="2" t="str">
        <f>"CALÇA SOCIAL FEMININA TAMANHO 44"</f>
        <v>CALÇA SOCIAL FEMININA TAMANHO 44</v>
      </c>
      <c r="C4659" s="2" t="str">
        <f t="shared" si="190"/>
        <v>UN</v>
      </c>
      <c r="D4659" s="7">
        <v>500</v>
      </c>
      <c r="E4659" s="3">
        <v>5</v>
      </c>
      <c r="F4659" s="3">
        <v>5</v>
      </c>
      <c r="G4659" t="s">
        <v>514</v>
      </c>
    </row>
    <row r="4660" spans="1:7" x14ac:dyDescent="0.25">
      <c r="A4660" s="1" t="str">
        <f>"519356"</f>
        <v>519356</v>
      </c>
      <c r="B4660" s="2" t="str">
        <f>"CALÇA SOCIAL FEMININA TAMANHO 46"</f>
        <v>CALÇA SOCIAL FEMININA TAMANHO 46</v>
      </c>
      <c r="C4660" s="2" t="str">
        <f t="shared" si="190"/>
        <v>UN</v>
      </c>
      <c r="D4660" s="7">
        <v>500</v>
      </c>
      <c r="E4660" s="3">
        <v>5</v>
      </c>
      <c r="F4660" s="3">
        <v>5</v>
      </c>
      <c r="G4660" t="s">
        <v>514</v>
      </c>
    </row>
    <row r="4661" spans="1:7" x14ac:dyDescent="0.25">
      <c r="A4661" s="1" t="str">
        <f>"3097"</f>
        <v>3097</v>
      </c>
      <c r="B4661" s="2" t="str">
        <f>"CALÇA SOCIAL MASCULINA TAMANHO (G)"</f>
        <v>CALÇA SOCIAL MASCULINA TAMANHO (G)</v>
      </c>
      <c r="C4661" s="2" t="str">
        <f t="shared" si="190"/>
        <v>UN</v>
      </c>
      <c r="D4661" s="7">
        <v>500</v>
      </c>
      <c r="E4661" s="3">
        <v>5</v>
      </c>
      <c r="F4661" s="3">
        <v>5</v>
      </c>
      <c r="G4661" t="s">
        <v>513</v>
      </c>
    </row>
    <row r="4662" spans="1:7" x14ac:dyDescent="0.25">
      <c r="A4662" s="1" t="str">
        <f>"3098"</f>
        <v>3098</v>
      </c>
      <c r="B4662" s="2" t="str">
        <f>"CALÇA SOCIAL MASCULINA TAMANHO (GG)"</f>
        <v>CALÇA SOCIAL MASCULINA TAMANHO (GG)</v>
      </c>
      <c r="C4662" s="2" t="str">
        <f t="shared" si="190"/>
        <v>UN</v>
      </c>
      <c r="D4662" s="7">
        <v>500</v>
      </c>
      <c r="E4662" s="3">
        <v>5</v>
      </c>
      <c r="F4662" s="3">
        <v>5</v>
      </c>
      <c r="G4662" t="s">
        <v>513</v>
      </c>
    </row>
    <row r="4663" spans="1:7" x14ac:dyDescent="0.25">
      <c r="A4663" s="1" t="str">
        <f>"3096"</f>
        <v>3096</v>
      </c>
      <c r="B4663" s="2" t="str">
        <f>"CALÇA SOCIAL MASCULINA TAMANHO (M)"</f>
        <v>CALÇA SOCIAL MASCULINA TAMANHO (M)</v>
      </c>
      <c r="C4663" s="2" t="str">
        <f t="shared" si="190"/>
        <v>UN</v>
      </c>
      <c r="D4663" s="7">
        <v>500</v>
      </c>
      <c r="E4663" s="3">
        <v>5</v>
      </c>
      <c r="F4663" s="3">
        <v>5</v>
      </c>
      <c r="G4663" t="s">
        <v>513</v>
      </c>
    </row>
    <row r="4664" spans="1:7" x14ac:dyDescent="0.25">
      <c r="A4664" s="1" t="str">
        <f>"3099"</f>
        <v>3099</v>
      </c>
      <c r="B4664" s="2" t="str">
        <f>"CALÇA SOCIAL MASCULINA TAMANHO (XGG)"</f>
        <v>CALÇA SOCIAL MASCULINA TAMANHO (XGG)</v>
      </c>
      <c r="C4664" s="2" t="str">
        <f t="shared" si="190"/>
        <v>UN</v>
      </c>
      <c r="D4664" s="7">
        <v>500</v>
      </c>
      <c r="E4664" s="3">
        <v>5</v>
      </c>
      <c r="F4664" s="3">
        <v>5</v>
      </c>
      <c r="G4664" t="s">
        <v>512</v>
      </c>
    </row>
    <row r="4665" spans="1:7" x14ac:dyDescent="0.25">
      <c r="A4665" s="1" t="str">
        <f>"519346"</f>
        <v>519346</v>
      </c>
      <c r="B4665" s="2" t="str">
        <f>"CALÇA SOCIAL MASCULINA TAMANHO 36"</f>
        <v>CALÇA SOCIAL MASCULINA TAMANHO 36</v>
      </c>
      <c r="C4665" s="2" t="str">
        <f t="shared" si="190"/>
        <v>UN</v>
      </c>
      <c r="D4665" s="7">
        <v>500</v>
      </c>
      <c r="E4665" s="3">
        <v>5</v>
      </c>
      <c r="F4665" s="3">
        <v>5</v>
      </c>
      <c r="G4665" t="s">
        <v>513</v>
      </c>
    </row>
    <row r="4666" spans="1:7" x14ac:dyDescent="0.25">
      <c r="A4666" s="1" t="str">
        <f>"519350"</f>
        <v>519350</v>
      </c>
      <c r="B4666" s="2" t="str">
        <f>"CALÇA SOCIAL MASCULINA TAMANHO 38"</f>
        <v>CALÇA SOCIAL MASCULINA TAMANHO 38</v>
      </c>
      <c r="C4666" s="2" t="str">
        <f t="shared" si="190"/>
        <v>UN</v>
      </c>
      <c r="D4666" s="7">
        <v>500</v>
      </c>
      <c r="E4666" s="3">
        <v>5</v>
      </c>
      <c r="F4666" s="3">
        <v>5</v>
      </c>
      <c r="G4666" t="s">
        <v>514</v>
      </c>
    </row>
    <row r="4667" spans="1:7" x14ac:dyDescent="0.25">
      <c r="A4667" s="1" t="str">
        <f>"519344"</f>
        <v>519344</v>
      </c>
      <c r="B4667" s="2" t="str">
        <f>"CALÇA SOCIAL MASCULINA TAMANHO 40"</f>
        <v>CALÇA SOCIAL MASCULINA TAMANHO 40</v>
      </c>
      <c r="C4667" s="2" t="str">
        <f t="shared" si="190"/>
        <v>UN</v>
      </c>
      <c r="D4667" s="7">
        <v>500</v>
      </c>
      <c r="E4667" s="3">
        <v>5</v>
      </c>
      <c r="F4667" s="3">
        <v>5</v>
      </c>
      <c r="G4667" t="s">
        <v>515</v>
      </c>
    </row>
    <row r="4668" spans="1:7" x14ac:dyDescent="0.25">
      <c r="A4668" s="1" t="str">
        <f>"519345"</f>
        <v>519345</v>
      </c>
      <c r="B4668" s="2" t="str">
        <f>"CALÇA SOCIAL MASCULINA TAMANHO 42"</f>
        <v>CALÇA SOCIAL MASCULINA TAMANHO 42</v>
      </c>
      <c r="C4668" s="2" t="str">
        <f t="shared" si="190"/>
        <v>UN</v>
      </c>
      <c r="D4668" s="7">
        <v>500</v>
      </c>
      <c r="E4668" s="3">
        <v>5</v>
      </c>
      <c r="F4668" s="3">
        <v>5</v>
      </c>
      <c r="G4668" t="s">
        <v>512</v>
      </c>
    </row>
    <row r="4669" spans="1:7" x14ac:dyDescent="0.25">
      <c r="A4669" s="1" t="str">
        <f>"519349"</f>
        <v>519349</v>
      </c>
      <c r="B4669" s="2" t="str">
        <f>"CALÇA SOCIAL MASCULINA TAMANHO 44"</f>
        <v>CALÇA SOCIAL MASCULINA TAMANHO 44</v>
      </c>
      <c r="C4669" s="2" t="str">
        <f t="shared" si="190"/>
        <v>UN</v>
      </c>
      <c r="D4669" s="7">
        <v>500</v>
      </c>
      <c r="E4669" s="3">
        <v>5</v>
      </c>
      <c r="F4669" s="3">
        <v>5</v>
      </c>
      <c r="G4669" t="s">
        <v>516</v>
      </c>
    </row>
    <row r="4670" spans="1:7" x14ac:dyDescent="0.25">
      <c r="A4670" s="1" t="str">
        <f>"519347"</f>
        <v>519347</v>
      </c>
      <c r="B4670" s="2" t="str">
        <f>"CALÇA SOCIAL MASCULINA TAMANHO 46"</f>
        <v>CALÇA SOCIAL MASCULINA TAMANHO 46</v>
      </c>
      <c r="C4670" s="2" t="str">
        <f t="shared" si="190"/>
        <v>UN</v>
      </c>
      <c r="D4670" s="7">
        <v>500</v>
      </c>
      <c r="E4670" s="3">
        <v>5</v>
      </c>
      <c r="F4670" s="3">
        <v>5</v>
      </c>
      <c r="G4670" t="s">
        <v>515</v>
      </c>
    </row>
    <row r="4671" spans="1:7" x14ac:dyDescent="0.25">
      <c r="A4671" s="1" t="str">
        <f>"519348"</f>
        <v>519348</v>
      </c>
      <c r="B4671" s="2" t="str">
        <f>"CALÇA SOCIAL MASCULINA TAMANHO 52"</f>
        <v>CALÇA SOCIAL MASCULINA TAMANHO 52</v>
      </c>
      <c r="C4671" s="2" t="str">
        <f t="shared" si="190"/>
        <v>UN</v>
      </c>
      <c r="D4671" s="7">
        <v>500</v>
      </c>
      <c r="E4671" s="3">
        <v>5</v>
      </c>
      <c r="F4671" s="3">
        <v>5</v>
      </c>
      <c r="G4671" t="s">
        <v>514</v>
      </c>
    </row>
    <row r="4672" spans="1:7" x14ac:dyDescent="0.25">
      <c r="A4672" s="1" t="str">
        <f>"519549"</f>
        <v>519549</v>
      </c>
      <c r="B4672" s="2" t="str">
        <f>"CALÇA SOCIAL MASCULINA TAMANHO 56"</f>
        <v>CALÇA SOCIAL MASCULINA TAMANHO 56</v>
      </c>
      <c r="C4672" s="2" t="str">
        <f t="shared" si="190"/>
        <v>UN</v>
      </c>
      <c r="D4672" s="7">
        <v>500</v>
      </c>
      <c r="E4672" s="3">
        <v>5</v>
      </c>
      <c r="F4672" s="3">
        <v>5</v>
      </c>
      <c r="G4672" t="s">
        <v>512</v>
      </c>
    </row>
    <row r="4673" spans="1:7" x14ac:dyDescent="0.25">
      <c r="A4673" s="1" t="str">
        <f>"573831"</f>
        <v>573831</v>
      </c>
      <c r="B4673" s="2" t="str">
        <f>"CALÇA TÉRMICA -35 AZUL - MEDIDA ESPECIAL"</f>
        <v>CALÇA TÉRMICA -35 AZUL - MEDIDA ESPECIAL</v>
      </c>
      <c r="C4673" s="2" t="str">
        <f>"PC"</f>
        <v>PC</v>
      </c>
      <c r="D4673" s="7">
        <v>500</v>
      </c>
      <c r="E4673" s="3">
        <v>5</v>
      </c>
      <c r="F4673" s="3">
        <v>5</v>
      </c>
      <c r="G4673" t="s">
        <v>513</v>
      </c>
    </row>
    <row r="4674" spans="1:7" x14ac:dyDescent="0.25">
      <c r="A4674" s="1" t="str">
        <f>"527201"</f>
        <v>527201</v>
      </c>
      <c r="B4674" s="2" t="str">
        <f>"CALÇA TERMICA INCENDIO ARAMIDA HERCULES G PRETO CA-31931"</f>
        <v>CALÇA TERMICA INCENDIO ARAMIDA HERCULES G PRETO CA-31931</v>
      </c>
      <c r="C4674" s="2" t="str">
        <f t="shared" ref="C4674:C4704" si="191">"UN"</f>
        <v>UN</v>
      </c>
      <c r="D4674" s="7">
        <v>501</v>
      </c>
      <c r="E4674" s="3">
        <v>5</v>
      </c>
      <c r="F4674" s="3">
        <v>5</v>
      </c>
      <c r="G4674" t="s">
        <v>514</v>
      </c>
    </row>
    <row r="4675" spans="1:7" x14ac:dyDescent="0.25">
      <c r="A4675" s="1" t="str">
        <f>"524260"</f>
        <v>524260</v>
      </c>
      <c r="B4675" s="2" t="str">
        <f>"CALÇA TNT (HOMOLOGAÇÃO)"</f>
        <v>CALÇA TNT (HOMOLOGAÇÃO)</v>
      </c>
      <c r="C4675" s="2" t="str">
        <f t="shared" si="191"/>
        <v>UN</v>
      </c>
      <c r="D4675" s="7">
        <v>501</v>
      </c>
      <c r="E4675" s="3">
        <v>5</v>
      </c>
      <c r="F4675" s="3">
        <v>5</v>
      </c>
      <c r="G4675" t="s">
        <v>514</v>
      </c>
    </row>
    <row r="4676" spans="1:7" x14ac:dyDescent="0.25">
      <c r="A4676" s="1" t="str">
        <f>"523843"</f>
        <v>523843</v>
      </c>
      <c r="B4676" s="2" t="str">
        <f>"CALÇADO SEGURANÇA TP SAPATO AMARRAR COMPOSITE CA-26490 Nº43"</f>
        <v>CALÇADO SEGURANÇA TP SAPATO AMARRAR COMPOSITE CA-26490 Nº43</v>
      </c>
      <c r="C4676" s="2" t="str">
        <f t="shared" si="191"/>
        <v>UN</v>
      </c>
      <c r="D4676" s="7">
        <v>501</v>
      </c>
      <c r="E4676" s="3">
        <v>5</v>
      </c>
      <c r="F4676" s="3">
        <v>5</v>
      </c>
      <c r="G4676" t="s">
        <v>512</v>
      </c>
    </row>
    <row r="4677" spans="1:7" x14ac:dyDescent="0.25">
      <c r="A4677" s="1" t="str">
        <f>"514857"</f>
        <v>514857</v>
      </c>
      <c r="B4677" s="2" t="str">
        <f>"CALCARIO"</f>
        <v>CALCARIO</v>
      </c>
      <c r="C4677" s="2" t="str">
        <f t="shared" si="191"/>
        <v>UN</v>
      </c>
      <c r="D4677" s="7">
        <v>917</v>
      </c>
      <c r="E4677" s="3">
        <v>4</v>
      </c>
      <c r="F4677" s="3">
        <v>4</v>
      </c>
      <c r="G4677" t="s">
        <v>513</v>
      </c>
    </row>
    <row r="4678" spans="1:7" x14ac:dyDescent="0.25">
      <c r="A4678" s="1" t="str">
        <f>"527133"</f>
        <v>527133</v>
      </c>
      <c r="B4678" s="2" t="str">
        <f>"CALÇO"</f>
        <v>CALÇO</v>
      </c>
      <c r="C4678" s="2" t="str">
        <f t="shared" si="191"/>
        <v>UN</v>
      </c>
      <c r="D4678" s="7">
        <v>917</v>
      </c>
      <c r="E4678" s="3">
        <v>11</v>
      </c>
      <c r="F4678" s="3">
        <v>11</v>
      </c>
      <c r="G4678" t="s">
        <v>514</v>
      </c>
    </row>
    <row r="4679" spans="1:7" x14ac:dyDescent="0.25">
      <c r="A4679" s="1" t="str">
        <f>"513367"</f>
        <v>513367</v>
      </c>
      <c r="B4679" s="2" t="str">
        <f>"CALÇO - PAINEL DO TECLADO"</f>
        <v>CALÇO - PAINEL DO TECLADO</v>
      </c>
      <c r="C4679" s="2" t="str">
        <f t="shared" si="191"/>
        <v>UN</v>
      </c>
      <c r="D4679" s="7">
        <v>811</v>
      </c>
      <c r="E4679" s="3">
        <v>8</v>
      </c>
      <c r="F4679" s="3">
        <v>8</v>
      </c>
      <c r="G4679" t="s">
        <v>514</v>
      </c>
    </row>
    <row r="4680" spans="1:7" x14ac:dyDescent="0.25">
      <c r="A4680" s="1" t="str">
        <f>"523092"</f>
        <v>523092</v>
      </c>
      <c r="B4680" s="2" t="str">
        <f>"CALÇO APF-8009"</f>
        <v>CALÇO APF-8009</v>
      </c>
      <c r="C4680" s="2" t="str">
        <f t="shared" si="191"/>
        <v>UN</v>
      </c>
      <c r="D4680" s="7">
        <v>812</v>
      </c>
      <c r="E4680" s="3">
        <v>10</v>
      </c>
      <c r="F4680" s="3">
        <v>10</v>
      </c>
      <c r="G4680" t="s">
        <v>514</v>
      </c>
    </row>
    <row r="4681" spans="1:7" x14ac:dyDescent="0.25">
      <c r="A4681" s="1" t="str">
        <f>"507130"</f>
        <v>507130</v>
      </c>
      <c r="B4681" s="2" t="str">
        <f>"CALÇO COD. 05.3120.205.50"</f>
        <v>CALÇO COD. 05.3120.205.50</v>
      </c>
      <c r="C4681" s="2" t="str">
        <f t="shared" si="191"/>
        <v>UN</v>
      </c>
      <c r="D4681" s="7">
        <v>918</v>
      </c>
      <c r="E4681" s="3">
        <v>11</v>
      </c>
      <c r="F4681" s="3">
        <v>11</v>
      </c>
      <c r="G4681" t="s">
        <v>513</v>
      </c>
    </row>
    <row r="4682" spans="1:7" x14ac:dyDescent="0.25">
      <c r="A4682" s="1" t="str">
        <f>"525351"</f>
        <v>525351</v>
      </c>
      <c r="B4682" s="2" t="str">
        <f>"CALÇO DA MESA DINIEPER 550M"</f>
        <v>CALÇO DA MESA DINIEPER 550M</v>
      </c>
      <c r="C4682" s="2" t="str">
        <f t="shared" si="191"/>
        <v>UN</v>
      </c>
      <c r="D4682" s="7">
        <v>99999</v>
      </c>
      <c r="E4682" s="3">
        <v>99</v>
      </c>
      <c r="F4682" s="3">
        <v>99</v>
      </c>
      <c r="G4682" t="s">
        <v>512</v>
      </c>
    </row>
    <row r="4683" spans="1:7" x14ac:dyDescent="0.25">
      <c r="A4683" s="1" t="str">
        <f>"524364"</f>
        <v>524364</v>
      </c>
      <c r="B4683" s="2" t="str">
        <f>"CALÇO DA MOLA SUPORTE"</f>
        <v>CALÇO DA MOLA SUPORTE</v>
      </c>
      <c r="C4683" s="2" t="str">
        <f t="shared" si="191"/>
        <v>UN</v>
      </c>
      <c r="D4683" s="7">
        <v>704</v>
      </c>
      <c r="E4683" s="3">
        <v>9</v>
      </c>
      <c r="F4683" s="3">
        <v>9</v>
      </c>
      <c r="G4683" t="s">
        <v>513</v>
      </c>
    </row>
    <row r="4684" spans="1:7" x14ac:dyDescent="0.25">
      <c r="A4684" s="1" t="str">
        <f>"524407"</f>
        <v>524407</v>
      </c>
      <c r="B4684" s="2" t="str">
        <f>"CALÇO DE BICO"</f>
        <v>CALÇO DE BICO</v>
      </c>
      <c r="C4684" s="2" t="str">
        <f t="shared" si="191"/>
        <v>UN</v>
      </c>
      <c r="D4684" s="7">
        <v>704</v>
      </c>
      <c r="E4684" s="3">
        <v>9</v>
      </c>
      <c r="F4684" s="3">
        <v>9</v>
      </c>
      <c r="G4684" t="s">
        <v>514</v>
      </c>
    </row>
    <row r="4685" spans="1:7" x14ac:dyDescent="0.25">
      <c r="A4685" s="1" t="str">
        <f>"508565"</f>
        <v>508565</v>
      </c>
      <c r="B4685" s="2" t="str">
        <f>"CALÇO DE SEGURANÇA P/ CAMINHÕES 20X15X15CM"</f>
        <v>CALÇO DE SEGURANÇA P/ CAMINHÕES 20X15X15CM</v>
      </c>
      <c r="C4685" s="2" t="str">
        <f t="shared" si="191"/>
        <v>UN</v>
      </c>
      <c r="D4685" s="7">
        <v>704</v>
      </c>
      <c r="E4685" s="3">
        <v>9</v>
      </c>
      <c r="F4685" s="3">
        <v>9</v>
      </c>
      <c r="G4685" t="s">
        <v>514</v>
      </c>
    </row>
    <row r="4686" spans="1:7" x14ac:dyDescent="0.25">
      <c r="A4686" s="1" t="str">
        <f>"522709"</f>
        <v>522709</v>
      </c>
      <c r="B4686" s="2" t="str">
        <f>"CALÇO DO GARFO TOYOTA  RRE160"</f>
        <v>CALÇO DO GARFO TOYOTA  RRE160</v>
      </c>
      <c r="C4686" s="2" t="str">
        <f t="shared" si="191"/>
        <v>UN</v>
      </c>
      <c r="D4686" s="7">
        <v>918</v>
      </c>
      <c r="E4686" s="3">
        <v>10</v>
      </c>
      <c r="F4686" s="3">
        <v>10</v>
      </c>
      <c r="G4686" t="s">
        <v>514</v>
      </c>
    </row>
    <row r="4687" spans="1:7" x14ac:dyDescent="0.25">
      <c r="A4687" s="1" t="str">
        <f>"522895"</f>
        <v>522895</v>
      </c>
      <c r="B4687" s="2" t="str">
        <f>"CALÇO EIXO TRASEIRO"</f>
        <v>CALÇO EIXO TRASEIRO</v>
      </c>
      <c r="C4687" s="2" t="str">
        <f t="shared" si="191"/>
        <v>UN</v>
      </c>
      <c r="D4687" s="7">
        <v>918</v>
      </c>
      <c r="E4687" s="3">
        <v>10</v>
      </c>
      <c r="F4687" s="3">
        <v>10</v>
      </c>
      <c r="G4687" t="s">
        <v>513</v>
      </c>
    </row>
    <row r="4688" spans="1:7" x14ac:dyDescent="0.25">
      <c r="A4688" s="1" t="str">
        <f>"512991"</f>
        <v>512991</v>
      </c>
      <c r="B4688" s="2" t="str">
        <f>"CALÇO ESPAÇADOR DES E4199-01029"</f>
        <v>CALÇO ESPAÇADOR DES E4199-01029</v>
      </c>
      <c r="C4688" s="2" t="str">
        <f t="shared" si="191"/>
        <v>UN</v>
      </c>
      <c r="D4688" s="7">
        <v>918</v>
      </c>
      <c r="E4688" s="3">
        <v>11</v>
      </c>
      <c r="F4688" s="3">
        <v>11</v>
      </c>
      <c r="G4688" t="s">
        <v>513</v>
      </c>
    </row>
    <row r="4689" spans="1:7" x14ac:dyDescent="0.25">
      <c r="A4689" s="1" t="str">
        <f>"505333"</f>
        <v>505333</v>
      </c>
      <c r="B4689" s="2" t="str">
        <f>"CALCO GRAMPO"</f>
        <v>CALCO GRAMPO</v>
      </c>
      <c r="C4689" s="2" t="str">
        <f t="shared" si="191"/>
        <v>UN</v>
      </c>
      <c r="D4689" s="7">
        <v>704</v>
      </c>
      <c r="E4689" s="3">
        <v>9</v>
      </c>
      <c r="F4689" s="3">
        <v>9</v>
      </c>
      <c r="G4689" t="s">
        <v>513</v>
      </c>
    </row>
    <row r="4690" spans="1:7" x14ac:dyDescent="0.25">
      <c r="A4690" s="1" t="str">
        <f>"512782"</f>
        <v>512782</v>
      </c>
      <c r="B4690" s="2" t="str">
        <f>"CALÇO MOLA 501200 APV CUBE 4600 APF-0001"</f>
        <v>CALÇO MOLA 501200 APV CUBE 4600 APF-0001</v>
      </c>
      <c r="C4690" s="2" t="str">
        <f t="shared" si="191"/>
        <v>UN</v>
      </c>
      <c r="D4690" s="7">
        <v>918</v>
      </c>
      <c r="E4690" s="3">
        <v>11</v>
      </c>
      <c r="F4690" s="3">
        <v>11</v>
      </c>
      <c r="G4690" t="s">
        <v>512</v>
      </c>
    </row>
    <row r="4691" spans="1:7" x14ac:dyDescent="0.25">
      <c r="A4691" s="1" t="str">
        <f>"503673"</f>
        <v>503673</v>
      </c>
      <c r="B4691" s="2" t="str">
        <f>"CALCO MOLEJO CARRETA"</f>
        <v>CALCO MOLEJO CARRETA</v>
      </c>
      <c r="C4691" s="2" t="str">
        <f t="shared" si="191"/>
        <v>UN</v>
      </c>
      <c r="D4691" s="7">
        <v>704</v>
      </c>
      <c r="E4691" s="3">
        <v>9</v>
      </c>
      <c r="F4691" s="3">
        <v>9</v>
      </c>
      <c r="G4691" t="s">
        <v>513</v>
      </c>
    </row>
    <row r="4692" spans="1:7" x14ac:dyDescent="0.25">
      <c r="A4692" s="1" t="str">
        <f>"504359"</f>
        <v>504359</v>
      </c>
      <c r="B4692" s="2" t="str">
        <f>"CALCO MOLEJO TRUCK"</f>
        <v>CALCO MOLEJO TRUCK</v>
      </c>
      <c r="C4692" s="2" t="str">
        <f t="shared" si="191"/>
        <v>UN</v>
      </c>
      <c r="D4692" s="7">
        <v>704</v>
      </c>
      <c r="E4692" s="3">
        <v>9</v>
      </c>
      <c r="F4692" s="3">
        <v>9</v>
      </c>
      <c r="G4692" t="s">
        <v>514</v>
      </c>
    </row>
    <row r="4693" spans="1:7" x14ac:dyDescent="0.25">
      <c r="A4693" s="1" t="str">
        <f>"501584"</f>
        <v>501584</v>
      </c>
      <c r="B4693" s="2" t="str">
        <f>"CALÇO MOLEJO TRUCK 20MM"</f>
        <v>CALÇO MOLEJO TRUCK 20MM</v>
      </c>
      <c r="C4693" s="2" t="str">
        <f t="shared" si="191"/>
        <v>UN</v>
      </c>
      <c r="D4693" s="7">
        <v>704</v>
      </c>
      <c r="E4693" s="3">
        <v>9</v>
      </c>
      <c r="F4693" s="3">
        <v>9</v>
      </c>
      <c r="G4693" t="s">
        <v>515</v>
      </c>
    </row>
    <row r="4694" spans="1:7" x14ac:dyDescent="0.25">
      <c r="A4694" s="1" t="str">
        <f>"525095"</f>
        <v>525095</v>
      </c>
      <c r="B4694" s="2" t="str">
        <f>"CALÇO P/ PORTAS E JANELAS"</f>
        <v>CALÇO P/ PORTAS E JANELAS</v>
      </c>
      <c r="C4694" s="2" t="str">
        <f t="shared" si="191"/>
        <v>UN</v>
      </c>
      <c r="D4694" s="7">
        <v>99999</v>
      </c>
      <c r="E4694" s="3">
        <v>99</v>
      </c>
      <c r="F4694" s="3">
        <v>99</v>
      </c>
      <c r="G4694" t="s">
        <v>512</v>
      </c>
    </row>
    <row r="4695" spans="1:7" x14ac:dyDescent="0.25">
      <c r="A4695" s="1" t="str">
        <f>"6601"</f>
        <v>6601</v>
      </c>
      <c r="B4695" s="2" t="str">
        <f>"CALCULADORA  DE IMPRESS. LP-25 PROCALC"</f>
        <v>CALCULADORA  DE IMPRESS. LP-25 PROCALC</v>
      </c>
      <c r="C4695" s="2" t="str">
        <f t="shared" si="191"/>
        <v>UN</v>
      </c>
      <c r="D4695" s="7">
        <v>401</v>
      </c>
      <c r="E4695" s="3">
        <v>4</v>
      </c>
      <c r="F4695" s="3">
        <v>4</v>
      </c>
      <c r="G4695" t="s">
        <v>516</v>
      </c>
    </row>
    <row r="4696" spans="1:7" x14ac:dyDescent="0.25">
      <c r="A4696" s="1" t="str">
        <f>"6600"</f>
        <v>6600</v>
      </c>
      <c r="B4696" s="2" t="str">
        <f>"CALCULADORA DE IMPRESSAO 2P 25"</f>
        <v>CALCULADORA DE IMPRESSAO 2P 25</v>
      </c>
      <c r="C4696" s="2" t="str">
        <f t="shared" si="191"/>
        <v>UN</v>
      </c>
      <c r="D4696" s="7">
        <v>401</v>
      </c>
      <c r="E4696" s="3">
        <v>4</v>
      </c>
      <c r="F4696" s="3">
        <v>4</v>
      </c>
      <c r="G4696" t="s">
        <v>515</v>
      </c>
    </row>
    <row r="4697" spans="1:7" x14ac:dyDescent="0.25">
      <c r="A4697" s="1" t="str">
        <f>"6626"</f>
        <v>6626</v>
      </c>
      <c r="B4697" s="2" t="str">
        <f>"CALCULADORA DE MESA"</f>
        <v>CALCULADORA DE MESA</v>
      </c>
      <c r="C4697" s="2" t="str">
        <f t="shared" si="191"/>
        <v>UN</v>
      </c>
      <c r="D4697" s="7">
        <v>401</v>
      </c>
      <c r="E4697" s="3">
        <v>4</v>
      </c>
      <c r="F4697" s="3">
        <v>4</v>
      </c>
      <c r="G4697" t="s">
        <v>514</v>
      </c>
    </row>
    <row r="4698" spans="1:7" x14ac:dyDescent="0.25">
      <c r="A4698" s="1" t="str">
        <f>"525372"</f>
        <v>525372</v>
      </c>
      <c r="B4698" s="2" t="str">
        <f>"CALCULADORA KENKO"</f>
        <v>CALCULADORA KENKO</v>
      </c>
      <c r="C4698" s="2" t="str">
        <f t="shared" si="191"/>
        <v>UN</v>
      </c>
      <c r="D4698" s="7">
        <v>99999</v>
      </c>
      <c r="E4698" s="3">
        <v>99</v>
      </c>
      <c r="F4698" s="3">
        <v>99</v>
      </c>
      <c r="G4698" t="s">
        <v>512</v>
      </c>
    </row>
    <row r="4699" spans="1:7" x14ac:dyDescent="0.25">
      <c r="A4699" s="1" t="str">
        <f>"527096"</f>
        <v>527096</v>
      </c>
      <c r="B4699" s="2" t="str">
        <f>"CALCULADORA MP1010 12DIG. MASTERPRINT"</f>
        <v>CALCULADORA MP1010 12DIG. MASTERPRINT</v>
      </c>
      <c r="C4699" s="2" t="str">
        <f t="shared" si="191"/>
        <v>UN</v>
      </c>
      <c r="D4699" s="7">
        <v>401</v>
      </c>
      <c r="E4699" s="3">
        <v>4</v>
      </c>
      <c r="F4699" s="3">
        <v>4</v>
      </c>
      <c r="G4699" t="s">
        <v>513</v>
      </c>
    </row>
    <row r="4700" spans="1:7" x14ac:dyDescent="0.25">
      <c r="A4700" s="1" t="str">
        <f>"526390"</f>
        <v>526390</v>
      </c>
      <c r="B4700" s="2" t="str">
        <f>"CALCULADORA MP1062 12DIG. MASTERPRINT"</f>
        <v>CALCULADORA MP1062 12DIG. MASTERPRINT</v>
      </c>
      <c r="C4700" s="2" t="str">
        <f t="shared" si="191"/>
        <v>UN</v>
      </c>
      <c r="D4700" s="7">
        <v>401</v>
      </c>
      <c r="E4700" s="3">
        <v>4</v>
      </c>
      <c r="F4700" s="3">
        <v>4</v>
      </c>
      <c r="G4700" t="s">
        <v>514</v>
      </c>
    </row>
    <row r="4701" spans="1:7" x14ac:dyDescent="0.25">
      <c r="A4701" s="1" t="str">
        <f>"526391"</f>
        <v>526391</v>
      </c>
      <c r="B4701" s="2" t="str">
        <f>"CALCULADORA MP1092 12DIG. MASTERPRINT"</f>
        <v>CALCULADORA MP1092 12DIG. MASTERPRINT</v>
      </c>
      <c r="C4701" s="2" t="str">
        <f t="shared" si="191"/>
        <v>UN</v>
      </c>
      <c r="D4701" s="7">
        <v>401</v>
      </c>
      <c r="E4701" s="3">
        <v>4</v>
      </c>
      <c r="F4701" s="3">
        <v>4</v>
      </c>
      <c r="G4701" t="s">
        <v>514</v>
      </c>
    </row>
    <row r="4702" spans="1:7" x14ac:dyDescent="0.25">
      <c r="A4702" s="1" t="str">
        <f>"6364"</f>
        <v>6364</v>
      </c>
      <c r="B4702" s="2" t="str">
        <f>"CALCULADORA PEQUENA TRULLY"</f>
        <v>CALCULADORA PEQUENA TRULLY</v>
      </c>
      <c r="C4702" s="2" t="str">
        <f t="shared" si="191"/>
        <v>UN</v>
      </c>
      <c r="D4702" s="7">
        <v>401</v>
      </c>
      <c r="E4702" s="3">
        <v>4</v>
      </c>
      <c r="F4702" s="3">
        <v>4</v>
      </c>
      <c r="G4702" t="s">
        <v>512</v>
      </c>
    </row>
    <row r="4703" spans="1:7" x14ac:dyDescent="0.25">
      <c r="A4703" s="1" t="str">
        <f>"6365"</f>
        <v>6365</v>
      </c>
      <c r="B4703" s="2" t="str">
        <f>"CALCULADORA PROCALC PC120"</f>
        <v>CALCULADORA PROCALC PC120</v>
      </c>
      <c r="C4703" s="2" t="str">
        <f t="shared" si="191"/>
        <v>UN</v>
      </c>
      <c r="D4703" s="7">
        <v>401</v>
      </c>
      <c r="E4703" s="3">
        <v>4</v>
      </c>
      <c r="F4703" s="3">
        <v>4</v>
      </c>
      <c r="G4703" t="s">
        <v>513</v>
      </c>
    </row>
    <row r="4704" spans="1:7" x14ac:dyDescent="0.25">
      <c r="A4704" s="1" t="str">
        <f>"519759"</f>
        <v>519759</v>
      </c>
      <c r="B4704" s="2" t="str">
        <f>"CALCULADORA SHARP 1750"</f>
        <v>CALCULADORA SHARP 1750</v>
      </c>
      <c r="C4704" s="2" t="str">
        <f t="shared" si="191"/>
        <v>UN</v>
      </c>
      <c r="D4704" s="7">
        <v>401</v>
      </c>
      <c r="E4704" s="3">
        <v>4</v>
      </c>
      <c r="F4704" s="3">
        <v>4</v>
      </c>
      <c r="G4704" t="s">
        <v>514</v>
      </c>
    </row>
    <row r="4705" spans="1:7" x14ac:dyDescent="0.25">
      <c r="A4705" s="1" t="str">
        <f>"707"</f>
        <v>707</v>
      </c>
      <c r="B4705" s="2" t="str">
        <f>"CALDA CARGILL MORANGO AS 141-01-A1"</f>
        <v>CALDA CARGILL MORANGO AS 141-01-A1</v>
      </c>
      <c r="C4705" s="2" t="str">
        <f t="shared" ref="C4705:C4712" si="192">"KG"</f>
        <v>KG</v>
      </c>
      <c r="D4705" s="7">
        <v>205</v>
      </c>
      <c r="E4705" s="3">
        <v>2</v>
      </c>
      <c r="F4705" s="3">
        <v>2</v>
      </c>
      <c r="G4705" t="s">
        <v>514</v>
      </c>
    </row>
    <row r="4706" spans="1:7" x14ac:dyDescent="0.25">
      <c r="A4706" s="1" t="str">
        <f>"708"</f>
        <v>708</v>
      </c>
      <c r="B4706" s="2" t="str">
        <f>"CALDA CARGILL PESSEGO PT 548-01-1"</f>
        <v>CALDA CARGILL PESSEGO PT 548-01-1</v>
      </c>
      <c r="C4706" s="2" t="str">
        <f t="shared" si="192"/>
        <v>KG</v>
      </c>
      <c r="D4706" s="7">
        <v>205</v>
      </c>
      <c r="E4706" s="3">
        <v>2</v>
      </c>
      <c r="F4706" s="3">
        <v>2</v>
      </c>
      <c r="G4706" t="s">
        <v>514</v>
      </c>
    </row>
    <row r="4707" spans="1:7" x14ac:dyDescent="0.25">
      <c r="A4707" s="1" t="str">
        <f>"709"</f>
        <v>709</v>
      </c>
      <c r="B4707" s="2" t="str">
        <f>"CALDA CARGILL SALADA/FRUTAS AS-213-03-A"</f>
        <v>CALDA CARGILL SALADA/FRUTAS AS-213-03-A</v>
      </c>
      <c r="C4707" s="2" t="str">
        <f t="shared" si="192"/>
        <v>KG</v>
      </c>
      <c r="D4707" s="7">
        <v>205</v>
      </c>
      <c r="E4707" s="3">
        <v>2</v>
      </c>
      <c r="F4707" s="3">
        <v>2</v>
      </c>
      <c r="G4707" t="s">
        <v>513</v>
      </c>
    </row>
    <row r="4708" spans="1:7" x14ac:dyDescent="0.25">
      <c r="A4708" s="1" t="str">
        <f>"6069"</f>
        <v>6069</v>
      </c>
      <c r="B4708" s="2" t="str">
        <f>"CALDA CHOCOLATE BANANA COD.236930 -  AGRANA"</f>
        <v>CALDA CHOCOLATE BANANA COD.236930 -  AGRANA</v>
      </c>
      <c r="C4708" s="2" t="str">
        <f t="shared" si="192"/>
        <v>KG</v>
      </c>
      <c r="D4708" s="7">
        <v>205</v>
      </c>
      <c r="E4708" s="3">
        <v>2</v>
      </c>
      <c r="F4708" s="3">
        <v>2</v>
      </c>
      <c r="G4708" t="s">
        <v>512</v>
      </c>
    </row>
    <row r="4709" spans="1:7" x14ac:dyDescent="0.25">
      <c r="A4709" s="1" t="str">
        <f>"6849"</f>
        <v>6849</v>
      </c>
      <c r="B4709" s="2" t="str">
        <f>"CALDA COBERTURA BLUEBERRY PED NATURAL CÓD.263382 (AGRANA) RU"</f>
        <v>CALDA COBERTURA BLUEBERRY PED NATURAL CÓD.263382 (AGRANA) RU</v>
      </c>
      <c r="C4709" s="2" t="str">
        <f t="shared" si="192"/>
        <v>KG</v>
      </c>
      <c r="D4709" s="7">
        <v>205</v>
      </c>
      <c r="E4709" s="3">
        <v>2</v>
      </c>
      <c r="F4709" s="3">
        <v>2</v>
      </c>
      <c r="G4709" t="s">
        <v>513</v>
      </c>
    </row>
    <row r="4710" spans="1:7" x14ac:dyDescent="0.25">
      <c r="A4710" s="1" t="str">
        <f>"6850"</f>
        <v>6850</v>
      </c>
      <c r="B4710" s="2" t="str">
        <f>"CALDA COBERTURA PERA PED NATURAL CÓD.268879 (AGRANA) RUBI"</f>
        <v>CALDA COBERTURA PERA PED NATURAL CÓD.268879 (AGRANA) RUBI</v>
      </c>
      <c r="C4710" s="2" t="str">
        <f t="shared" si="192"/>
        <v>KG</v>
      </c>
      <c r="D4710" s="7">
        <v>205</v>
      </c>
      <c r="E4710" s="3">
        <v>2</v>
      </c>
      <c r="F4710" s="3">
        <v>2</v>
      </c>
      <c r="G4710" t="s">
        <v>514</v>
      </c>
    </row>
    <row r="4711" spans="1:7" x14ac:dyDescent="0.25">
      <c r="A4711" s="1" t="str">
        <f>"6109"</f>
        <v>6109</v>
      </c>
      <c r="B4711" s="2" t="str">
        <f>"CALDA DE BANANA COM CHOCOLATE COD.236930 -  AGRANA"</f>
        <v>CALDA DE BANANA COM CHOCOLATE COD.236930 -  AGRANA</v>
      </c>
      <c r="C4711" s="2" t="str">
        <f t="shared" si="192"/>
        <v>KG</v>
      </c>
      <c r="D4711" s="7">
        <v>205</v>
      </c>
      <c r="E4711" s="3">
        <v>2</v>
      </c>
      <c r="F4711" s="3">
        <v>2</v>
      </c>
      <c r="G4711" t="s">
        <v>514</v>
      </c>
    </row>
    <row r="4712" spans="1:7" x14ac:dyDescent="0.25">
      <c r="A4712" s="1" t="str">
        <f>"6839"</f>
        <v>6839</v>
      </c>
      <c r="B4712" s="2" t="str">
        <f>"CALDA DE CHOCOLATE - CÓD.8.83195  (DOEHLER) PROJ.CARMIM"</f>
        <v>CALDA DE CHOCOLATE - CÓD.8.83195  (DOEHLER) PROJ.CARMIM</v>
      </c>
      <c r="C4712" s="2" t="str">
        <f t="shared" si="192"/>
        <v>KG</v>
      </c>
      <c r="D4712" s="7">
        <v>205</v>
      </c>
      <c r="E4712" s="3">
        <v>2</v>
      </c>
      <c r="F4712" s="3">
        <v>2</v>
      </c>
      <c r="G4712" t="s">
        <v>514</v>
      </c>
    </row>
    <row r="4713" spans="1:7" x14ac:dyDescent="0.25">
      <c r="A4713" s="1" t="str">
        <f>"AG19019090"</f>
        <v>AG19019090</v>
      </c>
      <c r="B4713" s="2" t="str">
        <f>"CALDA DE DOCE DE LEITE"</f>
        <v>CALDA DE DOCE DE LEITE</v>
      </c>
      <c r="C4713" s="2" t="str">
        <f>"UN"</f>
        <v>UN</v>
      </c>
      <c r="D4713" s="7">
        <v>99999</v>
      </c>
      <c r="E4713" s="3">
        <v>99</v>
      </c>
      <c r="F4713" s="3">
        <v>99</v>
      </c>
      <c r="G4713" t="s">
        <v>513</v>
      </c>
    </row>
    <row r="4714" spans="1:7" x14ac:dyDescent="0.25">
      <c r="A4714" s="1" t="str">
        <f>"6842"</f>
        <v>6842</v>
      </c>
      <c r="B4714" s="2" t="str">
        <f>"CALDA DE DOCE DE LEITE - CÓD.PT.1344-32-A  (DOEHLER)P CARMIM"</f>
        <v>CALDA DE DOCE DE LEITE - CÓD.PT.1344-32-A  (DOEHLER)P CARMIM</v>
      </c>
      <c r="C4714" s="2" t="str">
        <f t="shared" ref="C4714:C4723" si="193">"KG"</f>
        <v>KG</v>
      </c>
      <c r="D4714" s="7">
        <v>205</v>
      </c>
      <c r="E4714" s="3">
        <v>2</v>
      </c>
      <c r="F4714" s="3">
        <v>2</v>
      </c>
      <c r="G4714" t="s">
        <v>513</v>
      </c>
    </row>
    <row r="4715" spans="1:7" x14ac:dyDescent="0.25">
      <c r="A4715" s="1" t="str">
        <f>"6190"</f>
        <v>6190</v>
      </c>
      <c r="B4715" s="2" t="str">
        <f>"CALDA DE FRAMBOESA DUET COD.289470 - AGRANA"</f>
        <v>CALDA DE FRAMBOESA DUET COD.289470 - AGRANA</v>
      </c>
      <c r="C4715" s="2" t="str">
        <f t="shared" si="193"/>
        <v>KG</v>
      </c>
      <c r="D4715" s="7">
        <v>205</v>
      </c>
      <c r="E4715" s="3">
        <v>2</v>
      </c>
      <c r="F4715" s="3">
        <v>2</v>
      </c>
      <c r="G4715" t="s">
        <v>513</v>
      </c>
    </row>
    <row r="4716" spans="1:7" x14ac:dyDescent="0.25">
      <c r="A4716" s="1" t="str">
        <f>"4150"</f>
        <v>4150</v>
      </c>
      <c r="B4716" s="2" t="str">
        <f>"CALDA DE FRUT. VERM. CÓD. AFRV 9CD2 CR"</f>
        <v>CALDA DE FRUT. VERM. CÓD. AFRV 9CD2 CR</v>
      </c>
      <c r="C4716" s="2" t="str">
        <f t="shared" si="193"/>
        <v>KG</v>
      </c>
      <c r="D4716" s="7">
        <v>219</v>
      </c>
      <c r="E4716" s="3">
        <v>2</v>
      </c>
      <c r="F4716" s="3">
        <v>2</v>
      </c>
      <c r="G4716" t="s">
        <v>512</v>
      </c>
    </row>
    <row r="4717" spans="1:7" x14ac:dyDescent="0.25">
      <c r="A4717" s="1" t="str">
        <f>"6004"</f>
        <v>6004</v>
      </c>
      <c r="B4717" s="2" t="str">
        <f>"CALDA DE FRUTAS AMARELAS COD.241012 -  AGRANA"</f>
        <v>CALDA DE FRUTAS AMARELAS COD.241012 -  AGRANA</v>
      </c>
      <c r="C4717" s="2" t="str">
        <f t="shared" si="193"/>
        <v>KG</v>
      </c>
      <c r="D4717" s="7">
        <v>205</v>
      </c>
      <c r="E4717" s="3">
        <v>2</v>
      </c>
      <c r="F4717" s="3">
        <v>2</v>
      </c>
      <c r="G4717" t="s">
        <v>513</v>
      </c>
    </row>
    <row r="4718" spans="1:7" x14ac:dyDescent="0.25">
      <c r="A4718" s="1" t="str">
        <f>"6003"</f>
        <v>6003</v>
      </c>
      <c r="B4718" s="2" t="str">
        <f>"CALDA DE FRUTAS VERMELHAS COD.236097 -  AGRANA"</f>
        <v>CALDA DE FRUTAS VERMELHAS COD.236097 -  AGRANA</v>
      </c>
      <c r="C4718" s="2" t="str">
        <f t="shared" si="193"/>
        <v>KG</v>
      </c>
      <c r="D4718" s="7">
        <v>205</v>
      </c>
      <c r="E4718" s="3">
        <v>2</v>
      </c>
      <c r="F4718" s="3">
        <v>2</v>
      </c>
      <c r="G4718" t="s">
        <v>514</v>
      </c>
    </row>
    <row r="4719" spans="1:7" x14ac:dyDescent="0.25">
      <c r="A4719" s="1" t="str">
        <f>"6840"</f>
        <v>6840</v>
      </c>
      <c r="B4719" s="2" t="str">
        <f>"CALDA DE L. COND E COC QUEIM - CÓD.8.76899 (DOEHLER)P CARMIM"</f>
        <v>CALDA DE L. COND E COC QUEIM - CÓD.8.76899 (DOEHLER)P CARMIM</v>
      </c>
      <c r="C4719" s="2" t="str">
        <f t="shared" si="193"/>
        <v>KG</v>
      </c>
      <c r="D4719" s="7">
        <v>205</v>
      </c>
      <c r="E4719" s="3">
        <v>2</v>
      </c>
      <c r="F4719" s="3">
        <v>2</v>
      </c>
      <c r="G4719" t="s">
        <v>515</v>
      </c>
    </row>
    <row r="4720" spans="1:7" x14ac:dyDescent="0.25">
      <c r="A4720" s="1" t="str">
        <f>"6841"</f>
        <v>6841</v>
      </c>
      <c r="B4720" s="2" t="str">
        <f>"CALDA DE MAÇÃ CARAMELIZ - CÓD.PT.1444-05-A  (DOEHLER)P CARMI"</f>
        <v>CALDA DE MAÇÃ CARAMELIZ - CÓD.PT.1444-05-A  (DOEHLER)P CARMI</v>
      </c>
      <c r="C4720" s="2" t="str">
        <f t="shared" si="193"/>
        <v>KG</v>
      </c>
      <c r="D4720" s="7">
        <v>205</v>
      </c>
      <c r="E4720" s="3">
        <v>2</v>
      </c>
      <c r="F4720" s="3">
        <v>2</v>
      </c>
      <c r="G4720" t="s">
        <v>512</v>
      </c>
    </row>
    <row r="4721" spans="1:7" x14ac:dyDescent="0.25">
      <c r="A4721" s="1" t="str">
        <f>"6191"</f>
        <v>6191</v>
      </c>
      <c r="B4721" s="2" t="str">
        <f>"CALDA DE MARACUJA C/SEMENTES DUET COD.266467 - AGRANA"</f>
        <v>CALDA DE MARACUJA C/SEMENTES DUET COD.266467 - AGRANA</v>
      </c>
      <c r="C4721" s="2" t="str">
        <f t="shared" si="193"/>
        <v>KG</v>
      </c>
      <c r="D4721" s="7">
        <v>205</v>
      </c>
      <c r="E4721" s="3">
        <v>2</v>
      </c>
      <c r="F4721" s="3">
        <v>2</v>
      </c>
      <c r="G4721" t="s">
        <v>516</v>
      </c>
    </row>
    <row r="4722" spans="1:7" x14ac:dyDescent="0.25">
      <c r="A4722" s="1" t="str">
        <f>"6005"</f>
        <v>6005</v>
      </c>
      <c r="B4722" s="2" t="str">
        <f>"CALDA DE MARACUJÁ SEM SEMENTES  COD.236120 -  AGRANA"</f>
        <v>CALDA DE MARACUJÁ SEM SEMENTES  COD.236120 -  AGRANA</v>
      </c>
      <c r="C4722" s="2" t="str">
        <f t="shared" si="193"/>
        <v>KG</v>
      </c>
      <c r="D4722" s="7">
        <v>205</v>
      </c>
      <c r="E4722" s="3">
        <v>2</v>
      </c>
      <c r="F4722" s="3">
        <v>2</v>
      </c>
      <c r="G4722" t="s">
        <v>515</v>
      </c>
    </row>
    <row r="4723" spans="1:7" x14ac:dyDescent="0.25">
      <c r="A4723" s="1" t="str">
        <f>"6113"</f>
        <v>6113</v>
      </c>
      <c r="B4723" s="2" t="str">
        <f>"CALDA DE MORANGO 0% AÇÚCAR - E GEL MOR GZ (BORSATO) - GREGO"</f>
        <v>CALDA DE MORANGO 0% AÇÚCAR - E GEL MOR GZ (BORSATO) - GREGO</v>
      </c>
      <c r="C4723" s="2" t="str">
        <f t="shared" si="193"/>
        <v>KG</v>
      </c>
      <c r="D4723" s="7">
        <v>205</v>
      </c>
      <c r="E4723" s="3">
        <v>2</v>
      </c>
      <c r="F4723" s="3">
        <v>2</v>
      </c>
      <c r="G4723" t="s">
        <v>514</v>
      </c>
    </row>
    <row r="4724" spans="1:7" x14ac:dyDescent="0.25">
      <c r="A4724" s="1" t="str">
        <f>"523365"</f>
        <v>523365</v>
      </c>
      <c r="B4724" s="2" t="str">
        <f>"CALDA DE MORANGO 1000GR"</f>
        <v>CALDA DE MORANGO 1000GR</v>
      </c>
      <c r="C4724" s="2" t="str">
        <f>"UN"</f>
        <v>UN</v>
      </c>
      <c r="D4724" s="7">
        <v>99999</v>
      </c>
      <c r="E4724" s="3">
        <v>99</v>
      </c>
      <c r="F4724" s="3">
        <v>99</v>
      </c>
      <c r="G4724" t="s">
        <v>512</v>
      </c>
    </row>
    <row r="4725" spans="1:7" x14ac:dyDescent="0.25">
      <c r="A4725" s="1" t="str">
        <f>"4149"</f>
        <v>4149</v>
      </c>
      <c r="B4725" s="2" t="str">
        <f>"CALDA DE MORANGO CÓD. AMOR 9CD2 CR"</f>
        <v>CALDA DE MORANGO CÓD. AMOR 9CD2 CR</v>
      </c>
      <c r="C4725" s="2" t="str">
        <f>"KG"</f>
        <v>KG</v>
      </c>
      <c r="D4725" s="7">
        <v>219</v>
      </c>
      <c r="E4725" s="3">
        <v>2</v>
      </c>
      <c r="F4725" s="3">
        <v>2</v>
      </c>
      <c r="G4725" t="s">
        <v>513</v>
      </c>
    </row>
    <row r="4726" spans="1:7" x14ac:dyDescent="0.25">
      <c r="A4726" s="1" t="str">
        <f>"6112"</f>
        <v>6112</v>
      </c>
      <c r="B4726" s="2" t="str">
        <f>"CALDA DE MORANGO-CÓD.B GEL- MOR GM (BORSATO)"</f>
        <v>CALDA DE MORANGO-CÓD.B GEL- MOR GM (BORSATO)</v>
      </c>
      <c r="C4726" s="2" t="str">
        <f>"KG"</f>
        <v>KG</v>
      </c>
      <c r="D4726" s="7">
        <v>205</v>
      </c>
      <c r="E4726" s="3">
        <v>2</v>
      </c>
      <c r="F4726" s="3">
        <v>2</v>
      </c>
      <c r="G4726" t="s">
        <v>514</v>
      </c>
    </row>
    <row r="4727" spans="1:7" x14ac:dyDescent="0.25">
      <c r="A4727" s="1" t="str">
        <f>"AG18062000"</f>
        <v>AG18062000</v>
      </c>
      <c r="B4727" s="2" t="str">
        <f>"CALDA SABOR CHOCOLATE"</f>
        <v>CALDA SABOR CHOCOLATE</v>
      </c>
      <c r="C4727" s="2" t="str">
        <f t="shared" ref="C4727:C4766" si="194">"UN"</f>
        <v>UN</v>
      </c>
      <c r="D4727" s="7">
        <v>99999</v>
      </c>
      <c r="E4727" s="3">
        <v>99</v>
      </c>
      <c r="F4727" s="3">
        <v>99</v>
      </c>
      <c r="G4727" t="s">
        <v>514</v>
      </c>
    </row>
    <row r="4728" spans="1:7" x14ac:dyDescent="0.25">
      <c r="A4728" s="1" t="str">
        <f>"517076"</f>
        <v>517076</v>
      </c>
      <c r="B4728" s="2" t="str">
        <f>"CALDEIRA 9 ATA PRODUÇÃO 1300KG/H"</f>
        <v>CALDEIRA 9 ATA PRODUÇÃO 1300KG/H</v>
      </c>
      <c r="C4728" s="2" t="str">
        <f t="shared" si="194"/>
        <v>UN</v>
      </c>
      <c r="D4728" s="7">
        <v>1001</v>
      </c>
      <c r="E4728" s="3">
        <v>13</v>
      </c>
      <c r="F4728" s="3">
        <v>13</v>
      </c>
      <c r="G4728" t="s">
        <v>512</v>
      </c>
    </row>
    <row r="4729" spans="1:7" x14ac:dyDescent="0.25">
      <c r="A4729" s="1" t="str">
        <f>"515327"</f>
        <v>515327</v>
      </c>
      <c r="B4729" s="2" t="str">
        <f>"CALDEIRA A LENHA HORIZONTAL 500KG/HORA"</f>
        <v>CALDEIRA A LENHA HORIZONTAL 500KG/HORA</v>
      </c>
      <c r="C4729" s="2" t="str">
        <f t="shared" si="194"/>
        <v>UN</v>
      </c>
      <c r="D4729" s="7">
        <v>1300</v>
      </c>
      <c r="E4729" s="3">
        <v>13</v>
      </c>
      <c r="F4729" s="3">
        <v>13</v>
      </c>
      <c r="G4729" t="s">
        <v>513</v>
      </c>
    </row>
    <row r="4730" spans="1:7" x14ac:dyDescent="0.25">
      <c r="A4730" s="1" t="str">
        <f>"517075"</f>
        <v>517075</v>
      </c>
      <c r="B4730" s="2" t="str">
        <f>"CALDEIRA E.I.T-300/M2 PRODUÇÃO VAPOR 300KG/H 10,54 KGF/CM2"</f>
        <v>CALDEIRA E.I.T-300/M2 PRODUÇÃO VAPOR 300KG/H 10,54 KGF/CM2</v>
      </c>
      <c r="C4730" s="2" t="str">
        <f t="shared" si="194"/>
        <v>UN</v>
      </c>
      <c r="D4730" s="7">
        <v>1001</v>
      </c>
      <c r="E4730" s="3">
        <v>13</v>
      </c>
      <c r="F4730" s="3">
        <v>13</v>
      </c>
      <c r="G4730" t="s">
        <v>514</v>
      </c>
    </row>
    <row r="4731" spans="1:7" x14ac:dyDescent="0.25">
      <c r="A4731" s="1" t="str">
        <f>"514342"</f>
        <v>514342</v>
      </c>
      <c r="B4731" s="2" t="str">
        <f>"CALDEIRA USADA EIT-6500/H2"</f>
        <v>CALDEIRA USADA EIT-6500/H2</v>
      </c>
      <c r="C4731" s="2" t="str">
        <f t="shared" si="194"/>
        <v>UN</v>
      </c>
      <c r="D4731" s="7">
        <v>1300</v>
      </c>
      <c r="E4731" s="3">
        <v>13</v>
      </c>
      <c r="F4731" s="3">
        <v>13</v>
      </c>
      <c r="G4731" t="s">
        <v>514</v>
      </c>
    </row>
    <row r="4732" spans="1:7" x14ac:dyDescent="0.25">
      <c r="A4732" s="1" t="str">
        <f>"509755"</f>
        <v>509755</v>
      </c>
      <c r="B4732" s="2" t="str">
        <f>"CALDEIRAO"</f>
        <v>CALDEIRAO</v>
      </c>
      <c r="C4732" s="2" t="str">
        <f t="shared" si="194"/>
        <v>UN</v>
      </c>
      <c r="D4732" s="7">
        <v>402</v>
      </c>
      <c r="E4732" s="3">
        <v>4</v>
      </c>
      <c r="F4732" s="3">
        <v>4</v>
      </c>
      <c r="G4732" t="s">
        <v>514</v>
      </c>
    </row>
    <row r="4733" spans="1:7" x14ac:dyDescent="0.25">
      <c r="A4733" s="1" t="str">
        <f>"515117"</f>
        <v>515117</v>
      </c>
      <c r="B4733" s="2" t="str">
        <f>"CALDO DE KOLLE DE ALUMINIO"</f>
        <v>CALDO DE KOLLE DE ALUMINIO</v>
      </c>
      <c r="C4733" s="2" t="str">
        <f t="shared" si="194"/>
        <v>UN</v>
      </c>
      <c r="D4733" s="7">
        <v>406</v>
      </c>
      <c r="E4733" s="3">
        <v>4</v>
      </c>
      <c r="F4733" s="3">
        <v>4</v>
      </c>
      <c r="G4733" t="s">
        <v>513</v>
      </c>
    </row>
    <row r="4734" spans="1:7" x14ac:dyDescent="0.25">
      <c r="A4734" s="1" t="str">
        <f>"514932"</f>
        <v>514932</v>
      </c>
      <c r="B4734" s="2" t="str">
        <f>"CALDO EC MEDIUM"</f>
        <v>CALDO EC MEDIUM</v>
      </c>
      <c r="C4734" s="2" t="str">
        <f t="shared" si="194"/>
        <v>UN</v>
      </c>
      <c r="D4734" s="7">
        <v>406</v>
      </c>
      <c r="E4734" s="3">
        <v>4</v>
      </c>
      <c r="F4734" s="3">
        <v>4</v>
      </c>
      <c r="G4734" t="s">
        <v>512</v>
      </c>
    </row>
    <row r="4735" spans="1:7" x14ac:dyDescent="0.25">
      <c r="A4735" s="1" t="str">
        <f>"520611"</f>
        <v>520611</v>
      </c>
      <c r="B4735" s="2" t="str">
        <f>"CALDO ENRIQUECIMENTO PETRIFILM SALX 3M COD HEXIS SEB500"</f>
        <v>CALDO ENRIQUECIMENTO PETRIFILM SALX 3M COD HEXIS SEB500</v>
      </c>
      <c r="C4735" s="2" t="str">
        <f t="shared" si="194"/>
        <v>UN</v>
      </c>
      <c r="D4735" s="7">
        <v>406</v>
      </c>
      <c r="E4735" s="3">
        <v>4</v>
      </c>
      <c r="F4735" s="3">
        <v>4</v>
      </c>
      <c r="G4735" t="s">
        <v>513</v>
      </c>
    </row>
    <row r="4736" spans="1:7" x14ac:dyDescent="0.25">
      <c r="A4736" s="1" t="str">
        <f>"510865"</f>
        <v>510865</v>
      </c>
      <c r="B4736" s="2" t="str">
        <f>"CALDO KNORR"</f>
        <v>CALDO KNORR</v>
      </c>
      <c r="C4736" s="2" t="str">
        <f t="shared" si="194"/>
        <v>UN</v>
      </c>
      <c r="D4736" s="7">
        <v>401</v>
      </c>
      <c r="E4736" s="3">
        <v>4</v>
      </c>
      <c r="F4736" s="3">
        <v>4</v>
      </c>
      <c r="G4736" t="s">
        <v>514</v>
      </c>
    </row>
    <row r="4737" spans="1:7" x14ac:dyDescent="0.25">
      <c r="A4737" s="1" t="str">
        <f>"515113"</f>
        <v>515113</v>
      </c>
      <c r="B4737" s="2" t="str">
        <f>"CALDO LAURYL SULFATE"</f>
        <v>CALDO LAURYL SULFATE</v>
      </c>
      <c r="C4737" s="2" t="str">
        <f t="shared" si="194"/>
        <v>UN</v>
      </c>
      <c r="D4737" s="7">
        <v>406</v>
      </c>
      <c r="E4737" s="3">
        <v>4</v>
      </c>
      <c r="F4737" s="3">
        <v>4</v>
      </c>
      <c r="G4737" t="s">
        <v>514</v>
      </c>
    </row>
    <row r="4738" spans="1:7" x14ac:dyDescent="0.25">
      <c r="A4738" s="1" t="str">
        <f>"517309"</f>
        <v>517309</v>
      </c>
      <c r="B4738" s="2" t="str">
        <f>"CALDO MRS LACTOBACILLUS 500G"</f>
        <v>CALDO MRS LACTOBACILLUS 500G</v>
      </c>
      <c r="C4738" s="2" t="str">
        <f t="shared" si="194"/>
        <v>UN</v>
      </c>
      <c r="D4738" s="7">
        <v>406</v>
      </c>
      <c r="E4738" s="3">
        <v>4</v>
      </c>
      <c r="F4738" s="3">
        <v>4</v>
      </c>
      <c r="G4738" t="s">
        <v>514</v>
      </c>
    </row>
    <row r="4739" spans="1:7" x14ac:dyDescent="0.25">
      <c r="A4739" s="1" t="str">
        <f>"515116"</f>
        <v>515116</v>
      </c>
      <c r="B4739" s="2" t="str">
        <f>"CALDO VERDE BRILHANTE 2%"</f>
        <v>CALDO VERDE BRILHANTE 2%</v>
      </c>
      <c r="C4739" s="2" t="str">
        <f t="shared" si="194"/>
        <v>UN</v>
      </c>
      <c r="D4739" s="7">
        <v>406</v>
      </c>
      <c r="E4739" s="3">
        <v>4</v>
      </c>
      <c r="F4739" s="3">
        <v>4</v>
      </c>
      <c r="G4739" t="s">
        <v>513</v>
      </c>
    </row>
    <row r="4740" spans="1:7" x14ac:dyDescent="0.25">
      <c r="A4740" s="1" t="str">
        <f>"512763"</f>
        <v>512763</v>
      </c>
      <c r="B4740" s="2" t="str">
        <f>"CALENDARIO 14 LAM 21X15CM COUCHE 210GR 4X4 CORES VERNIZ TOTA"</f>
        <v>CALENDARIO 14 LAM 21X15CM COUCHE 210GR 4X4 CORES VERNIZ TOTA</v>
      </c>
      <c r="C4740" s="2" t="str">
        <f t="shared" si="194"/>
        <v>UN</v>
      </c>
      <c r="D4740" s="7">
        <v>401</v>
      </c>
      <c r="E4740" s="3">
        <v>4</v>
      </c>
      <c r="F4740" s="3">
        <v>4</v>
      </c>
      <c r="G4740" t="s">
        <v>513</v>
      </c>
    </row>
    <row r="4741" spans="1:7" x14ac:dyDescent="0.25">
      <c r="A4741" s="1" t="str">
        <f>"523878"</f>
        <v>523878</v>
      </c>
      <c r="B4741" s="2" t="str">
        <f>"CALENDARIO BRINDE"</f>
        <v>CALENDARIO BRINDE</v>
      </c>
      <c r="C4741" s="2" t="str">
        <f t="shared" si="194"/>
        <v>UN</v>
      </c>
      <c r="D4741" s="7">
        <v>99999</v>
      </c>
      <c r="E4741" s="3">
        <v>99</v>
      </c>
      <c r="F4741" s="3">
        <v>99</v>
      </c>
      <c r="G4741" t="s">
        <v>513</v>
      </c>
    </row>
    <row r="4742" spans="1:7" x14ac:dyDescent="0.25">
      <c r="A4742" s="1" t="str">
        <f>"509402"</f>
        <v>509402</v>
      </c>
      <c r="B4742" s="2" t="str">
        <f>"CALHA"</f>
        <v>CALHA</v>
      </c>
      <c r="C4742" s="2" t="str">
        <f t="shared" si="194"/>
        <v>UN</v>
      </c>
      <c r="D4742" s="7">
        <v>917</v>
      </c>
      <c r="E4742" s="3">
        <v>11</v>
      </c>
      <c r="F4742" s="3">
        <v>11</v>
      </c>
      <c r="G4742" t="s">
        <v>512</v>
      </c>
    </row>
    <row r="4743" spans="1:7" x14ac:dyDescent="0.25">
      <c r="A4743" s="1" t="str">
        <f>"509016"</f>
        <v>509016</v>
      </c>
      <c r="B4743" s="2" t="str">
        <f>"CALHA 150X200X75X40X15 CHAPA 2MM PRETA"</f>
        <v>CALHA 150X200X75X40X15 CHAPA 2MM PRETA</v>
      </c>
      <c r="C4743" s="2" t="str">
        <f t="shared" si="194"/>
        <v>UN</v>
      </c>
      <c r="D4743" s="7">
        <v>917</v>
      </c>
      <c r="E4743" s="3">
        <v>11</v>
      </c>
      <c r="F4743" s="3">
        <v>11</v>
      </c>
      <c r="G4743" t="s">
        <v>513</v>
      </c>
    </row>
    <row r="4744" spans="1:7" x14ac:dyDescent="0.25">
      <c r="A4744" s="1" t="str">
        <f>"506948"</f>
        <v>506948</v>
      </c>
      <c r="B4744" s="2" t="str">
        <f>"CALHA 200X200X155X1500X20 CHAPA24"</f>
        <v>CALHA 200X200X155X1500X20 CHAPA24</v>
      </c>
      <c r="C4744" s="2" t="str">
        <f t="shared" si="194"/>
        <v>UN</v>
      </c>
      <c r="D4744" s="7">
        <v>803</v>
      </c>
      <c r="E4744" s="3">
        <v>10</v>
      </c>
      <c r="F4744" s="3">
        <v>10</v>
      </c>
      <c r="G4744" t="s">
        <v>514</v>
      </c>
    </row>
    <row r="4745" spans="1:7" x14ac:dyDescent="0.25">
      <c r="A4745" s="1" t="str">
        <f>"525484"</f>
        <v>525484</v>
      </c>
      <c r="B4745" s="2" t="str">
        <f>"CALHA 50"</f>
        <v>CALHA 50</v>
      </c>
      <c r="C4745" s="2" t="str">
        <f t="shared" si="194"/>
        <v>UN</v>
      </c>
      <c r="D4745" s="7">
        <v>917</v>
      </c>
      <c r="E4745" s="3">
        <v>10</v>
      </c>
      <c r="F4745" s="3">
        <v>10</v>
      </c>
      <c r="G4745" t="s">
        <v>515</v>
      </c>
    </row>
    <row r="4746" spans="1:7" x14ac:dyDescent="0.25">
      <c r="A4746" s="1" t="str">
        <f>"521503"</f>
        <v>521503</v>
      </c>
      <c r="B4746" s="2" t="str">
        <f>"CALHA 8 TOMADAS 10A PRETO PADRÃO NOVO"</f>
        <v>CALHA 8 TOMADAS 10A PRETO PADRÃO NOVO</v>
      </c>
      <c r="C4746" s="2" t="str">
        <f t="shared" si="194"/>
        <v>UN</v>
      </c>
      <c r="D4746" s="7">
        <v>811</v>
      </c>
      <c r="E4746" s="3">
        <v>8</v>
      </c>
      <c r="F4746" s="3">
        <v>8</v>
      </c>
      <c r="G4746" t="s">
        <v>512</v>
      </c>
    </row>
    <row r="4747" spans="1:7" x14ac:dyDescent="0.25">
      <c r="A4747" s="1" t="str">
        <f>"525322"</f>
        <v>525322</v>
      </c>
      <c r="B4747" s="2" t="str">
        <f>"CALHA ARAM. AÇO INOX 400X100MM FIO 1/4 L=3000MM"</f>
        <v>CALHA ARAM. AÇO INOX 400X100MM FIO 1/4 L=3000MM</v>
      </c>
      <c r="C4747" s="2" t="str">
        <f t="shared" si="194"/>
        <v>UN</v>
      </c>
      <c r="D4747" s="7">
        <v>811</v>
      </c>
      <c r="E4747" s="3">
        <v>8</v>
      </c>
      <c r="F4747" s="3">
        <v>8</v>
      </c>
      <c r="G4747" t="s">
        <v>516</v>
      </c>
    </row>
    <row r="4748" spans="1:7" x14ac:dyDescent="0.25">
      <c r="A4748" s="1" t="str">
        <f>"524953"</f>
        <v>524953</v>
      </c>
      <c r="B4748" s="2" t="str">
        <f>"CALHA ARAM. L. A.I. 90° 200X50MM L=3000MM"</f>
        <v>CALHA ARAM. L. A.I. 90° 200X50MM L=3000MM</v>
      </c>
      <c r="C4748" s="2" t="str">
        <f t="shared" si="194"/>
        <v>UN</v>
      </c>
      <c r="D4748" s="7">
        <v>811</v>
      </c>
      <c r="E4748" s="3">
        <v>10</v>
      </c>
      <c r="F4748" s="3">
        <v>10</v>
      </c>
      <c r="G4748" t="s">
        <v>515</v>
      </c>
    </row>
    <row r="4749" spans="1:7" x14ac:dyDescent="0.25">
      <c r="A4749" s="1" t="str">
        <f>"521971"</f>
        <v>521971</v>
      </c>
      <c r="B4749" s="2" t="str">
        <f>"CALHA ARAM. L. AI DC 100X100MM L=3000MM"</f>
        <v>CALHA ARAM. L. AI DC 100X100MM L=3000MM</v>
      </c>
      <c r="C4749" s="2" t="str">
        <f t="shared" si="194"/>
        <v>UN</v>
      </c>
      <c r="D4749" s="7">
        <v>811</v>
      </c>
      <c r="E4749" s="3">
        <v>8</v>
      </c>
      <c r="F4749" s="3">
        <v>8</v>
      </c>
      <c r="G4749" t="s">
        <v>514</v>
      </c>
    </row>
    <row r="4750" spans="1:7" x14ac:dyDescent="0.25">
      <c r="A4750" s="1" t="str">
        <f>"521457"</f>
        <v>521457</v>
      </c>
      <c r="B4750" s="2" t="str">
        <f>"CALHA ARAM. L. AI DC 100X45MM L=3000MM"</f>
        <v>CALHA ARAM. L. AI DC 100X45MM L=3000MM</v>
      </c>
      <c r="C4750" s="2" t="str">
        <f t="shared" si="194"/>
        <v>UN</v>
      </c>
      <c r="D4750" s="7">
        <v>811</v>
      </c>
      <c r="E4750" s="3">
        <v>8</v>
      </c>
      <c r="F4750" s="3">
        <v>8</v>
      </c>
      <c r="G4750" t="s">
        <v>512</v>
      </c>
    </row>
    <row r="4751" spans="1:7" x14ac:dyDescent="0.25">
      <c r="A4751" s="1" t="str">
        <f>"521207"</f>
        <v>521207</v>
      </c>
      <c r="B4751" s="2" t="str">
        <f>"CALHA ARAM. L. AI DC 100X50MM L-3000MM"</f>
        <v>CALHA ARAM. L. AI DC 100X50MM L-3000MM</v>
      </c>
      <c r="C4751" s="2" t="str">
        <f t="shared" si="194"/>
        <v>UN</v>
      </c>
      <c r="D4751" s="7">
        <v>811</v>
      </c>
      <c r="E4751" s="3">
        <v>8</v>
      </c>
      <c r="F4751" s="3">
        <v>8</v>
      </c>
      <c r="G4751" t="s">
        <v>513</v>
      </c>
    </row>
    <row r="4752" spans="1:7" x14ac:dyDescent="0.25">
      <c r="A4752" s="1" t="str">
        <f>"521455"</f>
        <v>521455</v>
      </c>
      <c r="B4752" s="2" t="str">
        <f>"CALHA ARAM. L. AI DC 200X100MM L=3000MM"</f>
        <v>CALHA ARAM. L. AI DC 200X100MM L=3000MM</v>
      </c>
      <c r="C4752" s="2" t="str">
        <f t="shared" si="194"/>
        <v>UN</v>
      </c>
      <c r="D4752" s="7">
        <v>811</v>
      </c>
      <c r="E4752" s="3">
        <v>8</v>
      </c>
      <c r="F4752" s="3">
        <v>8</v>
      </c>
      <c r="G4752" t="s">
        <v>514</v>
      </c>
    </row>
    <row r="4753" spans="1:7" x14ac:dyDescent="0.25">
      <c r="A4753" s="1" t="str">
        <f>"522644"</f>
        <v>522644</v>
      </c>
      <c r="B4753" s="2" t="str">
        <f>"CALHA ARAM. L. AI DC 400X100MM L=3000MM"</f>
        <v>CALHA ARAM. L. AI DC 400X100MM L=3000MM</v>
      </c>
      <c r="C4753" s="2" t="str">
        <f t="shared" si="194"/>
        <v>UN</v>
      </c>
      <c r="D4753" s="7">
        <v>811</v>
      </c>
      <c r="E4753" s="3">
        <v>8</v>
      </c>
      <c r="F4753" s="3">
        <v>8</v>
      </c>
      <c r="G4753" t="s">
        <v>514</v>
      </c>
    </row>
    <row r="4754" spans="1:7" x14ac:dyDescent="0.25">
      <c r="A4754" s="1" t="str">
        <f>"521456"</f>
        <v>521456</v>
      </c>
      <c r="B4754" s="2" t="str">
        <f>"CALHA ARAM. L. AI DC 50X50MM L=3000MM"</f>
        <v>CALHA ARAM. L. AI DC 50X50MM L=3000MM</v>
      </c>
      <c r="C4754" s="2" t="str">
        <f t="shared" si="194"/>
        <v>UN</v>
      </c>
      <c r="D4754" s="7">
        <v>811</v>
      </c>
      <c r="E4754" s="3">
        <v>8</v>
      </c>
      <c r="F4754" s="3">
        <v>8</v>
      </c>
      <c r="G4754" t="s">
        <v>512</v>
      </c>
    </row>
    <row r="4755" spans="1:7" x14ac:dyDescent="0.25">
      <c r="A4755" s="1" t="str">
        <f>"522820"</f>
        <v>522820</v>
      </c>
      <c r="B4755" s="2" t="str">
        <f>"CALHA ARAM. L. AI. DC 30X30MM L=3000MM"</f>
        <v>CALHA ARAM. L. AI. DC 30X30MM L=3000MM</v>
      </c>
      <c r="C4755" s="2" t="str">
        <f t="shared" si="194"/>
        <v>UN</v>
      </c>
      <c r="D4755" s="7">
        <v>811</v>
      </c>
      <c r="E4755" s="3">
        <v>10</v>
      </c>
      <c r="F4755" s="3">
        <v>10</v>
      </c>
      <c r="G4755" t="s">
        <v>513</v>
      </c>
    </row>
    <row r="4756" spans="1:7" x14ac:dyDescent="0.25">
      <c r="A4756" s="1" t="str">
        <f>"521208"</f>
        <v>521208</v>
      </c>
      <c r="B4756" s="2" t="str">
        <f>"CALHA ARAM. L. AL DC 200X10MM L-3000MM"</f>
        <v>CALHA ARAM. L. AL DC 200X10MM L-3000MM</v>
      </c>
      <c r="C4756" s="2" t="str">
        <f t="shared" si="194"/>
        <v>UN</v>
      </c>
      <c r="D4756" s="7">
        <v>811</v>
      </c>
      <c r="E4756" s="3">
        <v>8</v>
      </c>
      <c r="F4756" s="3">
        <v>8</v>
      </c>
      <c r="G4756" t="s">
        <v>514</v>
      </c>
    </row>
    <row r="4757" spans="1:7" x14ac:dyDescent="0.25">
      <c r="A4757" s="1" t="str">
        <f>"524754"</f>
        <v>524754</v>
      </c>
      <c r="B4757" s="2" t="str">
        <f>"CALHA ARAM. L. AL DC 200X50MM L-3000MM"</f>
        <v>CALHA ARAM. L. AL DC 200X50MM L-3000MM</v>
      </c>
      <c r="C4757" s="2" t="str">
        <f t="shared" si="194"/>
        <v>UN</v>
      </c>
      <c r="D4757" s="7">
        <v>811</v>
      </c>
      <c r="E4757" s="3">
        <v>8</v>
      </c>
      <c r="F4757" s="3">
        <v>8</v>
      </c>
      <c r="G4757" t="s">
        <v>514</v>
      </c>
    </row>
    <row r="4758" spans="1:7" x14ac:dyDescent="0.25">
      <c r="A4758" s="1" t="str">
        <f>"521206"</f>
        <v>521206</v>
      </c>
      <c r="B4758" s="2" t="str">
        <f>"CALHA ARAM. L. AL DC 50X50MM L-3000MM"</f>
        <v>CALHA ARAM. L. AL DC 50X50MM L-3000MM</v>
      </c>
      <c r="C4758" s="2" t="str">
        <f t="shared" si="194"/>
        <v>UN</v>
      </c>
      <c r="D4758" s="7">
        <v>811</v>
      </c>
      <c r="E4758" s="3">
        <v>8</v>
      </c>
      <c r="F4758" s="3">
        <v>8</v>
      </c>
      <c r="G4758" t="s">
        <v>514</v>
      </c>
    </row>
    <row r="4759" spans="1:7" x14ac:dyDescent="0.25">
      <c r="A4759" s="1" t="str">
        <f>"524813"</f>
        <v>524813</v>
      </c>
      <c r="B4759" s="2" t="str">
        <f>"CALHA ARAM. L. GF 100X100MM L=3000MM"</f>
        <v>CALHA ARAM. L. GF 100X100MM L=3000MM</v>
      </c>
      <c r="C4759" s="2" t="str">
        <f t="shared" si="194"/>
        <v>UN</v>
      </c>
      <c r="D4759" s="7">
        <v>811</v>
      </c>
      <c r="E4759" s="3">
        <v>10</v>
      </c>
      <c r="F4759" s="3">
        <v>10</v>
      </c>
      <c r="G4759" t="s">
        <v>513</v>
      </c>
    </row>
    <row r="4760" spans="1:7" x14ac:dyDescent="0.25">
      <c r="A4760" s="1" t="str">
        <f>"521004"</f>
        <v>521004</v>
      </c>
      <c r="B4760" s="2" t="str">
        <f>"CALHA ARAM. L. GF 100X50MM L=3000MM"</f>
        <v>CALHA ARAM. L. GF 100X50MM L=3000MM</v>
      </c>
      <c r="C4760" s="2" t="str">
        <f t="shared" si="194"/>
        <v>UN</v>
      </c>
      <c r="D4760" s="7">
        <v>811</v>
      </c>
      <c r="E4760" s="3">
        <v>8</v>
      </c>
      <c r="F4760" s="3">
        <v>8</v>
      </c>
      <c r="G4760" t="s">
        <v>512</v>
      </c>
    </row>
    <row r="4761" spans="1:7" x14ac:dyDescent="0.25">
      <c r="A4761" s="1" t="str">
        <f>"521289"</f>
        <v>521289</v>
      </c>
      <c r="B4761" s="2" t="str">
        <f>"CALHA ARAM. L. GF 200X100 MM L= 3000MM"</f>
        <v>CALHA ARAM. L. GF 200X100 MM L= 3000MM</v>
      </c>
      <c r="C4761" s="2" t="str">
        <f t="shared" si="194"/>
        <v>UN</v>
      </c>
      <c r="D4761" s="7">
        <v>811</v>
      </c>
      <c r="E4761" s="3">
        <v>8</v>
      </c>
      <c r="F4761" s="3">
        <v>8</v>
      </c>
      <c r="G4761" t="s">
        <v>513</v>
      </c>
    </row>
    <row r="4762" spans="1:7" x14ac:dyDescent="0.25">
      <c r="A4762" s="1" t="str">
        <f>"527059"</f>
        <v>527059</v>
      </c>
      <c r="B4762" s="2" t="str">
        <f>"CALHA ARAM. L. GF 30X30MM L=3000MM"</f>
        <v>CALHA ARAM. L. GF 30X30MM L=3000MM</v>
      </c>
      <c r="C4762" s="2" t="str">
        <f t="shared" si="194"/>
        <v>UN</v>
      </c>
      <c r="D4762" s="7">
        <v>811</v>
      </c>
      <c r="E4762" s="3">
        <v>8</v>
      </c>
      <c r="F4762" s="3">
        <v>8</v>
      </c>
      <c r="G4762" t="s">
        <v>514</v>
      </c>
    </row>
    <row r="4763" spans="1:7" x14ac:dyDescent="0.25">
      <c r="A4763" s="1" t="str">
        <f>"520998"</f>
        <v>520998</v>
      </c>
      <c r="B4763" s="2" t="str">
        <f>"CALHA ARAM. L. GF 50X50MM L=3000MM"</f>
        <v>CALHA ARAM. L. GF 50X50MM L=3000MM</v>
      </c>
      <c r="C4763" s="2" t="str">
        <f t="shared" si="194"/>
        <v>UN</v>
      </c>
      <c r="D4763" s="7">
        <v>811</v>
      </c>
      <c r="E4763" s="3">
        <v>8</v>
      </c>
      <c r="F4763" s="3">
        <v>8</v>
      </c>
      <c r="G4763" t="s">
        <v>514</v>
      </c>
    </row>
    <row r="4764" spans="1:7" x14ac:dyDescent="0.25">
      <c r="A4764" s="1" t="str">
        <f>"526604"</f>
        <v>526604</v>
      </c>
      <c r="B4764" s="2" t="str">
        <f>"CALHA ARAM. L.GE 100X50MM L=3000MM"</f>
        <v>CALHA ARAM. L.GE 100X50MM L=3000MM</v>
      </c>
      <c r="C4764" s="2" t="str">
        <f t="shared" si="194"/>
        <v>UN</v>
      </c>
      <c r="D4764" s="7">
        <v>811</v>
      </c>
      <c r="E4764" s="3">
        <v>8</v>
      </c>
      <c r="F4764" s="3">
        <v>8</v>
      </c>
      <c r="G4764" t="s">
        <v>514</v>
      </c>
    </row>
    <row r="4765" spans="1:7" x14ac:dyDescent="0.25">
      <c r="A4765" s="1" t="str">
        <f>"526602"</f>
        <v>526602</v>
      </c>
      <c r="B4765" s="2" t="str">
        <f>"CALHA ARAM. L.GE 30X30MM L=3000MM"</f>
        <v>CALHA ARAM. L.GE 30X30MM L=3000MM</v>
      </c>
      <c r="C4765" s="2" t="str">
        <f t="shared" si="194"/>
        <v>UN</v>
      </c>
      <c r="D4765" s="7">
        <v>811</v>
      </c>
      <c r="E4765" s="3">
        <v>8</v>
      </c>
      <c r="F4765" s="3">
        <v>8</v>
      </c>
      <c r="G4765" t="s">
        <v>513</v>
      </c>
    </row>
    <row r="4766" spans="1:7" x14ac:dyDescent="0.25">
      <c r="A4766" s="1" t="str">
        <f>"526603"</f>
        <v>526603</v>
      </c>
      <c r="B4766" s="2" t="str">
        <f>"CALHA ARAM. L.GE 50X50MM L=3000MM"</f>
        <v>CALHA ARAM. L.GE 50X50MM L=3000MM</v>
      </c>
      <c r="C4766" s="2" t="str">
        <f t="shared" si="194"/>
        <v>UN</v>
      </c>
      <c r="D4766" s="7">
        <v>811</v>
      </c>
      <c r="E4766" s="3">
        <v>8</v>
      </c>
      <c r="F4766" s="3">
        <v>8</v>
      </c>
      <c r="G4766" t="s">
        <v>513</v>
      </c>
    </row>
    <row r="4767" spans="1:7" x14ac:dyDescent="0.25">
      <c r="A4767" s="1" t="str">
        <f>"520396"</f>
        <v>520396</v>
      </c>
      <c r="B4767" s="2" t="str">
        <f>"CALHA ARAMADA F.G. 100X50MM"</f>
        <v>CALHA ARAMADA F.G. 100X50MM</v>
      </c>
      <c r="C4767" s="2" t="str">
        <f>"MT"</f>
        <v>MT</v>
      </c>
      <c r="D4767" s="7">
        <v>602</v>
      </c>
      <c r="E4767" s="3">
        <v>8</v>
      </c>
      <c r="F4767" s="3">
        <v>8</v>
      </c>
      <c r="G4767" t="s">
        <v>513</v>
      </c>
    </row>
    <row r="4768" spans="1:7" x14ac:dyDescent="0.25">
      <c r="A4768" s="1" t="str">
        <f>"526230"</f>
        <v>526230</v>
      </c>
      <c r="B4768" s="2" t="str">
        <f>"CALHA ARAMADA GAL. 100X500MM"</f>
        <v>CALHA ARAMADA GAL. 100X500MM</v>
      </c>
      <c r="C4768" s="2" t="str">
        <f>"UN"</f>
        <v>UN</v>
      </c>
      <c r="D4768" s="7">
        <v>600</v>
      </c>
      <c r="E4768" s="3">
        <v>8</v>
      </c>
      <c r="F4768" s="3">
        <v>8</v>
      </c>
      <c r="G4768" t="s">
        <v>512</v>
      </c>
    </row>
    <row r="4769" spans="1:7" x14ac:dyDescent="0.25">
      <c r="A4769" s="1" t="str">
        <f>"525346"</f>
        <v>525346</v>
      </c>
      <c r="B4769" s="2" t="str">
        <f>"CALHA ARAMADA INOX 30X30"</f>
        <v>CALHA ARAMADA INOX 30X30</v>
      </c>
      <c r="C4769" s="2" t="str">
        <f>"UN"</f>
        <v>UN</v>
      </c>
      <c r="D4769" s="7">
        <v>600</v>
      </c>
      <c r="E4769" s="3">
        <v>8</v>
      </c>
      <c r="F4769" s="3">
        <v>8</v>
      </c>
      <c r="G4769" t="s">
        <v>513</v>
      </c>
    </row>
    <row r="4770" spans="1:7" x14ac:dyDescent="0.25">
      <c r="A4770" s="1" t="str">
        <f>"520437"</f>
        <v>520437</v>
      </c>
      <c r="B4770" s="2" t="str">
        <f>"CALHA ARAMADA SALF 200X100MM"</f>
        <v>CALHA ARAMADA SALF 200X100MM</v>
      </c>
      <c r="C4770" s="2" t="str">
        <f>"MT"</f>
        <v>MT</v>
      </c>
      <c r="D4770" s="7">
        <v>602</v>
      </c>
      <c r="E4770" s="3">
        <v>8</v>
      </c>
      <c r="F4770" s="3">
        <v>8</v>
      </c>
      <c r="G4770" t="s">
        <v>514</v>
      </c>
    </row>
    <row r="4771" spans="1:7" x14ac:dyDescent="0.25">
      <c r="A4771" s="1" t="str">
        <f>"519303"</f>
        <v>519303</v>
      </c>
      <c r="B4771" s="2" t="str">
        <f>"CALHA ARAMADA SALF 50X50MM L=3000MM"</f>
        <v>CALHA ARAMADA SALF 50X50MM L=3000MM</v>
      </c>
      <c r="C4771" s="2" t="str">
        <f>"MT"</f>
        <v>MT</v>
      </c>
      <c r="D4771" s="7">
        <v>602</v>
      </c>
      <c r="E4771" s="3">
        <v>8</v>
      </c>
      <c r="F4771" s="3">
        <v>8</v>
      </c>
      <c r="G4771" t="s">
        <v>515</v>
      </c>
    </row>
    <row r="4772" spans="1:7" x14ac:dyDescent="0.25">
      <c r="A4772" s="1" t="str">
        <f>"508137"</f>
        <v>508137</v>
      </c>
      <c r="B4772" s="2" t="str">
        <f>"CALHA COM 600MM CH24"</f>
        <v>CALHA COM 600MM CH24</v>
      </c>
      <c r="C4772" s="2" t="str">
        <f t="shared" ref="C4772:C4789" si="195">"UN"</f>
        <v>UN</v>
      </c>
      <c r="D4772" s="7">
        <v>803</v>
      </c>
      <c r="E4772" s="3">
        <v>10</v>
      </c>
      <c r="F4772" s="3">
        <v>10</v>
      </c>
      <c r="G4772" t="s">
        <v>512</v>
      </c>
    </row>
    <row r="4773" spans="1:7" x14ac:dyDescent="0.25">
      <c r="A4773" s="1" t="str">
        <f>"510210"</f>
        <v>510210</v>
      </c>
      <c r="B4773" s="2" t="str">
        <f>"CALHA CORTE 22"</f>
        <v>CALHA CORTE 22</v>
      </c>
      <c r="C4773" s="2" t="str">
        <f t="shared" si="195"/>
        <v>UN</v>
      </c>
      <c r="D4773" s="7">
        <v>803</v>
      </c>
      <c r="E4773" s="3">
        <v>10</v>
      </c>
      <c r="F4773" s="3">
        <v>10</v>
      </c>
      <c r="G4773" t="s">
        <v>516</v>
      </c>
    </row>
    <row r="4774" spans="1:7" x14ac:dyDescent="0.25">
      <c r="A4774" s="1" t="str">
        <f>"510209"</f>
        <v>510209</v>
      </c>
      <c r="B4774" s="2" t="str">
        <f>"CALHA CORTE 24,5"</f>
        <v>CALHA CORTE 24,5</v>
      </c>
      <c r="C4774" s="2" t="str">
        <f t="shared" si="195"/>
        <v>UN</v>
      </c>
      <c r="D4774" s="7">
        <v>803</v>
      </c>
      <c r="E4774" s="3">
        <v>10</v>
      </c>
      <c r="F4774" s="3">
        <v>10</v>
      </c>
      <c r="G4774" t="s">
        <v>515</v>
      </c>
    </row>
    <row r="4775" spans="1:7" x14ac:dyDescent="0.25">
      <c r="A4775" s="1" t="str">
        <f>"511165"</f>
        <v>511165</v>
      </c>
      <c r="B4775" s="2" t="str">
        <f>"CALHA CORTE 345 - AZUL"</f>
        <v>CALHA CORTE 345 - AZUL</v>
      </c>
      <c r="C4775" s="2" t="str">
        <f t="shared" si="195"/>
        <v>UN</v>
      </c>
      <c r="D4775" s="7">
        <v>803</v>
      </c>
      <c r="E4775" s="3">
        <v>10</v>
      </c>
      <c r="F4775" s="3">
        <v>10</v>
      </c>
      <c r="G4775" t="s">
        <v>514</v>
      </c>
    </row>
    <row r="4776" spans="1:7" x14ac:dyDescent="0.25">
      <c r="A4776" s="1" t="str">
        <f>"510478"</f>
        <v>510478</v>
      </c>
      <c r="B4776" s="2" t="str">
        <f>"CALHA CORTE 40 AZUL"</f>
        <v>CALHA CORTE 40 AZUL</v>
      </c>
      <c r="C4776" s="2" t="str">
        <f t="shared" si="195"/>
        <v>UN</v>
      </c>
      <c r="D4776" s="7">
        <v>803</v>
      </c>
      <c r="E4776" s="3">
        <v>10</v>
      </c>
      <c r="F4776" s="3">
        <v>10</v>
      </c>
      <c r="G4776" t="s">
        <v>512</v>
      </c>
    </row>
    <row r="4777" spans="1:7" x14ac:dyDescent="0.25">
      <c r="A4777" s="1" t="str">
        <f>"510159"</f>
        <v>510159</v>
      </c>
      <c r="B4777" s="2" t="str">
        <f>"CALHA CORTE 48"</f>
        <v>CALHA CORTE 48</v>
      </c>
      <c r="C4777" s="2" t="str">
        <f t="shared" si="195"/>
        <v>UN</v>
      </c>
      <c r="D4777" s="7">
        <v>803</v>
      </c>
      <c r="E4777" s="3">
        <v>10</v>
      </c>
      <c r="F4777" s="3">
        <v>10</v>
      </c>
      <c r="G4777" t="s">
        <v>513</v>
      </c>
    </row>
    <row r="4778" spans="1:7" x14ac:dyDescent="0.25">
      <c r="A4778" s="1" t="str">
        <f>"510479"</f>
        <v>510479</v>
      </c>
      <c r="B4778" s="2" t="str">
        <f>"CALHA CORTE 50"</f>
        <v>CALHA CORTE 50</v>
      </c>
      <c r="C4778" s="2" t="str">
        <f t="shared" si="195"/>
        <v>UN</v>
      </c>
      <c r="D4778" s="7">
        <v>803</v>
      </c>
      <c r="E4778" s="3">
        <v>10</v>
      </c>
      <c r="F4778" s="3">
        <v>10</v>
      </c>
      <c r="G4778" t="s">
        <v>514</v>
      </c>
    </row>
    <row r="4779" spans="1:7" x14ac:dyDescent="0.25">
      <c r="A4779" s="1" t="str">
        <f>"511054"</f>
        <v>511054</v>
      </c>
      <c r="B4779" s="2" t="str">
        <f>"CALHA CORTE 725"</f>
        <v>CALHA CORTE 725</v>
      </c>
      <c r="C4779" s="2" t="str">
        <f t="shared" si="195"/>
        <v>UN</v>
      </c>
      <c r="D4779" s="7">
        <v>803</v>
      </c>
      <c r="E4779" s="3">
        <v>10</v>
      </c>
      <c r="F4779" s="3">
        <v>10</v>
      </c>
      <c r="G4779" t="s">
        <v>514</v>
      </c>
    </row>
    <row r="4780" spans="1:7" x14ac:dyDescent="0.25">
      <c r="A4780" s="1" t="str">
        <f>"511162"</f>
        <v>511162</v>
      </c>
      <c r="B4780" s="2" t="str">
        <f>"CALHA CORTE 735"</f>
        <v>CALHA CORTE 735</v>
      </c>
      <c r="C4780" s="2" t="str">
        <f t="shared" si="195"/>
        <v>UN</v>
      </c>
      <c r="D4780" s="7">
        <v>803</v>
      </c>
      <c r="E4780" s="3">
        <v>10</v>
      </c>
      <c r="F4780" s="3">
        <v>10</v>
      </c>
      <c r="G4780" t="s">
        <v>512</v>
      </c>
    </row>
    <row r="4781" spans="1:7" x14ac:dyDescent="0.25">
      <c r="A4781" s="1" t="str">
        <f>"526102"</f>
        <v>526102</v>
      </c>
      <c r="B4781" s="2" t="str">
        <f>"CALHA CORTE 740 CP/6000"</f>
        <v>CALHA CORTE 740 CP/6000</v>
      </c>
      <c r="C4781" s="2" t="str">
        <f t="shared" si="195"/>
        <v>UN</v>
      </c>
      <c r="D4781" s="7">
        <v>1700</v>
      </c>
      <c r="E4781" s="3">
        <v>10</v>
      </c>
      <c r="F4781" s="3">
        <v>10</v>
      </c>
      <c r="G4781" t="s">
        <v>513</v>
      </c>
    </row>
    <row r="4782" spans="1:7" x14ac:dyDescent="0.25">
      <c r="A4782" s="1" t="str">
        <f>"511055"</f>
        <v>511055</v>
      </c>
      <c r="B4782" s="2" t="str">
        <f>"CALHA CORTE 760"</f>
        <v>CALHA CORTE 760</v>
      </c>
      <c r="C4782" s="2" t="str">
        <f t="shared" si="195"/>
        <v>UN</v>
      </c>
      <c r="D4782" s="7">
        <v>803</v>
      </c>
      <c r="E4782" s="3">
        <v>10</v>
      </c>
      <c r="F4782" s="3">
        <v>10</v>
      </c>
      <c r="G4782" t="s">
        <v>514</v>
      </c>
    </row>
    <row r="4783" spans="1:7" x14ac:dyDescent="0.25">
      <c r="A4783" s="1" t="str">
        <f>"511053"</f>
        <v>511053</v>
      </c>
      <c r="B4783" s="2" t="str">
        <f>"CALHA CORTE 810"</f>
        <v>CALHA CORTE 810</v>
      </c>
      <c r="C4783" s="2" t="str">
        <f t="shared" si="195"/>
        <v>UN</v>
      </c>
      <c r="D4783" s="7">
        <v>803</v>
      </c>
      <c r="E4783" s="3">
        <v>10</v>
      </c>
      <c r="F4783" s="3">
        <v>10</v>
      </c>
      <c r="G4783" t="s">
        <v>514</v>
      </c>
    </row>
    <row r="4784" spans="1:7" x14ac:dyDescent="0.25">
      <c r="A4784" s="1" t="str">
        <f>"511052"</f>
        <v>511052</v>
      </c>
      <c r="B4784" s="2" t="str">
        <f>"CALHA CORTE 850"</f>
        <v>CALHA CORTE 850</v>
      </c>
      <c r="C4784" s="2" t="str">
        <f t="shared" si="195"/>
        <v>UN</v>
      </c>
      <c r="D4784" s="7">
        <v>803</v>
      </c>
      <c r="E4784" s="3">
        <v>10</v>
      </c>
      <c r="F4784" s="3">
        <v>10</v>
      </c>
      <c r="G4784" t="s">
        <v>514</v>
      </c>
    </row>
    <row r="4785" spans="1:7" x14ac:dyDescent="0.25">
      <c r="A4785" s="1" t="str">
        <f>"510158"</f>
        <v>510158</v>
      </c>
      <c r="B4785" s="2" t="str">
        <f>"CALHA CORTE 96"</f>
        <v>CALHA CORTE 96</v>
      </c>
      <c r="C4785" s="2" t="str">
        <f t="shared" si="195"/>
        <v>UN</v>
      </c>
      <c r="D4785" s="7">
        <v>803</v>
      </c>
      <c r="E4785" s="3">
        <v>10</v>
      </c>
      <c r="F4785" s="3">
        <v>10</v>
      </c>
      <c r="G4785" t="s">
        <v>513</v>
      </c>
    </row>
    <row r="4786" spans="1:7" x14ac:dyDescent="0.25">
      <c r="A4786" s="1" t="str">
        <f>"504320"</f>
        <v>504320</v>
      </c>
      <c r="B4786" s="2" t="str">
        <f>"CALHA DA PORTA (PAR)"</f>
        <v>CALHA DA PORTA (PAR)</v>
      </c>
      <c r="C4786" s="2" t="str">
        <f t="shared" si="195"/>
        <v>UN</v>
      </c>
      <c r="D4786" s="7">
        <v>704</v>
      </c>
      <c r="E4786" s="3">
        <v>9</v>
      </c>
      <c r="F4786" s="3">
        <v>9</v>
      </c>
      <c r="G4786" t="s">
        <v>512</v>
      </c>
    </row>
    <row r="4787" spans="1:7" x14ac:dyDescent="0.25">
      <c r="A4787" s="1" t="str">
        <f>"502465"</f>
        <v>502465</v>
      </c>
      <c r="B4787" s="2" t="str">
        <f>"CALHA DUPLA TUBULAR"</f>
        <v>CALHA DUPLA TUBULAR</v>
      </c>
      <c r="C4787" s="2" t="str">
        <f t="shared" si="195"/>
        <v>UN</v>
      </c>
      <c r="D4787" s="7">
        <v>403</v>
      </c>
      <c r="E4787" s="3">
        <v>4</v>
      </c>
      <c r="F4787" s="3">
        <v>4</v>
      </c>
      <c r="G4787" t="s">
        <v>513</v>
      </c>
    </row>
    <row r="4788" spans="1:7" x14ac:dyDescent="0.25">
      <c r="A4788" s="1" t="str">
        <f>"517818"</f>
        <v>517818</v>
      </c>
      <c r="B4788" s="2" t="str">
        <f>"CALHA FECHADA P/ LAMPADA HO 2 X 110W HO"</f>
        <v>CALHA FECHADA P/ LAMPADA HO 2 X 110W HO</v>
      </c>
      <c r="C4788" s="2" t="str">
        <f t="shared" si="195"/>
        <v>UN</v>
      </c>
      <c r="D4788" s="7">
        <v>811</v>
      </c>
      <c r="E4788" s="3">
        <v>8</v>
      </c>
      <c r="F4788" s="3">
        <v>8</v>
      </c>
      <c r="G4788" t="s">
        <v>514</v>
      </c>
    </row>
    <row r="4789" spans="1:7" x14ac:dyDescent="0.25">
      <c r="A4789" s="1" t="str">
        <f>"516249"</f>
        <v>516249</v>
      </c>
      <c r="B4789" s="2" t="str">
        <f>"CALHA ISOPOR 2 1/2"" X 25MM"</f>
        <v>CALHA ISOPOR 2 1/2" X 25MM</v>
      </c>
      <c r="C4789" s="2" t="str">
        <f t="shared" si="195"/>
        <v>UN</v>
      </c>
      <c r="D4789" s="7">
        <v>807</v>
      </c>
      <c r="E4789" s="3">
        <v>10</v>
      </c>
      <c r="F4789" s="3">
        <v>10</v>
      </c>
      <c r="G4789" t="s">
        <v>514</v>
      </c>
    </row>
    <row r="4790" spans="1:7" x14ac:dyDescent="0.25">
      <c r="A4790" s="1" t="str">
        <f>"510546"</f>
        <v>510546</v>
      </c>
      <c r="B4790" s="2" t="str">
        <f>"CALHA LA DE ROCHA 1/2"" X 25MM"</f>
        <v>CALHA LA DE ROCHA 1/2" X 25MM</v>
      </c>
      <c r="C4790" s="2" t="str">
        <f>"BR"</f>
        <v>BR</v>
      </c>
      <c r="D4790" s="7">
        <v>808</v>
      </c>
      <c r="E4790" s="3">
        <v>10</v>
      </c>
      <c r="F4790" s="3">
        <v>10</v>
      </c>
      <c r="G4790" t="s">
        <v>514</v>
      </c>
    </row>
    <row r="4791" spans="1:7" x14ac:dyDescent="0.25">
      <c r="A4791" s="1" t="str">
        <f>"510336"</f>
        <v>510336</v>
      </c>
      <c r="B4791" s="2" t="str">
        <f>"CALHA LA DE ROCHA 2"" X 50MM"</f>
        <v>CALHA LA DE ROCHA 2" X 50MM</v>
      </c>
      <c r="C4791" s="2" t="str">
        <f>"BR"</f>
        <v>BR</v>
      </c>
      <c r="D4791" s="7">
        <v>808</v>
      </c>
      <c r="E4791" s="3">
        <v>10</v>
      </c>
      <c r="F4791" s="3">
        <v>10</v>
      </c>
      <c r="G4791" t="s">
        <v>513</v>
      </c>
    </row>
    <row r="4792" spans="1:7" x14ac:dyDescent="0.25">
      <c r="A4792" s="1" t="str">
        <f>"510337"</f>
        <v>510337</v>
      </c>
      <c r="B4792" s="2" t="str">
        <f>"CALHA LA DE ROCHA 3"" X 25MM"</f>
        <v>CALHA LA DE ROCHA 3" X 25MM</v>
      </c>
      <c r="C4792" s="2" t="str">
        <f>"BR"</f>
        <v>BR</v>
      </c>
      <c r="D4792" s="7">
        <v>808</v>
      </c>
      <c r="E4792" s="3">
        <v>10</v>
      </c>
      <c r="F4792" s="3">
        <v>10</v>
      </c>
      <c r="G4792" t="s">
        <v>513</v>
      </c>
    </row>
    <row r="4793" spans="1:7" x14ac:dyDescent="0.25">
      <c r="A4793" s="1" t="str">
        <f>"510547"</f>
        <v>510547</v>
      </c>
      <c r="B4793" s="2" t="str">
        <f>"CALHA LA DE ROCHA 3/4 X 25MM"</f>
        <v>CALHA LA DE ROCHA 3/4 X 25MM</v>
      </c>
      <c r="C4793" s="2" t="str">
        <f>"BR"</f>
        <v>BR</v>
      </c>
      <c r="D4793" s="7">
        <v>808</v>
      </c>
      <c r="E4793" s="3">
        <v>10</v>
      </c>
      <c r="F4793" s="3">
        <v>10</v>
      </c>
      <c r="G4793" t="s">
        <v>513</v>
      </c>
    </row>
    <row r="4794" spans="1:7" x14ac:dyDescent="0.25">
      <c r="A4794" s="1" t="str">
        <f>"510545"</f>
        <v>510545</v>
      </c>
      <c r="B4794" s="2" t="str">
        <f>"CALHA LA DE ROCHA 6"" X 25MM"</f>
        <v>CALHA LA DE ROCHA 6" X 25MM</v>
      </c>
      <c r="C4794" s="2" t="str">
        <f>"BR"</f>
        <v>BR</v>
      </c>
      <c r="D4794" s="7">
        <v>808</v>
      </c>
      <c r="E4794" s="3">
        <v>10</v>
      </c>
      <c r="F4794" s="3">
        <v>10</v>
      </c>
      <c r="G4794" t="s">
        <v>512</v>
      </c>
    </row>
    <row r="4795" spans="1:7" x14ac:dyDescent="0.25">
      <c r="A4795" s="1" t="str">
        <f>"526545"</f>
        <v>526545</v>
      </c>
      <c r="B4795" s="2" t="str">
        <f>"CALHA PARSHALL CP-50 DE W2"</f>
        <v>CALHA PARSHALL CP-50 DE W2</v>
      </c>
      <c r="C4795" s="2" t="str">
        <f>"UN"</f>
        <v>UN</v>
      </c>
      <c r="D4795" s="7">
        <v>807</v>
      </c>
      <c r="E4795" s="3">
        <v>10</v>
      </c>
      <c r="F4795" s="3">
        <v>10</v>
      </c>
      <c r="G4795" t="s">
        <v>513</v>
      </c>
    </row>
    <row r="4796" spans="1:7" x14ac:dyDescent="0.25">
      <c r="A4796" s="1" t="str">
        <f>"518566"</f>
        <v>518566</v>
      </c>
      <c r="B4796" s="2" t="str">
        <f>"CALHA PISO NORMAL DN200X2,5MT"</f>
        <v>CALHA PISO NORMAL DN200X2,5MT</v>
      </c>
      <c r="C4796" s="2" t="str">
        <f>"UN"</f>
        <v>UN</v>
      </c>
      <c r="D4796" s="7">
        <v>917</v>
      </c>
      <c r="E4796" s="3">
        <v>10</v>
      </c>
      <c r="F4796" s="3">
        <v>10</v>
      </c>
      <c r="G4796" t="s">
        <v>514</v>
      </c>
    </row>
    <row r="4797" spans="1:7" x14ac:dyDescent="0.25">
      <c r="A4797" s="1" t="str">
        <f>"512378"</f>
        <v>512378</v>
      </c>
      <c r="B4797" s="2" t="str">
        <f>"CALHA PORTA"</f>
        <v>CALHA PORTA</v>
      </c>
      <c r="C4797" s="2" t="str">
        <f>"UN"</f>
        <v>UN</v>
      </c>
      <c r="D4797" s="7">
        <v>803</v>
      </c>
      <c r="E4797" s="3">
        <v>10</v>
      </c>
      <c r="F4797" s="3">
        <v>10</v>
      </c>
      <c r="G4797" t="s">
        <v>515</v>
      </c>
    </row>
    <row r="4798" spans="1:7" x14ac:dyDescent="0.25">
      <c r="A4798" s="1" t="str">
        <f>"510160"</f>
        <v>510160</v>
      </c>
      <c r="B4798" s="2" t="str">
        <f>"CALHA RUFO CORTE 31"</f>
        <v>CALHA RUFO CORTE 31</v>
      </c>
      <c r="C4798" s="2" t="str">
        <f>"UN"</f>
        <v>UN</v>
      </c>
      <c r="D4798" s="7">
        <v>803</v>
      </c>
      <c r="E4798" s="3">
        <v>10</v>
      </c>
      <c r="F4798" s="3">
        <v>10</v>
      </c>
      <c r="G4798" t="s">
        <v>512</v>
      </c>
    </row>
    <row r="4799" spans="1:7" x14ac:dyDescent="0.25">
      <c r="A4799" s="1" t="str">
        <f>"518046"</f>
        <v>518046</v>
      </c>
      <c r="B4799" s="2" t="str">
        <f>"CALHA SANITARIA 100X50MM AÇO INOX ELETROPOL. 8000-10B-AI-EL"</f>
        <v>CALHA SANITARIA 100X50MM AÇO INOX ELETROPOL. 8000-10B-AI-EL</v>
      </c>
      <c r="C4799" s="2" t="str">
        <f>"MT"</f>
        <v>MT</v>
      </c>
      <c r="D4799" s="7">
        <v>811</v>
      </c>
      <c r="E4799" s="3">
        <v>8</v>
      </c>
      <c r="F4799" s="3">
        <v>8</v>
      </c>
      <c r="G4799" t="s">
        <v>516</v>
      </c>
    </row>
    <row r="4800" spans="1:7" x14ac:dyDescent="0.25">
      <c r="A4800" s="1" t="str">
        <f>"518948"</f>
        <v>518948</v>
      </c>
      <c r="B4800" s="2" t="str">
        <f>"CALHA SANITARIA 400X50MM AÇO INOX ELETROPOL. 8000-10B-AI-EL"</f>
        <v>CALHA SANITARIA 400X50MM AÇO INOX ELETROPOL. 8000-10B-AI-EL</v>
      </c>
      <c r="C4800" s="2" t="str">
        <f>"MT"</f>
        <v>MT</v>
      </c>
      <c r="D4800" s="7">
        <v>811</v>
      </c>
      <c r="E4800" s="3">
        <v>8</v>
      </c>
      <c r="F4800" s="3">
        <v>8</v>
      </c>
      <c r="G4800" t="s">
        <v>515</v>
      </c>
    </row>
    <row r="4801" spans="1:7" x14ac:dyDescent="0.25">
      <c r="A4801" s="1" t="str">
        <f>"512849"</f>
        <v>512849</v>
      </c>
      <c r="B4801" s="2" t="str">
        <f>"CALHEIRA 18 ALUMINIO"</f>
        <v>CALHEIRA 18 ALUMINIO</v>
      </c>
      <c r="C4801" s="2" t="str">
        <f t="shared" ref="C4801:C4844" si="196">"UN"</f>
        <v>UN</v>
      </c>
      <c r="D4801" s="7">
        <v>99999</v>
      </c>
      <c r="E4801" s="3">
        <v>99</v>
      </c>
      <c r="F4801" s="3">
        <v>99</v>
      </c>
      <c r="G4801" t="s">
        <v>514</v>
      </c>
    </row>
    <row r="4802" spans="1:7" x14ac:dyDescent="0.25">
      <c r="A4802" s="1" t="str">
        <f>"513619"</f>
        <v>513619</v>
      </c>
      <c r="B4802" s="2" t="str">
        <f>"CALIBRAÇÃO RASTREAVEL RBC MED. TURBIDEZ"</f>
        <v>CALIBRAÇÃO RASTREAVEL RBC MED. TURBIDEZ</v>
      </c>
      <c r="C4802" s="2" t="str">
        <f t="shared" si="196"/>
        <v>UN</v>
      </c>
      <c r="D4802" s="7">
        <v>406</v>
      </c>
      <c r="E4802" s="3">
        <v>13</v>
      </c>
      <c r="F4802" s="3">
        <v>13</v>
      </c>
      <c r="G4802" t="s">
        <v>512</v>
      </c>
    </row>
    <row r="4803" spans="1:7" x14ac:dyDescent="0.25">
      <c r="A4803" s="1" t="str">
        <f>"513249"</f>
        <v>513249</v>
      </c>
      <c r="B4803" s="2" t="str">
        <f>"CALIBRADOR COMPLETO"</f>
        <v>CALIBRADOR COMPLETO</v>
      </c>
      <c r="C4803" s="2" t="str">
        <f t="shared" si="196"/>
        <v>UN</v>
      </c>
      <c r="D4803" s="7">
        <v>918</v>
      </c>
      <c r="E4803" s="3">
        <v>11</v>
      </c>
      <c r="F4803" s="3">
        <v>11</v>
      </c>
      <c r="G4803" t="s">
        <v>513</v>
      </c>
    </row>
    <row r="4804" spans="1:7" x14ac:dyDescent="0.25">
      <c r="A4804" s="1" t="str">
        <f>"528026"</f>
        <v>528026</v>
      </c>
      <c r="B4804" s="2" t="str">
        <f>"CALIBRADOR DE PNEUS"</f>
        <v>CALIBRADOR DE PNEUS</v>
      </c>
      <c r="C4804" s="2" t="str">
        <f t="shared" si="196"/>
        <v>UN</v>
      </c>
      <c r="D4804" s="7">
        <v>918</v>
      </c>
      <c r="E4804" s="3">
        <v>13</v>
      </c>
      <c r="F4804" s="3">
        <v>13</v>
      </c>
      <c r="G4804" t="s">
        <v>514</v>
      </c>
    </row>
    <row r="4805" spans="1:7" x14ac:dyDescent="0.25">
      <c r="A4805" s="1" t="str">
        <f>"526196"</f>
        <v>526196</v>
      </c>
      <c r="B4805" s="2" t="str">
        <f>"CALIBRADOR MOD.PC-321 MULTI FUNCOES DIGITAL PORTATIL"</f>
        <v>CALIBRADOR MOD.PC-321 MULTI FUNCOES DIGITAL PORTATIL</v>
      </c>
      <c r="C4805" s="2" t="str">
        <f t="shared" si="196"/>
        <v>UN</v>
      </c>
      <c r="D4805" s="7">
        <v>811</v>
      </c>
      <c r="E4805" s="3">
        <v>10</v>
      </c>
      <c r="F4805" s="3">
        <v>10</v>
      </c>
      <c r="G4805" t="s">
        <v>514</v>
      </c>
    </row>
    <row r="4806" spans="1:7" x14ac:dyDescent="0.25">
      <c r="A4806" s="1" t="str">
        <f>"509444"</f>
        <v>509444</v>
      </c>
      <c r="B4806" s="2" t="str">
        <f>"CALOTA"</f>
        <v>CALOTA</v>
      </c>
      <c r="C4806" s="2" t="str">
        <f t="shared" si="196"/>
        <v>UN</v>
      </c>
      <c r="D4806" s="7">
        <v>402</v>
      </c>
      <c r="E4806" s="3">
        <v>4</v>
      </c>
      <c r="F4806" s="3">
        <v>4</v>
      </c>
      <c r="G4806" t="s">
        <v>512</v>
      </c>
    </row>
    <row r="4807" spans="1:7" x14ac:dyDescent="0.25">
      <c r="A4807" s="1" t="str">
        <f>"510315"</f>
        <v>510315</v>
      </c>
      <c r="B4807" s="2" t="str">
        <f>"CALOTA DA RODA DIRECIONAL 009723334"</f>
        <v>CALOTA DA RODA DIRECIONAL 009723334</v>
      </c>
      <c r="C4807" s="2" t="str">
        <f t="shared" si="196"/>
        <v>UN</v>
      </c>
      <c r="D4807" s="7">
        <v>918</v>
      </c>
      <c r="E4807" s="3">
        <v>11</v>
      </c>
      <c r="F4807" s="3">
        <v>11</v>
      </c>
      <c r="G4807" t="s">
        <v>513</v>
      </c>
    </row>
    <row r="4808" spans="1:7" x14ac:dyDescent="0.25">
      <c r="A4808" s="1" t="str">
        <f>"501886"</f>
        <v>501886</v>
      </c>
      <c r="B4808" s="2" t="str">
        <f>"CALOTA RODOAR"</f>
        <v>CALOTA RODOAR</v>
      </c>
      <c r="C4808" s="2" t="str">
        <f t="shared" si="196"/>
        <v>UN</v>
      </c>
      <c r="D4808" s="7">
        <v>99999</v>
      </c>
      <c r="E4808" s="3">
        <v>99</v>
      </c>
      <c r="F4808" s="3">
        <v>99</v>
      </c>
      <c r="G4808" t="s">
        <v>514</v>
      </c>
    </row>
    <row r="4809" spans="1:7" x14ac:dyDescent="0.25">
      <c r="A4809" s="1" t="str">
        <f>"510589"</f>
        <v>510589</v>
      </c>
      <c r="B4809" s="2" t="str">
        <f>"CALOTINHA RODOAR TACOAR UNIVERSAL"</f>
        <v>CALOTINHA RODOAR TACOAR UNIVERSAL</v>
      </c>
      <c r="C4809" s="2" t="str">
        <f t="shared" si="196"/>
        <v>UN</v>
      </c>
      <c r="D4809" s="7">
        <v>913</v>
      </c>
      <c r="E4809" s="3">
        <v>11</v>
      </c>
      <c r="F4809" s="3">
        <v>11</v>
      </c>
      <c r="G4809" t="s">
        <v>514</v>
      </c>
    </row>
    <row r="4810" spans="1:7" x14ac:dyDescent="0.25">
      <c r="A4810" s="1" t="str">
        <f>"515626"</f>
        <v>515626</v>
      </c>
      <c r="B4810" s="2" t="str">
        <f>"CAM. TRATOR SCANIA R440 A6X2 BRANCO"</f>
        <v>CAM. TRATOR SCANIA R440 A6X2 BRANCO</v>
      </c>
      <c r="C4810" s="2" t="str">
        <f t="shared" si="196"/>
        <v>UN</v>
      </c>
      <c r="D4810" s="7">
        <v>2000</v>
      </c>
      <c r="E4810" s="3">
        <v>16</v>
      </c>
      <c r="F4810" s="3">
        <v>16</v>
      </c>
      <c r="G4810" t="s">
        <v>514</v>
      </c>
    </row>
    <row r="4811" spans="1:7" x14ac:dyDescent="0.25">
      <c r="A4811" s="1" t="str">
        <f>"516623"</f>
        <v>516623</v>
      </c>
      <c r="B4811" s="2" t="str">
        <f>"CAM. TRATOR VW CONSTELATION 25.370"</f>
        <v>CAM. TRATOR VW CONSTELATION 25.370</v>
      </c>
      <c r="C4811" s="2" t="str">
        <f t="shared" si="196"/>
        <v>UN</v>
      </c>
      <c r="D4811" s="7">
        <v>2000</v>
      </c>
      <c r="E4811" s="3">
        <v>16</v>
      </c>
      <c r="F4811" s="3">
        <v>16</v>
      </c>
      <c r="G4811" t="s">
        <v>513</v>
      </c>
    </row>
    <row r="4812" spans="1:7" x14ac:dyDescent="0.25">
      <c r="A4812" s="1" t="str">
        <f>"504973"</f>
        <v>504973</v>
      </c>
      <c r="B4812" s="2" t="str">
        <f>"CAMAFEU"</f>
        <v>CAMAFEU</v>
      </c>
      <c r="C4812" s="2" t="str">
        <f t="shared" si="196"/>
        <v>UN</v>
      </c>
      <c r="D4812" s="7">
        <v>704</v>
      </c>
      <c r="E4812" s="3">
        <v>9</v>
      </c>
      <c r="F4812" s="3">
        <v>9</v>
      </c>
      <c r="G4812" t="s">
        <v>512</v>
      </c>
    </row>
    <row r="4813" spans="1:7" x14ac:dyDescent="0.25">
      <c r="A4813" s="1" t="str">
        <f>"511386"</f>
        <v>511386</v>
      </c>
      <c r="B4813" s="2" t="str">
        <f>"CAMARA AR EMPILHADEIRA 7.00-12 NHS 14PR"</f>
        <v>CAMARA AR EMPILHADEIRA 7.00-12 NHS 14PR</v>
      </c>
      <c r="C4813" s="2" t="str">
        <f t="shared" si="196"/>
        <v>UN</v>
      </c>
      <c r="D4813" s="7">
        <v>704</v>
      </c>
      <c r="E4813" s="3">
        <v>9</v>
      </c>
      <c r="F4813" s="3">
        <v>9</v>
      </c>
      <c r="G4813" t="s">
        <v>513</v>
      </c>
    </row>
    <row r="4814" spans="1:7" x14ac:dyDescent="0.25">
      <c r="A4814" s="1" t="str">
        <f>"513991"</f>
        <v>513991</v>
      </c>
      <c r="B4814" s="2" t="str">
        <f>"CAMARA DE AR 1000/20"</f>
        <v>CAMARA DE AR 1000/20</v>
      </c>
      <c r="C4814" s="2" t="str">
        <f t="shared" si="196"/>
        <v>UN</v>
      </c>
      <c r="D4814" s="7">
        <v>99999</v>
      </c>
      <c r="E4814" s="3">
        <v>99</v>
      </c>
      <c r="F4814" s="3">
        <v>99</v>
      </c>
      <c r="G4814" t="s">
        <v>514</v>
      </c>
    </row>
    <row r="4815" spans="1:7" x14ac:dyDescent="0.25">
      <c r="A4815" s="1" t="str">
        <f>"515733"</f>
        <v>515733</v>
      </c>
      <c r="B4815" s="2" t="str">
        <f>"CAMARA DE AR 4.80/400-8"</f>
        <v>CAMARA DE AR 4.80/400-8</v>
      </c>
      <c r="C4815" s="2" t="str">
        <f t="shared" si="196"/>
        <v>UN</v>
      </c>
      <c r="D4815" s="7">
        <v>812</v>
      </c>
      <c r="E4815" s="3">
        <v>4</v>
      </c>
      <c r="F4815" s="3">
        <v>4</v>
      </c>
      <c r="G4815" t="s">
        <v>514</v>
      </c>
    </row>
    <row r="4816" spans="1:7" x14ac:dyDescent="0.25">
      <c r="A4816" s="1" t="str">
        <f>"527012"</f>
        <v>527012</v>
      </c>
      <c r="B4816" s="2" t="str">
        <f>"CAMARA DE AR CARRINHO 3.50/400"</f>
        <v>CAMARA DE AR CARRINHO 3.50/400</v>
      </c>
      <c r="C4816" s="2" t="str">
        <f t="shared" si="196"/>
        <v>UN</v>
      </c>
      <c r="D4816" s="7">
        <v>403</v>
      </c>
      <c r="E4816" s="3">
        <v>4</v>
      </c>
      <c r="F4816" s="3">
        <v>4</v>
      </c>
      <c r="G4816" t="s">
        <v>514</v>
      </c>
    </row>
    <row r="4817" spans="1:7" x14ac:dyDescent="0.25">
      <c r="A4817" s="1" t="str">
        <f>"514002"</f>
        <v>514002</v>
      </c>
      <c r="B4817" s="2" t="str">
        <f>"CAMARA DE AR CARRINHO PEDREIRO"</f>
        <v>CAMARA DE AR CARRINHO PEDREIRO</v>
      </c>
      <c r="C4817" s="2" t="str">
        <f t="shared" si="196"/>
        <v>UN</v>
      </c>
      <c r="D4817" s="7">
        <v>99999</v>
      </c>
      <c r="E4817" s="3">
        <v>10</v>
      </c>
      <c r="F4817" s="3">
        <v>10</v>
      </c>
      <c r="G4817" t="s">
        <v>513</v>
      </c>
    </row>
    <row r="4818" spans="1:7" x14ac:dyDescent="0.25">
      <c r="A4818" s="1" t="str">
        <f>"520573"</f>
        <v>520573</v>
      </c>
      <c r="B4818" s="2" t="str">
        <f>"CAMARA DE AR L-15 PU"</f>
        <v>CAMARA DE AR L-15 PU</v>
      </c>
      <c r="C4818" s="2" t="str">
        <f t="shared" si="196"/>
        <v>UN</v>
      </c>
      <c r="D4818" s="7">
        <v>812</v>
      </c>
      <c r="E4818" s="3">
        <v>4</v>
      </c>
      <c r="F4818" s="3">
        <v>4</v>
      </c>
      <c r="G4818" t="s">
        <v>513</v>
      </c>
    </row>
    <row r="4819" spans="1:7" x14ac:dyDescent="0.25">
      <c r="A4819" s="1" t="str">
        <f>"509891"</f>
        <v>509891</v>
      </c>
      <c r="B4819" s="2" t="str">
        <f>"CAMARA DE AR MAQ. CAT 416E 19.5L 24"</f>
        <v>CAMARA DE AR MAQ. CAT 416E 19.5L 24</v>
      </c>
      <c r="C4819" s="2" t="str">
        <f t="shared" si="196"/>
        <v>UN</v>
      </c>
      <c r="D4819" s="7">
        <v>704</v>
      </c>
      <c r="E4819" s="3">
        <v>9</v>
      </c>
      <c r="F4819" s="3">
        <v>9</v>
      </c>
      <c r="G4819" t="s">
        <v>513</v>
      </c>
    </row>
    <row r="4820" spans="1:7" x14ac:dyDescent="0.25">
      <c r="A4820" s="1" t="str">
        <f>"506435"</f>
        <v>506435</v>
      </c>
      <c r="B4820" s="2" t="str">
        <f>"CAMARA DE AR P/ PNEU DA EMPILHADEIRA"</f>
        <v>CAMARA DE AR P/ PNEU DA EMPILHADEIRA</v>
      </c>
      <c r="C4820" s="2" t="str">
        <f t="shared" si="196"/>
        <v>UN</v>
      </c>
      <c r="D4820" s="7">
        <v>918</v>
      </c>
      <c r="E4820" s="3">
        <v>11</v>
      </c>
      <c r="F4820" s="3">
        <v>11</v>
      </c>
      <c r="G4820" t="s">
        <v>512</v>
      </c>
    </row>
    <row r="4821" spans="1:7" x14ac:dyDescent="0.25">
      <c r="A4821" s="1" t="str">
        <f>"509237"</f>
        <v>509237</v>
      </c>
      <c r="B4821" s="2" t="str">
        <f>"CAMARA DE EXPANSAO AÇO INOX TQ CAP 1450L"</f>
        <v>CAMARA DE EXPANSAO AÇO INOX TQ CAP 1450L</v>
      </c>
      <c r="C4821" s="2" t="str">
        <f t="shared" si="196"/>
        <v>UN</v>
      </c>
      <c r="D4821" s="7">
        <v>915</v>
      </c>
      <c r="E4821" s="3">
        <v>11</v>
      </c>
      <c r="F4821" s="3">
        <v>11</v>
      </c>
      <c r="G4821" t="s">
        <v>513</v>
      </c>
    </row>
    <row r="4822" spans="1:7" x14ac:dyDescent="0.25">
      <c r="A4822" s="1" t="str">
        <f>"505937"</f>
        <v>505937</v>
      </c>
      <c r="B4822" s="2" t="str">
        <f>"CAMARA DE FREIO"</f>
        <v>CAMARA DE FREIO</v>
      </c>
      <c r="C4822" s="2" t="str">
        <f t="shared" si="196"/>
        <v>UN</v>
      </c>
      <c r="D4822" s="7">
        <v>704</v>
      </c>
      <c r="E4822" s="3">
        <v>9</v>
      </c>
      <c r="F4822" s="3">
        <v>9</v>
      </c>
      <c r="G4822" t="s">
        <v>514</v>
      </c>
    </row>
    <row r="4823" spans="1:7" x14ac:dyDescent="0.25">
      <c r="A4823" s="1" t="str">
        <f>"511570"</f>
        <v>511570</v>
      </c>
      <c r="B4823" s="2" t="str">
        <f>"CAMBIO USADO"</f>
        <v>CAMBIO USADO</v>
      </c>
      <c r="C4823" s="2" t="str">
        <f t="shared" si="196"/>
        <v>UN</v>
      </c>
      <c r="D4823" s="7">
        <v>704</v>
      </c>
      <c r="E4823" s="3">
        <v>9</v>
      </c>
      <c r="F4823" s="3">
        <v>9</v>
      </c>
      <c r="G4823" t="s">
        <v>515</v>
      </c>
    </row>
    <row r="4824" spans="1:7" x14ac:dyDescent="0.25">
      <c r="A4824" s="1" t="str">
        <f>"525211"</f>
        <v>525211</v>
      </c>
      <c r="B4824" s="2" t="str">
        <f>"CAME"</f>
        <v>CAME</v>
      </c>
      <c r="C4824" s="2" t="str">
        <f t="shared" si="196"/>
        <v>UN</v>
      </c>
      <c r="D4824" s="7">
        <v>99999</v>
      </c>
      <c r="E4824" s="3">
        <v>99</v>
      </c>
      <c r="F4824" s="3">
        <v>99</v>
      </c>
      <c r="G4824" t="s">
        <v>512</v>
      </c>
    </row>
    <row r="4825" spans="1:7" x14ac:dyDescent="0.25">
      <c r="A4825" s="1" t="str">
        <f>"518030"</f>
        <v>518030</v>
      </c>
      <c r="B4825" s="2" t="str">
        <f>"CAME ABERTURA PINÇAS DIR C-57666 POS5/1/1433/5"</f>
        <v>CAME ABERTURA PINÇAS DIR C-57666 POS5/1/1433/5</v>
      </c>
      <c r="C4825" s="2" t="str">
        <f t="shared" si="196"/>
        <v>UN</v>
      </c>
      <c r="D4825" s="7">
        <v>918</v>
      </c>
      <c r="E4825" s="3">
        <v>11</v>
      </c>
      <c r="F4825" s="3">
        <v>11</v>
      </c>
      <c r="G4825" t="s">
        <v>516</v>
      </c>
    </row>
    <row r="4826" spans="1:7" x14ac:dyDescent="0.25">
      <c r="A4826" s="1" t="str">
        <f>"517538"</f>
        <v>517538</v>
      </c>
      <c r="B4826" s="2" t="str">
        <f>"CAME ABERTURA PINÇAS DIR. C4199-54340 POS11/1/1433/2"</f>
        <v>CAME ABERTURA PINÇAS DIR. C4199-54340 POS11/1/1433/2</v>
      </c>
      <c r="C4826" s="2" t="str">
        <f t="shared" si="196"/>
        <v>UN</v>
      </c>
      <c r="D4826" s="7">
        <v>918</v>
      </c>
      <c r="E4826" s="3">
        <v>11</v>
      </c>
      <c r="F4826" s="3">
        <v>11</v>
      </c>
      <c r="G4826" t="s">
        <v>515</v>
      </c>
    </row>
    <row r="4827" spans="1:7" x14ac:dyDescent="0.25">
      <c r="A4827" s="1" t="str">
        <f>"518028"</f>
        <v>518028</v>
      </c>
      <c r="B4827" s="2" t="str">
        <f>"CAME ABERTURA PINÇAS DIR. D4119-54007 POS13/1/1433/8"</f>
        <v>CAME ABERTURA PINÇAS DIR. D4119-54007 POS13/1/1433/8</v>
      </c>
      <c r="C4827" s="2" t="str">
        <f t="shared" si="196"/>
        <v>UN</v>
      </c>
      <c r="D4827" s="7">
        <v>918</v>
      </c>
      <c r="E4827" s="3">
        <v>11</v>
      </c>
      <c r="F4827" s="3">
        <v>11</v>
      </c>
      <c r="G4827" t="s">
        <v>514</v>
      </c>
    </row>
    <row r="4828" spans="1:7" x14ac:dyDescent="0.25">
      <c r="A4828" s="1" t="str">
        <f>"517540"</f>
        <v>517540</v>
      </c>
      <c r="B4828" s="2" t="str">
        <f>"CAME ABERTURA PINÇAS DIR. D4199-54007 POS13/1/2227/8"</f>
        <v>CAME ABERTURA PINÇAS DIR. D4199-54007 POS13/1/2227/8</v>
      </c>
      <c r="C4828" s="2" t="str">
        <f t="shared" si="196"/>
        <v>UN</v>
      </c>
      <c r="D4828" s="7">
        <v>918</v>
      </c>
      <c r="E4828" s="3">
        <v>11</v>
      </c>
      <c r="F4828" s="3">
        <v>11</v>
      </c>
      <c r="G4828" t="s">
        <v>512</v>
      </c>
    </row>
    <row r="4829" spans="1:7" x14ac:dyDescent="0.25">
      <c r="A4829" s="1" t="str">
        <f>"518027"</f>
        <v>518027</v>
      </c>
      <c r="B4829" s="2" t="str">
        <f>"CAME ABERTURA PINÇAS ESQ. C4199-54012 POS 13/1/1433/7"</f>
        <v>CAME ABERTURA PINÇAS ESQ. C4199-54012 POS 13/1/1433/7</v>
      </c>
      <c r="C4829" s="2" t="str">
        <f t="shared" si="196"/>
        <v>UN</v>
      </c>
      <c r="D4829" s="7">
        <v>918</v>
      </c>
      <c r="E4829" s="3">
        <v>11</v>
      </c>
      <c r="F4829" s="3">
        <v>11</v>
      </c>
      <c r="G4829" t="s">
        <v>513</v>
      </c>
    </row>
    <row r="4830" spans="1:7" x14ac:dyDescent="0.25">
      <c r="A4830" s="1" t="str">
        <f>"517537"</f>
        <v>517537</v>
      </c>
      <c r="B4830" s="2" t="str">
        <f>"CAME ABERTURA PINÇAS ESQ. C4199-54341 POS11/1/1433/1"</f>
        <v>CAME ABERTURA PINÇAS ESQ. C4199-54341 POS11/1/1433/1</v>
      </c>
      <c r="C4830" s="2" t="str">
        <f t="shared" si="196"/>
        <v>UN</v>
      </c>
      <c r="D4830" s="7">
        <v>918</v>
      </c>
      <c r="E4830" s="3">
        <v>11</v>
      </c>
      <c r="F4830" s="3">
        <v>11</v>
      </c>
      <c r="G4830" t="s">
        <v>514</v>
      </c>
    </row>
    <row r="4831" spans="1:7" x14ac:dyDescent="0.25">
      <c r="A4831" s="1" t="str">
        <f>"518029"</f>
        <v>518029</v>
      </c>
      <c r="B4831" s="2" t="str">
        <f>"CAME ABERTURA PINÇAS ESQ. C-57664 POS5/1/1433/3"</f>
        <v>CAME ABERTURA PINÇAS ESQ. C-57664 POS5/1/1433/3</v>
      </c>
      <c r="C4831" s="2" t="str">
        <f t="shared" si="196"/>
        <v>UN</v>
      </c>
      <c r="D4831" s="7">
        <v>918</v>
      </c>
      <c r="E4831" s="3">
        <v>11</v>
      </c>
      <c r="F4831" s="3">
        <v>11</v>
      </c>
      <c r="G4831" t="s">
        <v>514</v>
      </c>
    </row>
    <row r="4832" spans="1:7" x14ac:dyDescent="0.25">
      <c r="A4832" s="1" t="str">
        <f>"517539"</f>
        <v>517539</v>
      </c>
      <c r="B4832" s="2" t="str">
        <f>"CAME ABERTURA PINÇAS ESQ. D4199-54012 POS13/1/2227/7"</f>
        <v>CAME ABERTURA PINÇAS ESQ. D4199-54012 POS13/1/2227/7</v>
      </c>
      <c r="C4832" s="2" t="str">
        <f t="shared" si="196"/>
        <v>UN</v>
      </c>
      <c r="D4832" s="7">
        <v>918</v>
      </c>
      <c r="E4832" s="3">
        <v>11</v>
      </c>
      <c r="F4832" s="3">
        <v>11</v>
      </c>
      <c r="G4832" t="s">
        <v>512</v>
      </c>
    </row>
    <row r="4833" spans="1:7" x14ac:dyDescent="0.25">
      <c r="A4833" s="1" t="str">
        <f>"519538"</f>
        <v>519538</v>
      </c>
      <c r="B4833" s="2" t="str">
        <f>"CAME C4119-54340 POS1/1/1433/2"</f>
        <v>CAME C4119-54340 POS1/1/1433/2</v>
      </c>
      <c r="C4833" s="2" t="str">
        <f t="shared" si="196"/>
        <v>UN</v>
      </c>
      <c r="D4833" s="7">
        <v>918</v>
      </c>
      <c r="E4833" s="3">
        <v>11</v>
      </c>
      <c r="F4833" s="3">
        <v>11</v>
      </c>
      <c r="G4833" t="s">
        <v>513</v>
      </c>
    </row>
    <row r="4834" spans="1:7" x14ac:dyDescent="0.25">
      <c r="A4834" s="1" t="str">
        <f>"519537"</f>
        <v>519537</v>
      </c>
      <c r="B4834" s="2" t="str">
        <f>"CAME C4119-54341 POS11/1/1433/1"</f>
        <v>CAME C4119-54341 POS11/1/1433/1</v>
      </c>
      <c r="C4834" s="2" t="str">
        <f t="shared" si="196"/>
        <v>UN</v>
      </c>
      <c r="D4834" s="7">
        <v>918</v>
      </c>
      <c r="E4834" s="3">
        <v>11</v>
      </c>
      <c r="F4834" s="3">
        <v>11</v>
      </c>
      <c r="G4834" t="s">
        <v>514</v>
      </c>
    </row>
    <row r="4835" spans="1:7" x14ac:dyDescent="0.25">
      <c r="A4835" s="1" t="str">
        <f>"520834"</f>
        <v>520834</v>
      </c>
      <c r="B4835" s="2" t="str">
        <f>"CAME DE ABERTURA DAS PINÇAS DIR. C4199-54340"</f>
        <v>CAME DE ABERTURA DAS PINÇAS DIR. C4199-54340</v>
      </c>
      <c r="C4835" s="2" t="str">
        <f t="shared" si="196"/>
        <v>UN</v>
      </c>
      <c r="D4835" s="7">
        <v>1300</v>
      </c>
      <c r="E4835" s="3">
        <v>11</v>
      </c>
      <c r="F4835" s="3">
        <v>11</v>
      </c>
      <c r="G4835" t="s">
        <v>514</v>
      </c>
    </row>
    <row r="4836" spans="1:7" x14ac:dyDescent="0.25">
      <c r="A4836" s="1" t="str">
        <f>"520836"</f>
        <v>520836</v>
      </c>
      <c r="B4836" s="2" t="str">
        <f>"CAME DE ABERTURA DAS PINÇAS DIR. D4199-54007"</f>
        <v>CAME DE ABERTURA DAS PINÇAS DIR. D4199-54007</v>
      </c>
      <c r="C4836" s="2" t="str">
        <f t="shared" si="196"/>
        <v>UN</v>
      </c>
      <c r="D4836" s="7">
        <v>1300</v>
      </c>
      <c r="E4836" s="3">
        <v>11</v>
      </c>
      <c r="F4836" s="3">
        <v>11</v>
      </c>
      <c r="G4836" t="s">
        <v>514</v>
      </c>
    </row>
    <row r="4837" spans="1:7" x14ac:dyDescent="0.25">
      <c r="A4837" s="1" t="str">
        <f>"520833"</f>
        <v>520833</v>
      </c>
      <c r="B4837" s="2" t="str">
        <f>"CAME DE ABERTURA DAS PINÇAS ESQ. C4199-54341"</f>
        <v>CAME DE ABERTURA DAS PINÇAS ESQ. C4199-54341</v>
      </c>
      <c r="C4837" s="2" t="str">
        <f t="shared" si="196"/>
        <v>UN</v>
      </c>
      <c r="D4837" s="7">
        <v>1300</v>
      </c>
      <c r="E4837" s="3">
        <v>11</v>
      </c>
      <c r="F4837" s="3">
        <v>11</v>
      </c>
      <c r="G4837" t="s">
        <v>513</v>
      </c>
    </row>
    <row r="4838" spans="1:7" x14ac:dyDescent="0.25">
      <c r="A4838" s="1" t="str">
        <f>"520835"</f>
        <v>520835</v>
      </c>
      <c r="B4838" s="2" t="str">
        <f>"CAME DE ABERTURA DAS PINÇAS ESQ. D4199-54012"</f>
        <v>CAME DE ABERTURA DAS PINÇAS ESQ. D4199-54012</v>
      </c>
      <c r="C4838" s="2" t="str">
        <f t="shared" si="196"/>
        <v>UN</v>
      </c>
      <c r="D4838" s="7">
        <v>1300</v>
      </c>
      <c r="E4838" s="3">
        <v>11</v>
      </c>
      <c r="F4838" s="3">
        <v>11</v>
      </c>
      <c r="G4838" t="s">
        <v>512</v>
      </c>
    </row>
    <row r="4839" spans="1:7" x14ac:dyDescent="0.25">
      <c r="A4839" s="1" t="str">
        <f>"522843"</f>
        <v>522843</v>
      </c>
      <c r="B4839" s="2" t="str">
        <f>"CAME ENVASADORA AT-5000"</f>
        <v>CAME ENVASADORA AT-5000</v>
      </c>
      <c r="C4839" s="2" t="str">
        <f t="shared" si="196"/>
        <v>UN</v>
      </c>
      <c r="D4839" s="7">
        <v>918</v>
      </c>
      <c r="E4839" s="3">
        <v>11</v>
      </c>
      <c r="F4839" s="3">
        <v>11</v>
      </c>
      <c r="G4839" t="s">
        <v>513</v>
      </c>
    </row>
    <row r="4840" spans="1:7" x14ac:dyDescent="0.25">
      <c r="A4840" s="1" t="str">
        <f>"516886"</f>
        <v>516886</v>
      </c>
      <c r="B4840" s="2" t="str">
        <f>"CAMEA DOME LUNA 1/3 SONY"</f>
        <v>CAMEA DOME LUNA 1/3 SONY</v>
      </c>
      <c r="C4840" s="2" t="str">
        <f t="shared" si="196"/>
        <v>UN</v>
      </c>
      <c r="D4840" s="7">
        <v>811</v>
      </c>
      <c r="E4840" s="3">
        <v>8</v>
      </c>
      <c r="F4840" s="3">
        <v>8</v>
      </c>
      <c r="G4840" t="s">
        <v>514</v>
      </c>
    </row>
    <row r="4841" spans="1:7" x14ac:dyDescent="0.25">
      <c r="A4841" s="1" t="str">
        <f>"518923"</f>
        <v>518923</v>
      </c>
      <c r="B4841" s="2" t="str">
        <f>"CAMERA AIR LIVE OD-2025 PHD"</f>
        <v>CAMERA AIR LIVE OD-2025 PHD</v>
      </c>
      <c r="C4841" s="2" t="str">
        <f t="shared" si="196"/>
        <v>UN</v>
      </c>
      <c r="D4841" s="7">
        <v>814</v>
      </c>
      <c r="E4841" s="3">
        <v>10</v>
      </c>
      <c r="F4841" s="3">
        <v>10</v>
      </c>
      <c r="G4841" t="s">
        <v>514</v>
      </c>
    </row>
    <row r="4842" spans="1:7" x14ac:dyDescent="0.25">
      <c r="A4842" s="1" t="str">
        <f>"518922"</f>
        <v>518922</v>
      </c>
      <c r="B4842" s="2" t="str">
        <f>"CAMERA AIR LIVE OD-325 HD"</f>
        <v>CAMERA AIR LIVE OD-325 HD</v>
      </c>
      <c r="C4842" s="2" t="str">
        <f t="shared" si="196"/>
        <v>UN</v>
      </c>
      <c r="D4842" s="7">
        <v>814</v>
      </c>
      <c r="E4842" s="3">
        <v>10</v>
      </c>
      <c r="F4842" s="3">
        <v>10</v>
      </c>
      <c r="G4842" t="s">
        <v>514</v>
      </c>
    </row>
    <row r="4843" spans="1:7" x14ac:dyDescent="0.25">
      <c r="A4843" s="1" t="str">
        <f>"518924"</f>
        <v>518924</v>
      </c>
      <c r="B4843" s="2" t="str">
        <f>"CAMERA AIR LIVE POE 100 CAM"</f>
        <v>CAMERA AIR LIVE POE 100 CAM</v>
      </c>
      <c r="C4843" s="2" t="str">
        <f t="shared" si="196"/>
        <v>UN</v>
      </c>
      <c r="D4843" s="7">
        <v>814</v>
      </c>
      <c r="E4843" s="3">
        <v>10</v>
      </c>
      <c r="F4843" s="3">
        <v>10</v>
      </c>
      <c r="G4843" t="s">
        <v>513</v>
      </c>
    </row>
    <row r="4844" spans="1:7" x14ac:dyDescent="0.25">
      <c r="A4844" s="1" t="str">
        <f>"518925"</f>
        <v>518925</v>
      </c>
      <c r="B4844" s="2" t="str">
        <f>"CAMERA AIR LIVE POE 250 HD"</f>
        <v>CAMERA AIR LIVE POE 250 HD</v>
      </c>
      <c r="C4844" s="2" t="str">
        <f t="shared" si="196"/>
        <v>UN</v>
      </c>
      <c r="D4844" s="7">
        <v>814</v>
      </c>
      <c r="E4844" s="3">
        <v>10</v>
      </c>
      <c r="F4844" s="3">
        <v>10</v>
      </c>
      <c r="G4844" t="s">
        <v>513</v>
      </c>
    </row>
    <row r="4845" spans="1:7" x14ac:dyDescent="0.25">
      <c r="A4845" s="1" t="str">
        <f>"519584"</f>
        <v>519584</v>
      </c>
      <c r="B4845" s="2" t="str">
        <f>"CAMERA AR L-15 PU"</f>
        <v>CAMERA AR L-15 PU</v>
      </c>
      <c r="C4845" s="2" t="str">
        <f>"MT"</f>
        <v>MT</v>
      </c>
      <c r="D4845" s="7">
        <v>918</v>
      </c>
      <c r="E4845" s="3">
        <v>11</v>
      </c>
      <c r="F4845" s="3">
        <v>11</v>
      </c>
      <c r="G4845" t="s">
        <v>513</v>
      </c>
    </row>
    <row r="4846" spans="1:7" x14ac:dyDescent="0.25">
      <c r="A4846" s="1" t="str">
        <f>"520877"</f>
        <v>520877</v>
      </c>
      <c r="B4846" s="2" t="str">
        <f>"CAMERA BULLET IP 3.0 MEGAPIXEL THKID"</f>
        <v>CAMERA BULLET IP 3.0 MEGAPIXEL THKID</v>
      </c>
      <c r="C4846" s="2" t="str">
        <f t="shared" ref="C4846:C4891" si="197">"UN"</f>
        <v>UN</v>
      </c>
      <c r="D4846" s="7">
        <v>401</v>
      </c>
      <c r="E4846" s="3">
        <v>4</v>
      </c>
      <c r="F4846" s="3">
        <v>4</v>
      </c>
      <c r="G4846" t="s">
        <v>512</v>
      </c>
    </row>
    <row r="4847" spans="1:7" x14ac:dyDescent="0.25">
      <c r="A4847" s="1" t="str">
        <f>"505708"</f>
        <v>505708</v>
      </c>
      <c r="B4847" s="2" t="str">
        <f>"CAMERA COCO"</f>
        <v>CAMERA COCO</v>
      </c>
      <c r="C4847" s="2" t="str">
        <f t="shared" si="197"/>
        <v>UN</v>
      </c>
      <c r="D4847" s="7">
        <v>814</v>
      </c>
      <c r="E4847" s="3">
        <v>10</v>
      </c>
      <c r="F4847" s="3">
        <v>10</v>
      </c>
      <c r="G4847" t="s">
        <v>513</v>
      </c>
    </row>
    <row r="4848" spans="1:7" x14ac:dyDescent="0.25">
      <c r="A4848" s="1" t="str">
        <f>"510340"</f>
        <v>510340</v>
      </c>
      <c r="B4848" s="2" t="str">
        <f>"CAMERA COLOR CCD C/ INFRA MOD. CIR-26"</f>
        <v>CAMERA COLOR CCD C/ INFRA MOD. CIR-26</v>
      </c>
      <c r="C4848" s="2" t="str">
        <f t="shared" si="197"/>
        <v>UN</v>
      </c>
      <c r="D4848" s="7">
        <v>601</v>
      </c>
      <c r="E4848" s="3">
        <v>8</v>
      </c>
      <c r="F4848" s="3">
        <v>8</v>
      </c>
      <c r="G4848" t="s">
        <v>514</v>
      </c>
    </row>
    <row r="4849" spans="1:7" x14ac:dyDescent="0.25">
      <c r="A4849" s="1" t="str">
        <f>"507667"</f>
        <v>507667</v>
      </c>
      <c r="B4849" s="2" t="str">
        <f>"CAMERA COLORIDA"</f>
        <v>CAMERA COLORIDA</v>
      </c>
      <c r="C4849" s="2" t="str">
        <f t="shared" si="197"/>
        <v>UN</v>
      </c>
      <c r="D4849" s="7">
        <v>814</v>
      </c>
      <c r="E4849" s="3">
        <v>10</v>
      </c>
      <c r="F4849" s="3">
        <v>10</v>
      </c>
      <c r="G4849" t="s">
        <v>515</v>
      </c>
    </row>
    <row r="4850" spans="1:7" x14ac:dyDescent="0.25">
      <c r="A4850" s="1" t="str">
        <f>"507668"</f>
        <v>507668</v>
      </c>
      <c r="B4850" s="2" t="str">
        <f>"CAMERA DAY NIGHT TP-LINK"</f>
        <v>CAMERA DAY NIGHT TP-LINK</v>
      </c>
      <c r="C4850" s="2" t="str">
        <f t="shared" si="197"/>
        <v>UN</v>
      </c>
      <c r="D4850" s="7">
        <v>814</v>
      </c>
      <c r="E4850" s="3">
        <v>10</v>
      </c>
      <c r="F4850" s="3">
        <v>10</v>
      </c>
      <c r="G4850" t="s">
        <v>512</v>
      </c>
    </row>
    <row r="4851" spans="1:7" x14ac:dyDescent="0.25">
      <c r="A4851" s="1" t="str">
        <f>"525294"</f>
        <v>525294</v>
      </c>
      <c r="B4851" s="2" t="str">
        <f>"CAMERA DE MEMBRANS MLP-9152-02"</f>
        <v>CAMERA DE MEMBRANS MLP-9152-02</v>
      </c>
      <c r="C4851" s="2" t="str">
        <f t="shared" si="197"/>
        <v>UN</v>
      </c>
      <c r="D4851" s="7">
        <v>918</v>
      </c>
      <c r="E4851" s="3">
        <v>11</v>
      </c>
      <c r="F4851" s="3">
        <v>11</v>
      </c>
      <c r="G4851" t="s">
        <v>516</v>
      </c>
    </row>
    <row r="4852" spans="1:7" x14ac:dyDescent="0.25">
      <c r="A4852" s="1" t="str">
        <f>"510959"</f>
        <v>510959</v>
      </c>
      <c r="B4852" s="2" t="str">
        <f>"CAMERA DIGITAL"</f>
        <v>CAMERA DIGITAL</v>
      </c>
      <c r="C4852" s="2" t="str">
        <f t="shared" si="197"/>
        <v>UN</v>
      </c>
      <c r="D4852" s="7">
        <v>401</v>
      </c>
      <c r="E4852" s="3">
        <v>4</v>
      </c>
      <c r="F4852" s="3">
        <v>4</v>
      </c>
      <c r="G4852" t="s">
        <v>515</v>
      </c>
    </row>
    <row r="4853" spans="1:7" x14ac:dyDescent="0.25">
      <c r="A4853" s="1" t="str">
        <f>"518926"</f>
        <v>518926</v>
      </c>
      <c r="B4853" s="2" t="str">
        <f>"CAMERA EB45A-B INFRA RED DC12V"</f>
        <v>CAMERA EB45A-B INFRA RED DC12V</v>
      </c>
      <c r="C4853" s="2" t="str">
        <f t="shared" si="197"/>
        <v>UN</v>
      </c>
      <c r="D4853" s="7">
        <v>814</v>
      </c>
      <c r="E4853" s="3">
        <v>10</v>
      </c>
      <c r="F4853" s="3">
        <v>10</v>
      </c>
      <c r="G4853" t="s">
        <v>514</v>
      </c>
    </row>
    <row r="4854" spans="1:7" x14ac:dyDescent="0.25">
      <c r="A4854" s="1" t="str">
        <f>"528036"</f>
        <v>528036</v>
      </c>
      <c r="B4854" s="2" t="str">
        <f>"CAMERA EXTERNA INTELBRAS IM5"</f>
        <v>CAMERA EXTERNA INTELBRAS IM5</v>
      </c>
      <c r="C4854" s="2" t="str">
        <f t="shared" si="197"/>
        <v>UN</v>
      </c>
      <c r="D4854" s="7">
        <v>814</v>
      </c>
      <c r="E4854" s="3">
        <v>10</v>
      </c>
      <c r="F4854" s="3">
        <v>10</v>
      </c>
      <c r="G4854" t="s">
        <v>512</v>
      </c>
    </row>
    <row r="4855" spans="1:7" x14ac:dyDescent="0.25">
      <c r="A4855" s="1" t="str">
        <f>"516888"</f>
        <v>516888</v>
      </c>
      <c r="B4855" s="2" t="str">
        <f>"CAMERA INFRA 50MTS CCD SONY"</f>
        <v>CAMERA INFRA 50MTS CCD SONY</v>
      </c>
      <c r="C4855" s="2" t="str">
        <f t="shared" si="197"/>
        <v>UN</v>
      </c>
      <c r="D4855" s="7">
        <v>811</v>
      </c>
      <c r="E4855" s="3">
        <v>8</v>
      </c>
      <c r="F4855" s="3">
        <v>8</v>
      </c>
      <c r="G4855" t="s">
        <v>513</v>
      </c>
    </row>
    <row r="4856" spans="1:7" x14ac:dyDescent="0.25">
      <c r="A4856" s="1" t="str">
        <f>"517169"</f>
        <v>517169</v>
      </c>
      <c r="B4856" s="2" t="str">
        <f>"CAMERA INFRA RED 24 LEDS CCD SO 1/3"</f>
        <v>CAMERA INFRA RED 24 LEDS CCD SO 1/3</v>
      </c>
      <c r="C4856" s="2" t="str">
        <f t="shared" si="197"/>
        <v>UN</v>
      </c>
      <c r="D4856" s="7">
        <v>811</v>
      </c>
      <c r="E4856" s="3">
        <v>8</v>
      </c>
      <c r="F4856" s="3">
        <v>8</v>
      </c>
      <c r="G4856" t="s">
        <v>514</v>
      </c>
    </row>
    <row r="4857" spans="1:7" x14ac:dyDescent="0.25">
      <c r="A4857" s="1" t="str">
        <f>"519860"</f>
        <v>519860</v>
      </c>
      <c r="B4857" s="2" t="str">
        <f>"CAMERA INFRA RED BULLET TECVOZ"</f>
        <v>CAMERA INFRA RED BULLET TECVOZ</v>
      </c>
      <c r="C4857" s="2" t="str">
        <f t="shared" si="197"/>
        <v>UN</v>
      </c>
      <c r="D4857" s="7">
        <v>814</v>
      </c>
      <c r="E4857" s="3">
        <v>8</v>
      </c>
      <c r="F4857" s="3">
        <v>8</v>
      </c>
      <c r="G4857" t="s">
        <v>514</v>
      </c>
    </row>
    <row r="4858" spans="1:7" x14ac:dyDescent="0.25">
      <c r="A4858" s="1" t="str">
        <f>"514433"</f>
        <v>514433</v>
      </c>
      <c r="B4858" s="2" t="str">
        <f>"CAMERA IP"</f>
        <v>CAMERA IP</v>
      </c>
      <c r="C4858" s="2" t="str">
        <f t="shared" si="197"/>
        <v>UN</v>
      </c>
      <c r="D4858" s="7">
        <v>401</v>
      </c>
      <c r="E4858" s="3">
        <v>13</v>
      </c>
      <c r="F4858" s="3">
        <v>13</v>
      </c>
      <c r="G4858" t="s">
        <v>512</v>
      </c>
    </row>
    <row r="4859" spans="1:7" x14ac:dyDescent="0.25">
      <c r="A4859" s="1" t="str">
        <f>"528039"</f>
        <v>528039</v>
      </c>
      <c r="B4859" s="2" t="str">
        <f>"CAMERA IP BULLET 1230 VIP"</f>
        <v>CAMERA IP BULLET 1230 VIP</v>
      </c>
      <c r="C4859" s="2" t="str">
        <f t="shared" si="197"/>
        <v>UN</v>
      </c>
      <c r="D4859" s="7">
        <v>814</v>
      </c>
      <c r="E4859" s="3">
        <v>10</v>
      </c>
      <c r="F4859" s="3">
        <v>10</v>
      </c>
      <c r="G4859" t="s">
        <v>513</v>
      </c>
    </row>
    <row r="4860" spans="1:7" x14ac:dyDescent="0.25">
      <c r="A4860" s="1" t="str">
        <f>"506049"</f>
        <v>506049</v>
      </c>
      <c r="B4860" s="2" t="str">
        <f>"CAMERA IR 36 LEDS CCD 1/3 SONY"</f>
        <v>CAMERA IR 36 LEDS CCD 1/3 SONY</v>
      </c>
      <c r="C4860" s="2" t="str">
        <f t="shared" si="197"/>
        <v>UN</v>
      </c>
      <c r="D4860" s="7">
        <v>811</v>
      </c>
      <c r="E4860" s="3">
        <v>8</v>
      </c>
      <c r="F4860" s="3">
        <v>8</v>
      </c>
      <c r="G4860" t="s">
        <v>514</v>
      </c>
    </row>
    <row r="4861" spans="1:7" x14ac:dyDescent="0.25">
      <c r="A4861" s="1" t="str">
        <f>"516887"</f>
        <v>516887</v>
      </c>
      <c r="B4861" s="2" t="str">
        <f>"CAMERA IR 36 LEDS CCD 1/3 SONY"</f>
        <v>CAMERA IR 36 LEDS CCD 1/3 SONY</v>
      </c>
      <c r="C4861" s="2" t="str">
        <f t="shared" si="197"/>
        <v>UN</v>
      </c>
      <c r="D4861" s="7">
        <v>811</v>
      </c>
      <c r="E4861" s="3">
        <v>8</v>
      </c>
      <c r="F4861" s="3">
        <v>8</v>
      </c>
      <c r="G4861" t="s">
        <v>514</v>
      </c>
    </row>
    <row r="4862" spans="1:7" x14ac:dyDescent="0.25">
      <c r="A4862" s="1" t="str">
        <f>"514711"</f>
        <v>514711</v>
      </c>
      <c r="B4862" s="2" t="str">
        <f>"CAMERA MIRAGE TREND 14MP"</f>
        <v>CAMERA MIRAGE TREND 14MP</v>
      </c>
      <c r="C4862" s="2" t="str">
        <f t="shared" si="197"/>
        <v>UN</v>
      </c>
      <c r="D4862" s="7">
        <v>401</v>
      </c>
      <c r="E4862" s="3">
        <v>4</v>
      </c>
      <c r="F4862" s="3">
        <v>4</v>
      </c>
      <c r="G4862" t="s">
        <v>514</v>
      </c>
    </row>
    <row r="4863" spans="1:7" x14ac:dyDescent="0.25">
      <c r="A4863" s="1" t="str">
        <f>"517168"</f>
        <v>517168</v>
      </c>
      <c r="B4863" s="2" t="str">
        <f>"CAMERA PROSISSIONAL CP47-SNNXH-TOPWAY"</f>
        <v>CAMERA PROSISSIONAL CP47-SNNXH-TOPWAY</v>
      </c>
      <c r="C4863" s="2" t="str">
        <f t="shared" si="197"/>
        <v>UN</v>
      </c>
      <c r="D4863" s="7">
        <v>811</v>
      </c>
      <c r="E4863" s="3">
        <v>8</v>
      </c>
      <c r="F4863" s="3">
        <v>8</v>
      </c>
      <c r="G4863" t="s">
        <v>513</v>
      </c>
    </row>
    <row r="4864" spans="1:7" x14ac:dyDescent="0.25">
      <c r="A4864" s="1" t="str">
        <f>"526654"</f>
        <v>526654</v>
      </c>
      <c r="B4864" s="2" t="str">
        <f>"CAMES DE PRE CORTE"</f>
        <v>CAMES DE PRE CORTE</v>
      </c>
      <c r="C4864" s="2" t="str">
        <f t="shared" si="197"/>
        <v>UN</v>
      </c>
      <c r="D4864" s="7">
        <v>918</v>
      </c>
      <c r="E4864" s="3">
        <v>11</v>
      </c>
      <c r="F4864" s="3">
        <v>11</v>
      </c>
      <c r="G4864" t="s">
        <v>512</v>
      </c>
    </row>
    <row r="4865" spans="1:7" x14ac:dyDescent="0.25">
      <c r="A4865" s="1" t="str">
        <f>"522279"</f>
        <v>522279</v>
      </c>
      <c r="B4865" s="2" t="str">
        <f>"CAMINHAO ACTROS 2546 LS/33 MB 2017/2017"</f>
        <v>CAMINHAO ACTROS 2546 LS/33 MB 2017/2017</v>
      </c>
      <c r="C4865" s="2" t="str">
        <f t="shared" si="197"/>
        <v>UN</v>
      </c>
      <c r="D4865" s="7">
        <v>99999</v>
      </c>
      <c r="E4865" s="3">
        <v>99</v>
      </c>
      <c r="F4865" s="3">
        <v>99</v>
      </c>
      <c r="G4865" t="s">
        <v>513</v>
      </c>
    </row>
    <row r="4866" spans="1:7" x14ac:dyDescent="0.25">
      <c r="A4866" s="1" t="str">
        <f>"522278"</f>
        <v>522278</v>
      </c>
      <c r="B4866" s="2" t="str">
        <f>"CAMINHAO ATEGO 2430/54 MB 2017/2017"</f>
        <v>CAMINHAO ATEGO 2430/54 MB 2017/2017</v>
      </c>
      <c r="C4866" s="2" t="str">
        <f t="shared" si="197"/>
        <v>UN</v>
      </c>
      <c r="D4866" s="7">
        <v>99999</v>
      </c>
      <c r="E4866" s="3">
        <v>99</v>
      </c>
      <c r="F4866" s="3">
        <v>99</v>
      </c>
      <c r="G4866" t="s">
        <v>514</v>
      </c>
    </row>
    <row r="4867" spans="1:7" x14ac:dyDescent="0.25">
      <c r="A4867" s="1" t="str">
        <f>"511450"</f>
        <v>511450</v>
      </c>
      <c r="B4867" s="2" t="str">
        <f>"CAMINHAO CONSTELLATION 17/24 VW/24250"</f>
        <v>CAMINHAO CONSTELLATION 17/24 VW/24250</v>
      </c>
      <c r="C4867" s="2" t="str">
        <f t="shared" si="197"/>
        <v>UN</v>
      </c>
      <c r="D4867" s="7">
        <v>1200</v>
      </c>
      <c r="E4867" s="3">
        <v>13</v>
      </c>
      <c r="F4867" s="3">
        <v>13</v>
      </c>
      <c r="G4867" t="s">
        <v>514</v>
      </c>
    </row>
    <row r="4868" spans="1:7" x14ac:dyDescent="0.25">
      <c r="A4868" s="1" t="str">
        <f>"519571"</f>
        <v>519571</v>
      </c>
      <c r="B4868" s="2" t="str">
        <f>"CAMINHÃO FORD CARGO 1722 ANO 2010/2010 PLACA ATR-2364"</f>
        <v>CAMINHÃO FORD CARGO 1722 ANO 2010/2010 PLACA ATR-2364</v>
      </c>
      <c r="C4868" s="2" t="str">
        <f t="shared" si="197"/>
        <v>UN</v>
      </c>
      <c r="D4868" s="7">
        <v>99999</v>
      </c>
      <c r="E4868" s="3">
        <v>99</v>
      </c>
      <c r="F4868" s="3">
        <v>99</v>
      </c>
      <c r="G4868" t="s">
        <v>514</v>
      </c>
    </row>
    <row r="4869" spans="1:7" x14ac:dyDescent="0.25">
      <c r="A4869" s="1" t="str">
        <f>"519692"</f>
        <v>519692</v>
      </c>
      <c r="B4869" s="2" t="str">
        <f>"CAMINHÃO FORD CARGO 1723 BRANCO ARTICO 2015/2015"</f>
        <v>CAMINHÃO FORD CARGO 1723 BRANCO ARTICO 2015/2015</v>
      </c>
      <c r="C4869" s="2" t="str">
        <f t="shared" si="197"/>
        <v>UN</v>
      </c>
      <c r="D4869" s="7">
        <v>99999</v>
      </c>
      <c r="E4869" s="3">
        <v>99</v>
      </c>
      <c r="F4869" s="3">
        <v>99</v>
      </c>
      <c r="G4869" t="s">
        <v>513</v>
      </c>
    </row>
    <row r="4870" spans="1:7" x14ac:dyDescent="0.25">
      <c r="A4870" s="1" t="str">
        <f>"516329"</f>
        <v>516329</v>
      </c>
      <c r="B4870" s="2" t="str">
        <f>"CAMINHÃO FORD CARGO 2422 2005/2005"</f>
        <v>CAMINHÃO FORD CARGO 2422 2005/2005</v>
      </c>
      <c r="C4870" s="2" t="str">
        <f t="shared" si="197"/>
        <v>UN</v>
      </c>
      <c r="D4870" s="7">
        <v>2000</v>
      </c>
      <c r="E4870" s="3">
        <v>9</v>
      </c>
      <c r="F4870" s="3">
        <v>9</v>
      </c>
      <c r="G4870" t="s">
        <v>513</v>
      </c>
    </row>
    <row r="4871" spans="1:7" x14ac:dyDescent="0.25">
      <c r="A4871" s="1" t="str">
        <f>"520664"</f>
        <v>520664</v>
      </c>
      <c r="B4871" s="2" t="str">
        <f>"CAMINHÃO FORD CARGO 2429BL 2016/2017"</f>
        <v>CAMINHÃO FORD CARGO 2429BL 2016/2017</v>
      </c>
      <c r="C4871" s="2" t="str">
        <f t="shared" si="197"/>
        <v>UN</v>
      </c>
      <c r="D4871" s="7">
        <v>99999</v>
      </c>
      <c r="E4871" s="3">
        <v>99</v>
      </c>
      <c r="F4871" s="3">
        <v>99</v>
      </c>
      <c r="G4871" t="s">
        <v>513</v>
      </c>
    </row>
    <row r="4872" spans="1:7" x14ac:dyDescent="0.25">
      <c r="A4872" s="1" t="str">
        <f>"519583"</f>
        <v>519583</v>
      </c>
      <c r="B4872" s="2" t="str">
        <f>"CAMINHÃO FORD CARGO 2429L 2014/2015"</f>
        <v>CAMINHÃO FORD CARGO 2429L 2014/2015</v>
      </c>
      <c r="C4872" s="2" t="str">
        <f t="shared" si="197"/>
        <v>UN</v>
      </c>
      <c r="D4872" s="7">
        <v>99999</v>
      </c>
      <c r="E4872" s="3">
        <v>99</v>
      </c>
      <c r="F4872" s="3">
        <v>99</v>
      </c>
      <c r="G4872" t="s">
        <v>512</v>
      </c>
    </row>
    <row r="4873" spans="1:7" x14ac:dyDescent="0.25">
      <c r="A4873" s="1" t="str">
        <f>"518954"</f>
        <v>518954</v>
      </c>
      <c r="B4873" s="2" t="str">
        <f>"CAMINHÃO FORD CARGO 2842 2014/2014"</f>
        <v>CAMINHÃO FORD CARGO 2842 2014/2014</v>
      </c>
      <c r="C4873" s="2" t="str">
        <f t="shared" si="197"/>
        <v>UN</v>
      </c>
      <c r="D4873" s="7">
        <v>2000</v>
      </c>
      <c r="E4873" s="3">
        <v>16</v>
      </c>
      <c r="F4873" s="3">
        <v>16</v>
      </c>
      <c r="G4873" t="s">
        <v>513</v>
      </c>
    </row>
    <row r="4874" spans="1:7" x14ac:dyDescent="0.25">
      <c r="A4874" s="1" t="str">
        <f>"519168"</f>
        <v>519168</v>
      </c>
      <c r="B4874" s="2" t="str">
        <f>"CAMINHÃO FORD CARGO 4432 E 2006/2006"</f>
        <v>CAMINHÃO FORD CARGO 4432 E 2006/2006</v>
      </c>
      <c r="C4874" s="2" t="str">
        <f t="shared" si="197"/>
        <v>UN</v>
      </c>
      <c r="D4874" s="7">
        <v>2000</v>
      </c>
      <c r="E4874" s="3">
        <v>16</v>
      </c>
      <c r="F4874" s="3">
        <v>16</v>
      </c>
      <c r="G4874" t="s">
        <v>514</v>
      </c>
    </row>
    <row r="4875" spans="1:7" x14ac:dyDescent="0.25">
      <c r="A4875" s="1" t="str">
        <f>"522404"</f>
        <v>522404</v>
      </c>
      <c r="B4875" s="2" t="str">
        <f>"CAMINHÃO IVECO STRALIS"</f>
        <v>CAMINHÃO IVECO STRALIS</v>
      </c>
      <c r="C4875" s="2" t="str">
        <f t="shared" si="197"/>
        <v>UN</v>
      </c>
      <c r="D4875" s="7">
        <v>99999</v>
      </c>
      <c r="E4875" s="3">
        <v>99</v>
      </c>
      <c r="F4875" s="3">
        <v>99</v>
      </c>
      <c r="G4875" t="s">
        <v>515</v>
      </c>
    </row>
    <row r="4876" spans="1:7" x14ac:dyDescent="0.25">
      <c r="A4876" s="1" t="str">
        <f>"519572"</f>
        <v>519572</v>
      </c>
      <c r="B4876" s="2" t="str">
        <f>"CAMINHÃO MB 1318L TOCO 2007/2008 PLACA APO-5991"</f>
        <v>CAMINHÃO MB 1318L TOCO 2007/2008 PLACA APO-5991</v>
      </c>
      <c r="C4876" s="2" t="str">
        <f t="shared" si="197"/>
        <v>UN</v>
      </c>
      <c r="D4876" s="7">
        <v>99999</v>
      </c>
      <c r="E4876" s="3">
        <v>99</v>
      </c>
      <c r="F4876" s="3">
        <v>99</v>
      </c>
      <c r="G4876" t="s">
        <v>512</v>
      </c>
    </row>
    <row r="4877" spans="1:7" x14ac:dyDescent="0.25">
      <c r="A4877" s="1" t="str">
        <f>"527992"</f>
        <v>527992</v>
      </c>
      <c r="B4877" s="2" t="str">
        <f>"CAMINHÃO MB 710 PLACA ARY-1368 CHASSI 9BM6881589B673122"</f>
        <v>CAMINHÃO MB 710 PLACA ARY-1368 CHASSI 9BM6881589B673122</v>
      </c>
      <c r="C4877" s="2" t="str">
        <f t="shared" si="197"/>
        <v>UN</v>
      </c>
      <c r="D4877" s="7">
        <v>99999</v>
      </c>
      <c r="E4877" s="3">
        <v>99</v>
      </c>
      <c r="F4877" s="3">
        <v>99</v>
      </c>
      <c r="G4877" t="s">
        <v>516</v>
      </c>
    </row>
    <row r="4878" spans="1:7" x14ac:dyDescent="0.25">
      <c r="A4878" s="1" t="str">
        <f>"527518"</f>
        <v>527518</v>
      </c>
      <c r="B4878" s="2" t="str">
        <f>"CAMINHÃO PLACA DPF-2818 CHASSI 9BM6881577B522321 BR 2007"</f>
        <v>CAMINHÃO PLACA DPF-2818 CHASSI 9BM6881577B522321 BR 2007</v>
      </c>
      <c r="C4878" s="2" t="str">
        <f t="shared" si="197"/>
        <v>UN</v>
      </c>
      <c r="D4878" s="7">
        <v>99999</v>
      </c>
      <c r="E4878" s="3">
        <v>99</v>
      </c>
      <c r="F4878" s="3">
        <v>99</v>
      </c>
      <c r="G4878" t="s">
        <v>515</v>
      </c>
    </row>
    <row r="4879" spans="1:7" x14ac:dyDescent="0.25">
      <c r="A4879" s="1" t="str">
        <f>"513555"</f>
        <v>513555</v>
      </c>
      <c r="B4879" s="2" t="str">
        <f>"CAMINHÃO TRATOR MB1938 ANO/MOD2004"</f>
        <v>CAMINHÃO TRATOR MB1938 ANO/MOD2004</v>
      </c>
      <c r="C4879" s="2" t="str">
        <f t="shared" si="197"/>
        <v>UN</v>
      </c>
      <c r="D4879" s="7">
        <v>99999</v>
      </c>
      <c r="E4879" s="3">
        <v>99</v>
      </c>
      <c r="F4879" s="3">
        <v>99</v>
      </c>
      <c r="G4879" t="s">
        <v>514</v>
      </c>
    </row>
    <row r="4880" spans="1:7" x14ac:dyDescent="0.25">
      <c r="A4880" s="1" t="str">
        <f>"510688"</f>
        <v>510688</v>
      </c>
      <c r="B4880" s="2" t="str">
        <f>"CAMINHAO TRATOR VW/25.370 CLM T6X2"</f>
        <v>CAMINHAO TRATOR VW/25.370 CLM T6X2</v>
      </c>
      <c r="C4880" s="2" t="str">
        <f t="shared" si="197"/>
        <v>UN</v>
      </c>
      <c r="D4880" s="7">
        <v>1200</v>
      </c>
      <c r="E4880" s="3">
        <v>13</v>
      </c>
      <c r="F4880" s="3">
        <v>13</v>
      </c>
      <c r="G4880" t="s">
        <v>512</v>
      </c>
    </row>
    <row r="4881" spans="1:7" x14ac:dyDescent="0.25">
      <c r="A4881" s="1" t="str">
        <f>"514223"</f>
        <v>514223</v>
      </c>
      <c r="B4881" s="2" t="str">
        <f>"CAMINHAO VOLVO VM 260 07/08"</f>
        <v>CAMINHAO VOLVO VM 260 07/08</v>
      </c>
      <c r="C4881" s="2" t="str">
        <f t="shared" si="197"/>
        <v>UN</v>
      </c>
      <c r="D4881" s="7">
        <v>2000</v>
      </c>
      <c r="E4881" s="3">
        <v>16</v>
      </c>
      <c r="F4881" s="3">
        <v>16</v>
      </c>
      <c r="G4881" t="s">
        <v>513</v>
      </c>
    </row>
    <row r="4882" spans="1:7" x14ac:dyDescent="0.25">
      <c r="A4882" s="1" t="str">
        <f>"514511"</f>
        <v>514511</v>
      </c>
      <c r="B4882" s="2" t="str">
        <f>"CAMINHAO VW 24.250 CLC 6X2 17/24TON CONSTELLATION"</f>
        <v>CAMINHAO VW 24.250 CLC 6X2 17/24TON CONSTELLATION</v>
      </c>
      <c r="C4882" s="2" t="str">
        <f t="shared" si="197"/>
        <v>UN</v>
      </c>
      <c r="D4882" s="7">
        <v>1300</v>
      </c>
      <c r="E4882" s="3">
        <v>13</v>
      </c>
      <c r="F4882" s="3">
        <v>13</v>
      </c>
      <c r="G4882" t="s">
        <v>514</v>
      </c>
    </row>
    <row r="4883" spans="1:7" x14ac:dyDescent="0.25">
      <c r="A4883" s="1" t="str">
        <f>"518396"</f>
        <v>518396</v>
      </c>
      <c r="B4883" s="2" t="str">
        <f>"CAMINHÃO VW MAN 28-440"</f>
        <v>CAMINHÃO VW MAN 28-440</v>
      </c>
      <c r="C4883" s="2" t="str">
        <f t="shared" si="197"/>
        <v>UN</v>
      </c>
      <c r="D4883" s="7">
        <v>99999</v>
      </c>
      <c r="E4883" s="3">
        <v>99</v>
      </c>
      <c r="F4883" s="3">
        <v>99</v>
      </c>
      <c r="G4883" t="s">
        <v>514</v>
      </c>
    </row>
    <row r="4884" spans="1:7" x14ac:dyDescent="0.25">
      <c r="A4884" s="1" t="str">
        <f>"516026"</f>
        <v>516026</v>
      </c>
      <c r="B4884" s="2" t="str">
        <f>"CAMINHONETE PL AQF-5877 - 1542"</f>
        <v>CAMINHONETE PL AQF-5877 - 1542</v>
      </c>
      <c r="C4884" s="2" t="str">
        <f t="shared" si="197"/>
        <v>UN</v>
      </c>
      <c r="D4884" s="7">
        <v>99999</v>
      </c>
      <c r="E4884" s="3">
        <v>99</v>
      </c>
      <c r="F4884" s="3">
        <v>99</v>
      </c>
      <c r="G4884" t="s">
        <v>512</v>
      </c>
    </row>
    <row r="4885" spans="1:7" x14ac:dyDescent="0.25">
      <c r="A4885" s="1" t="str">
        <f>"515886"</f>
        <v>515886</v>
      </c>
      <c r="B4885" s="2" t="str">
        <f>"CAMISA"</f>
        <v>CAMISA</v>
      </c>
      <c r="C4885" s="2" t="str">
        <f t="shared" si="197"/>
        <v>UN</v>
      </c>
      <c r="D4885" s="7">
        <v>704</v>
      </c>
      <c r="E4885" s="3">
        <v>7</v>
      </c>
      <c r="F4885" s="3">
        <v>7</v>
      </c>
      <c r="G4885" t="s">
        <v>513</v>
      </c>
    </row>
    <row r="4886" spans="1:7" x14ac:dyDescent="0.25">
      <c r="A4886" s="1" t="str">
        <f>"515884"</f>
        <v>515884</v>
      </c>
      <c r="B4886" s="2" t="str">
        <f>"CAMISA BLOCO CUMMINS STD"</f>
        <v>CAMISA BLOCO CUMMINS STD</v>
      </c>
      <c r="C4886" s="2" t="str">
        <f t="shared" si="197"/>
        <v>UN</v>
      </c>
      <c r="D4886" s="7">
        <v>704</v>
      </c>
      <c r="E4886" s="3">
        <v>9</v>
      </c>
      <c r="F4886" s="3">
        <v>9</v>
      </c>
      <c r="G4886" t="s">
        <v>514</v>
      </c>
    </row>
    <row r="4887" spans="1:7" x14ac:dyDescent="0.25">
      <c r="A4887" s="1" t="str">
        <f>"515885"</f>
        <v>515885</v>
      </c>
      <c r="B4887" s="2" t="str">
        <f>"CAMISA BLOCO CUMMINS STD (UC4598)"</f>
        <v>CAMISA BLOCO CUMMINS STD (UC4598)</v>
      </c>
      <c r="C4887" s="2" t="str">
        <f t="shared" si="197"/>
        <v>UN</v>
      </c>
      <c r="D4887" s="7">
        <v>704</v>
      </c>
      <c r="E4887" s="3">
        <v>9</v>
      </c>
      <c r="F4887" s="3">
        <v>9</v>
      </c>
      <c r="G4887" t="s">
        <v>514</v>
      </c>
    </row>
    <row r="4888" spans="1:7" x14ac:dyDescent="0.25">
      <c r="A4888" s="1" t="str">
        <f>"507829"</f>
        <v>507829</v>
      </c>
      <c r="B4888" s="2" t="str">
        <f>"CAMISA CIL. 100 S/L"</f>
        <v>CAMISA CIL. 100 S/L</v>
      </c>
      <c r="C4888" s="2" t="str">
        <f t="shared" si="197"/>
        <v>UN</v>
      </c>
      <c r="D4888" s="7">
        <v>918</v>
      </c>
      <c r="E4888" s="3">
        <v>11</v>
      </c>
      <c r="F4888" s="3">
        <v>11</v>
      </c>
      <c r="G4888" t="s">
        <v>514</v>
      </c>
    </row>
    <row r="4889" spans="1:7" x14ac:dyDescent="0.25">
      <c r="A4889" s="1" t="str">
        <f>"504926"</f>
        <v>504926</v>
      </c>
      <c r="B4889" s="2" t="str">
        <f>"CAMISA CILINDRO - STD - EXT.89 COL.90,6"</f>
        <v>CAMISA CILINDRO - STD - EXT.89 COL.90,6</v>
      </c>
      <c r="C4889" s="2" t="str">
        <f t="shared" si="197"/>
        <v>UN</v>
      </c>
      <c r="D4889" s="7">
        <v>918</v>
      </c>
      <c r="E4889" s="3">
        <v>11</v>
      </c>
      <c r="F4889" s="3">
        <v>11</v>
      </c>
      <c r="G4889" t="s">
        <v>513</v>
      </c>
    </row>
    <row r="4890" spans="1:7" x14ac:dyDescent="0.25">
      <c r="A4890" s="1" t="str">
        <f>"510029"</f>
        <v>510029</v>
      </c>
      <c r="B4890" s="2" t="str">
        <f>"CAMISA CILINDRO 65"</f>
        <v>CAMISA CILINDRO 65</v>
      </c>
      <c r="C4890" s="2" t="str">
        <f t="shared" si="197"/>
        <v>UN</v>
      </c>
      <c r="D4890" s="7">
        <v>918</v>
      </c>
      <c r="E4890" s="3">
        <v>11</v>
      </c>
      <c r="F4890" s="3">
        <v>11</v>
      </c>
      <c r="G4890" t="s">
        <v>512</v>
      </c>
    </row>
    <row r="4891" spans="1:7" x14ac:dyDescent="0.25">
      <c r="A4891" s="1" t="str">
        <f>"517382"</f>
        <v>517382</v>
      </c>
      <c r="B4891" s="2" t="str">
        <f>"CAMISA CILINDRO A - CR0619-AC-EX"</f>
        <v>CAMISA CILINDRO A - CR0619-AC-EX</v>
      </c>
      <c r="C4891" s="2" t="str">
        <f t="shared" si="197"/>
        <v>UN</v>
      </c>
      <c r="D4891" s="7">
        <v>918</v>
      </c>
      <c r="E4891" s="3">
        <v>11</v>
      </c>
      <c r="F4891" s="3">
        <v>11</v>
      </c>
      <c r="G4891" t="s">
        <v>513</v>
      </c>
    </row>
    <row r="4892" spans="1:7" x14ac:dyDescent="0.25">
      <c r="A4892" s="1" t="str">
        <f>"503914"</f>
        <v>503914</v>
      </c>
      <c r="B4892" s="2" t="str">
        <f>"CAMISA CILINDRO DNC 100-170MM"</f>
        <v>CAMISA CILINDRO DNC 100-170MM</v>
      </c>
      <c r="C4892" s="2" t="str">
        <f>"BR"</f>
        <v>BR</v>
      </c>
      <c r="D4892" s="7">
        <v>808</v>
      </c>
      <c r="E4892" s="3">
        <v>10</v>
      </c>
      <c r="F4892" s="3">
        <v>10</v>
      </c>
      <c r="G4892" t="s">
        <v>514</v>
      </c>
    </row>
    <row r="4893" spans="1:7" x14ac:dyDescent="0.25">
      <c r="A4893" s="1" t="str">
        <f>"503911"</f>
        <v>503911</v>
      </c>
      <c r="B4893" s="2" t="str">
        <f>"CAMISA CILINDRO DNC 63-160MM"</f>
        <v>CAMISA CILINDRO DNC 63-160MM</v>
      </c>
      <c r="C4893" s="2" t="str">
        <f>"BR"</f>
        <v>BR</v>
      </c>
      <c r="D4893" s="7">
        <v>808</v>
      </c>
      <c r="E4893" s="3">
        <v>10</v>
      </c>
      <c r="F4893" s="3">
        <v>10</v>
      </c>
      <c r="G4893" t="s">
        <v>514</v>
      </c>
    </row>
    <row r="4894" spans="1:7" x14ac:dyDescent="0.25">
      <c r="A4894" s="1" t="str">
        <f>"505610"</f>
        <v>505610</v>
      </c>
      <c r="B4894" s="2" t="str">
        <f>"CAMISA CILINDRO DNC 63-32MM"</f>
        <v>CAMISA CILINDRO DNC 63-32MM</v>
      </c>
      <c r="C4894" s="2" t="str">
        <f>"UN"</f>
        <v>UN</v>
      </c>
      <c r="D4894" s="7">
        <v>913</v>
      </c>
      <c r="E4894" s="3">
        <v>11</v>
      </c>
      <c r="F4894" s="3">
        <v>11</v>
      </c>
      <c r="G4894" t="s">
        <v>514</v>
      </c>
    </row>
    <row r="4895" spans="1:7" x14ac:dyDescent="0.25">
      <c r="A4895" s="1" t="str">
        <f>"503912"</f>
        <v>503912</v>
      </c>
      <c r="B4895" s="2" t="str">
        <f>"CAMISA CILINDRO DNC 80-160MM"</f>
        <v>CAMISA CILINDRO DNC 80-160MM</v>
      </c>
      <c r="C4895" s="2" t="str">
        <f>"BR"</f>
        <v>BR</v>
      </c>
      <c r="D4895" s="7">
        <v>808</v>
      </c>
      <c r="E4895" s="3">
        <v>10</v>
      </c>
      <c r="F4895" s="3">
        <v>10</v>
      </c>
      <c r="G4895" t="s">
        <v>513</v>
      </c>
    </row>
    <row r="4896" spans="1:7" x14ac:dyDescent="0.25">
      <c r="A4896" s="1" t="str">
        <f>"503913"</f>
        <v>503913</v>
      </c>
      <c r="B4896" s="2" t="str">
        <f>"CAMISA CILINDRO DNC 80-170MM"</f>
        <v>CAMISA CILINDRO DNC 80-170MM</v>
      </c>
      <c r="C4896" s="2" t="str">
        <f>"BR"</f>
        <v>BR</v>
      </c>
      <c r="D4896" s="7">
        <v>808</v>
      </c>
      <c r="E4896" s="3">
        <v>10</v>
      </c>
      <c r="F4896" s="3">
        <v>10</v>
      </c>
      <c r="G4896" t="s">
        <v>513</v>
      </c>
    </row>
    <row r="4897" spans="1:7" x14ac:dyDescent="0.25">
      <c r="A4897" s="1" t="str">
        <f>"511976"</f>
        <v>511976</v>
      </c>
      <c r="B4897" s="2" t="str">
        <f>"CAMISA CILINDRO SELAGEM DMAX"</f>
        <v>CAMISA CILINDRO SELAGEM DMAX</v>
      </c>
      <c r="C4897" s="2" t="str">
        <f>"UN"</f>
        <v>UN</v>
      </c>
      <c r="D4897" s="7">
        <v>913</v>
      </c>
      <c r="E4897" s="3">
        <v>11</v>
      </c>
      <c r="F4897" s="3">
        <v>11</v>
      </c>
      <c r="G4897" t="s">
        <v>513</v>
      </c>
    </row>
    <row r="4898" spans="1:7" x14ac:dyDescent="0.25">
      <c r="A4898" s="1" t="str">
        <f>"509357"</f>
        <v>509357</v>
      </c>
      <c r="B4898" s="2" t="str">
        <f>"CAMISA CILINDRO SELAGEM PETIT"</f>
        <v>CAMISA CILINDRO SELAGEM PETIT</v>
      </c>
      <c r="C4898" s="2" t="str">
        <f>"UN"</f>
        <v>UN</v>
      </c>
      <c r="D4898" s="7">
        <v>913</v>
      </c>
      <c r="E4898" s="3">
        <v>11</v>
      </c>
      <c r="F4898" s="3">
        <v>11</v>
      </c>
      <c r="G4898" t="s">
        <v>512</v>
      </c>
    </row>
    <row r="4899" spans="1:7" x14ac:dyDescent="0.25">
      <c r="A4899" s="1" t="str">
        <f>"512118"</f>
        <v>512118</v>
      </c>
      <c r="B4899" s="2" t="str">
        <f>"CAMISA CILINDRO T/SMC 100 S/L"</f>
        <v>CAMISA CILINDRO T/SMC 100 S/L</v>
      </c>
      <c r="C4899" s="2" t="str">
        <f>"UN"</f>
        <v>UN</v>
      </c>
      <c r="D4899" s="7">
        <v>913</v>
      </c>
      <c r="E4899" s="3">
        <v>11</v>
      </c>
      <c r="F4899" s="3">
        <v>11</v>
      </c>
      <c r="G4899" t="s">
        <v>513</v>
      </c>
    </row>
    <row r="4900" spans="1:7" x14ac:dyDescent="0.25">
      <c r="A4900" s="1" t="str">
        <f>"518420"</f>
        <v>518420</v>
      </c>
      <c r="B4900" s="2" t="str">
        <f>"CAMISA COMPL. 100KM 1/2/3/4 S/L NH3"</f>
        <v>CAMISA COMPL. 100KM 1/2/3/4 S/L NH3</v>
      </c>
      <c r="C4900" s="2" t="str">
        <f>"UN"</f>
        <v>UN</v>
      </c>
      <c r="D4900" s="7">
        <v>918</v>
      </c>
      <c r="E4900" s="3">
        <v>11</v>
      </c>
      <c r="F4900" s="3">
        <v>11</v>
      </c>
      <c r="G4900" t="s">
        <v>514</v>
      </c>
    </row>
    <row r="4901" spans="1:7" x14ac:dyDescent="0.25">
      <c r="A4901" s="1" t="str">
        <f>"509133"</f>
        <v>509133</v>
      </c>
      <c r="B4901" s="2" t="str">
        <f>"CAMISA COMPRESSOR MYCOM N4/A"</f>
        <v>CAMISA COMPRESSOR MYCOM N4/A</v>
      </c>
      <c r="C4901" s="2" t="str">
        <f>"UN"</f>
        <v>UN</v>
      </c>
      <c r="D4901" s="7">
        <v>918</v>
      </c>
      <c r="E4901" s="3">
        <v>11</v>
      </c>
      <c r="F4901" s="3">
        <v>11</v>
      </c>
      <c r="G4901" t="s">
        <v>515</v>
      </c>
    </row>
    <row r="4902" spans="1:7" x14ac:dyDescent="0.25">
      <c r="A4902" s="1" t="str">
        <f>"502138"</f>
        <v>502138</v>
      </c>
      <c r="B4902" s="2" t="str">
        <f>"CAMISA DA VALVULA MFHB-5-1/4 COD.206542"</f>
        <v>CAMISA DA VALVULA MFHB-5-1/4 COD.206542</v>
      </c>
      <c r="C4902" s="2" t="str">
        <f>"BR"</f>
        <v>BR</v>
      </c>
      <c r="D4902" s="7">
        <v>808</v>
      </c>
      <c r="E4902" s="3">
        <v>10</v>
      </c>
      <c r="F4902" s="3">
        <v>10</v>
      </c>
      <c r="G4902" t="s">
        <v>512</v>
      </c>
    </row>
    <row r="4903" spans="1:7" x14ac:dyDescent="0.25">
      <c r="A4903" s="1" t="str">
        <f>"509576"</f>
        <v>509576</v>
      </c>
      <c r="B4903" s="2" t="str">
        <f>"CAMISA DO PISTAO HORIZONTAL"</f>
        <v>CAMISA DO PISTAO HORIZONTAL</v>
      </c>
      <c r="C4903" s="2" t="str">
        <f t="shared" ref="C4903:C4966" si="198">"UN"</f>
        <v>UN</v>
      </c>
      <c r="D4903" s="7">
        <v>918</v>
      </c>
      <c r="E4903" s="3">
        <v>11</v>
      </c>
      <c r="F4903" s="3">
        <v>11</v>
      </c>
      <c r="G4903" t="s">
        <v>516</v>
      </c>
    </row>
    <row r="4904" spans="1:7" x14ac:dyDescent="0.25">
      <c r="A4904" s="1" t="str">
        <f>"509578"</f>
        <v>509578</v>
      </c>
      <c r="B4904" s="2" t="str">
        <f>"CAMISA DO PISTAO VERTICAL C/ PARAFUSO"</f>
        <v>CAMISA DO PISTAO VERTICAL C/ PARAFUSO</v>
      </c>
      <c r="C4904" s="2" t="str">
        <f t="shared" si="198"/>
        <v>UN</v>
      </c>
      <c r="D4904" s="7">
        <v>918</v>
      </c>
      <c r="E4904" s="3">
        <v>11</v>
      </c>
      <c r="F4904" s="3">
        <v>11</v>
      </c>
      <c r="G4904" t="s">
        <v>515</v>
      </c>
    </row>
    <row r="4905" spans="1:7" x14ac:dyDescent="0.25">
      <c r="A4905" s="1" t="str">
        <f>"504510"</f>
        <v>504510</v>
      </c>
      <c r="B4905" s="2" t="str">
        <f>"CAMISA GUIA 3/8"""</f>
        <v>CAMISA GUIA 3/8"</v>
      </c>
      <c r="C4905" s="2" t="str">
        <f t="shared" si="198"/>
        <v>UN</v>
      </c>
      <c r="D4905" s="7">
        <v>704</v>
      </c>
      <c r="E4905" s="3">
        <v>9</v>
      </c>
      <c r="F4905" s="3">
        <v>9</v>
      </c>
      <c r="G4905" t="s">
        <v>514</v>
      </c>
    </row>
    <row r="4906" spans="1:7" x14ac:dyDescent="0.25">
      <c r="A4906" s="1" t="str">
        <f>"6013"</f>
        <v>6013</v>
      </c>
      <c r="B4906" s="2" t="str">
        <f>"CAMISA M/C  MASCULINO COM BORDADO NA FRENTE E NA MANGA"</f>
        <v>CAMISA M/C  MASCULINO COM BORDADO NA FRENTE E NA MANGA</v>
      </c>
      <c r="C4906" s="2" t="str">
        <f t="shared" si="198"/>
        <v>UN</v>
      </c>
      <c r="D4906" s="7">
        <v>500</v>
      </c>
      <c r="E4906" s="3">
        <v>5</v>
      </c>
      <c r="F4906" s="3">
        <v>5</v>
      </c>
      <c r="G4906" t="s">
        <v>512</v>
      </c>
    </row>
    <row r="4907" spans="1:7" x14ac:dyDescent="0.25">
      <c r="A4907" s="1" t="str">
        <f>"523105"</f>
        <v>523105</v>
      </c>
      <c r="B4907" s="2" t="str">
        <f>"CAMISA M/C RODOVERY (G)"</f>
        <v>CAMISA M/C RODOVERY (G)</v>
      </c>
      <c r="C4907" s="2" t="str">
        <f t="shared" si="198"/>
        <v>UN</v>
      </c>
      <c r="D4907" s="7">
        <v>500</v>
      </c>
      <c r="E4907" s="3">
        <v>5</v>
      </c>
      <c r="F4907" s="3">
        <v>5</v>
      </c>
      <c r="G4907" t="s">
        <v>513</v>
      </c>
    </row>
    <row r="4908" spans="1:7" x14ac:dyDescent="0.25">
      <c r="A4908" s="1" t="str">
        <f>"523106"</f>
        <v>523106</v>
      </c>
      <c r="B4908" s="2" t="str">
        <f>"CAMISA M/C RODOVERY (GG)"</f>
        <v>CAMISA M/C RODOVERY (GG)</v>
      </c>
      <c r="C4908" s="2" t="str">
        <f t="shared" si="198"/>
        <v>UN</v>
      </c>
      <c r="D4908" s="7">
        <v>500</v>
      </c>
      <c r="E4908" s="3">
        <v>5</v>
      </c>
      <c r="F4908" s="3">
        <v>5</v>
      </c>
      <c r="G4908" t="s">
        <v>514</v>
      </c>
    </row>
    <row r="4909" spans="1:7" x14ac:dyDescent="0.25">
      <c r="A4909" s="1" t="str">
        <f>"523107"</f>
        <v>523107</v>
      </c>
      <c r="B4909" s="2" t="str">
        <f>"CAMISA M/C RODOVERY (XGG)"</f>
        <v>CAMISA M/C RODOVERY (XGG)</v>
      </c>
      <c r="C4909" s="2" t="str">
        <f t="shared" si="198"/>
        <v>UN</v>
      </c>
      <c r="D4909" s="7">
        <v>500</v>
      </c>
      <c r="E4909" s="3">
        <v>5</v>
      </c>
      <c r="F4909" s="3">
        <v>5</v>
      </c>
      <c r="G4909" t="s">
        <v>514</v>
      </c>
    </row>
    <row r="4910" spans="1:7" x14ac:dyDescent="0.25">
      <c r="A4910" s="1" t="str">
        <f>"521150"</f>
        <v>521150</v>
      </c>
      <c r="B4910" s="2" t="str">
        <f>"CAMISA M/C SOCIAL TAM EGG"</f>
        <v>CAMISA M/C SOCIAL TAM EGG</v>
      </c>
      <c r="C4910" s="2" t="str">
        <f t="shared" si="198"/>
        <v>UN</v>
      </c>
      <c r="D4910" s="7">
        <v>500</v>
      </c>
      <c r="E4910" s="3">
        <v>5</v>
      </c>
      <c r="F4910" s="3">
        <v>5</v>
      </c>
      <c r="G4910" t="s">
        <v>512</v>
      </c>
    </row>
    <row r="4911" spans="1:7" x14ac:dyDescent="0.25">
      <c r="A4911" s="1" t="str">
        <f>"523586"</f>
        <v>523586</v>
      </c>
      <c r="B4911" s="2" t="str">
        <f>"CAMISA M/C SOCIAL TAM EXG"</f>
        <v>CAMISA M/C SOCIAL TAM EXG</v>
      </c>
      <c r="C4911" s="2" t="str">
        <f t="shared" si="198"/>
        <v>UN</v>
      </c>
      <c r="D4911" s="7">
        <v>500</v>
      </c>
      <c r="E4911" s="3">
        <v>5</v>
      </c>
      <c r="F4911" s="3">
        <v>5</v>
      </c>
      <c r="G4911" t="s">
        <v>513</v>
      </c>
    </row>
    <row r="4912" spans="1:7" x14ac:dyDescent="0.25">
      <c r="A4912" s="1" t="str">
        <f>"523641"</f>
        <v>523641</v>
      </c>
      <c r="B4912" s="2" t="str">
        <f>"CAMISA M/C SOCIAL TAM EXGG"</f>
        <v>CAMISA M/C SOCIAL TAM EXGG</v>
      </c>
      <c r="C4912" s="2" t="str">
        <f t="shared" si="198"/>
        <v>UN</v>
      </c>
      <c r="D4912" s="7">
        <v>500</v>
      </c>
      <c r="E4912" s="3">
        <v>5</v>
      </c>
      <c r="F4912" s="3">
        <v>5</v>
      </c>
      <c r="G4912" t="s">
        <v>514</v>
      </c>
    </row>
    <row r="4913" spans="1:7" x14ac:dyDescent="0.25">
      <c r="A4913" s="1" t="str">
        <f>"519359"</f>
        <v>519359</v>
      </c>
      <c r="B4913" s="2" t="str">
        <f>"CAMISA M/C SOCIAL TAM G"</f>
        <v>CAMISA M/C SOCIAL TAM G</v>
      </c>
      <c r="C4913" s="2" t="str">
        <f t="shared" si="198"/>
        <v>UN</v>
      </c>
      <c r="D4913" s="7">
        <v>500</v>
      </c>
      <c r="E4913" s="3">
        <v>5</v>
      </c>
      <c r="F4913" s="3">
        <v>5</v>
      </c>
      <c r="G4913" t="s">
        <v>514</v>
      </c>
    </row>
    <row r="4914" spans="1:7" x14ac:dyDescent="0.25">
      <c r="A4914" s="1" t="str">
        <f>"519360"</f>
        <v>519360</v>
      </c>
      <c r="B4914" s="2" t="str">
        <f>"CAMISA M/C SOCIAL TAM GG"</f>
        <v>CAMISA M/C SOCIAL TAM GG</v>
      </c>
      <c r="C4914" s="2" t="str">
        <f t="shared" si="198"/>
        <v>UN</v>
      </c>
      <c r="D4914" s="7">
        <v>500</v>
      </c>
      <c r="E4914" s="3">
        <v>5</v>
      </c>
      <c r="F4914" s="3">
        <v>5</v>
      </c>
      <c r="G4914" t="s">
        <v>514</v>
      </c>
    </row>
    <row r="4915" spans="1:7" x14ac:dyDescent="0.25">
      <c r="A4915" s="1" t="str">
        <f>"519358"</f>
        <v>519358</v>
      </c>
      <c r="B4915" s="2" t="str">
        <f>"CAMISA M/C SOCIAL TAM M"</f>
        <v>CAMISA M/C SOCIAL TAM M</v>
      </c>
      <c r="C4915" s="2" t="str">
        <f t="shared" si="198"/>
        <v>UN</v>
      </c>
      <c r="D4915" s="7">
        <v>500</v>
      </c>
      <c r="E4915" s="3">
        <v>5</v>
      </c>
      <c r="F4915" s="3">
        <v>5</v>
      </c>
      <c r="G4915" t="s">
        <v>513</v>
      </c>
    </row>
    <row r="4916" spans="1:7" x14ac:dyDescent="0.25">
      <c r="A4916" s="1" t="str">
        <f>"519363"</f>
        <v>519363</v>
      </c>
      <c r="B4916" s="2" t="str">
        <f>"CAMISA M/C SOCIAL TAM M"</f>
        <v>CAMISA M/C SOCIAL TAM M</v>
      </c>
      <c r="C4916" s="2" t="str">
        <f t="shared" si="198"/>
        <v>UN</v>
      </c>
      <c r="D4916" s="7">
        <v>500</v>
      </c>
      <c r="E4916" s="3">
        <v>5</v>
      </c>
      <c r="F4916" s="3">
        <v>5</v>
      </c>
      <c r="G4916" t="s">
        <v>512</v>
      </c>
    </row>
    <row r="4917" spans="1:7" x14ac:dyDescent="0.25">
      <c r="A4917" s="1" t="str">
        <f>"519357"</f>
        <v>519357</v>
      </c>
      <c r="B4917" s="2" t="str">
        <f>"CAMISA M/C SOCIAL TAM P"</f>
        <v>CAMISA M/C SOCIAL TAM P</v>
      </c>
      <c r="C4917" s="2" t="str">
        <f t="shared" si="198"/>
        <v>UN</v>
      </c>
      <c r="D4917" s="7">
        <v>500</v>
      </c>
      <c r="E4917" s="3">
        <v>5</v>
      </c>
      <c r="F4917" s="3">
        <v>5</v>
      </c>
      <c r="G4917" t="s">
        <v>513</v>
      </c>
    </row>
    <row r="4918" spans="1:7" x14ac:dyDescent="0.25">
      <c r="A4918" s="1" t="str">
        <f>"519361"</f>
        <v>519361</v>
      </c>
      <c r="B4918" s="2" t="str">
        <f>"CAMISA M/C SOCIAL TAM P"</f>
        <v>CAMISA M/C SOCIAL TAM P</v>
      </c>
      <c r="C4918" s="2" t="str">
        <f t="shared" si="198"/>
        <v>UN</v>
      </c>
      <c r="D4918" s="7">
        <v>500</v>
      </c>
      <c r="E4918" s="3">
        <v>5</v>
      </c>
      <c r="F4918" s="3">
        <v>5</v>
      </c>
      <c r="G4918" t="s">
        <v>514</v>
      </c>
    </row>
    <row r="4919" spans="1:7" x14ac:dyDescent="0.25">
      <c r="A4919" s="1" t="str">
        <f>"519364"</f>
        <v>519364</v>
      </c>
      <c r="B4919" s="2" t="str">
        <f>"CAMISA M/C SOCIAL TAM PP"</f>
        <v>CAMISA M/C SOCIAL TAM PP</v>
      </c>
      <c r="C4919" s="2" t="str">
        <f t="shared" si="198"/>
        <v>UN</v>
      </c>
      <c r="D4919" s="7">
        <v>500</v>
      </c>
      <c r="E4919" s="3">
        <v>5</v>
      </c>
      <c r="F4919" s="3">
        <v>5</v>
      </c>
      <c r="G4919" t="s">
        <v>514</v>
      </c>
    </row>
    <row r="4920" spans="1:7" x14ac:dyDescent="0.25">
      <c r="A4920" s="1" t="str">
        <f>"521149"</f>
        <v>521149</v>
      </c>
      <c r="B4920" s="2" t="str">
        <f>"CAMISA M/C SOCIAL TAM XGG"</f>
        <v>CAMISA M/C SOCIAL TAM XGG</v>
      </c>
      <c r="C4920" s="2" t="str">
        <f t="shared" si="198"/>
        <v>UN</v>
      </c>
      <c r="D4920" s="7">
        <v>500</v>
      </c>
      <c r="E4920" s="3">
        <v>5</v>
      </c>
      <c r="F4920" s="3">
        <v>5</v>
      </c>
      <c r="G4920" t="s">
        <v>514</v>
      </c>
    </row>
    <row r="4921" spans="1:7" x14ac:dyDescent="0.25">
      <c r="A4921" s="1" t="str">
        <f>"5996"</f>
        <v>5996</v>
      </c>
      <c r="B4921" s="2" t="str">
        <f>"CAMISA M/C SOCIAL UF AZUL TAMANHO G"</f>
        <v>CAMISA M/C SOCIAL UF AZUL TAMANHO G</v>
      </c>
      <c r="C4921" s="2" t="str">
        <f t="shared" si="198"/>
        <v>UN</v>
      </c>
      <c r="D4921" s="7">
        <v>500</v>
      </c>
      <c r="E4921" s="3">
        <v>5</v>
      </c>
      <c r="F4921" s="3">
        <v>5</v>
      </c>
      <c r="G4921" t="s">
        <v>513</v>
      </c>
    </row>
    <row r="4922" spans="1:7" x14ac:dyDescent="0.25">
      <c r="A4922" s="1" t="str">
        <f>"5997"</f>
        <v>5997</v>
      </c>
      <c r="B4922" s="2" t="str">
        <f>"CAMISA M/C SOCIAL UF AZUL TAMANHO GG"</f>
        <v>CAMISA M/C SOCIAL UF AZUL TAMANHO GG</v>
      </c>
      <c r="C4922" s="2" t="str">
        <f t="shared" si="198"/>
        <v>UN</v>
      </c>
      <c r="D4922" s="7">
        <v>500</v>
      </c>
      <c r="E4922" s="3">
        <v>5</v>
      </c>
      <c r="F4922" s="3">
        <v>5</v>
      </c>
      <c r="G4922" t="s">
        <v>513</v>
      </c>
    </row>
    <row r="4923" spans="1:7" x14ac:dyDescent="0.25">
      <c r="A4923" s="1" t="str">
        <f>"2456"</f>
        <v>2456</v>
      </c>
      <c r="B4923" s="2" t="str">
        <f>"CAMISA M/C TIPO POLO AZUL ROYAL TAM. (P)"</f>
        <v>CAMISA M/C TIPO POLO AZUL ROYAL TAM. (P)</v>
      </c>
      <c r="C4923" s="2" t="str">
        <f t="shared" si="198"/>
        <v>UN</v>
      </c>
      <c r="D4923" s="7">
        <v>500</v>
      </c>
      <c r="E4923" s="3">
        <v>5</v>
      </c>
      <c r="F4923" s="3">
        <v>5</v>
      </c>
      <c r="G4923" t="s">
        <v>513</v>
      </c>
    </row>
    <row r="4924" spans="1:7" x14ac:dyDescent="0.25">
      <c r="A4924" s="1" t="str">
        <f>"6008"</f>
        <v>6008</v>
      </c>
      <c r="B4924" s="2" t="str">
        <f>"CAMISA M/L  MASCULINO COM BORDADO NA FRENTE E NA MANGA"</f>
        <v>CAMISA M/L  MASCULINO COM BORDADO NA FRENTE E NA MANGA</v>
      </c>
      <c r="C4924" s="2" t="str">
        <f t="shared" si="198"/>
        <v>UN</v>
      </c>
      <c r="D4924" s="7">
        <v>500</v>
      </c>
      <c r="E4924" s="3">
        <v>5</v>
      </c>
      <c r="F4924" s="3">
        <v>5</v>
      </c>
      <c r="G4924" t="s">
        <v>512</v>
      </c>
    </row>
    <row r="4925" spans="1:7" x14ac:dyDescent="0.25">
      <c r="A4925" s="1" t="str">
        <f>"521134"</f>
        <v>521134</v>
      </c>
      <c r="B4925" s="2" t="str">
        <f>"CAMISA M/L SOCIAL TAM EGG"</f>
        <v>CAMISA M/L SOCIAL TAM EGG</v>
      </c>
      <c r="C4925" s="2" t="str">
        <f t="shared" si="198"/>
        <v>UN</v>
      </c>
      <c r="D4925" s="7">
        <v>500</v>
      </c>
      <c r="E4925" s="3">
        <v>5</v>
      </c>
      <c r="F4925" s="3">
        <v>5</v>
      </c>
      <c r="G4925" t="s">
        <v>513</v>
      </c>
    </row>
    <row r="4926" spans="1:7" x14ac:dyDescent="0.25">
      <c r="A4926" s="1" t="str">
        <f>"521151"</f>
        <v>521151</v>
      </c>
      <c r="B4926" s="2" t="str">
        <f>"CAMISA M/L SOCIAL TAM EGG"</f>
        <v>CAMISA M/L SOCIAL TAM EGG</v>
      </c>
      <c r="C4926" s="2" t="str">
        <f t="shared" si="198"/>
        <v>UN</v>
      </c>
      <c r="D4926" s="7">
        <v>500</v>
      </c>
      <c r="E4926" s="3">
        <v>5</v>
      </c>
      <c r="F4926" s="3">
        <v>5</v>
      </c>
      <c r="G4926" t="s">
        <v>514</v>
      </c>
    </row>
    <row r="4927" spans="1:7" x14ac:dyDescent="0.25">
      <c r="A4927" s="1" t="str">
        <f>"523587"</f>
        <v>523587</v>
      </c>
      <c r="B4927" s="2" t="str">
        <f>"CAMISA M/L SOCIAL TAM EXG"</f>
        <v>CAMISA M/L SOCIAL TAM EXG</v>
      </c>
      <c r="C4927" s="2" t="str">
        <f t="shared" si="198"/>
        <v>UN</v>
      </c>
      <c r="D4927" s="7">
        <v>500</v>
      </c>
      <c r="E4927" s="3">
        <v>5</v>
      </c>
      <c r="F4927" s="3">
        <v>5</v>
      </c>
      <c r="G4927" t="s">
        <v>515</v>
      </c>
    </row>
    <row r="4928" spans="1:7" x14ac:dyDescent="0.25">
      <c r="A4928" s="1" t="str">
        <f>"523642"</f>
        <v>523642</v>
      </c>
      <c r="B4928" s="2" t="str">
        <f>"CAMISA M/L SOCIAL TAM EXGG"</f>
        <v>CAMISA M/L SOCIAL TAM EXGG</v>
      </c>
      <c r="C4928" s="2" t="str">
        <f t="shared" si="198"/>
        <v>UN</v>
      </c>
      <c r="D4928" s="7">
        <v>500</v>
      </c>
      <c r="E4928" s="3">
        <v>5</v>
      </c>
      <c r="F4928" s="3">
        <v>5</v>
      </c>
      <c r="G4928" t="s">
        <v>512</v>
      </c>
    </row>
    <row r="4929" spans="1:7" x14ac:dyDescent="0.25">
      <c r="A4929" s="1" t="str">
        <f>"520743"</f>
        <v>520743</v>
      </c>
      <c r="B4929" s="2" t="str">
        <f>"CAMISA M/L SOCIAL TAM G"</f>
        <v>CAMISA M/L SOCIAL TAM G</v>
      </c>
      <c r="C4929" s="2" t="str">
        <f t="shared" si="198"/>
        <v>UN</v>
      </c>
      <c r="D4929" s="7">
        <v>500</v>
      </c>
      <c r="E4929" s="3">
        <v>5</v>
      </c>
      <c r="F4929" s="3">
        <v>5</v>
      </c>
      <c r="G4929" t="s">
        <v>516</v>
      </c>
    </row>
    <row r="4930" spans="1:7" x14ac:dyDescent="0.25">
      <c r="A4930" s="1" t="str">
        <f>"520744"</f>
        <v>520744</v>
      </c>
      <c r="B4930" s="2" t="str">
        <f>"CAMISA M/L SOCIAL TAM GG"</f>
        <v>CAMISA M/L SOCIAL TAM GG</v>
      </c>
      <c r="C4930" s="2" t="str">
        <f t="shared" si="198"/>
        <v>UN</v>
      </c>
      <c r="D4930" s="7">
        <v>500</v>
      </c>
      <c r="E4930" s="3">
        <v>5</v>
      </c>
      <c r="F4930" s="3">
        <v>5</v>
      </c>
      <c r="G4930" t="s">
        <v>515</v>
      </c>
    </row>
    <row r="4931" spans="1:7" x14ac:dyDescent="0.25">
      <c r="A4931" s="1" t="str">
        <f>"519554"</f>
        <v>519554</v>
      </c>
      <c r="B4931" s="2" t="str">
        <f>"CAMISA M/L SOCIAL TAM M"</f>
        <v>CAMISA M/L SOCIAL TAM M</v>
      </c>
      <c r="C4931" s="2" t="str">
        <f t="shared" si="198"/>
        <v>UN</v>
      </c>
      <c r="D4931" s="7">
        <v>500</v>
      </c>
      <c r="E4931" s="3">
        <v>5</v>
      </c>
      <c r="F4931" s="3">
        <v>5</v>
      </c>
      <c r="G4931" t="s">
        <v>514</v>
      </c>
    </row>
    <row r="4932" spans="1:7" x14ac:dyDescent="0.25">
      <c r="A4932" s="1" t="str">
        <f>"519427"</f>
        <v>519427</v>
      </c>
      <c r="B4932" s="2" t="str">
        <f>"CAMISA M/L SOCIAL TAM P"</f>
        <v>CAMISA M/L SOCIAL TAM P</v>
      </c>
      <c r="C4932" s="2" t="str">
        <f t="shared" si="198"/>
        <v>UN</v>
      </c>
      <c r="D4932" s="7">
        <v>500</v>
      </c>
      <c r="E4932" s="3">
        <v>5</v>
      </c>
      <c r="F4932" s="3">
        <v>5</v>
      </c>
      <c r="G4932" t="s">
        <v>512</v>
      </c>
    </row>
    <row r="4933" spans="1:7" x14ac:dyDescent="0.25">
      <c r="A4933" s="1" t="str">
        <f>"520742"</f>
        <v>520742</v>
      </c>
      <c r="B4933" s="2" t="str">
        <f>"CAMISA M/L SOCIAL TAM PP"</f>
        <v>CAMISA M/L SOCIAL TAM PP</v>
      </c>
      <c r="C4933" s="2" t="str">
        <f t="shared" si="198"/>
        <v>UN</v>
      </c>
      <c r="D4933" s="7">
        <v>500</v>
      </c>
      <c r="E4933" s="3">
        <v>5</v>
      </c>
      <c r="F4933" s="3">
        <v>5</v>
      </c>
      <c r="G4933" t="s">
        <v>513</v>
      </c>
    </row>
    <row r="4934" spans="1:7" x14ac:dyDescent="0.25">
      <c r="A4934" s="1" t="str">
        <f>"522144"</f>
        <v>522144</v>
      </c>
      <c r="B4934" s="2" t="str">
        <f>"CAMISA M/L SOCIAL TAM XGG"</f>
        <v>CAMISA M/L SOCIAL TAM XGG</v>
      </c>
      <c r="C4934" s="2" t="str">
        <f t="shared" si="198"/>
        <v>UN</v>
      </c>
      <c r="D4934" s="7">
        <v>500</v>
      </c>
      <c r="E4934" s="3">
        <v>5</v>
      </c>
      <c r="F4934" s="3">
        <v>5</v>
      </c>
      <c r="G4934" t="s">
        <v>514</v>
      </c>
    </row>
    <row r="4935" spans="1:7" x14ac:dyDescent="0.25">
      <c r="A4935" s="1" t="str">
        <f>"3105"</f>
        <v>3105</v>
      </c>
      <c r="B4935" s="2" t="str">
        <f>"CAMISA M/L TIPO POLO BRANCA  TAM. G"</f>
        <v>CAMISA M/L TIPO POLO BRANCA  TAM. G</v>
      </c>
      <c r="C4935" s="2" t="str">
        <f t="shared" si="198"/>
        <v>UN</v>
      </c>
      <c r="D4935" s="7">
        <v>500</v>
      </c>
      <c r="E4935" s="3">
        <v>5</v>
      </c>
      <c r="F4935" s="3">
        <v>5</v>
      </c>
      <c r="G4935" t="s">
        <v>514</v>
      </c>
    </row>
    <row r="4936" spans="1:7" x14ac:dyDescent="0.25">
      <c r="A4936" s="1" t="str">
        <f>"3107"</f>
        <v>3107</v>
      </c>
      <c r="B4936" s="2" t="str">
        <f>"CAMISA M/L TIPO POLO BRANCA  TAM. GG"</f>
        <v>CAMISA M/L TIPO POLO BRANCA  TAM. GG</v>
      </c>
      <c r="C4936" s="2" t="str">
        <f t="shared" si="198"/>
        <v>UN</v>
      </c>
      <c r="D4936" s="7">
        <v>500</v>
      </c>
      <c r="E4936" s="3">
        <v>5</v>
      </c>
      <c r="F4936" s="3">
        <v>5</v>
      </c>
      <c r="G4936" t="s">
        <v>512</v>
      </c>
    </row>
    <row r="4937" spans="1:7" x14ac:dyDescent="0.25">
      <c r="A4937" s="1" t="str">
        <f>"3104"</f>
        <v>3104</v>
      </c>
      <c r="B4937" s="2" t="str">
        <f>"CAMISA M/L TIPO POLO BRANCA  TAM. M"</f>
        <v>CAMISA M/L TIPO POLO BRANCA  TAM. M</v>
      </c>
      <c r="C4937" s="2" t="str">
        <f t="shared" si="198"/>
        <v>UN</v>
      </c>
      <c r="D4937" s="7">
        <v>500</v>
      </c>
      <c r="E4937" s="3">
        <v>5</v>
      </c>
      <c r="F4937" s="3">
        <v>5</v>
      </c>
      <c r="G4937" t="s">
        <v>513</v>
      </c>
    </row>
    <row r="4938" spans="1:7" x14ac:dyDescent="0.25">
      <c r="A4938" s="1" t="str">
        <f>"3103"</f>
        <v>3103</v>
      </c>
      <c r="B4938" s="2" t="str">
        <f>"CAMISA M/L TIPO POLO BRANCA  TAM. P"</f>
        <v>CAMISA M/L TIPO POLO BRANCA  TAM. P</v>
      </c>
      <c r="C4938" s="2" t="str">
        <f t="shared" si="198"/>
        <v>UN</v>
      </c>
      <c r="D4938" s="7">
        <v>500</v>
      </c>
      <c r="E4938" s="3">
        <v>5</v>
      </c>
      <c r="F4938" s="3">
        <v>5</v>
      </c>
      <c r="G4938" t="s">
        <v>514</v>
      </c>
    </row>
    <row r="4939" spans="1:7" x14ac:dyDescent="0.25">
      <c r="A4939" s="1" t="str">
        <f>"507868"</f>
        <v>507868</v>
      </c>
      <c r="B4939" s="2" t="str">
        <f>"CAMISA PISTAO BLOCO"</f>
        <v>CAMISA PISTAO BLOCO</v>
      </c>
      <c r="C4939" s="2" t="str">
        <f t="shared" si="198"/>
        <v>UN</v>
      </c>
      <c r="D4939" s="7">
        <v>704</v>
      </c>
      <c r="E4939" s="3">
        <v>9</v>
      </c>
      <c r="F4939" s="3">
        <v>9</v>
      </c>
      <c r="G4939" t="s">
        <v>514</v>
      </c>
    </row>
    <row r="4940" spans="1:7" x14ac:dyDescent="0.25">
      <c r="A4940" s="1" t="str">
        <f>"527516"</f>
        <v>527516</v>
      </c>
      <c r="B4940" s="2" t="str">
        <f>"CAMISA POLO AZUL CELESTE 207"</f>
        <v>CAMISA POLO AZUL CELESTE 207</v>
      </c>
      <c r="C4940" s="2" t="str">
        <f t="shared" si="198"/>
        <v>UN</v>
      </c>
      <c r="D4940" s="7">
        <v>500</v>
      </c>
      <c r="E4940" s="3">
        <v>5</v>
      </c>
      <c r="F4940" s="3">
        <v>5</v>
      </c>
      <c r="G4940" t="s">
        <v>514</v>
      </c>
    </row>
    <row r="4941" spans="1:7" x14ac:dyDescent="0.25">
      <c r="A4941" s="1" t="str">
        <f>"527515"</f>
        <v>527515</v>
      </c>
      <c r="B4941" s="2" t="str">
        <f>"CAMISA POLO AZUL MARINHO 250"</f>
        <v>CAMISA POLO AZUL MARINHO 250</v>
      </c>
      <c r="C4941" s="2" t="str">
        <f t="shared" si="198"/>
        <v>UN</v>
      </c>
      <c r="D4941" s="7">
        <v>500</v>
      </c>
      <c r="E4941" s="3">
        <v>5</v>
      </c>
      <c r="F4941" s="3">
        <v>5</v>
      </c>
      <c r="G4941" t="s">
        <v>513</v>
      </c>
    </row>
    <row r="4942" spans="1:7" x14ac:dyDescent="0.25">
      <c r="A4942" s="1" t="str">
        <f>"527514"</f>
        <v>527514</v>
      </c>
      <c r="B4942" s="2" t="str">
        <f>"CAMISA POLO CINZA MESCLA 520"</f>
        <v>CAMISA POLO CINZA MESCLA 520</v>
      </c>
      <c r="C4942" s="2" t="str">
        <f t="shared" si="198"/>
        <v>UN</v>
      </c>
      <c r="D4942" s="7">
        <v>500</v>
      </c>
      <c r="E4942" s="3">
        <v>5</v>
      </c>
      <c r="F4942" s="3">
        <v>5</v>
      </c>
      <c r="G4942" t="s">
        <v>512</v>
      </c>
    </row>
    <row r="4943" spans="1:7" x14ac:dyDescent="0.25">
      <c r="A4943" s="1" t="str">
        <f>"523594"</f>
        <v>523594</v>
      </c>
      <c r="B4943" s="2" t="str">
        <f>"CAMISA POLO EGG"</f>
        <v>CAMISA POLO EGG</v>
      </c>
      <c r="C4943" s="2" t="str">
        <f t="shared" si="198"/>
        <v>UN</v>
      </c>
      <c r="D4943" s="7">
        <v>500</v>
      </c>
      <c r="E4943" s="3">
        <v>5</v>
      </c>
      <c r="F4943" s="3">
        <v>5</v>
      </c>
      <c r="G4943" t="s">
        <v>513</v>
      </c>
    </row>
    <row r="4944" spans="1:7" x14ac:dyDescent="0.25">
      <c r="A4944" s="1" t="str">
        <f>"523071"</f>
        <v>523071</v>
      </c>
      <c r="B4944" s="2" t="str">
        <f>"CAMISA POLO G"</f>
        <v>CAMISA POLO G</v>
      </c>
      <c r="C4944" s="2" t="str">
        <f t="shared" si="198"/>
        <v>UN</v>
      </c>
      <c r="D4944" s="7">
        <v>500</v>
      </c>
      <c r="E4944" s="3">
        <v>5</v>
      </c>
      <c r="F4944" s="3">
        <v>5</v>
      </c>
      <c r="G4944" t="s">
        <v>514</v>
      </c>
    </row>
    <row r="4945" spans="1:7" x14ac:dyDescent="0.25">
      <c r="A4945" s="1" t="str">
        <f>"523595"</f>
        <v>523595</v>
      </c>
      <c r="B4945" s="2" t="str">
        <f>"CAMISA POLO GG"</f>
        <v>CAMISA POLO GG</v>
      </c>
      <c r="C4945" s="2" t="str">
        <f t="shared" si="198"/>
        <v>UN</v>
      </c>
      <c r="D4945" s="7">
        <v>500</v>
      </c>
      <c r="E4945" s="3">
        <v>5</v>
      </c>
      <c r="F4945" s="3">
        <v>5</v>
      </c>
      <c r="G4945" t="s">
        <v>514</v>
      </c>
    </row>
    <row r="4946" spans="1:7" x14ac:dyDescent="0.25">
      <c r="A4946" s="1" t="str">
        <f>"523070"</f>
        <v>523070</v>
      </c>
      <c r="B4946" s="2" t="str">
        <f>"CAMISA POLO M"</f>
        <v>CAMISA POLO M</v>
      </c>
      <c r="C4946" s="2" t="str">
        <f t="shared" si="198"/>
        <v>UN</v>
      </c>
      <c r="D4946" s="7">
        <v>500</v>
      </c>
      <c r="E4946" s="3">
        <v>5</v>
      </c>
      <c r="F4946" s="3">
        <v>5</v>
      </c>
      <c r="G4946" t="s">
        <v>514</v>
      </c>
    </row>
    <row r="4947" spans="1:7" x14ac:dyDescent="0.25">
      <c r="A4947" s="1" t="str">
        <f>"523069"</f>
        <v>523069</v>
      </c>
      <c r="B4947" s="2" t="str">
        <f>"CAMISA POLO P"</f>
        <v>CAMISA POLO P</v>
      </c>
      <c r="C4947" s="2" t="str">
        <f t="shared" si="198"/>
        <v>UN</v>
      </c>
      <c r="D4947" s="7">
        <v>500</v>
      </c>
      <c r="E4947" s="3">
        <v>5</v>
      </c>
      <c r="F4947" s="3">
        <v>5</v>
      </c>
      <c r="G4947" t="s">
        <v>513</v>
      </c>
    </row>
    <row r="4948" spans="1:7" x14ac:dyDescent="0.25">
      <c r="A4948" s="1" t="str">
        <f>"523068"</f>
        <v>523068</v>
      </c>
      <c r="B4948" s="2" t="str">
        <f>"CAMISA POLO PP"</f>
        <v>CAMISA POLO PP</v>
      </c>
      <c r="C4948" s="2" t="str">
        <f t="shared" si="198"/>
        <v>UN</v>
      </c>
      <c r="D4948" s="7">
        <v>500</v>
      </c>
      <c r="E4948" s="3">
        <v>5</v>
      </c>
      <c r="F4948" s="3">
        <v>5</v>
      </c>
      <c r="G4948" t="s">
        <v>513</v>
      </c>
    </row>
    <row r="4949" spans="1:7" x14ac:dyDescent="0.25">
      <c r="A4949" s="1" t="str">
        <f>"523588"</f>
        <v>523588</v>
      </c>
      <c r="B4949" s="2" t="str">
        <f>"CAMISA POLO XGG"</f>
        <v>CAMISA POLO XGG</v>
      </c>
      <c r="C4949" s="2" t="str">
        <f t="shared" si="198"/>
        <v>UN</v>
      </c>
      <c r="D4949" s="7">
        <v>500</v>
      </c>
      <c r="E4949" s="3">
        <v>5</v>
      </c>
      <c r="F4949" s="3">
        <v>5</v>
      </c>
      <c r="G4949" t="s">
        <v>513</v>
      </c>
    </row>
    <row r="4950" spans="1:7" x14ac:dyDescent="0.25">
      <c r="A4950" s="1" t="str">
        <f>"522749"</f>
        <v>522749</v>
      </c>
      <c r="B4950" s="2" t="str">
        <f>"CAMISA RETARDANTE A CHAMAS 88/12 C/ FAIXA 50MM LOGO G"</f>
        <v>CAMISA RETARDANTE A CHAMAS 88/12 C/ FAIXA 50MM LOGO G</v>
      </c>
      <c r="C4950" s="2" t="str">
        <f t="shared" si="198"/>
        <v>UN</v>
      </c>
      <c r="D4950" s="7">
        <v>501</v>
      </c>
      <c r="E4950" s="3">
        <v>5</v>
      </c>
      <c r="F4950" s="3">
        <v>5</v>
      </c>
      <c r="G4950" t="s">
        <v>512</v>
      </c>
    </row>
    <row r="4951" spans="1:7" x14ac:dyDescent="0.25">
      <c r="A4951" s="1" t="str">
        <f>"522750"</f>
        <v>522750</v>
      </c>
      <c r="B4951" s="2" t="str">
        <f>"CAMISA RETARDANTE A CHAMAS 88/12 C/ FAIXA 50MM LOGO GG"</f>
        <v>CAMISA RETARDANTE A CHAMAS 88/12 C/ FAIXA 50MM LOGO GG</v>
      </c>
      <c r="C4951" s="2" t="str">
        <f t="shared" si="198"/>
        <v>UN</v>
      </c>
      <c r="D4951" s="7">
        <v>501</v>
      </c>
      <c r="E4951" s="3">
        <v>5</v>
      </c>
      <c r="F4951" s="3">
        <v>5</v>
      </c>
      <c r="G4951" t="s">
        <v>513</v>
      </c>
    </row>
    <row r="4952" spans="1:7" x14ac:dyDescent="0.25">
      <c r="A4952" s="1" t="str">
        <f>"523580"</f>
        <v>523580</v>
      </c>
      <c r="B4952" s="2" t="str">
        <f>"CAMISA RETARDANTE A CHAMAS 88/12 C/ FAIXA 50MM LOGO M"</f>
        <v>CAMISA RETARDANTE A CHAMAS 88/12 C/ FAIXA 50MM LOGO M</v>
      </c>
      <c r="C4952" s="2" t="str">
        <f t="shared" si="198"/>
        <v>UN</v>
      </c>
      <c r="D4952" s="7">
        <v>501</v>
      </c>
      <c r="E4952" s="3">
        <v>5</v>
      </c>
      <c r="F4952" s="3">
        <v>5</v>
      </c>
      <c r="G4952" t="s">
        <v>514</v>
      </c>
    </row>
    <row r="4953" spans="1:7" x14ac:dyDescent="0.25">
      <c r="A4953" s="1" t="str">
        <f>"523579"</f>
        <v>523579</v>
      </c>
      <c r="B4953" s="2" t="str">
        <f>"CAMISA RETARDANTE A CHAMAS 88/12 C/ FAIXA 50MM LOGO P"</f>
        <v>CAMISA RETARDANTE A CHAMAS 88/12 C/ FAIXA 50MM LOGO P</v>
      </c>
      <c r="C4953" s="2" t="str">
        <f t="shared" si="198"/>
        <v>UN</v>
      </c>
      <c r="D4953" s="7">
        <v>501</v>
      </c>
      <c r="E4953" s="3">
        <v>5</v>
      </c>
      <c r="F4953" s="3">
        <v>5</v>
      </c>
      <c r="G4953" t="s">
        <v>515</v>
      </c>
    </row>
    <row r="4954" spans="1:7" x14ac:dyDescent="0.25">
      <c r="A4954" s="1" t="str">
        <f>"524261"</f>
        <v>524261</v>
      </c>
      <c r="B4954" s="2" t="str">
        <f>"CAMISA TNT (HOMOLOGAÇÃO)"</f>
        <v>CAMISA TNT (HOMOLOGAÇÃO)</v>
      </c>
      <c r="C4954" s="2" t="str">
        <f t="shared" si="198"/>
        <v>UN</v>
      </c>
      <c r="D4954" s="7">
        <v>501</v>
      </c>
      <c r="E4954" s="3">
        <v>5</v>
      </c>
      <c r="F4954" s="3">
        <v>5</v>
      </c>
      <c r="G4954" t="s">
        <v>512</v>
      </c>
    </row>
    <row r="4955" spans="1:7" x14ac:dyDescent="0.25">
      <c r="A4955" s="1" t="str">
        <f>"523604"</f>
        <v>523604</v>
      </c>
      <c r="B4955" s="2" t="str">
        <f>"CAMISA TNT MANGA LONGA PP20 1MT COMPRIMENTO 14G/M"</f>
        <v>CAMISA TNT MANGA LONGA PP20 1MT COMPRIMENTO 14G/M</v>
      </c>
      <c r="C4955" s="2" t="str">
        <f t="shared" si="198"/>
        <v>UN</v>
      </c>
      <c r="D4955" s="7">
        <v>400</v>
      </c>
      <c r="E4955" s="3">
        <v>4</v>
      </c>
      <c r="F4955" s="3">
        <v>4</v>
      </c>
      <c r="G4955" t="s">
        <v>516</v>
      </c>
    </row>
    <row r="4956" spans="1:7" x14ac:dyDescent="0.25">
      <c r="A4956" s="1" t="str">
        <f>"514000"</f>
        <v>514000</v>
      </c>
      <c r="B4956" s="2" t="str">
        <f>"CAMISAS EM ORGANZA"</f>
        <v>CAMISAS EM ORGANZA</v>
      </c>
      <c r="C4956" s="2" t="str">
        <f t="shared" si="198"/>
        <v>UN</v>
      </c>
      <c r="D4956" s="7">
        <v>500</v>
      </c>
      <c r="E4956" s="3">
        <v>5</v>
      </c>
      <c r="F4956" s="3">
        <v>5</v>
      </c>
      <c r="G4956" t="s">
        <v>515</v>
      </c>
    </row>
    <row r="4957" spans="1:7" x14ac:dyDescent="0.25">
      <c r="A4957" s="1" t="str">
        <f>"514581"</f>
        <v>514581</v>
      </c>
      <c r="B4957" s="2" t="str">
        <f>"CAMISETA AZUL  M/C P (AMARELA)"</f>
        <v>CAMISETA AZUL  M/C P (AMARELA)</v>
      </c>
      <c r="C4957" s="2" t="str">
        <f t="shared" si="198"/>
        <v>UN</v>
      </c>
      <c r="D4957" s="7">
        <v>500</v>
      </c>
      <c r="E4957" s="3">
        <v>5</v>
      </c>
      <c r="F4957" s="3">
        <v>5</v>
      </c>
      <c r="G4957" t="s">
        <v>514</v>
      </c>
    </row>
    <row r="4958" spans="1:7" x14ac:dyDescent="0.25">
      <c r="A4958" s="1" t="str">
        <f>"514582"</f>
        <v>514582</v>
      </c>
      <c r="B4958" s="2" t="str">
        <f>"CAMISETA AZUL  M/C P (AZUL)"</f>
        <v>CAMISETA AZUL  M/C P (AZUL)</v>
      </c>
      <c r="C4958" s="2" t="str">
        <f t="shared" si="198"/>
        <v>UN</v>
      </c>
      <c r="D4958" s="7">
        <v>500</v>
      </c>
      <c r="E4958" s="3">
        <v>5</v>
      </c>
      <c r="F4958" s="3">
        <v>5</v>
      </c>
      <c r="G4958" t="s">
        <v>512</v>
      </c>
    </row>
    <row r="4959" spans="1:7" x14ac:dyDescent="0.25">
      <c r="A4959" s="1" t="str">
        <f>"514583"</f>
        <v>514583</v>
      </c>
      <c r="B4959" s="2" t="str">
        <f>"CAMISETA AZUL  M/C P (VERDE)"</f>
        <v>CAMISETA AZUL  M/C P (VERDE)</v>
      </c>
      <c r="C4959" s="2" t="str">
        <f t="shared" si="198"/>
        <v>UN</v>
      </c>
      <c r="D4959" s="7">
        <v>500</v>
      </c>
      <c r="E4959" s="3">
        <v>5</v>
      </c>
      <c r="F4959" s="3">
        <v>5</v>
      </c>
      <c r="G4959" t="s">
        <v>513</v>
      </c>
    </row>
    <row r="4960" spans="1:7" x14ac:dyDescent="0.25">
      <c r="A4960" s="1" t="str">
        <f>"514584"</f>
        <v>514584</v>
      </c>
      <c r="B4960" s="2" t="str">
        <f>"CAMISETA AZUL  M/C P (VERMELHO)"</f>
        <v>CAMISETA AZUL  M/C P (VERMELHO)</v>
      </c>
      <c r="C4960" s="2" t="str">
        <f t="shared" si="198"/>
        <v>UN</v>
      </c>
      <c r="D4960" s="7">
        <v>500</v>
      </c>
      <c r="E4960" s="3">
        <v>5</v>
      </c>
      <c r="F4960" s="3">
        <v>5</v>
      </c>
      <c r="G4960" t="s">
        <v>514</v>
      </c>
    </row>
    <row r="4961" spans="1:7" x14ac:dyDescent="0.25">
      <c r="A4961" s="1" t="str">
        <f>"513617"</f>
        <v>513617</v>
      </c>
      <c r="B4961" s="2" t="str">
        <f>"CAMISETA AZUL MARINHO M/C EGG"</f>
        <v>CAMISETA AZUL MARINHO M/C EGG</v>
      </c>
      <c r="C4961" s="2" t="str">
        <f t="shared" si="198"/>
        <v>UN</v>
      </c>
      <c r="D4961" s="7">
        <v>500</v>
      </c>
      <c r="E4961" s="3">
        <v>5</v>
      </c>
      <c r="F4961" s="3">
        <v>5</v>
      </c>
      <c r="G4961" t="s">
        <v>514</v>
      </c>
    </row>
    <row r="4962" spans="1:7" x14ac:dyDescent="0.25">
      <c r="A4962" s="1" t="str">
        <f>"521428"</f>
        <v>521428</v>
      </c>
      <c r="B4962" s="2" t="str">
        <f>"CAMISETA AZUL MARINHO M/C G"</f>
        <v>CAMISETA AZUL MARINHO M/C G</v>
      </c>
      <c r="C4962" s="2" t="str">
        <f t="shared" si="198"/>
        <v>UN</v>
      </c>
      <c r="D4962" s="7">
        <v>500</v>
      </c>
      <c r="E4962" s="3">
        <v>5</v>
      </c>
      <c r="F4962" s="3">
        <v>5</v>
      </c>
      <c r="G4962" t="s">
        <v>512</v>
      </c>
    </row>
    <row r="4963" spans="1:7" x14ac:dyDescent="0.25">
      <c r="A4963" s="1" t="str">
        <f>"521429"</f>
        <v>521429</v>
      </c>
      <c r="B4963" s="2" t="str">
        <f>"CAMISETA AZUL MARINHO M/C GG"</f>
        <v>CAMISETA AZUL MARINHO M/C GG</v>
      </c>
      <c r="C4963" s="2" t="str">
        <f t="shared" si="198"/>
        <v>UN</v>
      </c>
      <c r="D4963" s="7">
        <v>500</v>
      </c>
      <c r="E4963" s="3">
        <v>5</v>
      </c>
      <c r="F4963" s="3">
        <v>5</v>
      </c>
      <c r="G4963" t="s">
        <v>513</v>
      </c>
    </row>
    <row r="4964" spans="1:7" x14ac:dyDescent="0.25">
      <c r="A4964" s="1" t="str">
        <f>"513616"</f>
        <v>513616</v>
      </c>
      <c r="B4964" s="2" t="str">
        <f>"CAMISETA AZUL MARINHO M/C M"</f>
        <v>CAMISETA AZUL MARINHO M/C M</v>
      </c>
      <c r="C4964" s="2" t="str">
        <f t="shared" si="198"/>
        <v>UN</v>
      </c>
      <c r="D4964" s="7">
        <v>500</v>
      </c>
      <c r="E4964" s="3">
        <v>5</v>
      </c>
      <c r="F4964" s="3">
        <v>5</v>
      </c>
      <c r="G4964" t="s">
        <v>514</v>
      </c>
    </row>
    <row r="4965" spans="1:7" x14ac:dyDescent="0.25">
      <c r="A4965" s="1" t="str">
        <f>"521430"</f>
        <v>521430</v>
      </c>
      <c r="B4965" s="2" t="str">
        <f>"CAMISETA AZUL ROYAL M/C EGG"</f>
        <v>CAMISETA AZUL ROYAL M/C EGG</v>
      </c>
      <c r="C4965" s="2" t="str">
        <f t="shared" si="198"/>
        <v>UN</v>
      </c>
      <c r="D4965" s="7">
        <v>500</v>
      </c>
      <c r="E4965" s="3">
        <v>5</v>
      </c>
      <c r="F4965" s="3">
        <v>5</v>
      </c>
      <c r="G4965" t="s">
        <v>514</v>
      </c>
    </row>
    <row r="4966" spans="1:7" x14ac:dyDescent="0.25">
      <c r="A4966" s="1" t="str">
        <f>"6974"</f>
        <v>6974</v>
      </c>
      <c r="B4966" s="2" t="str">
        <f>"CAMISETA AZUL ROYAL M/C G (AMARELA)"</f>
        <v>CAMISETA AZUL ROYAL M/C G (AMARELA)</v>
      </c>
      <c r="C4966" s="2" t="str">
        <f t="shared" si="198"/>
        <v>UN</v>
      </c>
      <c r="D4966" s="7">
        <v>500</v>
      </c>
      <c r="E4966" s="3">
        <v>5</v>
      </c>
      <c r="F4966" s="3">
        <v>5</v>
      </c>
      <c r="G4966" t="s">
        <v>514</v>
      </c>
    </row>
    <row r="4967" spans="1:7" x14ac:dyDescent="0.25">
      <c r="A4967" s="1" t="str">
        <f>"6973"</f>
        <v>6973</v>
      </c>
      <c r="B4967" s="2" t="str">
        <f>"CAMISETA AZUL ROYAL M/C G (AZUL)"</f>
        <v>CAMISETA AZUL ROYAL M/C G (AZUL)</v>
      </c>
      <c r="C4967" s="2" t="str">
        <f t="shared" ref="C4967:C5030" si="199">"UN"</f>
        <v>UN</v>
      </c>
      <c r="D4967" s="7">
        <v>500</v>
      </c>
      <c r="E4967" s="3">
        <v>5</v>
      </c>
      <c r="F4967" s="3">
        <v>5</v>
      </c>
      <c r="G4967" t="s">
        <v>513</v>
      </c>
    </row>
    <row r="4968" spans="1:7" x14ac:dyDescent="0.25">
      <c r="A4968" s="1" t="str">
        <f>"6972"</f>
        <v>6972</v>
      </c>
      <c r="B4968" s="2" t="str">
        <f>"CAMISETA AZUL ROYAL M/C G (VERDE)"</f>
        <v>CAMISETA AZUL ROYAL M/C G (VERDE)</v>
      </c>
      <c r="C4968" s="2" t="str">
        <f t="shared" si="199"/>
        <v>UN</v>
      </c>
      <c r="D4968" s="7">
        <v>500</v>
      </c>
      <c r="E4968" s="3">
        <v>5</v>
      </c>
      <c r="F4968" s="3">
        <v>5</v>
      </c>
      <c r="G4968" t="s">
        <v>512</v>
      </c>
    </row>
    <row r="4969" spans="1:7" x14ac:dyDescent="0.25">
      <c r="A4969" s="1" t="str">
        <f>"6971"</f>
        <v>6971</v>
      </c>
      <c r="B4969" s="2" t="str">
        <f>"CAMISETA AZUL ROYAL M/C G (VERMELHA)"</f>
        <v>CAMISETA AZUL ROYAL M/C G (VERMELHA)</v>
      </c>
      <c r="C4969" s="2" t="str">
        <f t="shared" si="199"/>
        <v>UN</v>
      </c>
      <c r="D4969" s="7">
        <v>500</v>
      </c>
      <c r="E4969" s="3">
        <v>5</v>
      </c>
      <c r="F4969" s="3">
        <v>5</v>
      </c>
      <c r="G4969" t="s">
        <v>513</v>
      </c>
    </row>
    <row r="4970" spans="1:7" x14ac:dyDescent="0.25">
      <c r="A4970" s="1" t="str">
        <f>"6970"</f>
        <v>6970</v>
      </c>
      <c r="B4970" s="2" t="str">
        <f>"CAMISETA AZUL ROYAL M/C GG (AMARELA)"</f>
        <v>CAMISETA AZUL ROYAL M/C GG (AMARELA)</v>
      </c>
      <c r="C4970" s="2" t="str">
        <f t="shared" si="199"/>
        <v>UN</v>
      </c>
      <c r="D4970" s="7">
        <v>500</v>
      </c>
      <c r="E4970" s="3">
        <v>5</v>
      </c>
      <c r="F4970" s="3">
        <v>5</v>
      </c>
      <c r="G4970" t="s">
        <v>514</v>
      </c>
    </row>
    <row r="4971" spans="1:7" x14ac:dyDescent="0.25">
      <c r="A4971" s="1" t="str">
        <f>"6969"</f>
        <v>6969</v>
      </c>
      <c r="B4971" s="2" t="str">
        <f>"CAMISETA AZUL ROYAL M/C GG (AZUL)"</f>
        <v>CAMISETA AZUL ROYAL M/C GG (AZUL)</v>
      </c>
      <c r="C4971" s="2" t="str">
        <f t="shared" si="199"/>
        <v>UN</v>
      </c>
      <c r="D4971" s="7">
        <v>500</v>
      </c>
      <c r="E4971" s="3">
        <v>5</v>
      </c>
      <c r="F4971" s="3">
        <v>5</v>
      </c>
      <c r="G4971" t="s">
        <v>514</v>
      </c>
    </row>
    <row r="4972" spans="1:7" x14ac:dyDescent="0.25">
      <c r="A4972" s="1" t="str">
        <f>"6968"</f>
        <v>6968</v>
      </c>
      <c r="B4972" s="2" t="str">
        <f>"CAMISETA AZUL ROYAL M/C GG (VERDE)"</f>
        <v>CAMISETA AZUL ROYAL M/C GG (VERDE)</v>
      </c>
      <c r="C4972" s="2" t="str">
        <f t="shared" si="199"/>
        <v>UN</v>
      </c>
      <c r="D4972" s="7">
        <v>500</v>
      </c>
      <c r="E4972" s="3">
        <v>5</v>
      </c>
      <c r="F4972" s="3">
        <v>5</v>
      </c>
      <c r="G4972" t="s">
        <v>514</v>
      </c>
    </row>
    <row r="4973" spans="1:7" x14ac:dyDescent="0.25">
      <c r="A4973" s="1" t="str">
        <f>"6967"</f>
        <v>6967</v>
      </c>
      <c r="B4973" s="2" t="str">
        <f>"CAMISETA AZUL ROYAL M/C GG (VERMELHA)"</f>
        <v>CAMISETA AZUL ROYAL M/C GG (VERMELHA)</v>
      </c>
      <c r="C4973" s="2" t="str">
        <f t="shared" si="199"/>
        <v>UN</v>
      </c>
      <c r="D4973" s="7">
        <v>500</v>
      </c>
      <c r="E4973" s="3">
        <v>5</v>
      </c>
      <c r="F4973" s="3">
        <v>5</v>
      </c>
      <c r="G4973" t="s">
        <v>513</v>
      </c>
    </row>
    <row r="4974" spans="1:7" x14ac:dyDescent="0.25">
      <c r="A4974" s="1" t="str">
        <f>"6978"</f>
        <v>6978</v>
      </c>
      <c r="B4974" s="2" t="str">
        <f>"CAMISETA AZUL ROYAL M/C M (AMARELA)"</f>
        <v>CAMISETA AZUL ROYAL M/C M (AMARELA)</v>
      </c>
      <c r="C4974" s="2" t="str">
        <f t="shared" si="199"/>
        <v>UN</v>
      </c>
      <c r="D4974" s="7">
        <v>500</v>
      </c>
      <c r="E4974" s="3">
        <v>5</v>
      </c>
      <c r="F4974" s="3">
        <v>5</v>
      </c>
      <c r="G4974" t="s">
        <v>513</v>
      </c>
    </row>
    <row r="4975" spans="1:7" x14ac:dyDescent="0.25">
      <c r="A4975" s="1" t="str">
        <f>"6977"</f>
        <v>6977</v>
      </c>
      <c r="B4975" s="2" t="str">
        <f>"CAMISETA AZUL ROYAL M/C M (AZUL)"</f>
        <v>CAMISETA AZUL ROYAL M/C M (AZUL)</v>
      </c>
      <c r="C4975" s="2" t="str">
        <f t="shared" si="199"/>
        <v>UN</v>
      </c>
      <c r="D4975" s="7">
        <v>500</v>
      </c>
      <c r="E4975" s="3">
        <v>5</v>
      </c>
      <c r="F4975" s="3">
        <v>5</v>
      </c>
      <c r="G4975" t="s">
        <v>513</v>
      </c>
    </row>
    <row r="4976" spans="1:7" x14ac:dyDescent="0.25">
      <c r="A4976" s="1" t="str">
        <f>"6976"</f>
        <v>6976</v>
      </c>
      <c r="B4976" s="2" t="str">
        <f>"CAMISETA AZUL ROYAL M/C M (VERDE)"</f>
        <v>CAMISETA AZUL ROYAL M/C M (VERDE)</v>
      </c>
      <c r="C4976" s="2" t="str">
        <f t="shared" si="199"/>
        <v>UN</v>
      </c>
      <c r="D4976" s="7">
        <v>500</v>
      </c>
      <c r="E4976" s="3">
        <v>5</v>
      </c>
      <c r="F4976" s="3">
        <v>5</v>
      </c>
      <c r="G4976" t="s">
        <v>512</v>
      </c>
    </row>
    <row r="4977" spans="1:7" x14ac:dyDescent="0.25">
      <c r="A4977" s="1" t="str">
        <f>"6975"</f>
        <v>6975</v>
      </c>
      <c r="B4977" s="2" t="str">
        <f>"CAMISETA AZUL ROYAL M/C M (VERMELHA)"</f>
        <v>CAMISETA AZUL ROYAL M/C M (VERMELHA)</v>
      </c>
      <c r="C4977" s="2" t="str">
        <f t="shared" si="199"/>
        <v>UN</v>
      </c>
      <c r="D4977" s="7">
        <v>500</v>
      </c>
      <c r="E4977" s="3">
        <v>5</v>
      </c>
      <c r="F4977" s="3">
        <v>5</v>
      </c>
      <c r="G4977" t="s">
        <v>513</v>
      </c>
    </row>
    <row r="4978" spans="1:7" x14ac:dyDescent="0.25">
      <c r="A4978" s="1" t="str">
        <f>"521427"</f>
        <v>521427</v>
      </c>
      <c r="B4978" s="2" t="str">
        <f>"CAMISETA AZUL ROYAL M/C P"</f>
        <v>CAMISETA AZUL ROYAL M/C P</v>
      </c>
      <c r="C4978" s="2" t="str">
        <f t="shared" si="199"/>
        <v>UN</v>
      </c>
      <c r="D4978" s="7">
        <v>500</v>
      </c>
      <c r="E4978" s="3">
        <v>5</v>
      </c>
      <c r="F4978" s="3">
        <v>5</v>
      </c>
      <c r="G4978" t="s">
        <v>514</v>
      </c>
    </row>
    <row r="4979" spans="1:7" x14ac:dyDescent="0.25">
      <c r="A4979" s="1" t="str">
        <f>"6056"</f>
        <v>6056</v>
      </c>
      <c r="B4979" s="2" t="str">
        <f>"CAMISETA AZUL ROYAL M/C P (AMARELA)"</f>
        <v>CAMISETA AZUL ROYAL M/C P (AMARELA)</v>
      </c>
      <c r="C4979" s="2" t="str">
        <f t="shared" si="199"/>
        <v>UN</v>
      </c>
      <c r="D4979" s="7">
        <v>500</v>
      </c>
      <c r="E4979" s="3">
        <v>5</v>
      </c>
      <c r="F4979" s="3">
        <v>5</v>
      </c>
      <c r="G4979" t="s">
        <v>515</v>
      </c>
    </row>
    <row r="4980" spans="1:7" x14ac:dyDescent="0.25">
      <c r="A4980" s="1" t="str">
        <f>"519434"</f>
        <v>519434</v>
      </c>
      <c r="B4980" s="2" t="str">
        <f>"CAMISETA BASICA PV BORDADA AZUL IMP. DETALH AZUL ROYAL EXG"</f>
        <v>CAMISETA BASICA PV BORDADA AZUL IMP. DETALH AZUL ROYAL EXG</v>
      </c>
      <c r="C4980" s="2" t="str">
        <f t="shared" si="199"/>
        <v>UN</v>
      </c>
      <c r="D4980" s="7">
        <v>500</v>
      </c>
      <c r="E4980" s="3">
        <v>5</v>
      </c>
      <c r="F4980" s="3">
        <v>5</v>
      </c>
      <c r="G4980" t="s">
        <v>512</v>
      </c>
    </row>
    <row r="4981" spans="1:7" x14ac:dyDescent="0.25">
      <c r="A4981" s="1" t="str">
        <f>"519433"</f>
        <v>519433</v>
      </c>
      <c r="B4981" s="2" t="str">
        <f>"CAMISETA BASICA PV BORDADA AZUL IMP. DETALH AZUL ROYAL P"</f>
        <v>CAMISETA BASICA PV BORDADA AZUL IMP. DETALH AZUL ROYAL P</v>
      </c>
      <c r="C4981" s="2" t="str">
        <f t="shared" si="199"/>
        <v>UN</v>
      </c>
      <c r="D4981" s="7">
        <v>500</v>
      </c>
      <c r="E4981" s="3">
        <v>5</v>
      </c>
      <c r="F4981" s="3">
        <v>5</v>
      </c>
      <c r="G4981" t="s">
        <v>516</v>
      </c>
    </row>
    <row r="4982" spans="1:7" x14ac:dyDescent="0.25">
      <c r="A4982" s="1" t="str">
        <f>"6958"</f>
        <v>6958</v>
      </c>
      <c r="B4982" s="2" t="str">
        <f>"CAMISETA BEGE M/C G (AMARELA)"</f>
        <v>CAMISETA BEGE M/C G (AMARELA)</v>
      </c>
      <c r="C4982" s="2" t="str">
        <f t="shared" si="199"/>
        <v>UN</v>
      </c>
      <c r="D4982" s="7">
        <v>500</v>
      </c>
      <c r="E4982" s="3">
        <v>5</v>
      </c>
      <c r="F4982" s="3">
        <v>5</v>
      </c>
      <c r="G4982" t="s">
        <v>515</v>
      </c>
    </row>
    <row r="4983" spans="1:7" x14ac:dyDescent="0.25">
      <c r="A4983" s="1" t="str">
        <f>"6957"</f>
        <v>6957</v>
      </c>
      <c r="B4983" s="2" t="str">
        <f>"CAMISETA BEGE M/C G (AZUL)"</f>
        <v>CAMISETA BEGE M/C G (AZUL)</v>
      </c>
      <c r="C4983" s="2" t="str">
        <f t="shared" si="199"/>
        <v>UN</v>
      </c>
      <c r="D4983" s="7">
        <v>500</v>
      </c>
      <c r="E4983" s="3">
        <v>5</v>
      </c>
      <c r="F4983" s="3">
        <v>5</v>
      </c>
      <c r="G4983" t="s">
        <v>514</v>
      </c>
    </row>
    <row r="4984" spans="1:7" x14ac:dyDescent="0.25">
      <c r="A4984" s="1" t="str">
        <f>"6956"</f>
        <v>6956</v>
      </c>
      <c r="B4984" s="2" t="str">
        <f>"CAMISETA BEGE M/C G (VERDE)"</f>
        <v>CAMISETA BEGE M/C G (VERDE)</v>
      </c>
      <c r="C4984" s="2" t="str">
        <f t="shared" si="199"/>
        <v>UN</v>
      </c>
      <c r="D4984" s="7">
        <v>500</v>
      </c>
      <c r="E4984" s="3">
        <v>5</v>
      </c>
      <c r="F4984" s="3">
        <v>5</v>
      </c>
      <c r="G4984" t="s">
        <v>512</v>
      </c>
    </row>
    <row r="4985" spans="1:7" x14ac:dyDescent="0.25">
      <c r="A4985" s="1" t="str">
        <f>"6955"</f>
        <v>6955</v>
      </c>
      <c r="B4985" s="2" t="str">
        <f>"CAMISETA BEGE M/C G (VERMELHA)"</f>
        <v>CAMISETA BEGE M/C G (VERMELHA)</v>
      </c>
      <c r="C4985" s="2" t="str">
        <f t="shared" si="199"/>
        <v>UN</v>
      </c>
      <c r="D4985" s="7">
        <v>500</v>
      </c>
      <c r="E4985" s="3">
        <v>5</v>
      </c>
      <c r="F4985" s="3">
        <v>5</v>
      </c>
      <c r="G4985" t="s">
        <v>513</v>
      </c>
    </row>
    <row r="4986" spans="1:7" x14ac:dyDescent="0.25">
      <c r="A4986" s="1" t="str">
        <f>"6954"</f>
        <v>6954</v>
      </c>
      <c r="B4986" s="2" t="str">
        <f>"CAMISETA BEGE M/C GG (AMARELA)"</f>
        <v>CAMISETA BEGE M/C GG (AMARELA)</v>
      </c>
      <c r="C4986" s="2" t="str">
        <f t="shared" si="199"/>
        <v>UN</v>
      </c>
      <c r="D4986" s="7">
        <v>500</v>
      </c>
      <c r="E4986" s="3">
        <v>5</v>
      </c>
      <c r="F4986" s="3">
        <v>5</v>
      </c>
      <c r="G4986" t="s">
        <v>514</v>
      </c>
    </row>
    <row r="4987" spans="1:7" x14ac:dyDescent="0.25">
      <c r="A4987" s="1" t="str">
        <f>"6953"</f>
        <v>6953</v>
      </c>
      <c r="B4987" s="2" t="str">
        <f>"CAMISETA BEGE M/C GG (AZUL)"</f>
        <v>CAMISETA BEGE M/C GG (AZUL)</v>
      </c>
      <c r="C4987" s="2" t="str">
        <f t="shared" si="199"/>
        <v>UN</v>
      </c>
      <c r="D4987" s="7">
        <v>500</v>
      </c>
      <c r="E4987" s="3">
        <v>5</v>
      </c>
      <c r="F4987" s="3">
        <v>5</v>
      </c>
      <c r="G4987" t="s">
        <v>514</v>
      </c>
    </row>
    <row r="4988" spans="1:7" x14ac:dyDescent="0.25">
      <c r="A4988" s="1" t="str">
        <f>"6952"</f>
        <v>6952</v>
      </c>
      <c r="B4988" s="2" t="str">
        <f>"CAMISETA BEGE M/C GG (VERDE)"</f>
        <v>CAMISETA BEGE M/C GG (VERDE)</v>
      </c>
      <c r="C4988" s="2" t="str">
        <f t="shared" si="199"/>
        <v>UN</v>
      </c>
      <c r="D4988" s="7">
        <v>500</v>
      </c>
      <c r="E4988" s="3">
        <v>5</v>
      </c>
      <c r="F4988" s="3">
        <v>5</v>
      </c>
      <c r="G4988" t="s">
        <v>512</v>
      </c>
    </row>
    <row r="4989" spans="1:7" x14ac:dyDescent="0.25">
      <c r="A4989" s="1" t="str">
        <f>"6951"</f>
        <v>6951</v>
      </c>
      <c r="B4989" s="2" t="str">
        <f>"CAMISETA BEGE M/C GG (VERMELHA)"</f>
        <v>CAMISETA BEGE M/C GG (VERMELHA)</v>
      </c>
      <c r="C4989" s="2" t="str">
        <f t="shared" si="199"/>
        <v>UN</v>
      </c>
      <c r="D4989" s="7">
        <v>500</v>
      </c>
      <c r="E4989" s="3">
        <v>5</v>
      </c>
      <c r="F4989" s="3">
        <v>5</v>
      </c>
      <c r="G4989" t="s">
        <v>513</v>
      </c>
    </row>
    <row r="4990" spans="1:7" x14ac:dyDescent="0.25">
      <c r="A4990" s="1" t="str">
        <f>"6962"</f>
        <v>6962</v>
      </c>
      <c r="B4990" s="2" t="str">
        <f>"CAMISETA BEGE M/C M (AMARELO)"</f>
        <v>CAMISETA BEGE M/C M (AMARELO)</v>
      </c>
      <c r="C4990" s="2" t="str">
        <f t="shared" si="199"/>
        <v>UN</v>
      </c>
      <c r="D4990" s="7">
        <v>500</v>
      </c>
      <c r="E4990" s="3">
        <v>5</v>
      </c>
      <c r="F4990" s="3">
        <v>5</v>
      </c>
      <c r="G4990" t="s">
        <v>514</v>
      </c>
    </row>
    <row r="4991" spans="1:7" x14ac:dyDescent="0.25">
      <c r="A4991" s="1" t="str">
        <f>"6961"</f>
        <v>6961</v>
      </c>
      <c r="B4991" s="2" t="str">
        <f>"CAMISETA BEGE M/C M (AZUL)"</f>
        <v>CAMISETA BEGE M/C M (AZUL)</v>
      </c>
      <c r="C4991" s="2" t="str">
        <f t="shared" si="199"/>
        <v>UN</v>
      </c>
      <c r="D4991" s="7">
        <v>500</v>
      </c>
      <c r="E4991" s="3">
        <v>5</v>
      </c>
      <c r="F4991" s="3">
        <v>5</v>
      </c>
      <c r="G4991" t="s">
        <v>514</v>
      </c>
    </row>
    <row r="4992" spans="1:7" x14ac:dyDescent="0.25">
      <c r="A4992" s="1" t="str">
        <f>"6960"</f>
        <v>6960</v>
      </c>
      <c r="B4992" s="2" t="str">
        <f>"CAMISETA BEGE M/C M (VERDE)"</f>
        <v>CAMISETA BEGE M/C M (VERDE)</v>
      </c>
      <c r="C4992" s="2" t="str">
        <f t="shared" si="199"/>
        <v>UN</v>
      </c>
      <c r="D4992" s="7">
        <v>500</v>
      </c>
      <c r="E4992" s="3">
        <v>5</v>
      </c>
      <c r="F4992" s="3">
        <v>5</v>
      </c>
      <c r="G4992" t="s">
        <v>514</v>
      </c>
    </row>
    <row r="4993" spans="1:7" x14ac:dyDescent="0.25">
      <c r="A4993" s="1" t="str">
        <f>"6959"</f>
        <v>6959</v>
      </c>
      <c r="B4993" s="2" t="str">
        <f>"CAMISETA BEGE M/C M (VERMELHA)"</f>
        <v>CAMISETA BEGE M/C M (VERMELHA)</v>
      </c>
      <c r="C4993" s="2" t="str">
        <f t="shared" si="199"/>
        <v>UN</v>
      </c>
      <c r="D4993" s="7">
        <v>500</v>
      </c>
      <c r="E4993" s="3">
        <v>5</v>
      </c>
      <c r="F4993" s="3">
        <v>5</v>
      </c>
      <c r="G4993" t="s">
        <v>513</v>
      </c>
    </row>
    <row r="4994" spans="1:7" x14ac:dyDescent="0.25">
      <c r="A4994" s="1" t="str">
        <f>"6966"</f>
        <v>6966</v>
      </c>
      <c r="B4994" s="2" t="str">
        <f>"CAMISETA BEGE M/C P (AMARELA)"</f>
        <v>CAMISETA BEGE M/C P (AMARELA)</v>
      </c>
      <c r="C4994" s="2" t="str">
        <f t="shared" si="199"/>
        <v>UN</v>
      </c>
      <c r="D4994" s="7">
        <v>500</v>
      </c>
      <c r="E4994" s="3">
        <v>5</v>
      </c>
      <c r="F4994" s="3">
        <v>5</v>
      </c>
      <c r="G4994" t="s">
        <v>512</v>
      </c>
    </row>
    <row r="4995" spans="1:7" x14ac:dyDescent="0.25">
      <c r="A4995" s="1" t="str">
        <f>"6965"</f>
        <v>6965</v>
      </c>
      <c r="B4995" s="2" t="str">
        <f>"CAMISETA BEGE M/C P (AZUL)"</f>
        <v>CAMISETA BEGE M/C P (AZUL)</v>
      </c>
      <c r="C4995" s="2" t="str">
        <f t="shared" si="199"/>
        <v>UN</v>
      </c>
      <c r="D4995" s="7">
        <v>500</v>
      </c>
      <c r="E4995" s="3">
        <v>5</v>
      </c>
      <c r="F4995" s="3">
        <v>5</v>
      </c>
      <c r="G4995" t="s">
        <v>513</v>
      </c>
    </row>
    <row r="4996" spans="1:7" x14ac:dyDescent="0.25">
      <c r="A4996" s="1" t="str">
        <f>"6964"</f>
        <v>6964</v>
      </c>
      <c r="B4996" s="2" t="str">
        <f>"CAMISETA BEGE M/C P (VERDE)"</f>
        <v>CAMISETA BEGE M/C P (VERDE)</v>
      </c>
      <c r="C4996" s="2" t="str">
        <f t="shared" si="199"/>
        <v>UN</v>
      </c>
      <c r="D4996" s="7">
        <v>500</v>
      </c>
      <c r="E4996" s="3">
        <v>5</v>
      </c>
      <c r="F4996" s="3">
        <v>5</v>
      </c>
      <c r="G4996" t="s">
        <v>514</v>
      </c>
    </row>
    <row r="4997" spans="1:7" x14ac:dyDescent="0.25">
      <c r="A4997" s="1" t="str">
        <f>"6963"</f>
        <v>6963</v>
      </c>
      <c r="B4997" s="2" t="str">
        <f>"CAMISETA BEGE M/C P (VERMELHA)"</f>
        <v>CAMISETA BEGE M/C P (VERMELHA)</v>
      </c>
      <c r="C4997" s="2" t="str">
        <f t="shared" si="199"/>
        <v>UN</v>
      </c>
      <c r="D4997" s="7">
        <v>500</v>
      </c>
      <c r="E4997" s="3">
        <v>5</v>
      </c>
      <c r="F4997" s="3">
        <v>5</v>
      </c>
      <c r="G4997" t="s">
        <v>514</v>
      </c>
    </row>
    <row r="4998" spans="1:7" x14ac:dyDescent="0.25">
      <c r="A4998" s="1" t="str">
        <f>"521753"</f>
        <v>521753</v>
      </c>
      <c r="B4998" s="2" t="str">
        <f>"CAMISETA BRANCA EGG"</f>
        <v>CAMISETA BRANCA EGG</v>
      </c>
      <c r="C4998" s="2" t="str">
        <f t="shared" si="199"/>
        <v>UN</v>
      </c>
      <c r="D4998" s="7">
        <v>99999</v>
      </c>
      <c r="E4998" s="3">
        <v>99</v>
      </c>
      <c r="F4998" s="3">
        <v>99</v>
      </c>
      <c r="G4998" t="s">
        <v>514</v>
      </c>
    </row>
    <row r="4999" spans="1:7" x14ac:dyDescent="0.25">
      <c r="A4999" s="1" t="str">
        <f>"521438"</f>
        <v>521438</v>
      </c>
      <c r="B4999" s="2" t="str">
        <f>"CAMISETA BRANCA EGG - FABRICA"</f>
        <v>CAMISETA BRANCA EGG - FABRICA</v>
      </c>
      <c r="C4999" s="2" t="str">
        <f t="shared" si="199"/>
        <v>UN</v>
      </c>
      <c r="D4999" s="7">
        <v>500</v>
      </c>
      <c r="E4999" s="3">
        <v>5</v>
      </c>
      <c r="F4999" s="3">
        <v>5</v>
      </c>
      <c r="G4999" t="s">
        <v>513</v>
      </c>
    </row>
    <row r="5000" spans="1:7" x14ac:dyDescent="0.25">
      <c r="A5000" s="1" t="str">
        <f>"527723"</f>
        <v>527723</v>
      </c>
      <c r="B5000" s="2" t="str">
        <f>"CAMISETA BRANCA G"</f>
        <v>CAMISETA BRANCA G</v>
      </c>
      <c r="C5000" s="2" t="str">
        <f t="shared" si="199"/>
        <v>UN</v>
      </c>
      <c r="D5000" s="7">
        <v>500</v>
      </c>
      <c r="E5000" s="3">
        <v>5</v>
      </c>
      <c r="F5000" s="3">
        <v>5</v>
      </c>
      <c r="G5000" t="s">
        <v>513</v>
      </c>
    </row>
    <row r="5001" spans="1:7" x14ac:dyDescent="0.25">
      <c r="A5001" s="1" t="str">
        <f>"521020"</f>
        <v>521020</v>
      </c>
      <c r="B5001" s="2" t="str">
        <f>"CAMISETA BRANCA GG"</f>
        <v>CAMISETA BRANCA GG</v>
      </c>
      <c r="C5001" s="2" t="str">
        <f t="shared" si="199"/>
        <v>UN</v>
      </c>
      <c r="D5001" s="7">
        <v>500</v>
      </c>
      <c r="E5001" s="3">
        <v>5</v>
      </c>
      <c r="F5001" s="3">
        <v>5</v>
      </c>
      <c r="G5001" t="s">
        <v>513</v>
      </c>
    </row>
    <row r="5002" spans="1:7" x14ac:dyDescent="0.25">
      <c r="A5002" s="1" t="str">
        <f>"527722"</f>
        <v>527722</v>
      </c>
      <c r="B5002" s="2" t="str">
        <f>"CAMISETA BRANCA M"</f>
        <v>CAMISETA BRANCA M</v>
      </c>
      <c r="C5002" s="2" t="str">
        <f t="shared" si="199"/>
        <v>UN</v>
      </c>
      <c r="D5002" s="7">
        <v>500</v>
      </c>
      <c r="E5002" s="3">
        <v>5</v>
      </c>
      <c r="F5002" s="3">
        <v>5</v>
      </c>
      <c r="G5002" t="s">
        <v>512</v>
      </c>
    </row>
    <row r="5003" spans="1:7" x14ac:dyDescent="0.25">
      <c r="A5003" s="1" t="str">
        <f>"515174"</f>
        <v>515174</v>
      </c>
      <c r="B5003" s="2" t="str">
        <f>"CAMISETA BRANCA M/C EGG (AMARELO)"</f>
        <v>CAMISETA BRANCA M/C EGG (AMARELO)</v>
      </c>
      <c r="C5003" s="2" t="str">
        <f t="shared" si="199"/>
        <v>UN</v>
      </c>
      <c r="D5003" s="7">
        <v>500</v>
      </c>
      <c r="E5003" s="3">
        <v>5</v>
      </c>
      <c r="F5003" s="3">
        <v>5</v>
      </c>
      <c r="G5003" t="s">
        <v>513</v>
      </c>
    </row>
    <row r="5004" spans="1:7" x14ac:dyDescent="0.25">
      <c r="A5004" s="1" t="str">
        <f>"515173"</f>
        <v>515173</v>
      </c>
      <c r="B5004" s="2" t="str">
        <f>"CAMISETA BRANCA M/C EGG (AZUL)"</f>
        <v>CAMISETA BRANCA M/C EGG (AZUL)</v>
      </c>
      <c r="C5004" s="2" t="str">
        <f t="shared" si="199"/>
        <v>UN</v>
      </c>
      <c r="D5004" s="7">
        <v>500</v>
      </c>
      <c r="E5004" s="3">
        <v>5</v>
      </c>
      <c r="F5004" s="3">
        <v>5</v>
      </c>
      <c r="G5004" t="s">
        <v>514</v>
      </c>
    </row>
    <row r="5005" spans="1:7" x14ac:dyDescent="0.25">
      <c r="A5005" s="1" t="str">
        <f>"515172"</f>
        <v>515172</v>
      </c>
      <c r="B5005" s="2" t="str">
        <f>"CAMISETA BRANCA M/C EGG (VERDE)"</f>
        <v>CAMISETA BRANCA M/C EGG (VERDE)</v>
      </c>
      <c r="C5005" s="2" t="str">
        <f t="shared" si="199"/>
        <v>UN</v>
      </c>
      <c r="D5005" s="7">
        <v>500</v>
      </c>
      <c r="E5005" s="3">
        <v>5</v>
      </c>
      <c r="F5005" s="3">
        <v>5</v>
      </c>
      <c r="G5005" t="s">
        <v>515</v>
      </c>
    </row>
    <row r="5006" spans="1:7" x14ac:dyDescent="0.25">
      <c r="A5006" s="1" t="str">
        <f>"515171"</f>
        <v>515171</v>
      </c>
      <c r="B5006" s="2" t="str">
        <f>"CAMISETA BRANCA M/C EGG (VERMELHO)"</f>
        <v>CAMISETA BRANCA M/C EGG (VERMELHO)</v>
      </c>
      <c r="C5006" s="2" t="str">
        <f t="shared" si="199"/>
        <v>UN</v>
      </c>
      <c r="D5006" s="7">
        <v>500</v>
      </c>
      <c r="E5006" s="3">
        <v>5</v>
      </c>
      <c r="F5006" s="3">
        <v>5</v>
      </c>
      <c r="G5006" t="s">
        <v>512</v>
      </c>
    </row>
    <row r="5007" spans="1:7" x14ac:dyDescent="0.25">
      <c r="A5007" s="1" t="str">
        <f>"6895"</f>
        <v>6895</v>
      </c>
      <c r="B5007" s="2" t="str">
        <f>"CAMISETA BRANCA M/C G (AMARELA)"</f>
        <v>CAMISETA BRANCA M/C G (AMARELA)</v>
      </c>
      <c r="C5007" s="2" t="str">
        <f t="shared" si="199"/>
        <v>UN</v>
      </c>
      <c r="D5007" s="7">
        <v>500</v>
      </c>
      <c r="E5007" s="3">
        <v>5</v>
      </c>
      <c r="F5007" s="3">
        <v>5</v>
      </c>
      <c r="G5007" t="s">
        <v>516</v>
      </c>
    </row>
    <row r="5008" spans="1:7" x14ac:dyDescent="0.25">
      <c r="A5008" s="1" t="str">
        <f>"6894"</f>
        <v>6894</v>
      </c>
      <c r="B5008" s="2" t="str">
        <f>"CAMISETA BRANCA M/C G (AZUL)"</f>
        <v>CAMISETA BRANCA M/C G (AZUL)</v>
      </c>
      <c r="C5008" s="2" t="str">
        <f t="shared" si="199"/>
        <v>UN</v>
      </c>
      <c r="D5008" s="7">
        <v>500</v>
      </c>
      <c r="E5008" s="3">
        <v>5</v>
      </c>
      <c r="F5008" s="3">
        <v>5</v>
      </c>
      <c r="G5008" t="s">
        <v>515</v>
      </c>
    </row>
    <row r="5009" spans="1:7" x14ac:dyDescent="0.25">
      <c r="A5009" s="1" t="str">
        <f>"6896"</f>
        <v>6896</v>
      </c>
      <c r="B5009" s="2" t="str">
        <f>"CAMISETA BRANCA M/C G (VERDE)"</f>
        <v>CAMISETA BRANCA M/C G (VERDE)</v>
      </c>
      <c r="C5009" s="2" t="str">
        <f t="shared" si="199"/>
        <v>UN</v>
      </c>
      <c r="D5009" s="7">
        <v>500</v>
      </c>
      <c r="E5009" s="3">
        <v>5</v>
      </c>
      <c r="F5009" s="3">
        <v>5</v>
      </c>
      <c r="G5009" t="s">
        <v>514</v>
      </c>
    </row>
    <row r="5010" spans="1:7" x14ac:dyDescent="0.25">
      <c r="A5010" s="1" t="str">
        <f>"6897"</f>
        <v>6897</v>
      </c>
      <c r="B5010" s="2" t="str">
        <f>"CAMISETA BRANCA M/C G VERMELHA)"</f>
        <v>CAMISETA BRANCA M/C G VERMELHA)</v>
      </c>
      <c r="C5010" s="2" t="str">
        <f t="shared" si="199"/>
        <v>UN</v>
      </c>
      <c r="D5010" s="7">
        <v>500</v>
      </c>
      <c r="E5010" s="3">
        <v>5</v>
      </c>
      <c r="F5010" s="3">
        <v>5</v>
      </c>
      <c r="G5010" t="s">
        <v>512</v>
      </c>
    </row>
    <row r="5011" spans="1:7" x14ac:dyDescent="0.25">
      <c r="A5011" s="1" t="str">
        <f>"6994"</f>
        <v>6994</v>
      </c>
      <c r="B5011" s="2" t="str">
        <f>"CAMISETA BRANCA M/C GG (AMARELO)"</f>
        <v>CAMISETA BRANCA M/C GG (AMARELO)</v>
      </c>
      <c r="C5011" s="2" t="str">
        <f t="shared" si="199"/>
        <v>UN</v>
      </c>
      <c r="D5011" s="7">
        <v>500</v>
      </c>
      <c r="E5011" s="3">
        <v>5</v>
      </c>
      <c r="F5011" s="3">
        <v>5</v>
      </c>
      <c r="G5011" t="s">
        <v>513</v>
      </c>
    </row>
    <row r="5012" spans="1:7" x14ac:dyDescent="0.25">
      <c r="A5012" s="1" t="str">
        <f>"6992"</f>
        <v>6992</v>
      </c>
      <c r="B5012" s="2" t="str">
        <f>"CAMISETA BRANCA M/C GG (AZUL)"</f>
        <v>CAMISETA BRANCA M/C GG (AZUL)</v>
      </c>
      <c r="C5012" s="2" t="str">
        <f t="shared" si="199"/>
        <v>UN</v>
      </c>
      <c r="D5012" s="7">
        <v>500</v>
      </c>
      <c r="E5012" s="3">
        <v>5</v>
      </c>
      <c r="F5012" s="3">
        <v>5</v>
      </c>
      <c r="G5012" t="s">
        <v>514</v>
      </c>
    </row>
    <row r="5013" spans="1:7" x14ac:dyDescent="0.25">
      <c r="A5013" s="1" t="str">
        <f>"6993"</f>
        <v>6993</v>
      </c>
      <c r="B5013" s="2" t="str">
        <f>"CAMISETA BRANCA M/C GG (VERDE)"</f>
        <v>CAMISETA BRANCA M/C GG (VERDE)</v>
      </c>
      <c r="C5013" s="2" t="str">
        <f t="shared" si="199"/>
        <v>UN</v>
      </c>
      <c r="D5013" s="7">
        <v>500</v>
      </c>
      <c r="E5013" s="3">
        <v>5</v>
      </c>
      <c r="F5013" s="3">
        <v>5</v>
      </c>
      <c r="G5013" t="s">
        <v>514</v>
      </c>
    </row>
    <row r="5014" spans="1:7" x14ac:dyDescent="0.25">
      <c r="A5014" s="1" t="str">
        <f>"6995"</f>
        <v>6995</v>
      </c>
      <c r="B5014" s="2" t="str">
        <f>"CAMISETA BRANCA M/C GG (VERMELHO)"</f>
        <v>CAMISETA BRANCA M/C GG (VERMELHO)</v>
      </c>
      <c r="C5014" s="2" t="str">
        <f t="shared" si="199"/>
        <v>UN</v>
      </c>
      <c r="D5014" s="7">
        <v>500</v>
      </c>
      <c r="E5014" s="3">
        <v>5</v>
      </c>
      <c r="F5014" s="3">
        <v>5</v>
      </c>
      <c r="G5014" t="s">
        <v>512</v>
      </c>
    </row>
    <row r="5015" spans="1:7" x14ac:dyDescent="0.25">
      <c r="A5015" s="1" t="str">
        <f>"6891"</f>
        <v>6891</v>
      </c>
      <c r="B5015" s="2" t="str">
        <f>"CAMISETA BRANCA M/C M (AMARELA)"</f>
        <v>CAMISETA BRANCA M/C M (AMARELA)</v>
      </c>
      <c r="C5015" s="2" t="str">
        <f t="shared" si="199"/>
        <v>UN</v>
      </c>
      <c r="D5015" s="7">
        <v>500</v>
      </c>
      <c r="E5015" s="3">
        <v>5</v>
      </c>
      <c r="F5015" s="3">
        <v>5</v>
      </c>
      <c r="G5015" t="s">
        <v>513</v>
      </c>
    </row>
    <row r="5016" spans="1:7" x14ac:dyDescent="0.25">
      <c r="A5016" s="1" t="str">
        <f>"6890"</f>
        <v>6890</v>
      </c>
      <c r="B5016" s="2" t="str">
        <f>"CAMISETA BRANCA M/C M (AZUL)"</f>
        <v>CAMISETA BRANCA M/C M (AZUL)</v>
      </c>
      <c r="C5016" s="2" t="str">
        <f t="shared" si="199"/>
        <v>UN</v>
      </c>
      <c r="D5016" s="7">
        <v>500</v>
      </c>
      <c r="E5016" s="3">
        <v>5</v>
      </c>
      <c r="F5016" s="3">
        <v>5</v>
      </c>
      <c r="G5016" t="s">
        <v>514</v>
      </c>
    </row>
    <row r="5017" spans="1:7" x14ac:dyDescent="0.25">
      <c r="A5017" s="1" t="str">
        <f>"6892"</f>
        <v>6892</v>
      </c>
      <c r="B5017" s="2" t="str">
        <f>"CAMISETA BRANCA M/C M (VERDE)"</f>
        <v>CAMISETA BRANCA M/C M (VERDE)</v>
      </c>
      <c r="C5017" s="2" t="str">
        <f t="shared" si="199"/>
        <v>UN</v>
      </c>
      <c r="D5017" s="7">
        <v>500</v>
      </c>
      <c r="E5017" s="3">
        <v>5</v>
      </c>
      <c r="F5017" s="3">
        <v>5</v>
      </c>
      <c r="G5017" t="s">
        <v>514</v>
      </c>
    </row>
    <row r="5018" spans="1:7" x14ac:dyDescent="0.25">
      <c r="A5018" s="1" t="str">
        <f>"6893"</f>
        <v>6893</v>
      </c>
      <c r="B5018" s="2" t="str">
        <f>"CAMISETA BRANCA M/C M (VERMELHA)"</f>
        <v>CAMISETA BRANCA M/C M (VERMELHA)</v>
      </c>
      <c r="C5018" s="2" t="str">
        <f t="shared" si="199"/>
        <v>UN</v>
      </c>
      <c r="D5018" s="7">
        <v>500</v>
      </c>
      <c r="E5018" s="3">
        <v>5</v>
      </c>
      <c r="F5018" s="3">
        <v>5</v>
      </c>
      <c r="G5018" t="s">
        <v>514</v>
      </c>
    </row>
    <row r="5019" spans="1:7" x14ac:dyDescent="0.25">
      <c r="A5019" s="1" t="str">
        <f>"6887"</f>
        <v>6887</v>
      </c>
      <c r="B5019" s="2" t="str">
        <f>"CAMISETA BRANCA M/C P (AMARELA)"</f>
        <v>CAMISETA BRANCA M/C P (AMARELA)</v>
      </c>
      <c r="C5019" s="2" t="str">
        <f t="shared" si="199"/>
        <v>UN</v>
      </c>
      <c r="D5019" s="7">
        <v>500</v>
      </c>
      <c r="E5019" s="3">
        <v>5</v>
      </c>
      <c r="F5019" s="3">
        <v>5</v>
      </c>
      <c r="G5019" t="s">
        <v>513</v>
      </c>
    </row>
    <row r="5020" spans="1:7" x14ac:dyDescent="0.25">
      <c r="A5020" s="1" t="str">
        <f>"6886"</f>
        <v>6886</v>
      </c>
      <c r="B5020" s="2" t="str">
        <f>"CAMISETA BRANCA M/C P (AZUL)"</f>
        <v>CAMISETA BRANCA M/C P (AZUL)</v>
      </c>
      <c r="C5020" s="2" t="str">
        <f t="shared" si="199"/>
        <v>UN</v>
      </c>
      <c r="D5020" s="7">
        <v>500</v>
      </c>
      <c r="E5020" s="3">
        <v>5</v>
      </c>
      <c r="F5020" s="3">
        <v>5</v>
      </c>
      <c r="G5020" t="s">
        <v>512</v>
      </c>
    </row>
    <row r="5021" spans="1:7" x14ac:dyDescent="0.25">
      <c r="A5021" s="1" t="str">
        <f>"6888"</f>
        <v>6888</v>
      </c>
      <c r="B5021" s="2" t="str">
        <f>"CAMISETA BRANCA M/C P (VERDE)"</f>
        <v>CAMISETA BRANCA M/C P (VERDE)</v>
      </c>
      <c r="C5021" s="2" t="str">
        <f t="shared" si="199"/>
        <v>UN</v>
      </c>
      <c r="D5021" s="7">
        <v>500</v>
      </c>
      <c r="E5021" s="3">
        <v>5</v>
      </c>
      <c r="F5021" s="3">
        <v>5</v>
      </c>
      <c r="G5021" t="s">
        <v>513</v>
      </c>
    </row>
    <row r="5022" spans="1:7" x14ac:dyDescent="0.25">
      <c r="A5022" s="1" t="str">
        <f>"6889"</f>
        <v>6889</v>
      </c>
      <c r="B5022" s="2" t="str">
        <f>"CAMISETA BRANCA M/C P (VERMELHA)"</f>
        <v>CAMISETA BRANCA M/C P (VERMELHA)</v>
      </c>
      <c r="C5022" s="2" t="str">
        <f t="shared" si="199"/>
        <v>UN</v>
      </c>
      <c r="D5022" s="7">
        <v>500</v>
      </c>
      <c r="E5022" s="3">
        <v>5</v>
      </c>
      <c r="F5022" s="3">
        <v>5</v>
      </c>
      <c r="G5022" t="s">
        <v>514</v>
      </c>
    </row>
    <row r="5023" spans="1:7" x14ac:dyDescent="0.25">
      <c r="A5023" s="1" t="str">
        <f>"521017"</f>
        <v>521017</v>
      </c>
      <c r="B5023" s="2" t="str">
        <f>"CAMISETA BRANCA P"</f>
        <v>CAMISETA BRANCA P</v>
      </c>
      <c r="C5023" s="2" t="str">
        <f t="shared" si="199"/>
        <v>UN</v>
      </c>
      <c r="D5023" s="7">
        <v>500</v>
      </c>
      <c r="E5023" s="3">
        <v>5</v>
      </c>
      <c r="F5023" s="3">
        <v>5</v>
      </c>
      <c r="G5023" t="s">
        <v>514</v>
      </c>
    </row>
    <row r="5024" spans="1:7" x14ac:dyDescent="0.25">
      <c r="A5024" s="1" t="str">
        <f>"523942"</f>
        <v>523942</v>
      </c>
      <c r="B5024" s="2" t="str">
        <f>"CAMISETA C/ FAIXA REFLETIVA TAMANHO G AZUL MARINHO"</f>
        <v>CAMISETA C/ FAIXA REFLETIVA TAMANHO G AZUL MARINHO</v>
      </c>
      <c r="C5024" s="2" t="str">
        <f t="shared" si="199"/>
        <v>UN</v>
      </c>
      <c r="D5024" s="7">
        <v>500</v>
      </c>
      <c r="E5024" s="3">
        <v>5</v>
      </c>
      <c r="F5024" s="3">
        <v>5</v>
      </c>
      <c r="G5024" t="s">
        <v>514</v>
      </c>
    </row>
    <row r="5025" spans="1:7" x14ac:dyDescent="0.25">
      <c r="A5025" s="1" t="str">
        <f>"521019"</f>
        <v>521019</v>
      </c>
      <c r="B5025" s="2" t="str">
        <f>"CAMISETA C/ FAIXA REFLETIVA TAMANHO G BRANCA"</f>
        <v>CAMISETA C/ FAIXA REFLETIVA TAMANHO G BRANCA</v>
      </c>
      <c r="C5025" s="2" t="str">
        <f t="shared" si="199"/>
        <v>UN</v>
      </c>
      <c r="D5025" s="7">
        <v>500</v>
      </c>
      <c r="E5025" s="3">
        <v>5</v>
      </c>
      <c r="F5025" s="3">
        <v>5</v>
      </c>
      <c r="G5025" t="s">
        <v>513</v>
      </c>
    </row>
    <row r="5026" spans="1:7" x14ac:dyDescent="0.25">
      <c r="A5026" s="1" t="str">
        <f>"523923"</f>
        <v>523923</v>
      </c>
      <c r="B5026" s="2" t="str">
        <f>"CAMISETA C/ FAIXA REFLETIVA TAMANHO G CINZA CHUMBO"</f>
        <v>CAMISETA C/ FAIXA REFLETIVA TAMANHO G CINZA CHUMBO</v>
      </c>
      <c r="C5026" s="2" t="str">
        <f t="shared" si="199"/>
        <v>UN</v>
      </c>
      <c r="D5026" s="7">
        <v>500</v>
      </c>
      <c r="E5026" s="3">
        <v>5</v>
      </c>
      <c r="F5026" s="3">
        <v>5</v>
      </c>
      <c r="G5026" t="s">
        <v>513</v>
      </c>
    </row>
    <row r="5027" spans="1:7" x14ac:dyDescent="0.25">
      <c r="A5027" s="1" t="str">
        <f>"523946"</f>
        <v>523946</v>
      </c>
      <c r="B5027" s="2" t="str">
        <f>"CAMISETA C/ FAIXA REFLETIVA TAMANHO G CINZA MESCLA"</f>
        <v>CAMISETA C/ FAIXA REFLETIVA TAMANHO G CINZA MESCLA</v>
      </c>
      <c r="C5027" s="2" t="str">
        <f t="shared" si="199"/>
        <v>UN</v>
      </c>
      <c r="D5027" s="7">
        <v>500</v>
      </c>
      <c r="E5027" s="3">
        <v>5</v>
      </c>
      <c r="F5027" s="3">
        <v>5</v>
      </c>
      <c r="G5027" t="s">
        <v>513</v>
      </c>
    </row>
    <row r="5028" spans="1:7" x14ac:dyDescent="0.25">
      <c r="A5028" s="1" t="str">
        <f>"523943"</f>
        <v>523943</v>
      </c>
      <c r="B5028" s="2" t="str">
        <f>"CAMISETA C/ FAIXA REFLETIVA TAMANHO GG AZUL MARINHO"</f>
        <v>CAMISETA C/ FAIXA REFLETIVA TAMANHO GG AZUL MARINHO</v>
      </c>
      <c r="C5028" s="2" t="str">
        <f t="shared" si="199"/>
        <v>UN</v>
      </c>
      <c r="D5028" s="7">
        <v>500</v>
      </c>
      <c r="E5028" s="3">
        <v>5</v>
      </c>
      <c r="F5028" s="3">
        <v>5</v>
      </c>
      <c r="G5028" t="s">
        <v>512</v>
      </c>
    </row>
    <row r="5029" spans="1:7" x14ac:dyDescent="0.25">
      <c r="A5029" s="1" t="str">
        <f>"527414"</f>
        <v>527414</v>
      </c>
      <c r="B5029" s="2" t="str">
        <f>"CAMISETA C/ FAIXA REFLETIVA TAMANHO GG BRANCA"</f>
        <v>CAMISETA C/ FAIXA REFLETIVA TAMANHO GG BRANCA</v>
      </c>
      <c r="C5029" s="2" t="str">
        <f t="shared" si="199"/>
        <v>UN</v>
      </c>
      <c r="D5029" s="7">
        <v>500</v>
      </c>
      <c r="E5029" s="3">
        <v>5</v>
      </c>
      <c r="F5029" s="3">
        <v>5</v>
      </c>
      <c r="G5029" t="s">
        <v>513</v>
      </c>
    </row>
    <row r="5030" spans="1:7" x14ac:dyDescent="0.25">
      <c r="A5030" s="1" t="str">
        <f>"526838"</f>
        <v>526838</v>
      </c>
      <c r="B5030" s="2" t="str">
        <f>"CAMISETA C/ FAIXA REFLETIVA TAMANHO GG CINZA CHUMBO"</f>
        <v>CAMISETA C/ FAIXA REFLETIVA TAMANHO GG CINZA CHUMBO</v>
      </c>
      <c r="C5030" s="2" t="str">
        <f t="shared" si="199"/>
        <v>UN</v>
      </c>
      <c r="D5030" s="7">
        <v>500</v>
      </c>
      <c r="E5030" s="3">
        <v>5</v>
      </c>
      <c r="F5030" s="3">
        <v>5</v>
      </c>
      <c r="G5030" t="s">
        <v>514</v>
      </c>
    </row>
    <row r="5031" spans="1:7" x14ac:dyDescent="0.25">
      <c r="A5031" s="1" t="str">
        <f>"523947"</f>
        <v>523947</v>
      </c>
      <c r="B5031" s="2" t="str">
        <f>"CAMISETA C/ FAIXA REFLETIVA TAMANHO GG CINZA MESCLA"</f>
        <v>CAMISETA C/ FAIXA REFLETIVA TAMANHO GG CINZA MESCLA</v>
      </c>
      <c r="C5031" s="2" t="str">
        <f t="shared" ref="C5031:C5094" si="200">"UN"</f>
        <v>UN</v>
      </c>
      <c r="D5031" s="7">
        <v>500</v>
      </c>
      <c r="E5031" s="3">
        <v>5</v>
      </c>
      <c r="F5031" s="3">
        <v>5</v>
      </c>
      <c r="G5031" t="s">
        <v>515</v>
      </c>
    </row>
    <row r="5032" spans="1:7" x14ac:dyDescent="0.25">
      <c r="A5032" s="1" t="str">
        <f>"523941"</f>
        <v>523941</v>
      </c>
      <c r="B5032" s="2" t="str">
        <f>"CAMISETA C/ FAIXA REFLETIVA TAMANHO M AZUL MARINHO"</f>
        <v>CAMISETA C/ FAIXA REFLETIVA TAMANHO M AZUL MARINHO</v>
      </c>
      <c r="C5032" s="2" t="str">
        <f t="shared" si="200"/>
        <v>UN</v>
      </c>
      <c r="D5032" s="7">
        <v>500</v>
      </c>
      <c r="E5032" s="3">
        <v>5</v>
      </c>
      <c r="F5032" s="3">
        <v>5</v>
      </c>
      <c r="G5032" t="s">
        <v>512</v>
      </c>
    </row>
    <row r="5033" spans="1:7" x14ac:dyDescent="0.25">
      <c r="A5033" s="1" t="str">
        <f>"521018"</f>
        <v>521018</v>
      </c>
      <c r="B5033" s="2" t="str">
        <f>"CAMISETA C/ FAIXA REFLETIVA TAMANHO M BRANCA"</f>
        <v>CAMISETA C/ FAIXA REFLETIVA TAMANHO M BRANCA</v>
      </c>
      <c r="C5033" s="2" t="str">
        <f t="shared" si="200"/>
        <v>UN</v>
      </c>
      <c r="D5033" s="7">
        <v>500</v>
      </c>
      <c r="E5033" s="3">
        <v>5</v>
      </c>
      <c r="F5033" s="3">
        <v>5</v>
      </c>
      <c r="G5033" t="s">
        <v>516</v>
      </c>
    </row>
    <row r="5034" spans="1:7" x14ac:dyDescent="0.25">
      <c r="A5034" s="1" t="str">
        <f>"523922"</f>
        <v>523922</v>
      </c>
      <c r="B5034" s="2" t="str">
        <f>"CAMISETA C/ FAIXA REFLETIVA TAMANHO M CINZA CHUMBO"</f>
        <v>CAMISETA C/ FAIXA REFLETIVA TAMANHO M CINZA CHUMBO</v>
      </c>
      <c r="C5034" s="2" t="str">
        <f t="shared" si="200"/>
        <v>UN</v>
      </c>
      <c r="D5034" s="7">
        <v>500</v>
      </c>
      <c r="E5034" s="3">
        <v>5</v>
      </c>
      <c r="F5034" s="3">
        <v>5</v>
      </c>
      <c r="G5034" t="s">
        <v>515</v>
      </c>
    </row>
    <row r="5035" spans="1:7" x14ac:dyDescent="0.25">
      <c r="A5035" s="1" t="str">
        <f>"523945"</f>
        <v>523945</v>
      </c>
      <c r="B5035" s="2" t="str">
        <f>"CAMISETA C/ FAIXA REFLETIVA TAMANHO M CINZA MESCLA"</f>
        <v>CAMISETA C/ FAIXA REFLETIVA TAMANHO M CINZA MESCLA</v>
      </c>
      <c r="C5035" s="2" t="str">
        <f t="shared" si="200"/>
        <v>UN</v>
      </c>
      <c r="D5035" s="7">
        <v>500</v>
      </c>
      <c r="E5035" s="3">
        <v>5</v>
      </c>
      <c r="F5035" s="3">
        <v>5</v>
      </c>
      <c r="G5035" t="s">
        <v>514</v>
      </c>
    </row>
    <row r="5036" spans="1:7" x14ac:dyDescent="0.25">
      <c r="A5036" s="1" t="str">
        <f>"523940"</f>
        <v>523940</v>
      </c>
      <c r="B5036" s="2" t="str">
        <f>"CAMISETA C/ FAIXA REFLETIVA TAMANHO P AZUL MARINHO"</f>
        <v>CAMISETA C/ FAIXA REFLETIVA TAMANHO P AZUL MARINHO</v>
      </c>
      <c r="C5036" s="2" t="str">
        <f t="shared" si="200"/>
        <v>UN</v>
      </c>
      <c r="D5036" s="7">
        <v>500</v>
      </c>
      <c r="E5036" s="3">
        <v>5</v>
      </c>
      <c r="F5036" s="3">
        <v>5</v>
      </c>
      <c r="G5036" t="s">
        <v>512</v>
      </c>
    </row>
    <row r="5037" spans="1:7" x14ac:dyDescent="0.25">
      <c r="A5037" s="1" t="str">
        <f>"527413"</f>
        <v>527413</v>
      </c>
      <c r="B5037" s="2" t="str">
        <f>"CAMISETA C/ FAIXA REFLETIVA TAMANHO P BRANCA"</f>
        <v>CAMISETA C/ FAIXA REFLETIVA TAMANHO P BRANCA</v>
      </c>
      <c r="C5037" s="2" t="str">
        <f t="shared" si="200"/>
        <v>UN</v>
      </c>
      <c r="D5037" s="7">
        <v>500</v>
      </c>
      <c r="E5037" s="3">
        <v>5</v>
      </c>
      <c r="F5037" s="3">
        <v>5</v>
      </c>
      <c r="G5037" t="s">
        <v>513</v>
      </c>
    </row>
    <row r="5038" spans="1:7" x14ac:dyDescent="0.25">
      <c r="A5038" s="1" t="str">
        <f>"523944"</f>
        <v>523944</v>
      </c>
      <c r="B5038" s="2" t="str">
        <f>"CAMISETA C/ FAIXA REFLETIVA TAMANHO P CINZA MESCLA"</f>
        <v>CAMISETA C/ FAIXA REFLETIVA TAMANHO P CINZA MESCLA</v>
      </c>
      <c r="C5038" s="2" t="str">
        <f t="shared" si="200"/>
        <v>UN</v>
      </c>
      <c r="D5038" s="7">
        <v>500</v>
      </c>
      <c r="E5038" s="3">
        <v>5</v>
      </c>
      <c r="F5038" s="3">
        <v>5</v>
      </c>
      <c r="G5038" t="s">
        <v>514</v>
      </c>
    </row>
    <row r="5039" spans="1:7" x14ac:dyDescent="0.25">
      <c r="A5039" s="1" t="str">
        <f>"521436"</f>
        <v>521436</v>
      </c>
      <c r="B5039" s="2" t="str">
        <f>"CAMISETA CHUMBO EGG"</f>
        <v>CAMISETA CHUMBO EGG</v>
      </c>
      <c r="C5039" s="2" t="str">
        <f t="shared" si="200"/>
        <v>UN</v>
      </c>
      <c r="D5039" s="7">
        <v>500</v>
      </c>
      <c r="E5039" s="3">
        <v>5</v>
      </c>
      <c r="F5039" s="3">
        <v>5</v>
      </c>
      <c r="G5039" t="s">
        <v>514</v>
      </c>
    </row>
    <row r="5040" spans="1:7" x14ac:dyDescent="0.25">
      <c r="A5040" s="1" t="str">
        <f>"6979"</f>
        <v>6979</v>
      </c>
      <c r="B5040" s="2" t="str">
        <f>"CAMISETA CHUMBO G"</f>
        <v>CAMISETA CHUMBO G</v>
      </c>
      <c r="C5040" s="2" t="str">
        <f t="shared" si="200"/>
        <v>UN</v>
      </c>
      <c r="D5040" s="7">
        <v>500</v>
      </c>
      <c r="E5040" s="3">
        <v>5</v>
      </c>
      <c r="F5040" s="3">
        <v>5</v>
      </c>
      <c r="G5040" t="s">
        <v>512</v>
      </c>
    </row>
    <row r="5041" spans="1:7" x14ac:dyDescent="0.25">
      <c r="A5041" s="1" t="str">
        <f>"515380"</f>
        <v>515380</v>
      </c>
      <c r="B5041" s="2" t="str">
        <f>"CAMISETA CHUMBO GG"</f>
        <v>CAMISETA CHUMBO GG</v>
      </c>
      <c r="C5041" s="2" t="str">
        <f t="shared" si="200"/>
        <v>UN</v>
      </c>
      <c r="D5041" s="7">
        <v>500</v>
      </c>
      <c r="E5041" s="3">
        <v>5</v>
      </c>
      <c r="F5041" s="3">
        <v>5</v>
      </c>
      <c r="G5041" t="s">
        <v>513</v>
      </c>
    </row>
    <row r="5042" spans="1:7" x14ac:dyDescent="0.25">
      <c r="A5042" s="1" t="str">
        <f>"6980"</f>
        <v>6980</v>
      </c>
      <c r="B5042" s="2" t="str">
        <f>"CAMISETA CHUMBO M"</f>
        <v>CAMISETA CHUMBO M</v>
      </c>
      <c r="C5042" s="2" t="str">
        <f t="shared" si="200"/>
        <v>UN</v>
      </c>
      <c r="D5042" s="7">
        <v>500</v>
      </c>
      <c r="E5042" s="3">
        <v>5</v>
      </c>
      <c r="F5042" s="3">
        <v>5</v>
      </c>
      <c r="G5042" t="s">
        <v>514</v>
      </c>
    </row>
    <row r="5043" spans="1:7" x14ac:dyDescent="0.25">
      <c r="A5043" s="1" t="str">
        <f>"514088"</f>
        <v>514088</v>
      </c>
      <c r="B5043" s="2" t="str">
        <f>"CAMISETA CHUMBO P"</f>
        <v>CAMISETA CHUMBO P</v>
      </c>
      <c r="C5043" s="2" t="str">
        <f t="shared" si="200"/>
        <v>UN</v>
      </c>
      <c r="D5043" s="7">
        <v>500</v>
      </c>
      <c r="E5043" s="3">
        <v>5</v>
      </c>
      <c r="F5043" s="3">
        <v>5</v>
      </c>
      <c r="G5043" t="s">
        <v>514</v>
      </c>
    </row>
    <row r="5044" spans="1:7" x14ac:dyDescent="0.25">
      <c r="A5044" s="1" t="str">
        <f>"521078"</f>
        <v>521078</v>
      </c>
      <c r="B5044" s="2" t="str">
        <f>"CAMISETA CHUMBO P MANGA LONGA"</f>
        <v>CAMISETA CHUMBO P MANGA LONGA</v>
      </c>
      <c r="C5044" s="2" t="str">
        <f t="shared" si="200"/>
        <v>UN</v>
      </c>
      <c r="D5044" s="7">
        <v>500</v>
      </c>
      <c r="E5044" s="3">
        <v>5</v>
      </c>
      <c r="F5044" s="3">
        <v>5</v>
      </c>
      <c r="G5044" t="s">
        <v>514</v>
      </c>
    </row>
    <row r="5045" spans="1:7" x14ac:dyDescent="0.25">
      <c r="A5045" s="1" t="str">
        <f>"521417"</f>
        <v>521417</v>
      </c>
      <c r="B5045" s="2" t="str">
        <f>"CAMISETA CINZA EGG"</f>
        <v>CAMISETA CINZA EGG</v>
      </c>
      <c r="C5045" s="2" t="str">
        <f t="shared" si="200"/>
        <v>UN</v>
      </c>
      <c r="D5045" s="7">
        <v>500</v>
      </c>
      <c r="E5045" s="3">
        <v>5</v>
      </c>
      <c r="F5045" s="3">
        <v>5</v>
      </c>
      <c r="G5045" t="s">
        <v>513</v>
      </c>
    </row>
    <row r="5046" spans="1:7" x14ac:dyDescent="0.25">
      <c r="A5046" s="1" t="str">
        <f>"521415"</f>
        <v>521415</v>
      </c>
      <c r="B5046" s="2" t="str">
        <f>"CAMISETA CINZA G"</f>
        <v>CAMISETA CINZA G</v>
      </c>
      <c r="C5046" s="2" t="str">
        <f t="shared" si="200"/>
        <v>UN</v>
      </c>
      <c r="D5046" s="7">
        <v>500</v>
      </c>
      <c r="E5046" s="3">
        <v>5</v>
      </c>
      <c r="F5046" s="3">
        <v>5</v>
      </c>
      <c r="G5046" t="s">
        <v>512</v>
      </c>
    </row>
    <row r="5047" spans="1:7" x14ac:dyDescent="0.25">
      <c r="A5047" s="1" t="str">
        <f>"514095"</f>
        <v>514095</v>
      </c>
      <c r="B5047" s="2" t="str">
        <f>"CAMISETA CINZA G (AMARELO)"</f>
        <v>CAMISETA CINZA G (AMARELO)</v>
      </c>
      <c r="C5047" s="2" t="str">
        <f t="shared" si="200"/>
        <v>UN</v>
      </c>
      <c r="D5047" s="7">
        <v>500</v>
      </c>
      <c r="E5047" s="3">
        <v>5</v>
      </c>
      <c r="F5047" s="3">
        <v>5</v>
      </c>
      <c r="G5047" t="s">
        <v>513</v>
      </c>
    </row>
    <row r="5048" spans="1:7" x14ac:dyDescent="0.25">
      <c r="A5048" s="1" t="str">
        <f>"514079"</f>
        <v>514079</v>
      </c>
      <c r="B5048" s="2" t="str">
        <f>"CAMISETA CINZA G (AZUL)"</f>
        <v>CAMISETA CINZA G (AZUL)</v>
      </c>
      <c r="C5048" s="2" t="str">
        <f t="shared" si="200"/>
        <v>UN</v>
      </c>
      <c r="D5048" s="7">
        <v>500</v>
      </c>
      <c r="E5048" s="3">
        <v>5</v>
      </c>
      <c r="F5048" s="3">
        <v>5</v>
      </c>
      <c r="G5048" t="s">
        <v>514</v>
      </c>
    </row>
    <row r="5049" spans="1:7" x14ac:dyDescent="0.25">
      <c r="A5049" s="1" t="str">
        <f>"514080"</f>
        <v>514080</v>
      </c>
      <c r="B5049" s="2" t="str">
        <f>"CAMISETA CINZA G (VERDE)"</f>
        <v>CAMISETA CINZA G (VERDE)</v>
      </c>
      <c r="C5049" s="2" t="str">
        <f t="shared" si="200"/>
        <v>UN</v>
      </c>
      <c r="D5049" s="7">
        <v>500</v>
      </c>
      <c r="E5049" s="3">
        <v>5</v>
      </c>
      <c r="F5049" s="3">
        <v>5</v>
      </c>
      <c r="G5049" t="s">
        <v>514</v>
      </c>
    </row>
    <row r="5050" spans="1:7" x14ac:dyDescent="0.25">
      <c r="A5050" s="1" t="str">
        <f>"514094"</f>
        <v>514094</v>
      </c>
      <c r="B5050" s="2" t="str">
        <f>"CAMISETA CINZA G (VERMELHO)"</f>
        <v>CAMISETA CINZA G (VERMELHO)</v>
      </c>
      <c r="C5050" s="2" t="str">
        <f t="shared" si="200"/>
        <v>UN</v>
      </c>
      <c r="D5050" s="7">
        <v>500</v>
      </c>
      <c r="E5050" s="3">
        <v>5</v>
      </c>
      <c r="F5050" s="3">
        <v>5</v>
      </c>
      <c r="G5050" t="s">
        <v>514</v>
      </c>
    </row>
    <row r="5051" spans="1:7" x14ac:dyDescent="0.25">
      <c r="A5051" s="1" t="str">
        <f>"521416"</f>
        <v>521416</v>
      </c>
      <c r="B5051" s="2" t="str">
        <f>"CAMISETA CINZA GG"</f>
        <v>CAMISETA CINZA GG</v>
      </c>
      <c r="C5051" s="2" t="str">
        <f t="shared" si="200"/>
        <v>UN</v>
      </c>
      <c r="D5051" s="7">
        <v>500</v>
      </c>
      <c r="E5051" s="3">
        <v>5</v>
      </c>
      <c r="F5051" s="3">
        <v>5</v>
      </c>
      <c r="G5051" t="s">
        <v>513</v>
      </c>
    </row>
    <row r="5052" spans="1:7" x14ac:dyDescent="0.25">
      <c r="A5052" s="1" t="str">
        <f>"514099"</f>
        <v>514099</v>
      </c>
      <c r="B5052" s="2" t="str">
        <f>"CAMISETA CINZA GG (AMARELO)"</f>
        <v>CAMISETA CINZA GG (AMARELO)</v>
      </c>
      <c r="C5052" s="2" t="str">
        <f t="shared" si="200"/>
        <v>UN</v>
      </c>
      <c r="D5052" s="7">
        <v>500</v>
      </c>
      <c r="E5052" s="3">
        <v>5</v>
      </c>
      <c r="F5052" s="3">
        <v>5</v>
      </c>
      <c r="G5052" t="s">
        <v>513</v>
      </c>
    </row>
    <row r="5053" spans="1:7" x14ac:dyDescent="0.25">
      <c r="A5053" s="1" t="str">
        <f>"514098"</f>
        <v>514098</v>
      </c>
      <c r="B5053" s="2" t="str">
        <f>"CAMISETA CINZA GG (AZUL)"</f>
        <v>CAMISETA CINZA GG (AZUL)</v>
      </c>
      <c r="C5053" s="2" t="str">
        <f t="shared" si="200"/>
        <v>UN</v>
      </c>
      <c r="D5053" s="7">
        <v>500</v>
      </c>
      <c r="E5053" s="3">
        <v>5</v>
      </c>
      <c r="F5053" s="3">
        <v>5</v>
      </c>
      <c r="G5053" t="s">
        <v>513</v>
      </c>
    </row>
    <row r="5054" spans="1:7" x14ac:dyDescent="0.25">
      <c r="A5054" s="1" t="str">
        <f>"514097"</f>
        <v>514097</v>
      </c>
      <c r="B5054" s="2" t="str">
        <f>"CAMISETA CINZA GG (VERDE)"</f>
        <v>CAMISETA CINZA GG (VERDE)</v>
      </c>
      <c r="C5054" s="2" t="str">
        <f t="shared" si="200"/>
        <v>UN</v>
      </c>
      <c r="D5054" s="7">
        <v>500</v>
      </c>
      <c r="E5054" s="3">
        <v>5</v>
      </c>
      <c r="F5054" s="3">
        <v>5</v>
      </c>
      <c r="G5054" t="s">
        <v>512</v>
      </c>
    </row>
    <row r="5055" spans="1:7" x14ac:dyDescent="0.25">
      <c r="A5055" s="1" t="str">
        <f>"514096"</f>
        <v>514096</v>
      </c>
      <c r="B5055" s="2" t="str">
        <f>"CAMISETA CINZA GG (VERMELHO)"</f>
        <v>CAMISETA CINZA GG (VERMELHO)</v>
      </c>
      <c r="C5055" s="2" t="str">
        <f t="shared" si="200"/>
        <v>UN</v>
      </c>
      <c r="D5055" s="7">
        <v>500</v>
      </c>
      <c r="E5055" s="3">
        <v>5</v>
      </c>
      <c r="F5055" s="3">
        <v>5</v>
      </c>
      <c r="G5055" t="s">
        <v>513</v>
      </c>
    </row>
    <row r="5056" spans="1:7" x14ac:dyDescent="0.25">
      <c r="A5056" s="1" t="str">
        <f>"521414"</f>
        <v>521414</v>
      </c>
      <c r="B5056" s="2" t="str">
        <f>"CAMISETA CINZA M"</f>
        <v>CAMISETA CINZA M</v>
      </c>
      <c r="C5056" s="2" t="str">
        <f t="shared" si="200"/>
        <v>UN</v>
      </c>
      <c r="D5056" s="7">
        <v>500</v>
      </c>
      <c r="E5056" s="3">
        <v>5</v>
      </c>
      <c r="F5056" s="3">
        <v>5</v>
      </c>
      <c r="G5056" t="s">
        <v>514</v>
      </c>
    </row>
    <row r="5057" spans="1:7" x14ac:dyDescent="0.25">
      <c r="A5057" s="1" t="str">
        <f>"514083"</f>
        <v>514083</v>
      </c>
      <c r="B5057" s="2" t="str">
        <f>"CAMISETA CINZA M (AMARELO)"</f>
        <v>CAMISETA CINZA M (AMARELO)</v>
      </c>
      <c r="C5057" s="2" t="str">
        <f t="shared" si="200"/>
        <v>UN</v>
      </c>
      <c r="D5057" s="7">
        <v>500</v>
      </c>
      <c r="E5057" s="3">
        <v>5</v>
      </c>
      <c r="F5057" s="3">
        <v>5</v>
      </c>
      <c r="G5057" t="s">
        <v>515</v>
      </c>
    </row>
    <row r="5058" spans="1:7" x14ac:dyDescent="0.25">
      <c r="A5058" s="1" t="str">
        <f>"514081"</f>
        <v>514081</v>
      </c>
      <c r="B5058" s="2" t="str">
        <f>"CAMISETA CINZA M (AZUL)"</f>
        <v>CAMISETA CINZA M (AZUL)</v>
      </c>
      <c r="C5058" s="2" t="str">
        <f t="shared" si="200"/>
        <v>UN</v>
      </c>
      <c r="D5058" s="7">
        <v>500</v>
      </c>
      <c r="E5058" s="3">
        <v>5</v>
      </c>
      <c r="F5058" s="3">
        <v>5</v>
      </c>
      <c r="G5058" t="s">
        <v>512</v>
      </c>
    </row>
    <row r="5059" spans="1:7" x14ac:dyDescent="0.25">
      <c r="A5059" s="1" t="str">
        <f>"514082"</f>
        <v>514082</v>
      </c>
      <c r="B5059" s="2" t="str">
        <f>"CAMISETA CINZA M (VERDE)"</f>
        <v>CAMISETA CINZA M (VERDE)</v>
      </c>
      <c r="C5059" s="2" t="str">
        <f t="shared" si="200"/>
        <v>UN</v>
      </c>
      <c r="D5059" s="7">
        <v>500</v>
      </c>
      <c r="E5059" s="3">
        <v>5</v>
      </c>
      <c r="F5059" s="3">
        <v>5</v>
      </c>
      <c r="G5059" t="s">
        <v>516</v>
      </c>
    </row>
    <row r="5060" spans="1:7" x14ac:dyDescent="0.25">
      <c r="A5060" s="1" t="str">
        <f>"514084"</f>
        <v>514084</v>
      </c>
      <c r="B5060" s="2" t="str">
        <f>"CAMISETA CINZA M (VERMELHO)"</f>
        <v>CAMISETA CINZA M (VERMELHO)</v>
      </c>
      <c r="C5060" s="2" t="str">
        <f t="shared" si="200"/>
        <v>UN</v>
      </c>
      <c r="D5060" s="7">
        <v>500</v>
      </c>
      <c r="E5060" s="3">
        <v>5</v>
      </c>
      <c r="F5060" s="3">
        <v>5</v>
      </c>
      <c r="G5060" t="s">
        <v>515</v>
      </c>
    </row>
    <row r="5061" spans="1:7" x14ac:dyDescent="0.25">
      <c r="A5061" s="1" t="str">
        <f>"521413"</f>
        <v>521413</v>
      </c>
      <c r="B5061" s="2" t="str">
        <f>"CAMISETA CINZA P"</f>
        <v>CAMISETA CINZA P</v>
      </c>
      <c r="C5061" s="2" t="str">
        <f t="shared" si="200"/>
        <v>UN</v>
      </c>
      <c r="D5061" s="7">
        <v>500</v>
      </c>
      <c r="E5061" s="3">
        <v>5</v>
      </c>
      <c r="F5061" s="3">
        <v>5</v>
      </c>
      <c r="G5061" t="s">
        <v>514</v>
      </c>
    </row>
    <row r="5062" spans="1:7" x14ac:dyDescent="0.25">
      <c r="A5062" s="1" t="str">
        <f>"514494"</f>
        <v>514494</v>
      </c>
      <c r="B5062" s="2" t="str">
        <f>"CAMISETA CINZA P (AMARELO)"</f>
        <v>CAMISETA CINZA P (AMARELO)</v>
      </c>
      <c r="C5062" s="2" t="str">
        <f t="shared" si="200"/>
        <v>UN</v>
      </c>
      <c r="D5062" s="7">
        <v>500</v>
      </c>
      <c r="E5062" s="3">
        <v>5</v>
      </c>
      <c r="F5062" s="3">
        <v>5</v>
      </c>
      <c r="G5062" t="s">
        <v>512</v>
      </c>
    </row>
    <row r="5063" spans="1:7" x14ac:dyDescent="0.25">
      <c r="A5063" s="1" t="str">
        <f>"514492"</f>
        <v>514492</v>
      </c>
      <c r="B5063" s="2" t="str">
        <f>"CAMISETA CINZA P (AZUL)"</f>
        <v>CAMISETA CINZA P (AZUL)</v>
      </c>
      <c r="C5063" s="2" t="str">
        <f t="shared" si="200"/>
        <v>UN</v>
      </c>
      <c r="D5063" s="7">
        <v>500</v>
      </c>
      <c r="E5063" s="3">
        <v>5</v>
      </c>
      <c r="F5063" s="3">
        <v>5</v>
      </c>
      <c r="G5063" t="s">
        <v>513</v>
      </c>
    </row>
    <row r="5064" spans="1:7" x14ac:dyDescent="0.25">
      <c r="A5064" s="1" t="str">
        <f>"514493"</f>
        <v>514493</v>
      </c>
      <c r="B5064" s="2" t="str">
        <f>"CAMISETA CINZA P (VERDE)"</f>
        <v>CAMISETA CINZA P (VERDE)</v>
      </c>
      <c r="C5064" s="2" t="str">
        <f t="shared" si="200"/>
        <v>UN</v>
      </c>
      <c r="D5064" s="7">
        <v>500</v>
      </c>
      <c r="E5064" s="3">
        <v>5</v>
      </c>
      <c r="F5064" s="3">
        <v>5</v>
      </c>
      <c r="G5064" t="s">
        <v>514</v>
      </c>
    </row>
    <row r="5065" spans="1:7" x14ac:dyDescent="0.25">
      <c r="A5065" s="1" t="str">
        <f>"514495"</f>
        <v>514495</v>
      </c>
      <c r="B5065" s="2" t="str">
        <f>"CAMISETA CINZA P (VERMELHO)"</f>
        <v>CAMISETA CINZA P (VERMELHO)</v>
      </c>
      <c r="C5065" s="2" t="str">
        <f t="shared" si="200"/>
        <v>UN</v>
      </c>
      <c r="D5065" s="7">
        <v>500</v>
      </c>
      <c r="E5065" s="3">
        <v>5</v>
      </c>
      <c r="F5065" s="3">
        <v>5</v>
      </c>
      <c r="G5065" t="s">
        <v>514</v>
      </c>
    </row>
    <row r="5066" spans="1:7" x14ac:dyDescent="0.25">
      <c r="A5066" s="1" t="str">
        <f>"519870"</f>
        <v>519870</v>
      </c>
      <c r="B5066" s="2" t="str">
        <f>"CAMISETA DRY-FIT"</f>
        <v>CAMISETA DRY-FIT</v>
      </c>
      <c r="C5066" s="2" t="str">
        <f t="shared" si="200"/>
        <v>UN</v>
      </c>
      <c r="D5066" s="7">
        <v>99999</v>
      </c>
      <c r="E5066" s="3">
        <v>99</v>
      </c>
      <c r="F5066" s="3">
        <v>99</v>
      </c>
      <c r="G5066" t="s">
        <v>512</v>
      </c>
    </row>
    <row r="5067" spans="1:7" x14ac:dyDescent="0.25">
      <c r="A5067" s="1" t="str">
        <f>"514147"</f>
        <v>514147</v>
      </c>
      <c r="B5067" s="2" t="str">
        <f>"CAMISETA FUTEBOL"</f>
        <v>CAMISETA FUTEBOL</v>
      </c>
      <c r="C5067" s="2" t="str">
        <f t="shared" si="200"/>
        <v>UN</v>
      </c>
      <c r="D5067" s="7">
        <v>99999</v>
      </c>
      <c r="E5067" s="3">
        <v>99</v>
      </c>
      <c r="F5067" s="3">
        <v>99</v>
      </c>
      <c r="G5067" t="s">
        <v>513</v>
      </c>
    </row>
    <row r="5068" spans="1:7" x14ac:dyDescent="0.25">
      <c r="A5068" s="1" t="str">
        <f>"527551"</f>
        <v>527551</v>
      </c>
      <c r="B5068" s="2" t="str">
        <f>"CAMISETA GOLA REDONDA AZUL MARINHO MALHA MISTA COM ESTAMPA"</f>
        <v>CAMISETA GOLA REDONDA AZUL MARINHO MALHA MISTA COM ESTAMPA</v>
      </c>
      <c r="C5068" s="2" t="str">
        <f t="shared" si="200"/>
        <v>UN</v>
      </c>
      <c r="D5068" s="7">
        <v>500</v>
      </c>
      <c r="E5068" s="3">
        <v>5</v>
      </c>
      <c r="F5068" s="3">
        <v>5</v>
      </c>
      <c r="G5068" t="s">
        <v>514</v>
      </c>
    </row>
    <row r="5069" spans="1:7" x14ac:dyDescent="0.25">
      <c r="A5069" s="1" t="str">
        <f>"515224"</f>
        <v>515224</v>
      </c>
      <c r="B5069" s="2" t="str">
        <f>"CAMISETA GRANDE FAMILIA - EGG / 54"</f>
        <v>CAMISETA GRANDE FAMILIA - EGG / 54</v>
      </c>
      <c r="C5069" s="2" t="str">
        <f t="shared" si="200"/>
        <v>UN</v>
      </c>
      <c r="D5069" s="7">
        <v>401</v>
      </c>
      <c r="E5069" s="3">
        <v>4</v>
      </c>
      <c r="F5069" s="3">
        <v>4</v>
      </c>
      <c r="G5069" t="s">
        <v>514</v>
      </c>
    </row>
    <row r="5070" spans="1:7" x14ac:dyDescent="0.25">
      <c r="A5070" s="1" t="str">
        <f>"515222"</f>
        <v>515222</v>
      </c>
      <c r="B5070" s="2" t="str">
        <f>"CAMISETA GRANDE FAMILIA - G"</f>
        <v>CAMISETA GRANDE FAMILIA - G</v>
      </c>
      <c r="C5070" s="2" t="str">
        <f t="shared" si="200"/>
        <v>UN</v>
      </c>
      <c r="D5070" s="7">
        <v>401</v>
      </c>
      <c r="E5070" s="3">
        <v>4</v>
      </c>
      <c r="F5070" s="3">
        <v>4</v>
      </c>
      <c r="G5070" t="s">
        <v>514</v>
      </c>
    </row>
    <row r="5071" spans="1:7" x14ac:dyDescent="0.25">
      <c r="A5071" s="1" t="str">
        <f>"515223"</f>
        <v>515223</v>
      </c>
      <c r="B5071" s="2" t="str">
        <f>"CAMISETA GRANDE FAMILIA - GG"</f>
        <v>CAMISETA GRANDE FAMILIA - GG</v>
      </c>
      <c r="C5071" s="2" t="str">
        <f t="shared" si="200"/>
        <v>UN</v>
      </c>
      <c r="D5071" s="7">
        <v>401</v>
      </c>
      <c r="E5071" s="3">
        <v>4</v>
      </c>
      <c r="F5071" s="3">
        <v>4</v>
      </c>
      <c r="G5071" t="s">
        <v>513</v>
      </c>
    </row>
    <row r="5072" spans="1:7" x14ac:dyDescent="0.25">
      <c r="A5072" s="1" t="str">
        <f>"515221"</f>
        <v>515221</v>
      </c>
      <c r="B5072" s="2" t="str">
        <f>"CAMISETA GRANDE FAMILIA - M"</f>
        <v>CAMISETA GRANDE FAMILIA - M</v>
      </c>
      <c r="C5072" s="2" t="str">
        <f t="shared" si="200"/>
        <v>UN</v>
      </c>
      <c r="D5072" s="7">
        <v>401</v>
      </c>
      <c r="E5072" s="3">
        <v>4</v>
      </c>
      <c r="F5072" s="3">
        <v>4</v>
      </c>
      <c r="G5072" t="s">
        <v>512</v>
      </c>
    </row>
    <row r="5073" spans="1:7" x14ac:dyDescent="0.25">
      <c r="A5073" s="1" t="str">
        <f>"515220"</f>
        <v>515220</v>
      </c>
      <c r="B5073" s="2" t="str">
        <f>"CAMISETA GRANDE FAMILIA - P"</f>
        <v>CAMISETA GRANDE FAMILIA - P</v>
      </c>
      <c r="C5073" s="2" t="str">
        <f t="shared" si="200"/>
        <v>UN</v>
      </c>
      <c r="D5073" s="7">
        <v>401</v>
      </c>
      <c r="E5073" s="3">
        <v>4</v>
      </c>
      <c r="F5073" s="3">
        <v>4</v>
      </c>
      <c r="G5073" t="s">
        <v>513</v>
      </c>
    </row>
    <row r="5074" spans="1:7" x14ac:dyDescent="0.25">
      <c r="A5074" s="1" t="str">
        <f>"513341"</f>
        <v>513341</v>
      </c>
      <c r="B5074" s="2" t="str">
        <f>"CAMISETA LOGO 50 ANOS"</f>
        <v>CAMISETA LOGO 50 ANOS</v>
      </c>
      <c r="C5074" s="2" t="str">
        <f t="shared" si="200"/>
        <v>UN</v>
      </c>
      <c r="D5074" s="7">
        <v>500</v>
      </c>
      <c r="E5074" s="3">
        <v>4</v>
      </c>
      <c r="F5074" s="3">
        <v>4</v>
      </c>
      <c r="G5074" t="s">
        <v>514</v>
      </c>
    </row>
    <row r="5075" spans="1:7" x14ac:dyDescent="0.25">
      <c r="A5075" s="1" t="str">
        <f>"521330"</f>
        <v>521330</v>
      </c>
      <c r="B5075" s="2" t="str">
        <f>"CAMISETA M/C BRANCA EGG - GERENTE DE PRODUÇÃO"</f>
        <v>CAMISETA M/C BRANCA EGG - GERENTE DE PRODUÇÃO</v>
      </c>
      <c r="C5075" s="2" t="str">
        <f t="shared" si="200"/>
        <v>UN</v>
      </c>
      <c r="D5075" s="7">
        <v>500</v>
      </c>
      <c r="E5075" s="3">
        <v>5</v>
      </c>
      <c r="F5075" s="3">
        <v>5</v>
      </c>
      <c r="G5075" t="s">
        <v>514</v>
      </c>
    </row>
    <row r="5076" spans="1:7" x14ac:dyDescent="0.25">
      <c r="A5076" s="1" t="str">
        <f>"521326"</f>
        <v>521326</v>
      </c>
      <c r="B5076" s="2" t="str">
        <f>"CAMISETA M/C BRANCA G - ENGENHARIA"</f>
        <v>CAMISETA M/C BRANCA G - ENGENHARIA</v>
      </c>
      <c r="C5076" s="2" t="str">
        <f t="shared" si="200"/>
        <v>UN</v>
      </c>
      <c r="D5076" s="7">
        <v>500</v>
      </c>
      <c r="E5076" s="3">
        <v>5</v>
      </c>
      <c r="F5076" s="3">
        <v>5</v>
      </c>
      <c r="G5076" t="s">
        <v>514</v>
      </c>
    </row>
    <row r="5077" spans="1:7" x14ac:dyDescent="0.25">
      <c r="A5077" s="1" t="str">
        <f>"521327"</f>
        <v>521327</v>
      </c>
      <c r="B5077" s="2" t="str">
        <f>"CAMISETA M/C BRANCA GG - ENGENHARIA"</f>
        <v>CAMISETA M/C BRANCA GG - ENGENHARIA</v>
      </c>
      <c r="C5077" s="2" t="str">
        <f t="shared" si="200"/>
        <v>UN</v>
      </c>
      <c r="D5077" s="7">
        <v>500</v>
      </c>
      <c r="E5077" s="3">
        <v>5</v>
      </c>
      <c r="F5077" s="3">
        <v>5</v>
      </c>
      <c r="G5077" t="s">
        <v>513</v>
      </c>
    </row>
    <row r="5078" spans="1:7" x14ac:dyDescent="0.25">
      <c r="A5078" s="1" t="str">
        <f>"521494"</f>
        <v>521494</v>
      </c>
      <c r="B5078" s="2" t="str">
        <f>"CAMISETA M/C BRANCA GG - QUALIDADE"</f>
        <v>CAMISETA M/C BRANCA GG - QUALIDADE</v>
      </c>
      <c r="C5078" s="2" t="str">
        <f t="shared" si="200"/>
        <v>UN</v>
      </c>
      <c r="D5078" s="7">
        <v>500</v>
      </c>
      <c r="E5078" s="3">
        <v>5</v>
      </c>
      <c r="F5078" s="3">
        <v>5</v>
      </c>
      <c r="G5078" t="s">
        <v>513</v>
      </c>
    </row>
    <row r="5079" spans="1:7" x14ac:dyDescent="0.25">
      <c r="A5079" s="1" t="str">
        <f>"521325"</f>
        <v>521325</v>
      </c>
      <c r="B5079" s="2" t="str">
        <f>"CAMISETA M/C BRANCA M - ENGENHARIA"</f>
        <v>CAMISETA M/C BRANCA M - ENGENHARIA</v>
      </c>
      <c r="C5079" s="2" t="str">
        <f t="shared" si="200"/>
        <v>UN</v>
      </c>
      <c r="D5079" s="7">
        <v>500</v>
      </c>
      <c r="E5079" s="3">
        <v>5</v>
      </c>
      <c r="F5079" s="3">
        <v>5</v>
      </c>
      <c r="G5079" t="s">
        <v>513</v>
      </c>
    </row>
    <row r="5080" spans="1:7" x14ac:dyDescent="0.25">
      <c r="A5080" s="1" t="str">
        <f>"521339"</f>
        <v>521339</v>
      </c>
      <c r="B5080" s="2" t="str">
        <f>"CAMISETA M/C BRANCA M - GERENTE DE PCP"</f>
        <v>CAMISETA M/C BRANCA M - GERENTE DE PCP</v>
      </c>
      <c r="C5080" s="2" t="str">
        <f t="shared" si="200"/>
        <v>UN</v>
      </c>
      <c r="D5080" s="7">
        <v>500</v>
      </c>
      <c r="E5080" s="3">
        <v>5</v>
      </c>
      <c r="F5080" s="3">
        <v>5</v>
      </c>
      <c r="G5080" t="s">
        <v>512</v>
      </c>
    </row>
    <row r="5081" spans="1:7" x14ac:dyDescent="0.25">
      <c r="A5081" s="1" t="str">
        <f>"521328"</f>
        <v>521328</v>
      </c>
      <c r="B5081" s="2" t="str">
        <f>"CAMISETA M/C BRANCA M - GERENTE DE QUALIDADE"</f>
        <v>CAMISETA M/C BRANCA M - GERENTE DE QUALIDADE</v>
      </c>
      <c r="C5081" s="2" t="str">
        <f t="shared" si="200"/>
        <v>UN</v>
      </c>
      <c r="D5081" s="7">
        <v>500</v>
      </c>
      <c r="E5081" s="3">
        <v>5</v>
      </c>
      <c r="F5081" s="3">
        <v>5</v>
      </c>
      <c r="G5081" t="s">
        <v>513</v>
      </c>
    </row>
    <row r="5082" spans="1:7" x14ac:dyDescent="0.25">
      <c r="A5082" s="1" t="str">
        <f>"521493"</f>
        <v>521493</v>
      </c>
      <c r="B5082" s="2" t="str">
        <f>"CAMISETA M/C BRANCA M - PCP"</f>
        <v>CAMISETA M/C BRANCA M - PCP</v>
      </c>
      <c r="C5082" s="2" t="str">
        <f t="shared" si="200"/>
        <v>UN</v>
      </c>
      <c r="D5082" s="7">
        <v>500</v>
      </c>
      <c r="E5082" s="3">
        <v>5</v>
      </c>
      <c r="F5082" s="3">
        <v>5</v>
      </c>
      <c r="G5082" t="s">
        <v>514</v>
      </c>
    </row>
    <row r="5083" spans="1:7" x14ac:dyDescent="0.25">
      <c r="A5083" s="1" t="str">
        <f>"521487"</f>
        <v>521487</v>
      </c>
      <c r="B5083" s="2" t="str">
        <f>"CAMISETA M/C BRANCA M - QUALIDADE"</f>
        <v>CAMISETA M/C BRANCA M - QUALIDADE</v>
      </c>
      <c r="C5083" s="2" t="str">
        <f t="shared" si="200"/>
        <v>UN</v>
      </c>
      <c r="D5083" s="7">
        <v>500</v>
      </c>
      <c r="E5083" s="3">
        <v>5</v>
      </c>
      <c r="F5083" s="3">
        <v>5</v>
      </c>
      <c r="G5083" t="s">
        <v>515</v>
      </c>
    </row>
    <row r="5084" spans="1:7" x14ac:dyDescent="0.25">
      <c r="A5084" s="1" t="str">
        <f>"521324"</f>
        <v>521324</v>
      </c>
      <c r="B5084" s="2" t="str">
        <f>"CAMISETA M/C BRANCA P - ENGENHARIA"</f>
        <v>CAMISETA M/C BRANCA P - ENGENHARIA</v>
      </c>
      <c r="C5084" s="2" t="str">
        <f t="shared" si="200"/>
        <v>UN</v>
      </c>
      <c r="D5084" s="7">
        <v>500</v>
      </c>
      <c r="E5084" s="3">
        <v>5</v>
      </c>
      <c r="F5084" s="3">
        <v>5</v>
      </c>
      <c r="G5084" t="s">
        <v>512</v>
      </c>
    </row>
    <row r="5085" spans="1:7" x14ac:dyDescent="0.25">
      <c r="A5085" s="1" t="str">
        <f>"521366"</f>
        <v>521366</v>
      </c>
      <c r="B5085" s="2" t="str">
        <f>"CAMISETA M/C BRANCA P - QUALIDADE"</f>
        <v>CAMISETA M/C BRANCA P - QUALIDADE</v>
      </c>
      <c r="C5085" s="2" t="str">
        <f t="shared" si="200"/>
        <v>UN</v>
      </c>
      <c r="D5085" s="7">
        <v>500</v>
      </c>
      <c r="E5085" s="3">
        <v>5</v>
      </c>
      <c r="F5085" s="3">
        <v>5</v>
      </c>
      <c r="G5085" t="s">
        <v>516</v>
      </c>
    </row>
    <row r="5086" spans="1:7" x14ac:dyDescent="0.25">
      <c r="A5086" s="1" t="str">
        <f>"4426"</f>
        <v>4426</v>
      </c>
      <c r="B5086" s="2" t="str">
        <f>"CAMISETA M/C P.V. AZUL G  (CALDEIRA)"</f>
        <v>CAMISETA M/C P.V. AZUL G  (CALDEIRA)</v>
      </c>
      <c r="C5086" s="2" t="str">
        <f t="shared" si="200"/>
        <v>UN</v>
      </c>
      <c r="D5086" s="7">
        <v>500</v>
      </c>
      <c r="E5086" s="3">
        <v>5</v>
      </c>
      <c r="F5086" s="3">
        <v>5</v>
      </c>
      <c r="G5086" t="s">
        <v>515</v>
      </c>
    </row>
    <row r="5087" spans="1:7" x14ac:dyDescent="0.25">
      <c r="A5087" s="1" t="str">
        <f>"4029"</f>
        <v>4029</v>
      </c>
      <c r="B5087" s="2" t="str">
        <f>"CAMISETA M/C P.V. AZUL G (MANUTENÇAO)"</f>
        <v>CAMISETA M/C P.V. AZUL G (MANUTENÇAO)</v>
      </c>
      <c r="C5087" s="2" t="str">
        <f t="shared" si="200"/>
        <v>UN</v>
      </c>
      <c r="D5087" s="7">
        <v>500</v>
      </c>
      <c r="E5087" s="3">
        <v>5</v>
      </c>
      <c r="F5087" s="3">
        <v>5</v>
      </c>
      <c r="G5087" t="s">
        <v>514</v>
      </c>
    </row>
    <row r="5088" spans="1:7" x14ac:dyDescent="0.25">
      <c r="A5088" s="1" t="str">
        <f>"4427"</f>
        <v>4427</v>
      </c>
      <c r="B5088" s="2" t="str">
        <f>"CAMISETA M/C P.V. AZUL GG (CALDEIRA)"</f>
        <v>CAMISETA M/C P.V. AZUL GG (CALDEIRA)</v>
      </c>
      <c r="C5088" s="2" t="str">
        <f t="shared" si="200"/>
        <v>UN</v>
      </c>
      <c r="D5088" s="7">
        <v>500</v>
      </c>
      <c r="E5088" s="3">
        <v>5</v>
      </c>
      <c r="F5088" s="3">
        <v>5</v>
      </c>
      <c r="G5088" t="s">
        <v>512</v>
      </c>
    </row>
    <row r="5089" spans="1:7" x14ac:dyDescent="0.25">
      <c r="A5089" s="1" t="str">
        <f>"4030"</f>
        <v>4030</v>
      </c>
      <c r="B5089" s="2" t="str">
        <f>"CAMISETA M/C P.V. AZUL GG(MANUTENÇAO)"</f>
        <v>CAMISETA M/C P.V. AZUL GG(MANUTENÇAO)</v>
      </c>
      <c r="C5089" s="2" t="str">
        <f t="shared" si="200"/>
        <v>UN</v>
      </c>
      <c r="D5089" s="7">
        <v>500</v>
      </c>
      <c r="E5089" s="3">
        <v>5</v>
      </c>
      <c r="F5089" s="3">
        <v>5</v>
      </c>
      <c r="G5089" t="s">
        <v>513</v>
      </c>
    </row>
    <row r="5090" spans="1:7" x14ac:dyDescent="0.25">
      <c r="A5090" s="1" t="str">
        <f>"4425"</f>
        <v>4425</v>
      </c>
      <c r="B5090" s="2" t="str">
        <f>"CAMISETA M/C P.V. AZUL M  (CALDEIRA)"</f>
        <v>CAMISETA M/C P.V. AZUL M  (CALDEIRA)</v>
      </c>
      <c r="C5090" s="2" t="str">
        <f t="shared" si="200"/>
        <v>UN</v>
      </c>
      <c r="D5090" s="7">
        <v>500</v>
      </c>
      <c r="E5090" s="3">
        <v>5</v>
      </c>
      <c r="F5090" s="3">
        <v>5</v>
      </c>
      <c r="G5090" t="s">
        <v>514</v>
      </c>
    </row>
    <row r="5091" spans="1:7" x14ac:dyDescent="0.25">
      <c r="A5091" s="1" t="str">
        <f>"4028"</f>
        <v>4028</v>
      </c>
      <c r="B5091" s="2" t="str">
        <f>"CAMISETA M/C P.V. AZUL M (MANUTENÇAO)"</f>
        <v>CAMISETA M/C P.V. AZUL M (MANUTENÇAO)</v>
      </c>
      <c r="C5091" s="2" t="str">
        <f t="shared" si="200"/>
        <v>UN</v>
      </c>
      <c r="D5091" s="7">
        <v>500</v>
      </c>
      <c r="E5091" s="3">
        <v>5</v>
      </c>
      <c r="F5091" s="3">
        <v>5</v>
      </c>
      <c r="G5091" t="s">
        <v>514</v>
      </c>
    </row>
    <row r="5092" spans="1:7" x14ac:dyDescent="0.25">
      <c r="A5092" s="1" t="str">
        <f>"4026"</f>
        <v>4026</v>
      </c>
      <c r="B5092" s="2" t="str">
        <f>"CAMISETA M/C P.V. BEGE G (MAQ.SOPRO)"</f>
        <v>CAMISETA M/C P.V. BEGE G (MAQ.SOPRO)</v>
      </c>
      <c r="C5092" s="2" t="str">
        <f t="shared" si="200"/>
        <v>UN</v>
      </c>
      <c r="D5092" s="7">
        <v>500</v>
      </c>
      <c r="E5092" s="3">
        <v>5</v>
      </c>
      <c r="F5092" s="3">
        <v>5</v>
      </c>
      <c r="G5092" t="s">
        <v>512</v>
      </c>
    </row>
    <row r="5093" spans="1:7" x14ac:dyDescent="0.25">
      <c r="A5093" s="1" t="str">
        <f>"4027"</f>
        <v>4027</v>
      </c>
      <c r="B5093" s="2" t="str">
        <f>"CAMISETA M/C P.V. BEGE GG(MAQ.SOPRO)"</f>
        <v>CAMISETA M/C P.V. BEGE GG(MAQ.SOPRO)</v>
      </c>
      <c r="C5093" s="2" t="str">
        <f t="shared" si="200"/>
        <v>UN</v>
      </c>
      <c r="D5093" s="7">
        <v>500</v>
      </c>
      <c r="E5093" s="3">
        <v>5</v>
      </c>
      <c r="F5093" s="3">
        <v>5</v>
      </c>
      <c r="G5093" t="s">
        <v>513</v>
      </c>
    </row>
    <row r="5094" spans="1:7" x14ac:dyDescent="0.25">
      <c r="A5094" s="1" t="str">
        <f>"4025"</f>
        <v>4025</v>
      </c>
      <c r="B5094" s="2" t="str">
        <f>"CAMISETA M/C P.V. BEGE M (MAQ.SOPRO)"</f>
        <v>CAMISETA M/C P.V. BEGE M (MAQ.SOPRO)</v>
      </c>
      <c r="C5094" s="2" t="str">
        <f t="shared" si="200"/>
        <v>UN</v>
      </c>
      <c r="D5094" s="7">
        <v>500</v>
      </c>
      <c r="E5094" s="3">
        <v>5</v>
      </c>
      <c r="F5094" s="3">
        <v>5</v>
      </c>
      <c r="G5094" t="s">
        <v>514</v>
      </c>
    </row>
    <row r="5095" spans="1:7" x14ac:dyDescent="0.25">
      <c r="A5095" s="1" t="str">
        <f>"55556"</f>
        <v>55556</v>
      </c>
      <c r="B5095" s="2" t="str">
        <f>"CAMISETA M/C P.V. BEGE P (MAQ.SOPRO)"</f>
        <v>CAMISETA M/C P.V. BEGE P (MAQ.SOPRO)</v>
      </c>
      <c r="C5095" s="2" t="str">
        <f t="shared" ref="C5095:C5158" si="201">"UN"</f>
        <v>UN</v>
      </c>
      <c r="D5095" s="7">
        <v>500</v>
      </c>
      <c r="E5095" s="3">
        <v>5</v>
      </c>
      <c r="F5095" s="3">
        <v>5</v>
      </c>
      <c r="G5095" t="s">
        <v>514</v>
      </c>
    </row>
    <row r="5096" spans="1:7" x14ac:dyDescent="0.25">
      <c r="A5096" s="1" t="str">
        <f>"1794"</f>
        <v>1794</v>
      </c>
      <c r="B5096" s="2" t="str">
        <f>"CAMISETA M/C P.V. CINZA - G"</f>
        <v>CAMISETA M/C P.V. CINZA - G</v>
      </c>
      <c r="C5096" s="2" t="str">
        <f t="shared" si="201"/>
        <v>UN</v>
      </c>
      <c r="D5096" s="7">
        <v>500</v>
      </c>
      <c r="E5096" s="3">
        <v>5</v>
      </c>
      <c r="F5096" s="3">
        <v>5</v>
      </c>
      <c r="G5096" t="s">
        <v>514</v>
      </c>
    </row>
    <row r="5097" spans="1:7" x14ac:dyDescent="0.25">
      <c r="A5097" s="1" t="str">
        <f>"1795"</f>
        <v>1795</v>
      </c>
      <c r="B5097" s="2" t="str">
        <f>"CAMISETA M/C P.V. CINZA - GG"</f>
        <v>CAMISETA M/C P.V. CINZA - GG</v>
      </c>
      <c r="C5097" s="2" t="str">
        <f t="shared" si="201"/>
        <v>UN</v>
      </c>
      <c r="D5097" s="7">
        <v>500</v>
      </c>
      <c r="E5097" s="3">
        <v>5</v>
      </c>
      <c r="F5097" s="3">
        <v>5</v>
      </c>
      <c r="G5097" t="s">
        <v>513</v>
      </c>
    </row>
    <row r="5098" spans="1:7" x14ac:dyDescent="0.25">
      <c r="A5098" s="1" t="str">
        <f>"1793"</f>
        <v>1793</v>
      </c>
      <c r="B5098" s="2" t="str">
        <f>"CAMISETA M/C P.V. CINZA - M"</f>
        <v>CAMISETA M/C P.V. CINZA - M</v>
      </c>
      <c r="C5098" s="2" t="str">
        <f t="shared" si="201"/>
        <v>UN</v>
      </c>
      <c r="D5098" s="7">
        <v>500</v>
      </c>
      <c r="E5098" s="3">
        <v>5</v>
      </c>
      <c r="F5098" s="3">
        <v>5</v>
      </c>
      <c r="G5098" t="s">
        <v>512</v>
      </c>
    </row>
    <row r="5099" spans="1:7" x14ac:dyDescent="0.25">
      <c r="A5099" s="1" t="str">
        <f>"298"</f>
        <v>298</v>
      </c>
      <c r="B5099" s="2" t="str">
        <f>"CAMISETA M/C P.V. CINZA - P"</f>
        <v>CAMISETA M/C P.V. CINZA - P</v>
      </c>
      <c r="C5099" s="2" t="str">
        <f t="shared" si="201"/>
        <v>UN</v>
      </c>
      <c r="D5099" s="7">
        <v>500</v>
      </c>
      <c r="E5099" s="3">
        <v>5</v>
      </c>
      <c r="F5099" s="3">
        <v>5</v>
      </c>
      <c r="G5099" t="s">
        <v>513</v>
      </c>
    </row>
    <row r="5100" spans="1:7" x14ac:dyDescent="0.25">
      <c r="A5100" s="1" t="str">
        <f>"3111"</f>
        <v>3111</v>
      </c>
      <c r="B5100" s="2" t="str">
        <f>"CAMISETA M/C POLO AZUL G  (MOTORISTA)"</f>
        <v>CAMISETA M/C POLO AZUL G  (MOTORISTA)</v>
      </c>
      <c r="C5100" s="2" t="str">
        <f t="shared" si="201"/>
        <v>UN</v>
      </c>
      <c r="D5100" s="7">
        <v>500</v>
      </c>
      <c r="E5100" s="3">
        <v>5</v>
      </c>
      <c r="F5100" s="3">
        <v>5</v>
      </c>
      <c r="G5100" t="s">
        <v>514</v>
      </c>
    </row>
    <row r="5101" spans="1:7" x14ac:dyDescent="0.25">
      <c r="A5101" s="1" t="str">
        <f>"6040"</f>
        <v>6040</v>
      </c>
      <c r="B5101" s="2" t="str">
        <f>"CAMISETA M/C POLO AZUL G  (NACIF)"</f>
        <v>CAMISETA M/C POLO AZUL G  (NACIF)</v>
      </c>
      <c r="C5101" s="2" t="str">
        <f t="shared" si="201"/>
        <v>UN</v>
      </c>
      <c r="D5101" s="7">
        <v>500</v>
      </c>
      <c r="E5101" s="3">
        <v>5</v>
      </c>
      <c r="F5101" s="3">
        <v>5</v>
      </c>
      <c r="G5101" t="s">
        <v>514</v>
      </c>
    </row>
    <row r="5102" spans="1:7" x14ac:dyDescent="0.25">
      <c r="A5102" s="1" t="str">
        <f>"6041"</f>
        <v>6041</v>
      </c>
      <c r="B5102" s="2" t="str">
        <f>"CAMISETA M/C POLO AZUL GG (MOTORISTA)"</f>
        <v>CAMISETA M/C POLO AZUL GG (MOTORISTA)</v>
      </c>
      <c r="C5102" s="2" t="str">
        <f t="shared" si="201"/>
        <v>UN</v>
      </c>
      <c r="D5102" s="7">
        <v>500</v>
      </c>
      <c r="E5102" s="3">
        <v>5</v>
      </c>
      <c r="F5102" s="3">
        <v>5</v>
      </c>
      <c r="G5102" t="s">
        <v>514</v>
      </c>
    </row>
    <row r="5103" spans="1:7" x14ac:dyDescent="0.25">
      <c r="A5103" s="1" t="str">
        <f>"3112"</f>
        <v>3112</v>
      </c>
      <c r="B5103" s="2" t="str">
        <f>"CAMISETA M/C POLO AZUL M  (MOTORISTA)"</f>
        <v>CAMISETA M/C POLO AZUL M  (MOTORISTA)</v>
      </c>
      <c r="C5103" s="2" t="str">
        <f t="shared" si="201"/>
        <v>UN</v>
      </c>
      <c r="D5103" s="7">
        <v>500</v>
      </c>
      <c r="E5103" s="3">
        <v>5</v>
      </c>
      <c r="F5103" s="3">
        <v>5</v>
      </c>
      <c r="G5103" t="s">
        <v>513</v>
      </c>
    </row>
    <row r="5104" spans="1:7" x14ac:dyDescent="0.25">
      <c r="A5104" s="1" t="str">
        <f>"3471"</f>
        <v>3471</v>
      </c>
      <c r="B5104" s="2" t="str">
        <f>"CAMISETA M/C POLO BRANCA G"</f>
        <v>CAMISETA M/C POLO BRANCA G</v>
      </c>
      <c r="C5104" s="2" t="str">
        <f t="shared" si="201"/>
        <v>UN</v>
      </c>
      <c r="D5104" s="7">
        <v>500</v>
      </c>
      <c r="E5104" s="3">
        <v>5</v>
      </c>
      <c r="F5104" s="3">
        <v>5</v>
      </c>
      <c r="G5104" t="s">
        <v>513</v>
      </c>
    </row>
    <row r="5105" spans="1:7" x14ac:dyDescent="0.25">
      <c r="A5105" s="1" t="str">
        <f>"6039"</f>
        <v>6039</v>
      </c>
      <c r="B5105" s="2" t="str">
        <f>"CAMISETA M/C POLO BRANCA M"</f>
        <v>CAMISETA M/C POLO BRANCA M</v>
      </c>
      <c r="C5105" s="2" t="str">
        <f t="shared" si="201"/>
        <v>UN</v>
      </c>
      <c r="D5105" s="7">
        <v>500</v>
      </c>
      <c r="E5105" s="3">
        <v>5</v>
      </c>
      <c r="F5105" s="3">
        <v>5</v>
      </c>
      <c r="G5105" t="s">
        <v>513</v>
      </c>
    </row>
    <row r="5106" spans="1:7" x14ac:dyDescent="0.25">
      <c r="A5106" s="1" t="str">
        <f>"6038"</f>
        <v>6038</v>
      </c>
      <c r="B5106" s="2" t="str">
        <f>"CAMISETA M/C POLO BRANCA P"</f>
        <v>CAMISETA M/C POLO BRANCA P</v>
      </c>
      <c r="C5106" s="2" t="str">
        <f t="shared" si="201"/>
        <v>UN</v>
      </c>
      <c r="D5106" s="7">
        <v>500</v>
      </c>
      <c r="E5106" s="3">
        <v>5</v>
      </c>
      <c r="F5106" s="3">
        <v>5</v>
      </c>
      <c r="G5106" t="s">
        <v>512</v>
      </c>
    </row>
    <row r="5107" spans="1:7" x14ac:dyDescent="0.25">
      <c r="A5107" s="1" t="str">
        <f>"6037"</f>
        <v>6037</v>
      </c>
      <c r="B5107" s="2" t="str">
        <f>"CAMISETA M/C POLO BRANCA XGG"</f>
        <v>CAMISETA M/C POLO BRANCA XGG</v>
      </c>
      <c r="C5107" s="2" t="str">
        <f t="shared" si="201"/>
        <v>UN</v>
      </c>
      <c r="D5107" s="7">
        <v>500</v>
      </c>
      <c r="E5107" s="3">
        <v>5</v>
      </c>
      <c r="F5107" s="3">
        <v>5</v>
      </c>
      <c r="G5107" t="s">
        <v>513</v>
      </c>
    </row>
    <row r="5108" spans="1:7" x14ac:dyDescent="0.25">
      <c r="A5108" s="1" t="str">
        <f>"519204"</f>
        <v>519204</v>
      </c>
      <c r="B5108" s="2" t="str">
        <f>"CAMISETA M/C POLO PIQUET CAROLINA (G)"</f>
        <v>CAMISETA M/C POLO PIQUET CAROLINA (G)</v>
      </c>
      <c r="C5108" s="2" t="str">
        <f t="shared" si="201"/>
        <v>UN</v>
      </c>
      <c r="D5108" s="7">
        <v>500</v>
      </c>
      <c r="E5108" s="3">
        <v>5</v>
      </c>
      <c r="F5108" s="3">
        <v>5</v>
      </c>
      <c r="G5108" t="s">
        <v>514</v>
      </c>
    </row>
    <row r="5109" spans="1:7" x14ac:dyDescent="0.25">
      <c r="A5109" s="1" t="str">
        <f>"519202"</f>
        <v>519202</v>
      </c>
      <c r="B5109" s="2" t="str">
        <f>"CAMISETA M/C POLO PIQUET CAROLINA (GG)"</f>
        <v>CAMISETA M/C POLO PIQUET CAROLINA (GG)</v>
      </c>
      <c r="C5109" s="2" t="str">
        <f t="shared" si="201"/>
        <v>UN</v>
      </c>
      <c r="D5109" s="7">
        <v>500</v>
      </c>
      <c r="E5109" s="3">
        <v>5</v>
      </c>
      <c r="F5109" s="3">
        <v>5</v>
      </c>
      <c r="G5109" t="s">
        <v>515</v>
      </c>
    </row>
    <row r="5110" spans="1:7" x14ac:dyDescent="0.25">
      <c r="A5110" s="1" t="str">
        <f>"519203"</f>
        <v>519203</v>
      </c>
      <c r="B5110" s="2" t="str">
        <f>"CAMISETA M/C POLO PIQUET CAROLINA (M)"</f>
        <v>CAMISETA M/C POLO PIQUET CAROLINA (M)</v>
      </c>
      <c r="C5110" s="2" t="str">
        <f t="shared" si="201"/>
        <v>UN</v>
      </c>
      <c r="D5110" s="7">
        <v>500</v>
      </c>
      <c r="E5110" s="3">
        <v>5</v>
      </c>
      <c r="F5110" s="3">
        <v>5</v>
      </c>
      <c r="G5110" t="s">
        <v>512</v>
      </c>
    </row>
    <row r="5111" spans="1:7" x14ac:dyDescent="0.25">
      <c r="A5111" s="1" t="str">
        <f>"514013"</f>
        <v>514013</v>
      </c>
      <c r="B5111" s="2" t="str">
        <f>"CAMISETA M/C POLO PIQUET RODOVERY (G)"</f>
        <v>CAMISETA M/C POLO PIQUET RODOVERY (G)</v>
      </c>
      <c r="C5111" s="2" t="str">
        <f t="shared" si="201"/>
        <v>UN</v>
      </c>
      <c r="D5111" s="7">
        <v>500</v>
      </c>
      <c r="E5111" s="3">
        <v>5</v>
      </c>
      <c r="F5111" s="3">
        <v>5</v>
      </c>
      <c r="G5111" t="s">
        <v>516</v>
      </c>
    </row>
    <row r="5112" spans="1:7" x14ac:dyDescent="0.25">
      <c r="A5112" s="1" t="str">
        <f>"514014"</f>
        <v>514014</v>
      </c>
      <c r="B5112" s="2" t="str">
        <f>"CAMISETA M/C POLO PIQUET RODOVERY (GG)"</f>
        <v>CAMISETA M/C POLO PIQUET RODOVERY (GG)</v>
      </c>
      <c r="C5112" s="2" t="str">
        <f t="shared" si="201"/>
        <v>UN</v>
      </c>
      <c r="D5112" s="7">
        <v>500</v>
      </c>
      <c r="E5112" s="3">
        <v>5</v>
      </c>
      <c r="F5112" s="3">
        <v>5</v>
      </c>
      <c r="G5112" t="s">
        <v>515</v>
      </c>
    </row>
    <row r="5113" spans="1:7" x14ac:dyDescent="0.25">
      <c r="A5113" s="1" t="str">
        <f>"514012"</f>
        <v>514012</v>
      </c>
      <c r="B5113" s="2" t="str">
        <f>"CAMISETA M/C POLO PIQUET RODOVERY (M)"</f>
        <v>CAMISETA M/C POLO PIQUET RODOVERY (M)</v>
      </c>
      <c r="C5113" s="2" t="str">
        <f t="shared" si="201"/>
        <v>UN</v>
      </c>
      <c r="D5113" s="7">
        <v>500</v>
      </c>
      <c r="E5113" s="3">
        <v>5</v>
      </c>
      <c r="F5113" s="3">
        <v>5</v>
      </c>
      <c r="G5113" t="s">
        <v>514</v>
      </c>
    </row>
    <row r="5114" spans="1:7" x14ac:dyDescent="0.25">
      <c r="A5114" s="1" t="str">
        <f>"514865"</f>
        <v>514865</v>
      </c>
      <c r="B5114" s="2" t="str">
        <f>"CAMISETA M/C POLO PIQUET RODOVERY (P)"</f>
        <v>CAMISETA M/C POLO PIQUET RODOVERY (P)</v>
      </c>
      <c r="C5114" s="2" t="str">
        <f t="shared" si="201"/>
        <v>UN</v>
      </c>
      <c r="D5114" s="7">
        <v>500</v>
      </c>
      <c r="E5114" s="3">
        <v>5</v>
      </c>
      <c r="F5114" s="3">
        <v>5</v>
      </c>
      <c r="G5114" t="s">
        <v>512</v>
      </c>
    </row>
    <row r="5115" spans="1:7" x14ac:dyDescent="0.25">
      <c r="A5115" s="1" t="str">
        <f>"514864"</f>
        <v>514864</v>
      </c>
      <c r="B5115" s="2" t="str">
        <f>"CAMISETA M/C POLO PIQUET RODOVERY (PP)"</f>
        <v>CAMISETA M/C POLO PIQUET RODOVERY (PP)</v>
      </c>
      <c r="C5115" s="2" t="str">
        <f t="shared" si="201"/>
        <v>UN</v>
      </c>
      <c r="D5115" s="7">
        <v>500</v>
      </c>
      <c r="E5115" s="3">
        <v>5</v>
      </c>
      <c r="F5115" s="3">
        <v>5</v>
      </c>
      <c r="G5115" t="s">
        <v>513</v>
      </c>
    </row>
    <row r="5116" spans="1:7" x14ac:dyDescent="0.25">
      <c r="A5116" s="1" t="str">
        <f>"518939"</f>
        <v>518939</v>
      </c>
      <c r="B5116" s="2" t="str">
        <f>"CAMISETA M/C POLO PIQUET RODOVERY (XGG)"</f>
        <v>CAMISETA M/C POLO PIQUET RODOVERY (XGG)</v>
      </c>
      <c r="C5116" s="2" t="str">
        <f t="shared" si="201"/>
        <v>UN</v>
      </c>
      <c r="D5116" s="7">
        <v>500</v>
      </c>
      <c r="E5116" s="3">
        <v>5</v>
      </c>
      <c r="F5116" s="3">
        <v>5</v>
      </c>
      <c r="G5116" t="s">
        <v>514</v>
      </c>
    </row>
    <row r="5117" spans="1:7" x14ac:dyDescent="0.25">
      <c r="A5117" s="1" t="str">
        <f>"523866"</f>
        <v>523866</v>
      </c>
      <c r="B5117" s="2" t="str">
        <f>"CAMISETA M/C PV 67/33% C/ FAIXA REFLETIVA CINZA CHUMBO M"</f>
        <v>CAMISETA M/C PV 67/33% C/ FAIXA REFLETIVA CINZA CHUMBO M</v>
      </c>
      <c r="C5117" s="2" t="str">
        <f t="shared" si="201"/>
        <v>UN</v>
      </c>
      <c r="D5117" s="7">
        <v>500</v>
      </c>
      <c r="E5117" s="3">
        <v>5</v>
      </c>
      <c r="F5117" s="3">
        <v>5</v>
      </c>
      <c r="G5117" t="s">
        <v>514</v>
      </c>
    </row>
    <row r="5118" spans="1:7" x14ac:dyDescent="0.25">
      <c r="A5118" s="1" t="str">
        <f>"3101"</f>
        <v>3101</v>
      </c>
      <c r="B5118" s="2" t="str">
        <f>"CAMISETA M/L AZUL (G)"</f>
        <v>CAMISETA M/L AZUL (G)</v>
      </c>
      <c r="C5118" s="2" t="str">
        <f t="shared" si="201"/>
        <v>UN</v>
      </c>
      <c r="D5118" s="7">
        <v>500</v>
      </c>
      <c r="E5118" s="3">
        <v>5</v>
      </c>
      <c r="F5118" s="3">
        <v>5</v>
      </c>
      <c r="G5118" t="s">
        <v>512</v>
      </c>
    </row>
    <row r="5119" spans="1:7" x14ac:dyDescent="0.25">
      <c r="A5119" s="1" t="str">
        <f>"3102"</f>
        <v>3102</v>
      </c>
      <c r="B5119" s="2" t="str">
        <f>"CAMISETA M/L AZUL (GG)"</f>
        <v>CAMISETA M/L AZUL (GG)</v>
      </c>
      <c r="C5119" s="2" t="str">
        <f t="shared" si="201"/>
        <v>UN</v>
      </c>
      <c r="D5119" s="7">
        <v>500</v>
      </c>
      <c r="E5119" s="3">
        <v>5</v>
      </c>
      <c r="F5119" s="3">
        <v>5</v>
      </c>
      <c r="G5119" t="s">
        <v>513</v>
      </c>
    </row>
    <row r="5120" spans="1:7" x14ac:dyDescent="0.25">
      <c r="A5120" s="1" t="str">
        <f>"3100"</f>
        <v>3100</v>
      </c>
      <c r="B5120" s="2" t="str">
        <f>"CAMISETA M/L AZUL (M)"</f>
        <v>CAMISETA M/L AZUL (M)</v>
      </c>
      <c r="C5120" s="2" t="str">
        <f t="shared" si="201"/>
        <v>UN</v>
      </c>
      <c r="D5120" s="7">
        <v>500</v>
      </c>
      <c r="E5120" s="3">
        <v>5</v>
      </c>
      <c r="F5120" s="3">
        <v>5</v>
      </c>
      <c r="G5120" t="s">
        <v>514</v>
      </c>
    </row>
    <row r="5121" spans="1:7" x14ac:dyDescent="0.25">
      <c r="A5121" s="1" t="str">
        <f>"3106"</f>
        <v>3106</v>
      </c>
      <c r="B5121" s="2" t="str">
        <f>"CAMISETA M/L AZUL (P)"</f>
        <v>CAMISETA M/L AZUL (P)</v>
      </c>
      <c r="C5121" s="2" t="str">
        <f t="shared" si="201"/>
        <v>UN</v>
      </c>
      <c r="D5121" s="7">
        <v>500</v>
      </c>
      <c r="E5121" s="3">
        <v>5</v>
      </c>
      <c r="F5121" s="3">
        <v>5</v>
      </c>
      <c r="G5121" t="s">
        <v>514</v>
      </c>
    </row>
    <row r="5122" spans="1:7" x14ac:dyDescent="0.25">
      <c r="A5122" s="1" t="str">
        <f>"521335"</f>
        <v>521335</v>
      </c>
      <c r="B5122" s="2" t="str">
        <f>"CAMISETA M/L BRANCA G - DIRETOR"</f>
        <v>CAMISETA M/L BRANCA G - DIRETOR</v>
      </c>
      <c r="C5122" s="2" t="str">
        <f t="shared" si="201"/>
        <v>UN</v>
      </c>
      <c r="D5122" s="7">
        <v>500</v>
      </c>
      <c r="E5122" s="3">
        <v>5</v>
      </c>
      <c r="F5122" s="3">
        <v>5</v>
      </c>
      <c r="G5122" t="s">
        <v>514</v>
      </c>
    </row>
    <row r="5123" spans="1:7" x14ac:dyDescent="0.25">
      <c r="A5123" s="1" t="str">
        <f>"521333"</f>
        <v>521333</v>
      </c>
      <c r="B5123" s="2" t="str">
        <f>"CAMISETA M/L BRANCA G - QUALIDADE"</f>
        <v>CAMISETA M/L BRANCA G - QUALIDADE</v>
      </c>
      <c r="C5123" s="2" t="str">
        <f t="shared" si="201"/>
        <v>UN</v>
      </c>
      <c r="D5123" s="7">
        <v>500</v>
      </c>
      <c r="E5123" s="3">
        <v>5</v>
      </c>
      <c r="F5123" s="3">
        <v>5</v>
      </c>
      <c r="G5123" t="s">
        <v>513</v>
      </c>
    </row>
    <row r="5124" spans="1:7" x14ac:dyDescent="0.25">
      <c r="A5124" s="1" t="str">
        <f>"521338"</f>
        <v>521338</v>
      </c>
      <c r="B5124" s="2" t="str">
        <f>"CAMISETA M/L BRANCA G - SEGURANÇA"</f>
        <v>CAMISETA M/L BRANCA G - SEGURANÇA</v>
      </c>
      <c r="C5124" s="2" t="str">
        <f t="shared" si="201"/>
        <v>UN</v>
      </c>
      <c r="D5124" s="7">
        <v>500</v>
      </c>
      <c r="E5124" s="3">
        <v>5</v>
      </c>
      <c r="F5124" s="3">
        <v>5</v>
      </c>
      <c r="G5124" t="s">
        <v>512</v>
      </c>
    </row>
    <row r="5125" spans="1:7" x14ac:dyDescent="0.25">
      <c r="A5125" s="1" t="str">
        <f>"521334"</f>
        <v>521334</v>
      </c>
      <c r="B5125" s="2" t="str">
        <f>"CAMISETA M/L BRANCA GG - QUALIDADE"</f>
        <v>CAMISETA M/L BRANCA GG - QUALIDADE</v>
      </c>
      <c r="C5125" s="2" t="str">
        <f t="shared" si="201"/>
        <v>UN</v>
      </c>
      <c r="D5125" s="7">
        <v>500</v>
      </c>
      <c r="E5125" s="3">
        <v>5</v>
      </c>
      <c r="F5125" s="3">
        <v>5</v>
      </c>
      <c r="G5125" t="s">
        <v>513</v>
      </c>
    </row>
    <row r="5126" spans="1:7" x14ac:dyDescent="0.25">
      <c r="A5126" s="1" t="str">
        <f>"521329"</f>
        <v>521329</v>
      </c>
      <c r="B5126" s="2" t="str">
        <f>"CAMISETA M/L BRANCA M - GERENTE DE QUALIDADE"</f>
        <v>CAMISETA M/L BRANCA M - GERENTE DE QUALIDADE</v>
      </c>
      <c r="C5126" s="2" t="str">
        <f t="shared" si="201"/>
        <v>UN</v>
      </c>
      <c r="D5126" s="7">
        <v>500</v>
      </c>
      <c r="E5126" s="3">
        <v>5</v>
      </c>
      <c r="F5126" s="3">
        <v>5</v>
      </c>
      <c r="G5126" t="s">
        <v>514</v>
      </c>
    </row>
    <row r="5127" spans="1:7" x14ac:dyDescent="0.25">
      <c r="A5127" s="1" t="str">
        <f>"521336"</f>
        <v>521336</v>
      </c>
      <c r="B5127" s="2" t="str">
        <f>"CAMISETA M/L BRANCA M - PCP"</f>
        <v>CAMISETA M/L BRANCA M - PCP</v>
      </c>
      <c r="C5127" s="2" t="str">
        <f t="shared" si="201"/>
        <v>UN</v>
      </c>
      <c r="D5127" s="7">
        <v>500</v>
      </c>
      <c r="E5127" s="3">
        <v>5</v>
      </c>
      <c r="F5127" s="3">
        <v>5</v>
      </c>
      <c r="G5127" t="s">
        <v>514</v>
      </c>
    </row>
    <row r="5128" spans="1:7" x14ac:dyDescent="0.25">
      <c r="A5128" s="1" t="str">
        <f>"521332"</f>
        <v>521332</v>
      </c>
      <c r="B5128" s="2" t="str">
        <f>"CAMISETA M/L BRANCA M - QUALIDADE"</f>
        <v>CAMISETA M/L BRANCA M - QUALIDADE</v>
      </c>
      <c r="C5128" s="2" t="str">
        <f t="shared" si="201"/>
        <v>UN</v>
      </c>
      <c r="D5128" s="7">
        <v>500</v>
      </c>
      <c r="E5128" s="3">
        <v>5</v>
      </c>
      <c r="F5128" s="3">
        <v>5</v>
      </c>
      <c r="G5128" t="s">
        <v>514</v>
      </c>
    </row>
    <row r="5129" spans="1:7" x14ac:dyDescent="0.25">
      <c r="A5129" s="1" t="str">
        <f>"521337"</f>
        <v>521337</v>
      </c>
      <c r="B5129" s="2" t="str">
        <f>"CAMISETA M/L BRANCA M - SEGURANÇA"</f>
        <v>CAMISETA M/L BRANCA M - SEGURANÇA</v>
      </c>
      <c r="C5129" s="2" t="str">
        <f t="shared" si="201"/>
        <v>UN</v>
      </c>
      <c r="D5129" s="7">
        <v>500</v>
      </c>
      <c r="E5129" s="3">
        <v>5</v>
      </c>
      <c r="F5129" s="3">
        <v>5</v>
      </c>
      <c r="G5129" t="s">
        <v>513</v>
      </c>
    </row>
    <row r="5130" spans="1:7" x14ac:dyDescent="0.25">
      <c r="A5130" s="1" t="str">
        <f>"521331"</f>
        <v>521331</v>
      </c>
      <c r="B5130" s="2" t="str">
        <f>"CAMISETA M/L BRANCA P - QUALIDADE"</f>
        <v>CAMISETA M/L BRANCA P - QUALIDADE</v>
      </c>
      <c r="C5130" s="2" t="str">
        <f t="shared" si="201"/>
        <v>UN</v>
      </c>
      <c r="D5130" s="7">
        <v>500</v>
      </c>
      <c r="E5130" s="3">
        <v>5</v>
      </c>
      <c r="F5130" s="3">
        <v>5</v>
      </c>
      <c r="G5130" t="s">
        <v>513</v>
      </c>
    </row>
    <row r="5131" spans="1:7" x14ac:dyDescent="0.25">
      <c r="A5131" s="1" t="str">
        <f>"2496"</f>
        <v>2496</v>
      </c>
      <c r="B5131" s="2" t="str">
        <f>"CAMISETA M/L P.V. BRANCA TAM. (G)"</f>
        <v>CAMISETA M/L P.V. BRANCA TAM. (G)</v>
      </c>
      <c r="C5131" s="2" t="str">
        <f t="shared" si="201"/>
        <v>UN</v>
      </c>
      <c r="D5131" s="7">
        <v>500</v>
      </c>
      <c r="E5131" s="3">
        <v>5</v>
      </c>
      <c r="F5131" s="3">
        <v>5</v>
      </c>
      <c r="G5131" t="s">
        <v>513</v>
      </c>
    </row>
    <row r="5132" spans="1:7" x14ac:dyDescent="0.25">
      <c r="A5132" s="1" t="str">
        <f>"2455"</f>
        <v>2455</v>
      </c>
      <c r="B5132" s="2" t="str">
        <f>"CAMISETA M/L P.V. BRANCA TAM. (GG)"</f>
        <v>CAMISETA M/L P.V. BRANCA TAM. (GG)</v>
      </c>
      <c r="C5132" s="2" t="str">
        <f t="shared" si="201"/>
        <v>UN</v>
      </c>
      <c r="D5132" s="7">
        <v>500</v>
      </c>
      <c r="E5132" s="3">
        <v>5</v>
      </c>
      <c r="F5132" s="3">
        <v>5</v>
      </c>
      <c r="G5132" t="s">
        <v>512</v>
      </c>
    </row>
    <row r="5133" spans="1:7" x14ac:dyDescent="0.25">
      <c r="A5133" s="1" t="str">
        <f>"2495"</f>
        <v>2495</v>
      </c>
      <c r="B5133" s="2" t="str">
        <f>"CAMISETA M/L P.V. BRANCA TAM. (M)"</f>
        <v>CAMISETA M/L P.V. BRANCA TAM. (M)</v>
      </c>
      <c r="C5133" s="2" t="str">
        <f t="shared" si="201"/>
        <v>UN</v>
      </c>
      <c r="D5133" s="7">
        <v>500</v>
      </c>
      <c r="E5133" s="3">
        <v>5</v>
      </c>
      <c r="F5133" s="3">
        <v>5</v>
      </c>
      <c r="G5133" t="s">
        <v>513</v>
      </c>
    </row>
    <row r="5134" spans="1:7" x14ac:dyDescent="0.25">
      <c r="A5134" s="1" t="str">
        <f>"296"</f>
        <v>296</v>
      </c>
      <c r="B5134" s="2" t="str">
        <f>"CAMISETA M/L P.V. BRANCA TAM. P"</f>
        <v>CAMISETA M/L P.V. BRANCA TAM. P</v>
      </c>
      <c r="C5134" s="2" t="str">
        <f t="shared" si="201"/>
        <v>UN</v>
      </c>
      <c r="D5134" s="7">
        <v>500</v>
      </c>
      <c r="E5134" s="3">
        <v>5</v>
      </c>
      <c r="F5134" s="3">
        <v>5</v>
      </c>
      <c r="G5134" t="s">
        <v>514</v>
      </c>
    </row>
    <row r="5135" spans="1:7" x14ac:dyDescent="0.25">
      <c r="A5135" s="1" t="str">
        <f>"6217"</f>
        <v>6217</v>
      </c>
      <c r="B5135" s="2" t="str">
        <f>"CAMISETA MALHA"</f>
        <v>CAMISETA MALHA</v>
      </c>
      <c r="C5135" s="2" t="str">
        <f t="shared" si="201"/>
        <v>UN</v>
      </c>
      <c r="D5135" s="7">
        <v>500</v>
      </c>
      <c r="E5135" s="3">
        <v>5</v>
      </c>
      <c r="F5135" s="3">
        <v>5</v>
      </c>
      <c r="G5135" t="s">
        <v>515</v>
      </c>
    </row>
    <row r="5136" spans="1:7" x14ac:dyDescent="0.25">
      <c r="A5136" s="1" t="str">
        <f>"517057"</f>
        <v>517057</v>
      </c>
      <c r="B5136" s="2" t="str">
        <f>"CAMISETA MALHA 100% ALGODÃO AZUL MARINHO"</f>
        <v>CAMISETA MALHA 100% ALGODÃO AZUL MARINHO</v>
      </c>
      <c r="C5136" s="2" t="str">
        <f t="shared" si="201"/>
        <v>UN</v>
      </c>
      <c r="D5136" s="7">
        <v>500</v>
      </c>
      <c r="E5136" s="3">
        <v>5</v>
      </c>
      <c r="F5136" s="3">
        <v>5</v>
      </c>
      <c r="G5136" t="s">
        <v>512</v>
      </c>
    </row>
    <row r="5137" spans="1:7" x14ac:dyDescent="0.25">
      <c r="A5137" s="1" t="str">
        <f>"522026"</f>
        <v>522026</v>
      </c>
      <c r="B5137" s="2" t="str">
        <f>"CAMISETA POLO AZUL C/ FAIXA REFLETIVA G"</f>
        <v>CAMISETA POLO AZUL C/ FAIXA REFLETIVA G</v>
      </c>
      <c r="C5137" s="2" t="str">
        <f t="shared" si="201"/>
        <v>UN</v>
      </c>
      <c r="D5137" s="7">
        <v>500</v>
      </c>
      <c r="E5137" s="3">
        <v>4</v>
      </c>
      <c r="F5137" s="3">
        <v>4</v>
      </c>
      <c r="G5137" t="s">
        <v>516</v>
      </c>
    </row>
    <row r="5138" spans="1:7" x14ac:dyDescent="0.25">
      <c r="A5138" s="1" t="str">
        <f>"522027"</f>
        <v>522027</v>
      </c>
      <c r="B5138" s="2" t="str">
        <f>"CAMISETA POLO AZUL C/ FAIXA REFLETIVA GG"</f>
        <v>CAMISETA POLO AZUL C/ FAIXA REFLETIVA GG</v>
      </c>
      <c r="C5138" s="2" t="str">
        <f t="shared" si="201"/>
        <v>UN</v>
      </c>
      <c r="D5138" s="7">
        <v>500</v>
      </c>
      <c r="E5138" s="3">
        <v>4</v>
      </c>
      <c r="F5138" s="3">
        <v>4</v>
      </c>
      <c r="G5138" t="s">
        <v>515</v>
      </c>
    </row>
    <row r="5139" spans="1:7" x14ac:dyDescent="0.25">
      <c r="A5139" s="1" t="str">
        <f>"522025"</f>
        <v>522025</v>
      </c>
      <c r="B5139" s="2" t="str">
        <f>"CAMISETA POLO AZUL C/ FAIXA REFLETIVA M"</f>
        <v>CAMISETA POLO AZUL C/ FAIXA REFLETIVA M</v>
      </c>
      <c r="C5139" s="2" t="str">
        <f t="shared" si="201"/>
        <v>UN</v>
      </c>
      <c r="D5139" s="7">
        <v>500</v>
      </c>
      <c r="E5139" s="3">
        <v>4</v>
      </c>
      <c r="F5139" s="3">
        <v>4</v>
      </c>
      <c r="G5139" t="s">
        <v>514</v>
      </c>
    </row>
    <row r="5140" spans="1:7" x14ac:dyDescent="0.25">
      <c r="A5140" s="1" t="str">
        <f>"522372"</f>
        <v>522372</v>
      </c>
      <c r="B5140" s="2" t="str">
        <f>"CAMISETA POLO AZUL C/ FAIXA REFLETIVA P"</f>
        <v>CAMISETA POLO AZUL C/ FAIXA REFLETIVA P</v>
      </c>
      <c r="C5140" s="2" t="str">
        <f t="shared" si="201"/>
        <v>UN</v>
      </c>
      <c r="D5140" s="7">
        <v>500</v>
      </c>
      <c r="E5140" s="3">
        <v>4</v>
      </c>
      <c r="F5140" s="3">
        <v>4</v>
      </c>
      <c r="G5140" t="s">
        <v>512</v>
      </c>
    </row>
    <row r="5141" spans="1:7" x14ac:dyDescent="0.25">
      <c r="A5141" s="1" t="str">
        <f>"522370"</f>
        <v>522370</v>
      </c>
      <c r="B5141" s="2" t="str">
        <f>"CAMISETA POLO AZUL C/ FAIXA REFLETIVA XGG"</f>
        <v>CAMISETA POLO AZUL C/ FAIXA REFLETIVA XGG</v>
      </c>
      <c r="C5141" s="2" t="str">
        <f t="shared" si="201"/>
        <v>UN</v>
      </c>
      <c r="D5141" s="7">
        <v>500</v>
      </c>
      <c r="E5141" s="3">
        <v>4</v>
      </c>
      <c r="F5141" s="3">
        <v>4</v>
      </c>
      <c r="G5141" t="s">
        <v>513</v>
      </c>
    </row>
    <row r="5142" spans="1:7" x14ac:dyDescent="0.25">
      <c r="A5142" s="1" t="str">
        <f>"519438"</f>
        <v>519438</v>
      </c>
      <c r="B5142" s="2" t="str">
        <f>"CAMISETA POLO PV BORDADA AZ IMPERIAL DET. AZ ROYAL TAM EXG"</f>
        <v>CAMISETA POLO PV BORDADA AZ IMPERIAL DET. AZ ROYAL TAM EXG</v>
      </c>
      <c r="C5142" s="2" t="str">
        <f t="shared" si="201"/>
        <v>UN</v>
      </c>
      <c r="D5142" s="7">
        <v>500</v>
      </c>
      <c r="E5142" s="3">
        <v>5</v>
      </c>
      <c r="F5142" s="3">
        <v>5</v>
      </c>
      <c r="G5142" t="s">
        <v>514</v>
      </c>
    </row>
    <row r="5143" spans="1:7" x14ac:dyDescent="0.25">
      <c r="A5143" s="1" t="str">
        <f>"519437"</f>
        <v>519437</v>
      </c>
      <c r="B5143" s="2" t="str">
        <f>"CAMISETA POLO PV BORDADA AZ IMPERIAL DET. AZ ROYAL TAM G"</f>
        <v>CAMISETA POLO PV BORDADA AZ IMPERIAL DET. AZ ROYAL TAM G</v>
      </c>
      <c r="C5143" s="2" t="str">
        <f t="shared" si="201"/>
        <v>UN</v>
      </c>
      <c r="D5143" s="7">
        <v>500</v>
      </c>
      <c r="E5143" s="3">
        <v>5</v>
      </c>
      <c r="F5143" s="3">
        <v>5</v>
      </c>
      <c r="G5143" t="s">
        <v>514</v>
      </c>
    </row>
    <row r="5144" spans="1:7" x14ac:dyDescent="0.25">
      <c r="A5144" s="1" t="str">
        <f>"519436"</f>
        <v>519436</v>
      </c>
      <c r="B5144" s="2" t="str">
        <f>"CAMISETA POLO PV BORDADA AZ IMPERIAL DET. AZ ROYAL TAM M"</f>
        <v>CAMISETA POLO PV BORDADA AZ IMPERIAL DET. AZ ROYAL TAM M</v>
      </c>
      <c r="C5144" s="2" t="str">
        <f t="shared" si="201"/>
        <v>UN</v>
      </c>
      <c r="D5144" s="7">
        <v>500</v>
      </c>
      <c r="E5144" s="3">
        <v>5</v>
      </c>
      <c r="F5144" s="3">
        <v>5</v>
      </c>
      <c r="G5144" t="s">
        <v>512</v>
      </c>
    </row>
    <row r="5145" spans="1:7" x14ac:dyDescent="0.25">
      <c r="A5145" s="1" t="str">
        <f>"519435"</f>
        <v>519435</v>
      </c>
      <c r="B5145" s="2" t="str">
        <f>"CAMISETA POLO PV BORDADA AZ IMPERIAL DET. AZ ROYAL TAM P"</f>
        <v>CAMISETA POLO PV BORDADA AZ IMPERIAL DET. AZ ROYAL TAM P</v>
      </c>
      <c r="C5145" s="2" t="str">
        <f t="shared" si="201"/>
        <v>UN</v>
      </c>
      <c r="D5145" s="7">
        <v>500</v>
      </c>
      <c r="E5145" s="3">
        <v>5</v>
      </c>
      <c r="F5145" s="3">
        <v>5</v>
      </c>
      <c r="G5145" t="s">
        <v>513</v>
      </c>
    </row>
    <row r="5146" spans="1:7" x14ac:dyDescent="0.25">
      <c r="A5146" s="1" t="str">
        <f>"519756"</f>
        <v>519756</v>
      </c>
      <c r="B5146" s="2" t="str">
        <f>"CAMISETA SIPAT EGG"</f>
        <v>CAMISETA SIPAT EGG</v>
      </c>
      <c r="C5146" s="2" t="str">
        <f t="shared" si="201"/>
        <v>UN</v>
      </c>
      <c r="D5146" s="7">
        <v>500</v>
      </c>
      <c r="E5146" s="3">
        <v>5</v>
      </c>
      <c r="F5146" s="3">
        <v>5</v>
      </c>
      <c r="G5146" t="s">
        <v>514</v>
      </c>
    </row>
    <row r="5147" spans="1:7" x14ac:dyDescent="0.25">
      <c r="A5147" s="1" t="str">
        <f>"523805"</f>
        <v>523805</v>
      </c>
      <c r="B5147" s="2" t="str">
        <f>"CAMISETA SIPAT EXG"</f>
        <v>CAMISETA SIPAT EXG</v>
      </c>
      <c r="C5147" s="2" t="str">
        <f t="shared" si="201"/>
        <v>UN</v>
      </c>
      <c r="D5147" s="7">
        <v>500</v>
      </c>
      <c r="E5147" s="3">
        <v>5</v>
      </c>
      <c r="F5147" s="3">
        <v>5</v>
      </c>
      <c r="G5147" t="s">
        <v>514</v>
      </c>
    </row>
    <row r="5148" spans="1:7" x14ac:dyDescent="0.25">
      <c r="A5148" s="1" t="str">
        <f>"523762"</f>
        <v>523762</v>
      </c>
      <c r="B5148" s="2" t="str">
        <f>"CAMISETA SIPAT EXGG"</f>
        <v>CAMISETA SIPAT EXGG</v>
      </c>
      <c r="C5148" s="2" t="str">
        <f t="shared" si="201"/>
        <v>UN</v>
      </c>
      <c r="D5148" s="7">
        <v>500</v>
      </c>
      <c r="E5148" s="3">
        <v>5</v>
      </c>
      <c r="F5148" s="3">
        <v>5</v>
      </c>
      <c r="G5148" t="s">
        <v>514</v>
      </c>
    </row>
    <row r="5149" spans="1:7" x14ac:dyDescent="0.25">
      <c r="A5149" s="1" t="str">
        <f>"519754"</f>
        <v>519754</v>
      </c>
      <c r="B5149" s="2" t="str">
        <f>"CAMISETA SIPAT G"</f>
        <v>CAMISETA SIPAT G</v>
      </c>
      <c r="C5149" s="2" t="str">
        <f t="shared" si="201"/>
        <v>UN</v>
      </c>
      <c r="D5149" s="7">
        <v>500</v>
      </c>
      <c r="E5149" s="3">
        <v>5</v>
      </c>
      <c r="F5149" s="3">
        <v>5</v>
      </c>
      <c r="G5149" t="s">
        <v>513</v>
      </c>
    </row>
    <row r="5150" spans="1:7" x14ac:dyDescent="0.25">
      <c r="A5150" s="1" t="str">
        <f>"519755"</f>
        <v>519755</v>
      </c>
      <c r="B5150" s="2" t="str">
        <f>"CAMISETA SIPAT GG"</f>
        <v>CAMISETA SIPAT GG</v>
      </c>
      <c r="C5150" s="2" t="str">
        <f t="shared" si="201"/>
        <v>UN</v>
      </c>
      <c r="D5150" s="7">
        <v>500</v>
      </c>
      <c r="E5150" s="3">
        <v>5</v>
      </c>
      <c r="F5150" s="3">
        <v>5</v>
      </c>
      <c r="G5150" t="s">
        <v>512</v>
      </c>
    </row>
    <row r="5151" spans="1:7" x14ac:dyDescent="0.25">
      <c r="A5151" s="1" t="str">
        <f>"519753"</f>
        <v>519753</v>
      </c>
      <c r="B5151" s="2" t="str">
        <f>"CAMISETA SIPAT M"</f>
        <v>CAMISETA SIPAT M</v>
      </c>
      <c r="C5151" s="2" t="str">
        <f t="shared" si="201"/>
        <v>UN</v>
      </c>
      <c r="D5151" s="7">
        <v>500</v>
      </c>
      <c r="E5151" s="3">
        <v>5</v>
      </c>
      <c r="F5151" s="3">
        <v>5</v>
      </c>
      <c r="G5151" t="s">
        <v>513</v>
      </c>
    </row>
    <row r="5152" spans="1:7" x14ac:dyDescent="0.25">
      <c r="A5152" s="1" t="str">
        <f>"519752"</f>
        <v>519752</v>
      </c>
      <c r="B5152" s="2" t="str">
        <f>"CAMISETA SIPAT P"</f>
        <v>CAMISETA SIPAT P</v>
      </c>
      <c r="C5152" s="2" t="str">
        <f t="shared" si="201"/>
        <v>UN</v>
      </c>
      <c r="D5152" s="7">
        <v>500</v>
      </c>
      <c r="E5152" s="3">
        <v>5</v>
      </c>
      <c r="F5152" s="3">
        <v>5</v>
      </c>
      <c r="G5152" t="s">
        <v>514</v>
      </c>
    </row>
    <row r="5153" spans="1:7" x14ac:dyDescent="0.25">
      <c r="A5153" s="1" t="str">
        <f>"523761"</f>
        <v>523761</v>
      </c>
      <c r="B5153" s="2" t="str">
        <f>"CAMISETA SIPAT PP"</f>
        <v>CAMISETA SIPAT PP</v>
      </c>
      <c r="C5153" s="2" t="str">
        <f t="shared" si="201"/>
        <v>UN</v>
      </c>
      <c r="D5153" s="7">
        <v>500</v>
      </c>
      <c r="E5153" s="3">
        <v>5</v>
      </c>
      <c r="F5153" s="3">
        <v>5</v>
      </c>
      <c r="G5153" t="s">
        <v>514</v>
      </c>
    </row>
    <row r="5154" spans="1:7" x14ac:dyDescent="0.25">
      <c r="A5154" s="1" t="str">
        <f>"526784"</f>
        <v>526784</v>
      </c>
      <c r="B5154" s="2" t="str">
        <f>"CAMISETA SIPAT XG"</f>
        <v>CAMISETA SIPAT XG</v>
      </c>
      <c r="C5154" s="2" t="str">
        <f t="shared" si="201"/>
        <v>UN</v>
      </c>
      <c r="D5154" s="7">
        <v>500</v>
      </c>
      <c r="E5154" s="3">
        <v>5</v>
      </c>
      <c r="F5154" s="3">
        <v>5</v>
      </c>
      <c r="G5154" t="s">
        <v>514</v>
      </c>
    </row>
    <row r="5155" spans="1:7" x14ac:dyDescent="0.25">
      <c r="A5155" s="1" t="str">
        <f>"526785"</f>
        <v>526785</v>
      </c>
      <c r="B5155" s="2" t="str">
        <f>"CAMISETA SIPAT XGG"</f>
        <v>CAMISETA SIPAT XGG</v>
      </c>
      <c r="C5155" s="2" t="str">
        <f t="shared" si="201"/>
        <v>UN</v>
      </c>
      <c r="D5155" s="7">
        <v>500</v>
      </c>
      <c r="E5155" s="3">
        <v>5</v>
      </c>
      <c r="F5155" s="3">
        <v>5</v>
      </c>
      <c r="G5155" t="s">
        <v>513</v>
      </c>
    </row>
    <row r="5156" spans="1:7" x14ac:dyDescent="0.25">
      <c r="A5156" s="1" t="str">
        <f>"521746"</f>
        <v>521746</v>
      </c>
      <c r="B5156" s="2" t="str">
        <f>"CAMISETA TRAD. 100% ALGODÃO PENTEADO, BRANCA, GG/XGG OU 54"</f>
        <v>CAMISETA TRAD. 100% ALGODÃO PENTEADO, BRANCA, GG/XGG OU 54</v>
      </c>
      <c r="C5156" s="2" t="str">
        <f t="shared" si="201"/>
        <v>UN</v>
      </c>
      <c r="D5156" s="7">
        <v>99999</v>
      </c>
      <c r="E5156" s="3">
        <v>99</v>
      </c>
      <c r="F5156" s="3">
        <v>99</v>
      </c>
      <c r="G5156" t="s">
        <v>513</v>
      </c>
    </row>
    <row r="5157" spans="1:7" x14ac:dyDescent="0.25">
      <c r="A5157" s="1" t="str">
        <f>"521745"</f>
        <v>521745</v>
      </c>
      <c r="B5157" s="2" t="str">
        <f>"CAMISETA TRAD. 100% ALGODÃO PENTEADO, BRANCA, P/M/G"</f>
        <v>CAMISETA TRAD. 100% ALGODÃO PENTEADO, BRANCA, P/M/G</v>
      </c>
      <c r="C5157" s="2" t="str">
        <f t="shared" si="201"/>
        <v>UN</v>
      </c>
      <c r="D5157" s="7">
        <v>99999</v>
      </c>
      <c r="E5157" s="3">
        <v>99</v>
      </c>
      <c r="F5157" s="3">
        <v>99</v>
      </c>
      <c r="G5157" t="s">
        <v>513</v>
      </c>
    </row>
    <row r="5158" spans="1:7" x14ac:dyDescent="0.25">
      <c r="A5158" s="1" t="str">
        <f>"521152"</f>
        <v>521152</v>
      </c>
      <c r="B5158" s="2" t="str">
        <f>"CAMISETE M/L SOCIAL TAM XGG"</f>
        <v>CAMISETE M/L SOCIAL TAM XGG</v>
      </c>
      <c r="C5158" s="2" t="str">
        <f t="shared" si="201"/>
        <v>UN</v>
      </c>
      <c r="D5158" s="7">
        <v>500</v>
      </c>
      <c r="E5158" s="3">
        <v>5</v>
      </c>
      <c r="F5158" s="3">
        <v>5</v>
      </c>
      <c r="G5158" t="s">
        <v>512</v>
      </c>
    </row>
    <row r="5159" spans="1:7" x14ac:dyDescent="0.25">
      <c r="A5159" s="1" t="str">
        <f>"521024"</f>
        <v>521024</v>
      </c>
      <c r="B5159" s="2" t="str">
        <f>"CAMISETI"</f>
        <v>CAMISETI</v>
      </c>
      <c r="C5159" s="2" t="str">
        <f t="shared" ref="C5159:C5178" si="202">"UN"</f>
        <v>UN</v>
      </c>
      <c r="D5159" s="7">
        <v>500</v>
      </c>
      <c r="E5159" s="3">
        <v>5</v>
      </c>
      <c r="F5159" s="3">
        <v>5</v>
      </c>
      <c r="G5159" t="s">
        <v>513</v>
      </c>
    </row>
    <row r="5160" spans="1:7" x14ac:dyDescent="0.25">
      <c r="A5160" s="1" t="str">
        <f>"3472"</f>
        <v>3472</v>
      </c>
      <c r="B5160" s="2" t="str">
        <f>"CAMISETI M/C BRANCA BABY LOOK M"</f>
        <v>CAMISETI M/C BRANCA BABY LOOK M</v>
      </c>
      <c r="C5160" s="2" t="str">
        <f t="shared" si="202"/>
        <v>UN</v>
      </c>
      <c r="D5160" s="7">
        <v>500</v>
      </c>
      <c r="E5160" s="3">
        <v>5</v>
      </c>
      <c r="F5160" s="3">
        <v>5</v>
      </c>
      <c r="G5160" t="s">
        <v>514</v>
      </c>
    </row>
    <row r="5161" spans="1:7" x14ac:dyDescent="0.25">
      <c r="A5161" s="1" t="str">
        <f>"3110"</f>
        <v>3110</v>
      </c>
      <c r="B5161" s="2" t="str">
        <f>"CAMISETI M/C SOCIAL TAMANHO G"</f>
        <v>CAMISETI M/C SOCIAL TAMANHO G</v>
      </c>
      <c r="C5161" s="2" t="str">
        <f t="shared" si="202"/>
        <v>UN</v>
      </c>
      <c r="D5161" s="7">
        <v>500</v>
      </c>
      <c r="E5161" s="3">
        <v>5</v>
      </c>
      <c r="F5161" s="3">
        <v>5</v>
      </c>
      <c r="G5161" t="s">
        <v>515</v>
      </c>
    </row>
    <row r="5162" spans="1:7" x14ac:dyDescent="0.25">
      <c r="A5162" s="1" t="str">
        <f>"519365"</f>
        <v>519365</v>
      </c>
      <c r="B5162" s="2" t="str">
        <f>"CAMISETI M/C SOCIAL TAMANHO GG"</f>
        <v>CAMISETI M/C SOCIAL TAMANHO GG</v>
      </c>
      <c r="C5162" s="2" t="str">
        <f t="shared" si="202"/>
        <v>UN</v>
      </c>
      <c r="D5162" s="7">
        <v>500</v>
      </c>
      <c r="E5162" s="3">
        <v>5</v>
      </c>
      <c r="F5162" s="3">
        <v>5</v>
      </c>
      <c r="G5162" t="s">
        <v>512</v>
      </c>
    </row>
    <row r="5163" spans="1:7" x14ac:dyDescent="0.25">
      <c r="A5163" s="1" t="str">
        <f>"3109"</f>
        <v>3109</v>
      </c>
      <c r="B5163" s="2" t="str">
        <f>"CAMISETI M/C SOCIAL TAMANHO M"</f>
        <v>CAMISETI M/C SOCIAL TAMANHO M</v>
      </c>
      <c r="C5163" s="2" t="str">
        <f t="shared" si="202"/>
        <v>UN</v>
      </c>
      <c r="D5163" s="7">
        <v>500</v>
      </c>
      <c r="E5163" s="3">
        <v>5</v>
      </c>
      <c r="F5163" s="3">
        <v>5</v>
      </c>
      <c r="G5163" t="s">
        <v>516</v>
      </c>
    </row>
    <row r="5164" spans="1:7" x14ac:dyDescent="0.25">
      <c r="A5164" s="1" t="str">
        <f>"3108"</f>
        <v>3108</v>
      </c>
      <c r="B5164" s="2" t="str">
        <f>"CAMISETI M/C SOCIAL TAMANHO P"</f>
        <v>CAMISETI M/C SOCIAL TAMANHO P</v>
      </c>
      <c r="C5164" s="2" t="str">
        <f t="shared" si="202"/>
        <v>UN</v>
      </c>
      <c r="D5164" s="7">
        <v>500</v>
      </c>
      <c r="E5164" s="3">
        <v>5</v>
      </c>
      <c r="F5164" s="3">
        <v>5</v>
      </c>
      <c r="G5164" t="s">
        <v>515</v>
      </c>
    </row>
    <row r="5165" spans="1:7" x14ac:dyDescent="0.25">
      <c r="A5165" s="1" t="str">
        <f>"519366"</f>
        <v>519366</v>
      </c>
      <c r="B5165" s="2" t="str">
        <f>"CAMISETI M/C SOCIAL TAMANHO PP"</f>
        <v>CAMISETI M/C SOCIAL TAMANHO PP</v>
      </c>
      <c r="C5165" s="2" t="str">
        <f t="shared" si="202"/>
        <v>UN</v>
      </c>
      <c r="D5165" s="7">
        <v>500</v>
      </c>
      <c r="E5165" s="3">
        <v>5</v>
      </c>
      <c r="F5165" s="3">
        <v>5</v>
      </c>
      <c r="G5165" t="s">
        <v>514</v>
      </c>
    </row>
    <row r="5166" spans="1:7" x14ac:dyDescent="0.25">
      <c r="A5166" s="1" t="str">
        <f>"519555"</f>
        <v>519555</v>
      </c>
      <c r="B5166" s="2" t="str">
        <f>"CAMISETI M/C SOCIAL TAMANHO XGG"</f>
        <v>CAMISETI M/C SOCIAL TAMANHO XGG</v>
      </c>
      <c r="C5166" s="2" t="str">
        <f t="shared" si="202"/>
        <v>UN</v>
      </c>
      <c r="D5166" s="7">
        <v>500</v>
      </c>
      <c r="E5166" s="3">
        <v>5</v>
      </c>
      <c r="F5166" s="3">
        <v>5</v>
      </c>
      <c r="G5166" t="s">
        <v>512</v>
      </c>
    </row>
    <row r="5167" spans="1:7" x14ac:dyDescent="0.25">
      <c r="A5167" s="1" t="str">
        <f>"3114"</f>
        <v>3114</v>
      </c>
      <c r="B5167" s="2" t="str">
        <f>"CAMISETI M/L SOCIAL TAMANHO G"</f>
        <v>CAMISETI M/L SOCIAL TAMANHO G</v>
      </c>
      <c r="C5167" s="2" t="str">
        <f t="shared" si="202"/>
        <v>UN</v>
      </c>
      <c r="D5167" s="7">
        <v>500</v>
      </c>
      <c r="E5167" s="3">
        <v>5</v>
      </c>
      <c r="F5167" s="3">
        <v>5</v>
      </c>
      <c r="G5167" t="s">
        <v>513</v>
      </c>
    </row>
    <row r="5168" spans="1:7" x14ac:dyDescent="0.25">
      <c r="A5168" s="1" t="str">
        <f>"520746"</f>
        <v>520746</v>
      </c>
      <c r="B5168" s="2" t="str">
        <f>"CAMISETI M/L SOCIAL TAMANHO GG"</f>
        <v>CAMISETI M/L SOCIAL TAMANHO GG</v>
      </c>
      <c r="C5168" s="2" t="str">
        <f t="shared" si="202"/>
        <v>UN</v>
      </c>
      <c r="D5168" s="7">
        <v>500</v>
      </c>
      <c r="E5168" s="3">
        <v>5</v>
      </c>
      <c r="F5168" s="3">
        <v>5</v>
      </c>
      <c r="G5168" t="s">
        <v>514</v>
      </c>
    </row>
    <row r="5169" spans="1:7" x14ac:dyDescent="0.25">
      <c r="A5169" s="1" t="str">
        <f>"3113"</f>
        <v>3113</v>
      </c>
      <c r="B5169" s="2" t="str">
        <f>"CAMISETI M/L SOCIAL TAMANHO M"</f>
        <v>CAMISETI M/L SOCIAL TAMANHO M</v>
      </c>
      <c r="C5169" s="2" t="str">
        <f t="shared" si="202"/>
        <v>UN</v>
      </c>
      <c r="D5169" s="7">
        <v>500</v>
      </c>
      <c r="E5169" s="3">
        <v>5</v>
      </c>
      <c r="F5169" s="3">
        <v>5</v>
      </c>
      <c r="G5169" t="s">
        <v>514</v>
      </c>
    </row>
    <row r="5170" spans="1:7" x14ac:dyDescent="0.25">
      <c r="A5170" s="1" t="str">
        <f>"520745"</f>
        <v>520745</v>
      </c>
      <c r="B5170" s="2" t="str">
        <f>"CAMISETI M/L SOCIAL TAMANHO P"</f>
        <v>CAMISETI M/L SOCIAL TAMANHO P</v>
      </c>
      <c r="C5170" s="2" t="str">
        <f t="shared" si="202"/>
        <v>UN</v>
      </c>
      <c r="D5170" s="7">
        <v>500</v>
      </c>
      <c r="E5170" s="3">
        <v>5</v>
      </c>
      <c r="F5170" s="3">
        <v>5</v>
      </c>
      <c r="G5170" t="s">
        <v>512</v>
      </c>
    </row>
    <row r="5171" spans="1:7" x14ac:dyDescent="0.25">
      <c r="A5171" s="1" t="str">
        <f>"520748"</f>
        <v>520748</v>
      </c>
      <c r="B5171" s="2" t="str">
        <f>"CAMISETI M/L SOCIAL TAMANHO PP"</f>
        <v>CAMISETI M/L SOCIAL TAMANHO PP</v>
      </c>
      <c r="C5171" s="2" t="str">
        <f t="shared" si="202"/>
        <v>UN</v>
      </c>
      <c r="D5171" s="7">
        <v>500</v>
      </c>
      <c r="E5171" s="3">
        <v>5</v>
      </c>
      <c r="F5171" s="3">
        <v>5</v>
      </c>
      <c r="G5171" t="s">
        <v>513</v>
      </c>
    </row>
    <row r="5172" spans="1:7" x14ac:dyDescent="0.25">
      <c r="A5172" s="1" t="str">
        <f>"523067"</f>
        <v>523067</v>
      </c>
      <c r="B5172" s="2" t="str">
        <f>"CAMISETI POLO G"</f>
        <v>CAMISETI POLO G</v>
      </c>
      <c r="C5172" s="2" t="str">
        <f t="shared" si="202"/>
        <v>UN</v>
      </c>
      <c r="D5172" s="7">
        <v>500</v>
      </c>
      <c r="E5172" s="3">
        <v>5</v>
      </c>
      <c r="F5172" s="3">
        <v>5</v>
      </c>
      <c r="G5172" t="s">
        <v>514</v>
      </c>
    </row>
    <row r="5173" spans="1:7" x14ac:dyDescent="0.25">
      <c r="A5173" s="1" t="str">
        <f>"523593"</f>
        <v>523593</v>
      </c>
      <c r="B5173" s="2" t="str">
        <f>"CAMISETI POLO GG"</f>
        <v>CAMISETI POLO GG</v>
      </c>
      <c r="C5173" s="2" t="str">
        <f t="shared" si="202"/>
        <v>UN</v>
      </c>
      <c r="D5173" s="7">
        <v>500</v>
      </c>
      <c r="E5173" s="3">
        <v>5</v>
      </c>
      <c r="F5173" s="3">
        <v>5</v>
      </c>
      <c r="G5173" t="s">
        <v>514</v>
      </c>
    </row>
    <row r="5174" spans="1:7" x14ac:dyDescent="0.25">
      <c r="A5174" s="1" t="str">
        <f>"523066"</f>
        <v>523066</v>
      </c>
      <c r="B5174" s="2" t="str">
        <f>"CAMISETI POLO M"</f>
        <v>CAMISETI POLO M</v>
      </c>
      <c r="C5174" s="2" t="str">
        <f t="shared" si="202"/>
        <v>UN</v>
      </c>
      <c r="D5174" s="7">
        <v>500</v>
      </c>
      <c r="E5174" s="3">
        <v>5</v>
      </c>
      <c r="F5174" s="3">
        <v>5</v>
      </c>
      <c r="G5174" t="s">
        <v>514</v>
      </c>
    </row>
    <row r="5175" spans="1:7" x14ac:dyDescent="0.25">
      <c r="A5175" s="1" t="str">
        <f>"523065"</f>
        <v>523065</v>
      </c>
      <c r="B5175" s="2" t="str">
        <f>"CAMISETI POLO P"</f>
        <v>CAMISETI POLO P</v>
      </c>
      <c r="C5175" s="2" t="str">
        <f t="shared" si="202"/>
        <v>UN</v>
      </c>
      <c r="D5175" s="7">
        <v>500</v>
      </c>
      <c r="E5175" s="3">
        <v>5</v>
      </c>
      <c r="F5175" s="3">
        <v>5</v>
      </c>
      <c r="G5175" t="s">
        <v>513</v>
      </c>
    </row>
    <row r="5176" spans="1:7" x14ac:dyDescent="0.25">
      <c r="A5176" s="1" t="str">
        <f>"523064"</f>
        <v>523064</v>
      </c>
      <c r="B5176" s="2" t="str">
        <f>"CAMISETI POLO PP"</f>
        <v>CAMISETI POLO PP</v>
      </c>
      <c r="C5176" s="2" t="str">
        <f t="shared" si="202"/>
        <v>UN</v>
      </c>
      <c r="D5176" s="7">
        <v>500</v>
      </c>
      <c r="E5176" s="3">
        <v>5</v>
      </c>
      <c r="F5176" s="3">
        <v>5</v>
      </c>
      <c r="G5176" t="s">
        <v>512</v>
      </c>
    </row>
    <row r="5177" spans="1:7" x14ac:dyDescent="0.25">
      <c r="A5177" s="1" t="str">
        <f>"511485"</f>
        <v>511485</v>
      </c>
      <c r="B5177" s="2" t="str">
        <f>"CAMPAINHA INDUSTRIAL CT-8/SA"</f>
        <v>CAMPAINHA INDUSTRIAL CT-8/SA</v>
      </c>
      <c r="C5177" s="2" t="str">
        <f t="shared" si="202"/>
        <v>UN</v>
      </c>
      <c r="D5177" s="7">
        <v>601</v>
      </c>
      <c r="E5177" s="3">
        <v>8</v>
      </c>
      <c r="F5177" s="3">
        <v>8</v>
      </c>
      <c r="G5177" t="s">
        <v>513</v>
      </c>
    </row>
    <row r="5178" spans="1:7" x14ac:dyDescent="0.25">
      <c r="A5178" s="1" t="str">
        <f>"511116"</f>
        <v>511116</v>
      </c>
      <c r="B5178" s="2" t="str">
        <f>"CAMPAINHA INDUSTRIAL ELETRICA 220V/110V"</f>
        <v>CAMPAINHA INDUSTRIAL ELETRICA 220V/110V</v>
      </c>
      <c r="C5178" s="2" t="str">
        <f t="shared" si="202"/>
        <v>UN</v>
      </c>
      <c r="D5178" s="7">
        <v>601</v>
      </c>
      <c r="E5178" s="3">
        <v>8</v>
      </c>
      <c r="F5178" s="3">
        <v>8</v>
      </c>
      <c r="G5178" t="s">
        <v>514</v>
      </c>
    </row>
    <row r="5179" spans="1:7" x14ac:dyDescent="0.25">
      <c r="A5179" s="1" t="str">
        <f>"510214"</f>
        <v>510214</v>
      </c>
      <c r="B5179" s="2" t="str">
        <f>"CAMPAINHA INDUSTRIAL P/ TELEFONE 220V"</f>
        <v>CAMPAINHA INDUSTRIAL P/ TELEFONE 220V</v>
      </c>
      <c r="C5179" s="2" t="str">
        <f>"PC"</f>
        <v>PC</v>
      </c>
      <c r="D5179" s="7">
        <v>803</v>
      </c>
      <c r="E5179" s="3">
        <v>10</v>
      </c>
      <c r="F5179" s="3">
        <v>10</v>
      </c>
      <c r="G5179" t="s">
        <v>514</v>
      </c>
    </row>
    <row r="5180" spans="1:7" x14ac:dyDescent="0.25">
      <c r="A5180" s="1" t="str">
        <f>"520770"</f>
        <v>520770</v>
      </c>
      <c r="B5180" s="2" t="str">
        <f>"CAMPAINHA PROFISSIONAL DANVAL CF-05"</f>
        <v>CAMPAINHA PROFISSIONAL DANVAL CF-05</v>
      </c>
      <c r="C5180" s="2" t="str">
        <f t="shared" ref="C5180:C5203" si="203">"UN"</f>
        <v>UN</v>
      </c>
      <c r="D5180" s="7">
        <v>811</v>
      </c>
      <c r="E5180" s="3">
        <v>8</v>
      </c>
      <c r="F5180" s="3">
        <v>8</v>
      </c>
      <c r="G5180" t="s">
        <v>514</v>
      </c>
    </row>
    <row r="5181" spans="1:7" x14ac:dyDescent="0.25">
      <c r="A5181" s="1" t="str">
        <f>"527106"</f>
        <v>527106</v>
      </c>
      <c r="B5181" s="2" t="str">
        <f>"CAMPAINHA RESIDENCIAL"</f>
        <v>CAMPAINHA RESIDENCIAL</v>
      </c>
      <c r="C5181" s="2" t="str">
        <f t="shared" si="203"/>
        <v>UN</v>
      </c>
      <c r="D5181" s="7">
        <v>601</v>
      </c>
      <c r="E5181" s="3">
        <v>8</v>
      </c>
      <c r="F5181" s="3">
        <v>8</v>
      </c>
      <c r="G5181" t="s">
        <v>513</v>
      </c>
    </row>
    <row r="5182" spans="1:7" x14ac:dyDescent="0.25">
      <c r="A5182" s="1" t="str">
        <f>"501710"</f>
        <v>501710</v>
      </c>
      <c r="B5182" s="2" t="str">
        <f>"CAMPANA DA TRACAO (ALVARC COD. K6212)"</f>
        <v>CAMPANA DA TRACAO (ALVARC COD. K6212)</v>
      </c>
      <c r="C5182" s="2" t="str">
        <f t="shared" si="203"/>
        <v>UN</v>
      </c>
      <c r="D5182" s="7">
        <v>704</v>
      </c>
      <c r="E5182" s="3">
        <v>9</v>
      </c>
      <c r="F5182" s="3">
        <v>9</v>
      </c>
      <c r="G5182" t="s">
        <v>513</v>
      </c>
    </row>
    <row r="5183" spans="1:7" x14ac:dyDescent="0.25">
      <c r="A5183" s="1" t="str">
        <f>"515754"</f>
        <v>515754</v>
      </c>
      <c r="B5183" s="2" t="str">
        <f>"CAMPANA DE FREIO"</f>
        <v>CAMPANA DE FREIO</v>
      </c>
      <c r="C5183" s="2" t="str">
        <f t="shared" si="203"/>
        <v>UN</v>
      </c>
      <c r="D5183" s="7">
        <v>704</v>
      </c>
      <c r="E5183" s="3">
        <v>9</v>
      </c>
      <c r="F5183" s="3">
        <v>9</v>
      </c>
      <c r="G5183" t="s">
        <v>513</v>
      </c>
    </row>
    <row r="5184" spans="1:7" x14ac:dyDescent="0.25">
      <c r="A5184" s="1" t="str">
        <f>"509378"</f>
        <v>509378</v>
      </c>
      <c r="B5184" s="2" t="str">
        <f>"CAMPANA DIANTEIRA DA IVECO"</f>
        <v>CAMPANA DIANTEIRA DA IVECO</v>
      </c>
      <c r="C5184" s="2" t="str">
        <f t="shared" si="203"/>
        <v>UN</v>
      </c>
      <c r="D5184" s="7">
        <v>704</v>
      </c>
      <c r="E5184" s="3">
        <v>9</v>
      </c>
      <c r="F5184" s="3">
        <v>9</v>
      </c>
      <c r="G5184" t="s">
        <v>512</v>
      </c>
    </row>
    <row r="5185" spans="1:7" x14ac:dyDescent="0.25">
      <c r="A5185" s="1" t="str">
        <f>"518326"</f>
        <v>518326</v>
      </c>
      <c r="B5185" s="2" t="str">
        <f>"CANAFLEX CINZA 1 1/2"""</f>
        <v>CANAFLEX CINZA 1 1/2"</v>
      </c>
      <c r="C5185" s="2" t="str">
        <f t="shared" si="203"/>
        <v>UN</v>
      </c>
      <c r="D5185" s="7">
        <v>811</v>
      </c>
      <c r="E5185" s="3">
        <v>8</v>
      </c>
      <c r="F5185" s="3">
        <v>8</v>
      </c>
      <c r="G5185" t="s">
        <v>513</v>
      </c>
    </row>
    <row r="5186" spans="1:7" x14ac:dyDescent="0.25">
      <c r="A5186" s="1" t="str">
        <f>"505779"</f>
        <v>505779</v>
      </c>
      <c r="B5186" s="2" t="str">
        <f>"CANAFLEX CINZA 1 1/4"""</f>
        <v>CANAFLEX CINZA 1 1/4"</v>
      </c>
      <c r="C5186" s="2" t="str">
        <f t="shared" si="203"/>
        <v>UN</v>
      </c>
      <c r="D5186" s="7">
        <v>600</v>
      </c>
      <c r="E5186" s="3">
        <v>8</v>
      </c>
      <c r="F5186" s="3">
        <v>8</v>
      </c>
      <c r="G5186" t="s">
        <v>514</v>
      </c>
    </row>
    <row r="5187" spans="1:7" x14ac:dyDescent="0.25">
      <c r="A5187" s="1" t="str">
        <f>"520636"</f>
        <v>520636</v>
      </c>
      <c r="B5187" s="2" t="str">
        <f>"CANAFLEX CINZA 2 1/2"""</f>
        <v>CANAFLEX CINZA 2 1/2"</v>
      </c>
      <c r="C5187" s="2" t="str">
        <f t="shared" si="203"/>
        <v>UN</v>
      </c>
      <c r="D5187" s="7">
        <v>601</v>
      </c>
      <c r="E5187" s="3">
        <v>8</v>
      </c>
      <c r="F5187" s="3">
        <v>8</v>
      </c>
      <c r="G5187" t="s">
        <v>515</v>
      </c>
    </row>
    <row r="5188" spans="1:7" x14ac:dyDescent="0.25">
      <c r="A5188" s="1" t="str">
        <f>"511109"</f>
        <v>511109</v>
      </c>
      <c r="B5188" s="2" t="str">
        <f>"CANAFLEX CINZA 2"""</f>
        <v>CANAFLEX CINZA 2"</v>
      </c>
      <c r="C5188" s="2" t="str">
        <f t="shared" si="203"/>
        <v>UN</v>
      </c>
      <c r="D5188" s="7">
        <v>601</v>
      </c>
      <c r="E5188" s="3">
        <v>8</v>
      </c>
      <c r="F5188" s="3">
        <v>8</v>
      </c>
      <c r="G5188" t="s">
        <v>512</v>
      </c>
    </row>
    <row r="5189" spans="1:7" x14ac:dyDescent="0.25">
      <c r="A5189" s="1" t="str">
        <f>"520637"</f>
        <v>520637</v>
      </c>
      <c r="B5189" s="2" t="str">
        <f>"CANAFLEX CINZA 3"""</f>
        <v>CANAFLEX CINZA 3"</v>
      </c>
      <c r="C5189" s="2" t="str">
        <f t="shared" si="203"/>
        <v>UN</v>
      </c>
      <c r="D5189" s="7">
        <v>601</v>
      </c>
      <c r="E5189" s="3">
        <v>8</v>
      </c>
      <c r="F5189" s="3">
        <v>8</v>
      </c>
      <c r="G5189" t="s">
        <v>516</v>
      </c>
    </row>
    <row r="5190" spans="1:7" x14ac:dyDescent="0.25">
      <c r="A5190" s="1" t="str">
        <f>"517037"</f>
        <v>517037</v>
      </c>
      <c r="B5190" s="2" t="str">
        <f>"CANAFLEX CINZA 4"""</f>
        <v>CANAFLEX CINZA 4"</v>
      </c>
      <c r="C5190" s="2" t="str">
        <f t="shared" si="203"/>
        <v>UN</v>
      </c>
      <c r="D5190" s="7">
        <v>811</v>
      </c>
      <c r="E5190" s="3">
        <v>8</v>
      </c>
      <c r="F5190" s="3">
        <v>8</v>
      </c>
      <c r="G5190" t="s">
        <v>515</v>
      </c>
    </row>
    <row r="5191" spans="1:7" x14ac:dyDescent="0.25">
      <c r="A5191" s="1" t="str">
        <f>"525402"</f>
        <v>525402</v>
      </c>
      <c r="B5191" s="2" t="str">
        <f>"CANAFLEX CINZA 6"""</f>
        <v>CANAFLEX CINZA 6"</v>
      </c>
      <c r="C5191" s="2" t="str">
        <f t="shared" si="203"/>
        <v>UN</v>
      </c>
      <c r="D5191" s="7">
        <v>811</v>
      </c>
      <c r="E5191" s="3">
        <v>8</v>
      </c>
      <c r="F5191" s="3">
        <v>8</v>
      </c>
      <c r="G5191" t="s">
        <v>514</v>
      </c>
    </row>
    <row r="5192" spans="1:7" x14ac:dyDescent="0.25">
      <c r="A5192" s="1" t="str">
        <f>"524378"</f>
        <v>524378</v>
      </c>
      <c r="B5192" s="2" t="str">
        <f>"CANALETA"</f>
        <v>CANALETA</v>
      </c>
      <c r="C5192" s="2" t="str">
        <f t="shared" si="203"/>
        <v>UN</v>
      </c>
      <c r="D5192" s="7">
        <v>704</v>
      </c>
      <c r="E5192" s="3">
        <v>9</v>
      </c>
      <c r="F5192" s="3">
        <v>9</v>
      </c>
      <c r="G5192" t="s">
        <v>512</v>
      </c>
    </row>
    <row r="5193" spans="1:7" x14ac:dyDescent="0.25">
      <c r="A5193" s="1" t="str">
        <f>"517887"</f>
        <v>517887</v>
      </c>
      <c r="B5193" s="2" t="str">
        <f>"CANALETA 10CM"</f>
        <v>CANALETA 10CM</v>
      </c>
      <c r="C5193" s="2" t="str">
        <f t="shared" si="203"/>
        <v>UN</v>
      </c>
      <c r="D5193" s="7">
        <v>803</v>
      </c>
      <c r="E5193" s="3">
        <v>10</v>
      </c>
      <c r="F5193" s="3">
        <v>10</v>
      </c>
      <c r="G5193" t="s">
        <v>513</v>
      </c>
    </row>
    <row r="5194" spans="1:7" x14ac:dyDescent="0.25">
      <c r="A5194" s="1" t="str">
        <f>"505270"</f>
        <v>505270</v>
      </c>
      <c r="B5194" s="2" t="str">
        <f>"CANALETA 15CM"</f>
        <v>CANALETA 15CM</v>
      </c>
      <c r="C5194" s="2" t="str">
        <f t="shared" si="203"/>
        <v>UN</v>
      </c>
      <c r="D5194" s="7">
        <v>803</v>
      </c>
      <c r="E5194" s="3">
        <v>10</v>
      </c>
      <c r="F5194" s="3">
        <v>10</v>
      </c>
      <c r="G5194" t="s">
        <v>514</v>
      </c>
    </row>
    <row r="5195" spans="1:7" x14ac:dyDescent="0.25">
      <c r="A5195" s="1" t="str">
        <f>"508237"</f>
        <v>508237</v>
      </c>
      <c r="B5195" s="2" t="str">
        <f>"CANALETA 20CM"</f>
        <v>CANALETA 20CM</v>
      </c>
      <c r="C5195" s="2" t="str">
        <f t="shared" si="203"/>
        <v>UN</v>
      </c>
      <c r="D5195" s="7">
        <v>803</v>
      </c>
      <c r="E5195" s="3">
        <v>10</v>
      </c>
      <c r="F5195" s="3">
        <v>10</v>
      </c>
      <c r="G5195" t="s">
        <v>514</v>
      </c>
    </row>
    <row r="5196" spans="1:7" x14ac:dyDescent="0.25">
      <c r="A5196" s="1" t="str">
        <f>"521887"</f>
        <v>521887</v>
      </c>
      <c r="B5196" s="2" t="str">
        <f>"CANALETA CIMENTO L-19CM"</f>
        <v>CANALETA CIMENTO L-19CM</v>
      </c>
      <c r="C5196" s="2" t="str">
        <f t="shared" si="203"/>
        <v>UN</v>
      </c>
      <c r="D5196" s="7">
        <v>403</v>
      </c>
      <c r="E5196" s="3">
        <v>4</v>
      </c>
      <c r="F5196" s="3">
        <v>4</v>
      </c>
      <c r="G5196" t="s">
        <v>512</v>
      </c>
    </row>
    <row r="5197" spans="1:7" x14ac:dyDescent="0.25">
      <c r="A5197" s="1" t="str">
        <f>"500004"</f>
        <v>500004</v>
      </c>
      <c r="B5197" s="2" t="str">
        <f>"CANALETA DE 2,40 (SISTEMA X)"</f>
        <v>CANALETA DE 2,40 (SISTEMA X)</v>
      </c>
      <c r="C5197" s="2" t="str">
        <f t="shared" si="203"/>
        <v>UN</v>
      </c>
      <c r="D5197" s="7">
        <v>601</v>
      </c>
      <c r="E5197" s="3">
        <v>8</v>
      </c>
      <c r="F5197" s="3">
        <v>8</v>
      </c>
      <c r="G5197" t="s">
        <v>513</v>
      </c>
    </row>
    <row r="5198" spans="1:7" x14ac:dyDescent="0.25">
      <c r="A5198" s="1" t="str">
        <f>"500338"</f>
        <v>500338</v>
      </c>
      <c r="B5198" s="2" t="str">
        <f>"CANALETA DE 30MM DE LARGURA POR 800MM DE ALTURA"</f>
        <v>CANALETA DE 30MM DE LARGURA POR 800MM DE ALTURA</v>
      </c>
      <c r="C5198" s="2" t="str">
        <f t="shared" si="203"/>
        <v>UN</v>
      </c>
      <c r="D5198" s="7">
        <v>601</v>
      </c>
      <c r="E5198" s="3">
        <v>8</v>
      </c>
      <c r="F5198" s="3">
        <v>8</v>
      </c>
      <c r="G5198" t="s">
        <v>514</v>
      </c>
    </row>
    <row r="5199" spans="1:7" x14ac:dyDescent="0.25">
      <c r="A5199" s="1" t="str">
        <f>"513480"</f>
        <v>513480</v>
      </c>
      <c r="B5199" s="2" t="str">
        <f>"CANALETA HD CORTE ABERTO 30X50 HELLERMAN"</f>
        <v>CANALETA HD CORTE ABERTO 30X50 HELLERMAN</v>
      </c>
      <c r="C5199" s="2" t="str">
        <f t="shared" si="203"/>
        <v>UN</v>
      </c>
      <c r="D5199" s="7">
        <v>811</v>
      </c>
      <c r="E5199" s="3">
        <v>8</v>
      </c>
      <c r="F5199" s="3">
        <v>8</v>
      </c>
      <c r="G5199" t="s">
        <v>514</v>
      </c>
    </row>
    <row r="5200" spans="1:7" x14ac:dyDescent="0.25">
      <c r="A5200" s="1" t="str">
        <f>"507150"</f>
        <v>507150</v>
      </c>
      <c r="B5200" s="2" t="str">
        <f>"CANALETA HD CORTE ABERTO 50X50 HELL ERMA"</f>
        <v>CANALETA HD CORTE ABERTO 50X50 HELL ERMA</v>
      </c>
      <c r="C5200" s="2" t="str">
        <f t="shared" si="203"/>
        <v>UN</v>
      </c>
      <c r="D5200" s="7">
        <v>918</v>
      </c>
      <c r="E5200" s="3">
        <v>11</v>
      </c>
      <c r="F5200" s="3">
        <v>11</v>
      </c>
      <c r="G5200" t="s">
        <v>514</v>
      </c>
    </row>
    <row r="5201" spans="1:7" x14ac:dyDescent="0.25">
      <c r="A5201" s="1" t="str">
        <f>"513479"</f>
        <v>513479</v>
      </c>
      <c r="B5201" s="2" t="str">
        <f>"CANALETA HD CORTE ABERTO 50X80 HELLERMAN"</f>
        <v>CANALETA HD CORTE ABERTO 50X80 HELLERMAN</v>
      </c>
      <c r="C5201" s="2" t="str">
        <f t="shared" si="203"/>
        <v>UN</v>
      </c>
      <c r="D5201" s="7">
        <v>918</v>
      </c>
      <c r="E5201" s="3">
        <v>11</v>
      </c>
      <c r="F5201" s="3">
        <v>11</v>
      </c>
      <c r="G5201" t="s">
        <v>513</v>
      </c>
    </row>
    <row r="5202" spans="1:7" x14ac:dyDescent="0.25">
      <c r="A5202" s="1" t="str">
        <f>"507151"</f>
        <v>507151</v>
      </c>
      <c r="B5202" s="2" t="str">
        <f>"CANALETA HD6P CORTE 110X50 HELL ERMANN"</f>
        <v>CANALETA HD6P CORTE 110X50 HELL ERMANN</v>
      </c>
      <c r="C5202" s="2" t="str">
        <f t="shared" si="203"/>
        <v>UN</v>
      </c>
      <c r="D5202" s="7">
        <v>918</v>
      </c>
      <c r="E5202" s="3">
        <v>11</v>
      </c>
      <c r="F5202" s="3">
        <v>11</v>
      </c>
      <c r="G5202" t="s">
        <v>512</v>
      </c>
    </row>
    <row r="5203" spans="1:7" x14ac:dyDescent="0.25">
      <c r="A5203" s="1" t="str">
        <f>"520391"</f>
        <v>520391</v>
      </c>
      <c r="B5203" s="2" t="str">
        <f>"CANALETA HELLERMAN HD12 F"</f>
        <v>CANALETA HELLERMAN HD12 F</v>
      </c>
      <c r="C5203" s="2" t="str">
        <f t="shared" si="203"/>
        <v>UN</v>
      </c>
      <c r="D5203" s="7">
        <v>803</v>
      </c>
      <c r="E5203" s="3">
        <v>10</v>
      </c>
      <c r="F5203" s="3">
        <v>10</v>
      </c>
      <c r="G5203" t="s">
        <v>513</v>
      </c>
    </row>
    <row r="5204" spans="1:7" x14ac:dyDescent="0.25">
      <c r="A5204" s="1" t="str">
        <f>"516280"</f>
        <v>516280</v>
      </c>
      <c r="B5204" s="2" t="str">
        <f>"CANALETA PVC 110X80MM (2 METROS) C/ TAMPA"</f>
        <v>CANALETA PVC 110X80MM (2 METROS) C/ TAMPA</v>
      </c>
      <c r="C5204" s="2" t="str">
        <f>"BR"</f>
        <v>BR</v>
      </c>
      <c r="D5204" s="7">
        <v>811</v>
      </c>
      <c r="E5204" s="3">
        <v>8</v>
      </c>
      <c r="F5204" s="3">
        <v>8</v>
      </c>
      <c r="G5204" t="s">
        <v>514</v>
      </c>
    </row>
    <row r="5205" spans="1:7" x14ac:dyDescent="0.25">
      <c r="A5205" s="1" t="str">
        <f>"504373"</f>
        <v>504373</v>
      </c>
      <c r="B5205" s="2" t="str">
        <f>"CANALETA PVC 20X20MM (2 METROS) C/ TAMPA"</f>
        <v>CANALETA PVC 20X20MM (2 METROS) C/ TAMPA</v>
      </c>
      <c r="C5205" s="2" t="str">
        <f t="shared" ref="C5205:C5226" si="204">"UN"</f>
        <v>UN</v>
      </c>
      <c r="D5205" s="7">
        <v>601</v>
      </c>
      <c r="E5205" s="3">
        <v>8</v>
      </c>
      <c r="F5205" s="3">
        <v>8</v>
      </c>
      <c r="G5205" t="s">
        <v>514</v>
      </c>
    </row>
    <row r="5206" spans="1:7" x14ac:dyDescent="0.25">
      <c r="A5206" s="1" t="str">
        <f>"500870"</f>
        <v>500870</v>
      </c>
      <c r="B5206" s="2" t="str">
        <f>"CANALETA PVC 30X30MM (2 METROS) C/ TAMPA"</f>
        <v>CANALETA PVC 30X30MM (2 METROS) C/ TAMPA</v>
      </c>
      <c r="C5206" s="2" t="str">
        <f t="shared" si="204"/>
        <v>UN</v>
      </c>
      <c r="D5206" s="7">
        <v>601</v>
      </c>
      <c r="E5206" s="3">
        <v>8</v>
      </c>
      <c r="F5206" s="3">
        <v>8</v>
      </c>
      <c r="G5206" t="s">
        <v>514</v>
      </c>
    </row>
    <row r="5207" spans="1:7" x14ac:dyDescent="0.25">
      <c r="A5207" s="1" t="str">
        <f>"518661"</f>
        <v>518661</v>
      </c>
      <c r="B5207" s="2" t="str">
        <f>"CANALETA PVC 30X80MM (2 METROS) C/ TAMPA"</f>
        <v>CANALETA PVC 30X80MM (2 METROS) C/ TAMPA</v>
      </c>
      <c r="C5207" s="2" t="str">
        <f t="shared" si="204"/>
        <v>UN</v>
      </c>
      <c r="D5207" s="7">
        <v>601</v>
      </c>
      <c r="E5207" s="3">
        <v>8</v>
      </c>
      <c r="F5207" s="3">
        <v>8</v>
      </c>
      <c r="G5207" t="s">
        <v>513</v>
      </c>
    </row>
    <row r="5208" spans="1:7" x14ac:dyDescent="0.25">
      <c r="A5208" s="1" t="str">
        <f>"502699"</f>
        <v>502699</v>
      </c>
      <c r="B5208" s="2" t="str">
        <f>"CANALETA PVC 50X50MM (2 METROS) C/ TAMPA"</f>
        <v>CANALETA PVC 50X50MM (2 METROS) C/ TAMPA</v>
      </c>
      <c r="C5208" s="2" t="str">
        <f t="shared" si="204"/>
        <v>UN</v>
      </c>
      <c r="D5208" s="7">
        <v>601</v>
      </c>
      <c r="E5208" s="3">
        <v>8</v>
      </c>
      <c r="F5208" s="3">
        <v>8</v>
      </c>
      <c r="G5208" t="s">
        <v>513</v>
      </c>
    </row>
    <row r="5209" spans="1:7" x14ac:dyDescent="0.25">
      <c r="A5209" s="1" t="str">
        <f>"511068"</f>
        <v>511068</v>
      </c>
      <c r="B5209" s="2" t="str">
        <f>"CANALETA PVC 50X80MM (2 METROS) C/ TAMPA"</f>
        <v>CANALETA PVC 50X80MM (2 METROS) C/ TAMPA</v>
      </c>
      <c r="C5209" s="2" t="str">
        <f t="shared" si="204"/>
        <v>UN</v>
      </c>
      <c r="D5209" s="7">
        <v>601</v>
      </c>
      <c r="E5209" s="3">
        <v>8</v>
      </c>
      <c r="F5209" s="3">
        <v>8</v>
      </c>
      <c r="G5209" t="s">
        <v>513</v>
      </c>
    </row>
    <row r="5210" spans="1:7" x14ac:dyDescent="0.25">
      <c r="A5210" s="1" t="str">
        <f>"510712"</f>
        <v>510712</v>
      </c>
      <c r="B5210" s="2" t="str">
        <f>"CANALETA PVC 80 X 126MM"</f>
        <v>CANALETA PVC 80 X 126MM</v>
      </c>
      <c r="C5210" s="2" t="str">
        <f t="shared" si="204"/>
        <v>UN</v>
      </c>
      <c r="D5210" s="7">
        <v>601</v>
      </c>
      <c r="E5210" s="3">
        <v>8</v>
      </c>
      <c r="F5210" s="3">
        <v>8</v>
      </c>
      <c r="G5210" t="s">
        <v>512</v>
      </c>
    </row>
    <row r="5211" spans="1:7" x14ac:dyDescent="0.25">
      <c r="A5211" s="1" t="str">
        <f>"516436"</f>
        <v>516436</v>
      </c>
      <c r="B5211" s="2" t="str">
        <f>"CANALETA PVC 80X126MM (2 METROS) C/ TAMPA"</f>
        <v>CANALETA PVC 80X126MM (2 METROS) C/ TAMPA</v>
      </c>
      <c r="C5211" s="2" t="str">
        <f t="shared" si="204"/>
        <v>UN</v>
      </c>
      <c r="D5211" s="7">
        <v>811</v>
      </c>
      <c r="E5211" s="3">
        <v>8</v>
      </c>
      <c r="F5211" s="3">
        <v>8</v>
      </c>
      <c r="G5211" t="s">
        <v>513</v>
      </c>
    </row>
    <row r="5212" spans="1:7" x14ac:dyDescent="0.25">
      <c r="A5212" s="1" t="str">
        <f>"505990"</f>
        <v>505990</v>
      </c>
      <c r="B5212" s="2" t="str">
        <f>"CANALETA PVC 80X50MM (2 METROS) C/ TAMPA"</f>
        <v>CANALETA PVC 80X50MM (2 METROS) C/ TAMPA</v>
      </c>
      <c r="C5212" s="2" t="str">
        <f t="shared" si="204"/>
        <v>UN</v>
      </c>
      <c r="D5212" s="7">
        <v>601</v>
      </c>
      <c r="E5212" s="3">
        <v>8</v>
      </c>
      <c r="F5212" s="3">
        <v>8</v>
      </c>
      <c r="G5212" t="s">
        <v>514</v>
      </c>
    </row>
    <row r="5213" spans="1:7" x14ac:dyDescent="0.25">
      <c r="A5213" s="1" t="str">
        <f>"510016"</f>
        <v>510016</v>
      </c>
      <c r="B5213" s="2" t="str">
        <f>"CANALETA PVC 80X80MM (2 METROS) C/ TAMPA"</f>
        <v>CANALETA PVC 80X80MM (2 METROS) C/ TAMPA</v>
      </c>
      <c r="C5213" s="2" t="str">
        <f t="shared" si="204"/>
        <v>UN</v>
      </c>
      <c r="D5213" s="7">
        <v>601</v>
      </c>
      <c r="E5213" s="3">
        <v>8</v>
      </c>
      <c r="F5213" s="3">
        <v>8</v>
      </c>
      <c r="G5213" t="s">
        <v>515</v>
      </c>
    </row>
    <row r="5214" spans="1:7" x14ac:dyDescent="0.25">
      <c r="A5214" s="1" t="str">
        <f>"6193"</f>
        <v>6193</v>
      </c>
      <c r="B5214" s="2" t="str">
        <f>"CANALETA PVC ENC. COR TRANSP. 7MM X 30CM"</f>
        <v>CANALETA PVC ENC. COR TRANSP. 7MM X 30CM</v>
      </c>
      <c r="C5214" s="2" t="str">
        <f t="shared" si="204"/>
        <v>UN</v>
      </c>
      <c r="D5214" s="7">
        <v>401</v>
      </c>
      <c r="E5214" s="3">
        <v>4</v>
      </c>
      <c r="F5214" s="3">
        <v>4</v>
      </c>
      <c r="G5214" t="s">
        <v>512</v>
      </c>
    </row>
    <row r="5215" spans="1:7" x14ac:dyDescent="0.25">
      <c r="A5215" s="1" t="str">
        <f>"502608"</f>
        <v>502608</v>
      </c>
      <c r="B5215" s="2" t="str">
        <f>"CANALETA PVC FECHADA 30X50MM C/ TAMPA"</f>
        <v>CANALETA PVC FECHADA 30X50MM C/ TAMPA</v>
      </c>
      <c r="C5215" s="2" t="str">
        <f t="shared" si="204"/>
        <v>UN</v>
      </c>
      <c r="D5215" s="7">
        <v>601</v>
      </c>
      <c r="E5215" s="3">
        <v>8</v>
      </c>
      <c r="F5215" s="3">
        <v>8</v>
      </c>
      <c r="G5215" t="s">
        <v>516</v>
      </c>
    </row>
    <row r="5216" spans="1:7" x14ac:dyDescent="0.25">
      <c r="A5216" s="1" t="str">
        <f>"515538"</f>
        <v>515538</v>
      </c>
      <c r="B5216" s="2" t="str">
        <f>"CANALETA PVC REC"</f>
        <v>CANALETA PVC REC</v>
      </c>
      <c r="C5216" s="2" t="str">
        <f t="shared" si="204"/>
        <v>UN</v>
      </c>
      <c r="D5216" s="7">
        <v>811</v>
      </c>
      <c r="E5216" s="3">
        <v>8</v>
      </c>
      <c r="F5216" s="3">
        <v>8</v>
      </c>
      <c r="G5216" t="s">
        <v>515</v>
      </c>
    </row>
    <row r="5217" spans="1:7" x14ac:dyDescent="0.25">
      <c r="A5217" s="1" t="str">
        <f>"527966"</f>
        <v>527966</v>
      </c>
      <c r="B5217" s="2" t="str">
        <f>"CANALETA VENTILADA 40X60X2MTS"</f>
        <v>CANALETA VENTILADA 40X60X2MTS</v>
      </c>
      <c r="C5217" s="2" t="str">
        <f t="shared" si="204"/>
        <v>UN</v>
      </c>
      <c r="D5217" s="7">
        <v>600</v>
      </c>
      <c r="E5217" s="3">
        <v>10</v>
      </c>
      <c r="F5217" s="3">
        <v>10</v>
      </c>
      <c r="G5217" t="s">
        <v>514</v>
      </c>
    </row>
    <row r="5218" spans="1:7" x14ac:dyDescent="0.25">
      <c r="A5218" s="1" t="str">
        <f>"501918"</f>
        <v>501918</v>
      </c>
      <c r="B5218" s="2" t="str">
        <f>"CANALETA VIDRO"</f>
        <v>CANALETA VIDRO</v>
      </c>
      <c r="C5218" s="2" t="str">
        <f t="shared" si="204"/>
        <v>UN</v>
      </c>
      <c r="D5218" s="7">
        <v>704</v>
      </c>
      <c r="E5218" s="3">
        <v>9</v>
      </c>
      <c r="F5218" s="3">
        <v>9</v>
      </c>
      <c r="G5218" t="s">
        <v>512</v>
      </c>
    </row>
    <row r="5219" spans="1:7" x14ac:dyDescent="0.25">
      <c r="A5219" s="1" t="str">
        <f>"509628"</f>
        <v>509628</v>
      </c>
      <c r="B5219" s="2" t="str">
        <f>"CANECA"</f>
        <v>CANECA</v>
      </c>
      <c r="C5219" s="2" t="str">
        <f t="shared" si="204"/>
        <v>UN</v>
      </c>
      <c r="D5219" s="7">
        <v>402</v>
      </c>
      <c r="E5219" s="3">
        <v>4</v>
      </c>
      <c r="F5219" s="3">
        <v>4</v>
      </c>
      <c r="G5219" t="s">
        <v>513</v>
      </c>
    </row>
    <row r="5220" spans="1:7" x14ac:dyDescent="0.25">
      <c r="A5220" s="1" t="str">
        <f>"518685"</f>
        <v>518685</v>
      </c>
      <c r="B5220" s="2" t="str">
        <f>"CANECA ALUMINIO 4,5LTS"</f>
        <v>CANECA ALUMINIO 4,5LTS</v>
      </c>
      <c r="C5220" s="2" t="str">
        <f t="shared" si="204"/>
        <v>UN</v>
      </c>
      <c r="D5220" s="7">
        <v>1200</v>
      </c>
      <c r="E5220" s="3">
        <v>4</v>
      </c>
      <c r="F5220" s="3">
        <v>4</v>
      </c>
      <c r="G5220" t="s">
        <v>514</v>
      </c>
    </row>
    <row r="5221" spans="1:7" x14ac:dyDescent="0.25">
      <c r="A5221" s="1" t="str">
        <f>"519452"</f>
        <v>519452</v>
      </c>
      <c r="B5221" s="2" t="str">
        <f>"CANECA BOMBA 650 220V"</f>
        <v>CANECA BOMBA 650 220V</v>
      </c>
      <c r="C5221" s="2" t="str">
        <f t="shared" si="204"/>
        <v>UN</v>
      </c>
      <c r="D5221" s="7">
        <v>920</v>
      </c>
      <c r="E5221" s="3">
        <v>4</v>
      </c>
      <c r="F5221" s="3">
        <v>4</v>
      </c>
      <c r="G5221" t="s">
        <v>514</v>
      </c>
    </row>
    <row r="5222" spans="1:7" x14ac:dyDescent="0.25">
      <c r="A5222" s="1" t="str">
        <f>"517185"</f>
        <v>517185</v>
      </c>
      <c r="B5222" s="2" t="str">
        <f>"CANECA INOX 304 CABO LONGO 1 LITRO"</f>
        <v>CANECA INOX 304 CABO LONGO 1 LITRO</v>
      </c>
      <c r="C5222" s="2" t="str">
        <f t="shared" si="204"/>
        <v>UN</v>
      </c>
      <c r="D5222" s="7">
        <v>915</v>
      </c>
      <c r="E5222" s="3">
        <v>4</v>
      </c>
      <c r="F5222" s="3">
        <v>4</v>
      </c>
      <c r="G5222" t="s">
        <v>512</v>
      </c>
    </row>
    <row r="5223" spans="1:7" x14ac:dyDescent="0.25">
      <c r="A5223" s="1" t="str">
        <f>"517186"</f>
        <v>517186</v>
      </c>
      <c r="B5223" s="2" t="str">
        <f>"CANECA INOX 304 CABO LONGO 2 LITROS"</f>
        <v>CANECA INOX 304 CABO LONGO 2 LITROS</v>
      </c>
      <c r="C5223" s="2" t="str">
        <f t="shared" si="204"/>
        <v>UN</v>
      </c>
      <c r="D5223" s="7">
        <v>915</v>
      </c>
      <c r="E5223" s="3">
        <v>4</v>
      </c>
      <c r="F5223" s="3">
        <v>4</v>
      </c>
      <c r="G5223" t="s">
        <v>513</v>
      </c>
    </row>
    <row r="5224" spans="1:7" x14ac:dyDescent="0.25">
      <c r="A5224" s="1" t="str">
        <f>"519196"</f>
        <v>519196</v>
      </c>
      <c r="B5224" s="2" t="str">
        <f>"CANECA INOX 304 CABO LONGO 250ML"</f>
        <v>CANECA INOX 304 CABO LONGO 250ML</v>
      </c>
      <c r="C5224" s="2" t="str">
        <f t="shared" si="204"/>
        <v>UN</v>
      </c>
      <c r="D5224" s="7">
        <v>915</v>
      </c>
      <c r="E5224" s="3">
        <v>4</v>
      </c>
      <c r="F5224" s="3">
        <v>4</v>
      </c>
      <c r="G5224" t="s">
        <v>514</v>
      </c>
    </row>
    <row r="5225" spans="1:7" x14ac:dyDescent="0.25">
      <c r="A5225" s="1" t="str">
        <f>"527282"</f>
        <v>527282</v>
      </c>
      <c r="B5225" s="2" t="str">
        <f>"CANECA INOX 304 CABO LONGO 350ML"</f>
        <v>CANECA INOX 304 CABO LONGO 350ML</v>
      </c>
      <c r="C5225" s="2" t="str">
        <f t="shared" si="204"/>
        <v>UN</v>
      </c>
      <c r="D5225" s="7">
        <v>915</v>
      </c>
      <c r="E5225" s="3">
        <v>4</v>
      </c>
      <c r="F5225" s="3">
        <v>4</v>
      </c>
      <c r="G5225" t="s">
        <v>514</v>
      </c>
    </row>
    <row r="5226" spans="1:7" x14ac:dyDescent="0.25">
      <c r="A5226" s="1" t="str">
        <f>"524047"</f>
        <v>524047</v>
      </c>
      <c r="B5226" s="2" t="str">
        <f>"CANECA P/ MASTITE"</f>
        <v>CANECA P/ MASTITE</v>
      </c>
      <c r="C5226" s="2" t="str">
        <f t="shared" si="204"/>
        <v>UN</v>
      </c>
      <c r="D5226" s="7">
        <v>99999</v>
      </c>
      <c r="E5226" s="3">
        <v>99</v>
      </c>
      <c r="F5226" s="3">
        <v>99</v>
      </c>
      <c r="G5226" t="s">
        <v>514</v>
      </c>
    </row>
    <row r="5227" spans="1:7" x14ac:dyDescent="0.25">
      <c r="A5227" s="1" t="str">
        <f>"2372"</f>
        <v>2372</v>
      </c>
      <c r="B5227" s="2" t="str">
        <f>"CANECA PLASTICO CAPACIDADE  4 LT"</f>
        <v>CANECA PLASTICO CAPACIDADE  4 LT</v>
      </c>
      <c r="C5227" s="2" t="str">
        <f>"PC"</f>
        <v>PC</v>
      </c>
      <c r="D5227" s="7">
        <v>408</v>
      </c>
      <c r="E5227" s="3">
        <v>4</v>
      </c>
      <c r="F5227" s="3">
        <v>4</v>
      </c>
      <c r="G5227" t="s">
        <v>513</v>
      </c>
    </row>
    <row r="5228" spans="1:7" x14ac:dyDescent="0.25">
      <c r="A5228" s="1" t="str">
        <f>"2371"</f>
        <v>2371</v>
      </c>
      <c r="B5228" s="2" t="str">
        <f>"CANECA PLASTICO CAPACIDADE 1 LT"</f>
        <v>CANECA PLASTICO CAPACIDADE 1 LT</v>
      </c>
      <c r="C5228" s="2" t="str">
        <f>"UN"</f>
        <v>UN</v>
      </c>
      <c r="D5228" s="7">
        <v>408</v>
      </c>
      <c r="E5228" s="3">
        <v>4</v>
      </c>
      <c r="F5228" s="3">
        <v>4</v>
      </c>
      <c r="G5228" t="s">
        <v>512</v>
      </c>
    </row>
    <row r="5229" spans="1:7" x14ac:dyDescent="0.25">
      <c r="A5229" s="1" t="str">
        <f>"573825"</f>
        <v>573825</v>
      </c>
      <c r="B5229" s="2" t="str">
        <f>"CANECA/CLIP AÇO 6MM CÓD. 450050"</f>
        <v>CANECA/CLIP AÇO 6MM CÓD. 450050</v>
      </c>
      <c r="C5229" s="2" t="str">
        <f>"UN"</f>
        <v>UN</v>
      </c>
      <c r="D5229" s="7">
        <v>99999</v>
      </c>
      <c r="E5229" s="3">
        <v>99</v>
      </c>
      <c r="F5229" s="3">
        <v>99</v>
      </c>
      <c r="G5229" t="s">
        <v>513</v>
      </c>
    </row>
    <row r="5230" spans="1:7" x14ac:dyDescent="0.25">
      <c r="A5230" s="1" t="str">
        <f>"515590"</f>
        <v>515590</v>
      </c>
      <c r="B5230" s="2" t="str">
        <f>"CANELA MOIDA"</f>
        <v>CANELA MOIDA</v>
      </c>
      <c r="C5230" s="2" t="str">
        <f>"UN"</f>
        <v>UN</v>
      </c>
      <c r="D5230" s="7">
        <v>401</v>
      </c>
      <c r="E5230" s="3">
        <v>4</v>
      </c>
      <c r="F5230" s="3">
        <v>4</v>
      </c>
      <c r="G5230" t="s">
        <v>514</v>
      </c>
    </row>
    <row r="5231" spans="1:7" x14ac:dyDescent="0.25">
      <c r="A5231" s="1" t="str">
        <f>"515738"</f>
        <v>515738</v>
      </c>
      <c r="B5231" s="2" t="str">
        <f>"CANELEIRA"</f>
        <v>CANELEIRA</v>
      </c>
      <c r="C5231" s="2" t="str">
        <f>"UN"</f>
        <v>UN</v>
      </c>
      <c r="D5231" s="7">
        <v>502</v>
      </c>
      <c r="E5231" s="3">
        <v>5</v>
      </c>
      <c r="F5231" s="3">
        <v>5</v>
      </c>
      <c r="G5231" t="s">
        <v>514</v>
      </c>
    </row>
    <row r="5232" spans="1:7" x14ac:dyDescent="0.25">
      <c r="A5232" s="1" t="str">
        <f>"510500"</f>
        <v>510500</v>
      </c>
      <c r="B5232" s="2" t="str">
        <f>"CANETA"</f>
        <v>CANETA</v>
      </c>
      <c r="C5232" s="2" t="str">
        <f>"PC"</f>
        <v>PC</v>
      </c>
      <c r="D5232" s="7">
        <v>401</v>
      </c>
      <c r="E5232" s="3">
        <v>4</v>
      </c>
      <c r="F5232" s="3">
        <v>4</v>
      </c>
      <c r="G5232" t="s">
        <v>514</v>
      </c>
    </row>
    <row r="5233" spans="1:7" x14ac:dyDescent="0.25">
      <c r="A5233" s="1" t="str">
        <f>"523806"</f>
        <v>523806</v>
      </c>
      <c r="B5233" s="2" t="str">
        <f>"CANETA 4 CORES VD/AZ/VM/PT"</f>
        <v>CANETA 4 CORES VD/AZ/VM/PT</v>
      </c>
      <c r="C5233" s="2" t="str">
        <f>"UN"</f>
        <v>UN</v>
      </c>
      <c r="D5233" s="7">
        <v>401</v>
      </c>
      <c r="E5233" s="3">
        <v>4</v>
      </c>
      <c r="F5233" s="3">
        <v>4</v>
      </c>
      <c r="G5233" t="s">
        <v>513</v>
      </c>
    </row>
    <row r="5234" spans="1:7" x14ac:dyDescent="0.25">
      <c r="A5234" s="1" t="str">
        <f>"513478"</f>
        <v>513478</v>
      </c>
      <c r="B5234" s="2" t="str">
        <f>"CANETA ALUMINIO COM LOGO"</f>
        <v>CANETA ALUMINIO COM LOGO</v>
      </c>
      <c r="C5234" s="2" t="str">
        <f>"UN"</f>
        <v>UN</v>
      </c>
      <c r="D5234" s="7">
        <v>401</v>
      </c>
      <c r="E5234" s="3">
        <v>4</v>
      </c>
      <c r="F5234" s="3">
        <v>4</v>
      </c>
      <c r="G5234" t="s">
        <v>513</v>
      </c>
    </row>
    <row r="5235" spans="1:7" x14ac:dyDescent="0.25">
      <c r="A5235" s="1" t="str">
        <f>"2247"</f>
        <v>2247</v>
      </c>
      <c r="B5235" s="2" t="str">
        <f>"CANETA BIC AZUL"</f>
        <v>CANETA BIC AZUL</v>
      </c>
      <c r="C5235" s="2" t="str">
        <f>"PC"</f>
        <v>PC</v>
      </c>
      <c r="D5235" s="7">
        <v>401</v>
      </c>
      <c r="E5235" s="3">
        <v>4</v>
      </c>
      <c r="F5235" s="3">
        <v>4</v>
      </c>
      <c r="G5235" t="s">
        <v>513</v>
      </c>
    </row>
    <row r="5236" spans="1:7" x14ac:dyDescent="0.25">
      <c r="A5236" s="1" t="str">
        <f>"6686"</f>
        <v>6686</v>
      </c>
      <c r="B5236" s="2" t="str">
        <f>"CANETA BIC PRETA"</f>
        <v>CANETA BIC PRETA</v>
      </c>
      <c r="C5236" s="2" t="str">
        <f>"UN"</f>
        <v>UN</v>
      </c>
      <c r="D5236" s="7">
        <v>401</v>
      </c>
      <c r="E5236" s="3">
        <v>4</v>
      </c>
      <c r="F5236" s="3">
        <v>4</v>
      </c>
      <c r="G5236" t="s">
        <v>512</v>
      </c>
    </row>
    <row r="5237" spans="1:7" x14ac:dyDescent="0.25">
      <c r="A5237" s="1" t="str">
        <f>"6655"</f>
        <v>6655</v>
      </c>
      <c r="B5237" s="2" t="str">
        <f>"CANETA BIC VERMELHA"</f>
        <v>CANETA BIC VERMELHA</v>
      </c>
      <c r="C5237" s="2" t="str">
        <f>"UN"</f>
        <v>UN</v>
      </c>
      <c r="D5237" s="7">
        <v>401</v>
      </c>
      <c r="E5237" s="3">
        <v>4</v>
      </c>
      <c r="F5237" s="3">
        <v>4</v>
      </c>
      <c r="G5237" t="s">
        <v>513</v>
      </c>
    </row>
    <row r="5238" spans="1:7" x14ac:dyDescent="0.25">
      <c r="A5238" s="1" t="str">
        <f>"522635"</f>
        <v>522635</v>
      </c>
      <c r="B5238" s="2" t="str">
        <f>"CANETA BPS 1.0 PILOT"</f>
        <v>CANETA BPS 1.0 PILOT</v>
      </c>
      <c r="C5238" s="2" t="str">
        <f>"PC"</f>
        <v>PC</v>
      </c>
      <c r="D5238" s="7">
        <v>401</v>
      </c>
      <c r="E5238" s="3">
        <v>4</v>
      </c>
      <c r="F5238" s="3">
        <v>4</v>
      </c>
      <c r="G5238" t="s">
        <v>514</v>
      </c>
    </row>
    <row r="5239" spans="1:7" x14ac:dyDescent="0.25">
      <c r="A5239" s="1" t="str">
        <f>"523879"</f>
        <v>523879</v>
      </c>
      <c r="B5239" s="2" t="str">
        <f>"CANETA BRINDE"</f>
        <v>CANETA BRINDE</v>
      </c>
      <c r="C5239" s="2" t="str">
        <f>"UN"</f>
        <v>UN</v>
      </c>
      <c r="D5239" s="7">
        <v>99999</v>
      </c>
      <c r="E5239" s="3">
        <v>99</v>
      </c>
      <c r="F5239" s="3">
        <v>99</v>
      </c>
      <c r="G5239" t="s">
        <v>515</v>
      </c>
    </row>
    <row r="5240" spans="1:7" x14ac:dyDescent="0.25">
      <c r="A5240" s="1" t="str">
        <f>"514631"</f>
        <v>514631</v>
      </c>
      <c r="B5240" s="2" t="str">
        <f>"CANETA DE METAL"</f>
        <v>CANETA DE METAL</v>
      </c>
      <c r="C5240" s="2" t="str">
        <f>"UN"</f>
        <v>UN</v>
      </c>
      <c r="D5240" s="7">
        <v>401</v>
      </c>
      <c r="E5240" s="3">
        <v>4</v>
      </c>
      <c r="F5240" s="3">
        <v>4</v>
      </c>
      <c r="G5240" t="s">
        <v>512</v>
      </c>
    </row>
    <row r="5241" spans="1:7" x14ac:dyDescent="0.25">
      <c r="A5241" s="1" t="str">
        <f>"2256"</f>
        <v>2256</v>
      </c>
      <c r="B5241" s="2" t="str">
        <f>"CANETA FIXA AZUL XPTO"</f>
        <v>CANETA FIXA AZUL XPTO</v>
      </c>
      <c r="C5241" s="2" t="str">
        <f>"PC"</f>
        <v>PC</v>
      </c>
      <c r="D5241" s="7">
        <v>401</v>
      </c>
      <c r="E5241" s="3">
        <v>4</v>
      </c>
      <c r="F5241" s="3">
        <v>4</v>
      </c>
      <c r="G5241" t="s">
        <v>516</v>
      </c>
    </row>
    <row r="5242" spans="1:7" x14ac:dyDescent="0.25">
      <c r="A5242" s="1" t="str">
        <f>"517542"</f>
        <v>517542</v>
      </c>
      <c r="B5242" s="2" t="str">
        <f>"CANETA MAÇARICO C/ MANOMETRO E MANGUEIRA"</f>
        <v>CANETA MAÇARICO C/ MANOMETRO E MANGUEIRA</v>
      </c>
      <c r="C5242" s="2" t="str">
        <f t="shared" ref="C5242:C5254" si="205">"UN"</f>
        <v>UN</v>
      </c>
      <c r="D5242" s="7">
        <v>816</v>
      </c>
      <c r="E5242" s="3">
        <v>4</v>
      </c>
      <c r="F5242" s="3">
        <v>4</v>
      </c>
      <c r="G5242" t="s">
        <v>515</v>
      </c>
    </row>
    <row r="5243" spans="1:7" x14ac:dyDescent="0.25">
      <c r="A5243" s="1" t="str">
        <f>"6323"</f>
        <v>6323</v>
      </c>
      <c r="B5243" s="2" t="str">
        <f>"CANETA MARCA TEXTO AMARELA"</f>
        <v>CANETA MARCA TEXTO AMARELA</v>
      </c>
      <c r="C5243" s="2" t="str">
        <f t="shared" si="205"/>
        <v>UN</v>
      </c>
      <c r="D5243" s="7">
        <v>401</v>
      </c>
      <c r="E5243" s="3">
        <v>4</v>
      </c>
      <c r="F5243" s="3">
        <v>4</v>
      </c>
      <c r="G5243" t="s">
        <v>514</v>
      </c>
    </row>
    <row r="5244" spans="1:7" x14ac:dyDescent="0.25">
      <c r="A5244" s="1" t="str">
        <f>"522470"</f>
        <v>522470</v>
      </c>
      <c r="B5244" s="2" t="str">
        <f>"CANETA PILOT 07 AZUL"</f>
        <v>CANETA PILOT 07 AZUL</v>
      </c>
      <c r="C5244" s="2" t="str">
        <f t="shared" si="205"/>
        <v>UN</v>
      </c>
      <c r="D5244" s="7">
        <v>401</v>
      </c>
      <c r="E5244" s="3">
        <v>4</v>
      </c>
      <c r="F5244" s="3">
        <v>4</v>
      </c>
      <c r="G5244" t="s">
        <v>512</v>
      </c>
    </row>
    <row r="5245" spans="1:7" x14ac:dyDescent="0.25">
      <c r="A5245" s="1" t="str">
        <f>"522471"</f>
        <v>522471</v>
      </c>
      <c r="B5245" s="2" t="str">
        <f>"CANETA PILOT 07 PRETA"</f>
        <v>CANETA PILOT 07 PRETA</v>
      </c>
      <c r="C5245" s="2" t="str">
        <f t="shared" si="205"/>
        <v>UN</v>
      </c>
      <c r="D5245" s="7">
        <v>401</v>
      </c>
      <c r="E5245" s="3">
        <v>4</v>
      </c>
      <c r="F5245" s="3">
        <v>4</v>
      </c>
      <c r="G5245" t="s">
        <v>513</v>
      </c>
    </row>
    <row r="5246" spans="1:7" x14ac:dyDescent="0.25">
      <c r="A5246" s="1" t="str">
        <f>"524558"</f>
        <v>524558</v>
      </c>
      <c r="B5246" s="2" t="str">
        <f>"CANETA PILOT 07 VERDE"</f>
        <v>CANETA PILOT 07 VERDE</v>
      </c>
      <c r="C5246" s="2" t="str">
        <f t="shared" si="205"/>
        <v>UN</v>
      </c>
      <c r="D5246" s="7">
        <v>99999</v>
      </c>
      <c r="E5246" s="3">
        <v>4</v>
      </c>
      <c r="F5246" s="3">
        <v>4</v>
      </c>
      <c r="G5246" t="s">
        <v>514</v>
      </c>
    </row>
    <row r="5247" spans="1:7" x14ac:dyDescent="0.25">
      <c r="A5247" s="1" t="str">
        <f>"522472"</f>
        <v>522472</v>
      </c>
      <c r="B5247" s="2" t="str">
        <f>"CANETA PILOT 07 VERMELHA"</f>
        <v>CANETA PILOT 07 VERMELHA</v>
      </c>
      <c r="C5247" s="2" t="str">
        <f t="shared" si="205"/>
        <v>UN</v>
      </c>
      <c r="D5247" s="7">
        <v>401</v>
      </c>
      <c r="E5247" s="3">
        <v>4</v>
      </c>
      <c r="F5247" s="3">
        <v>4</v>
      </c>
      <c r="G5247" t="s">
        <v>514</v>
      </c>
    </row>
    <row r="5248" spans="1:7" x14ac:dyDescent="0.25">
      <c r="A5248" s="1" t="str">
        <f>"522783"</f>
        <v>522783</v>
      </c>
      <c r="B5248" s="2" t="str">
        <f>"CANETA PILOT 1.0 AZUL"</f>
        <v>CANETA PILOT 1.0 AZUL</v>
      </c>
      <c r="C5248" s="2" t="str">
        <f t="shared" si="205"/>
        <v>UN</v>
      </c>
      <c r="D5248" s="7">
        <v>401</v>
      </c>
      <c r="E5248" s="3">
        <v>4</v>
      </c>
      <c r="F5248" s="3">
        <v>4</v>
      </c>
      <c r="G5248" t="s">
        <v>512</v>
      </c>
    </row>
    <row r="5249" spans="1:7" x14ac:dyDescent="0.25">
      <c r="A5249" s="1" t="str">
        <f>"524826"</f>
        <v>524826</v>
      </c>
      <c r="B5249" s="2" t="str">
        <f>"CANETA PILOT 1.0 RETROPROJETOR AZUL"</f>
        <v>CANETA PILOT 1.0 RETROPROJETOR AZUL</v>
      </c>
      <c r="C5249" s="2" t="str">
        <f t="shared" si="205"/>
        <v>UN</v>
      </c>
      <c r="D5249" s="7">
        <v>401</v>
      </c>
      <c r="E5249" s="3">
        <v>4</v>
      </c>
      <c r="F5249" s="3">
        <v>4</v>
      </c>
      <c r="G5249" t="s">
        <v>513</v>
      </c>
    </row>
    <row r="5250" spans="1:7" x14ac:dyDescent="0.25">
      <c r="A5250" s="1" t="str">
        <f>"524827"</f>
        <v>524827</v>
      </c>
      <c r="B5250" s="2" t="str">
        <f>"CANETA PILOT 1.0 RETROPROJETOR PRETA"</f>
        <v>CANETA PILOT 1.0 RETROPROJETOR PRETA</v>
      </c>
      <c r="C5250" s="2" t="str">
        <f t="shared" si="205"/>
        <v>UN</v>
      </c>
      <c r="D5250" s="7">
        <v>401</v>
      </c>
      <c r="E5250" s="3">
        <v>4</v>
      </c>
      <c r="F5250" s="3">
        <v>4</v>
      </c>
      <c r="G5250" t="s">
        <v>514</v>
      </c>
    </row>
    <row r="5251" spans="1:7" x14ac:dyDescent="0.25">
      <c r="A5251" s="1" t="str">
        <f>"6329"</f>
        <v>6329</v>
      </c>
      <c r="B5251" s="2" t="str">
        <f>"CANETA PILOT 2.0 RETROPROJETOR AZUL"</f>
        <v>CANETA PILOT 2.0 RETROPROJETOR AZUL</v>
      </c>
      <c r="C5251" s="2" t="str">
        <f t="shared" si="205"/>
        <v>UN</v>
      </c>
      <c r="D5251" s="7">
        <v>401</v>
      </c>
      <c r="E5251" s="3">
        <v>4</v>
      </c>
      <c r="F5251" s="3">
        <v>4</v>
      </c>
      <c r="G5251" t="s">
        <v>514</v>
      </c>
    </row>
    <row r="5252" spans="1:7" x14ac:dyDescent="0.25">
      <c r="A5252" s="1" t="str">
        <f>"6357"</f>
        <v>6357</v>
      </c>
      <c r="B5252" s="2" t="str">
        <f>"CANETA PILOT 2.0 RETROPROJETOR PRETA"</f>
        <v>CANETA PILOT 2.0 RETROPROJETOR PRETA</v>
      </c>
      <c r="C5252" s="2" t="str">
        <f t="shared" si="205"/>
        <v>UN</v>
      </c>
      <c r="D5252" s="7">
        <v>401</v>
      </c>
      <c r="E5252" s="3">
        <v>4</v>
      </c>
      <c r="F5252" s="3">
        <v>4</v>
      </c>
      <c r="G5252" t="s">
        <v>514</v>
      </c>
    </row>
    <row r="5253" spans="1:7" x14ac:dyDescent="0.25">
      <c r="A5253" s="1" t="str">
        <f>"525010"</f>
        <v>525010</v>
      </c>
      <c r="B5253" s="2" t="str">
        <f>"CANETA PILOT 2.0 RETROPROJETOR VERDE"</f>
        <v>CANETA PILOT 2.0 RETROPROJETOR VERDE</v>
      </c>
      <c r="C5253" s="2" t="str">
        <f t="shared" si="205"/>
        <v>UN</v>
      </c>
      <c r="D5253" s="7">
        <v>401</v>
      </c>
      <c r="E5253" s="3">
        <v>4</v>
      </c>
      <c r="F5253" s="3">
        <v>4</v>
      </c>
      <c r="G5253" t="s">
        <v>513</v>
      </c>
    </row>
    <row r="5254" spans="1:7" x14ac:dyDescent="0.25">
      <c r="A5254" s="1" t="str">
        <f>"6356"</f>
        <v>6356</v>
      </c>
      <c r="B5254" s="2" t="str">
        <f>"CANETA PILOT 2.0 RETROPROJETOR VERMELHA"</f>
        <v>CANETA PILOT 2.0 RETROPROJETOR VERMELHA</v>
      </c>
      <c r="C5254" s="2" t="str">
        <f t="shared" si="205"/>
        <v>UN</v>
      </c>
      <c r="D5254" s="7">
        <v>401</v>
      </c>
      <c r="E5254" s="3">
        <v>4</v>
      </c>
      <c r="F5254" s="3">
        <v>4</v>
      </c>
      <c r="G5254" t="s">
        <v>512</v>
      </c>
    </row>
    <row r="5255" spans="1:7" x14ac:dyDescent="0.25">
      <c r="A5255" s="1" t="str">
        <f>"6243"</f>
        <v>6243</v>
      </c>
      <c r="B5255" s="2" t="str">
        <f>"CANETA PROMOCIONAL CAROLINA 9192 AZUL"</f>
        <v>CANETA PROMOCIONAL CAROLINA 9192 AZUL</v>
      </c>
      <c r="C5255" s="2" t="str">
        <f>"PC"</f>
        <v>PC</v>
      </c>
      <c r="D5255" s="7">
        <v>401</v>
      </c>
      <c r="E5255" s="3">
        <v>4</v>
      </c>
      <c r="F5255" s="3">
        <v>4</v>
      </c>
      <c r="G5255" t="s">
        <v>513</v>
      </c>
    </row>
    <row r="5256" spans="1:7" x14ac:dyDescent="0.25">
      <c r="A5256" s="1" t="str">
        <f>"527417"</f>
        <v>527417</v>
      </c>
      <c r="B5256" s="2" t="str">
        <f>"CANETA TECIDO ACRILPEN AMARELA"</f>
        <v>CANETA TECIDO ACRILPEN AMARELA</v>
      </c>
      <c r="C5256" s="2" t="str">
        <f t="shared" ref="C5256:C5267" si="206">"UN"</f>
        <v>UN</v>
      </c>
      <c r="D5256" s="7">
        <v>99999</v>
      </c>
      <c r="E5256" s="3">
        <v>99</v>
      </c>
      <c r="F5256" s="3">
        <v>99</v>
      </c>
      <c r="G5256" t="s">
        <v>514</v>
      </c>
    </row>
    <row r="5257" spans="1:7" x14ac:dyDescent="0.25">
      <c r="A5257" s="1" t="str">
        <f>"527416"</f>
        <v>527416</v>
      </c>
      <c r="B5257" s="2" t="str">
        <f>"CANETA TECIDO ACRILPEN PRETA"</f>
        <v>CANETA TECIDO ACRILPEN PRETA</v>
      </c>
      <c r="C5257" s="2" t="str">
        <f t="shared" si="206"/>
        <v>UN</v>
      </c>
      <c r="D5257" s="7">
        <v>99999</v>
      </c>
      <c r="E5257" s="3">
        <v>99</v>
      </c>
      <c r="F5257" s="3">
        <v>99</v>
      </c>
      <c r="G5257" t="s">
        <v>514</v>
      </c>
    </row>
    <row r="5258" spans="1:7" x14ac:dyDescent="0.25">
      <c r="A5258" s="1" t="str">
        <f>"514196"</f>
        <v>514196</v>
      </c>
      <c r="B5258" s="2" t="str">
        <f>"CANETINHA F. CASTELL"</f>
        <v>CANETINHA F. CASTELL</v>
      </c>
      <c r="C5258" s="2" t="str">
        <f t="shared" si="206"/>
        <v>UN</v>
      </c>
      <c r="D5258" s="7">
        <v>99999</v>
      </c>
      <c r="E5258" s="3">
        <v>99</v>
      </c>
      <c r="F5258" s="3">
        <v>99</v>
      </c>
      <c r="G5258" t="s">
        <v>514</v>
      </c>
    </row>
    <row r="5259" spans="1:7" x14ac:dyDescent="0.25">
      <c r="A5259" s="1" t="str">
        <f>"506249"</f>
        <v>506249</v>
      </c>
      <c r="B5259" s="2" t="str">
        <f>"CANHAO 45 P/ MAQ PACK 1"</f>
        <v>CANHAO 45 P/ MAQ PACK 1</v>
      </c>
      <c r="C5259" s="2" t="str">
        <f t="shared" si="206"/>
        <v>UN</v>
      </c>
      <c r="D5259" s="7">
        <v>918</v>
      </c>
      <c r="E5259" s="3">
        <v>11</v>
      </c>
      <c r="F5259" s="3">
        <v>11</v>
      </c>
      <c r="G5259" t="s">
        <v>513</v>
      </c>
    </row>
    <row r="5260" spans="1:7" x14ac:dyDescent="0.25">
      <c r="A5260" s="1" t="str">
        <f>"518206"</f>
        <v>518206</v>
      </c>
      <c r="B5260" s="2" t="str">
        <f>"CANHAO 60 P/ MAQ PACK 1"</f>
        <v>CANHAO 60 P/ MAQ PACK 1</v>
      </c>
      <c r="C5260" s="2" t="str">
        <f t="shared" si="206"/>
        <v>UN</v>
      </c>
      <c r="D5260" s="7">
        <v>918</v>
      </c>
      <c r="E5260" s="3">
        <v>11</v>
      </c>
      <c r="F5260" s="3">
        <v>11</v>
      </c>
      <c r="G5260" t="s">
        <v>513</v>
      </c>
    </row>
    <row r="5261" spans="1:7" x14ac:dyDescent="0.25">
      <c r="A5261" s="1" t="str">
        <f>"520725"</f>
        <v>520725</v>
      </c>
      <c r="B5261" s="2" t="str">
        <f>"CANJICA CRISTAL"</f>
        <v>CANJICA CRISTAL</v>
      </c>
      <c r="C5261" s="2" t="str">
        <f t="shared" si="206"/>
        <v>UN</v>
      </c>
      <c r="D5261" s="7">
        <v>99999</v>
      </c>
      <c r="E5261" s="3">
        <v>99</v>
      </c>
      <c r="F5261" s="3">
        <v>99</v>
      </c>
      <c r="G5261" t="s">
        <v>513</v>
      </c>
    </row>
    <row r="5262" spans="1:7" x14ac:dyDescent="0.25">
      <c r="A5262" s="1" t="str">
        <f>"511432"</f>
        <v>511432</v>
      </c>
      <c r="B5262" s="2" t="str">
        <f>"CANO"</f>
        <v>CANO</v>
      </c>
      <c r="C5262" s="2" t="str">
        <f t="shared" si="206"/>
        <v>UN</v>
      </c>
      <c r="D5262" s="7">
        <v>704</v>
      </c>
      <c r="E5262" s="3">
        <v>9</v>
      </c>
      <c r="F5262" s="3">
        <v>9</v>
      </c>
      <c r="G5262" t="s">
        <v>512</v>
      </c>
    </row>
    <row r="5263" spans="1:7" x14ac:dyDescent="0.25">
      <c r="A5263" s="1" t="str">
        <f>"504371"</f>
        <v>504371</v>
      </c>
      <c r="B5263" s="2" t="str">
        <f>"CANO C/ CANALETA"</f>
        <v>CANO C/ CANALETA</v>
      </c>
      <c r="C5263" s="2" t="str">
        <f t="shared" si="206"/>
        <v>UN</v>
      </c>
      <c r="D5263" s="7">
        <v>704</v>
      </c>
      <c r="E5263" s="3">
        <v>9</v>
      </c>
      <c r="F5263" s="3">
        <v>9</v>
      </c>
      <c r="G5263" t="s">
        <v>513</v>
      </c>
    </row>
    <row r="5264" spans="1:7" x14ac:dyDescent="0.25">
      <c r="A5264" s="1" t="str">
        <f>"504374"</f>
        <v>504374</v>
      </c>
      <c r="B5264" s="2" t="str">
        <f>"CANO C/ MOLA"</f>
        <v>CANO C/ MOLA</v>
      </c>
      <c r="C5264" s="2" t="str">
        <f t="shared" si="206"/>
        <v>UN</v>
      </c>
      <c r="D5264" s="7">
        <v>704</v>
      </c>
      <c r="E5264" s="3">
        <v>9</v>
      </c>
      <c r="F5264" s="3">
        <v>9</v>
      </c>
      <c r="G5264" t="s">
        <v>514</v>
      </c>
    </row>
    <row r="5265" spans="1:7" x14ac:dyDescent="0.25">
      <c r="A5265" s="1" t="str">
        <f>"514472"</f>
        <v>514472</v>
      </c>
      <c r="B5265" s="2" t="str">
        <f>"CANO COBRE 1/32F 19,05 3/4 0,403"</f>
        <v>CANO COBRE 1/32F 19,05 3/4 0,403</v>
      </c>
      <c r="C5265" s="2" t="str">
        <f t="shared" si="206"/>
        <v>UN</v>
      </c>
      <c r="D5265" s="7">
        <v>704</v>
      </c>
      <c r="E5265" s="3">
        <v>9</v>
      </c>
      <c r="F5265" s="3">
        <v>9</v>
      </c>
      <c r="G5265" t="s">
        <v>515</v>
      </c>
    </row>
    <row r="5266" spans="1:7" x14ac:dyDescent="0.25">
      <c r="A5266" s="1" t="str">
        <f>"517480"</f>
        <v>517480</v>
      </c>
      <c r="B5266" s="2" t="str">
        <f>"CANO COBRE PANC 1/32F 0,52 3/8 0,194"</f>
        <v>CANO COBRE PANC 1/32F 0,52 3/8 0,194</v>
      </c>
      <c r="C5266" s="2" t="str">
        <f t="shared" si="206"/>
        <v>UN</v>
      </c>
      <c r="D5266" s="7">
        <v>918</v>
      </c>
      <c r="E5266" s="3">
        <v>10</v>
      </c>
      <c r="F5266" s="3">
        <v>10</v>
      </c>
      <c r="G5266" t="s">
        <v>512</v>
      </c>
    </row>
    <row r="5267" spans="1:7" x14ac:dyDescent="0.25">
      <c r="A5267" s="1" t="str">
        <f>"517481"</f>
        <v>517481</v>
      </c>
      <c r="B5267" s="2" t="str">
        <f>"CANO COBRE RET 1/32 28,57 1 1/8 0,614"</f>
        <v>CANO COBRE RET 1/32 28,57 1 1/8 0,614</v>
      </c>
      <c r="C5267" s="2" t="str">
        <f t="shared" si="206"/>
        <v>UN</v>
      </c>
      <c r="D5267" s="7">
        <v>918</v>
      </c>
      <c r="E5267" s="3">
        <v>10</v>
      </c>
      <c r="F5267" s="3">
        <v>10</v>
      </c>
      <c r="G5267" t="s">
        <v>516</v>
      </c>
    </row>
    <row r="5268" spans="1:7" x14ac:dyDescent="0.25">
      <c r="A5268" s="1" t="str">
        <f>"503657"</f>
        <v>503657</v>
      </c>
      <c r="B5268" s="2" t="str">
        <f>"CANO DE P.V.C MARROM 1"""</f>
        <v>CANO DE P.V.C MARROM 1"</v>
      </c>
      <c r="C5268" s="2" t="str">
        <f>"BR"</f>
        <v>BR</v>
      </c>
      <c r="D5268" s="7">
        <v>808</v>
      </c>
      <c r="E5268" s="3">
        <v>10</v>
      </c>
      <c r="F5268" s="3">
        <v>10</v>
      </c>
      <c r="G5268" t="s">
        <v>515</v>
      </c>
    </row>
    <row r="5269" spans="1:7" x14ac:dyDescent="0.25">
      <c r="A5269" s="1" t="str">
        <f>"513406"</f>
        <v>513406</v>
      </c>
      <c r="B5269" s="2" t="str">
        <f>"CANO ESCAPE 4"""</f>
        <v>CANO ESCAPE 4"</v>
      </c>
      <c r="C5269" s="2" t="str">
        <f>"UN"</f>
        <v>UN</v>
      </c>
      <c r="D5269" s="7">
        <v>704</v>
      </c>
      <c r="E5269" s="3">
        <v>9</v>
      </c>
      <c r="F5269" s="3">
        <v>9</v>
      </c>
      <c r="G5269" t="s">
        <v>514</v>
      </c>
    </row>
    <row r="5270" spans="1:7" x14ac:dyDescent="0.25">
      <c r="A5270" s="1" t="str">
        <f>"510793"</f>
        <v>510793</v>
      </c>
      <c r="B5270" s="2" t="str">
        <f>"CANO P/ KIT TRANFERENCIA"</f>
        <v>CANO P/ KIT TRANFERENCIA</v>
      </c>
      <c r="C5270" s="2" t="str">
        <f>"UN"</f>
        <v>UN</v>
      </c>
      <c r="D5270" s="7">
        <v>704</v>
      </c>
      <c r="E5270" s="3">
        <v>9</v>
      </c>
      <c r="F5270" s="3">
        <v>9</v>
      </c>
      <c r="G5270" t="s">
        <v>512</v>
      </c>
    </row>
    <row r="5271" spans="1:7" x14ac:dyDescent="0.25">
      <c r="A5271" s="1" t="str">
        <f>"526477"</f>
        <v>526477</v>
      </c>
      <c r="B5271" s="2" t="str">
        <f>"CANO PARA CHUVEIRO"</f>
        <v>CANO PARA CHUVEIRO</v>
      </c>
      <c r="C5271" s="2" t="str">
        <f>"UN"</f>
        <v>UN</v>
      </c>
      <c r="D5271" s="7">
        <v>803</v>
      </c>
      <c r="E5271" s="3">
        <v>4</v>
      </c>
      <c r="F5271" s="3">
        <v>4</v>
      </c>
      <c r="G5271" t="s">
        <v>513</v>
      </c>
    </row>
    <row r="5272" spans="1:7" x14ac:dyDescent="0.25">
      <c r="A5272" s="1" t="str">
        <f>"500226"</f>
        <v>500226</v>
      </c>
      <c r="B5272" s="2" t="str">
        <f>"CANO PVC - 100MM"</f>
        <v>CANO PVC - 100MM</v>
      </c>
      <c r="C5272" s="2" t="str">
        <f>"BR"</f>
        <v>BR</v>
      </c>
      <c r="D5272" s="7">
        <v>808</v>
      </c>
      <c r="E5272" s="3">
        <v>10</v>
      </c>
      <c r="F5272" s="3">
        <v>10</v>
      </c>
      <c r="G5272" t="s">
        <v>514</v>
      </c>
    </row>
    <row r="5273" spans="1:7" x14ac:dyDescent="0.25">
      <c r="A5273" s="1" t="str">
        <f>"503681"</f>
        <v>503681</v>
      </c>
      <c r="B5273" s="2" t="str">
        <f>"CANO PVC 1 1/2"" MARROM"</f>
        <v>CANO PVC 1 1/2" MARROM</v>
      </c>
      <c r="C5273" s="2" t="str">
        <f>"BR"</f>
        <v>BR</v>
      </c>
      <c r="D5273" s="7">
        <v>808</v>
      </c>
      <c r="E5273" s="3">
        <v>10</v>
      </c>
      <c r="F5273" s="3">
        <v>10</v>
      </c>
      <c r="G5273" t="s">
        <v>514</v>
      </c>
    </row>
    <row r="5274" spans="1:7" x14ac:dyDescent="0.25">
      <c r="A5274" s="1" t="str">
        <f>"526958"</f>
        <v>526958</v>
      </c>
      <c r="B5274" s="2" t="str">
        <f>"CANO PVC 1/2"" MARROM"</f>
        <v>CANO PVC 1/2" MARROM</v>
      </c>
      <c r="C5274" s="2" t="str">
        <f>"BR"</f>
        <v>BR</v>
      </c>
      <c r="D5274" s="7">
        <v>808</v>
      </c>
      <c r="E5274" s="3">
        <v>10</v>
      </c>
      <c r="F5274" s="3">
        <v>10</v>
      </c>
      <c r="G5274" t="s">
        <v>512</v>
      </c>
    </row>
    <row r="5275" spans="1:7" x14ac:dyDescent="0.25">
      <c r="A5275" s="1" t="str">
        <f>"511698"</f>
        <v>511698</v>
      </c>
      <c r="B5275" s="2" t="str">
        <f>"CANO PVC 6"""</f>
        <v>CANO PVC 6"</v>
      </c>
      <c r="C5275" s="2" t="str">
        <f>"BR"</f>
        <v>BR</v>
      </c>
      <c r="D5275" s="7">
        <v>808</v>
      </c>
      <c r="E5275" s="3">
        <v>10</v>
      </c>
      <c r="F5275" s="3">
        <v>10</v>
      </c>
      <c r="G5275" t="s">
        <v>513</v>
      </c>
    </row>
    <row r="5276" spans="1:7" x14ac:dyDescent="0.25">
      <c r="A5276" s="1" t="str">
        <f>"508107"</f>
        <v>508107</v>
      </c>
      <c r="B5276" s="2" t="str">
        <f>"CANO RODOAR C/ MOLA"</f>
        <v>CANO RODOAR C/ MOLA</v>
      </c>
      <c r="C5276" s="2" t="str">
        <f>"UN"</f>
        <v>UN</v>
      </c>
      <c r="D5276" s="7">
        <v>99999</v>
      </c>
      <c r="E5276" s="3">
        <v>99</v>
      </c>
      <c r="F5276" s="3">
        <v>99</v>
      </c>
      <c r="G5276" t="s">
        <v>514</v>
      </c>
    </row>
    <row r="5277" spans="1:7" x14ac:dyDescent="0.25">
      <c r="A5277" s="1" t="str">
        <f>"CO73089010"</f>
        <v>CO73089010</v>
      </c>
      <c r="B5277" s="2" t="str">
        <f>"CANTONEIRA"</f>
        <v>CANTONEIRA</v>
      </c>
      <c r="C5277" s="2" t="str">
        <f>"UN"</f>
        <v>UN</v>
      </c>
      <c r="D5277" s="7">
        <v>99999</v>
      </c>
      <c r="E5277" s="3">
        <v>99</v>
      </c>
      <c r="F5277" s="3">
        <v>99</v>
      </c>
      <c r="G5277" t="s">
        <v>514</v>
      </c>
    </row>
    <row r="5278" spans="1:7" x14ac:dyDescent="0.25">
      <c r="A5278" s="1" t="str">
        <f>"509709"</f>
        <v>509709</v>
      </c>
      <c r="B5278" s="2" t="str">
        <f>"CANTONEIRA  LAMINADA INÓX 304 1.1/4"" X 1.1/4"" X 1/8"" - 6 MTS"</f>
        <v>CANTONEIRA  LAMINADA INÓX 304 1.1/4" X 1.1/4" X 1/8" - 6 MTS</v>
      </c>
      <c r="C5278" s="2" t="str">
        <f>"UN"</f>
        <v>UN</v>
      </c>
      <c r="D5278" s="7">
        <v>917</v>
      </c>
      <c r="E5278" s="3">
        <v>11</v>
      </c>
      <c r="F5278" s="3">
        <v>11</v>
      </c>
      <c r="G5278" t="s">
        <v>514</v>
      </c>
    </row>
    <row r="5279" spans="1:7" x14ac:dyDescent="0.25">
      <c r="A5279" s="1" t="str">
        <f>"522058"</f>
        <v>522058</v>
      </c>
      <c r="B5279" s="2" t="str">
        <f>"CANTONEIRA 1 1/2 X 1/8"" AÇO INOX ESCOVADO"</f>
        <v>CANTONEIRA 1 1/2 X 1/8" AÇO INOX ESCOVADO</v>
      </c>
      <c r="C5279" s="2" t="str">
        <f>"BR"</f>
        <v>BR</v>
      </c>
      <c r="D5279" s="7">
        <v>807</v>
      </c>
      <c r="E5279" s="3">
        <v>10</v>
      </c>
      <c r="F5279" s="3">
        <v>10</v>
      </c>
      <c r="G5279" t="s">
        <v>513</v>
      </c>
    </row>
    <row r="5280" spans="1:7" x14ac:dyDescent="0.25">
      <c r="A5280" s="1" t="str">
        <f>"522059"</f>
        <v>522059</v>
      </c>
      <c r="B5280" s="2" t="str">
        <f>"CANTONEIRA 1 X 1/8"" INOX 304"</f>
        <v>CANTONEIRA 1 X 1/8" INOX 304</v>
      </c>
      <c r="C5280" s="2" t="str">
        <f>"BR"</f>
        <v>BR</v>
      </c>
      <c r="D5280" s="7">
        <v>807</v>
      </c>
      <c r="E5280" s="3">
        <v>10</v>
      </c>
      <c r="F5280" s="3">
        <v>10</v>
      </c>
      <c r="G5280" t="s">
        <v>512</v>
      </c>
    </row>
    <row r="5281" spans="1:7" x14ac:dyDescent="0.25">
      <c r="A5281" s="1" t="str">
        <f>"506100"</f>
        <v>506100</v>
      </c>
      <c r="B5281" s="2" t="str">
        <f>"CANTONEIRA 1""X3/16"""</f>
        <v>CANTONEIRA 1"X3/16"</v>
      </c>
      <c r="C5281" s="2" t="str">
        <f>"PC"</f>
        <v>PC</v>
      </c>
      <c r="D5281" s="7">
        <v>806</v>
      </c>
      <c r="E5281" s="3">
        <v>10</v>
      </c>
      <c r="F5281" s="3">
        <v>10</v>
      </c>
      <c r="G5281" t="s">
        <v>513</v>
      </c>
    </row>
    <row r="5282" spans="1:7" x14ac:dyDescent="0.25">
      <c r="A5282" s="1" t="str">
        <f>"523102"</f>
        <v>523102</v>
      </c>
      <c r="B5282" s="2" t="str">
        <f>"CANTONEIRA 1/2 X 1/2""X 1/8 AÇO CARBONO"</f>
        <v>CANTONEIRA 1/2 X 1/2"X 1/8 AÇO CARBONO</v>
      </c>
      <c r="C5282" s="2" t="str">
        <f>"UN"</f>
        <v>UN</v>
      </c>
      <c r="D5282" s="7">
        <v>403</v>
      </c>
      <c r="E5282" s="3">
        <v>4</v>
      </c>
      <c r="F5282" s="3">
        <v>4</v>
      </c>
      <c r="G5282" t="s">
        <v>514</v>
      </c>
    </row>
    <row r="5283" spans="1:7" x14ac:dyDescent="0.25">
      <c r="A5283" s="1" t="str">
        <f>"527263"</f>
        <v>527263</v>
      </c>
      <c r="B5283" s="2" t="str">
        <f>"CANTONEIRA 1/8""X7/8""X 6MM AÇO INOX"</f>
        <v>CANTONEIRA 1/8"X7/8"X 6MM AÇO INOX</v>
      </c>
      <c r="C5283" s="2" t="str">
        <f>"UN"</f>
        <v>UN</v>
      </c>
      <c r="D5283" s="7">
        <v>402</v>
      </c>
      <c r="E5283" s="3">
        <v>4</v>
      </c>
      <c r="F5283" s="3">
        <v>4</v>
      </c>
      <c r="G5283" t="s">
        <v>514</v>
      </c>
    </row>
    <row r="5284" spans="1:7" x14ac:dyDescent="0.25">
      <c r="A5284" s="1" t="str">
        <f>"514139"</f>
        <v>514139</v>
      </c>
      <c r="B5284" s="2" t="str">
        <f>"CANTONEIRA 1X1 CM ALUMINIO"</f>
        <v>CANTONEIRA 1X1 CM ALUMINIO</v>
      </c>
      <c r="C5284" s="2" t="str">
        <f>"PC"</f>
        <v>PC</v>
      </c>
      <c r="D5284" s="7">
        <v>806</v>
      </c>
      <c r="E5284" s="3">
        <v>10</v>
      </c>
      <c r="F5284" s="3">
        <v>10</v>
      </c>
      <c r="G5284" t="s">
        <v>514</v>
      </c>
    </row>
    <row r="5285" spans="1:7" x14ac:dyDescent="0.25">
      <c r="A5285" s="1" t="str">
        <f>"527318"</f>
        <v>527318</v>
      </c>
      <c r="B5285" s="2" t="str">
        <f>"CANTONEIRA 20 X 20 #3MM ACO CARBONO"</f>
        <v>CANTONEIRA 20 X 20 #3MM ACO CARBONO</v>
      </c>
      <c r="C5285" s="2" t="str">
        <f>"PC"</f>
        <v>PC</v>
      </c>
      <c r="D5285" s="7">
        <v>806</v>
      </c>
      <c r="E5285" s="3">
        <v>10</v>
      </c>
      <c r="F5285" s="3">
        <v>10</v>
      </c>
      <c r="G5285" t="s">
        <v>513</v>
      </c>
    </row>
    <row r="5286" spans="1:7" x14ac:dyDescent="0.25">
      <c r="A5286" s="1" t="str">
        <f>"506004"</f>
        <v>506004</v>
      </c>
      <c r="B5286" s="2" t="str">
        <f>"CANTONEIRA 3"" X 1/4"""</f>
        <v>CANTONEIRA 3" X 1/4"</v>
      </c>
      <c r="C5286" s="2" t="str">
        <f>"PC"</f>
        <v>PC</v>
      </c>
      <c r="D5286" s="7">
        <v>806</v>
      </c>
      <c r="E5286" s="3">
        <v>10</v>
      </c>
      <c r="F5286" s="3">
        <v>10</v>
      </c>
      <c r="G5286" t="s">
        <v>513</v>
      </c>
    </row>
    <row r="5287" spans="1:7" x14ac:dyDescent="0.25">
      <c r="A5287" s="1" t="str">
        <f>"526982"</f>
        <v>526982</v>
      </c>
      <c r="B5287" s="2" t="str">
        <f>"CANTONEIRA 3/8""X3/8""X 1,5MM AÇO INOX"</f>
        <v>CANTONEIRA 3/8"X3/8"X 1,5MM AÇO INOX</v>
      </c>
      <c r="C5287" s="2" t="str">
        <f>"UN"</f>
        <v>UN</v>
      </c>
      <c r="D5287" s="7">
        <v>402</v>
      </c>
      <c r="E5287" s="3">
        <v>4</v>
      </c>
      <c r="F5287" s="3">
        <v>4</v>
      </c>
      <c r="G5287" t="s">
        <v>513</v>
      </c>
    </row>
    <row r="5288" spans="1:7" x14ac:dyDescent="0.25">
      <c r="A5288" s="1" t="str">
        <f>"504060"</f>
        <v>504060</v>
      </c>
      <c r="B5288" s="2" t="str">
        <f>"CANTONEIRA 3/8""X3/8""X 1/8 AÇO CARBONO"</f>
        <v>CANTONEIRA 3/8"X3/8"X 1/8 AÇO CARBONO</v>
      </c>
      <c r="C5288" s="2" t="str">
        <f>"UN"</f>
        <v>UN</v>
      </c>
      <c r="D5288" s="7">
        <v>402</v>
      </c>
      <c r="E5288" s="3">
        <v>4</v>
      </c>
      <c r="F5288" s="3">
        <v>4</v>
      </c>
      <c r="G5288" t="s">
        <v>512</v>
      </c>
    </row>
    <row r="5289" spans="1:7" x14ac:dyDescent="0.25">
      <c r="A5289" s="1" t="str">
        <f>"515847"</f>
        <v>515847</v>
      </c>
      <c r="B5289" s="2" t="str">
        <f>"CANTONEIRA 4 FUROS REFORÇADA PERFILADO 38X38"</f>
        <v>CANTONEIRA 4 FUROS REFORÇADA PERFILADO 38X38</v>
      </c>
      <c r="C5289" s="2" t="str">
        <f>"UN"</f>
        <v>UN</v>
      </c>
      <c r="D5289" s="7">
        <v>99999</v>
      </c>
      <c r="E5289" s="3">
        <v>99</v>
      </c>
      <c r="F5289" s="3">
        <v>99</v>
      </c>
      <c r="G5289" t="s">
        <v>513</v>
      </c>
    </row>
    <row r="5290" spans="1:7" x14ac:dyDescent="0.25">
      <c r="A5290" s="1" t="str">
        <f>"517560"</f>
        <v>517560</v>
      </c>
      <c r="B5290" s="2" t="str">
        <f>"CANTONEIRA 40X140MM PRE PINTADA EXTERNA"</f>
        <v>CANTONEIRA 40X140MM PRE PINTADA EXTERNA</v>
      </c>
      <c r="C5290" s="2" t="str">
        <f>"PC"</f>
        <v>PC</v>
      </c>
      <c r="D5290" s="7">
        <v>806</v>
      </c>
      <c r="E5290" s="3">
        <v>10</v>
      </c>
      <c r="F5290" s="3">
        <v>10</v>
      </c>
      <c r="G5290" t="s">
        <v>514</v>
      </c>
    </row>
    <row r="5291" spans="1:7" x14ac:dyDescent="0.25">
      <c r="A5291" s="1" t="str">
        <f>"502324"</f>
        <v>502324</v>
      </c>
      <c r="B5291" s="2" t="str">
        <f>"CANTONEIRA 40X30X1.5X3000MM"</f>
        <v>CANTONEIRA 40X30X1.5X3000MM</v>
      </c>
      <c r="C5291" s="2" t="str">
        <f>"UN"</f>
        <v>UN</v>
      </c>
      <c r="D5291" s="7">
        <v>403</v>
      </c>
      <c r="E5291" s="3">
        <v>4</v>
      </c>
      <c r="F5291" s="3">
        <v>4</v>
      </c>
      <c r="G5291" t="s">
        <v>515</v>
      </c>
    </row>
    <row r="5292" spans="1:7" x14ac:dyDescent="0.25">
      <c r="A5292" s="1" t="str">
        <f>"527743"</f>
        <v>527743</v>
      </c>
      <c r="B5292" s="2" t="str">
        <f>"CANTONEIRA 5/8 X 1/16 (CT005)"</f>
        <v>CANTONEIRA 5/8 X 1/16 (CT005)</v>
      </c>
      <c r="C5292" s="2" t="str">
        <f>"PC"</f>
        <v>PC</v>
      </c>
      <c r="D5292" s="7">
        <v>806</v>
      </c>
      <c r="E5292" s="3">
        <v>10</v>
      </c>
      <c r="F5292" s="3">
        <v>10</v>
      </c>
      <c r="G5292" t="s">
        <v>512</v>
      </c>
    </row>
    <row r="5293" spans="1:7" x14ac:dyDescent="0.25">
      <c r="A5293" s="1" t="str">
        <f>"522919"</f>
        <v>522919</v>
      </c>
      <c r="B5293" s="2" t="str">
        <f>"CANTONEIRA 50 X 100MM PRE PINT. INT."</f>
        <v>CANTONEIRA 50 X 100MM PRE PINT. INT.</v>
      </c>
      <c r="C5293" s="2" t="str">
        <f t="shared" ref="C5293:C5306" si="207">"UN"</f>
        <v>UN</v>
      </c>
      <c r="D5293" s="7">
        <v>803</v>
      </c>
      <c r="E5293" s="3">
        <v>10</v>
      </c>
      <c r="F5293" s="3">
        <v>10</v>
      </c>
      <c r="G5293" t="s">
        <v>516</v>
      </c>
    </row>
    <row r="5294" spans="1:7" x14ac:dyDescent="0.25">
      <c r="A5294" s="1" t="str">
        <f>"512412"</f>
        <v>512412</v>
      </c>
      <c r="B5294" s="2" t="str">
        <f>"CANTONEIRA 50X150 BRANCO EXTERNA"</f>
        <v>CANTONEIRA 50X150 BRANCO EXTERNA</v>
      </c>
      <c r="C5294" s="2" t="str">
        <f t="shared" si="207"/>
        <v>UN</v>
      </c>
      <c r="D5294" s="7">
        <v>803</v>
      </c>
      <c r="E5294" s="3">
        <v>10</v>
      </c>
      <c r="F5294" s="3">
        <v>10</v>
      </c>
      <c r="G5294" t="s">
        <v>515</v>
      </c>
    </row>
    <row r="5295" spans="1:7" x14ac:dyDescent="0.25">
      <c r="A5295" s="1" t="str">
        <f>"510063"</f>
        <v>510063</v>
      </c>
      <c r="B5295" s="2" t="str">
        <f>"CANTONEIRA 50X150MM PRE PINTADA EXTERNA"</f>
        <v>CANTONEIRA 50X150MM PRE PINTADA EXTERNA</v>
      </c>
      <c r="C5295" s="2" t="str">
        <f t="shared" si="207"/>
        <v>UN</v>
      </c>
      <c r="D5295" s="7">
        <v>803</v>
      </c>
      <c r="E5295" s="3">
        <v>10</v>
      </c>
      <c r="F5295" s="3">
        <v>10</v>
      </c>
      <c r="G5295" t="s">
        <v>514</v>
      </c>
    </row>
    <row r="5296" spans="1:7" x14ac:dyDescent="0.25">
      <c r="A5296" s="1" t="str">
        <f>"510061"</f>
        <v>510061</v>
      </c>
      <c r="B5296" s="2" t="str">
        <f>"CANTONEIRA 50X50MM BRANCO INTERNO"</f>
        <v>CANTONEIRA 50X50MM BRANCO INTERNO</v>
      </c>
      <c r="C5296" s="2" t="str">
        <f t="shared" si="207"/>
        <v>UN</v>
      </c>
      <c r="D5296" s="7">
        <v>803</v>
      </c>
      <c r="E5296" s="3">
        <v>10</v>
      </c>
      <c r="F5296" s="3">
        <v>10</v>
      </c>
      <c r="G5296" t="s">
        <v>512</v>
      </c>
    </row>
    <row r="5297" spans="1:7" x14ac:dyDescent="0.25">
      <c r="A5297" s="1" t="str">
        <f>"510062"</f>
        <v>510062</v>
      </c>
      <c r="B5297" s="2" t="str">
        <f>"CANTONEIRA 50X50MM PRE PINTADA EXTERNA"</f>
        <v>CANTONEIRA 50X50MM PRE PINTADA EXTERNA</v>
      </c>
      <c r="C5297" s="2" t="str">
        <f t="shared" si="207"/>
        <v>UN</v>
      </c>
      <c r="D5297" s="7">
        <v>803</v>
      </c>
      <c r="E5297" s="3">
        <v>10</v>
      </c>
      <c r="F5297" s="3">
        <v>10</v>
      </c>
      <c r="G5297" t="s">
        <v>513</v>
      </c>
    </row>
    <row r="5298" spans="1:7" x14ac:dyDescent="0.25">
      <c r="A5298" s="1" t="str">
        <f>"518016"</f>
        <v>518016</v>
      </c>
      <c r="B5298" s="2" t="str">
        <f>"CANTONEIRA 50X50MM PRE-PINT INT"</f>
        <v>CANTONEIRA 50X50MM PRE-PINT INT</v>
      </c>
      <c r="C5298" s="2" t="str">
        <f t="shared" si="207"/>
        <v>UN</v>
      </c>
      <c r="D5298" s="7">
        <v>1700</v>
      </c>
      <c r="E5298" s="3">
        <v>10</v>
      </c>
      <c r="F5298" s="3">
        <v>10</v>
      </c>
      <c r="G5298" t="s">
        <v>514</v>
      </c>
    </row>
    <row r="5299" spans="1:7" x14ac:dyDescent="0.25">
      <c r="A5299" s="1" t="str">
        <f>"524234"</f>
        <v>524234</v>
      </c>
      <c r="B5299" s="2" t="str">
        <f>"CANTONEIRA ACAB. ACO INOX  6000X1X3/16"</f>
        <v>CANTONEIRA ACAB. ACO INOX  6000X1X3/16</v>
      </c>
      <c r="C5299" s="2" t="str">
        <f t="shared" si="207"/>
        <v>UN</v>
      </c>
      <c r="D5299" s="7">
        <v>917</v>
      </c>
      <c r="E5299" s="3">
        <v>4</v>
      </c>
      <c r="F5299" s="3">
        <v>4</v>
      </c>
      <c r="G5299" t="s">
        <v>514</v>
      </c>
    </row>
    <row r="5300" spans="1:7" x14ac:dyDescent="0.25">
      <c r="A5300" s="1" t="str">
        <f>"524966"</f>
        <v>524966</v>
      </c>
      <c r="B5300" s="2" t="str">
        <f>"CANTONEIRA ACABAMENTO INTERNA"</f>
        <v>CANTONEIRA ACABAMENTO INTERNA</v>
      </c>
      <c r="C5300" s="2" t="str">
        <f t="shared" si="207"/>
        <v>UN</v>
      </c>
      <c r="D5300" s="7">
        <v>917</v>
      </c>
      <c r="E5300" s="3">
        <v>4</v>
      </c>
      <c r="F5300" s="3">
        <v>4</v>
      </c>
      <c r="G5300" t="s">
        <v>512</v>
      </c>
    </row>
    <row r="5301" spans="1:7" x14ac:dyDescent="0.25">
      <c r="A5301" s="1" t="str">
        <f>"524965"</f>
        <v>524965</v>
      </c>
      <c r="B5301" s="2" t="str">
        <f>"CANTONEIRA ACABAMENTO MEIA CANA PVC 6MT"</f>
        <v>CANTONEIRA ACABAMENTO MEIA CANA PVC 6MT</v>
      </c>
      <c r="C5301" s="2" t="str">
        <f t="shared" si="207"/>
        <v>UN</v>
      </c>
      <c r="D5301" s="7">
        <v>917</v>
      </c>
      <c r="E5301" s="3">
        <v>4</v>
      </c>
      <c r="F5301" s="3">
        <v>4</v>
      </c>
      <c r="G5301" t="s">
        <v>513</v>
      </c>
    </row>
    <row r="5302" spans="1:7" x14ac:dyDescent="0.25">
      <c r="A5302" s="1" t="str">
        <f>"520220"</f>
        <v>520220</v>
      </c>
      <c r="B5302" s="2" t="str">
        <f>"CANTONEIRA ACO  CARBONO 1 1/2"" X 1 1/2"" X 1/8"</f>
        <v>CANTONEIRA ACO  CARBONO 1 1/2" X 1 1/2" X 1/8</v>
      </c>
      <c r="C5302" s="2" t="str">
        <f t="shared" si="207"/>
        <v>UN</v>
      </c>
      <c r="D5302" s="7">
        <v>1700</v>
      </c>
      <c r="E5302" s="3">
        <v>10</v>
      </c>
      <c r="F5302" s="3">
        <v>10</v>
      </c>
      <c r="G5302" t="s">
        <v>514</v>
      </c>
    </row>
    <row r="5303" spans="1:7" x14ac:dyDescent="0.25">
      <c r="A5303" s="1" t="str">
        <f>"503759"</f>
        <v>503759</v>
      </c>
      <c r="B5303" s="2" t="str">
        <f>"CANTONEIRA ACO CARBONO 1 1/2"" #1/4"""</f>
        <v>CANTONEIRA ACO CARBONO 1 1/2" #1/4"</v>
      </c>
      <c r="C5303" s="2" t="str">
        <f t="shared" si="207"/>
        <v>UN</v>
      </c>
      <c r="D5303" s="7">
        <v>403</v>
      </c>
      <c r="E5303" s="3">
        <v>4</v>
      </c>
      <c r="F5303" s="3">
        <v>4</v>
      </c>
      <c r="G5303" t="s">
        <v>514</v>
      </c>
    </row>
    <row r="5304" spans="1:7" x14ac:dyDescent="0.25">
      <c r="A5304" s="1" t="str">
        <f>"502235"</f>
        <v>502235</v>
      </c>
      <c r="B5304" s="2" t="str">
        <f>"CANTONEIRA AÇO CARBONO 1 1/4 X 1 1/4 #5MM"</f>
        <v>CANTONEIRA AÇO CARBONO 1 1/4 X 1 1/4 #5MM</v>
      </c>
      <c r="C5304" s="2" t="str">
        <f t="shared" si="207"/>
        <v>UN</v>
      </c>
      <c r="D5304" s="7">
        <v>403</v>
      </c>
      <c r="E5304" s="3">
        <v>4</v>
      </c>
      <c r="F5304" s="3">
        <v>4</v>
      </c>
      <c r="G5304" t="s">
        <v>514</v>
      </c>
    </row>
    <row r="5305" spans="1:7" x14ac:dyDescent="0.25">
      <c r="A5305" s="1" t="str">
        <f>"524991"</f>
        <v>524991</v>
      </c>
      <c r="B5305" s="2" t="str">
        <f>"CANTONEIRA AÇO CARBONO 1 X 1 X 1/4"</f>
        <v>CANTONEIRA AÇO CARBONO 1 X 1 X 1/4</v>
      </c>
      <c r="C5305" s="2" t="str">
        <f t="shared" si="207"/>
        <v>UN</v>
      </c>
      <c r="D5305" s="7">
        <v>99999</v>
      </c>
      <c r="E5305" s="3">
        <v>99</v>
      </c>
      <c r="F5305" s="3">
        <v>99</v>
      </c>
      <c r="G5305" t="s">
        <v>513</v>
      </c>
    </row>
    <row r="5306" spans="1:7" x14ac:dyDescent="0.25">
      <c r="A5306" s="1" t="str">
        <f>"509388"</f>
        <v>509388</v>
      </c>
      <c r="B5306" s="2" t="str">
        <f>"CANTONEIRA AÇO CARBONO 1 X 1 X 1/8"""</f>
        <v>CANTONEIRA AÇO CARBONO 1 X 1 X 1/8"</v>
      </c>
      <c r="C5306" s="2" t="str">
        <f t="shared" si="207"/>
        <v>UN</v>
      </c>
      <c r="D5306" s="7">
        <v>917</v>
      </c>
      <c r="E5306" s="3">
        <v>11</v>
      </c>
      <c r="F5306" s="3">
        <v>11</v>
      </c>
      <c r="G5306" t="s">
        <v>512</v>
      </c>
    </row>
    <row r="5307" spans="1:7" x14ac:dyDescent="0.25">
      <c r="A5307" s="1" t="str">
        <f>"506099"</f>
        <v>506099</v>
      </c>
      <c r="B5307" s="2" t="str">
        <f>"CANTONEIRA AÇO CARBONO 2 X 2 X 1/4"""</f>
        <v>CANTONEIRA AÇO CARBONO 2 X 2 X 1/4"</v>
      </c>
      <c r="C5307" s="2" t="str">
        <f>"PC"</f>
        <v>PC</v>
      </c>
      <c r="D5307" s="7">
        <v>806</v>
      </c>
      <c r="E5307" s="3">
        <v>10</v>
      </c>
      <c r="F5307" s="3">
        <v>10</v>
      </c>
      <c r="G5307" t="s">
        <v>513</v>
      </c>
    </row>
    <row r="5308" spans="1:7" x14ac:dyDescent="0.25">
      <c r="A5308" s="1" t="str">
        <f>"509764"</f>
        <v>509764</v>
      </c>
      <c r="B5308" s="2" t="str">
        <f>"CANTONEIRA AÇO CARBONO 2 X 2 X 3/16"""</f>
        <v>CANTONEIRA AÇO CARBONO 2 X 2 X 3/16"</v>
      </c>
      <c r="C5308" s="2" t="str">
        <f>"UN"</f>
        <v>UN</v>
      </c>
      <c r="D5308" s="7">
        <v>403</v>
      </c>
      <c r="E5308" s="3">
        <v>4</v>
      </c>
      <c r="F5308" s="3">
        <v>4</v>
      </c>
      <c r="G5308" t="s">
        <v>514</v>
      </c>
    </row>
    <row r="5309" spans="1:7" x14ac:dyDescent="0.25">
      <c r="A5309" s="1" t="str">
        <f>"511861"</f>
        <v>511861</v>
      </c>
      <c r="B5309" s="2" t="str">
        <f>"CANTONEIRA AÇO CARBONO 2"" X 2"" #3MM"</f>
        <v>CANTONEIRA AÇO CARBONO 2" X 2" #3MM</v>
      </c>
      <c r="C5309" s="2" t="str">
        <f>"PC"</f>
        <v>PC</v>
      </c>
      <c r="D5309" s="7">
        <v>806</v>
      </c>
      <c r="E5309" s="3">
        <v>10</v>
      </c>
      <c r="F5309" s="3">
        <v>10</v>
      </c>
      <c r="G5309" t="s">
        <v>514</v>
      </c>
    </row>
    <row r="5310" spans="1:7" x14ac:dyDescent="0.25">
      <c r="A5310" s="1" t="str">
        <f>"524920"</f>
        <v>524920</v>
      </c>
      <c r="B5310" s="2" t="str">
        <f>"CANTONEIRA AÇO CARBONO 3/16 X 1"""</f>
        <v>CANTONEIRA AÇO CARBONO 3/16 X 1"</v>
      </c>
      <c r="C5310" s="2" t="str">
        <f>"UN"</f>
        <v>UN</v>
      </c>
      <c r="D5310" s="7">
        <v>807</v>
      </c>
      <c r="E5310" s="3">
        <v>10</v>
      </c>
      <c r="F5310" s="3">
        <v>10</v>
      </c>
      <c r="G5310" t="s">
        <v>514</v>
      </c>
    </row>
    <row r="5311" spans="1:7" x14ac:dyDescent="0.25">
      <c r="A5311" s="1" t="str">
        <f>"527168"</f>
        <v>527168</v>
      </c>
      <c r="B5311" s="2" t="str">
        <f>"CANTONEIRA AÇO CARBONO 3/16 X3"" ABAS IGUAIS"</f>
        <v>CANTONEIRA AÇO CARBONO 3/16 X3" ABAS IGUAIS</v>
      </c>
      <c r="C5311" s="2" t="str">
        <f>"UN"</f>
        <v>UN</v>
      </c>
      <c r="D5311" s="7">
        <v>807</v>
      </c>
      <c r="E5311" s="3">
        <v>10</v>
      </c>
      <c r="F5311" s="3">
        <v>10</v>
      </c>
      <c r="G5311" t="s">
        <v>513</v>
      </c>
    </row>
    <row r="5312" spans="1:7" x14ac:dyDescent="0.25">
      <c r="A5312" s="1" t="str">
        <f>"505782"</f>
        <v>505782</v>
      </c>
      <c r="B5312" s="2" t="str">
        <f>"CANTONEIRA ACO CARBONO 3/4 X 3/4 X 1/8"""</f>
        <v>CANTONEIRA ACO CARBONO 3/4 X 3/4 X 1/8"</v>
      </c>
      <c r="C5312" s="2" t="str">
        <f>"PC"</f>
        <v>PC</v>
      </c>
      <c r="D5312" s="7">
        <v>806</v>
      </c>
      <c r="E5312" s="3">
        <v>10</v>
      </c>
      <c r="F5312" s="3">
        <v>10</v>
      </c>
      <c r="G5312" t="s">
        <v>513</v>
      </c>
    </row>
    <row r="5313" spans="1:7" x14ac:dyDescent="0.25">
      <c r="A5313" s="1" t="str">
        <f>"524665"</f>
        <v>524665</v>
      </c>
      <c r="B5313" s="2" t="str">
        <f>"CANTONEIRA AÇO CARBONO 5/8 X 1/8 GG"</f>
        <v>CANTONEIRA AÇO CARBONO 5/8 X 1/8 GG</v>
      </c>
      <c r="C5313" s="2" t="str">
        <f t="shared" ref="C5313:C5319" si="208">"UN"</f>
        <v>UN</v>
      </c>
      <c r="D5313" s="7">
        <v>807</v>
      </c>
      <c r="E5313" s="3">
        <v>99</v>
      </c>
      <c r="F5313" s="3">
        <v>99</v>
      </c>
      <c r="G5313" t="s">
        <v>513</v>
      </c>
    </row>
    <row r="5314" spans="1:7" x14ac:dyDescent="0.25">
      <c r="A5314" s="1" t="str">
        <f>"517161"</f>
        <v>517161</v>
      </c>
      <c r="B5314" s="2" t="str">
        <f>"CANTONEIRA AÇO INOX 1 1/2"" 1 1/2  X 1/8"</f>
        <v>CANTONEIRA AÇO INOX 1 1/2" 1 1/2  X 1/8</v>
      </c>
      <c r="C5314" s="2" t="str">
        <f t="shared" si="208"/>
        <v>UN</v>
      </c>
      <c r="D5314" s="7">
        <v>816</v>
      </c>
      <c r="E5314" s="3">
        <v>10</v>
      </c>
      <c r="F5314" s="3">
        <v>10</v>
      </c>
      <c r="G5314" t="s">
        <v>512</v>
      </c>
    </row>
    <row r="5315" spans="1:7" x14ac:dyDescent="0.25">
      <c r="A5315" s="1" t="str">
        <f>"507415"</f>
        <v>507415</v>
      </c>
      <c r="B5315" s="2" t="str">
        <f>"CANTONEIRA AÇO INOX 1 1/2"" X 1 1/ #3/16"</f>
        <v>CANTONEIRA AÇO INOX 1 1/2" X 1 1/ #3/16</v>
      </c>
      <c r="C5315" s="2" t="str">
        <f t="shared" si="208"/>
        <v>UN</v>
      </c>
      <c r="D5315" s="7">
        <v>1700</v>
      </c>
      <c r="E5315" s="3">
        <v>10</v>
      </c>
      <c r="F5315" s="3">
        <v>10</v>
      </c>
      <c r="G5315" t="s">
        <v>513</v>
      </c>
    </row>
    <row r="5316" spans="1:7" x14ac:dyDescent="0.25">
      <c r="A5316" s="1" t="str">
        <f>"527191"</f>
        <v>527191</v>
      </c>
      <c r="B5316" s="2" t="str">
        <f>"CANTONEIRA AÇO INOX 1 1/2"" X 1 1/2  #3/16"</f>
        <v>CANTONEIRA AÇO INOX 1 1/2" X 1 1/2  #3/16</v>
      </c>
      <c r="C5316" s="2" t="str">
        <f t="shared" si="208"/>
        <v>UN</v>
      </c>
      <c r="D5316" s="7">
        <v>1700</v>
      </c>
      <c r="E5316" s="3">
        <v>10</v>
      </c>
      <c r="F5316" s="3">
        <v>10</v>
      </c>
      <c r="G5316" t="s">
        <v>514</v>
      </c>
    </row>
    <row r="5317" spans="1:7" x14ac:dyDescent="0.25">
      <c r="A5317" s="1" t="str">
        <f>"516012"</f>
        <v>516012</v>
      </c>
      <c r="B5317" s="2" t="str">
        <f>"CANTONEIRA AÇO INOX 1 1/4 X 1 1/4 X 1/8"</f>
        <v>CANTONEIRA AÇO INOX 1 1/4 X 1 1/4 X 1/8</v>
      </c>
      <c r="C5317" s="2" t="str">
        <f t="shared" si="208"/>
        <v>UN</v>
      </c>
      <c r="D5317" s="7">
        <v>917</v>
      </c>
      <c r="E5317" s="3">
        <v>10</v>
      </c>
      <c r="F5317" s="3">
        <v>10</v>
      </c>
      <c r="G5317" t="s">
        <v>515</v>
      </c>
    </row>
    <row r="5318" spans="1:7" x14ac:dyDescent="0.25">
      <c r="A5318" s="1" t="str">
        <f>"524944"</f>
        <v>524944</v>
      </c>
      <c r="B5318" s="2" t="str">
        <f>"CANTONEIRA AÇO INOX 1 1/4 X 1 1/4 X 3/16"</f>
        <v>CANTONEIRA AÇO INOX 1 1/4 X 1 1/4 X 3/16</v>
      </c>
      <c r="C5318" s="2" t="str">
        <f t="shared" si="208"/>
        <v>UN</v>
      </c>
      <c r="D5318" s="7">
        <v>917</v>
      </c>
      <c r="E5318" s="3">
        <v>10</v>
      </c>
      <c r="F5318" s="3">
        <v>10</v>
      </c>
      <c r="G5318" t="s">
        <v>512</v>
      </c>
    </row>
    <row r="5319" spans="1:7" x14ac:dyDescent="0.25">
      <c r="A5319" s="1" t="str">
        <f>"509020"</f>
        <v>509020</v>
      </c>
      <c r="B5319" s="2" t="str">
        <f>"CANTONEIRA AÇO INOX 1 X 1 X 1/4"</f>
        <v>CANTONEIRA AÇO INOX 1 X 1 X 1/4</v>
      </c>
      <c r="C5319" s="2" t="str">
        <f t="shared" si="208"/>
        <v>UN</v>
      </c>
      <c r="D5319" s="7">
        <v>917</v>
      </c>
      <c r="E5319" s="3">
        <v>11</v>
      </c>
      <c r="F5319" s="3">
        <v>11</v>
      </c>
      <c r="G5319" t="s">
        <v>516</v>
      </c>
    </row>
    <row r="5320" spans="1:7" x14ac:dyDescent="0.25">
      <c r="A5320" s="1" t="str">
        <f>"515984"</f>
        <v>515984</v>
      </c>
      <c r="B5320" s="2" t="str">
        <f>"CANTONEIRA AÇO INOX 1 X 1 X 1/8"""</f>
        <v>CANTONEIRA AÇO INOX 1 X 1 X 1/8"</v>
      </c>
      <c r="C5320" s="2" t="str">
        <f>"BR"</f>
        <v>BR</v>
      </c>
      <c r="D5320" s="7">
        <v>99999</v>
      </c>
      <c r="E5320" s="3">
        <v>99</v>
      </c>
      <c r="F5320" s="3">
        <v>99</v>
      </c>
      <c r="G5320" t="s">
        <v>515</v>
      </c>
    </row>
    <row r="5321" spans="1:7" x14ac:dyDescent="0.25">
      <c r="A5321" s="1" t="str">
        <f>"507414"</f>
        <v>507414</v>
      </c>
      <c r="B5321" s="2" t="str">
        <f>"CANTONEIRA AÇO INOX 1 X 1 X 3/16"""</f>
        <v>CANTONEIRA AÇO INOX 1 X 1 X 3/16"</v>
      </c>
      <c r="C5321" s="2" t="str">
        <f>"BR"</f>
        <v>BR</v>
      </c>
      <c r="D5321" s="7">
        <v>99999</v>
      </c>
      <c r="E5321" s="3">
        <v>99</v>
      </c>
      <c r="F5321" s="3">
        <v>99</v>
      </c>
      <c r="G5321" t="s">
        <v>514</v>
      </c>
    </row>
    <row r="5322" spans="1:7" x14ac:dyDescent="0.25">
      <c r="A5322" s="1" t="str">
        <f>"515983"</f>
        <v>515983</v>
      </c>
      <c r="B5322" s="2" t="str">
        <f>"CANTONEIRA AÇO INOX 2 X 2 X 1/8"""</f>
        <v>CANTONEIRA AÇO INOX 2 X 2 X 1/8"</v>
      </c>
      <c r="C5322" s="2" t="str">
        <f>"BR"</f>
        <v>BR</v>
      </c>
      <c r="D5322" s="7">
        <v>99999</v>
      </c>
      <c r="E5322" s="3">
        <v>99</v>
      </c>
      <c r="F5322" s="3">
        <v>99</v>
      </c>
      <c r="G5322" t="s">
        <v>512</v>
      </c>
    </row>
    <row r="5323" spans="1:7" x14ac:dyDescent="0.25">
      <c r="A5323" s="1" t="str">
        <f>"522338"</f>
        <v>522338</v>
      </c>
      <c r="B5323" s="2" t="str">
        <f>"CANTONEIRA AÇO INOX 2 X 2 X 3/16"""</f>
        <v>CANTONEIRA AÇO INOX 2 X 2 X 3/16"</v>
      </c>
      <c r="C5323" s="2" t="str">
        <f>"BR"</f>
        <v>BR</v>
      </c>
      <c r="D5323" s="7">
        <v>99999</v>
      </c>
      <c r="E5323" s="3">
        <v>99</v>
      </c>
      <c r="F5323" s="3">
        <v>99</v>
      </c>
      <c r="G5323" t="s">
        <v>513</v>
      </c>
    </row>
    <row r="5324" spans="1:7" x14ac:dyDescent="0.25">
      <c r="A5324" s="1" t="str">
        <f>"509007"</f>
        <v>509007</v>
      </c>
      <c r="B5324" s="2" t="str">
        <f>"CANTONEIRA AÇO INOX 3/4 X 3/4 X 1/8"""</f>
        <v>CANTONEIRA AÇO INOX 3/4 X 3/4 X 1/8"</v>
      </c>
      <c r="C5324" s="2" t="str">
        <f>"UN"</f>
        <v>UN</v>
      </c>
      <c r="D5324" s="7">
        <v>917</v>
      </c>
      <c r="E5324" s="3">
        <v>10</v>
      </c>
      <c r="F5324" s="3">
        <v>10</v>
      </c>
      <c r="G5324" t="s">
        <v>514</v>
      </c>
    </row>
    <row r="5325" spans="1:7" x14ac:dyDescent="0.25">
      <c r="A5325" s="1" t="str">
        <f>"511816"</f>
        <v>511816</v>
      </c>
      <c r="B5325" s="2" t="str">
        <f>"CANTONEIRA ALUMINIO 1 X 1 X 1/8"""</f>
        <v>CANTONEIRA ALUMINIO 1 X 1 X 1/8"</v>
      </c>
      <c r="C5325" s="2" t="str">
        <f>"PC"</f>
        <v>PC</v>
      </c>
      <c r="D5325" s="7">
        <v>806</v>
      </c>
      <c r="E5325" s="3">
        <v>10</v>
      </c>
      <c r="F5325" s="3">
        <v>10</v>
      </c>
      <c r="G5325" t="s">
        <v>514</v>
      </c>
    </row>
    <row r="5326" spans="1:7" x14ac:dyDescent="0.25">
      <c r="A5326" s="1" t="str">
        <f>"516110"</f>
        <v>516110</v>
      </c>
      <c r="B5326" s="2" t="str">
        <f>"CANTONEIRA ALUMINIO 3 x 3/16 - 6063-T5"</f>
        <v>CANTONEIRA ALUMINIO 3 x 3/16 - 6063-T5</v>
      </c>
      <c r="C5326" s="2" t="str">
        <f>"UN"</f>
        <v>UN</v>
      </c>
      <c r="D5326" s="7">
        <v>812</v>
      </c>
      <c r="E5326" s="3">
        <v>10</v>
      </c>
      <c r="F5326" s="3">
        <v>10</v>
      </c>
      <c r="G5326" t="s">
        <v>512</v>
      </c>
    </row>
    <row r="5327" spans="1:7" x14ac:dyDescent="0.25">
      <c r="A5327" s="1" t="str">
        <f>"525037"</f>
        <v>525037</v>
      </c>
      <c r="B5327" s="2" t="str">
        <f>"CANTONEIRA ALUMINIO 3/4X3/4 X 1/16"</f>
        <v>CANTONEIRA ALUMINIO 3/4X3/4 X 1/16</v>
      </c>
      <c r="C5327" s="2" t="str">
        <f>"BR"</f>
        <v>BR</v>
      </c>
      <c r="D5327" s="7">
        <v>807</v>
      </c>
      <c r="E5327" s="3">
        <v>10</v>
      </c>
      <c r="F5327" s="3">
        <v>10</v>
      </c>
      <c r="G5327" t="s">
        <v>513</v>
      </c>
    </row>
    <row r="5328" spans="1:7" x14ac:dyDescent="0.25">
      <c r="A5328" s="1" t="str">
        <f>"524594"</f>
        <v>524594</v>
      </c>
      <c r="B5328" s="2" t="str">
        <f>"CANTONEIRA BRONZE 5/8X1/16 - 6MT"</f>
        <v>CANTONEIRA BRONZE 5/8X1/16 - 6MT</v>
      </c>
      <c r="C5328" s="2" t="str">
        <f>"UN"</f>
        <v>UN</v>
      </c>
      <c r="D5328" s="7">
        <v>917</v>
      </c>
      <c r="E5328" s="3">
        <v>10</v>
      </c>
      <c r="F5328" s="3">
        <v>10</v>
      </c>
      <c r="G5328" t="s">
        <v>514</v>
      </c>
    </row>
    <row r="5329" spans="1:7" x14ac:dyDescent="0.25">
      <c r="A5329" s="1" t="str">
        <f>"502133"</f>
        <v>502133</v>
      </c>
      <c r="B5329" s="2" t="str">
        <f>"CANTONEIRA DE 2X2X3/16"""</f>
        <v>CANTONEIRA DE 2X2X3/16"</v>
      </c>
      <c r="C5329" s="2" t="str">
        <f>"UN"</f>
        <v>UN</v>
      </c>
      <c r="D5329" s="7">
        <v>403</v>
      </c>
      <c r="E5329" s="3">
        <v>4</v>
      </c>
      <c r="F5329" s="3">
        <v>4</v>
      </c>
      <c r="G5329" t="s">
        <v>514</v>
      </c>
    </row>
    <row r="5330" spans="1:7" x14ac:dyDescent="0.25">
      <c r="A5330" s="1" t="str">
        <f>"508129"</f>
        <v>508129</v>
      </c>
      <c r="B5330" s="2" t="str">
        <f>"CANTONEIRA DE AÇO CARBONO 4X4X5/16"</f>
        <v>CANTONEIRA DE AÇO CARBONO 4X4X5/16</v>
      </c>
      <c r="C5330" s="2" t="str">
        <f>"PC"</f>
        <v>PC</v>
      </c>
      <c r="D5330" s="7">
        <v>806</v>
      </c>
      <c r="E5330" s="3">
        <v>10</v>
      </c>
      <c r="F5330" s="3">
        <v>10</v>
      </c>
      <c r="G5330" t="s">
        <v>514</v>
      </c>
    </row>
    <row r="5331" spans="1:7" x14ac:dyDescent="0.25">
      <c r="A5331" s="1" t="str">
        <f>"507833"</f>
        <v>507833</v>
      </c>
      <c r="B5331" s="2" t="str">
        <f>"CANTONEIRA DE ACO CARBONO DE 1 1/2 X 1/4"</f>
        <v>CANTONEIRA DE ACO CARBONO DE 1 1/2 X 1/4</v>
      </c>
      <c r="C5331" s="2" t="str">
        <f>"UN"</f>
        <v>UN</v>
      </c>
      <c r="D5331" s="7">
        <v>402</v>
      </c>
      <c r="E5331" s="3">
        <v>4</v>
      </c>
      <c r="F5331" s="3">
        <v>4</v>
      </c>
      <c r="G5331" t="s">
        <v>513</v>
      </c>
    </row>
    <row r="5332" spans="1:7" x14ac:dyDescent="0.25">
      <c r="A5332" s="1" t="str">
        <f>"512751"</f>
        <v>512751</v>
      </c>
      <c r="B5332" s="2" t="str">
        <f>"CANTONEIRA DE ACO CARBONO DE 1 1/2 X 3/16"""</f>
        <v>CANTONEIRA DE ACO CARBONO DE 1 1/2 X 3/16"</v>
      </c>
      <c r="C5332" s="2" t="str">
        <f>"UN"</f>
        <v>UN</v>
      </c>
      <c r="D5332" s="7">
        <v>1700</v>
      </c>
      <c r="E5332" s="3">
        <v>10</v>
      </c>
      <c r="F5332" s="3">
        <v>10</v>
      </c>
      <c r="G5332" t="s">
        <v>512</v>
      </c>
    </row>
    <row r="5333" spans="1:7" x14ac:dyDescent="0.25">
      <c r="A5333" s="1" t="str">
        <f>"517195"</f>
        <v>517195</v>
      </c>
      <c r="B5333" s="2" t="str">
        <f>"CANTONEIRA DE ACO CARBONO DE 1 1/4 X 1/8"""</f>
        <v>CANTONEIRA DE ACO CARBONO DE 1 1/4 X 1/8"</v>
      </c>
      <c r="C5333" s="2" t="str">
        <f>"UN"</f>
        <v>UN</v>
      </c>
      <c r="D5333" s="7">
        <v>1700</v>
      </c>
      <c r="E5333" s="3">
        <v>10</v>
      </c>
      <c r="F5333" s="3">
        <v>10</v>
      </c>
      <c r="G5333" t="s">
        <v>513</v>
      </c>
    </row>
    <row r="5334" spans="1:7" x14ac:dyDescent="0.25">
      <c r="A5334" s="1" t="str">
        <f>"513009"</f>
        <v>513009</v>
      </c>
      <c r="B5334" s="2" t="str">
        <f>"CANTONEIRA DE ACO CARBONO DE 1 1/4 X 3/16"""</f>
        <v>CANTONEIRA DE ACO CARBONO DE 1 1/4 X 3/16"</v>
      </c>
      <c r="C5334" s="2" t="str">
        <f>"UN"</f>
        <v>UN</v>
      </c>
      <c r="D5334" s="7">
        <v>1700</v>
      </c>
      <c r="E5334" s="3">
        <v>10</v>
      </c>
      <c r="F5334" s="3">
        <v>10</v>
      </c>
      <c r="G5334" t="s">
        <v>514</v>
      </c>
    </row>
    <row r="5335" spans="1:7" x14ac:dyDescent="0.25">
      <c r="A5335" s="1" t="str">
        <f>"510698"</f>
        <v>510698</v>
      </c>
      <c r="B5335" s="2" t="str">
        <f>"CANTONEIRA DE AÇO CARBONO DE 1 X 1 X 1/8"""</f>
        <v>CANTONEIRA DE AÇO CARBONO DE 1 X 1 X 1/8"</v>
      </c>
      <c r="C5335" s="2" t="str">
        <f>"PC"</f>
        <v>PC</v>
      </c>
      <c r="D5335" s="7">
        <v>806</v>
      </c>
      <c r="E5335" s="3">
        <v>10</v>
      </c>
      <c r="F5335" s="3">
        <v>10</v>
      </c>
      <c r="G5335" t="s">
        <v>514</v>
      </c>
    </row>
    <row r="5336" spans="1:7" x14ac:dyDescent="0.25">
      <c r="A5336" s="1" t="str">
        <f>"513436"</f>
        <v>513436</v>
      </c>
      <c r="B5336" s="2" t="str">
        <f>"CANTONEIRA DE ACO CARBONO DE 1 X 1/8"""</f>
        <v>CANTONEIRA DE ACO CARBONO DE 1 X 1/8"</v>
      </c>
      <c r="C5336" s="2" t="str">
        <f>"UN"</f>
        <v>UN</v>
      </c>
      <c r="D5336" s="7">
        <v>1700</v>
      </c>
      <c r="E5336" s="3">
        <v>10</v>
      </c>
      <c r="F5336" s="3">
        <v>10</v>
      </c>
      <c r="G5336" t="s">
        <v>514</v>
      </c>
    </row>
    <row r="5337" spans="1:7" x14ac:dyDescent="0.25">
      <c r="A5337" s="1" t="str">
        <f>"514881"</f>
        <v>514881</v>
      </c>
      <c r="B5337" s="2" t="str">
        <f>"CANTONEIRA DE ACO CARBONO DE 1 X 1/8"""</f>
        <v>CANTONEIRA DE ACO CARBONO DE 1 X 1/8"</v>
      </c>
      <c r="C5337" s="2" t="str">
        <f>"BR"</f>
        <v>BR</v>
      </c>
      <c r="D5337" s="7">
        <v>806</v>
      </c>
      <c r="E5337" s="3">
        <v>10</v>
      </c>
      <c r="F5337" s="3">
        <v>10</v>
      </c>
      <c r="G5337" t="s">
        <v>513</v>
      </c>
    </row>
    <row r="5338" spans="1:7" x14ac:dyDescent="0.25">
      <c r="A5338" s="1" t="str">
        <f>"517734"</f>
        <v>517734</v>
      </c>
      <c r="B5338" s="2" t="str">
        <f>"CANTONEIRA DE ACO CARBONO DE 2 1/2 X 1/4"</f>
        <v>CANTONEIRA DE ACO CARBONO DE 2 1/2 X 1/4</v>
      </c>
      <c r="C5338" s="2" t="str">
        <f>"UN"</f>
        <v>UN</v>
      </c>
      <c r="D5338" s="7">
        <v>1700</v>
      </c>
      <c r="E5338" s="3">
        <v>10</v>
      </c>
      <c r="F5338" s="3">
        <v>10</v>
      </c>
      <c r="G5338" t="s">
        <v>513</v>
      </c>
    </row>
    <row r="5339" spans="1:7" x14ac:dyDescent="0.25">
      <c r="A5339" s="1" t="str">
        <f>"518066"</f>
        <v>518066</v>
      </c>
      <c r="B5339" s="2" t="str">
        <f>"CANTONEIRA DE ACO CARBONO DE 2 1/2 X 5/16"""</f>
        <v>CANTONEIRA DE ACO CARBONO DE 2 1/2 X 5/16"</v>
      </c>
      <c r="C5339" s="2" t="str">
        <f>"UN"</f>
        <v>UN</v>
      </c>
      <c r="D5339" s="7">
        <v>1700</v>
      </c>
      <c r="E5339" s="3">
        <v>4</v>
      </c>
      <c r="F5339" s="3">
        <v>4</v>
      </c>
      <c r="G5339" t="s">
        <v>513</v>
      </c>
    </row>
    <row r="5340" spans="1:7" x14ac:dyDescent="0.25">
      <c r="A5340" s="1" t="str">
        <f>"505479"</f>
        <v>505479</v>
      </c>
      <c r="B5340" s="2" t="str">
        <f>"CANTONEIRA DE ACO CARBONO DE 2""X1/4"""</f>
        <v>CANTONEIRA DE ACO CARBONO DE 2"X1/4"</v>
      </c>
      <c r="C5340" s="2" t="str">
        <f>"UN"</f>
        <v>UN</v>
      </c>
      <c r="D5340" s="7">
        <v>402</v>
      </c>
      <c r="E5340" s="3">
        <v>4</v>
      </c>
      <c r="F5340" s="3">
        <v>4</v>
      </c>
      <c r="G5340" t="s">
        <v>512</v>
      </c>
    </row>
    <row r="5341" spans="1:7" x14ac:dyDescent="0.25">
      <c r="A5341" s="1" t="str">
        <f>"502409"</f>
        <v>502409</v>
      </c>
      <c r="B5341" s="2" t="str">
        <f>"CANTONEIRA DE ACO CARBONO DE 2""X1/8"""</f>
        <v>CANTONEIRA DE ACO CARBONO DE 2"X1/8"</v>
      </c>
      <c r="C5341" s="2" t="str">
        <f>"UN"</f>
        <v>UN</v>
      </c>
      <c r="D5341" s="7">
        <v>403</v>
      </c>
      <c r="E5341" s="3">
        <v>4</v>
      </c>
      <c r="F5341" s="3">
        <v>4</v>
      </c>
      <c r="G5341" t="s">
        <v>513</v>
      </c>
    </row>
    <row r="5342" spans="1:7" x14ac:dyDescent="0.25">
      <c r="A5342" s="1" t="str">
        <f>"519309"</f>
        <v>519309</v>
      </c>
      <c r="B5342" s="2" t="str">
        <f>"CANTONEIRA DE ACO CARBONO DE 3""X3"" #5/16"</f>
        <v>CANTONEIRA DE ACO CARBONO DE 3"X3" #5/16</v>
      </c>
      <c r="C5342" s="2" t="str">
        <f>"UN"</f>
        <v>UN</v>
      </c>
      <c r="D5342" s="7">
        <v>402</v>
      </c>
      <c r="E5342" s="3">
        <v>4</v>
      </c>
      <c r="F5342" s="3">
        <v>4</v>
      </c>
      <c r="G5342" t="s">
        <v>514</v>
      </c>
    </row>
    <row r="5343" spans="1:7" x14ac:dyDescent="0.25">
      <c r="A5343" s="1" t="str">
        <f>"518826"</f>
        <v>518826</v>
      </c>
      <c r="B5343" s="2" t="str">
        <f>"CANTONEIRA DE AÇO CARBONO DE 3/4 X 1/8"""</f>
        <v>CANTONEIRA DE AÇO CARBONO DE 3/4 X 1/8"</v>
      </c>
      <c r="C5343" s="2" t="str">
        <f>"PC"</f>
        <v>PC</v>
      </c>
      <c r="D5343" s="7">
        <v>806</v>
      </c>
      <c r="E5343" s="3">
        <v>10</v>
      </c>
      <c r="F5343" s="3">
        <v>10</v>
      </c>
      <c r="G5343" t="s">
        <v>515</v>
      </c>
    </row>
    <row r="5344" spans="1:7" x14ac:dyDescent="0.25">
      <c r="A5344" s="1" t="str">
        <f>"504203"</f>
        <v>504203</v>
      </c>
      <c r="B5344" s="2" t="str">
        <f>"CANTONEIRA DE ACO CARBONO DE 45MMX45MMX4MM"</f>
        <v>CANTONEIRA DE ACO CARBONO DE 45MMX45MMX4MM</v>
      </c>
      <c r="C5344" s="2" t="str">
        <f>"BR"</f>
        <v>BR</v>
      </c>
      <c r="D5344" s="7">
        <v>806</v>
      </c>
      <c r="E5344" s="3">
        <v>10</v>
      </c>
      <c r="F5344" s="3">
        <v>10</v>
      </c>
      <c r="G5344" t="s">
        <v>512</v>
      </c>
    </row>
    <row r="5345" spans="1:7" x14ac:dyDescent="0.25">
      <c r="A5345" s="1" t="str">
        <f>"527484"</f>
        <v>527484</v>
      </c>
      <c r="B5345" s="2" t="str">
        <f>"CANTONEIRA F.G. 1/8""X7/8""X 6MM"</f>
        <v>CANTONEIRA F.G. 1/8"X7/8"X 6MM</v>
      </c>
      <c r="C5345" s="2" t="str">
        <f t="shared" ref="C5345:C5356" si="209">"UN"</f>
        <v>UN</v>
      </c>
      <c r="D5345" s="7">
        <v>402</v>
      </c>
      <c r="E5345" s="3">
        <v>4</v>
      </c>
      <c r="F5345" s="3">
        <v>4</v>
      </c>
      <c r="G5345" t="s">
        <v>516</v>
      </c>
    </row>
    <row r="5346" spans="1:7" x14ac:dyDescent="0.25">
      <c r="A5346" s="1" t="str">
        <f>"517078"</f>
        <v>517078</v>
      </c>
      <c r="B5346" s="2" t="str">
        <f>"CANTONEIRA FIXAÇÃO HR-D-MINI"</f>
        <v>CANTONEIRA FIXAÇÃO HR-D-MINI</v>
      </c>
      <c r="C5346" s="2" t="str">
        <f t="shared" si="209"/>
        <v>UN</v>
      </c>
      <c r="D5346" s="7">
        <v>913</v>
      </c>
      <c r="E5346" s="3">
        <v>11</v>
      </c>
      <c r="F5346" s="3">
        <v>11</v>
      </c>
      <c r="G5346" t="s">
        <v>515</v>
      </c>
    </row>
    <row r="5347" spans="1:7" x14ac:dyDescent="0.25">
      <c r="A5347" s="1" t="str">
        <f>"519193"</f>
        <v>519193</v>
      </c>
      <c r="B5347" s="2" t="str">
        <f>"CANTONEIRA INOX 2,5X2165X110MM"</f>
        <v>CANTONEIRA INOX 2,5X2165X110MM</v>
      </c>
      <c r="C5347" s="2" t="str">
        <f t="shared" si="209"/>
        <v>UN</v>
      </c>
      <c r="D5347" s="7">
        <v>917</v>
      </c>
      <c r="E5347" s="3">
        <v>10</v>
      </c>
      <c r="F5347" s="3">
        <v>10</v>
      </c>
      <c r="G5347" t="s">
        <v>514</v>
      </c>
    </row>
    <row r="5348" spans="1:7" x14ac:dyDescent="0.25">
      <c r="A5348" s="1" t="str">
        <f>"519192"</f>
        <v>519192</v>
      </c>
      <c r="B5348" s="2" t="str">
        <f>"CANTONEIRA INOX 2,5X2230X110MM"</f>
        <v>CANTONEIRA INOX 2,5X2230X110MM</v>
      </c>
      <c r="C5348" s="2" t="str">
        <f t="shared" si="209"/>
        <v>UN</v>
      </c>
      <c r="D5348" s="7">
        <v>917</v>
      </c>
      <c r="E5348" s="3">
        <v>10</v>
      </c>
      <c r="F5348" s="3">
        <v>10</v>
      </c>
      <c r="G5348" t="s">
        <v>512</v>
      </c>
    </row>
    <row r="5349" spans="1:7" x14ac:dyDescent="0.25">
      <c r="A5349" s="1" t="str">
        <f>"517500"</f>
        <v>517500</v>
      </c>
      <c r="B5349" s="2" t="str">
        <f>"CANTONEIRA INT 40X40MM PP (3M)"</f>
        <v>CANTONEIRA INT 40X40MM PP (3M)</v>
      </c>
      <c r="C5349" s="2" t="str">
        <f t="shared" si="209"/>
        <v>UN</v>
      </c>
      <c r="D5349" s="7">
        <v>918</v>
      </c>
      <c r="E5349" s="3">
        <v>10</v>
      </c>
      <c r="F5349" s="3">
        <v>10</v>
      </c>
      <c r="G5349" t="s">
        <v>513</v>
      </c>
    </row>
    <row r="5350" spans="1:7" x14ac:dyDescent="0.25">
      <c r="A5350" s="1" t="str">
        <f>"527380"</f>
        <v>527380</v>
      </c>
      <c r="B5350" s="2" t="str">
        <f>"CANTONEIRA ZINCADA 4 FUROS"</f>
        <v>CANTONEIRA ZINCADA 4 FUROS</v>
      </c>
      <c r="C5350" s="2" t="str">
        <f t="shared" si="209"/>
        <v>UN</v>
      </c>
      <c r="D5350" s="7">
        <v>99999</v>
      </c>
      <c r="E5350" s="3">
        <v>99</v>
      </c>
      <c r="F5350" s="3">
        <v>99</v>
      </c>
      <c r="G5350" t="s">
        <v>514</v>
      </c>
    </row>
    <row r="5351" spans="1:7" x14ac:dyDescent="0.25">
      <c r="A5351" s="1" t="str">
        <f>"522423"</f>
        <v>522423</v>
      </c>
      <c r="B5351" s="2" t="str">
        <f>"CANTONEIRA ZZ"</f>
        <v>CANTONEIRA ZZ</v>
      </c>
      <c r="C5351" s="2" t="str">
        <f t="shared" si="209"/>
        <v>UN</v>
      </c>
      <c r="D5351" s="7">
        <v>811</v>
      </c>
      <c r="E5351" s="3">
        <v>10</v>
      </c>
      <c r="F5351" s="3">
        <v>10</v>
      </c>
      <c r="G5351" t="s">
        <v>514</v>
      </c>
    </row>
    <row r="5352" spans="1:7" x14ac:dyDescent="0.25">
      <c r="A5352" s="1" t="str">
        <f>"506060"</f>
        <v>506060</v>
      </c>
      <c r="B5352" s="2" t="str">
        <f>"CANTONEIRA ZZ P45 P/ PERFILADO"</f>
        <v>CANTONEIRA ZZ P45 P/ PERFILADO</v>
      </c>
      <c r="C5352" s="2" t="str">
        <f t="shared" si="209"/>
        <v>UN</v>
      </c>
      <c r="D5352" s="7">
        <v>601</v>
      </c>
      <c r="E5352" s="3">
        <v>8</v>
      </c>
      <c r="F5352" s="3">
        <v>8</v>
      </c>
      <c r="G5352" t="s">
        <v>512</v>
      </c>
    </row>
    <row r="5353" spans="1:7" x14ac:dyDescent="0.25">
      <c r="A5353" s="1" t="str">
        <f>"840"</f>
        <v>840</v>
      </c>
      <c r="B5353" s="2" t="str">
        <f>"CANUDO CHANFRADO EMBALADO INDIVIDUAL"</f>
        <v>CANUDO CHANFRADO EMBALADO INDIVIDUAL</v>
      </c>
      <c r="C5353" s="2" t="str">
        <f t="shared" si="209"/>
        <v>UN</v>
      </c>
      <c r="D5353" s="7">
        <v>301</v>
      </c>
      <c r="E5353" s="3">
        <v>1</v>
      </c>
      <c r="F5353" s="3">
        <v>1</v>
      </c>
      <c r="G5353" t="s">
        <v>513</v>
      </c>
    </row>
    <row r="5354" spans="1:7" x14ac:dyDescent="0.25">
      <c r="A5354" s="1" t="str">
        <f>"831"</f>
        <v>831</v>
      </c>
      <c r="B5354" s="2" t="str">
        <f>"CANUDO PARA EMB. B.L. CAROLINA BIBI BITS CHOCO LATCO 200ML"</f>
        <v>CANUDO PARA EMB. B.L. CAROLINA BIBI BITS CHOCO LATCO 200ML</v>
      </c>
      <c r="C5354" s="2" t="str">
        <f t="shared" si="209"/>
        <v>UN</v>
      </c>
      <c r="D5354" s="7">
        <v>301</v>
      </c>
      <c r="E5354" s="3">
        <v>1</v>
      </c>
      <c r="F5354" s="3">
        <v>1</v>
      </c>
      <c r="G5354" t="s">
        <v>514</v>
      </c>
    </row>
    <row r="5355" spans="1:7" x14ac:dyDescent="0.25">
      <c r="A5355" s="1" t="str">
        <f>"512939"</f>
        <v>512939</v>
      </c>
      <c r="B5355" s="2" t="str">
        <f>"CANUDO SANFONADO"</f>
        <v>CANUDO SANFONADO</v>
      </c>
      <c r="C5355" s="2" t="str">
        <f t="shared" si="209"/>
        <v>UN</v>
      </c>
      <c r="D5355" s="7">
        <v>401</v>
      </c>
      <c r="E5355" s="3">
        <v>4</v>
      </c>
      <c r="F5355" s="3">
        <v>4</v>
      </c>
      <c r="G5355" t="s">
        <v>514</v>
      </c>
    </row>
    <row r="5356" spans="1:7" x14ac:dyDescent="0.25">
      <c r="A5356" s="1" t="str">
        <f>"517024"</f>
        <v>517024</v>
      </c>
      <c r="B5356" s="2" t="str">
        <f>"CAONTAINSER FLEXIVEL - BAG AÇUCAR"</f>
        <v>CAONTAINSER FLEXIVEL - BAG AÇUCAR</v>
      </c>
      <c r="C5356" s="2" t="str">
        <f t="shared" si="209"/>
        <v>UN</v>
      </c>
      <c r="D5356" s="7">
        <v>99999</v>
      </c>
      <c r="E5356" s="3">
        <v>99</v>
      </c>
      <c r="F5356" s="3">
        <v>99</v>
      </c>
      <c r="G5356" t="s">
        <v>514</v>
      </c>
    </row>
    <row r="5357" spans="1:7" x14ac:dyDescent="0.25">
      <c r="A5357" s="1" t="str">
        <f>"510745"</f>
        <v>510745</v>
      </c>
      <c r="B5357" s="2" t="str">
        <f>"CAP - 1 1/4"" ACO CARBONO"</f>
        <v>CAP - 1 1/4" ACO CARBONO</v>
      </c>
      <c r="C5357" s="2" t="str">
        <f>"BR"</f>
        <v>BR</v>
      </c>
      <c r="D5357" s="7">
        <v>808</v>
      </c>
      <c r="E5357" s="3">
        <v>10</v>
      </c>
      <c r="F5357" s="3">
        <v>10</v>
      </c>
      <c r="G5357" t="s">
        <v>513</v>
      </c>
    </row>
    <row r="5358" spans="1:7" x14ac:dyDescent="0.25">
      <c r="A5358" s="1" t="str">
        <f>"510747"</f>
        <v>510747</v>
      </c>
      <c r="B5358" s="2" t="str">
        <f>"CAP - 1"" ACO CARBONO"</f>
        <v>CAP - 1" ACO CARBONO</v>
      </c>
      <c r="C5358" s="2" t="str">
        <f>"BR"</f>
        <v>BR</v>
      </c>
      <c r="D5358" s="7">
        <v>808</v>
      </c>
      <c r="E5358" s="3">
        <v>10</v>
      </c>
      <c r="F5358" s="3">
        <v>10</v>
      </c>
      <c r="G5358" t="s">
        <v>512</v>
      </c>
    </row>
    <row r="5359" spans="1:7" x14ac:dyDescent="0.25">
      <c r="A5359" s="1" t="str">
        <f>"516126"</f>
        <v>516126</v>
      </c>
      <c r="B5359" s="2" t="str">
        <f>"CAP - 8"" ACO CARBONO"</f>
        <v>CAP - 8" ACO CARBONO</v>
      </c>
      <c r="C5359" s="2" t="str">
        <f>"UN"</f>
        <v>UN</v>
      </c>
      <c r="D5359" s="7">
        <v>808</v>
      </c>
      <c r="E5359" s="3">
        <v>10</v>
      </c>
      <c r="F5359" s="3">
        <v>10</v>
      </c>
      <c r="G5359" t="s">
        <v>513</v>
      </c>
    </row>
    <row r="5360" spans="1:7" x14ac:dyDescent="0.25">
      <c r="A5360" s="1" t="str">
        <f>"503315"</f>
        <v>503315</v>
      </c>
      <c r="B5360" s="2" t="str">
        <f>"CAP  AÇO CARBONO 2"""</f>
        <v>CAP  AÇO CARBONO 2"</v>
      </c>
      <c r="C5360" s="2" t="str">
        <f t="shared" ref="C5360:C5371" si="210">"BR"</f>
        <v>BR</v>
      </c>
      <c r="D5360" s="7">
        <v>808</v>
      </c>
      <c r="E5360" s="3">
        <v>10</v>
      </c>
      <c r="F5360" s="3">
        <v>10</v>
      </c>
      <c r="G5360" t="s">
        <v>514</v>
      </c>
    </row>
    <row r="5361" spans="1:7" x14ac:dyDescent="0.25">
      <c r="A5361" s="1" t="str">
        <f>"520622"</f>
        <v>520622</v>
      </c>
      <c r="B5361" s="2" t="str">
        <f>"CAP AÇO CARBONO 1 1/2"""</f>
        <v>CAP AÇO CARBONO 1 1/2"</v>
      </c>
      <c r="C5361" s="2" t="str">
        <f t="shared" si="210"/>
        <v>BR</v>
      </c>
      <c r="D5361" s="7">
        <v>808</v>
      </c>
      <c r="E5361" s="3">
        <v>10</v>
      </c>
      <c r="F5361" s="3">
        <v>10</v>
      </c>
      <c r="G5361" t="s">
        <v>514</v>
      </c>
    </row>
    <row r="5362" spans="1:7" x14ac:dyDescent="0.25">
      <c r="A5362" s="1" t="str">
        <f>"519191"</f>
        <v>519191</v>
      </c>
      <c r="B5362" s="2" t="str">
        <f>"CAP AÇO CARBONO 1"""</f>
        <v>CAP AÇO CARBONO 1"</v>
      </c>
      <c r="C5362" s="2" t="str">
        <f t="shared" si="210"/>
        <v>BR</v>
      </c>
      <c r="D5362" s="7">
        <v>808</v>
      </c>
      <c r="E5362" s="3">
        <v>10</v>
      </c>
      <c r="F5362" s="3">
        <v>10</v>
      </c>
      <c r="G5362" t="s">
        <v>514</v>
      </c>
    </row>
    <row r="5363" spans="1:7" x14ac:dyDescent="0.25">
      <c r="A5363" s="1" t="str">
        <f>"525218"</f>
        <v>525218</v>
      </c>
      <c r="B5363" s="2" t="str">
        <f>"CAP AÇO CARBONO 1"" SCH40"</f>
        <v>CAP AÇO CARBONO 1" SCH40</v>
      </c>
      <c r="C5363" s="2" t="str">
        <f t="shared" si="210"/>
        <v>BR</v>
      </c>
      <c r="D5363" s="7">
        <v>808</v>
      </c>
      <c r="E5363" s="3">
        <v>10</v>
      </c>
      <c r="F5363" s="3">
        <v>10</v>
      </c>
      <c r="G5363" t="s">
        <v>513</v>
      </c>
    </row>
    <row r="5364" spans="1:7" x14ac:dyDescent="0.25">
      <c r="A5364" s="1" t="str">
        <f>"520621"</f>
        <v>520621</v>
      </c>
      <c r="B5364" s="2" t="str">
        <f>"CAP AÇO CARBONO 2"""</f>
        <v>CAP AÇO CARBONO 2"</v>
      </c>
      <c r="C5364" s="2" t="str">
        <f t="shared" si="210"/>
        <v>BR</v>
      </c>
      <c r="D5364" s="7">
        <v>808</v>
      </c>
      <c r="E5364" s="3">
        <v>10</v>
      </c>
      <c r="F5364" s="3">
        <v>10</v>
      </c>
      <c r="G5364" t="s">
        <v>513</v>
      </c>
    </row>
    <row r="5365" spans="1:7" x14ac:dyDescent="0.25">
      <c r="A5365" s="1" t="str">
        <f>"525217"</f>
        <v>525217</v>
      </c>
      <c r="B5365" s="2" t="str">
        <f>"CAP AÇO CARBONO 2"" SCH40"</f>
        <v>CAP AÇO CARBONO 2" SCH40</v>
      </c>
      <c r="C5365" s="2" t="str">
        <f t="shared" si="210"/>
        <v>BR</v>
      </c>
      <c r="D5365" s="7">
        <v>808</v>
      </c>
      <c r="E5365" s="3">
        <v>10</v>
      </c>
      <c r="F5365" s="3">
        <v>10</v>
      </c>
      <c r="G5365" t="s">
        <v>513</v>
      </c>
    </row>
    <row r="5366" spans="1:7" x14ac:dyDescent="0.25">
      <c r="A5366" s="1" t="str">
        <f>"510739"</f>
        <v>510739</v>
      </c>
      <c r="B5366" s="2" t="str">
        <f>"CAP AÇO CARBONO 2""1/2"</f>
        <v>CAP AÇO CARBONO 2"1/2</v>
      </c>
      <c r="C5366" s="2" t="str">
        <f t="shared" si="210"/>
        <v>BR</v>
      </c>
      <c r="D5366" s="7">
        <v>808</v>
      </c>
      <c r="E5366" s="3">
        <v>10</v>
      </c>
      <c r="F5366" s="3">
        <v>10</v>
      </c>
      <c r="G5366" t="s">
        <v>512</v>
      </c>
    </row>
    <row r="5367" spans="1:7" x14ac:dyDescent="0.25">
      <c r="A5367" s="1" t="str">
        <f>"501375"</f>
        <v>501375</v>
      </c>
      <c r="B5367" s="2" t="str">
        <f>"CAP AÇO CARBONO 3"""</f>
        <v>CAP AÇO CARBONO 3"</v>
      </c>
      <c r="C5367" s="2" t="str">
        <f t="shared" si="210"/>
        <v>BR</v>
      </c>
      <c r="D5367" s="7">
        <v>808</v>
      </c>
      <c r="E5367" s="3">
        <v>10</v>
      </c>
      <c r="F5367" s="3">
        <v>10</v>
      </c>
      <c r="G5367" t="s">
        <v>513</v>
      </c>
    </row>
    <row r="5368" spans="1:7" x14ac:dyDescent="0.25">
      <c r="A5368" s="1" t="str">
        <f>"510735"</f>
        <v>510735</v>
      </c>
      <c r="B5368" s="2" t="str">
        <f>"CAP AÇO CARBONO 4"""</f>
        <v>CAP AÇO CARBONO 4"</v>
      </c>
      <c r="C5368" s="2" t="str">
        <f t="shared" si="210"/>
        <v>BR</v>
      </c>
      <c r="D5368" s="7">
        <v>808</v>
      </c>
      <c r="E5368" s="3">
        <v>10</v>
      </c>
      <c r="F5368" s="3">
        <v>10</v>
      </c>
      <c r="G5368" t="s">
        <v>514</v>
      </c>
    </row>
    <row r="5369" spans="1:7" x14ac:dyDescent="0.25">
      <c r="A5369" s="1" t="str">
        <f>"509559"</f>
        <v>509559</v>
      </c>
      <c r="B5369" s="2" t="str">
        <f>"CAP AÇO CARBONO 4"" EXTERNO SOLDA"</f>
        <v>CAP AÇO CARBONO 4" EXTERNO SOLDA</v>
      </c>
      <c r="C5369" s="2" t="str">
        <f t="shared" si="210"/>
        <v>BR</v>
      </c>
      <c r="D5369" s="7">
        <v>808</v>
      </c>
      <c r="E5369" s="3">
        <v>10</v>
      </c>
      <c r="F5369" s="3">
        <v>10</v>
      </c>
      <c r="G5369" t="s">
        <v>515</v>
      </c>
    </row>
    <row r="5370" spans="1:7" x14ac:dyDescent="0.25">
      <c r="A5370" s="1" t="str">
        <f>"510778"</f>
        <v>510778</v>
      </c>
      <c r="B5370" s="2" t="str">
        <f>"CAP AÇO CARBONO 5"""</f>
        <v>CAP AÇO CARBONO 5"</v>
      </c>
      <c r="C5370" s="2" t="str">
        <f t="shared" si="210"/>
        <v>BR</v>
      </c>
      <c r="D5370" s="7">
        <v>808</v>
      </c>
      <c r="E5370" s="3">
        <v>10</v>
      </c>
      <c r="F5370" s="3">
        <v>10</v>
      </c>
      <c r="G5370" t="s">
        <v>512</v>
      </c>
    </row>
    <row r="5371" spans="1:7" x14ac:dyDescent="0.25">
      <c r="A5371" s="1" t="str">
        <f>"520620"</f>
        <v>520620</v>
      </c>
      <c r="B5371" s="2" t="str">
        <f>"CAP AÇO CARBONO 6"""</f>
        <v>CAP AÇO CARBONO 6"</v>
      </c>
      <c r="C5371" s="2" t="str">
        <f t="shared" si="210"/>
        <v>BR</v>
      </c>
      <c r="D5371" s="7">
        <v>808</v>
      </c>
      <c r="E5371" s="3">
        <v>10</v>
      </c>
      <c r="F5371" s="3">
        <v>10</v>
      </c>
      <c r="G5371" t="s">
        <v>516</v>
      </c>
    </row>
    <row r="5372" spans="1:7" x14ac:dyDescent="0.25">
      <c r="A5372" s="1" t="str">
        <f>"519907"</f>
        <v>519907</v>
      </c>
      <c r="B5372" s="2" t="str">
        <f>"CAP C/ ROSCA 2 1/2"" BRANCO - PVC"</f>
        <v>CAP C/ ROSCA 2 1/2" BRANCO - PVC</v>
      </c>
      <c r="C5372" s="2" t="str">
        <f>"UN"</f>
        <v>UN</v>
      </c>
      <c r="D5372" s="7">
        <v>808</v>
      </c>
      <c r="E5372" s="3">
        <v>10</v>
      </c>
      <c r="F5372" s="3">
        <v>10</v>
      </c>
      <c r="G5372" t="s">
        <v>515</v>
      </c>
    </row>
    <row r="5373" spans="1:7" x14ac:dyDescent="0.25">
      <c r="A5373" s="1" t="str">
        <f>"519963"</f>
        <v>519963</v>
      </c>
      <c r="B5373" s="2" t="str">
        <f>"CAP C/ ROSCA BRANCO 1""1/2 - PVC"</f>
        <v>CAP C/ ROSCA BRANCO 1"1/2 - PVC</v>
      </c>
      <c r="C5373" s="2" t="str">
        <f>"UN"</f>
        <v>UN</v>
      </c>
      <c r="D5373" s="7">
        <v>808</v>
      </c>
      <c r="E5373" s="3">
        <v>10</v>
      </c>
      <c r="F5373" s="3">
        <v>10</v>
      </c>
      <c r="G5373" t="s">
        <v>514</v>
      </c>
    </row>
    <row r="5374" spans="1:7" x14ac:dyDescent="0.25">
      <c r="A5374" s="1" t="str">
        <f>"503856"</f>
        <v>503856</v>
      </c>
      <c r="B5374" s="2" t="str">
        <f>"CAP F.G 1"""</f>
        <v>CAP F.G 1"</v>
      </c>
      <c r="C5374" s="2" t="str">
        <f t="shared" ref="C5374:C5380" si="211">"BR"</f>
        <v>BR</v>
      </c>
      <c r="D5374" s="7">
        <v>808</v>
      </c>
      <c r="E5374" s="3">
        <v>10</v>
      </c>
      <c r="F5374" s="3">
        <v>10</v>
      </c>
      <c r="G5374" t="s">
        <v>512</v>
      </c>
    </row>
    <row r="5375" spans="1:7" x14ac:dyDescent="0.25">
      <c r="A5375" s="1" t="str">
        <f>"507885"</f>
        <v>507885</v>
      </c>
      <c r="B5375" s="2" t="str">
        <f>"CAP F.G 1/2"""</f>
        <v>CAP F.G 1/2"</v>
      </c>
      <c r="C5375" s="2" t="str">
        <f t="shared" si="211"/>
        <v>BR</v>
      </c>
      <c r="D5375" s="7">
        <v>808</v>
      </c>
      <c r="E5375" s="3">
        <v>10</v>
      </c>
      <c r="F5375" s="3">
        <v>10</v>
      </c>
      <c r="G5375" t="s">
        <v>513</v>
      </c>
    </row>
    <row r="5376" spans="1:7" x14ac:dyDescent="0.25">
      <c r="A5376" s="1" t="str">
        <f>"510085"</f>
        <v>510085</v>
      </c>
      <c r="B5376" s="2" t="str">
        <f>"CAP F.G 1/4"""</f>
        <v>CAP F.G 1/4"</v>
      </c>
      <c r="C5376" s="2" t="str">
        <f t="shared" si="211"/>
        <v>BR</v>
      </c>
      <c r="D5376" s="7">
        <v>808</v>
      </c>
      <c r="E5376" s="3">
        <v>10</v>
      </c>
      <c r="F5376" s="3">
        <v>10</v>
      </c>
      <c r="G5376" t="s">
        <v>514</v>
      </c>
    </row>
    <row r="5377" spans="1:7" x14ac:dyDescent="0.25">
      <c r="A5377" s="1" t="str">
        <f>"528113"</f>
        <v>528113</v>
      </c>
      <c r="B5377" s="2" t="str">
        <f>"CAP F.G 2''"</f>
        <v>CAP F.G 2''</v>
      </c>
      <c r="C5377" s="2" t="str">
        <f t="shared" si="211"/>
        <v>BR</v>
      </c>
      <c r="D5377" s="7">
        <v>808</v>
      </c>
      <c r="E5377" s="3">
        <v>10</v>
      </c>
      <c r="F5377" s="3">
        <v>10</v>
      </c>
      <c r="G5377" t="s">
        <v>514</v>
      </c>
    </row>
    <row r="5378" spans="1:7" x14ac:dyDescent="0.25">
      <c r="A5378" s="1" t="str">
        <f>"526962"</f>
        <v>526962</v>
      </c>
      <c r="B5378" s="2" t="str">
        <f>"CAP F.G 2 1/2 C/ ROSCA"</f>
        <v>CAP F.G 2 1/2 C/ ROSCA</v>
      </c>
      <c r="C5378" s="2" t="str">
        <f t="shared" si="211"/>
        <v>BR</v>
      </c>
      <c r="D5378" s="7">
        <v>808</v>
      </c>
      <c r="E5378" s="3">
        <v>10</v>
      </c>
      <c r="F5378" s="3">
        <v>10</v>
      </c>
      <c r="G5378" t="s">
        <v>512</v>
      </c>
    </row>
    <row r="5379" spans="1:7" x14ac:dyDescent="0.25">
      <c r="A5379" s="1" t="str">
        <f>"511783"</f>
        <v>511783</v>
      </c>
      <c r="B5379" s="2" t="str">
        <f>"CAP F.G 3"""</f>
        <v>CAP F.G 3"</v>
      </c>
      <c r="C5379" s="2" t="str">
        <f t="shared" si="211"/>
        <v>BR</v>
      </c>
      <c r="D5379" s="7">
        <v>808</v>
      </c>
      <c r="E5379" s="3">
        <v>10</v>
      </c>
      <c r="F5379" s="3">
        <v>10</v>
      </c>
      <c r="G5379" t="s">
        <v>513</v>
      </c>
    </row>
    <row r="5380" spans="1:7" x14ac:dyDescent="0.25">
      <c r="A5380" s="1" t="str">
        <f>"500390"</f>
        <v>500390</v>
      </c>
      <c r="B5380" s="2" t="str">
        <f>"CAP F.G 3/4"""</f>
        <v>CAP F.G 3/4"</v>
      </c>
      <c r="C5380" s="2" t="str">
        <f t="shared" si="211"/>
        <v>BR</v>
      </c>
      <c r="D5380" s="7">
        <v>808</v>
      </c>
      <c r="E5380" s="3">
        <v>10</v>
      </c>
      <c r="F5380" s="3">
        <v>10</v>
      </c>
      <c r="G5380" t="s">
        <v>514</v>
      </c>
    </row>
    <row r="5381" spans="1:7" x14ac:dyDescent="0.25">
      <c r="A5381" s="1" t="str">
        <f>"517321"</f>
        <v>517321</v>
      </c>
      <c r="B5381" s="2" t="str">
        <f>"CAP F.G 3/8"""</f>
        <v>CAP F.G 3/8"</v>
      </c>
      <c r="C5381" s="2" t="str">
        <f>"UN"</f>
        <v>UN</v>
      </c>
      <c r="D5381" s="7">
        <v>808</v>
      </c>
      <c r="E5381" s="3">
        <v>10</v>
      </c>
      <c r="F5381" s="3">
        <v>10</v>
      </c>
      <c r="G5381" t="s">
        <v>514</v>
      </c>
    </row>
    <row r="5382" spans="1:7" x14ac:dyDescent="0.25">
      <c r="A5382" s="1" t="str">
        <f>"527039"</f>
        <v>527039</v>
      </c>
      <c r="B5382" s="2" t="str">
        <f>"CAP INOX OD 1.1/2 PIPE"</f>
        <v>CAP INOX OD 1.1/2 PIPE</v>
      </c>
      <c r="C5382" s="2" t="str">
        <f>"UN"</f>
        <v>UN</v>
      </c>
      <c r="D5382" s="7">
        <v>807</v>
      </c>
      <c r="E5382" s="3">
        <v>10</v>
      </c>
      <c r="F5382" s="3">
        <v>10</v>
      </c>
      <c r="G5382" t="s">
        <v>514</v>
      </c>
    </row>
    <row r="5383" spans="1:7" x14ac:dyDescent="0.25">
      <c r="A5383" s="1" t="str">
        <f>"519990"</f>
        <v>519990</v>
      </c>
      <c r="B5383" s="2" t="str">
        <f>"CAP SALDAVEL 304 2"""</f>
        <v>CAP SALDAVEL 304 2"</v>
      </c>
      <c r="C5383" s="2" t="str">
        <f>"UN"</f>
        <v>UN</v>
      </c>
      <c r="D5383" s="7">
        <v>807</v>
      </c>
      <c r="E5383" s="3">
        <v>10</v>
      </c>
      <c r="F5383" s="3">
        <v>10</v>
      </c>
      <c r="G5383" t="s">
        <v>513</v>
      </c>
    </row>
    <row r="5384" spans="1:7" x14ac:dyDescent="0.25">
      <c r="A5384" s="1" t="str">
        <f>"519991"</f>
        <v>519991</v>
      </c>
      <c r="B5384" s="2" t="str">
        <f>"CAP SALDAVEL 304 2""1/2"</f>
        <v>CAP SALDAVEL 304 2"1/2</v>
      </c>
      <c r="C5384" s="2" t="str">
        <f>"UN"</f>
        <v>UN</v>
      </c>
      <c r="D5384" s="7">
        <v>807</v>
      </c>
      <c r="E5384" s="3">
        <v>10</v>
      </c>
      <c r="F5384" s="3">
        <v>10</v>
      </c>
      <c r="G5384" t="s">
        <v>512</v>
      </c>
    </row>
    <row r="5385" spans="1:7" x14ac:dyDescent="0.25">
      <c r="A5385" s="1" t="str">
        <f>"515986"</f>
        <v>515986</v>
      </c>
      <c r="B5385" s="2" t="str">
        <f>"CAP SOLDA  4¨ AÇO INOX POL I/E"</f>
        <v>CAP SOLDA  4¨ AÇO INOX POL I/E</v>
      </c>
      <c r="C5385" s="2" t="str">
        <f>"UN"</f>
        <v>UN</v>
      </c>
      <c r="D5385" s="7">
        <v>99999</v>
      </c>
      <c r="E5385" s="3">
        <v>99</v>
      </c>
      <c r="F5385" s="3">
        <v>99</v>
      </c>
      <c r="G5385" t="s">
        <v>513</v>
      </c>
    </row>
    <row r="5386" spans="1:7" x14ac:dyDescent="0.25">
      <c r="A5386" s="1" t="str">
        <f>"514439"</f>
        <v>514439</v>
      </c>
      <c r="B5386" s="2" t="str">
        <f>"CAP SOLDA OD 304 3"""</f>
        <v>CAP SOLDA OD 304 3"</v>
      </c>
      <c r="C5386" s="2" t="str">
        <f>"BR"</f>
        <v>BR</v>
      </c>
      <c r="D5386" s="7">
        <v>807</v>
      </c>
      <c r="E5386" s="3">
        <v>10</v>
      </c>
      <c r="F5386" s="3">
        <v>10</v>
      </c>
      <c r="G5386" t="s">
        <v>514</v>
      </c>
    </row>
    <row r="5387" spans="1:7" x14ac:dyDescent="0.25">
      <c r="A5387" s="1" t="str">
        <f>"528033"</f>
        <v>528033</v>
      </c>
      <c r="B5387" s="2" t="str">
        <f>"CAP SOLDAVEL 75MM - PVC MARROM"</f>
        <v>CAP SOLDAVEL 75MM - PVC MARROM</v>
      </c>
      <c r="C5387" s="2" t="str">
        <f>"UN"</f>
        <v>UN</v>
      </c>
      <c r="D5387" s="7">
        <v>808</v>
      </c>
      <c r="E5387" s="3">
        <v>10</v>
      </c>
      <c r="F5387" s="3">
        <v>10</v>
      </c>
      <c r="G5387" t="s">
        <v>514</v>
      </c>
    </row>
    <row r="5388" spans="1:7" x14ac:dyDescent="0.25">
      <c r="A5388" s="1" t="str">
        <f>"519919"</f>
        <v>519919</v>
      </c>
      <c r="B5388" s="2" t="str">
        <f>"CAP SOLDAVEL 85MM - PVC MARROM"</f>
        <v>CAP SOLDAVEL 85MM - PVC MARROM</v>
      </c>
      <c r="C5388" s="2" t="str">
        <f>"UN"</f>
        <v>UN</v>
      </c>
      <c r="D5388" s="7">
        <v>808</v>
      </c>
      <c r="E5388" s="3">
        <v>10</v>
      </c>
      <c r="F5388" s="3">
        <v>10</v>
      </c>
      <c r="G5388" t="s">
        <v>514</v>
      </c>
    </row>
    <row r="5389" spans="1:7" x14ac:dyDescent="0.25">
      <c r="A5389" s="1" t="str">
        <f>"513476"</f>
        <v>513476</v>
      </c>
      <c r="B5389" s="2" t="str">
        <f>"CAP SOLDAVEL DE 1 1/4  - PVC"</f>
        <v>CAP SOLDAVEL DE 1 1/4  - PVC</v>
      </c>
      <c r="C5389" s="2" t="str">
        <f>"BR"</f>
        <v>BR</v>
      </c>
      <c r="D5389" s="7">
        <v>808</v>
      </c>
      <c r="E5389" s="3">
        <v>10</v>
      </c>
      <c r="F5389" s="3">
        <v>10</v>
      </c>
      <c r="G5389" t="s">
        <v>513</v>
      </c>
    </row>
    <row r="5390" spans="1:7" x14ac:dyDescent="0.25">
      <c r="A5390" s="1" t="str">
        <f>"500389"</f>
        <v>500389</v>
      </c>
      <c r="B5390" s="2" t="str">
        <f>"CAP SOLDAVEL DE 1/2  - PVC"</f>
        <v>CAP SOLDAVEL DE 1/2  - PVC</v>
      </c>
      <c r="C5390" s="2" t="str">
        <f>"BR"</f>
        <v>BR</v>
      </c>
      <c r="D5390" s="7">
        <v>808</v>
      </c>
      <c r="E5390" s="3">
        <v>10</v>
      </c>
      <c r="F5390" s="3">
        <v>10</v>
      </c>
      <c r="G5390" t="s">
        <v>513</v>
      </c>
    </row>
    <row r="5391" spans="1:7" x14ac:dyDescent="0.25">
      <c r="A5391" s="1" t="str">
        <f>"510339"</f>
        <v>510339</v>
      </c>
      <c r="B5391" s="2" t="str">
        <f>"CAP SOLDAVEL DE 150MM - PVC"</f>
        <v>CAP SOLDAVEL DE 150MM - PVC</v>
      </c>
      <c r="C5391" s="2" t="str">
        <f>"BR"</f>
        <v>BR</v>
      </c>
      <c r="D5391" s="7">
        <v>808</v>
      </c>
      <c r="E5391" s="3">
        <v>10</v>
      </c>
      <c r="F5391" s="3">
        <v>10</v>
      </c>
      <c r="G5391" t="s">
        <v>513</v>
      </c>
    </row>
    <row r="5392" spans="1:7" x14ac:dyDescent="0.25">
      <c r="A5392" s="1" t="str">
        <f>"508664"</f>
        <v>508664</v>
      </c>
      <c r="B5392" s="2" t="str">
        <f>"CAP SOLDAVEL DE 200MM - PVC  BRANCO"</f>
        <v>CAP SOLDAVEL DE 200MM - PVC  BRANCO</v>
      </c>
      <c r="C5392" s="2" t="str">
        <f>"UN"</f>
        <v>UN</v>
      </c>
      <c r="D5392" s="7">
        <v>912</v>
      </c>
      <c r="E5392" s="3">
        <v>11</v>
      </c>
      <c r="F5392" s="3">
        <v>11</v>
      </c>
      <c r="G5392" t="s">
        <v>512</v>
      </c>
    </row>
    <row r="5393" spans="1:7" x14ac:dyDescent="0.25">
      <c r="A5393" s="1" t="str">
        <f>"503645"</f>
        <v>503645</v>
      </c>
      <c r="B5393" s="2" t="str">
        <f>"CAP SOLDAVEL DE 25MM - PVC"</f>
        <v>CAP SOLDAVEL DE 25MM - PVC</v>
      </c>
      <c r="C5393" s="2" t="str">
        <f>"BR"</f>
        <v>BR</v>
      </c>
      <c r="D5393" s="7">
        <v>808</v>
      </c>
      <c r="E5393" s="3">
        <v>10</v>
      </c>
      <c r="F5393" s="3">
        <v>10</v>
      </c>
      <c r="G5393" t="s">
        <v>513</v>
      </c>
    </row>
    <row r="5394" spans="1:7" x14ac:dyDescent="0.25">
      <c r="A5394" s="1" t="str">
        <f>"502351"</f>
        <v>502351</v>
      </c>
      <c r="B5394" s="2" t="str">
        <f>"CAP SOLDAVEL DE 32MM  - PVC"</f>
        <v>CAP SOLDAVEL DE 32MM  - PVC</v>
      </c>
      <c r="C5394" s="2" t="str">
        <f>"BR"</f>
        <v>BR</v>
      </c>
      <c r="D5394" s="7">
        <v>808</v>
      </c>
      <c r="E5394" s="3">
        <v>10</v>
      </c>
      <c r="F5394" s="3">
        <v>10</v>
      </c>
      <c r="G5394" t="s">
        <v>514</v>
      </c>
    </row>
    <row r="5395" spans="1:7" x14ac:dyDescent="0.25">
      <c r="A5395" s="1" t="str">
        <f>"517337"</f>
        <v>517337</v>
      </c>
      <c r="B5395" s="2" t="str">
        <f>"CAP SOLDAVEL DE 40MM  - PVC"</f>
        <v>CAP SOLDAVEL DE 40MM  - PVC</v>
      </c>
      <c r="C5395" s="2" t="str">
        <f>"UN"</f>
        <v>UN</v>
      </c>
      <c r="D5395" s="7">
        <v>912</v>
      </c>
      <c r="E5395" s="3">
        <v>10</v>
      </c>
      <c r="F5395" s="3">
        <v>10</v>
      </c>
      <c r="G5395" t="s">
        <v>515</v>
      </c>
    </row>
    <row r="5396" spans="1:7" x14ac:dyDescent="0.25">
      <c r="A5396" s="1" t="str">
        <f>"503644"</f>
        <v>503644</v>
      </c>
      <c r="B5396" s="2" t="str">
        <f>"CAP SOLDAVEL DE 50MM - PVC"</f>
        <v>CAP SOLDAVEL DE 50MM - PVC</v>
      </c>
      <c r="C5396" s="2" t="str">
        <f>"BR"</f>
        <v>BR</v>
      </c>
      <c r="D5396" s="7">
        <v>808</v>
      </c>
      <c r="E5396" s="3">
        <v>10</v>
      </c>
      <c r="F5396" s="3">
        <v>10</v>
      </c>
      <c r="G5396" t="s">
        <v>512</v>
      </c>
    </row>
    <row r="5397" spans="1:7" x14ac:dyDescent="0.25">
      <c r="A5397" s="1" t="str">
        <f>"519954"</f>
        <v>519954</v>
      </c>
      <c r="B5397" s="2" t="str">
        <f>"CAP SOLDAVEL MARRON 1"" - PVC"</f>
        <v>CAP SOLDAVEL MARRON 1" - PVC</v>
      </c>
      <c r="C5397" s="2" t="str">
        <f>"UN"</f>
        <v>UN</v>
      </c>
      <c r="D5397" s="7">
        <v>808</v>
      </c>
      <c r="E5397" s="3">
        <v>10</v>
      </c>
      <c r="F5397" s="3">
        <v>10</v>
      </c>
      <c r="G5397" t="s">
        <v>516</v>
      </c>
    </row>
    <row r="5398" spans="1:7" x14ac:dyDescent="0.25">
      <c r="A5398" s="1" t="str">
        <f>"506299"</f>
        <v>506299</v>
      </c>
      <c r="B5398" s="2" t="str">
        <f>"CAP SOLVADEL DE 60MM - PVC"</f>
        <v>CAP SOLVADEL DE 60MM - PVC</v>
      </c>
      <c r="C5398" s="2" t="str">
        <f>"BR"</f>
        <v>BR</v>
      </c>
      <c r="D5398" s="7">
        <v>808</v>
      </c>
      <c r="E5398" s="3">
        <v>10</v>
      </c>
      <c r="F5398" s="3">
        <v>10</v>
      </c>
      <c r="G5398" t="s">
        <v>515</v>
      </c>
    </row>
    <row r="5399" spans="1:7" x14ac:dyDescent="0.25">
      <c r="A5399" s="1" t="str">
        <f>"502277"</f>
        <v>502277</v>
      </c>
      <c r="B5399" s="2" t="str">
        <f>"CAP SOLVAVEL DE 100MM - PVC BRANCO"</f>
        <v>CAP SOLVAVEL DE 100MM - PVC BRANCO</v>
      </c>
      <c r="C5399" s="2" t="str">
        <f>"BR"</f>
        <v>BR</v>
      </c>
      <c r="D5399" s="7">
        <v>808</v>
      </c>
      <c r="E5399" s="3">
        <v>10</v>
      </c>
      <c r="F5399" s="3">
        <v>10</v>
      </c>
      <c r="G5399" t="s">
        <v>514</v>
      </c>
    </row>
    <row r="5400" spans="1:7" x14ac:dyDescent="0.25">
      <c r="A5400" s="1" t="str">
        <f>"514532"</f>
        <v>514532</v>
      </c>
      <c r="B5400" s="2" t="str">
        <f>"CAPA"</f>
        <v>CAPA</v>
      </c>
      <c r="C5400" s="2" t="str">
        <f t="shared" ref="C5400:C5409" si="212">"UN"</f>
        <v>UN</v>
      </c>
      <c r="D5400" s="7">
        <v>704</v>
      </c>
      <c r="E5400" s="3">
        <v>9</v>
      </c>
      <c r="F5400" s="3">
        <v>9</v>
      </c>
      <c r="G5400" t="s">
        <v>512</v>
      </c>
    </row>
    <row r="5401" spans="1:7" x14ac:dyDescent="0.25">
      <c r="A5401" s="1" t="str">
        <f>"515062"</f>
        <v>515062</v>
      </c>
      <c r="B5401" s="2" t="str">
        <f>"CAPA 1/2 X 2 TRAMAS"</f>
        <v>CAPA 1/2 X 2 TRAMAS</v>
      </c>
      <c r="C5401" s="2" t="str">
        <f t="shared" si="212"/>
        <v>UN</v>
      </c>
      <c r="D5401" s="7">
        <v>812</v>
      </c>
      <c r="E5401" s="3">
        <v>11</v>
      </c>
      <c r="F5401" s="3">
        <v>11</v>
      </c>
      <c r="G5401" t="s">
        <v>513</v>
      </c>
    </row>
    <row r="5402" spans="1:7" x14ac:dyDescent="0.25">
      <c r="A5402" s="1" t="str">
        <f>"515065"</f>
        <v>515065</v>
      </c>
      <c r="B5402" s="2" t="str">
        <f>"CAPA 3/4 X 4 TRAMAS"</f>
        <v>CAPA 3/4 X 4 TRAMAS</v>
      </c>
      <c r="C5402" s="2" t="str">
        <f t="shared" si="212"/>
        <v>UN</v>
      </c>
      <c r="D5402" s="7">
        <v>812</v>
      </c>
      <c r="E5402" s="3">
        <v>11</v>
      </c>
      <c r="F5402" s="3">
        <v>11</v>
      </c>
      <c r="G5402" t="s">
        <v>514</v>
      </c>
    </row>
    <row r="5403" spans="1:7" x14ac:dyDescent="0.25">
      <c r="A5403" s="1" t="str">
        <f>"527308"</f>
        <v>527308</v>
      </c>
      <c r="B5403" s="2" t="str">
        <f>"CAPA ACOPLAMENTO"</f>
        <v>CAPA ACOPLAMENTO</v>
      </c>
      <c r="C5403" s="2" t="str">
        <f t="shared" si="212"/>
        <v>UN</v>
      </c>
      <c r="D5403" s="7">
        <v>1300</v>
      </c>
      <c r="E5403" s="3">
        <v>13</v>
      </c>
      <c r="F5403" s="3">
        <v>13</v>
      </c>
      <c r="G5403" t="s">
        <v>514</v>
      </c>
    </row>
    <row r="5404" spans="1:7" x14ac:dyDescent="0.25">
      <c r="A5404" s="1" t="str">
        <f>"509090"</f>
        <v>509090</v>
      </c>
      <c r="B5404" s="2" t="str">
        <f>"CAPA AMORTECEDORA 007403529"</f>
        <v>CAPA AMORTECEDORA 007403529</v>
      </c>
      <c r="C5404" s="2" t="str">
        <f t="shared" si="212"/>
        <v>UN</v>
      </c>
      <c r="D5404" s="7">
        <v>918</v>
      </c>
      <c r="E5404" s="3">
        <v>11</v>
      </c>
      <c r="F5404" s="3">
        <v>11</v>
      </c>
      <c r="G5404" t="s">
        <v>512</v>
      </c>
    </row>
    <row r="5405" spans="1:7" x14ac:dyDescent="0.25">
      <c r="A5405" s="1" t="str">
        <f>"512137"</f>
        <v>512137</v>
      </c>
      <c r="B5405" s="2" t="str">
        <f>"CAPA BOMBA BCI 8"</f>
        <v>CAPA BOMBA BCI 8</v>
      </c>
      <c r="C5405" s="2" t="str">
        <f t="shared" si="212"/>
        <v>UN</v>
      </c>
      <c r="D5405" s="7">
        <v>918</v>
      </c>
      <c r="E5405" s="3">
        <v>11</v>
      </c>
      <c r="F5405" s="3">
        <v>11</v>
      </c>
      <c r="G5405" t="s">
        <v>513</v>
      </c>
    </row>
    <row r="5406" spans="1:7" x14ac:dyDescent="0.25">
      <c r="A5406" s="1" t="str">
        <f>"524065"</f>
        <v>524065</v>
      </c>
      <c r="B5406" s="2" t="str">
        <f>"CAPA COLETOR MC33 ZEBRA"</f>
        <v>CAPA COLETOR MC33 ZEBRA</v>
      </c>
      <c r="C5406" s="2" t="str">
        <f t="shared" si="212"/>
        <v>UN</v>
      </c>
      <c r="D5406" s="7">
        <v>99999</v>
      </c>
      <c r="E5406" s="3">
        <v>99</v>
      </c>
      <c r="F5406" s="3">
        <v>99</v>
      </c>
      <c r="G5406" t="s">
        <v>514</v>
      </c>
    </row>
    <row r="5407" spans="1:7" x14ac:dyDescent="0.25">
      <c r="A5407" s="1" t="str">
        <f>"524988"</f>
        <v>524988</v>
      </c>
      <c r="B5407" s="2" t="str">
        <f>"CAPA CONECTOR DB09"</f>
        <v>CAPA CONECTOR DB09</v>
      </c>
      <c r="C5407" s="2" t="str">
        <f t="shared" si="212"/>
        <v>UN</v>
      </c>
      <c r="D5407" s="7">
        <v>811</v>
      </c>
      <c r="E5407" s="3">
        <v>10</v>
      </c>
      <c r="F5407" s="3">
        <v>10</v>
      </c>
      <c r="G5407" t="s">
        <v>514</v>
      </c>
    </row>
    <row r="5408" spans="1:7" x14ac:dyDescent="0.25">
      <c r="A5408" s="1" t="str">
        <f>"523471"</f>
        <v>523471</v>
      </c>
      <c r="B5408" s="2" t="str">
        <f>"CAPA CRISTAL PARA ENCADERNAÇAO"</f>
        <v>CAPA CRISTAL PARA ENCADERNAÇAO</v>
      </c>
      <c r="C5408" s="2" t="str">
        <f t="shared" si="212"/>
        <v>UN</v>
      </c>
      <c r="D5408" s="7">
        <v>99999</v>
      </c>
      <c r="E5408" s="3">
        <v>99</v>
      </c>
      <c r="F5408" s="3">
        <v>99</v>
      </c>
      <c r="G5408" t="s">
        <v>514</v>
      </c>
    </row>
    <row r="5409" spans="1:7" x14ac:dyDescent="0.25">
      <c r="A5409" s="1" t="str">
        <f>"516095"</f>
        <v>516095</v>
      </c>
      <c r="B5409" s="2" t="str">
        <f>"CAPA CURTA TIG"</f>
        <v>CAPA CURTA TIG</v>
      </c>
      <c r="C5409" s="2" t="str">
        <f t="shared" si="212"/>
        <v>UN</v>
      </c>
      <c r="D5409" s="7">
        <v>812</v>
      </c>
      <c r="E5409" s="3">
        <v>4</v>
      </c>
      <c r="F5409" s="3">
        <v>4</v>
      </c>
      <c r="G5409" t="s">
        <v>513</v>
      </c>
    </row>
    <row r="5410" spans="1:7" x14ac:dyDescent="0.25">
      <c r="A5410" s="1" t="str">
        <f>"1925"</f>
        <v>1925</v>
      </c>
      <c r="B5410" s="2" t="str">
        <f>"CAPA DE CHUVA"</f>
        <v>CAPA DE CHUVA</v>
      </c>
      <c r="C5410" s="2" t="str">
        <f>"PC"</f>
        <v>PC</v>
      </c>
      <c r="D5410" s="7">
        <v>502</v>
      </c>
      <c r="E5410" s="3">
        <v>5</v>
      </c>
      <c r="F5410" s="3">
        <v>5</v>
      </c>
      <c r="G5410" t="s">
        <v>512</v>
      </c>
    </row>
    <row r="5411" spans="1:7" x14ac:dyDescent="0.25">
      <c r="A5411" s="1" t="str">
        <f>"514402"</f>
        <v>514402</v>
      </c>
      <c r="B5411" s="2" t="str">
        <f>"CAPA DE GALAO"</f>
        <v>CAPA DE GALAO</v>
      </c>
      <c r="C5411" s="2" t="str">
        <f t="shared" ref="C5411:C5432" si="213">"UN"</f>
        <v>UN</v>
      </c>
      <c r="D5411" s="7">
        <v>401</v>
      </c>
      <c r="E5411" s="3">
        <v>4</v>
      </c>
      <c r="F5411" s="3">
        <v>4</v>
      </c>
      <c r="G5411" t="s">
        <v>513</v>
      </c>
    </row>
    <row r="5412" spans="1:7" x14ac:dyDescent="0.25">
      <c r="A5412" s="1" t="str">
        <f>"508287"</f>
        <v>508287</v>
      </c>
      <c r="B5412" s="2" t="str">
        <f>"CAPA DE PROTEÇAO BORRACHA"</f>
        <v>CAPA DE PROTEÇAO BORRACHA</v>
      </c>
      <c r="C5412" s="2" t="str">
        <f t="shared" si="213"/>
        <v>UN</v>
      </c>
      <c r="D5412" s="7">
        <v>704</v>
      </c>
      <c r="E5412" s="3">
        <v>9</v>
      </c>
      <c r="F5412" s="3">
        <v>9</v>
      </c>
      <c r="G5412" t="s">
        <v>514</v>
      </c>
    </row>
    <row r="5413" spans="1:7" x14ac:dyDescent="0.25">
      <c r="A5413" s="1" t="str">
        <f>"527298"</f>
        <v>527298</v>
      </c>
      <c r="B5413" s="2" t="str">
        <f>"CAPA DE PROTEÇÃO SP399404"</f>
        <v>CAPA DE PROTEÇÃO SP399404</v>
      </c>
      <c r="C5413" s="2" t="str">
        <f t="shared" si="213"/>
        <v>UN</v>
      </c>
      <c r="D5413" s="7">
        <v>811</v>
      </c>
      <c r="E5413" s="3">
        <v>11</v>
      </c>
      <c r="F5413" s="3">
        <v>11</v>
      </c>
      <c r="G5413" t="s">
        <v>514</v>
      </c>
    </row>
    <row r="5414" spans="1:7" x14ac:dyDescent="0.25">
      <c r="A5414" s="1" t="str">
        <f>"524927"</f>
        <v>524927</v>
      </c>
      <c r="B5414" s="2" t="str">
        <f>"CAPA DE PROTECAO TER.LONGA LV4295 SCHNEIDER"</f>
        <v>CAPA DE PROTECAO TER.LONGA LV4295 SCHNEIDER</v>
      </c>
      <c r="C5414" s="2" t="str">
        <f t="shared" si="213"/>
        <v>UN</v>
      </c>
      <c r="D5414" s="7">
        <v>811</v>
      </c>
      <c r="E5414" s="3">
        <v>8</v>
      </c>
      <c r="F5414" s="3">
        <v>8</v>
      </c>
      <c r="G5414" t="s">
        <v>514</v>
      </c>
    </row>
    <row r="5415" spans="1:7" x14ac:dyDescent="0.25">
      <c r="A5415" s="1" t="str">
        <f>"509058"</f>
        <v>509058</v>
      </c>
      <c r="B5415" s="2" t="str">
        <f>"CAPA DE ROLAMENTO 007803500"</f>
        <v>CAPA DE ROLAMENTO 007803500</v>
      </c>
      <c r="C5415" s="2" t="str">
        <f t="shared" si="213"/>
        <v>UN</v>
      </c>
      <c r="D5415" s="7">
        <v>918</v>
      </c>
      <c r="E5415" s="3">
        <v>11</v>
      </c>
      <c r="F5415" s="3">
        <v>11</v>
      </c>
      <c r="G5415" t="s">
        <v>513</v>
      </c>
    </row>
    <row r="5416" spans="1:7" x14ac:dyDescent="0.25">
      <c r="A5416" s="1" t="str">
        <f>"510313"</f>
        <v>510313</v>
      </c>
      <c r="B5416" s="2" t="str">
        <f>"CAPA DE ROLAMENTO USINADA 007803527"</f>
        <v>CAPA DE ROLAMENTO USINADA 007803527</v>
      </c>
      <c r="C5416" s="2" t="str">
        <f t="shared" si="213"/>
        <v>UN</v>
      </c>
      <c r="D5416" s="7">
        <v>918</v>
      </c>
      <c r="E5416" s="3">
        <v>11</v>
      </c>
      <c r="F5416" s="3">
        <v>11</v>
      </c>
      <c r="G5416" t="s">
        <v>513</v>
      </c>
    </row>
    <row r="5417" spans="1:7" x14ac:dyDescent="0.25">
      <c r="A5417" s="1" t="str">
        <f>"509072"</f>
        <v>509072</v>
      </c>
      <c r="B5417" s="2" t="str">
        <f>"CAPA DE ROLAMENTO USINADA 47996 L3.5"</f>
        <v>CAPA DE ROLAMENTO USINADA 47996 L3.5</v>
      </c>
      <c r="C5417" s="2" t="str">
        <f t="shared" si="213"/>
        <v>UN</v>
      </c>
      <c r="D5417" s="7">
        <v>918</v>
      </c>
      <c r="E5417" s="3">
        <v>11</v>
      </c>
      <c r="F5417" s="3">
        <v>11</v>
      </c>
      <c r="G5417" t="s">
        <v>513</v>
      </c>
    </row>
    <row r="5418" spans="1:7" x14ac:dyDescent="0.25">
      <c r="A5418" s="1" t="str">
        <f>"514028"</f>
        <v>514028</v>
      </c>
      <c r="B5418" s="2" t="str">
        <f>"CAPA DO ROLAMENTO"</f>
        <v>CAPA DO ROLAMENTO</v>
      </c>
      <c r="C5418" s="2" t="str">
        <f t="shared" si="213"/>
        <v>UN</v>
      </c>
      <c r="D5418" s="7">
        <v>918</v>
      </c>
      <c r="E5418" s="3">
        <v>11</v>
      </c>
      <c r="F5418" s="3">
        <v>11</v>
      </c>
      <c r="G5418" t="s">
        <v>512</v>
      </c>
    </row>
    <row r="5419" spans="1:7" x14ac:dyDescent="0.25">
      <c r="A5419" s="1" t="str">
        <f>"518693"</f>
        <v>518693</v>
      </c>
      <c r="B5419" s="2" t="str">
        <f>"CAPA ESPELHO RETROVISOR RE"</f>
        <v>CAPA ESPELHO RETROVISOR RE</v>
      </c>
      <c r="C5419" s="2" t="str">
        <f t="shared" si="213"/>
        <v>UN</v>
      </c>
      <c r="D5419" s="7">
        <v>704</v>
      </c>
      <c r="E5419" s="3">
        <v>9</v>
      </c>
      <c r="F5419" s="3">
        <v>9</v>
      </c>
      <c r="G5419" t="s">
        <v>513</v>
      </c>
    </row>
    <row r="5420" spans="1:7" x14ac:dyDescent="0.25">
      <c r="A5420" s="1" t="str">
        <f>"527864"</f>
        <v>527864</v>
      </c>
      <c r="B5420" s="2" t="str">
        <f>"CAPA FLEXIVEL RADIO DEP450"</f>
        <v>CAPA FLEXIVEL RADIO DEP450</v>
      </c>
      <c r="C5420" s="2" t="str">
        <f t="shared" si="213"/>
        <v>UN</v>
      </c>
      <c r="D5420" s="7">
        <v>99999</v>
      </c>
      <c r="E5420" s="3">
        <v>99</v>
      </c>
      <c r="F5420" s="3">
        <v>99</v>
      </c>
      <c r="G5420" t="s">
        <v>514</v>
      </c>
    </row>
    <row r="5421" spans="1:7" x14ac:dyDescent="0.25">
      <c r="A5421" s="1" t="str">
        <f>"515058"</f>
        <v>515058</v>
      </c>
      <c r="B5421" s="2" t="str">
        <f>"CAPA H6"</f>
        <v>CAPA H6</v>
      </c>
      <c r="C5421" s="2" t="str">
        <f t="shared" si="213"/>
        <v>UN</v>
      </c>
      <c r="D5421" s="7">
        <v>803</v>
      </c>
      <c r="E5421" s="3">
        <v>4</v>
      </c>
      <c r="F5421" s="3">
        <v>4</v>
      </c>
      <c r="G5421" t="s">
        <v>515</v>
      </c>
    </row>
    <row r="5422" spans="1:7" x14ac:dyDescent="0.25">
      <c r="A5422" s="1" t="str">
        <f>"515878"</f>
        <v>515878</v>
      </c>
      <c r="B5422" s="2" t="str">
        <f>"CAPA LACRE"</f>
        <v>CAPA LACRE</v>
      </c>
      <c r="C5422" s="2" t="str">
        <f t="shared" si="213"/>
        <v>UN</v>
      </c>
      <c r="D5422" s="7">
        <v>704</v>
      </c>
      <c r="E5422" s="3">
        <v>9</v>
      </c>
      <c r="F5422" s="3">
        <v>9</v>
      </c>
      <c r="G5422" t="s">
        <v>512</v>
      </c>
    </row>
    <row r="5423" spans="1:7" x14ac:dyDescent="0.25">
      <c r="A5423" s="1" t="str">
        <f>"523411"</f>
        <v>523411</v>
      </c>
      <c r="B5423" s="2" t="str">
        <f>"CAPA LONGA TIG"</f>
        <v>CAPA LONGA TIG</v>
      </c>
      <c r="C5423" s="2" t="str">
        <f t="shared" si="213"/>
        <v>UN</v>
      </c>
      <c r="D5423" s="7">
        <v>812</v>
      </c>
      <c r="E5423" s="3">
        <v>4</v>
      </c>
      <c r="F5423" s="3">
        <v>4</v>
      </c>
      <c r="G5423" t="s">
        <v>516</v>
      </c>
    </row>
    <row r="5424" spans="1:7" x14ac:dyDescent="0.25">
      <c r="A5424" s="1" t="str">
        <f>"509560"</f>
        <v>509560</v>
      </c>
      <c r="B5424" s="2" t="str">
        <f>"CAPA LONGA TIG TTC - 25"</f>
        <v>CAPA LONGA TIG TTC - 25</v>
      </c>
      <c r="C5424" s="2" t="str">
        <f t="shared" si="213"/>
        <v>UN</v>
      </c>
      <c r="D5424" s="7">
        <v>402</v>
      </c>
      <c r="E5424" s="3">
        <v>4</v>
      </c>
      <c r="F5424" s="3">
        <v>4</v>
      </c>
      <c r="G5424" t="s">
        <v>515</v>
      </c>
    </row>
    <row r="5425" spans="1:7" x14ac:dyDescent="0.25">
      <c r="A5425" s="1" t="str">
        <f>"513403"</f>
        <v>513403</v>
      </c>
      <c r="B5425" s="2" t="str">
        <f>"CAPA PARA BANCO"</f>
        <v>CAPA PARA BANCO</v>
      </c>
      <c r="C5425" s="2" t="str">
        <f t="shared" si="213"/>
        <v>UN</v>
      </c>
      <c r="D5425" s="7">
        <v>704</v>
      </c>
      <c r="E5425" s="3">
        <v>9</v>
      </c>
      <c r="F5425" s="3">
        <v>9</v>
      </c>
      <c r="G5425" t="s">
        <v>514</v>
      </c>
    </row>
    <row r="5426" spans="1:7" x14ac:dyDescent="0.25">
      <c r="A5426" s="1" t="str">
        <f>"513404"</f>
        <v>513404</v>
      </c>
      <c r="B5426" s="2" t="str">
        <f>"CAPA PARA CAMA"</f>
        <v>CAPA PARA CAMA</v>
      </c>
      <c r="C5426" s="2" t="str">
        <f t="shared" si="213"/>
        <v>UN</v>
      </c>
      <c r="D5426" s="7">
        <v>704</v>
      </c>
      <c r="E5426" s="3">
        <v>9</v>
      </c>
      <c r="F5426" s="3">
        <v>9</v>
      </c>
      <c r="G5426" t="s">
        <v>512</v>
      </c>
    </row>
    <row r="5427" spans="1:7" x14ac:dyDescent="0.25">
      <c r="A5427" s="1" t="str">
        <f>"515075"</f>
        <v>515075</v>
      </c>
      <c r="B5427" s="2" t="str">
        <f>"CAPA PARA TOCHA PLASMA"</f>
        <v>CAPA PARA TOCHA PLASMA</v>
      </c>
      <c r="C5427" s="2" t="str">
        <f t="shared" si="213"/>
        <v>UN</v>
      </c>
      <c r="D5427" s="7">
        <v>402</v>
      </c>
      <c r="E5427" s="3">
        <v>4</v>
      </c>
      <c r="F5427" s="3">
        <v>4</v>
      </c>
      <c r="G5427" t="s">
        <v>513</v>
      </c>
    </row>
    <row r="5428" spans="1:7" x14ac:dyDescent="0.25">
      <c r="A5428" s="1" t="str">
        <f>"522565"</f>
        <v>522565</v>
      </c>
      <c r="B5428" s="8" t="s">
        <v>321</v>
      </c>
      <c r="C5428" s="2" t="str">
        <f t="shared" si="213"/>
        <v>UN</v>
      </c>
      <c r="D5428" s="7">
        <v>1004</v>
      </c>
      <c r="E5428" s="3">
        <v>10</v>
      </c>
      <c r="F5428" s="3">
        <v>10</v>
      </c>
      <c r="G5428" t="s">
        <v>514</v>
      </c>
    </row>
    <row r="5429" spans="1:7" x14ac:dyDescent="0.25">
      <c r="A5429" s="1" t="str">
        <f>"514137"</f>
        <v>514137</v>
      </c>
      <c r="B5429" s="2" t="str">
        <f>"CAPA PORCA CROMADA"</f>
        <v>CAPA PORCA CROMADA</v>
      </c>
      <c r="C5429" s="2" t="str">
        <f t="shared" si="213"/>
        <v>UN</v>
      </c>
      <c r="D5429" s="7">
        <v>704</v>
      </c>
      <c r="E5429" s="3">
        <v>9</v>
      </c>
      <c r="F5429" s="3">
        <v>9</v>
      </c>
      <c r="G5429" t="s">
        <v>514</v>
      </c>
    </row>
    <row r="5430" spans="1:7" x14ac:dyDescent="0.25">
      <c r="A5430" s="1" t="str">
        <f>"527666"</f>
        <v>527666</v>
      </c>
      <c r="B5430" s="2" t="str">
        <f>"CAPA PRENSAGEM 1 1/2 "" TRELLEBORG"</f>
        <v>CAPA PRENSAGEM 1 1/2 " TRELLEBORG</v>
      </c>
      <c r="C5430" s="2" t="str">
        <f t="shared" si="213"/>
        <v>UN</v>
      </c>
      <c r="D5430" s="7">
        <v>915</v>
      </c>
      <c r="E5430" s="3">
        <v>10</v>
      </c>
      <c r="F5430" s="3">
        <v>10</v>
      </c>
      <c r="G5430" t="s">
        <v>512</v>
      </c>
    </row>
    <row r="5431" spans="1:7" x14ac:dyDescent="0.25">
      <c r="A5431" s="1" t="str">
        <f>"527670"</f>
        <v>527670</v>
      </c>
      <c r="B5431" s="2" t="str">
        <f>"CAPA PRENSAGEM 2 "" TRELLEBORG"</f>
        <v>CAPA PRENSAGEM 2 " TRELLEBORG</v>
      </c>
      <c r="C5431" s="2" t="str">
        <f t="shared" si="213"/>
        <v>UN</v>
      </c>
      <c r="D5431" s="7">
        <v>915</v>
      </c>
      <c r="E5431" s="3">
        <v>10</v>
      </c>
      <c r="F5431" s="3">
        <v>10</v>
      </c>
      <c r="G5431" t="s">
        <v>513</v>
      </c>
    </row>
    <row r="5432" spans="1:7" x14ac:dyDescent="0.25">
      <c r="A5432" s="1" t="str">
        <f>"510266"</f>
        <v>510266</v>
      </c>
      <c r="B5432" s="2" t="str">
        <f>"CAPA PRENSAVEL 1/2"</f>
        <v>CAPA PRENSAVEL 1/2</v>
      </c>
      <c r="C5432" s="2" t="str">
        <f t="shared" si="213"/>
        <v>UN</v>
      </c>
      <c r="D5432" s="7">
        <v>918</v>
      </c>
      <c r="E5432" s="3">
        <v>11</v>
      </c>
      <c r="F5432" s="3">
        <v>11</v>
      </c>
      <c r="G5432" t="s">
        <v>514</v>
      </c>
    </row>
    <row r="5433" spans="1:7" x14ac:dyDescent="0.25">
      <c r="A5433" s="1" t="str">
        <f>"519341"</f>
        <v>519341</v>
      </c>
      <c r="B5433" s="2" t="str">
        <f>"CAPA PROTEÇÃO CABEÇOTE CIJ VJ1510"</f>
        <v>CAPA PROTEÇÃO CABEÇOTE CIJ VJ1510</v>
      </c>
      <c r="C5433" s="2" t="str">
        <f>"PC"</f>
        <v>PC</v>
      </c>
      <c r="D5433" s="7">
        <v>908</v>
      </c>
      <c r="E5433" s="3">
        <v>11</v>
      </c>
      <c r="F5433" s="3">
        <v>11</v>
      </c>
      <c r="G5433" t="s">
        <v>514</v>
      </c>
    </row>
    <row r="5434" spans="1:7" x14ac:dyDescent="0.25">
      <c r="A5434" s="1" t="str">
        <f>"514539"</f>
        <v>514539</v>
      </c>
      <c r="B5434" s="2" t="str">
        <f>"CAPA PROTETORA P/ CONECTOR DB9P"</f>
        <v>CAPA PROTETORA P/ CONECTOR DB9P</v>
      </c>
      <c r="C5434" s="2" t="str">
        <f t="shared" ref="C5434:C5465" si="214">"UN"</f>
        <v>UN</v>
      </c>
      <c r="D5434" s="7">
        <v>811</v>
      </c>
      <c r="E5434" s="3">
        <v>11</v>
      </c>
      <c r="F5434" s="3">
        <v>11</v>
      </c>
      <c r="G5434" t="s">
        <v>514</v>
      </c>
    </row>
    <row r="5435" spans="1:7" x14ac:dyDescent="0.25">
      <c r="A5435" s="1" t="str">
        <f>"522652"</f>
        <v>522652</v>
      </c>
      <c r="B5435" s="2" t="str">
        <f>"CAPA PROTETORA SILICONE P/ TERMOMETRO AK08"</f>
        <v>CAPA PROTETORA SILICONE P/ TERMOMETRO AK08</v>
      </c>
      <c r="C5435" s="2" t="str">
        <f t="shared" si="214"/>
        <v>UN</v>
      </c>
      <c r="D5435" s="7">
        <v>406</v>
      </c>
      <c r="E5435" s="3">
        <v>4</v>
      </c>
      <c r="F5435" s="3">
        <v>4</v>
      </c>
      <c r="G5435" t="s">
        <v>513</v>
      </c>
    </row>
    <row r="5436" spans="1:7" x14ac:dyDescent="0.25">
      <c r="A5436" s="1" t="str">
        <f>"527819"</f>
        <v>527819</v>
      </c>
      <c r="B5436" s="2" t="str">
        <f>"CAPA SENSOR LDO HACH HX0001-02466"</f>
        <v>CAPA SENSOR LDO HACH HX0001-02466</v>
      </c>
      <c r="C5436" s="2" t="str">
        <f t="shared" si="214"/>
        <v>UN</v>
      </c>
      <c r="D5436" s="7">
        <v>99999</v>
      </c>
      <c r="E5436" s="3">
        <v>99</v>
      </c>
      <c r="F5436" s="3">
        <v>99</v>
      </c>
      <c r="G5436" t="s">
        <v>512</v>
      </c>
    </row>
    <row r="5437" spans="1:7" x14ac:dyDescent="0.25">
      <c r="A5437" s="1" t="str">
        <f>"510831"</f>
        <v>510831</v>
      </c>
      <c r="B5437" s="2" t="str">
        <f>"CAPA TERMICA 90X215MM 1500V"</f>
        <v>CAPA TERMICA 90X215MM 1500V</v>
      </c>
      <c r="C5437" s="2" t="str">
        <f t="shared" si="214"/>
        <v>UN</v>
      </c>
      <c r="D5437" s="7">
        <v>601</v>
      </c>
      <c r="E5437" s="3">
        <v>8</v>
      </c>
      <c r="F5437" s="3">
        <v>8</v>
      </c>
      <c r="G5437" t="s">
        <v>513</v>
      </c>
    </row>
    <row r="5438" spans="1:7" x14ac:dyDescent="0.25">
      <c r="A5438" s="1" t="str">
        <f>"510832"</f>
        <v>510832</v>
      </c>
      <c r="B5438" s="2" t="str">
        <f>"CAPA TERMICA 90X240MM 1600W"</f>
        <v>CAPA TERMICA 90X240MM 1600W</v>
      </c>
      <c r="C5438" s="2" t="str">
        <f t="shared" si="214"/>
        <v>UN</v>
      </c>
      <c r="D5438" s="7">
        <v>601</v>
      </c>
      <c r="E5438" s="3">
        <v>8</v>
      </c>
      <c r="F5438" s="3">
        <v>8</v>
      </c>
      <c r="G5438" t="s">
        <v>514</v>
      </c>
    </row>
    <row r="5439" spans="1:7" x14ac:dyDescent="0.25">
      <c r="A5439" s="1" t="str">
        <f>"501826"</f>
        <v>501826</v>
      </c>
      <c r="B5439" s="2" t="str">
        <f>"CAPA VALVULA"</f>
        <v>CAPA VALVULA</v>
      </c>
      <c r="C5439" s="2" t="str">
        <f t="shared" si="214"/>
        <v>UN</v>
      </c>
      <c r="D5439" s="7">
        <v>918</v>
      </c>
      <c r="E5439" s="3">
        <v>9</v>
      </c>
      <c r="F5439" s="3">
        <v>9</v>
      </c>
      <c r="G5439" t="s">
        <v>514</v>
      </c>
    </row>
    <row r="5440" spans="1:7" x14ac:dyDescent="0.25">
      <c r="A5440" s="1" t="str">
        <f>"527200"</f>
        <v>527200</v>
      </c>
      <c r="B5440" s="2" t="str">
        <f>"CAPACETE BOMBEIRO MSA GALLET F1XF VERM. CA-34392"</f>
        <v>CAPACETE BOMBEIRO MSA GALLET F1XF VERM. CA-34392</v>
      </c>
      <c r="C5440" s="2" t="str">
        <f t="shared" si="214"/>
        <v>UN</v>
      </c>
      <c r="D5440" s="7">
        <v>501</v>
      </c>
      <c r="E5440" s="3">
        <v>5</v>
      </c>
      <c r="F5440" s="3">
        <v>5</v>
      </c>
      <c r="G5440" t="s">
        <v>514</v>
      </c>
    </row>
    <row r="5441" spans="1:7" x14ac:dyDescent="0.25">
      <c r="A5441" s="1" t="str">
        <f>"515084"</f>
        <v>515084</v>
      </c>
      <c r="B5441" s="2" t="str">
        <f>"CAPACETE BRANCO"</f>
        <v>CAPACETE BRANCO</v>
      </c>
      <c r="C5441" s="2" t="str">
        <f t="shared" si="214"/>
        <v>UN</v>
      </c>
      <c r="D5441" s="7">
        <v>401</v>
      </c>
      <c r="E5441" s="3">
        <v>4</v>
      </c>
      <c r="F5441" s="3">
        <v>4</v>
      </c>
      <c r="G5441" t="s">
        <v>513</v>
      </c>
    </row>
    <row r="5442" spans="1:7" x14ac:dyDescent="0.25">
      <c r="A5442" s="1" t="str">
        <f>"6164"</f>
        <v>6164</v>
      </c>
      <c r="B5442" s="2" t="str">
        <f>"CAPACETE C/JUGULAR KCC"</f>
        <v>CAPACETE C/JUGULAR KCC</v>
      </c>
      <c r="C5442" s="2" t="str">
        <f t="shared" si="214"/>
        <v>UN</v>
      </c>
      <c r="D5442" s="7">
        <v>501</v>
      </c>
      <c r="E5442" s="3">
        <v>5</v>
      </c>
      <c r="F5442" s="3">
        <v>5</v>
      </c>
      <c r="G5442" t="s">
        <v>513</v>
      </c>
    </row>
    <row r="5443" spans="1:7" x14ac:dyDescent="0.25">
      <c r="A5443" s="1" t="str">
        <f>"560607"</f>
        <v>560607</v>
      </c>
      <c r="B5443" s="2" t="str">
        <f>"CAPACETE CINZA"</f>
        <v>CAPACETE CINZA</v>
      </c>
      <c r="C5443" s="2" t="str">
        <f t="shared" si="214"/>
        <v>UN</v>
      </c>
      <c r="D5443" s="7">
        <v>401</v>
      </c>
      <c r="E5443" s="3">
        <v>4</v>
      </c>
      <c r="F5443" s="3">
        <v>4</v>
      </c>
      <c r="G5443" t="s">
        <v>513</v>
      </c>
    </row>
    <row r="5444" spans="1:7" x14ac:dyDescent="0.25">
      <c r="A5444" s="1" t="str">
        <f>"5998"</f>
        <v>5998</v>
      </c>
      <c r="B5444" s="2" t="str">
        <f>"CAPACETE COM CARNEIRA CA.10750 (INDACOL)"</f>
        <v>CAPACETE COM CARNEIRA CA.10750 (INDACOL)</v>
      </c>
      <c r="C5444" s="2" t="str">
        <f t="shared" si="214"/>
        <v>UN</v>
      </c>
      <c r="D5444" s="7">
        <v>501</v>
      </c>
      <c r="E5444" s="3">
        <v>5</v>
      </c>
      <c r="F5444" s="3">
        <v>5</v>
      </c>
      <c r="G5444" t="s">
        <v>512</v>
      </c>
    </row>
    <row r="5445" spans="1:7" x14ac:dyDescent="0.25">
      <c r="A5445" s="1" t="str">
        <f>"527467"</f>
        <v>527467</v>
      </c>
      <c r="B5445" s="2" t="str">
        <f>"CAPACETE V-GUARD T2 CL-B AM PUS-KEY JUG. LOGO CAROL. CA-498"</f>
        <v>CAPACETE V-GUARD T2 CL-B AM PUS-KEY JUG. LOGO CAROL. CA-498</v>
      </c>
      <c r="C5445" s="2" t="str">
        <f t="shared" si="214"/>
        <v>UN</v>
      </c>
      <c r="D5445" s="7">
        <v>501</v>
      </c>
      <c r="E5445" s="3">
        <v>5</v>
      </c>
      <c r="F5445" s="3">
        <v>5</v>
      </c>
      <c r="G5445" t="s">
        <v>513</v>
      </c>
    </row>
    <row r="5446" spans="1:7" x14ac:dyDescent="0.25">
      <c r="A5446" s="1" t="str">
        <f>"523143"</f>
        <v>523143</v>
      </c>
      <c r="B5446" s="2" t="str">
        <f>"CAPACETE V-GUARD T2 CL-B BR PUS-KEY JUG. LOGO CAROL. CA-498"</f>
        <v>CAPACETE V-GUARD T2 CL-B BR PUS-KEY JUG. LOGO CAROL. CA-498</v>
      </c>
      <c r="C5446" s="2" t="str">
        <f t="shared" si="214"/>
        <v>UN</v>
      </c>
      <c r="D5446" s="7">
        <v>501</v>
      </c>
      <c r="E5446" s="3">
        <v>5</v>
      </c>
      <c r="F5446" s="3">
        <v>5</v>
      </c>
      <c r="G5446" t="s">
        <v>514</v>
      </c>
    </row>
    <row r="5447" spans="1:7" x14ac:dyDescent="0.25">
      <c r="A5447" s="1" t="str">
        <f>"522834"</f>
        <v>522834</v>
      </c>
      <c r="B5447" s="2" t="str">
        <f>"CAPACETE V-GUARD T2 CL-B CZ PUS-KEY JUG. LOGO CAROL. CA-498"</f>
        <v>CAPACETE V-GUARD T2 CL-B CZ PUS-KEY JUG. LOGO CAROL. CA-498</v>
      </c>
      <c r="C5447" s="2" t="str">
        <f t="shared" si="214"/>
        <v>UN</v>
      </c>
      <c r="D5447" s="7">
        <v>501</v>
      </c>
      <c r="E5447" s="3">
        <v>5</v>
      </c>
      <c r="F5447" s="3">
        <v>5</v>
      </c>
      <c r="G5447" t="s">
        <v>515</v>
      </c>
    </row>
    <row r="5448" spans="1:7" x14ac:dyDescent="0.25">
      <c r="A5448" s="1" t="str">
        <f>"523807"</f>
        <v>523807</v>
      </c>
      <c r="B5448" s="2" t="str">
        <f>"CAPACETE V-GUARD T2 CL-B VD PUS-KEY JUG. LOGO CAROL. CA-498"</f>
        <v>CAPACETE V-GUARD T2 CL-B VD PUS-KEY JUG. LOGO CAROL. CA-498</v>
      </c>
      <c r="C5448" s="2" t="str">
        <f t="shared" si="214"/>
        <v>UN</v>
      </c>
      <c r="D5448" s="7">
        <v>501</v>
      </c>
      <c r="E5448" s="3">
        <v>5</v>
      </c>
      <c r="F5448" s="3">
        <v>5</v>
      </c>
      <c r="G5448" t="s">
        <v>512</v>
      </c>
    </row>
    <row r="5449" spans="1:7" x14ac:dyDescent="0.25">
      <c r="A5449" s="1" t="str">
        <f>"522849"</f>
        <v>522849</v>
      </c>
      <c r="B5449" s="2" t="str">
        <f>"CAPACETE V-GUARD T2 CL-B VM PUS-KEY JUG. LOGO CAROL. CA-498"</f>
        <v>CAPACETE V-GUARD T2 CL-B VM PUS-KEY JUG. LOGO CAROL. CA-498</v>
      </c>
      <c r="C5449" s="2" t="str">
        <f t="shared" si="214"/>
        <v>UN</v>
      </c>
      <c r="D5449" s="7">
        <v>501</v>
      </c>
      <c r="E5449" s="3">
        <v>5</v>
      </c>
      <c r="F5449" s="3">
        <v>5</v>
      </c>
      <c r="G5449" t="s">
        <v>516</v>
      </c>
    </row>
    <row r="5450" spans="1:7" x14ac:dyDescent="0.25">
      <c r="A5450" s="1" t="str">
        <f>"517385"</f>
        <v>517385</v>
      </c>
      <c r="B5450" s="2" t="str">
        <f>"CAPACITIVA SC404 6TRTL 950N17"</f>
        <v>CAPACITIVA SC404 6TRTL 950N17</v>
      </c>
      <c r="C5450" s="2" t="str">
        <f t="shared" si="214"/>
        <v>UN</v>
      </c>
      <c r="D5450" s="7">
        <v>811</v>
      </c>
      <c r="E5450" s="3">
        <v>8</v>
      </c>
      <c r="F5450" s="3">
        <v>8</v>
      </c>
      <c r="G5450" t="s">
        <v>515</v>
      </c>
    </row>
    <row r="5451" spans="1:7" x14ac:dyDescent="0.25">
      <c r="A5451" s="1" t="str">
        <f>"502408"</f>
        <v>502408</v>
      </c>
      <c r="B5451" s="2" t="str">
        <f>"CAPACITOR 10UF (+OU-10%) - 220 VOLTS"</f>
        <v>CAPACITOR 10UF (+OU-10%) - 220 VOLTS</v>
      </c>
      <c r="C5451" s="2" t="str">
        <f t="shared" si="214"/>
        <v>UN</v>
      </c>
      <c r="D5451" s="7">
        <v>600</v>
      </c>
      <c r="E5451" s="3">
        <v>8</v>
      </c>
      <c r="F5451" s="3">
        <v>8</v>
      </c>
      <c r="G5451" t="s">
        <v>514</v>
      </c>
    </row>
    <row r="5452" spans="1:7" x14ac:dyDescent="0.25">
      <c r="A5452" s="1" t="str">
        <f>"508962"</f>
        <v>508962</v>
      </c>
      <c r="B5452" s="2" t="str">
        <f>"CAPACITOR 128/154"</f>
        <v>CAPACITOR 128/154</v>
      </c>
      <c r="C5452" s="2" t="str">
        <f t="shared" si="214"/>
        <v>UN</v>
      </c>
      <c r="D5452" s="7">
        <v>600</v>
      </c>
      <c r="E5452" s="3">
        <v>8</v>
      </c>
      <c r="F5452" s="3">
        <v>8</v>
      </c>
      <c r="G5452" t="s">
        <v>512</v>
      </c>
    </row>
    <row r="5453" spans="1:7" x14ac:dyDescent="0.25">
      <c r="A5453" s="1" t="str">
        <f>"502915"</f>
        <v>502915</v>
      </c>
      <c r="B5453" s="2" t="str">
        <f>"CAPACITOR 145-174 MFD 330 VOLTS"</f>
        <v>CAPACITOR 145-174 MFD 330 VOLTS</v>
      </c>
      <c r="C5453" s="2" t="str">
        <f t="shared" si="214"/>
        <v>UN</v>
      </c>
      <c r="D5453" s="7">
        <v>600</v>
      </c>
      <c r="E5453" s="3">
        <v>8</v>
      </c>
      <c r="F5453" s="3">
        <v>8</v>
      </c>
      <c r="G5453" t="s">
        <v>513</v>
      </c>
    </row>
    <row r="5454" spans="1:7" x14ac:dyDescent="0.25">
      <c r="A5454" s="1" t="str">
        <f>"519797"</f>
        <v>519797</v>
      </c>
      <c r="B5454" s="2" t="str">
        <f>"CAPACITOR 15MDF X 380V"</f>
        <v>CAPACITOR 15MDF X 380V</v>
      </c>
      <c r="C5454" s="2" t="str">
        <f t="shared" si="214"/>
        <v>UN</v>
      </c>
      <c r="D5454" s="7">
        <v>811</v>
      </c>
      <c r="E5454" s="3">
        <v>8</v>
      </c>
      <c r="F5454" s="3">
        <v>8</v>
      </c>
      <c r="G5454" t="s">
        <v>514</v>
      </c>
    </row>
    <row r="5455" spans="1:7" x14ac:dyDescent="0.25">
      <c r="A5455" s="1" t="str">
        <f>"519305"</f>
        <v>519305</v>
      </c>
      <c r="B5455" s="2" t="str">
        <f>"CAPACITOR 15UF 440/450V"</f>
        <v>CAPACITOR 15UF 440/450V</v>
      </c>
      <c r="C5455" s="2" t="str">
        <f t="shared" si="214"/>
        <v>UN</v>
      </c>
      <c r="D5455" s="7">
        <v>600</v>
      </c>
      <c r="E5455" s="3">
        <v>8</v>
      </c>
      <c r="F5455" s="3">
        <v>8</v>
      </c>
      <c r="G5455" t="s">
        <v>514</v>
      </c>
    </row>
    <row r="5456" spans="1:7" x14ac:dyDescent="0.25">
      <c r="A5456" s="1" t="str">
        <f>"511722"</f>
        <v>511722</v>
      </c>
      <c r="B5456" s="2" t="str">
        <f>"CAPACITOR 16A 193UF 220V"</f>
        <v>CAPACITOR 16A 193UF 220V</v>
      </c>
      <c r="C5456" s="2" t="str">
        <f t="shared" si="214"/>
        <v>UN</v>
      </c>
      <c r="D5456" s="7">
        <v>600</v>
      </c>
      <c r="E5456" s="3">
        <v>8</v>
      </c>
      <c r="F5456" s="3">
        <v>8</v>
      </c>
      <c r="G5456" t="s">
        <v>512</v>
      </c>
    </row>
    <row r="5457" spans="1:7" x14ac:dyDescent="0.25">
      <c r="A5457" s="1" t="str">
        <f>"512801"</f>
        <v>512801</v>
      </c>
      <c r="B5457" s="2" t="str">
        <f>"CAPACITOR 1MDF X 380V"</f>
        <v>CAPACITOR 1MDF X 380V</v>
      </c>
      <c r="C5457" s="2" t="str">
        <f t="shared" si="214"/>
        <v>UN</v>
      </c>
      <c r="D5457" s="7">
        <v>811</v>
      </c>
      <c r="E5457" s="3">
        <v>8</v>
      </c>
      <c r="F5457" s="3">
        <v>8</v>
      </c>
      <c r="G5457" t="s">
        <v>513</v>
      </c>
    </row>
    <row r="5458" spans="1:7" x14ac:dyDescent="0.25">
      <c r="A5458" s="1" t="str">
        <f>"512800"</f>
        <v>512800</v>
      </c>
      <c r="B5458" s="2" t="str">
        <f>"CAPACITOR 20MDF X 380V"</f>
        <v>CAPACITOR 20MDF X 380V</v>
      </c>
      <c r="C5458" s="2" t="str">
        <f t="shared" si="214"/>
        <v>UN</v>
      </c>
      <c r="D5458" s="7">
        <v>811</v>
      </c>
      <c r="E5458" s="3">
        <v>8</v>
      </c>
      <c r="F5458" s="3">
        <v>8</v>
      </c>
      <c r="G5458" t="s">
        <v>514</v>
      </c>
    </row>
    <row r="5459" spans="1:7" x14ac:dyDescent="0.25">
      <c r="A5459" s="1" t="str">
        <f>"511507"</f>
        <v>511507</v>
      </c>
      <c r="B5459" s="2" t="str">
        <f>"CAPACITOR 2UF/250V"</f>
        <v>CAPACITOR 2UF/250V</v>
      </c>
      <c r="C5459" s="2" t="str">
        <f t="shared" si="214"/>
        <v>UN</v>
      </c>
      <c r="D5459" s="7">
        <v>600</v>
      </c>
      <c r="E5459" s="3">
        <v>8</v>
      </c>
      <c r="F5459" s="3">
        <v>8</v>
      </c>
      <c r="G5459" t="s">
        <v>514</v>
      </c>
    </row>
    <row r="5460" spans="1:7" x14ac:dyDescent="0.25">
      <c r="A5460" s="1" t="str">
        <f>"524664"</f>
        <v>524664</v>
      </c>
      <c r="B5460" s="2" t="str">
        <f>"CAPACITOR 3,5UF 250VAC 50/60Hz"</f>
        <v>CAPACITOR 3,5UF 250VAC 50/60Hz</v>
      </c>
      <c r="C5460" s="2" t="str">
        <f t="shared" si="214"/>
        <v>UN</v>
      </c>
      <c r="D5460" s="7">
        <v>99999</v>
      </c>
      <c r="E5460" s="3">
        <v>99</v>
      </c>
      <c r="F5460" s="3">
        <v>99</v>
      </c>
      <c r="G5460" t="s">
        <v>514</v>
      </c>
    </row>
    <row r="5461" spans="1:7" x14ac:dyDescent="0.25">
      <c r="A5461" s="1" t="str">
        <f>"513015"</f>
        <v>513015</v>
      </c>
      <c r="B5461" s="2" t="str">
        <f>"CAPACITOR 30 X 380V"</f>
        <v>CAPACITOR 30 X 380V</v>
      </c>
      <c r="C5461" s="2" t="str">
        <f t="shared" si="214"/>
        <v>UN</v>
      </c>
      <c r="D5461" s="7">
        <v>811</v>
      </c>
      <c r="E5461" s="3">
        <v>8</v>
      </c>
      <c r="F5461" s="3">
        <v>8</v>
      </c>
      <c r="G5461" t="s">
        <v>513</v>
      </c>
    </row>
    <row r="5462" spans="1:7" x14ac:dyDescent="0.25">
      <c r="A5462" s="1" t="str">
        <f>"502916"</f>
        <v>502916</v>
      </c>
      <c r="B5462" s="2" t="str">
        <f>"CAPACITOR 35 MFD 440 VOLTS"</f>
        <v>CAPACITOR 35 MFD 440 VOLTS</v>
      </c>
      <c r="C5462" s="2" t="str">
        <f t="shared" si="214"/>
        <v>UN</v>
      </c>
      <c r="D5462" s="7">
        <v>600</v>
      </c>
      <c r="E5462" s="3">
        <v>8</v>
      </c>
      <c r="F5462" s="3">
        <v>8</v>
      </c>
      <c r="G5462" t="s">
        <v>512</v>
      </c>
    </row>
    <row r="5463" spans="1:7" x14ac:dyDescent="0.25">
      <c r="A5463" s="1" t="str">
        <f>"502195"</f>
        <v>502195</v>
      </c>
      <c r="B5463" s="2" t="str">
        <f>"CAPACITOR 3MDF X 380V"</f>
        <v>CAPACITOR 3MDF X 380V</v>
      </c>
      <c r="C5463" s="2" t="str">
        <f t="shared" si="214"/>
        <v>UN</v>
      </c>
      <c r="D5463" s="7">
        <v>811</v>
      </c>
      <c r="E5463" s="3">
        <v>8</v>
      </c>
      <c r="F5463" s="3">
        <v>8</v>
      </c>
      <c r="G5463" t="s">
        <v>513</v>
      </c>
    </row>
    <row r="5464" spans="1:7" x14ac:dyDescent="0.25">
      <c r="A5464" s="1" t="str">
        <f>"511508"</f>
        <v>511508</v>
      </c>
      <c r="B5464" s="2" t="str">
        <f>"CAPACITOR 3UF/250V"</f>
        <v>CAPACITOR 3UF/250V</v>
      </c>
      <c r="C5464" s="2" t="str">
        <f t="shared" si="214"/>
        <v>UN</v>
      </c>
      <c r="D5464" s="7">
        <v>600</v>
      </c>
      <c r="E5464" s="3">
        <v>8</v>
      </c>
      <c r="F5464" s="3">
        <v>8</v>
      </c>
      <c r="G5464" t="s">
        <v>514</v>
      </c>
    </row>
    <row r="5465" spans="1:7" x14ac:dyDescent="0.25">
      <c r="A5465" s="1" t="str">
        <f>"511506"</f>
        <v>511506</v>
      </c>
      <c r="B5465" s="2" t="str">
        <f>"CAPACITOR 3UF/380V"</f>
        <v>CAPACITOR 3UF/380V</v>
      </c>
      <c r="C5465" s="2" t="str">
        <f t="shared" si="214"/>
        <v>UN</v>
      </c>
      <c r="D5465" s="7">
        <v>600</v>
      </c>
      <c r="E5465" s="3">
        <v>8</v>
      </c>
      <c r="F5465" s="3">
        <v>8</v>
      </c>
      <c r="G5465" t="s">
        <v>514</v>
      </c>
    </row>
    <row r="5466" spans="1:7" x14ac:dyDescent="0.25">
      <c r="A5466" s="1" t="str">
        <f>"512802"</f>
        <v>512802</v>
      </c>
      <c r="B5466" s="2" t="str">
        <f>"CAPACITOR 40MDF X 380V"</f>
        <v>CAPACITOR 40MDF X 380V</v>
      </c>
      <c r="C5466" s="2" t="str">
        <f t="shared" ref="C5466:C5497" si="215">"UN"</f>
        <v>UN</v>
      </c>
      <c r="D5466" s="7">
        <v>811</v>
      </c>
      <c r="E5466" s="3">
        <v>8</v>
      </c>
      <c r="F5466" s="3">
        <v>8</v>
      </c>
      <c r="G5466" t="s">
        <v>514</v>
      </c>
    </row>
    <row r="5467" spans="1:7" x14ac:dyDescent="0.25">
      <c r="A5467" s="1" t="str">
        <f>"519526"</f>
        <v>519526</v>
      </c>
      <c r="B5467" s="2" t="str">
        <f>"CAPACITOR 45MDF X 380V"</f>
        <v>CAPACITOR 45MDF X 380V</v>
      </c>
      <c r="C5467" s="2" t="str">
        <f t="shared" si="215"/>
        <v>UN</v>
      </c>
      <c r="D5467" s="7">
        <v>811</v>
      </c>
      <c r="E5467" s="3">
        <v>8</v>
      </c>
      <c r="F5467" s="3">
        <v>8</v>
      </c>
      <c r="G5467" t="s">
        <v>513</v>
      </c>
    </row>
    <row r="5468" spans="1:7" x14ac:dyDescent="0.25">
      <c r="A5468" s="1" t="str">
        <f>"523174"</f>
        <v>523174</v>
      </c>
      <c r="B5468" s="2" t="str">
        <f>"CAPACITOR 50MDF X 440V"</f>
        <v>CAPACITOR 50MDF X 440V</v>
      </c>
      <c r="C5468" s="2" t="str">
        <f t="shared" si="215"/>
        <v>UN</v>
      </c>
      <c r="D5468" s="7">
        <v>811</v>
      </c>
      <c r="E5468" s="3">
        <v>8</v>
      </c>
      <c r="F5468" s="3">
        <v>8</v>
      </c>
      <c r="G5468" t="s">
        <v>513</v>
      </c>
    </row>
    <row r="5469" spans="1:7" x14ac:dyDescent="0.25">
      <c r="A5469" s="1" t="str">
        <f>"511524"</f>
        <v>511524</v>
      </c>
      <c r="B5469" s="2" t="str">
        <f>"CAPACITOR 50UF 380V"</f>
        <v>CAPACITOR 50UF 380V</v>
      </c>
      <c r="C5469" s="2" t="str">
        <f t="shared" si="215"/>
        <v>UN</v>
      </c>
      <c r="D5469" s="7">
        <v>600</v>
      </c>
      <c r="E5469" s="3">
        <v>8</v>
      </c>
      <c r="F5469" s="3">
        <v>8</v>
      </c>
      <c r="G5469" t="s">
        <v>513</v>
      </c>
    </row>
    <row r="5470" spans="1:7" x14ac:dyDescent="0.25">
      <c r="A5470" s="1" t="str">
        <f>"510171"</f>
        <v>510171</v>
      </c>
      <c r="B5470" s="2" t="str">
        <f>"CAPACITOR 60UF 250W 220V 60HZ"</f>
        <v>CAPACITOR 60UF 250W 220V 60HZ</v>
      </c>
      <c r="C5470" s="2" t="str">
        <f t="shared" si="215"/>
        <v>UN</v>
      </c>
      <c r="D5470" s="7">
        <v>600</v>
      </c>
      <c r="E5470" s="3">
        <v>8</v>
      </c>
      <c r="F5470" s="3">
        <v>8</v>
      </c>
      <c r="G5470" t="s">
        <v>512</v>
      </c>
    </row>
    <row r="5471" spans="1:7" x14ac:dyDescent="0.25">
      <c r="A5471" s="1" t="str">
        <f>"518385"</f>
        <v>518385</v>
      </c>
      <c r="B5471" s="2" t="str">
        <f>"CAPACITOR 8 MFD 380 VOLTS"</f>
        <v>CAPACITOR 8 MFD 380 VOLTS</v>
      </c>
      <c r="C5471" s="2" t="str">
        <f t="shared" si="215"/>
        <v>UN</v>
      </c>
      <c r="D5471" s="7">
        <v>811</v>
      </c>
      <c r="E5471" s="3">
        <v>8</v>
      </c>
      <c r="F5471" s="3">
        <v>8</v>
      </c>
      <c r="G5471" t="s">
        <v>513</v>
      </c>
    </row>
    <row r="5472" spans="1:7" x14ac:dyDescent="0.25">
      <c r="A5472" s="1" t="str">
        <f>"502192"</f>
        <v>502192</v>
      </c>
      <c r="B5472" s="2" t="str">
        <f>"CAPACITOR 88-107MFD 220V"</f>
        <v>CAPACITOR 88-107MFD 220V</v>
      </c>
      <c r="C5472" s="2" t="str">
        <f t="shared" si="215"/>
        <v>UN</v>
      </c>
      <c r="D5472" s="7">
        <v>600</v>
      </c>
      <c r="E5472" s="3">
        <v>8</v>
      </c>
      <c r="F5472" s="3">
        <v>8</v>
      </c>
      <c r="G5472" t="s">
        <v>514</v>
      </c>
    </row>
    <row r="5473" spans="1:7" x14ac:dyDescent="0.25">
      <c r="A5473" s="1" t="str">
        <f>"520470"</f>
        <v>520470</v>
      </c>
      <c r="B5473" s="2" t="str">
        <f>"CAPACITOR B32343-C3051-CZ080"</f>
        <v>CAPACITOR B32343-C3051-CZ080</v>
      </c>
      <c r="C5473" s="2" t="str">
        <f t="shared" si="215"/>
        <v>UN</v>
      </c>
      <c r="D5473" s="7">
        <v>600</v>
      </c>
      <c r="E5473" s="3">
        <v>8</v>
      </c>
      <c r="F5473" s="3">
        <v>8</v>
      </c>
      <c r="G5473" t="s">
        <v>515</v>
      </c>
    </row>
    <row r="5474" spans="1:7" x14ac:dyDescent="0.25">
      <c r="A5474" s="1" t="str">
        <f>"520472"</f>
        <v>520472</v>
      </c>
      <c r="B5474" s="2" t="str">
        <f>"CAPACITOR B32344-D3101-Z080"</f>
        <v>CAPACITOR B32344-D3101-Z080</v>
      </c>
      <c r="C5474" s="2" t="str">
        <f t="shared" si="215"/>
        <v>UN</v>
      </c>
      <c r="D5474" s="7">
        <v>600</v>
      </c>
      <c r="E5474" s="3">
        <v>8</v>
      </c>
      <c r="F5474" s="3">
        <v>8</v>
      </c>
      <c r="G5474" t="s">
        <v>512</v>
      </c>
    </row>
    <row r="5475" spans="1:7" x14ac:dyDescent="0.25">
      <c r="A5475" s="1" t="str">
        <f>"520471"</f>
        <v>520471</v>
      </c>
      <c r="B5475" s="2" t="str">
        <f>"CAPACITOR B32344-D3121-Z580"</f>
        <v>CAPACITOR B32344-D3121-Z580</v>
      </c>
      <c r="C5475" s="2" t="str">
        <f t="shared" si="215"/>
        <v>UN</v>
      </c>
      <c r="D5475" s="7">
        <v>600</v>
      </c>
      <c r="E5475" s="3">
        <v>8</v>
      </c>
      <c r="F5475" s="3">
        <v>8</v>
      </c>
      <c r="G5475" t="s">
        <v>516</v>
      </c>
    </row>
    <row r="5476" spans="1:7" x14ac:dyDescent="0.25">
      <c r="A5476" s="1" t="str">
        <f>"512071"</f>
        <v>512071</v>
      </c>
      <c r="B5476" s="2" t="str">
        <f>"CAPACITOR D-10014-1PC 7MFD 380V"</f>
        <v>CAPACITOR D-10014-1PC 7MFD 380V</v>
      </c>
      <c r="C5476" s="2" t="str">
        <f t="shared" si="215"/>
        <v>UN</v>
      </c>
      <c r="D5476" s="7">
        <v>600</v>
      </c>
      <c r="E5476" s="3">
        <v>8</v>
      </c>
      <c r="F5476" s="3">
        <v>8</v>
      </c>
      <c r="G5476" t="s">
        <v>515</v>
      </c>
    </row>
    <row r="5477" spans="1:7" x14ac:dyDescent="0.25">
      <c r="A5477" s="1" t="str">
        <f>"512073"</f>
        <v>512073</v>
      </c>
      <c r="B5477" s="2" t="str">
        <f>"CAPACITOR D1975-1PC 4MFD 380V"</f>
        <v>CAPACITOR D1975-1PC 4MFD 380V</v>
      </c>
      <c r="C5477" s="2" t="str">
        <f t="shared" si="215"/>
        <v>UN</v>
      </c>
      <c r="D5477" s="7">
        <v>600</v>
      </c>
      <c r="E5477" s="3">
        <v>8</v>
      </c>
      <c r="F5477" s="3">
        <v>8</v>
      </c>
      <c r="G5477" t="s">
        <v>514</v>
      </c>
    </row>
    <row r="5478" spans="1:7" x14ac:dyDescent="0.25">
      <c r="A5478" s="1" t="str">
        <f>"512072"</f>
        <v>512072</v>
      </c>
      <c r="B5478" s="2" t="str">
        <f>"CAPACITOR D1975-1PC 64/77MFD 220V"</f>
        <v>CAPACITOR D1975-1PC 64/77MFD 220V</v>
      </c>
      <c r="C5478" s="2" t="str">
        <f t="shared" si="215"/>
        <v>UN</v>
      </c>
      <c r="D5478" s="7">
        <v>600</v>
      </c>
      <c r="E5478" s="3">
        <v>8</v>
      </c>
      <c r="F5478" s="3">
        <v>8</v>
      </c>
      <c r="G5478" t="s">
        <v>512</v>
      </c>
    </row>
    <row r="5479" spans="1:7" x14ac:dyDescent="0.25">
      <c r="A5479" s="1" t="str">
        <f>"508279"</f>
        <v>508279</v>
      </c>
      <c r="B5479" s="2" t="str">
        <f>"CAPACITOR D2002-1PC 161/193MFD 220V"</f>
        <v>CAPACITOR D2002-1PC 161/193MFD 220V</v>
      </c>
      <c r="C5479" s="2" t="str">
        <f t="shared" si="215"/>
        <v>UN</v>
      </c>
      <c r="D5479" s="7">
        <v>900</v>
      </c>
      <c r="E5479" s="3">
        <v>11</v>
      </c>
      <c r="F5479" s="3">
        <v>11</v>
      </c>
      <c r="G5479" t="s">
        <v>513</v>
      </c>
    </row>
    <row r="5480" spans="1:7" x14ac:dyDescent="0.25">
      <c r="A5480" s="1" t="str">
        <f>"502193"</f>
        <v>502193</v>
      </c>
      <c r="B5480" s="2" t="str">
        <f>"CAPACITOR DE 90 A 110UF"</f>
        <v>CAPACITOR DE 90 A 110UF</v>
      </c>
      <c r="C5480" s="2" t="str">
        <f t="shared" si="215"/>
        <v>UN</v>
      </c>
      <c r="D5480" s="7">
        <v>600</v>
      </c>
      <c r="E5480" s="3">
        <v>8</v>
      </c>
      <c r="F5480" s="3">
        <v>8</v>
      </c>
      <c r="G5480" t="s">
        <v>514</v>
      </c>
    </row>
    <row r="5481" spans="1:7" x14ac:dyDescent="0.25">
      <c r="A5481" s="1" t="str">
        <f>"513831"</f>
        <v>513831</v>
      </c>
      <c r="B5481" s="2" t="str">
        <f>"CAPACITOR DE PARTIDA"</f>
        <v>CAPACITOR DE PARTIDA</v>
      </c>
      <c r="C5481" s="2" t="str">
        <f t="shared" si="215"/>
        <v>UN</v>
      </c>
      <c r="D5481" s="7">
        <v>811</v>
      </c>
      <c r="E5481" s="3">
        <v>8</v>
      </c>
      <c r="F5481" s="3">
        <v>8</v>
      </c>
      <c r="G5481" t="s">
        <v>514</v>
      </c>
    </row>
    <row r="5482" spans="1:7" x14ac:dyDescent="0.25">
      <c r="A5482" s="1" t="str">
        <f>"525336"</f>
        <v>525336</v>
      </c>
      <c r="B5482" s="2" t="str">
        <f>"CAPACITOR DE PARTIDA 12,5 UF 250V"</f>
        <v>CAPACITOR DE PARTIDA 12,5 UF 250V</v>
      </c>
      <c r="C5482" s="2" t="str">
        <f t="shared" si="215"/>
        <v>UN</v>
      </c>
      <c r="D5482" s="7">
        <v>99999</v>
      </c>
      <c r="E5482" s="3">
        <v>99</v>
      </c>
      <c r="F5482" s="3">
        <v>99</v>
      </c>
      <c r="G5482" t="s">
        <v>512</v>
      </c>
    </row>
    <row r="5483" spans="1:7" x14ac:dyDescent="0.25">
      <c r="A5483" s="1" t="str">
        <f>"523175"</f>
        <v>523175</v>
      </c>
      <c r="B5483" s="2" t="str">
        <f>"CAPACITOR ELETROLITICO 110 - 180UF 330VCA"</f>
        <v>CAPACITOR ELETROLITICO 110 - 180UF 330VCA</v>
      </c>
      <c r="C5483" s="2" t="str">
        <f t="shared" si="215"/>
        <v>UN</v>
      </c>
      <c r="D5483" s="7">
        <v>811</v>
      </c>
      <c r="E5483" s="3">
        <v>8</v>
      </c>
      <c r="F5483" s="3">
        <v>8</v>
      </c>
      <c r="G5483" t="s">
        <v>513</v>
      </c>
    </row>
    <row r="5484" spans="1:7" x14ac:dyDescent="0.25">
      <c r="A5484" s="1" t="str">
        <f>"519815"</f>
        <v>519815</v>
      </c>
      <c r="B5484" s="2" t="str">
        <f>"CAPACITOR ELETROLITICO 90 - 110UF 330VCA"</f>
        <v>CAPACITOR ELETROLITICO 90 - 110UF 330VCA</v>
      </c>
      <c r="C5484" s="2" t="str">
        <f t="shared" si="215"/>
        <v>UN</v>
      </c>
      <c r="D5484" s="7">
        <v>811</v>
      </c>
      <c r="E5484" s="3">
        <v>8</v>
      </c>
      <c r="F5484" s="3">
        <v>8</v>
      </c>
      <c r="G5484" t="s">
        <v>514</v>
      </c>
    </row>
    <row r="5485" spans="1:7" x14ac:dyDescent="0.25">
      <c r="A5485" s="1" t="str">
        <f>"526122"</f>
        <v>526122</v>
      </c>
      <c r="B5485" s="2" t="str">
        <f>"CAPACITOR FIXO C/DIELETRICO DE POLIPROPILENO 13431167"</f>
        <v>CAPACITOR FIXO C/DIELETRICO DE POLIPROPILENO 13431167</v>
      </c>
      <c r="C5485" s="2" t="str">
        <f t="shared" si="215"/>
        <v>UN</v>
      </c>
      <c r="D5485" s="7">
        <v>99999</v>
      </c>
      <c r="E5485" s="3">
        <v>99</v>
      </c>
      <c r="F5485" s="3">
        <v>99</v>
      </c>
      <c r="G5485" t="s">
        <v>514</v>
      </c>
    </row>
    <row r="5486" spans="1:7" x14ac:dyDescent="0.25">
      <c r="A5486" s="1" t="str">
        <f>"508280"</f>
        <v>508280</v>
      </c>
      <c r="B5486" s="2" t="str">
        <f>"CAPACITOR L1101934952"</f>
        <v>CAPACITOR L1101934952</v>
      </c>
      <c r="C5486" s="2" t="str">
        <f t="shared" si="215"/>
        <v>UN</v>
      </c>
      <c r="D5486" s="7">
        <v>900</v>
      </c>
      <c r="E5486" s="3">
        <v>11</v>
      </c>
      <c r="F5486" s="3">
        <v>11</v>
      </c>
      <c r="G5486" t="s">
        <v>514</v>
      </c>
    </row>
    <row r="5487" spans="1:7" x14ac:dyDescent="0.25">
      <c r="A5487" s="1" t="str">
        <f>"508961"</f>
        <v>508961</v>
      </c>
      <c r="B5487" s="2" t="str">
        <f>"CAPACITOR L1102731466"</f>
        <v>CAPACITOR L1102731466</v>
      </c>
      <c r="C5487" s="2" t="str">
        <f t="shared" si="215"/>
        <v>UN</v>
      </c>
      <c r="D5487" s="7">
        <v>600</v>
      </c>
      <c r="E5487" s="3">
        <v>8</v>
      </c>
      <c r="F5487" s="3">
        <v>8</v>
      </c>
      <c r="G5487" t="s">
        <v>513</v>
      </c>
    </row>
    <row r="5488" spans="1:7" x14ac:dyDescent="0.25">
      <c r="A5488" s="1" t="str">
        <f>"517934"</f>
        <v>517934</v>
      </c>
      <c r="B5488" s="2" t="str">
        <f>"CAPACITOR MARCHA  7mF X 440V"</f>
        <v>CAPACITOR MARCHA  7mF X 440V</v>
      </c>
      <c r="C5488" s="2" t="str">
        <f t="shared" si="215"/>
        <v>UN</v>
      </c>
      <c r="D5488" s="7">
        <v>811</v>
      </c>
      <c r="E5488" s="3">
        <v>8</v>
      </c>
      <c r="F5488" s="3">
        <v>8</v>
      </c>
      <c r="G5488" t="s">
        <v>512</v>
      </c>
    </row>
    <row r="5489" spans="1:7" x14ac:dyDescent="0.25">
      <c r="A5489" s="1" t="str">
        <f>"511642"</f>
        <v>511642</v>
      </c>
      <c r="B5489" s="2" t="str">
        <f>"CAPACITOR MARCHA 25-380V"</f>
        <v>CAPACITOR MARCHA 25-380V</v>
      </c>
      <c r="C5489" s="2" t="str">
        <f t="shared" si="215"/>
        <v>UN</v>
      </c>
      <c r="D5489" s="7">
        <v>600</v>
      </c>
      <c r="E5489" s="3">
        <v>8</v>
      </c>
      <c r="F5489" s="3">
        <v>8</v>
      </c>
      <c r="G5489" t="s">
        <v>513</v>
      </c>
    </row>
    <row r="5490" spans="1:7" x14ac:dyDescent="0.25">
      <c r="A5490" s="1" t="str">
        <f>"518080"</f>
        <v>518080</v>
      </c>
      <c r="B5490" s="2" t="str">
        <f>"CAPACITOR MARCHA 2mf X 380V"</f>
        <v>CAPACITOR MARCHA 2mf X 380V</v>
      </c>
      <c r="C5490" s="2" t="str">
        <f t="shared" si="215"/>
        <v>UN</v>
      </c>
      <c r="D5490" s="7">
        <v>811</v>
      </c>
      <c r="E5490" s="3">
        <v>8</v>
      </c>
      <c r="F5490" s="3">
        <v>8</v>
      </c>
      <c r="G5490" t="s">
        <v>514</v>
      </c>
    </row>
    <row r="5491" spans="1:7" x14ac:dyDescent="0.25">
      <c r="A5491" s="1" t="str">
        <f>"517929"</f>
        <v>517929</v>
      </c>
      <c r="B5491" s="2" t="str">
        <f>"CAPACITOR MARCHA 35mF X 440V"</f>
        <v>CAPACITOR MARCHA 35mF X 440V</v>
      </c>
      <c r="C5491" s="2" t="str">
        <f t="shared" si="215"/>
        <v>UN</v>
      </c>
      <c r="D5491" s="7">
        <v>811</v>
      </c>
      <c r="E5491" s="3">
        <v>8</v>
      </c>
      <c r="F5491" s="3">
        <v>8</v>
      </c>
      <c r="G5491" t="s">
        <v>514</v>
      </c>
    </row>
    <row r="5492" spans="1:7" x14ac:dyDescent="0.25">
      <c r="A5492" s="1" t="str">
        <f>"517927"</f>
        <v>517927</v>
      </c>
      <c r="B5492" s="2" t="str">
        <f>"CAPACITOR MARCHA 45mF X 440V"</f>
        <v>CAPACITOR MARCHA 45mF X 440V</v>
      </c>
      <c r="C5492" s="2" t="str">
        <f t="shared" si="215"/>
        <v>UN</v>
      </c>
      <c r="D5492" s="7">
        <v>811</v>
      </c>
      <c r="E5492" s="3">
        <v>8</v>
      </c>
      <c r="F5492" s="3">
        <v>8</v>
      </c>
      <c r="G5492" t="s">
        <v>514</v>
      </c>
    </row>
    <row r="5493" spans="1:7" x14ac:dyDescent="0.25">
      <c r="A5493" s="1" t="str">
        <f>"517931"</f>
        <v>517931</v>
      </c>
      <c r="B5493" s="2" t="str">
        <f>"CAPACITOR MARCHA 4mF X 440V"</f>
        <v>CAPACITOR MARCHA 4mF X 440V</v>
      </c>
      <c r="C5493" s="2" t="str">
        <f t="shared" si="215"/>
        <v>UN</v>
      </c>
      <c r="D5493" s="7">
        <v>811</v>
      </c>
      <c r="E5493" s="3">
        <v>8</v>
      </c>
      <c r="F5493" s="3">
        <v>8</v>
      </c>
      <c r="G5493" t="s">
        <v>513</v>
      </c>
    </row>
    <row r="5494" spans="1:7" x14ac:dyDescent="0.25">
      <c r="A5494" s="1" t="str">
        <f>"517928"</f>
        <v>517928</v>
      </c>
      <c r="B5494" s="2" t="str">
        <f>"CAPACITOR MARCHA 50mF X 440V"</f>
        <v>CAPACITOR MARCHA 50mF X 440V</v>
      </c>
      <c r="C5494" s="2" t="str">
        <f t="shared" si="215"/>
        <v>UN</v>
      </c>
      <c r="D5494" s="7">
        <v>811</v>
      </c>
      <c r="E5494" s="3">
        <v>8</v>
      </c>
      <c r="F5494" s="3">
        <v>8</v>
      </c>
      <c r="G5494" t="s">
        <v>513</v>
      </c>
    </row>
    <row r="5495" spans="1:7" x14ac:dyDescent="0.25">
      <c r="A5495" s="1" t="str">
        <f>"513328"</f>
        <v>513328</v>
      </c>
      <c r="B5495" s="2" t="str">
        <f>"CAPACITOR PARA AR CONDICIONADO"</f>
        <v>CAPACITOR PARA AR CONDICIONADO</v>
      </c>
      <c r="C5495" s="2" t="str">
        <f t="shared" si="215"/>
        <v>UN</v>
      </c>
      <c r="D5495" s="7">
        <v>900</v>
      </c>
      <c r="E5495" s="3">
        <v>11</v>
      </c>
      <c r="F5495" s="3">
        <v>11</v>
      </c>
      <c r="G5495" t="s">
        <v>513</v>
      </c>
    </row>
    <row r="5496" spans="1:7" x14ac:dyDescent="0.25">
      <c r="A5496" s="1" t="str">
        <f>"519292"</f>
        <v>519292</v>
      </c>
      <c r="B5496" s="2" t="str">
        <f>"CAPACITOR PARTIDA 20 MFD 440V"</f>
        <v>CAPACITOR PARTIDA 20 MFD 440V</v>
      </c>
      <c r="C5496" s="2" t="str">
        <f t="shared" si="215"/>
        <v>UN</v>
      </c>
      <c r="D5496" s="7">
        <v>600</v>
      </c>
      <c r="E5496" s="3">
        <v>8</v>
      </c>
      <c r="F5496" s="3">
        <v>8</v>
      </c>
      <c r="G5496" t="s">
        <v>512</v>
      </c>
    </row>
    <row r="5497" spans="1:7" x14ac:dyDescent="0.25">
      <c r="A5497" s="1" t="str">
        <f>"511643"</f>
        <v>511643</v>
      </c>
      <c r="B5497" s="2" t="str">
        <f>"CAPACITOR PARTIDA 21 A 25 380V"</f>
        <v>CAPACITOR PARTIDA 21 A 25 380V</v>
      </c>
      <c r="C5497" s="2" t="str">
        <f t="shared" si="215"/>
        <v>UN</v>
      </c>
      <c r="D5497" s="7">
        <v>600</v>
      </c>
      <c r="E5497" s="3">
        <v>8</v>
      </c>
      <c r="F5497" s="3">
        <v>8</v>
      </c>
      <c r="G5497" t="s">
        <v>513</v>
      </c>
    </row>
    <row r="5498" spans="1:7" x14ac:dyDescent="0.25">
      <c r="A5498" s="1" t="str">
        <f>"511080"</f>
        <v>511080</v>
      </c>
      <c r="B5498" s="2" t="str">
        <f>"CAPACITOR PARTIDA 2UF 250VAC"</f>
        <v>CAPACITOR PARTIDA 2UF 250VAC</v>
      </c>
      <c r="C5498" s="2" t="str">
        <f t="shared" ref="C5498:C5517" si="216">"UN"</f>
        <v>UN</v>
      </c>
      <c r="D5498" s="7">
        <v>600</v>
      </c>
      <c r="E5498" s="3">
        <v>8</v>
      </c>
      <c r="F5498" s="3">
        <v>8</v>
      </c>
      <c r="G5498" t="s">
        <v>514</v>
      </c>
    </row>
    <row r="5499" spans="1:7" x14ac:dyDescent="0.25">
      <c r="A5499" s="1" t="str">
        <f>"511081"</f>
        <v>511081</v>
      </c>
      <c r="B5499" s="2" t="str">
        <f>"CAPACITOR PARTIDA 2UF 388VAC"</f>
        <v>CAPACITOR PARTIDA 2UF 388VAC</v>
      </c>
      <c r="C5499" s="2" t="str">
        <f t="shared" si="216"/>
        <v>UN</v>
      </c>
      <c r="D5499" s="7">
        <v>600</v>
      </c>
      <c r="E5499" s="3">
        <v>8</v>
      </c>
      <c r="F5499" s="3">
        <v>8</v>
      </c>
      <c r="G5499" t="s">
        <v>515</v>
      </c>
    </row>
    <row r="5500" spans="1:7" x14ac:dyDescent="0.25">
      <c r="A5500" s="1" t="str">
        <f>"519795"</f>
        <v>519795</v>
      </c>
      <c r="B5500" s="2" t="str">
        <f>"CAPACITOR PARTIDA 55UF 440VCA"</f>
        <v>CAPACITOR PARTIDA 55UF 440VCA</v>
      </c>
      <c r="C5500" s="2" t="str">
        <f t="shared" si="216"/>
        <v>UN</v>
      </c>
      <c r="D5500" s="7">
        <v>600</v>
      </c>
      <c r="E5500" s="3">
        <v>8</v>
      </c>
      <c r="F5500" s="3">
        <v>8</v>
      </c>
      <c r="G5500" t="s">
        <v>512</v>
      </c>
    </row>
    <row r="5501" spans="1:7" x14ac:dyDescent="0.25">
      <c r="A5501" s="1" t="str">
        <f>"518807"</f>
        <v>518807</v>
      </c>
      <c r="B5501" s="2" t="str">
        <f>"CAPACITOR PARTIDA 88-108 MF X 380V"</f>
        <v>CAPACITOR PARTIDA 88-108 MF X 380V</v>
      </c>
      <c r="C5501" s="2" t="str">
        <f t="shared" si="216"/>
        <v>UN</v>
      </c>
      <c r="D5501" s="7">
        <v>811</v>
      </c>
      <c r="E5501" s="3">
        <v>8</v>
      </c>
      <c r="F5501" s="3">
        <v>8</v>
      </c>
      <c r="G5501" t="s">
        <v>516</v>
      </c>
    </row>
    <row r="5502" spans="1:7" x14ac:dyDescent="0.25">
      <c r="A5502" s="1" t="str">
        <f>"517937"</f>
        <v>517937</v>
      </c>
      <c r="B5502" s="2" t="str">
        <f>"CAPACITOR PARTIDA ELETROLITICO 128 - 153mF X 440V"</f>
        <v>CAPACITOR PARTIDA ELETROLITICO 128 - 153mF X 440V</v>
      </c>
      <c r="C5502" s="2" t="str">
        <f t="shared" si="216"/>
        <v>UN</v>
      </c>
      <c r="D5502" s="7">
        <v>811</v>
      </c>
      <c r="E5502" s="3">
        <v>8</v>
      </c>
      <c r="F5502" s="3">
        <v>8</v>
      </c>
      <c r="G5502" t="s">
        <v>515</v>
      </c>
    </row>
    <row r="5503" spans="1:7" x14ac:dyDescent="0.25">
      <c r="A5503" s="1" t="str">
        <f>"517936"</f>
        <v>517936</v>
      </c>
      <c r="B5503" s="2" t="str">
        <f>"CAPACITOR PARTIDA ELETROLITICO 161 - 193mF X 440V"</f>
        <v>CAPACITOR PARTIDA ELETROLITICO 161 - 193mF X 440V</v>
      </c>
      <c r="C5503" s="2" t="str">
        <f t="shared" si="216"/>
        <v>UN</v>
      </c>
      <c r="D5503" s="7">
        <v>811</v>
      </c>
      <c r="E5503" s="3">
        <v>8</v>
      </c>
      <c r="F5503" s="3">
        <v>8</v>
      </c>
      <c r="G5503" t="s">
        <v>514</v>
      </c>
    </row>
    <row r="5504" spans="1:7" x14ac:dyDescent="0.25">
      <c r="A5504" s="1" t="str">
        <f>"517935"</f>
        <v>517935</v>
      </c>
      <c r="B5504" s="2" t="str">
        <f>"CAPACITOR PARTIDA ELETROLITICO 64 - 77mF X 330V"</f>
        <v>CAPACITOR PARTIDA ELETROLITICO 64 - 77mF X 330V</v>
      </c>
      <c r="C5504" s="2" t="str">
        <f t="shared" si="216"/>
        <v>UN</v>
      </c>
      <c r="D5504" s="7">
        <v>811</v>
      </c>
      <c r="E5504" s="3">
        <v>8</v>
      </c>
      <c r="F5504" s="3">
        <v>8</v>
      </c>
      <c r="G5504" t="s">
        <v>512</v>
      </c>
    </row>
    <row r="5505" spans="1:7" x14ac:dyDescent="0.25">
      <c r="A5505" s="1" t="str">
        <f>"517932"</f>
        <v>517932</v>
      </c>
      <c r="B5505" s="2" t="str">
        <f>"CAPACITOR PARTIDA ELETROLITICO 90 - 110mF X 440V"</f>
        <v>CAPACITOR PARTIDA ELETROLITICO 90 - 110mF X 440V</v>
      </c>
      <c r="C5505" s="2" t="str">
        <f t="shared" si="216"/>
        <v>UN</v>
      </c>
      <c r="D5505" s="7">
        <v>811</v>
      </c>
      <c r="E5505" s="3">
        <v>8</v>
      </c>
      <c r="F5505" s="3">
        <v>8</v>
      </c>
      <c r="G5505" t="s">
        <v>513</v>
      </c>
    </row>
    <row r="5506" spans="1:7" x14ac:dyDescent="0.25">
      <c r="A5506" s="1" t="str">
        <f>"517930"</f>
        <v>517930</v>
      </c>
      <c r="B5506" s="2" t="str">
        <f>"CAPACITOR PARTIDA ELETROLITICO 98 - 108mF X 440V"</f>
        <v>CAPACITOR PARTIDA ELETROLITICO 98 - 108mF X 440V</v>
      </c>
      <c r="C5506" s="2" t="str">
        <f t="shared" si="216"/>
        <v>UN</v>
      </c>
      <c r="D5506" s="7">
        <v>811</v>
      </c>
      <c r="E5506" s="3">
        <v>8</v>
      </c>
      <c r="F5506" s="3">
        <v>8</v>
      </c>
      <c r="G5506" t="s">
        <v>514</v>
      </c>
    </row>
    <row r="5507" spans="1:7" x14ac:dyDescent="0.25">
      <c r="A5507" s="1" t="str">
        <f>"517204"</f>
        <v>517204</v>
      </c>
      <c r="B5507" s="2" t="str">
        <f>"CAPACITOR SIEM. MKP380-D-12,5 4RB2 125-5AB38 B32344D3151Z080"</f>
        <v>CAPACITOR SIEM. MKP380-D-12,5 4RB2 125-5AB38 B32344D3151Z080</v>
      </c>
      <c r="C5507" s="2" t="str">
        <f t="shared" si="216"/>
        <v>UN</v>
      </c>
      <c r="D5507" s="7">
        <v>811</v>
      </c>
      <c r="E5507" s="3">
        <v>8</v>
      </c>
      <c r="F5507" s="3">
        <v>8</v>
      </c>
      <c r="G5507" t="s">
        <v>514</v>
      </c>
    </row>
    <row r="5508" spans="1:7" x14ac:dyDescent="0.25">
      <c r="A5508" s="1" t="str">
        <f>"517022"</f>
        <v>517022</v>
      </c>
      <c r="B5508" s="2" t="str">
        <f>"CAPACITOR SIEMENS 4RB2 125-6AB38"</f>
        <v>CAPACITOR SIEMENS 4RB2 125-6AB38</v>
      </c>
      <c r="C5508" s="2" t="str">
        <f t="shared" si="216"/>
        <v>UN</v>
      </c>
      <c r="D5508" s="7">
        <v>811</v>
      </c>
      <c r="E5508" s="3">
        <v>8</v>
      </c>
      <c r="F5508" s="3">
        <v>8</v>
      </c>
      <c r="G5508" t="s">
        <v>512</v>
      </c>
    </row>
    <row r="5509" spans="1:7" x14ac:dyDescent="0.25">
      <c r="A5509" s="1" t="str">
        <f>"520813"</f>
        <v>520813</v>
      </c>
      <c r="B5509" s="2" t="str">
        <f>"CAPACITOR SIEMENS TRIF. 10KVA 380V"</f>
        <v>CAPACITOR SIEMENS TRIF. 10KVA 380V</v>
      </c>
      <c r="C5509" s="2" t="str">
        <f t="shared" si="216"/>
        <v>UN</v>
      </c>
      <c r="D5509" s="7">
        <v>600</v>
      </c>
      <c r="E5509" s="3">
        <v>8</v>
      </c>
      <c r="F5509" s="3">
        <v>8</v>
      </c>
      <c r="G5509" t="s">
        <v>513</v>
      </c>
    </row>
    <row r="5510" spans="1:7" x14ac:dyDescent="0.25">
      <c r="A5510" s="1" t="str">
        <f>"518833"</f>
        <v>518833</v>
      </c>
      <c r="B5510" s="2" t="str">
        <f>"CAPACITOR SIEMENS TRIF. 12,5KVA 380V"</f>
        <v>CAPACITOR SIEMENS TRIF. 12,5KVA 380V</v>
      </c>
      <c r="C5510" s="2" t="str">
        <f t="shared" si="216"/>
        <v>UN</v>
      </c>
      <c r="D5510" s="7">
        <v>600</v>
      </c>
      <c r="E5510" s="3">
        <v>8</v>
      </c>
      <c r="F5510" s="3">
        <v>8</v>
      </c>
      <c r="G5510" t="s">
        <v>514</v>
      </c>
    </row>
    <row r="5511" spans="1:7" x14ac:dyDescent="0.25">
      <c r="A5511" s="1" t="str">
        <f>"511799"</f>
        <v>511799</v>
      </c>
      <c r="B5511" s="2" t="str">
        <f>"CAPACITOR SIEMENS TRIF. 15KVA 380V"</f>
        <v>CAPACITOR SIEMENS TRIF. 15KVA 380V</v>
      </c>
      <c r="C5511" s="2" t="str">
        <f t="shared" si="216"/>
        <v>UN</v>
      </c>
      <c r="D5511" s="7">
        <v>600</v>
      </c>
      <c r="E5511" s="3">
        <v>8</v>
      </c>
      <c r="F5511" s="3">
        <v>8</v>
      </c>
      <c r="G5511" t="s">
        <v>514</v>
      </c>
    </row>
    <row r="5512" spans="1:7" x14ac:dyDescent="0.25">
      <c r="A5512" s="1" t="str">
        <f>"511800"</f>
        <v>511800</v>
      </c>
      <c r="B5512" s="2" t="str">
        <f>"CAPACITOR SIEMENS TRIF. 25KVA 380V"</f>
        <v>CAPACITOR SIEMENS TRIF. 25KVA 380V</v>
      </c>
      <c r="C5512" s="2" t="str">
        <f t="shared" si="216"/>
        <v>UN</v>
      </c>
      <c r="D5512" s="7">
        <v>700</v>
      </c>
      <c r="E5512" s="3">
        <v>8</v>
      </c>
      <c r="F5512" s="3">
        <v>8</v>
      </c>
      <c r="G5512" t="s">
        <v>514</v>
      </c>
    </row>
    <row r="5513" spans="1:7" x14ac:dyDescent="0.25">
      <c r="A5513" s="1" t="str">
        <f>"514261"</f>
        <v>514261</v>
      </c>
      <c r="B5513" s="2" t="str">
        <f>"CAPACITOR TRABALHO"</f>
        <v>CAPACITOR TRABALHO</v>
      </c>
      <c r="C5513" s="2" t="str">
        <f t="shared" si="216"/>
        <v>UN</v>
      </c>
      <c r="D5513" s="7">
        <v>811</v>
      </c>
      <c r="E5513" s="3">
        <v>8</v>
      </c>
      <c r="F5513" s="3">
        <v>8</v>
      </c>
      <c r="G5513" t="s">
        <v>513</v>
      </c>
    </row>
    <row r="5514" spans="1:7" x14ac:dyDescent="0.25">
      <c r="A5514" s="1" t="str">
        <f>"6392"</f>
        <v>6392</v>
      </c>
      <c r="B5514" s="2" t="str">
        <f>"CAPAS DE CHUVA COM MANGA LONGA"</f>
        <v>CAPAS DE CHUVA COM MANGA LONGA</v>
      </c>
      <c r="C5514" s="2" t="str">
        <f t="shared" si="216"/>
        <v>UN</v>
      </c>
      <c r="D5514" s="7">
        <v>501</v>
      </c>
      <c r="E5514" s="3">
        <v>5</v>
      </c>
      <c r="F5514" s="3">
        <v>5</v>
      </c>
      <c r="G5514" t="s">
        <v>512</v>
      </c>
    </row>
    <row r="5515" spans="1:7" x14ac:dyDescent="0.25">
      <c r="A5515" s="1" t="str">
        <f>"518114"</f>
        <v>518114</v>
      </c>
      <c r="B5515" s="2" t="str">
        <f>"CAPODARTE SCARPIN"</f>
        <v>CAPODARTE SCARPIN</v>
      </c>
      <c r="C5515" s="2" t="str">
        <f t="shared" si="216"/>
        <v>UN</v>
      </c>
      <c r="D5515" s="7">
        <v>500</v>
      </c>
      <c r="E5515" s="3">
        <v>4</v>
      </c>
      <c r="F5515" s="3">
        <v>4</v>
      </c>
      <c r="G5515" t="s">
        <v>513</v>
      </c>
    </row>
    <row r="5516" spans="1:7" x14ac:dyDescent="0.25">
      <c r="A5516" s="1" t="str">
        <f>"524425"</f>
        <v>524425</v>
      </c>
      <c r="B5516" s="2" t="str">
        <f>"CAPOTA"</f>
        <v>CAPOTA</v>
      </c>
      <c r="C5516" s="2" t="str">
        <f t="shared" si="216"/>
        <v>UN</v>
      </c>
      <c r="D5516" s="7">
        <v>704</v>
      </c>
      <c r="E5516" s="3">
        <v>9</v>
      </c>
      <c r="F5516" s="3">
        <v>9</v>
      </c>
      <c r="G5516" t="s">
        <v>514</v>
      </c>
    </row>
    <row r="5517" spans="1:7" x14ac:dyDescent="0.25">
      <c r="A5517" s="1" t="str">
        <f>"520971"</f>
        <v>520971</v>
      </c>
      <c r="B5517" s="2" t="str">
        <f>"CAPOTA MARITIMA"</f>
        <v>CAPOTA MARITIMA</v>
      </c>
      <c r="C5517" s="2" t="str">
        <f t="shared" si="216"/>
        <v>UN</v>
      </c>
      <c r="D5517" s="7">
        <v>704</v>
      </c>
      <c r="E5517" s="3">
        <v>4</v>
      </c>
      <c r="F5517" s="3">
        <v>4</v>
      </c>
      <c r="G5517" t="s">
        <v>514</v>
      </c>
    </row>
    <row r="5518" spans="1:7" x14ac:dyDescent="0.25">
      <c r="A5518" s="1" t="str">
        <f>"501601"</f>
        <v>501601</v>
      </c>
      <c r="B5518" s="2" t="str">
        <f>"CAPS SCH40 1"</f>
        <v>CAPS SCH40 1</v>
      </c>
      <c r="C5518" s="2" t="str">
        <f t="shared" ref="C5518:C5523" si="217">"BR"</f>
        <v>BR</v>
      </c>
      <c r="D5518" s="7">
        <v>807</v>
      </c>
      <c r="E5518" s="3">
        <v>10</v>
      </c>
      <c r="F5518" s="3">
        <v>10</v>
      </c>
      <c r="G5518" t="s">
        <v>514</v>
      </c>
    </row>
    <row r="5519" spans="1:7" x14ac:dyDescent="0.25">
      <c r="A5519" s="1" t="str">
        <f>"501602"</f>
        <v>501602</v>
      </c>
      <c r="B5519" s="2" t="str">
        <f>"CAPS SCH40 1.1/2"</f>
        <v>CAPS SCH40 1.1/2</v>
      </c>
      <c r="C5519" s="2" t="str">
        <f t="shared" si="217"/>
        <v>BR</v>
      </c>
      <c r="D5519" s="7">
        <v>807</v>
      </c>
      <c r="E5519" s="3">
        <v>10</v>
      </c>
      <c r="F5519" s="3">
        <v>10</v>
      </c>
      <c r="G5519" t="s">
        <v>513</v>
      </c>
    </row>
    <row r="5520" spans="1:7" x14ac:dyDescent="0.25">
      <c r="A5520" s="1" t="str">
        <f>"503502"</f>
        <v>503502</v>
      </c>
      <c r="B5520" s="2" t="str">
        <f>"CAPS SCH40 2"""</f>
        <v>CAPS SCH40 2"</v>
      </c>
      <c r="C5520" s="2" t="str">
        <f t="shared" si="217"/>
        <v>BR</v>
      </c>
      <c r="D5520" s="7">
        <v>807</v>
      </c>
      <c r="E5520" s="3">
        <v>10</v>
      </c>
      <c r="F5520" s="3">
        <v>10</v>
      </c>
      <c r="G5520" t="s">
        <v>513</v>
      </c>
    </row>
    <row r="5521" spans="1:7" x14ac:dyDescent="0.25">
      <c r="A5521" s="1" t="str">
        <f>"501600"</f>
        <v>501600</v>
      </c>
      <c r="B5521" s="2" t="str">
        <f>"CAPS SCH40 2.1/2"</f>
        <v>CAPS SCH40 2.1/2</v>
      </c>
      <c r="C5521" s="2" t="str">
        <f t="shared" si="217"/>
        <v>BR</v>
      </c>
      <c r="D5521" s="7">
        <v>807</v>
      </c>
      <c r="E5521" s="3">
        <v>10</v>
      </c>
      <c r="F5521" s="3">
        <v>10</v>
      </c>
      <c r="G5521" t="s">
        <v>513</v>
      </c>
    </row>
    <row r="5522" spans="1:7" x14ac:dyDescent="0.25">
      <c r="A5522" s="1" t="str">
        <f>"501658"</f>
        <v>501658</v>
      </c>
      <c r="B5522" s="2" t="str">
        <f>"CAPS SCH40 3"</f>
        <v>CAPS SCH40 3</v>
      </c>
      <c r="C5522" s="2" t="str">
        <f t="shared" si="217"/>
        <v>BR</v>
      </c>
      <c r="D5522" s="7">
        <v>807</v>
      </c>
      <c r="E5522" s="3">
        <v>10</v>
      </c>
      <c r="F5522" s="3">
        <v>10</v>
      </c>
      <c r="G5522" t="s">
        <v>512</v>
      </c>
    </row>
    <row r="5523" spans="1:7" x14ac:dyDescent="0.25">
      <c r="A5523" s="1" t="str">
        <f>"501659"</f>
        <v>501659</v>
      </c>
      <c r="B5523" s="2" t="str">
        <f>"CAPS SCH40 4"</f>
        <v>CAPS SCH40 4</v>
      </c>
      <c r="C5523" s="2" t="str">
        <f t="shared" si="217"/>
        <v>BR</v>
      </c>
      <c r="D5523" s="7">
        <v>807</v>
      </c>
      <c r="E5523" s="3">
        <v>10</v>
      </c>
      <c r="F5523" s="3">
        <v>10</v>
      </c>
      <c r="G5523" t="s">
        <v>513</v>
      </c>
    </row>
    <row r="5524" spans="1:7" x14ac:dyDescent="0.25">
      <c r="A5524" s="1" t="str">
        <f>"519620"</f>
        <v>519620</v>
      </c>
      <c r="B5524" s="2" t="str">
        <f>"CAPSULA DO SELO COMPLETA - ZM  C/ ANEL ORING"</f>
        <v>CAPSULA DO SELO COMPLETA - ZM  C/ ANEL ORING</v>
      </c>
      <c r="C5524" s="2" t="str">
        <f t="shared" ref="C5524:C5542" si="218">"UN"</f>
        <v>UN</v>
      </c>
      <c r="D5524" s="7">
        <v>918</v>
      </c>
      <c r="E5524" s="3">
        <v>11</v>
      </c>
      <c r="F5524" s="3">
        <v>11</v>
      </c>
      <c r="G5524" t="s">
        <v>514</v>
      </c>
    </row>
    <row r="5525" spans="1:7" x14ac:dyDescent="0.25">
      <c r="A5525" s="1" t="str">
        <f>"524271"</f>
        <v>524271</v>
      </c>
      <c r="B5525" s="2" t="str">
        <f>"CAPSULA PORCELANA ESMALTADA 130ML"</f>
        <v>CAPSULA PORCELANA ESMALTADA 130ML</v>
      </c>
      <c r="C5525" s="2" t="str">
        <f t="shared" si="218"/>
        <v>UN</v>
      </c>
      <c r="D5525" s="7">
        <v>406</v>
      </c>
      <c r="E5525" s="3">
        <v>4</v>
      </c>
      <c r="F5525" s="3">
        <v>4</v>
      </c>
      <c r="G5525" t="s">
        <v>515</v>
      </c>
    </row>
    <row r="5526" spans="1:7" x14ac:dyDescent="0.25">
      <c r="A5526" s="1" t="str">
        <f>"525286"</f>
        <v>525286</v>
      </c>
      <c r="B5526" s="2" t="str">
        <f>"CAPTOPRIL 25MG"</f>
        <v>CAPTOPRIL 25MG</v>
      </c>
      <c r="C5526" s="2" t="str">
        <f t="shared" si="218"/>
        <v>UN</v>
      </c>
      <c r="D5526" s="7">
        <v>99999</v>
      </c>
      <c r="E5526" s="3">
        <v>99</v>
      </c>
      <c r="F5526" s="3">
        <v>99</v>
      </c>
      <c r="G5526" t="s">
        <v>512</v>
      </c>
    </row>
    <row r="5527" spans="1:7" x14ac:dyDescent="0.25">
      <c r="A5527" s="1" t="str">
        <f>"527013"</f>
        <v>527013</v>
      </c>
      <c r="B5527" s="2" t="str">
        <f>"CAPUCHINHO FERRADURA"</f>
        <v>CAPUCHINHO FERRADURA</v>
      </c>
      <c r="C5527" s="2" t="str">
        <f t="shared" si="218"/>
        <v>UN</v>
      </c>
      <c r="D5527" s="7">
        <v>99999</v>
      </c>
      <c r="E5527" s="3">
        <v>10</v>
      </c>
      <c r="F5527" s="3">
        <v>10</v>
      </c>
      <c r="G5527" t="s">
        <v>516</v>
      </c>
    </row>
    <row r="5528" spans="1:7" x14ac:dyDescent="0.25">
      <c r="A5528" s="1" t="str">
        <f>"504218"</f>
        <v>504218</v>
      </c>
      <c r="B5528" s="2" t="str">
        <f>"CAPUZ 16610/AB/XWA"</f>
        <v>CAPUZ 16610/AB/XWA</v>
      </c>
      <c r="C5528" s="2" t="str">
        <f t="shared" si="218"/>
        <v>UN</v>
      </c>
      <c r="D5528" s="7">
        <v>704</v>
      </c>
      <c r="E5528" s="3">
        <v>9</v>
      </c>
      <c r="F5528" s="3">
        <v>9</v>
      </c>
      <c r="G5528" t="s">
        <v>515</v>
      </c>
    </row>
    <row r="5529" spans="1:7" x14ac:dyDescent="0.25">
      <c r="A5529" s="1" t="str">
        <f>"523484"</f>
        <v>523484</v>
      </c>
      <c r="B5529" s="2" t="str">
        <f>"CAPUZ BALACRAVA 1 ORIFICIO STYLE 130 IDEAL WORK CA-30857 AZ"</f>
        <v>CAPUZ BALACRAVA 1 ORIFICIO STYLE 130 IDEAL WORK CA-30857 AZ</v>
      </c>
      <c r="C5529" s="2" t="str">
        <f t="shared" si="218"/>
        <v>UN</v>
      </c>
      <c r="D5529" s="7">
        <v>501</v>
      </c>
      <c r="E5529" s="3">
        <v>5</v>
      </c>
      <c r="F5529" s="3">
        <v>5</v>
      </c>
      <c r="G5529" t="s">
        <v>514</v>
      </c>
    </row>
    <row r="5530" spans="1:7" x14ac:dyDescent="0.25">
      <c r="A5530" s="1" t="str">
        <f>"527202"</f>
        <v>527202</v>
      </c>
      <c r="B5530" s="2" t="str">
        <f>"CAPUZ BALACRAVA TERMICO META ARAMIDA HERCULES CA-15307"</f>
        <v>CAPUZ BALACRAVA TERMICO META ARAMIDA HERCULES CA-15307</v>
      </c>
      <c r="C5530" s="2" t="str">
        <f t="shared" si="218"/>
        <v>UN</v>
      </c>
      <c r="D5530" s="7">
        <v>501</v>
      </c>
      <c r="E5530" s="3">
        <v>5</v>
      </c>
      <c r="F5530" s="3">
        <v>5</v>
      </c>
      <c r="G5530" t="s">
        <v>512</v>
      </c>
    </row>
    <row r="5531" spans="1:7" x14ac:dyDescent="0.25">
      <c r="A5531" s="1" t="str">
        <f>"6657"</f>
        <v>6657</v>
      </c>
      <c r="B5531" s="2" t="str">
        <f>"CAPUZ MALHA AZUL MARINHO MAICOL CA-10979"</f>
        <v>CAPUZ MALHA AZUL MARINHO MAICOL CA-10979</v>
      </c>
      <c r="C5531" s="2" t="str">
        <f t="shared" si="218"/>
        <v>UN</v>
      </c>
      <c r="D5531" s="7">
        <v>500</v>
      </c>
      <c r="E5531" s="3">
        <v>5</v>
      </c>
      <c r="F5531" s="3">
        <v>5</v>
      </c>
      <c r="G5531" t="s">
        <v>513</v>
      </c>
    </row>
    <row r="5532" spans="1:7" x14ac:dyDescent="0.25">
      <c r="A5532" s="1" t="str">
        <f>"6652"</f>
        <v>6652</v>
      </c>
      <c r="B5532" s="2" t="str">
        <f>"CAPUZ MALHA BRANCA MAICOL CA-10979"</f>
        <v>CAPUZ MALHA BRANCA MAICOL CA-10979</v>
      </c>
      <c r="C5532" s="2" t="str">
        <f t="shared" si="218"/>
        <v>UN</v>
      </c>
      <c r="D5532" s="7">
        <v>500</v>
      </c>
      <c r="E5532" s="3">
        <v>5</v>
      </c>
      <c r="F5532" s="3">
        <v>5</v>
      </c>
      <c r="G5532" t="s">
        <v>514</v>
      </c>
    </row>
    <row r="5533" spans="1:7" x14ac:dyDescent="0.25">
      <c r="A5533" s="1" t="str">
        <f>"509547"</f>
        <v>509547</v>
      </c>
      <c r="B5533" s="2" t="str">
        <f>"CAPUZ SEM DOBRADIÇA 2C45/16610/AB/XWA"</f>
        <v>CAPUZ SEM DOBRADIÇA 2C45/16610/AB/XWA</v>
      </c>
      <c r="C5533" s="2" t="str">
        <f t="shared" si="218"/>
        <v>UN</v>
      </c>
      <c r="D5533" s="7">
        <v>918</v>
      </c>
      <c r="E5533" s="3">
        <v>11</v>
      </c>
      <c r="F5533" s="3">
        <v>11</v>
      </c>
      <c r="G5533" t="s">
        <v>514</v>
      </c>
    </row>
    <row r="5534" spans="1:7" x14ac:dyDescent="0.25">
      <c r="A5534" s="1" t="str">
        <f>"528074"</f>
        <v>528074</v>
      </c>
      <c r="B5534" s="2" t="str">
        <f>"CARACOL DE TURBINA"</f>
        <v>CARACOL DE TURBINA</v>
      </c>
      <c r="C5534" s="2" t="str">
        <f t="shared" si="218"/>
        <v>UN</v>
      </c>
      <c r="D5534" s="7">
        <v>704</v>
      </c>
      <c r="E5534" s="3">
        <v>9</v>
      </c>
      <c r="F5534" s="3">
        <v>9</v>
      </c>
      <c r="G5534" t="s">
        <v>512</v>
      </c>
    </row>
    <row r="5535" spans="1:7" x14ac:dyDescent="0.25">
      <c r="A5535" s="1" t="str">
        <f>"522831"</f>
        <v>522831</v>
      </c>
      <c r="B5535" s="8" t="s">
        <v>340</v>
      </c>
      <c r="C5535" s="2" t="str">
        <f t="shared" si="218"/>
        <v>UN</v>
      </c>
      <c r="D5535" s="7">
        <v>813</v>
      </c>
      <c r="E5535" s="3">
        <v>10</v>
      </c>
      <c r="F5535" s="3">
        <v>10</v>
      </c>
      <c r="G5535" t="s">
        <v>513</v>
      </c>
    </row>
    <row r="5536" spans="1:7" x14ac:dyDescent="0.25">
      <c r="A5536" s="1" t="str">
        <f>"506027"</f>
        <v>506027</v>
      </c>
      <c r="B5536" s="2" t="str">
        <f>"CARALIT ACET F107 0,900ML"</f>
        <v>CARALIT ACET F107 0,900ML</v>
      </c>
      <c r="C5536" s="2" t="str">
        <f t="shared" si="218"/>
        <v>UN</v>
      </c>
      <c r="D5536" s="7">
        <v>804</v>
      </c>
      <c r="E5536" s="3">
        <v>10</v>
      </c>
      <c r="F5536" s="3">
        <v>10</v>
      </c>
      <c r="G5536" t="s">
        <v>514</v>
      </c>
    </row>
    <row r="5537" spans="1:7" x14ac:dyDescent="0.25">
      <c r="A5537" s="1" t="str">
        <f>"510182"</f>
        <v>510182</v>
      </c>
      <c r="B5537" s="2" t="str">
        <f>"CARBURADOR"</f>
        <v>CARBURADOR</v>
      </c>
      <c r="C5537" s="2" t="str">
        <f t="shared" si="218"/>
        <v>UN</v>
      </c>
      <c r="D5537" s="7">
        <v>402</v>
      </c>
      <c r="E5537" s="3">
        <v>4</v>
      </c>
      <c r="F5537" s="3">
        <v>4</v>
      </c>
      <c r="G5537" t="s">
        <v>514</v>
      </c>
    </row>
    <row r="5538" spans="1:7" x14ac:dyDescent="0.25">
      <c r="A5538" s="1" t="str">
        <f>"519167"</f>
        <v>519167</v>
      </c>
      <c r="B5538" s="2" t="str">
        <f>"CARBURADOR STILL FS220"</f>
        <v>CARBURADOR STILL FS220</v>
      </c>
      <c r="C5538" s="2" t="str">
        <f t="shared" si="218"/>
        <v>UN</v>
      </c>
      <c r="D5538" s="7">
        <v>918</v>
      </c>
      <c r="E5538" s="3">
        <v>11</v>
      </c>
      <c r="F5538" s="3">
        <v>11</v>
      </c>
      <c r="G5538" t="s">
        <v>514</v>
      </c>
    </row>
    <row r="5539" spans="1:7" x14ac:dyDescent="0.25">
      <c r="A5539" s="1" t="str">
        <f>"515664"</f>
        <v>515664</v>
      </c>
      <c r="B5539" s="2" t="str">
        <f>"CARBURETO"</f>
        <v>CARBURETO</v>
      </c>
      <c r="C5539" s="2" t="str">
        <f t="shared" si="218"/>
        <v>UN</v>
      </c>
      <c r="D5539" s="7">
        <v>704</v>
      </c>
      <c r="E5539" s="3">
        <v>9</v>
      </c>
      <c r="F5539" s="3">
        <v>9</v>
      </c>
      <c r="G5539" t="s">
        <v>513</v>
      </c>
    </row>
    <row r="5540" spans="1:7" x14ac:dyDescent="0.25">
      <c r="A5540" s="1" t="str">
        <f>"504385"</f>
        <v>504385</v>
      </c>
      <c r="B5540" s="2" t="str">
        <f>"CARCACA"</f>
        <v>CARCACA</v>
      </c>
      <c r="C5540" s="2" t="str">
        <f t="shared" si="218"/>
        <v>UN</v>
      </c>
      <c r="D5540" s="7">
        <v>704</v>
      </c>
      <c r="E5540" s="3">
        <v>9</v>
      </c>
      <c r="F5540" s="3">
        <v>9</v>
      </c>
      <c r="G5540" t="s">
        <v>512</v>
      </c>
    </row>
    <row r="5541" spans="1:7" x14ac:dyDescent="0.25">
      <c r="A5541" s="1" t="str">
        <f>"512497"</f>
        <v>512497</v>
      </c>
      <c r="B5541" s="2" t="str">
        <f>"CARCAÇA BASE SDCT-04"</f>
        <v>CARCAÇA BASE SDCT-04</v>
      </c>
      <c r="C5541" s="2" t="str">
        <f t="shared" si="218"/>
        <v>UN</v>
      </c>
      <c r="D5541" s="7">
        <v>918</v>
      </c>
      <c r="E5541" s="3">
        <v>11</v>
      </c>
      <c r="F5541" s="3">
        <v>11</v>
      </c>
      <c r="G5541" t="s">
        <v>513</v>
      </c>
    </row>
    <row r="5542" spans="1:7" x14ac:dyDescent="0.25">
      <c r="A5542" s="1" t="str">
        <f>"513496"</f>
        <v>513496</v>
      </c>
      <c r="B5542" s="2" t="str">
        <f>"CARCAÇA P/ VULCANIZAÇÃO"</f>
        <v>CARCAÇA P/ VULCANIZAÇÃO</v>
      </c>
      <c r="C5542" s="2" t="str">
        <f t="shared" si="218"/>
        <v>UN</v>
      </c>
      <c r="D5542" s="7">
        <v>99999</v>
      </c>
      <c r="E5542" s="3">
        <v>99</v>
      </c>
      <c r="F5542" s="3">
        <v>99</v>
      </c>
      <c r="G5542" t="s">
        <v>514</v>
      </c>
    </row>
    <row r="5543" spans="1:7" x14ac:dyDescent="0.25">
      <c r="A5543" s="1" t="str">
        <f>"512264"</f>
        <v>512264</v>
      </c>
      <c r="B5543" s="2" t="str">
        <f>"CARCAÇA PLUG LOGIC SDCP-04"</f>
        <v>CARCAÇA PLUG LOGIC SDCP-04</v>
      </c>
      <c r="C5543" s="2" t="str">
        <f>"PC"</f>
        <v>PC</v>
      </c>
      <c r="D5543" s="7">
        <v>918</v>
      </c>
      <c r="E5543" s="3">
        <v>11</v>
      </c>
      <c r="F5543" s="3">
        <v>11</v>
      </c>
      <c r="G5543" t="s">
        <v>514</v>
      </c>
    </row>
    <row r="5544" spans="1:7" x14ac:dyDescent="0.25">
      <c r="A5544" s="1" t="str">
        <f>"504253"</f>
        <v>504253</v>
      </c>
      <c r="B5544" s="2" t="str">
        <f>"CARCACA PLUG STECK 6POLOS REF.SCPL2R-06"</f>
        <v>CARCACA PLUG STECK 6POLOS REF.SCPL2R-06</v>
      </c>
      <c r="C5544" s="2" t="str">
        <f t="shared" ref="C5544:C5579" si="219">"UN"</f>
        <v>UN</v>
      </c>
      <c r="D5544" s="7">
        <v>601</v>
      </c>
      <c r="E5544" s="3">
        <v>8</v>
      </c>
      <c r="F5544" s="3">
        <v>8</v>
      </c>
      <c r="G5544" t="s">
        <v>514</v>
      </c>
    </row>
    <row r="5545" spans="1:7" x14ac:dyDescent="0.25">
      <c r="A5545" s="1" t="str">
        <f>"504252"</f>
        <v>504252</v>
      </c>
      <c r="B5545" s="2" t="str">
        <f>"CARCACA PLUG STECK 6POLOS REF.SCPS2R-06"</f>
        <v>CARCACA PLUG STECK 6POLOS REF.SCPS2R-06</v>
      </c>
      <c r="C5545" s="2" t="str">
        <f t="shared" si="219"/>
        <v>UN</v>
      </c>
      <c r="D5545" s="7">
        <v>601</v>
      </c>
      <c r="E5545" s="3">
        <v>8</v>
      </c>
      <c r="F5545" s="3">
        <v>8</v>
      </c>
      <c r="G5545" t="s">
        <v>513</v>
      </c>
    </row>
    <row r="5546" spans="1:7" x14ac:dyDescent="0.25">
      <c r="A5546" s="1" t="str">
        <f>"501224"</f>
        <v>501224</v>
      </c>
      <c r="B5546" s="2" t="str">
        <f>"CARCACA PLUG STECK REF.SDCP-04"</f>
        <v>CARCACA PLUG STECK REF.SDCP-04</v>
      </c>
      <c r="C5546" s="2" t="str">
        <f t="shared" si="219"/>
        <v>UN</v>
      </c>
      <c r="D5546" s="7">
        <v>601</v>
      </c>
      <c r="E5546" s="3">
        <v>8</v>
      </c>
      <c r="F5546" s="3">
        <v>8</v>
      </c>
      <c r="G5546" t="s">
        <v>513</v>
      </c>
    </row>
    <row r="5547" spans="1:7" x14ac:dyDescent="0.25">
      <c r="A5547" s="1" t="str">
        <f>"513040"</f>
        <v>513040</v>
      </c>
      <c r="B5547" s="2" t="str">
        <f>"CARCAÇA PNEU"</f>
        <v>CARCAÇA PNEU</v>
      </c>
      <c r="C5547" s="2" t="str">
        <f t="shared" si="219"/>
        <v>UN</v>
      </c>
      <c r="D5547" s="7">
        <v>99999</v>
      </c>
      <c r="E5547" s="3">
        <v>99</v>
      </c>
      <c r="F5547" s="3">
        <v>99</v>
      </c>
      <c r="G5547" t="s">
        <v>513</v>
      </c>
    </row>
    <row r="5548" spans="1:7" x14ac:dyDescent="0.25">
      <c r="A5548" s="1" t="str">
        <f>"521025"</f>
        <v>521025</v>
      </c>
      <c r="B5548" s="2" t="str">
        <f>"CARDIGAN (BLUSA DE LÃ)"</f>
        <v>CARDIGAN (BLUSA DE LÃ)</v>
      </c>
      <c r="C5548" s="2" t="str">
        <f t="shared" si="219"/>
        <v>UN</v>
      </c>
      <c r="D5548" s="7">
        <v>500</v>
      </c>
      <c r="E5548" s="3">
        <v>5</v>
      </c>
      <c r="F5548" s="3">
        <v>5</v>
      </c>
      <c r="G5548" t="s">
        <v>512</v>
      </c>
    </row>
    <row r="5549" spans="1:7" x14ac:dyDescent="0.25">
      <c r="A5549" s="1" t="str">
        <f>"515501"</f>
        <v>515501</v>
      </c>
      <c r="B5549" s="2" t="str">
        <f>"CARENAGEM"</f>
        <v>CARENAGEM</v>
      </c>
      <c r="C5549" s="2" t="str">
        <f t="shared" si="219"/>
        <v>UN</v>
      </c>
      <c r="D5549" s="7">
        <v>704</v>
      </c>
      <c r="E5549" s="3">
        <v>9</v>
      </c>
      <c r="F5549" s="3">
        <v>9</v>
      </c>
      <c r="G5549" t="s">
        <v>513</v>
      </c>
    </row>
    <row r="5550" spans="1:7" x14ac:dyDescent="0.25">
      <c r="A5550" s="1" t="str">
        <f>"511525"</f>
        <v>511525</v>
      </c>
      <c r="B5550" s="2" t="str">
        <f>"CARENAGEM VENTOINHA MOTOR"</f>
        <v>CARENAGEM VENTOINHA MOTOR</v>
      </c>
      <c r="C5550" s="2" t="str">
        <f t="shared" si="219"/>
        <v>UN</v>
      </c>
      <c r="D5550" s="7">
        <v>601</v>
      </c>
      <c r="E5550" s="3">
        <v>8</v>
      </c>
      <c r="F5550" s="3">
        <v>8</v>
      </c>
      <c r="G5550" t="s">
        <v>514</v>
      </c>
    </row>
    <row r="5551" spans="1:7" x14ac:dyDescent="0.25">
      <c r="A5551" s="1" t="str">
        <f>"528014"</f>
        <v>528014</v>
      </c>
      <c r="B5551" s="2" t="str">
        <f>"CARGA DE BATERIA"</f>
        <v>CARGA DE BATERIA</v>
      </c>
      <c r="C5551" s="2" t="str">
        <f t="shared" si="219"/>
        <v>UN</v>
      </c>
      <c r="D5551" s="7">
        <v>704</v>
      </c>
      <c r="E5551" s="3">
        <v>4</v>
      </c>
      <c r="F5551" s="3">
        <v>4</v>
      </c>
      <c r="G5551" t="s">
        <v>515</v>
      </c>
    </row>
    <row r="5552" spans="1:7" x14ac:dyDescent="0.25">
      <c r="A5552" s="1" t="str">
        <f>"519045"</f>
        <v>519045</v>
      </c>
      <c r="B5552" s="2" t="str">
        <f>"CARGA EXTINTOR ABC 6KG"</f>
        <v>CARGA EXTINTOR ABC 6KG</v>
      </c>
      <c r="C5552" s="2" t="str">
        <f t="shared" si="219"/>
        <v>UN</v>
      </c>
      <c r="D5552" s="7">
        <v>403</v>
      </c>
      <c r="E5552" s="3">
        <v>4</v>
      </c>
      <c r="F5552" s="3">
        <v>4</v>
      </c>
      <c r="G5552" t="s">
        <v>512</v>
      </c>
    </row>
    <row r="5553" spans="1:7" x14ac:dyDescent="0.25">
      <c r="A5553" s="1" t="str">
        <f>"509216"</f>
        <v>509216</v>
      </c>
      <c r="B5553" s="2" t="str">
        <f>"CARGA EXTINTOR AP 10KG"</f>
        <v>CARGA EXTINTOR AP 10KG</v>
      </c>
      <c r="C5553" s="2" t="str">
        <f t="shared" si="219"/>
        <v>UN</v>
      </c>
      <c r="D5553" s="7">
        <v>402</v>
      </c>
      <c r="E5553" s="3">
        <v>4</v>
      </c>
      <c r="F5553" s="3">
        <v>4</v>
      </c>
      <c r="G5553" t="s">
        <v>516</v>
      </c>
    </row>
    <row r="5554" spans="1:7" x14ac:dyDescent="0.25">
      <c r="A5554" s="1" t="str">
        <f>"516406"</f>
        <v>516406</v>
      </c>
      <c r="B5554" s="2" t="str">
        <f>"CARGA EXTINTOR CARRETA PQS ABC 20KG"</f>
        <v>CARGA EXTINTOR CARRETA PQS ABC 20KG</v>
      </c>
      <c r="C5554" s="2" t="str">
        <f t="shared" si="219"/>
        <v>UN</v>
      </c>
      <c r="D5554" s="7">
        <v>403</v>
      </c>
      <c r="E5554" s="3">
        <v>4</v>
      </c>
      <c r="F5554" s="3">
        <v>4</v>
      </c>
      <c r="G5554" t="s">
        <v>515</v>
      </c>
    </row>
    <row r="5555" spans="1:7" x14ac:dyDescent="0.25">
      <c r="A5555" s="1" t="str">
        <f>"509218"</f>
        <v>509218</v>
      </c>
      <c r="B5555" s="2" t="str">
        <f>"CARGA EXTINTOR CO2 6KG"</f>
        <v>CARGA EXTINTOR CO2 6KG</v>
      </c>
      <c r="C5555" s="2" t="str">
        <f t="shared" si="219"/>
        <v>UN</v>
      </c>
      <c r="D5555" s="7">
        <v>402</v>
      </c>
      <c r="E5555" s="3">
        <v>4</v>
      </c>
      <c r="F5555" s="3">
        <v>4</v>
      </c>
      <c r="G5555" t="s">
        <v>514</v>
      </c>
    </row>
    <row r="5556" spans="1:7" x14ac:dyDescent="0.25">
      <c r="A5556" s="1" t="str">
        <f>"527501"</f>
        <v>527501</v>
      </c>
      <c r="B5556" s="2" t="str">
        <f>"CARGA EXTINTOR ESPUMA MECANICA 10LTS"</f>
        <v>CARGA EXTINTOR ESPUMA MECANICA 10LTS</v>
      </c>
      <c r="C5556" s="2" t="str">
        <f t="shared" si="219"/>
        <v>UN</v>
      </c>
      <c r="D5556" s="7">
        <v>815</v>
      </c>
      <c r="E5556" s="3">
        <v>10</v>
      </c>
      <c r="F5556" s="3">
        <v>10</v>
      </c>
      <c r="G5556" t="s">
        <v>512</v>
      </c>
    </row>
    <row r="5557" spans="1:7" x14ac:dyDescent="0.25">
      <c r="A5557" s="1" t="str">
        <f>"511877"</f>
        <v>511877</v>
      </c>
      <c r="B5557" s="2" t="str">
        <f>"CARGA EXTINTOR P1 1KG"</f>
        <v>CARGA EXTINTOR P1 1KG</v>
      </c>
      <c r="C5557" s="2" t="str">
        <f t="shared" si="219"/>
        <v>UN</v>
      </c>
      <c r="D5557" s="7">
        <v>815</v>
      </c>
      <c r="E5557" s="3">
        <v>10</v>
      </c>
      <c r="F5557" s="3">
        <v>10</v>
      </c>
      <c r="G5557" t="s">
        <v>513</v>
      </c>
    </row>
    <row r="5558" spans="1:7" x14ac:dyDescent="0.25">
      <c r="A5558" s="1" t="str">
        <f>"514018"</f>
        <v>514018</v>
      </c>
      <c r="B5558" s="2" t="str">
        <f>"CARGA EXTINTOR P12 12KG"</f>
        <v>CARGA EXTINTOR P12 12KG</v>
      </c>
      <c r="C5558" s="2" t="str">
        <f t="shared" si="219"/>
        <v>UN</v>
      </c>
      <c r="D5558" s="7">
        <v>815</v>
      </c>
      <c r="E5558" s="3">
        <v>10</v>
      </c>
      <c r="F5558" s="3">
        <v>10</v>
      </c>
      <c r="G5558" t="s">
        <v>514</v>
      </c>
    </row>
    <row r="5559" spans="1:7" x14ac:dyDescent="0.25">
      <c r="A5559" s="1" t="str">
        <f>"514019"</f>
        <v>514019</v>
      </c>
      <c r="B5559" s="2" t="str">
        <f>"CARGA EXTINTOR P4 4KG"</f>
        <v>CARGA EXTINTOR P4 4KG</v>
      </c>
      <c r="C5559" s="2" t="str">
        <f t="shared" si="219"/>
        <v>UN</v>
      </c>
      <c r="D5559" s="7">
        <v>815</v>
      </c>
      <c r="E5559" s="3">
        <v>10</v>
      </c>
      <c r="F5559" s="3">
        <v>10</v>
      </c>
      <c r="G5559" t="s">
        <v>514</v>
      </c>
    </row>
    <row r="5560" spans="1:7" x14ac:dyDescent="0.25">
      <c r="A5560" s="1" t="str">
        <f>"516407"</f>
        <v>516407</v>
      </c>
      <c r="B5560" s="2" t="str">
        <f>"CARGA EXTINTOR P4 4KG"</f>
        <v>CARGA EXTINTOR P4 4KG</v>
      </c>
      <c r="C5560" s="2" t="str">
        <f t="shared" si="219"/>
        <v>UN</v>
      </c>
      <c r="D5560" s="7">
        <v>403</v>
      </c>
      <c r="E5560" s="3">
        <v>4</v>
      </c>
      <c r="F5560" s="3">
        <v>4</v>
      </c>
      <c r="G5560" t="s">
        <v>512</v>
      </c>
    </row>
    <row r="5561" spans="1:7" x14ac:dyDescent="0.25">
      <c r="A5561" s="1" t="str">
        <f>"511878"</f>
        <v>511878</v>
      </c>
      <c r="B5561" s="2" t="str">
        <f>"CARGA EXTINTOR P6 6KG"</f>
        <v>CARGA EXTINTOR P6 6KG</v>
      </c>
      <c r="C5561" s="2" t="str">
        <f t="shared" si="219"/>
        <v>UN</v>
      </c>
      <c r="D5561" s="7">
        <v>815</v>
      </c>
      <c r="E5561" s="3">
        <v>10</v>
      </c>
      <c r="F5561" s="3">
        <v>10</v>
      </c>
      <c r="G5561" t="s">
        <v>513</v>
      </c>
    </row>
    <row r="5562" spans="1:7" x14ac:dyDescent="0.25">
      <c r="A5562" s="1" t="str">
        <f>"512208"</f>
        <v>512208</v>
      </c>
      <c r="B5562" s="2" t="str">
        <f>"CARGA EXTINTOR P8 8KG"</f>
        <v>CARGA EXTINTOR P8 8KG</v>
      </c>
      <c r="C5562" s="2" t="str">
        <f t="shared" si="219"/>
        <v>UN</v>
      </c>
      <c r="D5562" s="7">
        <v>815</v>
      </c>
      <c r="E5562" s="3">
        <v>10</v>
      </c>
      <c r="F5562" s="3">
        <v>10</v>
      </c>
      <c r="G5562" t="s">
        <v>514</v>
      </c>
    </row>
    <row r="5563" spans="1:7" x14ac:dyDescent="0.25">
      <c r="A5563" s="1" t="str">
        <f>"510595"</f>
        <v>510595</v>
      </c>
      <c r="B5563" s="2" t="str">
        <f>"CARGA EXTINTOR PQS 1KG"</f>
        <v>CARGA EXTINTOR PQS 1KG</v>
      </c>
      <c r="C5563" s="2" t="str">
        <f t="shared" si="219"/>
        <v>UN</v>
      </c>
      <c r="D5563" s="7">
        <v>815</v>
      </c>
      <c r="E5563" s="3">
        <v>10</v>
      </c>
      <c r="F5563" s="3">
        <v>10</v>
      </c>
      <c r="G5563" t="s">
        <v>514</v>
      </c>
    </row>
    <row r="5564" spans="1:7" x14ac:dyDescent="0.25">
      <c r="A5564" s="1" t="str">
        <f>"517438"</f>
        <v>517438</v>
      </c>
      <c r="B5564" s="2" t="str">
        <f>"CARGA EXTINTOR PQS 20KG"</f>
        <v>CARGA EXTINTOR PQS 20KG</v>
      </c>
      <c r="C5564" s="2" t="str">
        <f t="shared" si="219"/>
        <v>UN</v>
      </c>
      <c r="D5564" s="7">
        <v>402</v>
      </c>
      <c r="E5564" s="3">
        <v>4</v>
      </c>
      <c r="F5564" s="3">
        <v>4</v>
      </c>
      <c r="G5564" t="s">
        <v>514</v>
      </c>
    </row>
    <row r="5565" spans="1:7" x14ac:dyDescent="0.25">
      <c r="A5565" s="1" t="str">
        <f>"511451"</f>
        <v>511451</v>
      </c>
      <c r="B5565" s="2" t="str">
        <f>"CARGA EXTINTOR PQS 4KG"</f>
        <v>CARGA EXTINTOR PQS 4KG</v>
      </c>
      <c r="C5565" s="2" t="str">
        <f t="shared" si="219"/>
        <v>UN</v>
      </c>
      <c r="D5565" s="7">
        <v>402</v>
      </c>
      <c r="E5565" s="3">
        <v>4</v>
      </c>
      <c r="F5565" s="3">
        <v>4</v>
      </c>
      <c r="G5565" t="s">
        <v>513</v>
      </c>
    </row>
    <row r="5566" spans="1:7" x14ac:dyDescent="0.25">
      <c r="A5566" s="1" t="str">
        <f>"512873"</f>
        <v>512873</v>
      </c>
      <c r="B5566" s="2" t="str">
        <f>"CARGA EXTINTOR PQS 6KG ABC"</f>
        <v>CARGA EXTINTOR PQS 6KG ABC</v>
      </c>
      <c r="C5566" s="2" t="str">
        <f t="shared" si="219"/>
        <v>UN</v>
      </c>
      <c r="D5566" s="7">
        <v>815</v>
      </c>
      <c r="E5566" s="3">
        <v>10</v>
      </c>
      <c r="F5566" s="3">
        <v>10</v>
      </c>
      <c r="G5566" t="s">
        <v>512</v>
      </c>
    </row>
    <row r="5567" spans="1:7" x14ac:dyDescent="0.25">
      <c r="A5567" s="1" t="str">
        <f>"510594"</f>
        <v>510594</v>
      </c>
      <c r="B5567" s="2" t="str">
        <f>"CARGA EXTINTOR PQS 6KG BC"</f>
        <v>CARGA EXTINTOR PQS 6KG BC</v>
      </c>
      <c r="C5567" s="2" t="str">
        <f t="shared" si="219"/>
        <v>UN</v>
      </c>
      <c r="D5567" s="7">
        <v>815</v>
      </c>
      <c r="E5567" s="3">
        <v>10</v>
      </c>
      <c r="F5567" s="3">
        <v>10</v>
      </c>
      <c r="G5567" t="s">
        <v>513</v>
      </c>
    </row>
    <row r="5568" spans="1:7" x14ac:dyDescent="0.25">
      <c r="A5568" s="1" t="str">
        <f>"509217"</f>
        <v>509217</v>
      </c>
      <c r="B5568" s="2" t="str">
        <f>"CARGA EXTINTOR PQS 8KG"</f>
        <v>CARGA EXTINTOR PQS 8KG</v>
      </c>
      <c r="C5568" s="2" t="str">
        <f t="shared" si="219"/>
        <v>UN</v>
      </c>
      <c r="D5568" s="7">
        <v>402</v>
      </c>
      <c r="E5568" s="3">
        <v>4</v>
      </c>
      <c r="F5568" s="3">
        <v>4</v>
      </c>
      <c r="G5568" t="s">
        <v>514</v>
      </c>
    </row>
    <row r="5569" spans="1:7" x14ac:dyDescent="0.25">
      <c r="A5569" s="1" t="str">
        <f>"527502"</f>
        <v>527502</v>
      </c>
      <c r="B5569" s="2" t="str">
        <f>"CARGA EXTINTOR PQS BC 20KG"</f>
        <v>CARGA EXTINTOR PQS BC 20KG</v>
      </c>
      <c r="C5569" s="2" t="str">
        <f t="shared" si="219"/>
        <v>UN</v>
      </c>
      <c r="D5569" s="7">
        <v>815</v>
      </c>
      <c r="E5569" s="3">
        <v>10</v>
      </c>
      <c r="F5569" s="3">
        <v>10</v>
      </c>
      <c r="G5569" t="s">
        <v>514</v>
      </c>
    </row>
    <row r="5570" spans="1:7" x14ac:dyDescent="0.25">
      <c r="A5570" s="1" t="str">
        <f>"509219"</f>
        <v>509219</v>
      </c>
      <c r="B5570" s="2" t="str">
        <f>"CARGA EXTINTOR PQS5 4KG"</f>
        <v>CARGA EXTINTOR PQS5 4KG</v>
      </c>
      <c r="C5570" s="2" t="str">
        <f t="shared" si="219"/>
        <v>UN</v>
      </c>
      <c r="D5570" s="7">
        <v>402</v>
      </c>
      <c r="E5570" s="3">
        <v>4</v>
      </c>
      <c r="F5570" s="3">
        <v>4</v>
      </c>
      <c r="G5570" t="s">
        <v>514</v>
      </c>
    </row>
    <row r="5571" spans="1:7" x14ac:dyDescent="0.25">
      <c r="A5571" s="1" t="str">
        <f>"513043"</f>
        <v>513043</v>
      </c>
      <c r="B5571" s="2" t="str">
        <f>"CARGA GÁS"</f>
        <v>CARGA GÁS</v>
      </c>
      <c r="C5571" s="2" t="str">
        <f t="shared" si="219"/>
        <v>UN</v>
      </c>
      <c r="D5571" s="7">
        <v>99999</v>
      </c>
      <c r="E5571" s="3">
        <v>99</v>
      </c>
      <c r="F5571" s="3">
        <v>99</v>
      </c>
      <c r="G5571" t="s">
        <v>513</v>
      </c>
    </row>
    <row r="5572" spans="1:7" x14ac:dyDescent="0.25">
      <c r="A5572" s="1" t="str">
        <f>"518545"</f>
        <v>518545</v>
      </c>
      <c r="B5572" s="2" t="str">
        <f>"CARGA GAS - REFIL TUBO TOCHA"</f>
        <v>CARGA GAS - REFIL TUBO TOCHA</v>
      </c>
      <c r="C5572" s="2" t="str">
        <f t="shared" si="219"/>
        <v>UN</v>
      </c>
      <c r="D5572" s="7">
        <v>916</v>
      </c>
      <c r="E5572" s="3">
        <v>10</v>
      </c>
      <c r="F5572" s="3">
        <v>10</v>
      </c>
      <c r="G5572" t="s">
        <v>513</v>
      </c>
    </row>
    <row r="5573" spans="1:7" x14ac:dyDescent="0.25">
      <c r="A5573" s="1" t="str">
        <f>"515901"</f>
        <v>515901</v>
      </c>
      <c r="B5573" s="2" t="str">
        <f>"CARGA MINERAL PPB (AREIA)"</f>
        <v>CARGA MINERAL PPB (AREIA)</v>
      </c>
      <c r="C5573" s="2" t="str">
        <f t="shared" si="219"/>
        <v>UN</v>
      </c>
      <c r="D5573" s="7">
        <v>99999</v>
      </c>
      <c r="E5573" s="3">
        <v>99</v>
      </c>
      <c r="F5573" s="3">
        <v>99</v>
      </c>
      <c r="G5573" t="s">
        <v>513</v>
      </c>
    </row>
    <row r="5574" spans="1:7" x14ac:dyDescent="0.25">
      <c r="A5574" s="1" t="str">
        <f>"517360"</f>
        <v>517360</v>
      </c>
      <c r="B5574" s="2" t="str">
        <f>"CARGA P/ GAS DESCARTAVEL 330ML"</f>
        <v>CARGA P/ GAS DESCARTAVEL 330ML</v>
      </c>
      <c r="C5574" s="2" t="str">
        <f t="shared" si="219"/>
        <v>UN</v>
      </c>
      <c r="D5574" s="7">
        <v>918</v>
      </c>
      <c r="E5574" s="3">
        <v>4</v>
      </c>
      <c r="F5574" s="3">
        <v>4</v>
      </c>
      <c r="G5574" t="s">
        <v>512</v>
      </c>
    </row>
    <row r="5575" spans="1:7" x14ac:dyDescent="0.25">
      <c r="A5575" s="1" t="str">
        <f>"513767"</f>
        <v>513767</v>
      </c>
      <c r="B5575" s="2" t="str">
        <f>"CARIMBO AUTOMATICO"</f>
        <v>CARIMBO AUTOMATICO</v>
      </c>
      <c r="C5575" s="2" t="str">
        <f t="shared" si="219"/>
        <v>UN</v>
      </c>
      <c r="D5575" s="7">
        <v>401</v>
      </c>
      <c r="E5575" s="3">
        <v>4</v>
      </c>
      <c r="F5575" s="3">
        <v>4</v>
      </c>
      <c r="G5575" t="s">
        <v>513</v>
      </c>
    </row>
    <row r="5576" spans="1:7" x14ac:dyDescent="0.25">
      <c r="A5576" s="1" t="str">
        <f>"508073"</f>
        <v>508073</v>
      </c>
      <c r="B5576" s="2" t="str">
        <f>"CARIMBO AUTOMATICO Nº15"</f>
        <v>CARIMBO AUTOMATICO Nº15</v>
      </c>
      <c r="C5576" s="2" t="str">
        <f t="shared" si="219"/>
        <v>UN</v>
      </c>
      <c r="D5576" s="7">
        <v>918</v>
      </c>
      <c r="E5576" s="3">
        <v>4</v>
      </c>
      <c r="F5576" s="3">
        <v>4</v>
      </c>
      <c r="G5576" t="s">
        <v>514</v>
      </c>
    </row>
    <row r="5577" spans="1:7" x14ac:dyDescent="0.25">
      <c r="A5577" s="1" t="str">
        <f>"508080"</f>
        <v>508080</v>
      </c>
      <c r="B5577" s="2" t="str">
        <f>"CARIMBO AUTOMATICO Nº60"</f>
        <v>CARIMBO AUTOMATICO Nº60</v>
      </c>
      <c r="C5577" s="2" t="str">
        <f t="shared" si="219"/>
        <v>UN</v>
      </c>
      <c r="D5577" s="7">
        <v>918</v>
      </c>
      <c r="E5577" s="3">
        <v>4</v>
      </c>
      <c r="F5577" s="3">
        <v>4</v>
      </c>
      <c r="G5577" t="s">
        <v>515</v>
      </c>
    </row>
    <row r="5578" spans="1:7" x14ac:dyDescent="0.25">
      <c r="A5578" s="1" t="str">
        <f>"513768"</f>
        <v>513768</v>
      </c>
      <c r="B5578" s="2" t="str">
        <f>"CARIMBO DE MADEIRA"</f>
        <v>CARIMBO DE MADEIRA</v>
      </c>
      <c r="C5578" s="2" t="str">
        <f t="shared" si="219"/>
        <v>UN</v>
      </c>
      <c r="D5578" s="7">
        <v>401</v>
      </c>
      <c r="E5578" s="3">
        <v>4</v>
      </c>
      <c r="F5578" s="3">
        <v>4</v>
      </c>
      <c r="G5578" t="s">
        <v>512</v>
      </c>
    </row>
    <row r="5579" spans="1:7" x14ac:dyDescent="0.25">
      <c r="A5579" s="1" t="str">
        <f>"506933"</f>
        <v>506933</v>
      </c>
      <c r="B5579" s="2" t="str">
        <f>"CARIMBO MINI DATADOR DUPLO S311"</f>
        <v>CARIMBO MINI DATADOR DUPLO S311</v>
      </c>
      <c r="C5579" s="2" t="str">
        <f t="shared" si="219"/>
        <v>UN</v>
      </c>
      <c r="D5579" s="7">
        <v>402</v>
      </c>
      <c r="E5579" s="3">
        <v>4</v>
      </c>
      <c r="F5579" s="3">
        <v>4</v>
      </c>
      <c r="G5579" t="s">
        <v>516</v>
      </c>
    </row>
    <row r="5580" spans="1:7" x14ac:dyDescent="0.25">
      <c r="A5580" s="1" t="str">
        <f>"516149"</f>
        <v>516149</v>
      </c>
      <c r="B5580" s="2" t="str">
        <f>"CARIMBO MINI NUMERADOR S309"</f>
        <v>CARIMBO MINI NUMERADOR S309</v>
      </c>
      <c r="C5580" s="2" t="str">
        <f>"PC"</f>
        <v>PC</v>
      </c>
      <c r="D5580" s="7">
        <v>907</v>
      </c>
      <c r="E5580" s="3">
        <v>4</v>
      </c>
      <c r="F5580" s="3">
        <v>4</v>
      </c>
      <c r="G5580" t="s">
        <v>515</v>
      </c>
    </row>
    <row r="5581" spans="1:7" x14ac:dyDescent="0.25">
      <c r="A5581" s="1" t="str">
        <f>"520784"</f>
        <v>520784</v>
      </c>
      <c r="B5581" s="2" t="str">
        <f>"CARMIM NATURAL COLOR"</f>
        <v>CARMIM NATURAL COLOR</v>
      </c>
      <c r="C5581" s="2" t="str">
        <f>"KG"</f>
        <v>KG</v>
      </c>
      <c r="D5581" s="7">
        <v>214</v>
      </c>
      <c r="E5581" s="3">
        <v>2</v>
      </c>
      <c r="F5581" s="3">
        <v>2</v>
      </c>
      <c r="G5581" t="s">
        <v>514</v>
      </c>
    </row>
    <row r="5582" spans="1:7" x14ac:dyDescent="0.25">
      <c r="A5582" s="1" t="str">
        <f>"509277"</f>
        <v>509277</v>
      </c>
      <c r="B5582" s="2" t="str">
        <f>"CARNE"</f>
        <v>CARNE</v>
      </c>
      <c r="C5582" s="2" t="str">
        <f>"UN"</f>
        <v>UN</v>
      </c>
      <c r="D5582" s="7">
        <v>501</v>
      </c>
      <c r="E5582" s="3">
        <v>5</v>
      </c>
      <c r="F5582" s="3">
        <v>5</v>
      </c>
      <c r="G5582" t="s">
        <v>512</v>
      </c>
    </row>
    <row r="5583" spans="1:7" x14ac:dyDescent="0.25">
      <c r="A5583" s="1" t="str">
        <f>"521534"</f>
        <v>521534</v>
      </c>
      <c r="B5583" s="2" t="str">
        <f>"CARNÊ GPS PAG BRASIL"</f>
        <v>CARNÊ GPS PAG BRASIL</v>
      </c>
      <c r="C5583" s="2" t="str">
        <f>"UN"</f>
        <v>UN</v>
      </c>
      <c r="D5583" s="7">
        <v>99999</v>
      </c>
      <c r="E5583" s="3">
        <v>99</v>
      </c>
      <c r="F5583" s="3">
        <v>99</v>
      </c>
      <c r="G5583" t="s">
        <v>513</v>
      </c>
    </row>
    <row r="5584" spans="1:7" x14ac:dyDescent="0.25">
      <c r="A5584" s="1" t="str">
        <f>"527304"</f>
        <v>527304</v>
      </c>
      <c r="B5584" s="2" t="str">
        <f>"CARNEIRA CAPACETE MSA (CA CAPACETE 8304)"</f>
        <v>CARNEIRA CAPACETE MSA (CA CAPACETE 8304)</v>
      </c>
      <c r="C5584" s="2" t="str">
        <f>"CX"</f>
        <v>CX</v>
      </c>
      <c r="D5584" s="7">
        <v>501</v>
      </c>
      <c r="E5584" s="3">
        <v>5</v>
      </c>
      <c r="F5584" s="3">
        <v>5</v>
      </c>
      <c r="G5584" t="s">
        <v>514</v>
      </c>
    </row>
    <row r="5585" spans="1:7" x14ac:dyDescent="0.25">
      <c r="A5585" s="1" t="str">
        <f>"515753"</f>
        <v>515753</v>
      </c>
      <c r="B5585" s="2" t="str">
        <f>"CARNEIRA P/ MASCARA DE SOLDA"</f>
        <v>CARNEIRA P/ MASCARA DE SOLDA</v>
      </c>
      <c r="C5585" s="2" t="str">
        <f>"PÇ"</f>
        <v>PÇ</v>
      </c>
      <c r="D5585" s="7">
        <v>817</v>
      </c>
      <c r="E5585" s="3">
        <v>4</v>
      </c>
      <c r="F5585" s="3">
        <v>4</v>
      </c>
      <c r="G5585" t="s">
        <v>514</v>
      </c>
    </row>
    <row r="5586" spans="1:7" x14ac:dyDescent="0.25">
      <c r="A5586" s="1" t="str">
        <f>"513381"</f>
        <v>513381</v>
      </c>
      <c r="B5586" s="2" t="str">
        <f>"CARPETE FORRAÇAO"</f>
        <v>CARPETE FORRAÇAO</v>
      </c>
      <c r="C5586" s="2" t="str">
        <f>"UN"</f>
        <v>UN</v>
      </c>
      <c r="D5586" s="7">
        <v>401</v>
      </c>
      <c r="E5586" s="3">
        <v>4</v>
      </c>
      <c r="F5586" s="3">
        <v>4</v>
      </c>
      <c r="G5586" t="s">
        <v>512</v>
      </c>
    </row>
    <row r="5587" spans="1:7" x14ac:dyDescent="0.25">
      <c r="A5587" s="1" t="str">
        <f>"528098"</f>
        <v>528098</v>
      </c>
      <c r="B5587" s="2" t="str">
        <f>"CARRAGENDA LACTOGEL FC 5200"</f>
        <v>CARRAGENDA LACTOGEL FC 5200</v>
      </c>
      <c r="C5587" s="2" t="str">
        <f>"KG"</f>
        <v>KG</v>
      </c>
      <c r="D5587" s="7">
        <v>202</v>
      </c>
      <c r="E5587" s="3">
        <v>2</v>
      </c>
      <c r="F5587" s="3">
        <v>2</v>
      </c>
      <c r="G5587" t="s">
        <v>513</v>
      </c>
    </row>
    <row r="5588" spans="1:7" x14ac:dyDescent="0.25">
      <c r="A5588" s="1" t="str">
        <f>"523634"</f>
        <v>523634</v>
      </c>
      <c r="B5588" s="2" t="str">
        <f>"CARREAGADOR CAMERA FOTOGRAFICA"</f>
        <v>CARREAGADOR CAMERA FOTOGRAFICA</v>
      </c>
      <c r="C5588" s="2" t="str">
        <f t="shared" ref="C5588:C5620" si="220">"UN"</f>
        <v>UN</v>
      </c>
      <c r="D5588" s="7">
        <v>99999</v>
      </c>
      <c r="E5588" s="3">
        <v>99</v>
      </c>
      <c r="F5588" s="3">
        <v>99</v>
      </c>
      <c r="G5588" t="s">
        <v>514</v>
      </c>
    </row>
    <row r="5589" spans="1:7" x14ac:dyDescent="0.25">
      <c r="A5589" s="1" t="str">
        <f>"519260"</f>
        <v>519260</v>
      </c>
      <c r="B5589" s="2" t="str">
        <f>"CARREGADOR BATERIA 48/100"</f>
        <v>CARREGADOR BATERIA 48/100</v>
      </c>
      <c r="C5589" s="2" t="str">
        <f t="shared" si="220"/>
        <v>UN</v>
      </c>
      <c r="D5589" s="7">
        <v>811</v>
      </c>
      <c r="E5589" s="3">
        <v>8</v>
      </c>
      <c r="F5589" s="3">
        <v>8</v>
      </c>
      <c r="G5589" t="s">
        <v>514</v>
      </c>
    </row>
    <row r="5590" spans="1:7" x14ac:dyDescent="0.25">
      <c r="A5590" s="1" t="str">
        <f>"517589"</f>
        <v>517589</v>
      </c>
      <c r="B5590" s="2" t="str">
        <f>"CARREGADOR BATERIA 48V 100A EMP. FMX-17"</f>
        <v>CARREGADOR BATERIA 48V 100A EMP. FMX-17</v>
      </c>
      <c r="C5590" s="2" t="str">
        <f t="shared" si="220"/>
        <v>UN</v>
      </c>
      <c r="D5590" s="7">
        <v>811</v>
      </c>
      <c r="E5590" s="3">
        <v>8</v>
      </c>
      <c r="F5590" s="3">
        <v>8</v>
      </c>
      <c r="G5590" t="s">
        <v>514</v>
      </c>
    </row>
    <row r="5591" spans="1:7" x14ac:dyDescent="0.25">
      <c r="A5591" s="1" t="str">
        <f>"518762"</f>
        <v>518762</v>
      </c>
      <c r="B5591" s="2" t="str">
        <f>"CARREGADOR BATERIA 48V NC 40/100"</f>
        <v>CARREGADOR BATERIA 48V NC 40/100</v>
      </c>
      <c r="C5591" s="2" t="str">
        <f t="shared" si="220"/>
        <v>UN</v>
      </c>
      <c r="D5591" s="7">
        <v>811</v>
      </c>
      <c r="E5591" s="3">
        <v>8</v>
      </c>
      <c r="F5591" s="3">
        <v>8</v>
      </c>
      <c r="G5591" t="s">
        <v>513</v>
      </c>
    </row>
    <row r="5592" spans="1:7" x14ac:dyDescent="0.25">
      <c r="A5592" s="1" t="str">
        <f>"524004"</f>
        <v>524004</v>
      </c>
      <c r="B5592" s="2" t="str">
        <f>"CARREGADOR BATERIA JLW 2450"</f>
        <v>CARREGADOR BATERIA JLW 2450</v>
      </c>
      <c r="C5592" s="2" t="str">
        <f t="shared" si="220"/>
        <v>UN</v>
      </c>
      <c r="D5592" s="7">
        <v>99999</v>
      </c>
      <c r="E5592" s="3">
        <v>99</v>
      </c>
      <c r="F5592" s="3">
        <v>99</v>
      </c>
      <c r="G5592" t="s">
        <v>512</v>
      </c>
    </row>
    <row r="5593" spans="1:7" x14ac:dyDescent="0.25">
      <c r="A5593" s="1" t="str">
        <f>"523637"</f>
        <v>523637</v>
      </c>
      <c r="B5593" s="2" t="str">
        <f>"CARREGADOR BATERIA WPLN4280"</f>
        <v>CARREGADOR BATERIA WPLN4280</v>
      </c>
      <c r="C5593" s="2" t="str">
        <f t="shared" si="220"/>
        <v>UN</v>
      </c>
      <c r="D5593" s="7">
        <v>99999</v>
      </c>
      <c r="E5593" s="3">
        <v>99</v>
      </c>
      <c r="F5593" s="3">
        <v>99</v>
      </c>
      <c r="G5593" t="s">
        <v>513</v>
      </c>
    </row>
    <row r="5594" spans="1:7" x14ac:dyDescent="0.25">
      <c r="A5594" s="1" t="str">
        <f>"525386"</f>
        <v>525386</v>
      </c>
      <c r="B5594" s="2" t="str">
        <f>"CARREGADOR CELULAR"</f>
        <v>CARREGADOR CELULAR</v>
      </c>
      <c r="C5594" s="2" t="str">
        <f t="shared" si="220"/>
        <v>UN</v>
      </c>
      <c r="D5594" s="7">
        <v>99999</v>
      </c>
      <c r="E5594" s="3">
        <v>99</v>
      </c>
      <c r="F5594" s="3">
        <v>99</v>
      </c>
      <c r="G5594" t="s">
        <v>514</v>
      </c>
    </row>
    <row r="5595" spans="1:7" x14ac:dyDescent="0.25">
      <c r="A5595" s="1" t="str">
        <f>"525604"</f>
        <v>525604</v>
      </c>
      <c r="B5595" s="2" t="str">
        <f>"CARREGADOR DE BAT. PARAFUSADEIRA DEWALT DCB100 12V. 220V"</f>
        <v>CARREGADOR DE BAT. PARAFUSADEIRA DEWALT DCB100 12V. 220V</v>
      </c>
      <c r="C5595" s="2" t="str">
        <f t="shared" si="220"/>
        <v>UN</v>
      </c>
      <c r="D5595" s="7">
        <v>401</v>
      </c>
      <c r="E5595" s="3">
        <v>4</v>
      </c>
      <c r="F5595" s="3">
        <v>4</v>
      </c>
      <c r="G5595" t="s">
        <v>514</v>
      </c>
    </row>
    <row r="5596" spans="1:7" x14ac:dyDescent="0.25">
      <c r="A5596" s="1" t="str">
        <f>"524543"</f>
        <v>524543</v>
      </c>
      <c r="B5596" s="2" t="str">
        <f>"CARREGADOR DE BATERIA 24V 45A MICROPOWER (PALETEIRA)"</f>
        <v>CARREGADOR DE BATERIA 24V 45A MICROPOWER (PALETEIRA)</v>
      </c>
      <c r="C5596" s="2" t="str">
        <f t="shared" si="220"/>
        <v>UN</v>
      </c>
      <c r="D5596" s="7">
        <v>811</v>
      </c>
      <c r="E5596" s="3">
        <v>10</v>
      </c>
      <c r="F5596" s="3">
        <v>10</v>
      </c>
      <c r="G5596" t="s">
        <v>514</v>
      </c>
    </row>
    <row r="5597" spans="1:7" x14ac:dyDescent="0.25">
      <c r="A5597" s="1" t="str">
        <f>"527753"</f>
        <v>527753</v>
      </c>
      <c r="B5597" s="2" t="str">
        <f>"CARREGADOR DE BATERIA 29,4V 60A 1580 W KMTI (TRANSPALETEIRA)"</f>
        <v>CARREGADOR DE BATERIA 29,4V 60A 1580 W KMTI (TRANSPALETEIRA)</v>
      </c>
      <c r="C5597" s="2" t="str">
        <f t="shared" si="220"/>
        <v>UN</v>
      </c>
      <c r="D5597" s="7">
        <v>811</v>
      </c>
      <c r="E5597" s="3">
        <v>10</v>
      </c>
      <c r="F5597" s="3">
        <v>10</v>
      </c>
      <c r="G5597" t="s">
        <v>513</v>
      </c>
    </row>
    <row r="5598" spans="1:7" x14ac:dyDescent="0.25">
      <c r="A5598" s="1" t="str">
        <f>"514400"</f>
        <v>514400</v>
      </c>
      <c r="B5598" s="2" t="str">
        <f>"CARREGADOR DE BATERIA DA PARAFUSADEIRA MAKITA HP330 DZ"</f>
        <v>CARREGADOR DE BATERIA DA PARAFUSADEIRA MAKITA HP330 DZ</v>
      </c>
      <c r="C5598" s="2" t="str">
        <f t="shared" si="220"/>
        <v>UN</v>
      </c>
      <c r="D5598" s="7">
        <v>401</v>
      </c>
      <c r="E5598" s="3">
        <v>4</v>
      </c>
      <c r="F5598" s="3">
        <v>4</v>
      </c>
      <c r="G5598" t="s">
        <v>513</v>
      </c>
    </row>
    <row r="5599" spans="1:7" x14ac:dyDescent="0.25">
      <c r="A5599" s="1" t="str">
        <f>"521536"</f>
        <v>521536</v>
      </c>
      <c r="B5599" s="2" t="str">
        <f>"CARREGADOR DE BATERIA DA PARAFUSADEIRA MAKITA TD090D"</f>
        <v>CARREGADOR DE BATERIA DA PARAFUSADEIRA MAKITA TD090D</v>
      </c>
      <c r="C5599" s="2" t="str">
        <f t="shared" si="220"/>
        <v>UN</v>
      </c>
      <c r="D5599" s="7">
        <v>401</v>
      </c>
      <c r="E5599" s="3">
        <v>4</v>
      </c>
      <c r="F5599" s="3">
        <v>4</v>
      </c>
      <c r="G5599" t="s">
        <v>513</v>
      </c>
    </row>
    <row r="5600" spans="1:7" x14ac:dyDescent="0.25">
      <c r="A5600" s="1" t="str">
        <f>"517674"</f>
        <v>517674</v>
      </c>
      <c r="B5600" s="2" t="str">
        <f>"CARREGADOR DE BATERIA JLW 100AH 2012 CONECMP350"</f>
        <v>CARREGADOR DE BATERIA JLW 100AH 2012 CONECMP350</v>
      </c>
      <c r="C5600" s="2" t="str">
        <f t="shared" si="220"/>
        <v>UN</v>
      </c>
      <c r="D5600" s="7">
        <v>811</v>
      </c>
      <c r="E5600" s="3">
        <v>8</v>
      </c>
      <c r="F5600" s="3">
        <v>8</v>
      </c>
      <c r="G5600" t="s">
        <v>512</v>
      </c>
    </row>
    <row r="5601" spans="1:7" x14ac:dyDescent="0.25">
      <c r="A5601" s="1" t="str">
        <f>"527778"</f>
        <v>527778</v>
      </c>
      <c r="B5601" s="2" t="str">
        <f>"CARREGADOR DE BATERIA KMT 24V 70A"</f>
        <v>CARREGADOR DE BATERIA KMT 24V 70A</v>
      </c>
      <c r="C5601" s="2" t="str">
        <f t="shared" si="220"/>
        <v>UN</v>
      </c>
      <c r="D5601" s="7">
        <v>811</v>
      </c>
      <c r="E5601" s="3">
        <v>10</v>
      </c>
      <c r="F5601" s="3">
        <v>10</v>
      </c>
      <c r="G5601" t="s">
        <v>513</v>
      </c>
    </row>
    <row r="5602" spans="1:7" x14ac:dyDescent="0.25">
      <c r="A5602" s="1" t="str">
        <f>"524837"</f>
        <v>524837</v>
      </c>
      <c r="B5602" s="2" t="str">
        <f>"CARREGADOR DE BATERIA PARA SAS SUPER ISO"</f>
        <v>CARREGADOR DE BATERIA PARA SAS SUPER ISO</v>
      </c>
      <c r="C5602" s="2" t="str">
        <f t="shared" si="220"/>
        <v>UN</v>
      </c>
      <c r="D5602" s="7">
        <v>811</v>
      </c>
      <c r="E5602" s="3">
        <v>10</v>
      </c>
      <c r="F5602" s="3">
        <v>10</v>
      </c>
      <c r="G5602" t="s">
        <v>514</v>
      </c>
    </row>
    <row r="5603" spans="1:7" x14ac:dyDescent="0.25">
      <c r="A5603" s="1" t="str">
        <f>"507953"</f>
        <v>507953</v>
      </c>
      <c r="B5603" s="2" t="str">
        <f>"CARREGADOR DE BATERIA TOYOTA 24V 100A"</f>
        <v>CARREGADOR DE BATERIA TOYOTA 24V 100A</v>
      </c>
      <c r="C5603" s="2" t="str">
        <f t="shared" si="220"/>
        <v>UN</v>
      </c>
      <c r="D5603" s="7">
        <v>811</v>
      </c>
      <c r="E5603" s="3">
        <v>8</v>
      </c>
      <c r="F5603" s="3">
        <v>8</v>
      </c>
      <c r="G5603" t="s">
        <v>515</v>
      </c>
    </row>
    <row r="5604" spans="1:7" x14ac:dyDescent="0.25">
      <c r="A5604" s="1" t="str">
        <f>"521469"</f>
        <v>521469</v>
      </c>
      <c r="B5604" s="2" t="str">
        <f>"CARREGADOR DE BATERIA TOYOTA MOD.NC 48/130 TRIF.220/380/440V"</f>
        <v>CARREGADOR DE BATERIA TOYOTA MOD.NC 48/130 TRIF.220/380/440V</v>
      </c>
      <c r="C5604" s="2" t="str">
        <f t="shared" si="220"/>
        <v>UN</v>
      </c>
      <c r="D5604" s="7">
        <v>811</v>
      </c>
      <c r="E5604" s="3">
        <v>8</v>
      </c>
      <c r="F5604" s="3">
        <v>8</v>
      </c>
      <c r="G5604" t="s">
        <v>512</v>
      </c>
    </row>
    <row r="5605" spans="1:7" x14ac:dyDescent="0.25">
      <c r="A5605" s="1" t="str">
        <f>"509375"</f>
        <v>509375</v>
      </c>
      <c r="B5605" s="2" t="str">
        <f>"CARREGADOR DE BATERIAS 4 POS UNIVERSAL"</f>
        <v>CARREGADOR DE BATERIAS 4 POS UNIVERSAL</v>
      </c>
      <c r="C5605" s="2" t="str">
        <f t="shared" si="220"/>
        <v>UN</v>
      </c>
      <c r="D5605" s="7">
        <v>402</v>
      </c>
      <c r="E5605" s="3">
        <v>4</v>
      </c>
      <c r="F5605" s="3">
        <v>4</v>
      </c>
      <c r="G5605" t="s">
        <v>516</v>
      </c>
    </row>
    <row r="5606" spans="1:7" x14ac:dyDescent="0.25">
      <c r="A5606" s="1" t="str">
        <f>"520721"</f>
        <v>520721</v>
      </c>
      <c r="B5606" s="2" t="str">
        <f>"CARREGADOR NOTEBOOK BIVOLT"</f>
        <v>CARREGADOR NOTEBOOK BIVOLT</v>
      </c>
      <c r="C5606" s="2" t="str">
        <f t="shared" si="220"/>
        <v>UN</v>
      </c>
      <c r="D5606" s="7">
        <v>811</v>
      </c>
      <c r="E5606" s="3">
        <v>8</v>
      </c>
      <c r="F5606" s="3">
        <v>8</v>
      </c>
      <c r="G5606" t="s">
        <v>515</v>
      </c>
    </row>
    <row r="5607" spans="1:7" x14ac:dyDescent="0.25">
      <c r="A5607" s="1" t="str">
        <f>"524060"</f>
        <v>524060</v>
      </c>
      <c r="B5607" s="2" t="str">
        <f>"CARREGADOR P/ 1 COLETOR ZEBRA"</f>
        <v>CARREGADOR P/ 1 COLETOR ZEBRA</v>
      </c>
      <c r="C5607" s="2" t="str">
        <f t="shared" si="220"/>
        <v>UN</v>
      </c>
      <c r="D5607" s="7">
        <v>99999</v>
      </c>
      <c r="E5607" s="3">
        <v>99</v>
      </c>
      <c r="F5607" s="3">
        <v>99</v>
      </c>
      <c r="G5607" t="s">
        <v>514</v>
      </c>
    </row>
    <row r="5608" spans="1:7" x14ac:dyDescent="0.25">
      <c r="A5608" s="1" t="str">
        <f>"528138"</f>
        <v>528138</v>
      </c>
      <c r="B5608" s="2" t="str">
        <f>"CARREGADOR TRIF SELECTIVA 4090-26052570 (CH-HF-4090T-R)"</f>
        <v>CARREGADOR TRIF SELECTIVA 4090-26052570 (CH-HF-4090T-R)</v>
      </c>
      <c r="C5608" s="2" t="str">
        <f t="shared" si="220"/>
        <v>UN</v>
      </c>
      <c r="D5608" s="7">
        <v>1300</v>
      </c>
      <c r="E5608" s="3">
        <v>13</v>
      </c>
      <c r="F5608" s="3">
        <v>13</v>
      </c>
      <c r="G5608" t="s">
        <v>512</v>
      </c>
    </row>
    <row r="5609" spans="1:7" x14ac:dyDescent="0.25">
      <c r="A5609" s="1" t="str">
        <f>"513554"</f>
        <v>513554</v>
      </c>
      <c r="B5609" s="2" t="str">
        <f>"CARRETA FAB 1997 MOD 1998 25T"</f>
        <v>CARRETA FAB 1997 MOD 1998 25T</v>
      </c>
      <c r="C5609" s="2" t="str">
        <f t="shared" si="220"/>
        <v>UN</v>
      </c>
      <c r="D5609" s="7">
        <v>99999</v>
      </c>
      <c r="E5609" s="3">
        <v>99</v>
      </c>
      <c r="F5609" s="3">
        <v>99</v>
      </c>
      <c r="G5609" t="s">
        <v>513</v>
      </c>
    </row>
    <row r="5610" spans="1:7" x14ac:dyDescent="0.25">
      <c r="A5610" s="1" t="str">
        <f>"513556"</f>
        <v>513556</v>
      </c>
      <c r="B5610" s="2" t="str">
        <f>"CARRETA FAB/MOD 2004 29T"</f>
        <v>CARRETA FAB/MOD 2004 29T</v>
      </c>
      <c r="C5610" s="2" t="str">
        <f t="shared" si="220"/>
        <v>UN</v>
      </c>
      <c r="D5610" s="7">
        <v>99999</v>
      </c>
      <c r="E5610" s="3">
        <v>99</v>
      </c>
      <c r="F5610" s="3">
        <v>99</v>
      </c>
      <c r="G5610" t="s">
        <v>514</v>
      </c>
    </row>
    <row r="5611" spans="1:7" x14ac:dyDescent="0.25">
      <c r="A5611" s="1" t="str">
        <f>"515627"</f>
        <v>515627</v>
      </c>
      <c r="B5611" s="2" t="str">
        <f>"CARRETA IS 15,5X2,6X2,8 IBIPORA SR3 03 EIXOS"</f>
        <v>CARRETA IS 15,5X2,6X2,8 IBIPORA SR3 03 EIXOS</v>
      </c>
      <c r="C5611" s="2" t="str">
        <f t="shared" si="220"/>
        <v>UN</v>
      </c>
      <c r="D5611" s="7">
        <v>2000</v>
      </c>
      <c r="E5611" s="3">
        <v>16</v>
      </c>
      <c r="F5611" s="3">
        <v>16</v>
      </c>
      <c r="G5611" t="s">
        <v>514</v>
      </c>
    </row>
    <row r="5612" spans="1:7" x14ac:dyDescent="0.25">
      <c r="A5612" s="1" t="str">
        <f>"519843"</f>
        <v>519843</v>
      </c>
      <c r="B5612" s="2" t="str">
        <f>"CARRETA ISOTERMICA NOMA ANO 1994 C/ REFRIGERADOR"</f>
        <v>CARRETA ISOTERMICA NOMA ANO 1994 C/ REFRIGERADOR</v>
      </c>
      <c r="C5612" s="2" t="str">
        <f t="shared" si="220"/>
        <v>UN</v>
      </c>
      <c r="D5612" s="7">
        <v>99999</v>
      </c>
      <c r="E5612" s="3">
        <v>99</v>
      </c>
      <c r="F5612" s="3">
        <v>99</v>
      </c>
      <c r="G5612" t="s">
        <v>512</v>
      </c>
    </row>
    <row r="5613" spans="1:7" x14ac:dyDescent="0.25">
      <c r="A5613" s="1" t="str">
        <f>"509691"</f>
        <v>509691</v>
      </c>
      <c r="B5613" s="2" t="str">
        <f>"CARRETEL C/ FRICÇAO SEM FREIO 700-000002"</f>
        <v>CARRETEL C/ FRICÇAO SEM FREIO 700-000002</v>
      </c>
      <c r="C5613" s="2" t="str">
        <f t="shared" si="220"/>
        <v>UN</v>
      </c>
      <c r="D5613" s="7">
        <v>803</v>
      </c>
      <c r="E5613" s="3">
        <v>10</v>
      </c>
      <c r="F5613" s="3">
        <v>10</v>
      </c>
      <c r="G5613" t="s">
        <v>513</v>
      </c>
    </row>
    <row r="5614" spans="1:7" x14ac:dyDescent="0.25">
      <c r="A5614" s="1" t="str">
        <f>"507147"</f>
        <v>507147</v>
      </c>
      <c r="B5614" s="2" t="str">
        <f>"CARRETEL COD. 05.3120.071.50"</f>
        <v>CARRETEL COD. 05.3120.071.50</v>
      </c>
      <c r="C5614" s="2" t="str">
        <f t="shared" si="220"/>
        <v>UN</v>
      </c>
      <c r="D5614" s="7">
        <v>918</v>
      </c>
      <c r="E5614" s="3">
        <v>11</v>
      </c>
      <c r="F5614" s="3">
        <v>11</v>
      </c>
      <c r="G5614" t="s">
        <v>514</v>
      </c>
    </row>
    <row r="5615" spans="1:7" x14ac:dyDescent="0.25">
      <c r="A5615" s="1" t="str">
        <f>"513477"</f>
        <v>513477</v>
      </c>
      <c r="B5615" s="2" t="str">
        <f>"CARRETEL CORTADOR NYLON STHIL 220V L33/43/52"</f>
        <v>CARRETEL CORTADOR NYLON STHIL 220V L33/43/52</v>
      </c>
      <c r="C5615" s="2" t="str">
        <f t="shared" si="220"/>
        <v>UN</v>
      </c>
      <c r="D5615" s="7">
        <v>817</v>
      </c>
      <c r="E5615" s="3">
        <v>11</v>
      </c>
      <c r="F5615" s="3">
        <v>11</v>
      </c>
      <c r="G5615" t="s">
        <v>514</v>
      </c>
    </row>
    <row r="5616" spans="1:7" x14ac:dyDescent="0.25">
      <c r="A5616" s="1" t="str">
        <f>"509690"</f>
        <v>509690</v>
      </c>
      <c r="B5616" s="2" t="str">
        <f>"CARRETEL DE FRICÇAO E FREIO 700-000001"</f>
        <v>CARRETEL DE FRICÇAO E FREIO 700-000001</v>
      </c>
      <c r="C5616" s="2" t="str">
        <f t="shared" si="220"/>
        <v>UN</v>
      </c>
      <c r="D5616" s="7">
        <v>803</v>
      </c>
      <c r="E5616" s="3">
        <v>10</v>
      </c>
      <c r="F5616" s="3">
        <v>10</v>
      </c>
      <c r="G5616" t="s">
        <v>514</v>
      </c>
    </row>
    <row r="5617" spans="1:7" x14ac:dyDescent="0.25">
      <c r="A5617" s="1" t="str">
        <f>"512172"</f>
        <v>512172</v>
      </c>
      <c r="B5617" s="2" t="str">
        <f>"CARRETEL DE REENVIO Z21 DE129 DF25 COD2601 ASTERBELT"</f>
        <v>CARRETEL DE REENVIO Z21 DE129 DF25 COD2601 ASTERBELT</v>
      </c>
      <c r="C5617" s="2" t="str">
        <f t="shared" si="220"/>
        <v>UN</v>
      </c>
      <c r="D5617" s="7">
        <v>918</v>
      </c>
      <c r="E5617" s="3">
        <v>11</v>
      </c>
      <c r="F5617" s="3">
        <v>11</v>
      </c>
      <c r="G5617" t="s">
        <v>513</v>
      </c>
    </row>
    <row r="5618" spans="1:7" x14ac:dyDescent="0.25">
      <c r="A5618" s="1" t="str">
        <f>"522030"</f>
        <v>522030</v>
      </c>
      <c r="B5618" s="8" t="s">
        <v>273</v>
      </c>
      <c r="C5618" s="2" t="str">
        <f t="shared" si="220"/>
        <v>UN</v>
      </c>
      <c r="D5618" s="7">
        <v>918</v>
      </c>
      <c r="E5618" s="3">
        <v>11</v>
      </c>
      <c r="F5618" s="3">
        <v>11</v>
      </c>
      <c r="G5618" t="s">
        <v>512</v>
      </c>
    </row>
    <row r="5619" spans="1:7" x14ac:dyDescent="0.25">
      <c r="A5619" s="1" t="str">
        <f>"512392"</f>
        <v>512392</v>
      </c>
      <c r="B5619" s="2" t="str">
        <f>"CARRETEL DE REENVIO Z25 DE153 DF25 COD2611 ASTERBELT"</f>
        <v>CARRETEL DE REENVIO Z25 DE153 DF25 COD2611 ASTERBELT</v>
      </c>
      <c r="C5619" s="2" t="str">
        <f t="shared" si="220"/>
        <v>UN</v>
      </c>
      <c r="D5619" s="7">
        <v>918</v>
      </c>
      <c r="E5619" s="3">
        <v>11</v>
      </c>
      <c r="F5619" s="3">
        <v>11</v>
      </c>
      <c r="G5619" t="s">
        <v>513</v>
      </c>
    </row>
    <row r="5620" spans="1:7" x14ac:dyDescent="0.25">
      <c r="A5620" s="1" t="str">
        <f>"526695"</f>
        <v>526695</v>
      </c>
      <c r="B5620" s="2" t="str">
        <f>"CARRETEL FIO NYLON"</f>
        <v>CARRETEL FIO NYLON</v>
      </c>
      <c r="C5620" s="2" t="str">
        <f t="shared" si="220"/>
        <v>UN</v>
      </c>
      <c r="D5620" s="7">
        <v>817</v>
      </c>
      <c r="E5620" s="3">
        <v>11</v>
      </c>
      <c r="F5620" s="3">
        <v>11</v>
      </c>
      <c r="G5620" t="s">
        <v>514</v>
      </c>
    </row>
    <row r="5621" spans="1:7" x14ac:dyDescent="0.25">
      <c r="A5621" s="1" t="str">
        <f>"522760"</f>
        <v>522760</v>
      </c>
      <c r="B5621" s="2" t="str">
        <f>"CARRETEL RETRATIL COM MANGUEIRA 1/2"""</f>
        <v>CARRETEL RETRATIL COM MANGUEIRA 1/2"</v>
      </c>
      <c r="C5621" s="2" t="str">
        <f>"MT"</f>
        <v>MT</v>
      </c>
      <c r="D5621" s="7">
        <v>810</v>
      </c>
      <c r="E5621" s="3">
        <v>4</v>
      </c>
      <c r="F5621" s="3">
        <v>4</v>
      </c>
      <c r="G5621" t="s">
        <v>514</v>
      </c>
    </row>
    <row r="5622" spans="1:7" x14ac:dyDescent="0.25">
      <c r="A5622" s="1" t="str">
        <f>"523531"</f>
        <v>523531</v>
      </c>
      <c r="B5622" s="2" t="str">
        <f>"CARRETEL RETRATIL SEM MANGUEIRA 1/2"""</f>
        <v>CARRETEL RETRATIL SEM MANGUEIRA 1/2"</v>
      </c>
      <c r="C5622" s="2" t="str">
        <f>"MT"</f>
        <v>MT</v>
      </c>
      <c r="D5622" s="7">
        <v>810</v>
      </c>
      <c r="E5622" s="3">
        <v>4</v>
      </c>
      <c r="F5622" s="3">
        <v>4</v>
      </c>
      <c r="G5622" t="s">
        <v>514</v>
      </c>
    </row>
    <row r="5623" spans="1:7" x14ac:dyDescent="0.25">
      <c r="A5623" s="1" t="str">
        <f>"508150"</f>
        <v>508150</v>
      </c>
      <c r="B5623" s="2" t="str">
        <f>"CARRINHO ALZA EXTRA GRANDE 90L"</f>
        <v>CARRINHO ALZA EXTRA GRANDE 90L</v>
      </c>
      <c r="C5623" s="2" t="str">
        <f t="shared" ref="C5623:C5635" si="221">"UN"</f>
        <v>UN</v>
      </c>
      <c r="D5623" s="7">
        <v>402</v>
      </c>
      <c r="E5623" s="3">
        <v>4</v>
      </c>
      <c r="F5623" s="3">
        <v>4</v>
      </c>
      <c r="G5623" t="s">
        <v>513</v>
      </c>
    </row>
    <row r="5624" spans="1:7" x14ac:dyDescent="0.25">
      <c r="A5624" s="1" t="str">
        <f>"514192"</f>
        <v>514192</v>
      </c>
      <c r="B5624" s="2" t="str">
        <f>"CARRINHO ARMAZEM P/ CARGA"</f>
        <v>CARRINHO ARMAZEM P/ CARGA</v>
      </c>
      <c r="C5624" s="2" t="str">
        <f t="shared" si="221"/>
        <v>UN</v>
      </c>
      <c r="D5624" s="7">
        <v>817</v>
      </c>
      <c r="E5624" s="3">
        <v>4</v>
      </c>
      <c r="F5624" s="3">
        <v>4</v>
      </c>
      <c r="G5624" t="s">
        <v>513</v>
      </c>
    </row>
    <row r="5625" spans="1:7" x14ac:dyDescent="0.25">
      <c r="A5625" s="1" t="str">
        <f>"517590"</f>
        <v>517590</v>
      </c>
      <c r="B5625" s="2" t="str">
        <f>"CARRINHO BATERIA EMP. FMX-17"</f>
        <v>CARRINHO BATERIA EMP. FMX-17</v>
      </c>
      <c r="C5625" s="2" t="str">
        <f t="shared" si="221"/>
        <v>UN</v>
      </c>
      <c r="D5625" s="7">
        <v>918</v>
      </c>
      <c r="E5625" s="3">
        <v>11</v>
      </c>
      <c r="F5625" s="3">
        <v>11</v>
      </c>
      <c r="G5625" t="s">
        <v>513</v>
      </c>
    </row>
    <row r="5626" spans="1:7" x14ac:dyDescent="0.25">
      <c r="A5626" s="1" t="str">
        <f>"519263"</f>
        <v>519263</v>
      </c>
      <c r="B5626" s="2" t="str">
        <f>"CARRINHO C/ CHAVE TRES GAVETAS CINZA CRISTAL"</f>
        <v>CARRINHO C/ CHAVE TRES GAVETAS CINZA CRISTAL</v>
      </c>
      <c r="C5626" s="2" t="str">
        <f t="shared" si="221"/>
        <v>UN</v>
      </c>
      <c r="D5626" s="7">
        <v>401</v>
      </c>
      <c r="E5626" s="3">
        <v>4</v>
      </c>
      <c r="F5626" s="3">
        <v>4</v>
      </c>
      <c r="G5626" t="s">
        <v>512</v>
      </c>
    </row>
    <row r="5627" spans="1:7" x14ac:dyDescent="0.25">
      <c r="A5627" s="1" t="str">
        <f>"524649"</f>
        <v>524649</v>
      </c>
      <c r="B5627" s="2" t="str">
        <f>"CARRINHO DE CARGA PLATAFORMA LINHA PESADA"</f>
        <v>CARRINHO DE CARGA PLATAFORMA LINHA PESADA</v>
      </c>
      <c r="C5627" s="2" t="str">
        <f t="shared" si="221"/>
        <v>UN</v>
      </c>
      <c r="D5627" s="7">
        <v>99999</v>
      </c>
      <c r="E5627" s="3">
        <v>99</v>
      </c>
      <c r="F5627" s="3">
        <v>99</v>
      </c>
      <c r="G5627" t="s">
        <v>513</v>
      </c>
    </row>
    <row r="5628" spans="1:7" x14ac:dyDescent="0.25">
      <c r="A5628" s="1" t="str">
        <f>"521692"</f>
        <v>521692</v>
      </c>
      <c r="B5628" s="2" t="str">
        <f>"CARRINHO DE CILINDRO"</f>
        <v>CARRINHO DE CILINDRO</v>
      </c>
      <c r="C5628" s="2" t="str">
        <f t="shared" si="221"/>
        <v>UN</v>
      </c>
      <c r="D5628" s="7">
        <v>99999</v>
      </c>
      <c r="E5628" s="3">
        <v>99</v>
      </c>
      <c r="F5628" s="3">
        <v>99</v>
      </c>
      <c r="G5628" t="s">
        <v>514</v>
      </c>
    </row>
    <row r="5629" spans="1:7" x14ac:dyDescent="0.25">
      <c r="A5629" s="1" t="str">
        <f>"523568"</f>
        <v>523568</v>
      </c>
      <c r="B5629" s="2" t="str">
        <f>"CARRINHO FIBERGLASS 1703CS/2"</f>
        <v>CARRINHO FIBERGLASS 1703CS/2</v>
      </c>
      <c r="C5629" s="2" t="str">
        <f t="shared" si="221"/>
        <v>UN</v>
      </c>
      <c r="D5629" s="7">
        <v>400</v>
      </c>
      <c r="E5629" s="3">
        <v>4</v>
      </c>
      <c r="F5629" s="3">
        <v>4</v>
      </c>
      <c r="G5629" t="s">
        <v>515</v>
      </c>
    </row>
    <row r="5630" spans="1:7" x14ac:dyDescent="0.25">
      <c r="A5630" s="1" t="str">
        <f>"523569"</f>
        <v>523569</v>
      </c>
      <c r="B5630" s="2" t="str">
        <f>"CARRINHO FIBERGLASS 1703CTD"</f>
        <v>CARRINHO FIBERGLASS 1703CTD</v>
      </c>
      <c r="C5630" s="2" t="str">
        <f t="shared" si="221"/>
        <v>UN</v>
      </c>
      <c r="D5630" s="7">
        <v>400</v>
      </c>
      <c r="E5630" s="3">
        <v>4</v>
      </c>
      <c r="F5630" s="3">
        <v>4</v>
      </c>
      <c r="G5630" t="s">
        <v>512</v>
      </c>
    </row>
    <row r="5631" spans="1:7" x14ac:dyDescent="0.25">
      <c r="A5631" s="1" t="str">
        <f>"523816"</f>
        <v>523816</v>
      </c>
      <c r="B5631" s="2" t="str">
        <f>"CARRINHO HOT WHEELS"</f>
        <v>CARRINHO HOT WHEELS</v>
      </c>
      <c r="C5631" s="2" t="str">
        <f t="shared" si="221"/>
        <v>UN</v>
      </c>
      <c r="D5631" s="7">
        <v>99999</v>
      </c>
      <c r="E5631" s="3">
        <v>99</v>
      </c>
      <c r="F5631" s="3">
        <v>99</v>
      </c>
      <c r="G5631" t="s">
        <v>516</v>
      </c>
    </row>
    <row r="5632" spans="1:7" x14ac:dyDescent="0.25">
      <c r="A5632" s="1" t="str">
        <f>"521898"</f>
        <v>521898</v>
      </c>
      <c r="B5632" s="2" t="str">
        <f>"CARRINHO MOVEL P/ SISTEMA DE DOSAGEM DE CIP"</f>
        <v>CARRINHO MOVEL P/ SISTEMA DE DOSAGEM DE CIP</v>
      </c>
      <c r="C5632" s="2" t="str">
        <f t="shared" si="221"/>
        <v>UN</v>
      </c>
      <c r="D5632" s="7">
        <v>915</v>
      </c>
      <c r="E5632" s="3">
        <v>4</v>
      </c>
      <c r="F5632" s="3">
        <v>4</v>
      </c>
      <c r="G5632" t="s">
        <v>515</v>
      </c>
    </row>
    <row r="5633" spans="1:7" x14ac:dyDescent="0.25">
      <c r="A5633" s="1" t="str">
        <f>"511869"</f>
        <v>511869</v>
      </c>
      <c r="B5633" s="2" t="str">
        <f>"CARRINHO P/ CPU C/ RODIZIO SILICONE"</f>
        <v>CARRINHO P/ CPU C/ RODIZIO SILICONE</v>
      </c>
      <c r="C5633" s="2" t="str">
        <f t="shared" si="221"/>
        <v>UN</v>
      </c>
      <c r="D5633" s="7">
        <v>401</v>
      </c>
      <c r="E5633" s="3">
        <v>4</v>
      </c>
      <c r="F5633" s="3">
        <v>4</v>
      </c>
      <c r="G5633" t="s">
        <v>514</v>
      </c>
    </row>
    <row r="5634" spans="1:7" x14ac:dyDescent="0.25">
      <c r="A5634" s="1" t="str">
        <f>"514302"</f>
        <v>514302</v>
      </c>
      <c r="B5634" s="2" t="str">
        <f>"CARRINHO PEDREIRO"</f>
        <v>CARRINHO PEDREIRO</v>
      </c>
      <c r="C5634" s="2" t="str">
        <f t="shared" si="221"/>
        <v>UN</v>
      </c>
      <c r="D5634" s="7">
        <v>817</v>
      </c>
      <c r="E5634" s="3">
        <v>4</v>
      </c>
      <c r="F5634" s="3">
        <v>4</v>
      </c>
      <c r="G5634" t="s">
        <v>512</v>
      </c>
    </row>
    <row r="5635" spans="1:7" x14ac:dyDescent="0.25">
      <c r="A5635" s="1" t="str">
        <f>"514425"</f>
        <v>514425</v>
      </c>
      <c r="B5635" s="2" t="str">
        <f>"CARRINHO PESO PADRAO"</f>
        <v>CARRINHO PESO PADRAO</v>
      </c>
      <c r="C5635" s="2" t="str">
        <f t="shared" si="221"/>
        <v>UN</v>
      </c>
      <c r="D5635" s="7">
        <v>406</v>
      </c>
      <c r="E5635" s="3">
        <v>4</v>
      </c>
      <c r="F5635" s="3">
        <v>4</v>
      </c>
      <c r="G5635" t="s">
        <v>513</v>
      </c>
    </row>
    <row r="5636" spans="1:7" x14ac:dyDescent="0.25">
      <c r="A5636" s="1" t="str">
        <f>"507793"</f>
        <v>507793</v>
      </c>
      <c r="B5636" s="2" t="str">
        <f>"CARRINHO TRANSPORTE DE BOBINA INOX 304"</f>
        <v>CARRINHO TRANSPORTE DE BOBINA INOX 304</v>
      </c>
      <c r="C5636" s="2" t="str">
        <f>"LT"</f>
        <v>LT</v>
      </c>
      <c r="D5636" s="7">
        <v>702</v>
      </c>
      <c r="E5636" s="3">
        <v>4</v>
      </c>
      <c r="F5636" s="3">
        <v>4</v>
      </c>
      <c r="G5636" t="s">
        <v>514</v>
      </c>
    </row>
    <row r="5637" spans="1:7" x14ac:dyDescent="0.25">
      <c r="A5637" s="1" t="str">
        <f>"505137"</f>
        <v>505137</v>
      </c>
      <c r="B5637" s="2" t="str">
        <f>"CARROCARIA FEC. FURGAO FRIGORIFICO 7,80M"</f>
        <v>CARROCARIA FEC. FURGAO FRIGORIFICO 7,80M</v>
      </c>
      <c r="C5637" s="2" t="str">
        <f t="shared" ref="C5637:C5668" si="222">"UN"</f>
        <v>UN</v>
      </c>
      <c r="D5637" s="7">
        <v>704</v>
      </c>
      <c r="E5637" s="3">
        <v>9</v>
      </c>
      <c r="F5637" s="3">
        <v>9</v>
      </c>
      <c r="G5637" t="s">
        <v>514</v>
      </c>
    </row>
    <row r="5638" spans="1:7" x14ac:dyDescent="0.25">
      <c r="A5638" s="1" t="str">
        <f>"516166"</f>
        <v>516166</v>
      </c>
      <c r="B5638" s="2" t="str">
        <f>"CARROCEL MAQUINA BRASKOP 5000"</f>
        <v>CARROCEL MAQUINA BRASKOP 5000</v>
      </c>
      <c r="C5638" s="2" t="str">
        <f t="shared" si="222"/>
        <v>UN</v>
      </c>
      <c r="D5638" s="7">
        <v>918</v>
      </c>
      <c r="E5638" s="3">
        <v>11</v>
      </c>
      <c r="F5638" s="3">
        <v>11</v>
      </c>
      <c r="G5638" t="s">
        <v>512</v>
      </c>
    </row>
    <row r="5639" spans="1:7" x14ac:dyDescent="0.25">
      <c r="A5639" s="1" t="str">
        <f>"507103"</f>
        <v>507103</v>
      </c>
      <c r="B5639" s="2" t="str">
        <f>"CARROCERIA FEC. FURGAO ISOTERMICO 8,40 X 2,6 X 2,63MT"</f>
        <v>CARROCERIA FEC. FURGAO ISOTERMICO 8,40 X 2,6 X 2,63MT</v>
      </c>
      <c r="C5639" s="2" t="str">
        <f t="shared" si="222"/>
        <v>UN</v>
      </c>
      <c r="D5639" s="7">
        <v>704</v>
      </c>
      <c r="E5639" s="3">
        <v>9</v>
      </c>
      <c r="F5639" s="3">
        <v>9</v>
      </c>
      <c r="G5639" t="s">
        <v>513</v>
      </c>
    </row>
    <row r="5640" spans="1:7" x14ac:dyDescent="0.25">
      <c r="A5640" s="1" t="str">
        <f>"514056"</f>
        <v>514056</v>
      </c>
      <c r="B5640" s="2" t="str">
        <f>"CARROCERIA FECHADA ISOT. IBIPORA 7,3M"</f>
        <v>CARROCERIA FECHADA ISOT. IBIPORA 7,3M</v>
      </c>
      <c r="C5640" s="2" t="str">
        <f t="shared" si="222"/>
        <v>UN</v>
      </c>
      <c r="D5640" s="7">
        <v>1300</v>
      </c>
      <c r="E5640" s="3">
        <v>13</v>
      </c>
      <c r="F5640" s="3">
        <v>13</v>
      </c>
      <c r="G5640" t="s">
        <v>514</v>
      </c>
    </row>
    <row r="5641" spans="1:7" x14ac:dyDescent="0.25">
      <c r="A5641" s="1" t="str">
        <f>"516328"</f>
        <v>516328</v>
      </c>
      <c r="B5641" s="2" t="str">
        <f>"CARROCERIA FECHADA ISOTERMICA 7300X2300X2100MM"</f>
        <v>CARROCERIA FECHADA ISOTERMICA 7300X2300X2100MM</v>
      </c>
      <c r="C5641" s="2" t="str">
        <f t="shared" si="222"/>
        <v>UN</v>
      </c>
      <c r="D5641" s="7">
        <v>704</v>
      </c>
      <c r="E5641" s="3">
        <v>16</v>
      </c>
      <c r="F5641" s="3">
        <v>16</v>
      </c>
      <c r="G5641" t="s">
        <v>514</v>
      </c>
    </row>
    <row r="5642" spans="1:7" x14ac:dyDescent="0.25">
      <c r="A5642" s="1" t="str">
        <f>"519844"</f>
        <v>519844</v>
      </c>
      <c r="B5642" s="2" t="str">
        <f>"CARROCERIA ISOTERMICO 14,70X2,60X2,80MT 2004"</f>
        <v>CARROCERIA ISOTERMICO 14,70X2,60X2,80MT 2004</v>
      </c>
      <c r="C5642" s="2" t="str">
        <f t="shared" si="222"/>
        <v>UN</v>
      </c>
      <c r="D5642" s="7">
        <v>704</v>
      </c>
      <c r="E5642" s="3">
        <v>9</v>
      </c>
      <c r="F5642" s="3">
        <v>9</v>
      </c>
      <c r="G5642" t="s">
        <v>514</v>
      </c>
    </row>
    <row r="5643" spans="1:7" x14ac:dyDescent="0.25">
      <c r="A5643" s="1" t="str">
        <f>"515611"</f>
        <v>515611</v>
      </c>
      <c r="B5643" s="2" t="str">
        <f>"CARROCERIA ISOTERMICO FECHADA DE ALUMINIO 7,5 X 2,5 X 2,4M"</f>
        <v>CARROCERIA ISOTERMICO FECHADA DE ALUMINIO 7,5 X 2,5 X 2,4M</v>
      </c>
      <c r="C5643" s="2" t="str">
        <f t="shared" si="222"/>
        <v>UN</v>
      </c>
      <c r="D5643" s="7">
        <v>704</v>
      </c>
      <c r="E5643" s="3">
        <v>9</v>
      </c>
      <c r="F5643" s="3">
        <v>9</v>
      </c>
      <c r="G5643" t="s">
        <v>513</v>
      </c>
    </row>
    <row r="5644" spans="1:7" x14ac:dyDescent="0.25">
      <c r="A5644" s="1" t="str">
        <f>"510009"</f>
        <v>510009</v>
      </c>
      <c r="B5644" s="2" t="str">
        <f>"CART FILTRO PRINCIPAL S4 ENM5934"</f>
        <v>CART FILTRO PRINCIPAL S4 ENM5934</v>
      </c>
      <c r="C5644" s="2" t="str">
        <f t="shared" si="222"/>
        <v>UN</v>
      </c>
      <c r="D5644" s="7">
        <v>402</v>
      </c>
      <c r="E5644" s="3">
        <v>4</v>
      </c>
      <c r="F5644" s="3">
        <v>4</v>
      </c>
      <c r="G5644" t="s">
        <v>512</v>
      </c>
    </row>
    <row r="5645" spans="1:7" x14ac:dyDescent="0.25">
      <c r="A5645" s="1" t="str">
        <f>"515598"</f>
        <v>515598</v>
      </c>
      <c r="B5645" s="2" t="str">
        <f>"CART. 12,5 X 62 - 200W 220V"</f>
        <v>CART. 12,5 X 62 - 200W 220V</v>
      </c>
      <c r="C5645" s="2" t="str">
        <f t="shared" si="222"/>
        <v>UN</v>
      </c>
      <c r="D5645" s="7">
        <v>811</v>
      </c>
      <c r="E5645" s="3">
        <v>8</v>
      </c>
      <c r="F5645" s="3">
        <v>8</v>
      </c>
      <c r="G5645" t="s">
        <v>513</v>
      </c>
    </row>
    <row r="5646" spans="1:7" x14ac:dyDescent="0.25">
      <c r="A5646" s="1" t="str">
        <f>"521760"</f>
        <v>521760</v>
      </c>
      <c r="B5646" s="2" t="str">
        <f>"CARTA 8 ENTR 24VDC 0,2MS"</f>
        <v>CARTA 8 ENTR 24VDC 0,2MS</v>
      </c>
      <c r="C5646" s="2" t="str">
        <f t="shared" si="222"/>
        <v>UN</v>
      </c>
      <c r="D5646" s="7">
        <v>99999</v>
      </c>
      <c r="E5646" s="3">
        <v>99</v>
      </c>
      <c r="F5646" s="3">
        <v>99</v>
      </c>
      <c r="G5646" t="s">
        <v>514</v>
      </c>
    </row>
    <row r="5647" spans="1:7" x14ac:dyDescent="0.25">
      <c r="A5647" s="1" t="str">
        <f>"504498"</f>
        <v>504498</v>
      </c>
      <c r="B5647" s="2" t="str">
        <f>"CARTA GRAF. CIRCULAR JONHIS 10"" 0/120º24 (CAIXA COM 100)"</f>
        <v>CARTA GRAF. CIRCULAR JONHIS 10" 0/120º24 (CAIXA COM 100)</v>
      </c>
      <c r="C5647" s="2" t="str">
        <f t="shared" si="222"/>
        <v>UN</v>
      </c>
      <c r="D5647" s="7">
        <v>918</v>
      </c>
      <c r="E5647" s="3">
        <v>11</v>
      </c>
      <c r="F5647" s="3">
        <v>11</v>
      </c>
      <c r="G5647" t="s">
        <v>514</v>
      </c>
    </row>
    <row r="5648" spans="1:7" x14ac:dyDescent="0.25">
      <c r="A5648" s="1" t="str">
        <f>"520641"</f>
        <v>520641</v>
      </c>
      <c r="B5648" s="2" t="str">
        <f>"CARTÃO CONTROLE CC9.00 CIRCUITO IMP. MONT. P/ INVERSOR"</f>
        <v>CARTÃO CONTROLE CC9.00 CIRCUITO IMP. MONT. P/ INVERSOR</v>
      </c>
      <c r="C5648" s="2" t="str">
        <f t="shared" si="222"/>
        <v>UN</v>
      </c>
      <c r="D5648" s="7">
        <v>811</v>
      </c>
      <c r="E5648" s="3">
        <v>11</v>
      </c>
      <c r="F5648" s="3">
        <v>11</v>
      </c>
      <c r="G5648" t="s">
        <v>514</v>
      </c>
    </row>
    <row r="5649" spans="1:7" x14ac:dyDescent="0.25">
      <c r="A5649" s="1" t="str">
        <f>"527592"</f>
        <v>527592</v>
      </c>
      <c r="B5649" s="2" t="str">
        <f>"CARTÃO DE 8 SAIDA DIGITAL 8DQ8DOX24VDC/0.5A6ES7132-4BF000AA0"</f>
        <v>CARTÃO DE 8 SAIDA DIGITAL 8DQ8DOX24VDC/0.5A6ES7132-4BF000AA0</v>
      </c>
      <c r="C5649" s="2" t="str">
        <f t="shared" si="222"/>
        <v>UN</v>
      </c>
      <c r="D5649" s="7">
        <v>811</v>
      </c>
      <c r="E5649" s="3">
        <v>8</v>
      </c>
      <c r="F5649" s="3">
        <v>8</v>
      </c>
      <c r="G5649" t="s">
        <v>513</v>
      </c>
    </row>
    <row r="5650" spans="1:7" x14ac:dyDescent="0.25">
      <c r="A5650" s="1" t="str">
        <f>"522319"</f>
        <v>522319</v>
      </c>
      <c r="B5650" s="2" t="str">
        <f>"CARTÃO DE MEMORIA"</f>
        <v>CARTÃO DE MEMORIA</v>
      </c>
      <c r="C5650" s="2" t="str">
        <f t="shared" si="222"/>
        <v>UN</v>
      </c>
      <c r="D5650" s="7">
        <v>99999</v>
      </c>
      <c r="E5650" s="3">
        <v>99</v>
      </c>
      <c r="F5650" s="3">
        <v>99</v>
      </c>
      <c r="G5650" t="s">
        <v>513</v>
      </c>
    </row>
    <row r="5651" spans="1:7" x14ac:dyDescent="0.25">
      <c r="A5651" s="1" t="str">
        <f>"508922"</f>
        <v>508922</v>
      </c>
      <c r="B5651" s="2" t="str">
        <f>"CARTAO DE PROXIMIDADE EM PVC"</f>
        <v>CARTAO DE PROXIMIDADE EM PVC</v>
      </c>
      <c r="C5651" s="2" t="str">
        <f t="shared" si="222"/>
        <v>UN</v>
      </c>
      <c r="D5651" s="7">
        <v>402</v>
      </c>
      <c r="E5651" s="3">
        <v>4</v>
      </c>
      <c r="F5651" s="3">
        <v>4</v>
      </c>
      <c r="G5651" t="s">
        <v>513</v>
      </c>
    </row>
    <row r="5652" spans="1:7" x14ac:dyDescent="0.25">
      <c r="A5652" s="1" t="str">
        <f>"514930"</f>
        <v>514930</v>
      </c>
      <c r="B5652" s="2" t="str">
        <f>"CARTAO DE VISITA"</f>
        <v>CARTAO DE VISITA</v>
      </c>
      <c r="C5652" s="2" t="str">
        <f t="shared" si="222"/>
        <v>UN</v>
      </c>
      <c r="D5652" s="7">
        <v>401</v>
      </c>
      <c r="E5652" s="3">
        <v>4</v>
      </c>
      <c r="F5652" s="3">
        <v>4</v>
      </c>
      <c r="G5652" t="s">
        <v>512</v>
      </c>
    </row>
    <row r="5653" spans="1:7" x14ac:dyDescent="0.25">
      <c r="A5653" s="1" t="str">
        <f>"527976"</f>
        <v>527976</v>
      </c>
      <c r="B5653" s="2" t="str">
        <f>"CARTÃO DIA DAS MÃES"</f>
        <v>CARTÃO DIA DAS MÃES</v>
      </c>
      <c r="C5653" s="2" t="str">
        <f t="shared" si="222"/>
        <v>UN</v>
      </c>
      <c r="D5653" s="7">
        <v>99999</v>
      </c>
      <c r="E5653" s="3">
        <v>99</v>
      </c>
      <c r="F5653" s="3">
        <v>99</v>
      </c>
      <c r="G5653" t="s">
        <v>513</v>
      </c>
    </row>
    <row r="5654" spans="1:7" x14ac:dyDescent="0.25">
      <c r="A5654" s="1" t="str">
        <f>"523888"</f>
        <v>523888</v>
      </c>
      <c r="B5654" s="2" t="str">
        <f>"CARTÃO DIA INTERNACIONAL DA MULHER"</f>
        <v>CARTÃO DIA INTERNACIONAL DA MULHER</v>
      </c>
      <c r="C5654" s="2" t="str">
        <f t="shared" si="222"/>
        <v>UN</v>
      </c>
      <c r="D5654" s="7">
        <v>99999</v>
      </c>
      <c r="E5654" s="3">
        <v>99</v>
      </c>
      <c r="F5654" s="3">
        <v>99</v>
      </c>
      <c r="G5654" t="s">
        <v>514</v>
      </c>
    </row>
    <row r="5655" spans="1:7" x14ac:dyDescent="0.25">
      <c r="A5655" s="1" t="str">
        <f>"520643"</f>
        <v>520643</v>
      </c>
      <c r="B5655" s="2" t="str">
        <f>"CARTAO DISPARO GDB3 1 CIRCUITO IMP. MONT. P/ INVERSOR"</f>
        <v>CARTAO DISPARO GDB3 1 CIRCUITO IMP. MONT. P/ INVERSOR</v>
      </c>
      <c r="C5655" s="2" t="str">
        <f t="shared" si="222"/>
        <v>UN</v>
      </c>
      <c r="D5655" s="7">
        <v>811</v>
      </c>
      <c r="E5655" s="3">
        <v>11</v>
      </c>
      <c r="F5655" s="3">
        <v>11</v>
      </c>
      <c r="G5655" t="s">
        <v>515</v>
      </c>
    </row>
    <row r="5656" spans="1:7" x14ac:dyDescent="0.25">
      <c r="A5656" s="1" t="str">
        <f>"526124"</f>
        <v>526124</v>
      </c>
      <c r="B5656" s="2" t="str">
        <f>"CARTAO DISPARO GDB3.01"</f>
        <v>CARTAO DISPARO GDB3.01</v>
      </c>
      <c r="C5656" s="2" t="str">
        <f t="shared" si="222"/>
        <v>UN</v>
      </c>
      <c r="D5656" s="7">
        <v>99999</v>
      </c>
      <c r="E5656" s="3">
        <v>99</v>
      </c>
      <c r="F5656" s="3">
        <v>99</v>
      </c>
      <c r="G5656" t="s">
        <v>512</v>
      </c>
    </row>
    <row r="5657" spans="1:7" x14ac:dyDescent="0.25">
      <c r="A5657" s="1" t="str">
        <f>"520644"</f>
        <v>520644</v>
      </c>
      <c r="B5657" s="2" t="str">
        <f>"CARTÃO FONTES DPS2A 00 CIRCUITO IMP. MONT. P/ INVERSOR"</f>
        <v>CARTÃO FONTES DPS2A 00 CIRCUITO IMP. MONT. P/ INVERSOR</v>
      </c>
      <c r="C5657" s="2" t="str">
        <f t="shared" si="222"/>
        <v>UN</v>
      </c>
      <c r="D5657" s="7">
        <v>811</v>
      </c>
      <c r="E5657" s="3">
        <v>11</v>
      </c>
      <c r="F5657" s="3">
        <v>11</v>
      </c>
      <c r="G5657" t="s">
        <v>516</v>
      </c>
    </row>
    <row r="5658" spans="1:7" x14ac:dyDescent="0.25">
      <c r="A5658" s="1" t="str">
        <f>"526125"</f>
        <v>526125</v>
      </c>
      <c r="B5658" s="2" t="str">
        <f>"CARTAO FONTES DPS2A.00 CIRCUITO"</f>
        <v>CARTAO FONTES DPS2A.00 CIRCUITO</v>
      </c>
      <c r="C5658" s="2" t="str">
        <f t="shared" si="222"/>
        <v>UN</v>
      </c>
      <c r="D5658" s="7">
        <v>99999</v>
      </c>
      <c r="E5658" s="3">
        <v>99</v>
      </c>
      <c r="F5658" s="3">
        <v>99</v>
      </c>
      <c r="G5658" t="s">
        <v>515</v>
      </c>
    </row>
    <row r="5659" spans="1:7" x14ac:dyDescent="0.25">
      <c r="A5659" s="1" t="str">
        <f>"523812"</f>
        <v>523812</v>
      </c>
      <c r="B5659" s="2" t="str">
        <f>"CARTÃO GM"</f>
        <v>CARTÃO GM</v>
      </c>
      <c r="C5659" s="2" t="str">
        <f t="shared" si="222"/>
        <v>UN</v>
      </c>
      <c r="D5659" s="7">
        <v>99999</v>
      </c>
      <c r="E5659" s="3">
        <v>99</v>
      </c>
      <c r="F5659" s="3">
        <v>99</v>
      </c>
      <c r="G5659" t="s">
        <v>514</v>
      </c>
    </row>
    <row r="5660" spans="1:7" x14ac:dyDescent="0.25">
      <c r="A5660" s="1" t="str">
        <f>"521508"</f>
        <v>521508</v>
      </c>
      <c r="B5660" s="2" t="str">
        <f>"CARTÃO HIGIENIZADOR AR CONDICIONADO"</f>
        <v>CARTÃO HIGIENIZADOR AR CONDICIONADO</v>
      </c>
      <c r="C5660" s="2" t="str">
        <f t="shared" si="222"/>
        <v>UN</v>
      </c>
      <c r="D5660" s="7">
        <v>99999</v>
      </c>
      <c r="E5660" s="3">
        <v>99</v>
      </c>
      <c r="F5660" s="3">
        <v>99</v>
      </c>
      <c r="G5660" t="s">
        <v>512</v>
      </c>
    </row>
    <row r="5661" spans="1:7" x14ac:dyDescent="0.25">
      <c r="A5661" s="1" t="str">
        <f>"527330"</f>
        <v>527330</v>
      </c>
      <c r="B5661" s="2" t="str">
        <f>"CARTÃO IMÃ 2MM 06 X 07CM"</f>
        <v>CARTÃO IMÃ 2MM 06 X 07CM</v>
      </c>
      <c r="C5661" s="2" t="str">
        <f t="shared" si="222"/>
        <v>UN</v>
      </c>
      <c r="D5661" s="7">
        <v>99999</v>
      </c>
      <c r="E5661" s="3">
        <v>99</v>
      </c>
      <c r="F5661" s="3">
        <v>99</v>
      </c>
      <c r="G5661" t="s">
        <v>513</v>
      </c>
    </row>
    <row r="5662" spans="1:7" x14ac:dyDescent="0.25">
      <c r="A5662" s="1" t="str">
        <f>"526291"</f>
        <v>526291</v>
      </c>
      <c r="B5662" s="2" t="str">
        <f>"CARTÃO IMÃ 2MM 13 X 15CM"</f>
        <v>CARTÃO IMÃ 2MM 13 X 15CM</v>
      </c>
      <c r="C5662" s="2" t="str">
        <f t="shared" si="222"/>
        <v>UN</v>
      </c>
      <c r="D5662" s="7">
        <v>99999</v>
      </c>
      <c r="E5662" s="3">
        <v>99</v>
      </c>
      <c r="F5662" s="3">
        <v>99</v>
      </c>
      <c r="G5662" t="s">
        <v>514</v>
      </c>
    </row>
    <row r="5663" spans="1:7" x14ac:dyDescent="0.25">
      <c r="A5663" s="1" t="str">
        <f>"524323"</f>
        <v>524323</v>
      </c>
      <c r="B5663" s="2" t="str">
        <f>"CARTÃO MOCKUPS DEMONSTRAÇÃO GONDOLA"</f>
        <v>CARTÃO MOCKUPS DEMONSTRAÇÃO GONDOLA</v>
      </c>
      <c r="C5663" s="2" t="str">
        <f t="shared" si="222"/>
        <v>UN</v>
      </c>
      <c r="D5663" s="7">
        <v>99999</v>
      </c>
      <c r="E5663" s="3">
        <v>99</v>
      </c>
      <c r="F5663" s="3">
        <v>99</v>
      </c>
      <c r="G5663" t="s">
        <v>514</v>
      </c>
    </row>
    <row r="5664" spans="1:7" x14ac:dyDescent="0.25">
      <c r="A5664" s="1" t="str">
        <f>"527692"</f>
        <v>527692</v>
      </c>
      <c r="B5664" s="2" t="str">
        <f>"CARTÃO NATAL"</f>
        <v>CARTÃO NATAL</v>
      </c>
      <c r="C5664" s="2" t="str">
        <f t="shared" si="222"/>
        <v>UN</v>
      </c>
      <c r="D5664" s="7">
        <v>99999</v>
      </c>
      <c r="E5664" s="3">
        <v>99</v>
      </c>
      <c r="F5664" s="3">
        <v>99</v>
      </c>
      <c r="G5664" t="s">
        <v>512</v>
      </c>
    </row>
    <row r="5665" spans="1:7" x14ac:dyDescent="0.25">
      <c r="A5665" s="1" t="str">
        <f>"527617"</f>
        <v>527617</v>
      </c>
      <c r="B5665" s="2" t="str">
        <f>"CARTÃO NOVEMBRO AZUL"</f>
        <v>CARTÃO NOVEMBRO AZUL</v>
      </c>
      <c r="C5665" s="2" t="str">
        <f t="shared" si="222"/>
        <v>UN</v>
      </c>
      <c r="D5665" s="7">
        <v>99999</v>
      </c>
      <c r="E5665" s="3">
        <v>99</v>
      </c>
      <c r="F5665" s="3">
        <v>99</v>
      </c>
      <c r="G5665" t="s">
        <v>513</v>
      </c>
    </row>
    <row r="5666" spans="1:7" x14ac:dyDescent="0.25">
      <c r="A5666" s="1" t="str">
        <f>"527546"</f>
        <v>527546</v>
      </c>
      <c r="B5666" s="2" t="str">
        <f>"CARTÃO OUTUBRO ROSA"</f>
        <v>CARTÃO OUTUBRO ROSA</v>
      </c>
      <c r="C5666" s="2" t="str">
        <f t="shared" si="222"/>
        <v>UN</v>
      </c>
      <c r="D5666" s="7">
        <v>99999</v>
      </c>
      <c r="E5666" s="3">
        <v>99</v>
      </c>
      <c r="F5666" s="3">
        <v>99</v>
      </c>
      <c r="G5666" t="s">
        <v>514</v>
      </c>
    </row>
    <row r="5667" spans="1:7" x14ac:dyDescent="0.25">
      <c r="A5667" s="1" t="str">
        <f>"523817"</f>
        <v>523817</v>
      </c>
      <c r="B5667" s="2" t="str">
        <f>"CARTÃO OXI REDIT TOYOTA"</f>
        <v>CARTÃO OXI REDIT TOYOTA</v>
      </c>
      <c r="C5667" s="2" t="str">
        <f t="shared" si="222"/>
        <v>UN</v>
      </c>
      <c r="D5667" s="7">
        <v>99999</v>
      </c>
      <c r="E5667" s="3">
        <v>99</v>
      </c>
      <c r="F5667" s="3">
        <v>99</v>
      </c>
      <c r="G5667" t="s">
        <v>514</v>
      </c>
    </row>
    <row r="5668" spans="1:7" x14ac:dyDescent="0.25">
      <c r="A5668" s="1" t="str">
        <f>"514550"</f>
        <v>514550</v>
      </c>
      <c r="B5668" s="2" t="str">
        <f>"CARTAO PONTO MENSAL"</f>
        <v>CARTAO PONTO MENSAL</v>
      </c>
      <c r="C5668" s="2" t="str">
        <f t="shared" si="222"/>
        <v>UN</v>
      </c>
      <c r="D5668" s="7">
        <v>401</v>
      </c>
      <c r="E5668" s="3">
        <v>4</v>
      </c>
      <c r="F5668" s="3">
        <v>4</v>
      </c>
      <c r="G5668" t="s">
        <v>514</v>
      </c>
    </row>
    <row r="5669" spans="1:7" x14ac:dyDescent="0.25">
      <c r="A5669" s="1" t="str">
        <f>"527447"</f>
        <v>527447</v>
      </c>
      <c r="B5669" s="2" t="str">
        <f>"CARTÃO SETEMBRO AMARELO"</f>
        <v>CARTÃO SETEMBRO AMARELO</v>
      </c>
      <c r="C5669" s="2" t="str">
        <f t="shared" ref="C5669:C5686" si="223">"UN"</f>
        <v>UN</v>
      </c>
      <c r="D5669" s="7">
        <v>99999</v>
      </c>
      <c r="E5669" s="3">
        <v>99</v>
      </c>
      <c r="F5669" s="3">
        <v>99</v>
      </c>
      <c r="G5669" t="s">
        <v>513</v>
      </c>
    </row>
    <row r="5670" spans="1:7" x14ac:dyDescent="0.25">
      <c r="A5670" s="1" t="str">
        <f>"526407"</f>
        <v>526407</v>
      </c>
      <c r="B5670" s="2" t="str">
        <f>"CARTÃO T EM PYC 114X69MM DUPLA FACE C/ IMPRESSÃO UV"</f>
        <v>CARTÃO T EM PYC 114X69MM DUPLA FACE C/ IMPRESSÃO UV</v>
      </c>
      <c r="C5670" s="2" t="str">
        <f t="shared" si="223"/>
        <v>UN</v>
      </c>
      <c r="D5670" s="7">
        <v>99999</v>
      </c>
      <c r="E5670" s="3">
        <v>99</v>
      </c>
      <c r="F5670" s="3">
        <v>99</v>
      </c>
      <c r="G5670" t="s">
        <v>512</v>
      </c>
    </row>
    <row r="5671" spans="1:7" x14ac:dyDescent="0.25">
      <c r="A5671" s="1" t="str">
        <f>"527710"</f>
        <v>527710</v>
      </c>
      <c r="B5671" s="2" t="str">
        <f>"CARTÃO VOLUNTARIADO"</f>
        <v>CARTÃO VOLUNTARIADO</v>
      </c>
      <c r="C5671" s="2" t="str">
        <f t="shared" si="223"/>
        <v>UN</v>
      </c>
      <c r="D5671" s="7">
        <v>99999</v>
      </c>
      <c r="E5671" s="3">
        <v>99</v>
      </c>
      <c r="F5671" s="3">
        <v>99</v>
      </c>
      <c r="G5671" t="s">
        <v>513</v>
      </c>
    </row>
    <row r="5672" spans="1:7" x14ac:dyDescent="0.25">
      <c r="A5672" s="1" t="str">
        <f>"521761"</f>
        <v>521761</v>
      </c>
      <c r="B5672" s="2" t="str">
        <f>"CARTAO WAGO 8 SAIDAS"</f>
        <v>CARTAO WAGO 8 SAIDAS</v>
      </c>
      <c r="C5672" s="2" t="str">
        <f t="shared" si="223"/>
        <v>UN</v>
      </c>
      <c r="D5672" s="7">
        <v>99999</v>
      </c>
      <c r="E5672" s="3">
        <v>99</v>
      </c>
      <c r="F5672" s="3">
        <v>99</v>
      </c>
      <c r="G5672" t="s">
        <v>514</v>
      </c>
    </row>
    <row r="5673" spans="1:7" x14ac:dyDescent="0.25">
      <c r="A5673" s="1" t="str">
        <f>"519550"</f>
        <v>519550</v>
      </c>
      <c r="B5673" s="2" t="str">
        <f>"CARTAZ"</f>
        <v>CARTAZ</v>
      </c>
      <c r="C5673" s="2" t="str">
        <f t="shared" si="223"/>
        <v>UN</v>
      </c>
      <c r="D5673" s="7">
        <v>401</v>
      </c>
      <c r="E5673" s="3">
        <v>4</v>
      </c>
      <c r="F5673" s="3">
        <v>4</v>
      </c>
      <c r="G5673" t="s">
        <v>514</v>
      </c>
    </row>
    <row r="5674" spans="1:7" x14ac:dyDescent="0.25">
      <c r="A5674" s="1" t="str">
        <f>"518714"</f>
        <v>518714</v>
      </c>
      <c r="B5674" s="2" t="str">
        <f>"CARTELA CPU MEMORIA VIDE 911S010017"</f>
        <v>CARTELA CPU MEMORIA VIDE 911S010017</v>
      </c>
      <c r="C5674" s="2" t="str">
        <f t="shared" si="223"/>
        <v>UN</v>
      </c>
      <c r="D5674" s="7">
        <v>811</v>
      </c>
      <c r="E5674" s="3">
        <v>11</v>
      </c>
      <c r="F5674" s="3">
        <v>11</v>
      </c>
      <c r="G5674" t="s">
        <v>514</v>
      </c>
    </row>
    <row r="5675" spans="1:7" x14ac:dyDescent="0.25">
      <c r="A5675" s="1" t="str">
        <f>"519485"</f>
        <v>519485</v>
      </c>
      <c r="B5675" s="2" t="str">
        <f>"CARTELA IDENTIFICAÇÃO  8WA8968-1PE"</f>
        <v>CARTELA IDENTIFICAÇÃO  8WA8968-1PE</v>
      </c>
      <c r="C5675" s="2" t="str">
        <f t="shared" si="223"/>
        <v>UN</v>
      </c>
      <c r="D5675" s="7">
        <v>811</v>
      </c>
      <c r="E5675" s="3">
        <v>8</v>
      </c>
      <c r="F5675" s="3">
        <v>8</v>
      </c>
      <c r="G5675" t="s">
        <v>513</v>
      </c>
    </row>
    <row r="5676" spans="1:7" x14ac:dyDescent="0.25">
      <c r="A5676" s="1" t="str">
        <f>"522854"</f>
        <v>522854</v>
      </c>
      <c r="B5676" s="8" t="s">
        <v>343</v>
      </c>
      <c r="C5676" s="2" t="str">
        <f t="shared" si="223"/>
        <v>UN</v>
      </c>
      <c r="D5676" s="7">
        <v>900</v>
      </c>
      <c r="E5676" s="3">
        <v>11</v>
      </c>
      <c r="F5676" s="3">
        <v>11</v>
      </c>
      <c r="G5676" t="s">
        <v>513</v>
      </c>
    </row>
    <row r="5677" spans="1:7" x14ac:dyDescent="0.25">
      <c r="A5677" s="1" t="str">
        <f>"520685"</f>
        <v>520685</v>
      </c>
      <c r="B5677" s="2" t="str">
        <f>"CARTER 442G005800"</f>
        <v>CARTER 442G005800</v>
      </c>
      <c r="C5677" s="2" t="str">
        <f t="shared" si="223"/>
        <v>UN</v>
      </c>
      <c r="D5677" s="7">
        <v>918</v>
      </c>
      <c r="E5677" s="3">
        <v>11</v>
      </c>
      <c r="F5677" s="3">
        <v>11</v>
      </c>
      <c r="G5677" t="s">
        <v>513</v>
      </c>
    </row>
    <row r="5678" spans="1:7" x14ac:dyDescent="0.25">
      <c r="A5678" s="1" t="str">
        <f>"511047"</f>
        <v>511047</v>
      </c>
      <c r="B5678" s="2" t="str">
        <f>"CARTOLINA"</f>
        <v>CARTOLINA</v>
      </c>
      <c r="C5678" s="2" t="str">
        <f t="shared" si="223"/>
        <v>UN</v>
      </c>
      <c r="D5678" s="7">
        <v>401</v>
      </c>
      <c r="E5678" s="3">
        <v>4</v>
      </c>
      <c r="F5678" s="3">
        <v>4</v>
      </c>
      <c r="G5678" t="s">
        <v>512</v>
      </c>
    </row>
    <row r="5679" spans="1:7" x14ac:dyDescent="0.25">
      <c r="A5679" s="1" t="str">
        <f>"509772"</f>
        <v>509772</v>
      </c>
      <c r="B5679" s="2" t="str">
        <f>"CARTUCHO"</f>
        <v>CARTUCHO</v>
      </c>
      <c r="C5679" s="2" t="str">
        <f t="shared" si="223"/>
        <v>UN</v>
      </c>
      <c r="D5679" s="7">
        <v>402</v>
      </c>
      <c r="E5679" s="3">
        <v>4</v>
      </c>
      <c r="F5679" s="3">
        <v>4</v>
      </c>
      <c r="G5679" t="s">
        <v>513</v>
      </c>
    </row>
    <row r="5680" spans="1:7" x14ac:dyDescent="0.25">
      <c r="A5680" s="1" t="str">
        <f>"2799"</f>
        <v>2799</v>
      </c>
      <c r="B5680" s="2" t="str">
        <f>"CARTUCHO  TINTA LABO1 60X60MA (COPO)"</f>
        <v>CARTUCHO  TINTA LABO1 60X60MA (COPO)</v>
      </c>
      <c r="C5680" s="2" t="str">
        <f t="shared" si="223"/>
        <v>UN</v>
      </c>
      <c r="D5680" s="7">
        <v>401</v>
      </c>
      <c r="E5680" s="3">
        <v>4</v>
      </c>
      <c r="F5680" s="3">
        <v>4</v>
      </c>
      <c r="G5680" t="s">
        <v>514</v>
      </c>
    </row>
    <row r="5681" spans="1:7" x14ac:dyDescent="0.25">
      <c r="A5681" s="1" t="str">
        <f>"524002"</f>
        <v>524002</v>
      </c>
      <c r="B5681" s="2" t="str">
        <f>"CARTUCHO 6.8/11 AMARELO 100X"</f>
        <v>CARTUCHO 6.8/11 AMARELO 100X</v>
      </c>
      <c r="C5681" s="2" t="str">
        <f t="shared" si="223"/>
        <v>UN</v>
      </c>
      <c r="D5681" s="7">
        <v>99999</v>
      </c>
      <c r="E5681" s="3">
        <v>99</v>
      </c>
      <c r="F5681" s="3">
        <v>99</v>
      </c>
      <c r="G5681" t="s">
        <v>515</v>
      </c>
    </row>
    <row r="5682" spans="1:7" x14ac:dyDescent="0.25">
      <c r="A5682" s="1" t="str">
        <f>"505004"</f>
        <v>505004</v>
      </c>
      <c r="B5682" s="2" t="str">
        <f>"CARTUCHO COL. SUPER GAS 190G"</f>
        <v>CARTUCHO COL. SUPER GAS 190G</v>
      </c>
      <c r="C5682" s="2" t="str">
        <f t="shared" si="223"/>
        <v>UN</v>
      </c>
      <c r="D5682" s="7">
        <v>920</v>
      </c>
      <c r="E5682" s="3">
        <v>10</v>
      </c>
      <c r="F5682" s="3">
        <v>10</v>
      </c>
      <c r="G5682" t="s">
        <v>512</v>
      </c>
    </row>
    <row r="5683" spans="1:7" x14ac:dyDescent="0.25">
      <c r="A5683" s="1" t="str">
        <f>"6314"</f>
        <v>6314</v>
      </c>
      <c r="B5683" s="2" t="str">
        <f>"CARTUCHO COLOR 75 HP 4260"</f>
        <v>CARTUCHO COLOR 75 HP 4260</v>
      </c>
      <c r="C5683" s="2" t="str">
        <f t="shared" si="223"/>
        <v>UN</v>
      </c>
      <c r="D5683" s="7">
        <v>401</v>
      </c>
      <c r="E5683" s="3">
        <v>4</v>
      </c>
      <c r="F5683" s="3">
        <v>4</v>
      </c>
      <c r="G5683" t="s">
        <v>516</v>
      </c>
    </row>
    <row r="5684" spans="1:7" x14ac:dyDescent="0.25">
      <c r="A5684" s="1" t="str">
        <f>"528111"</f>
        <v>528111</v>
      </c>
      <c r="B5684" s="2" t="str">
        <f>"CARTUCHO GAS MAP 400GR ONU1077 CLASSE 2.1"</f>
        <v>CARTUCHO GAS MAP 400GR ONU1077 CLASSE 2.1</v>
      </c>
      <c r="C5684" s="2" t="str">
        <f t="shared" si="223"/>
        <v>UN</v>
      </c>
      <c r="D5684" s="7">
        <v>99999</v>
      </c>
      <c r="E5684" s="3">
        <v>11</v>
      </c>
      <c r="F5684" s="3">
        <v>11</v>
      </c>
      <c r="G5684" t="s">
        <v>515</v>
      </c>
    </row>
    <row r="5685" spans="1:7" x14ac:dyDescent="0.25">
      <c r="A5685" s="1" t="str">
        <f>"513797"</f>
        <v>513797</v>
      </c>
      <c r="B5685" s="2" t="str">
        <f>"CARTUCHO HP 60 COLOR"</f>
        <v>CARTUCHO HP 60 COLOR</v>
      </c>
      <c r="C5685" s="2" t="str">
        <f t="shared" si="223"/>
        <v>UN</v>
      </c>
      <c r="D5685" s="7">
        <v>401</v>
      </c>
      <c r="E5685" s="3">
        <v>4</v>
      </c>
      <c r="F5685" s="3">
        <v>4</v>
      </c>
      <c r="G5685" t="s">
        <v>514</v>
      </c>
    </row>
    <row r="5686" spans="1:7" x14ac:dyDescent="0.25">
      <c r="A5686" s="1" t="str">
        <f>"513798"</f>
        <v>513798</v>
      </c>
      <c r="B5686" s="2" t="str">
        <f>"CARTUCHO HP 60 PRETO"</f>
        <v>CARTUCHO HP 60 PRETO</v>
      </c>
      <c r="C5686" s="2" t="str">
        <f t="shared" si="223"/>
        <v>UN</v>
      </c>
      <c r="D5686" s="7">
        <v>401</v>
      </c>
      <c r="E5686" s="3">
        <v>4</v>
      </c>
      <c r="F5686" s="3">
        <v>4</v>
      </c>
      <c r="G5686" t="s">
        <v>512</v>
      </c>
    </row>
    <row r="5687" spans="1:7" x14ac:dyDescent="0.25">
      <c r="A5687" s="1" t="str">
        <f>"2460"</f>
        <v>2460</v>
      </c>
      <c r="B5687" s="2" t="str">
        <f>"CARTUCHO HP 615 - PRETO"</f>
        <v>CARTUCHO HP 615 - PRETO</v>
      </c>
      <c r="C5687" s="2" t="str">
        <f>"PC"</f>
        <v>PC</v>
      </c>
      <c r="D5687" s="7">
        <v>401</v>
      </c>
      <c r="E5687" s="3">
        <v>4</v>
      </c>
      <c r="F5687" s="3">
        <v>4</v>
      </c>
      <c r="G5687" t="s">
        <v>513</v>
      </c>
    </row>
    <row r="5688" spans="1:7" x14ac:dyDescent="0.25">
      <c r="A5688" s="1" t="str">
        <f>"3018"</f>
        <v>3018</v>
      </c>
      <c r="B5688" s="2" t="str">
        <f>"CARTUCHO HP 6625 - COLORIDO"</f>
        <v>CARTUCHO HP 6625 - COLORIDO</v>
      </c>
      <c r="C5688" s="2" t="str">
        <f>"UN"</f>
        <v>UN</v>
      </c>
      <c r="D5688" s="7">
        <v>401</v>
      </c>
      <c r="E5688" s="3">
        <v>4</v>
      </c>
      <c r="F5688" s="3">
        <v>4</v>
      </c>
      <c r="G5688" t="s">
        <v>514</v>
      </c>
    </row>
    <row r="5689" spans="1:7" x14ac:dyDescent="0.25">
      <c r="A5689" s="1" t="str">
        <f>"522002"</f>
        <v>522002</v>
      </c>
      <c r="B5689" s="2" t="str">
        <f>"CARTUCHO HP 664 COLOR"</f>
        <v>CARTUCHO HP 664 COLOR</v>
      </c>
      <c r="C5689" s="2" t="str">
        <f>"UN"</f>
        <v>UN</v>
      </c>
      <c r="D5689" s="7">
        <v>401</v>
      </c>
      <c r="E5689" s="3">
        <v>4</v>
      </c>
      <c r="F5689" s="3">
        <v>4</v>
      </c>
      <c r="G5689" t="s">
        <v>514</v>
      </c>
    </row>
    <row r="5690" spans="1:7" x14ac:dyDescent="0.25">
      <c r="A5690" s="1" t="str">
        <f>"522001"</f>
        <v>522001</v>
      </c>
      <c r="B5690" s="2" t="str">
        <f>"CARTUCHO HP 664 PRETO"</f>
        <v>CARTUCHO HP 664 PRETO</v>
      </c>
      <c r="C5690" s="2" t="str">
        <f>"UN"</f>
        <v>UN</v>
      </c>
      <c r="D5690" s="7">
        <v>401</v>
      </c>
      <c r="E5690" s="3">
        <v>4</v>
      </c>
      <c r="F5690" s="3">
        <v>4</v>
      </c>
      <c r="G5690" t="s">
        <v>512</v>
      </c>
    </row>
    <row r="5691" spans="1:7" x14ac:dyDescent="0.25">
      <c r="A5691" s="1" t="str">
        <f>"519874"</f>
        <v>519874</v>
      </c>
      <c r="B5691" s="2" t="str">
        <f>"CARTUCHO HP 72 PRETO"</f>
        <v>CARTUCHO HP 72 PRETO</v>
      </c>
      <c r="C5691" s="2" t="str">
        <f>"UN"</f>
        <v>UN</v>
      </c>
      <c r="D5691" s="7">
        <v>401</v>
      </c>
      <c r="E5691" s="3">
        <v>4</v>
      </c>
      <c r="F5691" s="3">
        <v>4</v>
      </c>
      <c r="G5691" t="s">
        <v>513</v>
      </c>
    </row>
    <row r="5692" spans="1:7" x14ac:dyDescent="0.25">
      <c r="A5692" s="1" t="str">
        <f>"3467"</f>
        <v>3467</v>
      </c>
      <c r="B5692" s="2" t="str">
        <f>"CARTUCHO HP92 PRETO"</f>
        <v>CARTUCHO HP92 PRETO</v>
      </c>
      <c r="C5692" s="2" t="str">
        <f>"PC"</f>
        <v>PC</v>
      </c>
      <c r="D5692" s="7">
        <v>401</v>
      </c>
      <c r="E5692" s="3">
        <v>4</v>
      </c>
      <c r="F5692" s="3">
        <v>4</v>
      </c>
      <c r="G5692" t="s">
        <v>514</v>
      </c>
    </row>
    <row r="5693" spans="1:7" x14ac:dyDescent="0.25">
      <c r="A5693" s="1" t="str">
        <f>"3468"</f>
        <v>3468</v>
      </c>
      <c r="B5693" s="2" t="str">
        <f>"CARTUCHO HP93 COLOR"</f>
        <v>CARTUCHO HP93 COLOR</v>
      </c>
      <c r="C5693" s="2" t="str">
        <f>"PC"</f>
        <v>PC</v>
      </c>
      <c r="D5693" s="7">
        <v>401</v>
      </c>
      <c r="E5693" s="3">
        <v>4</v>
      </c>
      <c r="F5693" s="3">
        <v>4</v>
      </c>
      <c r="G5693" t="s">
        <v>514</v>
      </c>
    </row>
    <row r="5694" spans="1:7" x14ac:dyDescent="0.25">
      <c r="A5694" s="1" t="str">
        <f>"514819"</f>
        <v>514819</v>
      </c>
      <c r="B5694" s="2" t="str">
        <f>"CARTUCHO IMPRESSORA"</f>
        <v>CARTUCHO IMPRESSORA</v>
      </c>
      <c r="C5694" s="2" t="str">
        <f>"UN"</f>
        <v>UN</v>
      </c>
      <c r="D5694" s="7">
        <v>401</v>
      </c>
      <c r="E5694" s="3">
        <v>4</v>
      </c>
      <c r="F5694" s="3">
        <v>4</v>
      </c>
      <c r="G5694" t="s">
        <v>514</v>
      </c>
    </row>
    <row r="5695" spans="1:7" x14ac:dyDescent="0.25">
      <c r="A5695" s="1" t="str">
        <f>"510805"</f>
        <v>510805</v>
      </c>
      <c r="B5695" s="2" t="str">
        <f>"CARTUCHO LASER GC HP 1120"</f>
        <v>CARTUCHO LASER GC HP 1120</v>
      </c>
      <c r="C5695" s="2" t="str">
        <f>"UN"</f>
        <v>UN</v>
      </c>
      <c r="D5695" s="7">
        <v>401</v>
      </c>
      <c r="E5695" s="3">
        <v>4</v>
      </c>
      <c r="F5695" s="3">
        <v>4</v>
      </c>
      <c r="G5695" t="s">
        <v>513</v>
      </c>
    </row>
    <row r="5696" spans="1:7" x14ac:dyDescent="0.25">
      <c r="A5696" s="1" t="str">
        <f>"2556"</f>
        <v>2556</v>
      </c>
      <c r="B5696" s="2" t="str">
        <f>"CARTUCHO MULTILASER MJ 6615"</f>
        <v>CARTUCHO MULTILASER MJ 6615</v>
      </c>
      <c r="C5696" s="2" t="str">
        <f>"PC"</f>
        <v>PC</v>
      </c>
      <c r="D5696" s="7">
        <v>401</v>
      </c>
      <c r="E5696" s="3">
        <v>4</v>
      </c>
      <c r="F5696" s="3">
        <v>4</v>
      </c>
      <c r="G5696" t="s">
        <v>512</v>
      </c>
    </row>
    <row r="5697" spans="1:7" x14ac:dyDescent="0.25">
      <c r="A5697" s="1" t="str">
        <f>"5969"</f>
        <v>5969</v>
      </c>
      <c r="B5697" s="2" t="str">
        <f>"CARTUCHO MULTLASER HP 6578 HP 970C"</f>
        <v>CARTUCHO MULTLASER HP 6578 HP 970C</v>
      </c>
      <c r="C5697" s="2" t="str">
        <f t="shared" ref="C5697:C5709" si="224">"UN"</f>
        <v>UN</v>
      </c>
      <c r="D5697" s="7">
        <v>401</v>
      </c>
      <c r="E5697" s="3">
        <v>4</v>
      </c>
      <c r="F5697" s="3">
        <v>4</v>
      </c>
      <c r="G5697" t="s">
        <v>513</v>
      </c>
    </row>
    <row r="5698" spans="1:7" x14ac:dyDescent="0.25">
      <c r="A5698" s="1" t="str">
        <f>"2701"</f>
        <v>2701</v>
      </c>
      <c r="B5698" s="2" t="str">
        <f>"CARTUCHO P/ IMPRESSORA HPC66140 PRETO"</f>
        <v>CARTUCHO P/ IMPRESSORA HPC66140 PRETO</v>
      </c>
      <c r="C5698" s="2" t="str">
        <f t="shared" si="224"/>
        <v>UN</v>
      </c>
      <c r="D5698" s="7">
        <v>401</v>
      </c>
      <c r="E5698" s="3">
        <v>4</v>
      </c>
      <c r="F5698" s="3">
        <v>4</v>
      </c>
      <c r="G5698" t="s">
        <v>514</v>
      </c>
    </row>
    <row r="5699" spans="1:7" x14ac:dyDescent="0.25">
      <c r="A5699" s="1" t="str">
        <f>"6313"</f>
        <v>6313</v>
      </c>
      <c r="B5699" s="2" t="str">
        <f>"CARTUCHO PRETO 74 HP 4260"</f>
        <v>CARTUCHO PRETO 74 HP 4260</v>
      </c>
      <c r="C5699" s="2" t="str">
        <f t="shared" si="224"/>
        <v>UN</v>
      </c>
      <c r="D5699" s="7">
        <v>401</v>
      </c>
      <c r="E5699" s="3">
        <v>4</v>
      </c>
      <c r="F5699" s="3">
        <v>4</v>
      </c>
      <c r="G5699" t="s">
        <v>514</v>
      </c>
    </row>
    <row r="5700" spans="1:7" x14ac:dyDescent="0.25">
      <c r="A5700" s="1" t="str">
        <f>"522697"</f>
        <v>522697</v>
      </c>
      <c r="B5700" s="2" t="str">
        <f>"CARTUCHO QUIM P/ VAPORES ORG E GASES ACIDOS 3M 6003 CA-4115"</f>
        <v>CARTUCHO QUIM P/ VAPORES ORG E GASES ACIDOS 3M 6003 CA-4115</v>
      </c>
      <c r="C5700" s="2" t="str">
        <f t="shared" si="224"/>
        <v>UN</v>
      </c>
      <c r="D5700" s="7">
        <v>501</v>
      </c>
      <c r="E5700" s="3">
        <v>5</v>
      </c>
      <c r="F5700" s="3">
        <v>5</v>
      </c>
      <c r="G5700" t="s">
        <v>514</v>
      </c>
    </row>
    <row r="5701" spans="1:7" x14ac:dyDescent="0.25">
      <c r="A5701" s="1" t="str">
        <f>"515470"</f>
        <v>515470</v>
      </c>
      <c r="B5701" s="2" t="str">
        <f>"CARTUCHO QUIMICO AMONIA"</f>
        <v>CARTUCHO QUIMICO AMONIA</v>
      </c>
      <c r="C5701" s="2" t="str">
        <f t="shared" si="224"/>
        <v>UN</v>
      </c>
      <c r="D5701" s="7">
        <v>502</v>
      </c>
      <c r="E5701" s="3">
        <v>5</v>
      </c>
      <c r="F5701" s="3">
        <v>5</v>
      </c>
      <c r="G5701" t="s">
        <v>513</v>
      </c>
    </row>
    <row r="5702" spans="1:7" x14ac:dyDescent="0.25">
      <c r="A5702" s="1" t="str">
        <f>"523453"</f>
        <v>523453</v>
      </c>
      <c r="B5702" s="2" t="str">
        <f>"CARTUCHO QUIMICO CLASSE 1 AMÔNIA METILAMINA (PAR)"</f>
        <v>CARTUCHO QUIMICO CLASSE 1 AMÔNIA METILAMINA (PAR)</v>
      </c>
      <c r="C5702" s="2" t="str">
        <f t="shared" si="224"/>
        <v>UN</v>
      </c>
      <c r="D5702" s="7">
        <v>501</v>
      </c>
      <c r="E5702" s="3">
        <v>5</v>
      </c>
      <c r="F5702" s="3">
        <v>5</v>
      </c>
      <c r="G5702" t="s">
        <v>513</v>
      </c>
    </row>
    <row r="5703" spans="1:7" x14ac:dyDescent="0.25">
      <c r="A5703" s="1" t="str">
        <f>"513521"</f>
        <v>513521</v>
      </c>
      <c r="B5703" s="2" t="str">
        <f>"CARTUCHO SUPER GAS 190G"</f>
        <v>CARTUCHO SUPER GAS 190G</v>
      </c>
      <c r="C5703" s="2" t="str">
        <f t="shared" si="224"/>
        <v>UN</v>
      </c>
      <c r="D5703" s="7">
        <v>920</v>
      </c>
      <c r="E5703" s="3">
        <v>10</v>
      </c>
      <c r="F5703" s="3">
        <v>10</v>
      </c>
      <c r="G5703" t="s">
        <v>513</v>
      </c>
    </row>
    <row r="5704" spans="1:7" x14ac:dyDescent="0.25">
      <c r="A5704" s="1" t="str">
        <f>"500985"</f>
        <v>500985</v>
      </c>
      <c r="B5704" s="2" t="str">
        <f>"CARTUCHO TINTA COD.138263-3 BRASKOP"</f>
        <v>CARTUCHO TINTA COD.138263-3 BRASKOP</v>
      </c>
      <c r="C5704" s="2" t="str">
        <f t="shared" si="224"/>
        <v>UN</v>
      </c>
      <c r="D5704" s="7">
        <v>918</v>
      </c>
      <c r="E5704" s="3">
        <v>11</v>
      </c>
      <c r="F5704" s="3">
        <v>11</v>
      </c>
      <c r="G5704" t="s">
        <v>512</v>
      </c>
    </row>
    <row r="5705" spans="1:7" x14ac:dyDescent="0.25">
      <c r="A5705" s="1" t="str">
        <f>"513926"</f>
        <v>513926</v>
      </c>
      <c r="B5705" s="2" t="str">
        <f>"CARTUCHO TONER PRETO 2600"</f>
        <v>CARTUCHO TONER PRETO 2600</v>
      </c>
      <c r="C5705" s="2" t="str">
        <f t="shared" si="224"/>
        <v>UN</v>
      </c>
      <c r="D5705" s="7">
        <v>99999</v>
      </c>
      <c r="E5705" s="3">
        <v>99</v>
      </c>
      <c r="F5705" s="3">
        <v>99</v>
      </c>
      <c r="G5705" t="s">
        <v>513</v>
      </c>
    </row>
    <row r="5706" spans="1:7" x14ac:dyDescent="0.25">
      <c r="A5706" s="1" t="str">
        <f>"514890"</f>
        <v>514890</v>
      </c>
      <c r="B5706" s="2" t="str">
        <f>"CARVAO"</f>
        <v>CARVAO</v>
      </c>
      <c r="C5706" s="2" t="str">
        <f t="shared" si="224"/>
        <v>UN</v>
      </c>
      <c r="D5706" s="7">
        <v>401</v>
      </c>
      <c r="E5706" s="3">
        <v>4</v>
      </c>
      <c r="F5706" s="3">
        <v>4</v>
      </c>
      <c r="G5706" t="s">
        <v>514</v>
      </c>
    </row>
    <row r="5707" spans="1:7" x14ac:dyDescent="0.25">
      <c r="A5707" s="1" t="str">
        <f>"513172"</f>
        <v>513172</v>
      </c>
      <c r="B5707" s="2" t="str">
        <f>"CARVAO DISTRIBUIDOR"</f>
        <v>CARVAO DISTRIBUIDOR</v>
      </c>
      <c r="C5707" s="2" t="str">
        <f t="shared" si="224"/>
        <v>UN</v>
      </c>
      <c r="D5707" s="7">
        <v>900</v>
      </c>
      <c r="E5707" s="3">
        <v>11</v>
      </c>
      <c r="F5707" s="3">
        <v>11</v>
      </c>
      <c r="G5707" t="s">
        <v>515</v>
      </c>
    </row>
    <row r="5708" spans="1:7" x14ac:dyDescent="0.25">
      <c r="A5708" s="1" t="str">
        <f>"512947"</f>
        <v>512947</v>
      </c>
      <c r="B5708" s="2" t="str">
        <f>"CARVÃO ESMERILHADEIRA BOSH 1338 4 1/2"" COD 374"</f>
        <v>CARVÃO ESMERILHADEIRA BOSH 1338 4 1/2" COD 374</v>
      </c>
      <c r="C5708" s="2" t="str">
        <f t="shared" si="224"/>
        <v>UN</v>
      </c>
      <c r="D5708" s="7">
        <v>811</v>
      </c>
      <c r="E5708" s="3">
        <v>8</v>
      </c>
      <c r="F5708" s="3">
        <v>8</v>
      </c>
      <c r="G5708" t="s">
        <v>512</v>
      </c>
    </row>
    <row r="5709" spans="1:7" x14ac:dyDescent="0.25">
      <c r="A5709" s="1" t="str">
        <f>"514500"</f>
        <v>514500</v>
      </c>
      <c r="B5709" s="2" t="str">
        <f>"CASACO"</f>
        <v>CASACO</v>
      </c>
      <c r="C5709" s="2" t="str">
        <f t="shared" si="224"/>
        <v>UN</v>
      </c>
      <c r="D5709" s="7">
        <v>500</v>
      </c>
      <c r="E5709" s="3">
        <v>5</v>
      </c>
      <c r="F5709" s="3">
        <v>5</v>
      </c>
      <c r="G5709" t="s">
        <v>516</v>
      </c>
    </row>
    <row r="5710" spans="1:7" x14ac:dyDescent="0.25">
      <c r="A5710" s="1" t="str">
        <f>"527305"</f>
        <v>527305</v>
      </c>
      <c r="B5710" s="2" t="str">
        <f>"CASCO CAPACETE MSA (CA CAPACETE 8304)"</f>
        <v>CASCO CAPACETE MSA (CA CAPACETE 8304)</v>
      </c>
      <c r="C5710" s="2" t="str">
        <f>"CX"</f>
        <v>CX</v>
      </c>
      <c r="D5710" s="7">
        <v>501</v>
      </c>
      <c r="E5710" s="3">
        <v>5</v>
      </c>
      <c r="F5710" s="3">
        <v>5</v>
      </c>
      <c r="G5710" t="s">
        <v>515</v>
      </c>
    </row>
    <row r="5711" spans="1:7" x14ac:dyDescent="0.25">
      <c r="A5711" s="1" t="str">
        <f>"512935"</f>
        <v>512935</v>
      </c>
      <c r="B5711" s="2" t="str">
        <f>"CASE P/ HD 3,5"""</f>
        <v>CASE P/ HD 3,5"</v>
      </c>
      <c r="C5711" s="2" t="str">
        <f t="shared" ref="C5711:C5718" si="225">"UN"</f>
        <v>UN</v>
      </c>
      <c r="D5711" s="7">
        <v>401</v>
      </c>
      <c r="E5711" s="3">
        <v>4</v>
      </c>
      <c r="F5711" s="3">
        <v>4</v>
      </c>
      <c r="G5711" t="s">
        <v>514</v>
      </c>
    </row>
    <row r="5712" spans="1:7" x14ac:dyDescent="0.25">
      <c r="A5712" s="1" t="str">
        <f>"522631"</f>
        <v>522631</v>
      </c>
      <c r="B5712" s="2" t="str">
        <f>"CASQUILHO"</f>
        <v>CASQUILHO</v>
      </c>
      <c r="C5712" s="2" t="str">
        <f t="shared" si="225"/>
        <v>UN</v>
      </c>
      <c r="D5712" s="7">
        <v>704</v>
      </c>
      <c r="E5712" s="3">
        <v>9</v>
      </c>
      <c r="F5712" s="3">
        <v>9</v>
      </c>
      <c r="G5712" t="s">
        <v>512</v>
      </c>
    </row>
    <row r="5713" spans="1:7" x14ac:dyDescent="0.25">
      <c r="A5713" s="1" t="str">
        <f>"507813"</f>
        <v>507813</v>
      </c>
      <c r="B5713" s="2" t="str">
        <f>"CASQUILHO 0,5MM 100 SLE"</f>
        <v>CASQUILHO 0,5MM 100 SLE</v>
      </c>
      <c r="C5713" s="2" t="str">
        <f t="shared" si="225"/>
        <v>UN</v>
      </c>
      <c r="D5713" s="7">
        <v>918</v>
      </c>
      <c r="E5713" s="3">
        <v>11</v>
      </c>
      <c r="F5713" s="3">
        <v>11</v>
      </c>
      <c r="G5713" t="s">
        <v>513</v>
      </c>
    </row>
    <row r="5714" spans="1:7" x14ac:dyDescent="0.25">
      <c r="A5714" s="1" t="str">
        <f>"510030"</f>
        <v>510030</v>
      </c>
      <c r="B5714" s="2" t="str">
        <f>"CASQUILHO 0,5MM 65"</f>
        <v>CASQUILHO 0,5MM 65</v>
      </c>
      <c r="C5714" s="2" t="str">
        <f t="shared" si="225"/>
        <v>UN</v>
      </c>
      <c r="D5714" s="7">
        <v>918</v>
      </c>
      <c r="E5714" s="3">
        <v>11</v>
      </c>
      <c r="F5714" s="3">
        <v>11</v>
      </c>
      <c r="G5714" t="s">
        <v>514</v>
      </c>
    </row>
    <row r="5715" spans="1:7" x14ac:dyDescent="0.25">
      <c r="A5715" s="1" t="str">
        <f>"519270"</f>
        <v>519270</v>
      </c>
      <c r="B5715" s="2" t="str">
        <f>"CASQUILHO 1MM 65"</f>
        <v>CASQUILHO 1MM 65</v>
      </c>
      <c r="C5715" s="2" t="str">
        <f t="shared" si="225"/>
        <v>UN</v>
      </c>
      <c r="D5715" s="7">
        <v>918</v>
      </c>
      <c r="E5715" s="3">
        <v>11</v>
      </c>
      <c r="F5715" s="3">
        <v>11</v>
      </c>
      <c r="G5715" t="s">
        <v>514</v>
      </c>
    </row>
    <row r="5716" spans="1:7" x14ac:dyDescent="0.25">
      <c r="A5716" s="1" t="str">
        <f>"525197"</f>
        <v>525197</v>
      </c>
      <c r="B5716" s="2" t="str">
        <f>"CASQUILHO APF- 6196"</f>
        <v>CASQUILHO APF- 6196</v>
      </c>
      <c r="C5716" s="2" t="str">
        <f t="shared" si="225"/>
        <v>UN</v>
      </c>
      <c r="D5716" s="7">
        <v>918</v>
      </c>
      <c r="E5716" s="3">
        <v>11</v>
      </c>
      <c r="F5716" s="3">
        <v>11</v>
      </c>
      <c r="G5716" t="s">
        <v>512</v>
      </c>
    </row>
    <row r="5717" spans="1:7" x14ac:dyDescent="0.25">
      <c r="A5717" s="1" t="str">
        <f>"503074"</f>
        <v>503074</v>
      </c>
      <c r="B5717" s="2" t="str">
        <f>"CASQUILHO STD. 100 SLE"</f>
        <v>CASQUILHO STD. 100 SLE</v>
      </c>
      <c r="C5717" s="2" t="str">
        <f t="shared" si="225"/>
        <v>UN</v>
      </c>
      <c r="D5717" s="7">
        <v>704</v>
      </c>
      <c r="E5717" s="3">
        <v>9</v>
      </c>
      <c r="F5717" s="3">
        <v>9</v>
      </c>
      <c r="G5717" t="s">
        <v>513</v>
      </c>
    </row>
    <row r="5718" spans="1:7" x14ac:dyDescent="0.25">
      <c r="A5718" s="1" t="str">
        <f>"509269"</f>
        <v>509269</v>
      </c>
      <c r="B5718" s="8" t="s">
        <v>22</v>
      </c>
      <c r="C5718" s="2" t="str">
        <f t="shared" si="225"/>
        <v>UN</v>
      </c>
      <c r="D5718" s="7">
        <v>918</v>
      </c>
      <c r="E5718" s="3">
        <v>11</v>
      </c>
      <c r="F5718" s="3">
        <v>11</v>
      </c>
      <c r="G5718" t="s">
        <v>514</v>
      </c>
    </row>
    <row r="5719" spans="1:7" x14ac:dyDescent="0.25">
      <c r="A5719" s="1" t="str">
        <f>"506109"</f>
        <v>506109</v>
      </c>
      <c r="B5719" s="2" t="str">
        <f>"CASTANHA Nº 04"</f>
        <v>CASTANHA Nº 04</v>
      </c>
      <c r="C5719" s="2" t="str">
        <f>"PC"</f>
        <v>PC</v>
      </c>
      <c r="D5719" s="7">
        <v>806</v>
      </c>
      <c r="E5719" s="3">
        <v>10</v>
      </c>
      <c r="F5719" s="3">
        <v>10</v>
      </c>
      <c r="G5719" t="s">
        <v>514</v>
      </c>
    </row>
    <row r="5720" spans="1:7" x14ac:dyDescent="0.25">
      <c r="A5720" s="1" t="str">
        <f>"505647"</f>
        <v>505647</v>
      </c>
      <c r="B5720" s="2" t="str">
        <f>"CASTANHA RODA"</f>
        <v>CASTANHA RODA</v>
      </c>
      <c r="C5720" s="2" t="str">
        <f t="shared" ref="C5720:C5751" si="226">"UN"</f>
        <v>UN</v>
      </c>
      <c r="D5720" s="7">
        <v>704</v>
      </c>
      <c r="E5720" s="3">
        <v>9</v>
      </c>
      <c r="F5720" s="3">
        <v>9</v>
      </c>
      <c r="G5720" t="s">
        <v>514</v>
      </c>
    </row>
    <row r="5721" spans="1:7" x14ac:dyDescent="0.25">
      <c r="A5721" s="1" t="str">
        <f>"511400"</f>
        <v>511400</v>
      </c>
      <c r="B5721" s="2" t="str">
        <f>"CASTANHA VARAO EXTERNO"</f>
        <v>CASTANHA VARAO EXTERNO</v>
      </c>
      <c r="C5721" s="2" t="str">
        <f t="shared" si="226"/>
        <v>UN</v>
      </c>
      <c r="D5721" s="7">
        <v>704</v>
      </c>
      <c r="E5721" s="3">
        <v>9</v>
      </c>
      <c r="F5721" s="3">
        <v>9</v>
      </c>
      <c r="G5721" t="s">
        <v>513</v>
      </c>
    </row>
    <row r="5722" spans="1:7" x14ac:dyDescent="0.25">
      <c r="A5722" s="1" t="str">
        <f>"527626"</f>
        <v>527626</v>
      </c>
      <c r="B5722" s="2" t="str">
        <f>"CASTELETE PVC NORMAL BRANCO"</f>
        <v>CASTELETE PVC NORMAL BRANCO</v>
      </c>
      <c r="C5722" s="2" t="str">
        <f t="shared" si="226"/>
        <v>UN</v>
      </c>
      <c r="D5722" s="7">
        <v>601</v>
      </c>
      <c r="E5722" s="3">
        <v>8</v>
      </c>
      <c r="F5722" s="3">
        <v>8</v>
      </c>
      <c r="G5722" t="s">
        <v>512</v>
      </c>
    </row>
    <row r="5723" spans="1:7" x14ac:dyDescent="0.25">
      <c r="A5723" s="1" t="str">
        <f>"526765"</f>
        <v>526765</v>
      </c>
      <c r="B5723" s="2" t="str">
        <f>"CASTELO COD.13450"</f>
        <v>CASTELO COD.13450</v>
      </c>
      <c r="C5723" s="2" t="str">
        <f t="shared" si="226"/>
        <v>UN</v>
      </c>
      <c r="D5723" s="7">
        <v>918</v>
      </c>
      <c r="E5723" s="3">
        <v>11</v>
      </c>
      <c r="F5723" s="3">
        <v>11</v>
      </c>
      <c r="G5723" t="s">
        <v>513</v>
      </c>
    </row>
    <row r="5724" spans="1:7" x14ac:dyDescent="0.25">
      <c r="A5724" s="1" t="str">
        <f>"523007"</f>
        <v>523007</v>
      </c>
      <c r="B5724" s="2" t="str">
        <f>"CASTER"</f>
        <v>CASTER</v>
      </c>
      <c r="C5724" s="2" t="str">
        <f t="shared" si="226"/>
        <v>UN</v>
      </c>
      <c r="D5724" s="7">
        <v>99999</v>
      </c>
      <c r="E5724" s="3">
        <v>99</v>
      </c>
      <c r="F5724" s="3">
        <v>99</v>
      </c>
      <c r="G5724" t="s">
        <v>514</v>
      </c>
    </row>
    <row r="5725" spans="1:7" x14ac:dyDescent="0.25">
      <c r="A5725" s="1" t="str">
        <f>"509633"</f>
        <v>509633</v>
      </c>
      <c r="B5725" s="2" t="str">
        <f>"CASULO DA BUZINA"</f>
        <v>CASULO DA BUZINA</v>
      </c>
      <c r="C5725" s="2" t="str">
        <f t="shared" si="226"/>
        <v>UN</v>
      </c>
      <c r="D5725" s="7">
        <v>704</v>
      </c>
      <c r="E5725" s="3">
        <v>9</v>
      </c>
      <c r="F5725" s="3">
        <v>9</v>
      </c>
      <c r="G5725" t="s">
        <v>514</v>
      </c>
    </row>
    <row r="5726" spans="1:7" x14ac:dyDescent="0.25">
      <c r="A5726" s="1" t="str">
        <f>"510863"</f>
        <v>510863</v>
      </c>
      <c r="B5726" s="2" t="str">
        <f>"CAT CHUP DAJUDA"</f>
        <v>CAT CHUP DAJUDA</v>
      </c>
      <c r="C5726" s="2" t="str">
        <f t="shared" si="226"/>
        <v>UN</v>
      </c>
      <c r="D5726" s="7">
        <v>401</v>
      </c>
      <c r="E5726" s="3">
        <v>4</v>
      </c>
      <c r="F5726" s="3">
        <v>4</v>
      </c>
      <c r="G5726" t="s">
        <v>514</v>
      </c>
    </row>
    <row r="5727" spans="1:7" x14ac:dyDescent="0.25">
      <c r="A5727" s="1" t="str">
        <f>"513939"</f>
        <v>513939</v>
      </c>
      <c r="B5727" s="2" t="str">
        <f>"CATAFLAM D"</f>
        <v>CATAFLAM D</v>
      </c>
      <c r="C5727" s="2" t="str">
        <f t="shared" si="226"/>
        <v>UN</v>
      </c>
      <c r="D5727" s="7">
        <v>99999</v>
      </c>
      <c r="E5727" s="3">
        <v>99</v>
      </c>
      <c r="F5727" s="3">
        <v>99</v>
      </c>
      <c r="G5727" t="s">
        <v>513</v>
      </c>
    </row>
    <row r="5728" spans="1:7" x14ac:dyDescent="0.25">
      <c r="A5728" s="1" t="str">
        <f>"524379"</f>
        <v>524379</v>
      </c>
      <c r="B5728" s="2" t="str">
        <f>"CATALISADOR ESCAPAMENTO"</f>
        <v>CATALISADOR ESCAPAMENTO</v>
      </c>
      <c r="C5728" s="2" t="str">
        <f t="shared" si="226"/>
        <v>UN</v>
      </c>
      <c r="D5728" s="7">
        <v>704</v>
      </c>
      <c r="E5728" s="3">
        <v>9</v>
      </c>
      <c r="F5728" s="3">
        <v>9</v>
      </c>
      <c r="G5728" t="s">
        <v>513</v>
      </c>
    </row>
    <row r="5729" spans="1:7" x14ac:dyDescent="0.25">
      <c r="A5729" s="1" t="str">
        <f>"524370"</f>
        <v>524370</v>
      </c>
      <c r="B5729" s="2" t="str">
        <f>"CATALISADOR P/ PERFORDUR ACAB EPOXI - 0,9L (50030)"</f>
        <v>CATALISADOR P/ PERFORDUR ACAB EPOXI - 0,9L (50030)</v>
      </c>
      <c r="C5729" s="2" t="str">
        <f t="shared" si="226"/>
        <v>UN</v>
      </c>
      <c r="D5729" s="7">
        <v>804</v>
      </c>
      <c r="E5729" s="3">
        <v>10</v>
      </c>
      <c r="F5729" s="3">
        <v>10</v>
      </c>
      <c r="G5729" t="s">
        <v>513</v>
      </c>
    </row>
    <row r="5730" spans="1:7" x14ac:dyDescent="0.25">
      <c r="A5730" s="1" t="str">
        <f>"516276"</f>
        <v>516276</v>
      </c>
      <c r="B5730" s="2" t="str">
        <f>"CATALISADOR PPB"</f>
        <v>CATALISADOR PPB</v>
      </c>
      <c r="C5730" s="2" t="str">
        <f t="shared" si="226"/>
        <v>UN</v>
      </c>
      <c r="D5730" s="7">
        <v>917</v>
      </c>
      <c r="E5730" s="3">
        <v>10</v>
      </c>
      <c r="F5730" s="3">
        <v>10</v>
      </c>
      <c r="G5730" t="s">
        <v>512</v>
      </c>
    </row>
    <row r="5731" spans="1:7" x14ac:dyDescent="0.25">
      <c r="A5731" s="1" t="str">
        <f>"500309"</f>
        <v>500309</v>
      </c>
      <c r="B5731" s="2" t="str">
        <f>"CATALIZADOR EPOXI"</f>
        <v>CATALIZADOR EPOXI</v>
      </c>
      <c r="C5731" s="2" t="str">
        <f t="shared" si="226"/>
        <v>UN</v>
      </c>
      <c r="D5731" s="7">
        <v>99999</v>
      </c>
      <c r="E5731" s="3">
        <v>10</v>
      </c>
      <c r="F5731" s="3">
        <v>10</v>
      </c>
      <c r="G5731" t="s">
        <v>513</v>
      </c>
    </row>
    <row r="5732" spans="1:7" x14ac:dyDescent="0.25">
      <c r="A5732" s="1" t="str">
        <f>"512961"</f>
        <v>512961</v>
      </c>
      <c r="B5732" s="2" t="str">
        <f>"CATALIZADOR P/ PRIMER 240ML"</f>
        <v>CATALIZADOR P/ PRIMER 240ML</v>
      </c>
      <c r="C5732" s="2" t="str">
        <f t="shared" si="226"/>
        <v>UN</v>
      </c>
      <c r="D5732" s="7">
        <v>402</v>
      </c>
      <c r="E5732" s="3">
        <v>4</v>
      </c>
      <c r="F5732" s="3">
        <v>4</v>
      </c>
      <c r="G5732" t="s">
        <v>514</v>
      </c>
    </row>
    <row r="5733" spans="1:7" x14ac:dyDescent="0.25">
      <c r="A5733" s="1" t="str">
        <f>"512958"</f>
        <v>512958</v>
      </c>
      <c r="B5733" s="2" t="str">
        <f>"CATALIZADOR P/ TINTA PU 1LT"</f>
        <v>CATALIZADOR P/ TINTA PU 1LT</v>
      </c>
      <c r="C5733" s="2" t="str">
        <f t="shared" si="226"/>
        <v>UN</v>
      </c>
      <c r="D5733" s="7">
        <v>804</v>
      </c>
      <c r="E5733" s="3">
        <v>10</v>
      </c>
      <c r="F5733" s="3">
        <v>10</v>
      </c>
      <c r="G5733" t="s">
        <v>515</v>
      </c>
    </row>
    <row r="5734" spans="1:7" x14ac:dyDescent="0.25">
      <c r="A5734" s="1" t="str">
        <f>"518360"</f>
        <v>518360</v>
      </c>
      <c r="B5734" s="2" t="str">
        <f>"CATALIZADOR P/ WASH E VINILICO 250ML"</f>
        <v>CATALIZADOR P/ WASH E VINILICO 250ML</v>
      </c>
      <c r="C5734" s="2" t="str">
        <f t="shared" si="226"/>
        <v>UN</v>
      </c>
      <c r="D5734" s="7">
        <v>804</v>
      </c>
      <c r="E5734" s="3">
        <v>10</v>
      </c>
      <c r="F5734" s="3">
        <v>10</v>
      </c>
      <c r="G5734" t="s">
        <v>512</v>
      </c>
    </row>
    <row r="5735" spans="1:7" x14ac:dyDescent="0.25">
      <c r="A5735" s="1" t="str">
        <f>"505909"</f>
        <v>505909</v>
      </c>
      <c r="B5735" s="2" t="str">
        <f>"CATALIZADOR WASH PRIMER 1X1 3,600 ML"</f>
        <v>CATALIZADOR WASH PRIMER 1X1 3,600 ML</v>
      </c>
      <c r="C5735" s="2" t="str">
        <f t="shared" si="226"/>
        <v>UN</v>
      </c>
      <c r="D5735" s="7">
        <v>804</v>
      </c>
      <c r="E5735" s="3">
        <v>10</v>
      </c>
      <c r="F5735" s="3">
        <v>10</v>
      </c>
      <c r="G5735" t="s">
        <v>516</v>
      </c>
    </row>
    <row r="5736" spans="1:7" x14ac:dyDescent="0.25">
      <c r="A5736" s="1" t="str">
        <f>"505593"</f>
        <v>505593</v>
      </c>
      <c r="B5736" s="2" t="str">
        <f>"CATALIZADOR WASH PRIMER/VINIL 300ML"</f>
        <v>CATALIZADOR WASH PRIMER/VINIL 300ML</v>
      </c>
      <c r="C5736" s="2" t="str">
        <f t="shared" si="226"/>
        <v>UN</v>
      </c>
      <c r="D5736" s="7">
        <v>403</v>
      </c>
      <c r="E5736" s="3">
        <v>4</v>
      </c>
      <c r="F5736" s="3">
        <v>4</v>
      </c>
      <c r="G5736" t="s">
        <v>515</v>
      </c>
    </row>
    <row r="5737" spans="1:7" x14ac:dyDescent="0.25">
      <c r="A5737" s="1" t="str">
        <f>"524085"</f>
        <v>524085</v>
      </c>
      <c r="B5737" s="2" t="str">
        <f>"CATALOGO ABNT"</f>
        <v>CATALOGO ABNT</v>
      </c>
      <c r="C5737" s="2" t="str">
        <f t="shared" si="226"/>
        <v>UN</v>
      </c>
      <c r="D5737" s="7">
        <v>99999</v>
      </c>
      <c r="E5737" s="3">
        <v>99</v>
      </c>
      <c r="F5737" s="3">
        <v>99</v>
      </c>
      <c r="G5737" t="s">
        <v>514</v>
      </c>
    </row>
    <row r="5738" spans="1:7" x14ac:dyDescent="0.25">
      <c r="A5738" s="1" t="str">
        <f>"521716"</f>
        <v>521716</v>
      </c>
      <c r="B5738" s="2" t="str">
        <f>"CATÁLOGO CAROLINA"</f>
        <v>CATÁLOGO CAROLINA</v>
      </c>
      <c r="C5738" s="2" t="str">
        <f t="shared" si="226"/>
        <v>UN</v>
      </c>
      <c r="D5738" s="7">
        <v>99999</v>
      </c>
      <c r="E5738" s="3">
        <v>99</v>
      </c>
      <c r="F5738" s="3">
        <v>99</v>
      </c>
      <c r="G5738" t="s">
        <v>512</v>
      </c>
    </row>
    <row r="5739" spans="1:7" x14ac:dyDescent="0.25">
      <c r="A5739" s="1" t="str">
        <f>"513272"</f>
        <v>513272</v>
      </c>
      <c r="B5739" s="2" t="str">
        <f>"CATALOGO CAROLINA 22,5 X 22,5MM FECHADO"</f>
        <v>CATALOGO CAROLINA 22,5 X 22,5MM FECHADO</v>
      </c>
      <c r="C5739" s="2" t="str">
        <f t="shared" si="226"/>
        <v>UN</v>
      </c>
      <c r="D5739" s="7">
        <v>401</v>
      </c>
      <c r="E5739" s="3">
        <v>4</v>
      </c>
      <c r="F5739" s="3">
        <v>4</v>
      </c>
      <c r="G5739" t="s">
        <v>513</v>
      </c>
    </row>
    <row r="5740" spans="1:7" x14ac:dyDescent="0.25">
      <c r="A5740" s="1" t="str">
        <f>"513273"</f>
        <v>513273</v>
      </c>
      <c r="B5740" s="2" t="str">
        <f>"CATALOGO CAROLINA 22,5 X 22,5MM FECHADO (12 PAGINAS)"</f>
        <v>CATALOGO CAROLINA 22,5 X 22,5MM FECHADO (12 PAGINAS)</v>
      </c>
      <c r="C5740" s="2" t="str">
        <f t="shared" si="226"/>
        <v>UN</v>
      </c>
      <c r="D5740" s="7">
        <v>401</v>
      </c>
      <c r="E5740" s="3">
        <v>4</v>
      </c>
      <c r="F5740" s="3">
        <v>4</v>
      </c>
      <c r="G5740" t="s">
        <v>514</v>
      </c>
    </row>
    <row r="5741" spans="1:7" x14ac:dyDescent="0.25">
      <c r="A5741" s="1" t="str">
        <f>"515180"</f>
        <v>515180</v>
      </c>
      <c r="B5741" s="2" t="str">
        <f>"CATALOGO COM UV"</f>
        <v>CATALOGO COM UV</v>
      </c>
      <c r="C5741" s="2" t="str">
        <f t="shared" si="226"/>
        <v>UN</v>
      </c>
      <c r="D5741" s="7">
        <v>401</v>
      </c>
      <c r="E5741" s="3">
        <v>4</v>
      </c>
      <c r="F5741" s="3">
        <v>4</v>
      </c>
      <c r="G5741" t="s">
        <v>514</v>
      </c>
    </row>
    <row r="5742" spans="1:7" x14ac:dyDescent="0.25">
      <c r="A5742" s="1" t="str">
        <f>"526377"</f>
        <v>526377</v>
      </c>
      <c r="B5742" s="2" t="str">
        <f>"CATRACA 486-HL/S PROX. ACURA/BIOM.II/S IP (6000 TEMPI)"</f>
        <v>CATRACA 486-HL/S PROX. ACURA/BIOM.II/S IP (6000 TEMPI)</v>
      </c>
      <c r="C5742" s="2" t="str">
        <f t="shared" si="226"/>
        <v>UN</v>
      </c>
      <c r="D5742" s="7">
        <v>99999</v>
      </c>
      <c r="E5742" s="3">
        <v>99</v>
      </c>
      <c r="F5742" s="3">
        <v>99</v>
      </c>
      <c r="G5742" t="s">
        <v>512</v>
      </c>
    </row>
    <row r="5743" spans="1:7" x14ac:dyDescent="0.25">
      <c r="A5743" s="1" t="str">
        <f>"501717"</f>
        <v>501717</v>
      </c>
      <c r="B5743" s="2" t="str">
        <f>"CATRACA ARAME"</f>
        <v>CATRACA ARAME</v>
      </c>
      <c r="C5743" s="2" t="str">
        <f t="shared" si="226"/>
        <v>UN</v>
      </c>
      <c r="D5743" s="7">
        <v>704</v>
      </c>
      <c r="E5743" s="3">
        <v>9</v>
      </c>
      <c r="F5743" s="3">
        <v>9</v>
      </c>
      <c r="G5743" t="s">
        <v>513</v>
      </c>
    </row>
    <row r="5744" spans="1:7" x14ac:dyDescent="0.25">
      <c r="A5744" s="1" t="str">
        <f>"510888"</f>
        <v>510888</v>
      </c>
      <c r="B5744" s="2" t="str">
        <f>"CATRACA COD. 364023-3"</f>
        <v>CATRACA COD. 364023-3</v>
      </c>
      <c r="C5744" s="2" t="str">
        <f t="shared" si="226"/>
        <v>UN</v>
      </c>
      <c r="D5744" s="7">
        <v>918</v>
      </c>
      <c r="E5744" s="3">
        <v>11</v>
      </c>
      <c r="F5744" s="3">
        <v>11</v>
      </c>
      <c r="G5744" t="s">
        <v>514</v>
      </c>
    </row>
    <row r="5745" spans="1:7" x14ac:dyDescent="0.25">
      <c r="A5745" s="1" t="str">
        <f>"515505"</f>
        <v>515505</v>
      </c>
      <c r="B5745" s="2" t="str">
        <f>"CATRACA FREIO"</f>
        <v>CATRACA FREIO</v>
      </c>
      <c r="C5745" s="2" t="str">
        <f t="shared" si="226"/>
        <v>UN</v>
      </c>
      <c r="D5745" s="7">
        <v>704</v>
      </c>
      <c r="E5745" s="3">
        <v>9</v>
      </c>
      <c r="F5745" s="3">
        <v>9</v>
      </c>
      <c r="G5745" t="s">
        <v>514</v>
      </c>
    </row>
    <row r="5746" spans="1:7" x14ac:dyDescent="0.25">
      <c r="A5746" s="1" t="str">
        <f>"526172"</f>
        <v>526172</v>
      </c>
      <c r="B5746" s="2" t="str">
        <f>"CATRACA P/ HCA"</f>
        <v>CATRACA P/ HCA</v>
      </c>
      <c r="C5746" s="2" t="str">
        <f t="shared" si="226"/>
        <v>UN</v>
      </c>
      <c r="D5746" s="7">
        <v>501</v>
      </c>
      <c r="E5746" s="3">
        <v>4</v>
      </c>
      <c r="F5746" s="3">
        <v>4</v>
      </c>
      <c r="G5746" t="s">
        <v>514</v>
      </c>
    </row>
    <row r="5747" spans="1:7" x14ac:dyDescent="0.25">
      <c r="A5747" s="1" t="str">
        <f>"518582"</f>
        <v>518582</v>
      </c>
      <c r="B5747" s="2" t="str">
        <f>"CATRACA P/ SOQUETE BELZER 1/2"</f>
        <v>CATRACA P/ SOQUETE BELZER 1/2</v>
      </c>
      <c r="C5747" s="2" t="str">
        <f t="shared" si="226"/>
        <v>UN</v>
      </c>
      <c r="D5747" s="7">
        <v>920</v>
      </c>
      <c r="E5747" s="3">
        <v>4</v>
      </c>
      <c r="F5747" s="3">
        <v>4</v>
      </c>
      <c r="G5747" t="s">
        <v>513</v>
      </c>
    </row>
    <row r="5748" spans="1:7" x14ac:dyDescent="0.25">
      <c r="A5748" s="1" t="str">
        <f>"501263"</f>
        <v>501263</v>
      </c>
      <c r="B5748" s="2" t="str">
        <f>"CATRACA PUXA. FILME TECTOR TTSS1598-227"</f>
        <v>CATRACA PUXA. FILME TECTOR TTSS1598-227</v>
      </c>
      <c r="C5748" s="2" t="str">
        <f t="shared" si="226"/>
        <v>UN</v>
      </c>
      <c r="D5748" s="7">
        <v>918</v>
      </c>
      <c r="E5748" s="3">
        <v>11</v>
      </c>
      <c r="F5748" s="3">
        <v>11</v>
      </c>
      <c r="G5748" t="s">
        <v>512</v>
      </c>
    </row>
    <row r="5749" spans="1:7" x14ac:dyDescent="0.25">
      <c r="A5749" s="1" t="str">
        <f>"6612"</f>
        <v>6612</v>
      </c>
      <c r="B5749" s="2" t="str">
        <f>"CAUCULADORA DE IMPRESS. SHARP EL-1801"</f>
        <v>CAUCULADORA DE IMPRESS. SHARP EL-1801</v>
      </c>
      <c r="C5749" s="2" t="str">
        <f t="shared" si="226"/>
        <v>UN</v>
      </c>
      <c r="D5749" s="7">
        <v>401</v>
      </c>
      <c r="E5749" s="3">
        <v>4</v>
      </c>
      <c r="F5749" s="3">
        <v>4</v>
      </c>
      <c r="G5749" t="s">
        <v>513</v>
      </c>
    </row>
    <row r="5750" spans="1:7" x14ac:dyDescent="0.25">
      <c r="A5750" s="1" t="str">
        <f>"510247"</f>
        <v>510247</v>
      </c>
      <c r="B5750" s="2" t="str">
        <f>"CAVADEIRA DE MOLA"</f>
        <v>CAVADEIRA DE MOLA</v>
      </c>
      <c r="C5750" s="2" t="str">
        <f t="shared" si="226"/>
        <v>UN</v>
      </c>
      <c r="D5750" s="7">
        <v>918</v>
      </c>
      <c r="E5750" s="3">
        <v>11</v>
      </c>
      <c r="F5750" s="3">
        <v>11</v>
      </c>
      <c r="G5750" t="s">
        <v>514</v>
      </c>
    </row>
    <row r="5751" spans="1:7" x14ac:dyDescent="0.25">
      <c r="A5751" s="1" t="str">
        <f>"524839"</f>
        <v>524839</v>
      </c>
      <c r="B5751" s="2" t="str">
        <f>"CAVADEIRA RETA C/ CABO DE MADEIRA"</f>
        <v>CAVADEIRA RETA C/ CABO DE MADEIRA</v>
      </c>
      <c r="C5751" s="2" t="str">
        <f t="shared" si="226"/>
        <v>UN</v>
      </c>
      <c r="D5751" s="7">
        <v>403</v>
      </c>
      <c r="E5751" s="3">
        <v>4</v>
      </c>
      <c r="F5751" s="3">
        <v>4</v>
      </c>
      <c r="G5751" t="s">
        <v>514</v>
      </c>
    </row>
    <row r="5752" spans="1:7" x14ac:dyDescent="0.25">
      <c r="A5752" s="1" t="str">
        <f>"509102"</f>
        <v>509102</v>
      </c>
      <c r="B5752" s="2" t="str">
        <f>"CAVADEIRA TRADO 20CM CADIOLI"</f>
        <v>CAVADEIRA TRADO 20CM CADIOLI</v>
      </c>
      <c r="C5752" s="2" t="str">
        <f t="shared" ref="C5752:C5783" si="227">"UN"</f>
        <v>UN</v>
      </c>
      <c r="D5752" s="7">
        <v>403</v>
      </c>
      <c r="E5752" s="3">
        <v>4</v>
      </c>
      <c r="F5752" s="3">
        <v>4</v>
      </c>
      <c r="G5752" t="s">
        <v>514</v>
      </c>
    </row>
    <row r="5753" spans="1:7" x14ac:dyDescent="0.25">
      <c r="A5753" s="1" t="str">
        <f>"515311"</f>
        <v>515311</v>
      </c>
      <c r="B5753" s="2" t="str">
        <f>"CAVALETE CONTROLADOR DE VAPOR C/ VAL. REGULADORA DEUPLA AÇAO"</f>
        <v>CAVALETE CONTROLADOR DE VAPOR C/ VAL. REGULADORA DEUPLA AÇAO</v>
      </c>
      <c r="C5753" s="2" t="str">
        <f t="shared" si="227"/>
        <v>UN</v>
      </c>
      <c r="D5753" s="7">
        <v>1300</v>
      </c>
      <c r="E5753" s="3">
        <v>13</v>
      </c>
      <c r="F5753" s="3">
        <v>13</v>
      </c>
      <c r="G5753" t="s">
        <v>513</v>
      </c>
    </row>
    <row r="5754" spans="1:7" x14ac:dyDescent="0.25">
      <c r="A5754" s="1" t="str">
        <f>"516610"</f>
        <v>516610</v>
      </c>
      <c r="B5754" s="2" t="str">
        <f>"CAVALETE FLIP CHART"</f>
        <v>CAVALETE FLIP CHART</v>
      </c>
      <c r="C5754" s="2" t="str">
        <f t="shared" si="227"/>
        <v>UN</v>
      </c>
      <c r="D5754" s="7">
        <v>401</v>
      </c>
      <c r="E5754" s="3">
        <v>4</v>
      </c>
      <c r="F5754" s="3">
        <v>4</v>
      </c>
      <c r="G5754" t="s">
        <v>513</v>
      </c>
    </row>
    <row r="5755" spans="1:7" x14ac:dyDescent="0.25">
      <c r="A5755" s="1" t="str">
        <f>"512204"</f>
        <v>512204</v>
      </c>
      <c r="B5755" s="2" t="str">
        <f>"CAVALETE POS.30"</f>
        <v>CAVALETE POS.30</v>
      </c>
      <c r="C5755" s="2" t="str">
        <f t="shared" si="227"/>
        <v>UN</v>
      </c>
      <c r="D5755" s="7">
        <v>918</v>
      </c>
      <c r="E5755" s="3">
        <v>11</v>
      </c>
      <c r="F5755" s="3">
        <v>11</v>
      </c>
      <c r="G5755" t="s">
        <v>513</v>
      </c>
    </row>
    <row r="5756" spans="1:7" x14ac:dyDescent="0.25">
      <c r="A5756" s="1" t="str">
        <f>"512205"</f>
        <v>512205</v>
      </c>
      <c r="B5756" s="2" t="str">
        <f>"CAVALETE POS.33"</f>
        <v>CAVALETE POS.33</v>
      </c>
      <c r="C5756" s="2" t="str">
        <f t="shared" si="227"/>
        <v>UN</v>
      </c>
      <c r="D5756" s="7">
        <v>918</v>
      </c>
      <c r="E5756" s="3">
        <v>11</v>
      </c>
      <c r="F5756" s="3">
        <v>11</v>
      </c>
      <c r="G5756" t="s">
        <v>512</v>
      </c>
    </row>
    <row r="5757" spans="1:7" x14ac:dyDescent="0.25">
      <c r="A5757" s="1" t="str">
        <f>"513773"</f>
        <v>513773</v>
      </c>
      <c r="B5757" s="2" t="str">
        <f>"CD MULTILASER VIRGEM"</f>
        <v>CD MULTILASER VIRGEM</v>
      </c>
      <c r="C5757" s="2" t="str">
        <f t="shared" si="227"/>
        <v>UN</v>
      </c>
      <c r="D5757" s="7">
        <v>401</v>
      </c>
      <c r="E5757" s="3">
        <v>4</v>
      </c>
      <c r="F5757" s="3">
        <v>4</v>
      </c>
      <c r="G5757" t="s">
        <v>513</v>
      </c>
    </row>
    <row r="5758" spans="1:7" x14ac:dyDescent="0.25">
      <c r="A5758" s="1" t="str">
        <f>"518267"</f>
        <v>518267</v>
      </c>
      <c r="B5758" s="2" t="str">
        <f>"CD PROGRAMA GPS TRACKMAKER"</f>
        <v>CD PROGRAMA GPS TRACKMAKER</v>
      </c>
      <c r="C5758" s="2" t="str">
        <f t="shared" si="227"/>
        <v>UN</v>
      </c>
      <c r="D5758" s="7">
        <v>900</v>
      </c>
      <c r="E5758" s="3">
        <v>4</v>
      </c>
      <c r="F5758" s="3">
        <v>4</v>
      </c>
      <c r="G5758" t="s">
        <v>514</v>
      </c>
    </row>
    <row r="5759" spans="1:7" x14ac:dyDescent="0.25">
      <c r="A5759" s="1" t="str">
        <f>"515242"</f>
        <v>515242</v>
      </c>
      <c r="B5759" s="2" t="str">
        <f>"CD SONY"</f>
        <v>CD SONY</v>
      </c>
      <c r="C5759" s="2" t="str">
        <f t="shared" si="227"/>
        <v>UN</v>
      </c>
      <c r="D5759" s="7">
        <v>704</v>
      </c>
      <c r="E5759" s="3">
        <v>9</v>
      </c>
      <c r="F5759" s="3">
        <v>9</v>
      </c>
      <c r="G5759" t="s">
        <v>515</v>
      </c>
    </row>
    <row r="5760" spans="1:7" x14ac:dyDescent="0.25">
      <c r="A5760" s="1" t="str">
        <f>"514230"</f>
        <v>514230</v>
      </c>
      <c r="B5760" s="2" t="str">
        <f>"CD-ROM IMAGEM AEROFOTOGRAFICA"</f>
        <v>CD-ROM IMAGEM AEROFOTOGRAFICA</v>
      </c>
      <c r="C5760" s="2" t="str">
        <f t="shared" si="227"/>
        <v>UN</v>
      </c>
      <c r="D5760" s="7">
        <v>99999</v>
      </c>
      <c r="E5760" s="3">
        <v>99</v>
      </c>
      <c r="F5760" s="3">
        <v>99</v>
      </c>
      <c r="G5760" t="s">
        <v>512</v>
      </c>
    </row>
    <row r="5761" spans="1:7" x14ac:dyDescent="0.25">
      <c r="A5761" s="1" t="str">
        <f>"514877"</f>
        <v>514877</v>
      </c>
      <c r="B5761" s="2" t="str">
        <f>"CEBOLA"</f>
        <v>CEBOLA</v>
      </c>
      <c r="C5761" s="2" t="str">
        <f t="shared" si="227"/>
        <v>UN</v>
      </c>
      <c r="D5761" s="7">
        <v>99999</v>
      </c>
      <c r="E5761" s="3">
        <v>99</v>
      </c>
      <c r="F5761" s="3">
        <v>99</v>
      </c>
      <c r="G5761" t="s">
        <v>516</v>
      </c>
    </row>
    <row r="5762" spans="1:7" x14ac:dyDescent="0.25">
      <c r="A5762" s="1" t="str">
        <f>"519332"</f>
        <v>519332</v>
      </c>
      <c r="B5762" s="2" t="str">
        <f>"CEBOLA PVC 32MM"</f>
        <v>CEBOLA PVC 32MM</v>
      </c>
      <c r="C5762" s="2" t="str">
        <f t="shared" si="227"/>
        <v>UN</v>
      </c>
      <c r="D5762" s="7">
        <v>403</v>
      </c>
      <c r="E5762" s="3">
        <v>4</v>
      </c>
      <c r="F5762" s="3">
        <v>4</v>
      </c>
      <c r="G5762" t="s">
        <v>515</v>
      </c>
    </row>
    <row r="5763" spans="1:7" x14ac:dyDescent="0.25">
      <c r="A5763" s="1" t="str">
        <f>"510523"</f>
        <v>510523</v>
      </c>
      <c r="B5763" s="2" t="str">
        <f>"CEBOLA PVC 50MM"</f>
        <v>CEBOLA PVC 50MM</v>
      </c>
      <c r="C5763" s="2" t="str">
        <f t="shared" si="227"/>
        <v>UN</v>
      </c>
      <c r="D5763" s="7">
        <v>403</v>
      </c>
      <c r="E5763" s="3">
        <v>4</v>
      </c>
      <c r="F5763" s="3">
        <v>4</v>
      </c>
      <c r="G5763" t="s">
        <v>514</v>
      </c>
    </row>
    <row r="5764" spans="1:7" x14ac:dyDescent="0.25">
      <c r="A5764" s="1" t="str">
        <f>"515719"</f>
        <v>515719</v>
      </c>
      <c r="B5764" s="2" t="str">
        <f>"CEDULA VOTACAO CIPA"</f>
        <v>CEDULA VOTACAO CIPA</v>
      </c>
      <c r="C5764" s="2" t="str">
        <f t="shared" si="227"/>
        <v>UN</v>
      </c>
      <c r="D5764" s="7">
        <v>401</v>
      </c>
      <c r="E5764" s="3">
        <v>4</v>
      </c>
      <c r="F5764" s="3">
        <v>4</v>
      </c>
      <c r="G5764" t="s">
        <v>512</v>
      </c>
    </row>
    <row r="5765" spans="1:7" x14ac:dyDescent="0.25">
      <c r="A5765" s="1" t="str">
        <f>"514645"</f>
        <v>514645</v>
      </c>
      <c r="B5765" s="2" t="str">
        <f>"CEFAGEL"</f>
        <v>CEFAGEL</v>
      </c>
      <c r="C5765" s="2" t="str">
        <f t="shared" si="227"/>
        <v>UN</v>
      </c>
      <c r="D5765" s="7">
        <v>406</v>
      </c>
      <c r="E5765" s="3">
        <v>4</v>
      </c>
      <c r="F5765" s="3">
        <v>4</v>
      </c>
      <c r="G5765" t="s">
        <v>513</v>
      </c>
    </row>
    <row r="5766" spans="1:7" x14ac:dyDescent="0.25">
      <c r="A5766" s="1" t="str">
        <f>"514430"</f>
        <v>514430</v>
      </c>
      <c r="B5766" s="2" t="str">
        <f>"CEFALEXINA 500MG CX C/ 10 COMPRIMIDOS"</f>
        <v>CEFALEXINA 500MG CX C/ 10 COMPRIMIDOS</v>
      </c>
      <c r="C5766" s="2" t="str">
        <f t="shared" si="227"/>
        <v>UN</v>
      </c>
      <c r="D5766" s="7">
        <v>401</v>
      </c>
      <c r="E5766" s="3">
        <v>4</v>
      </c>
      <c r="F5766" s="3">
        <v>4</v>
      </c>
      <c r="G5766" t="s">
        <v>514</v>
      </c>
    </row>
    <row r="5767" spans="1:7" x14ac:dyDescent="0.25">
      <c r="A5767" s="1" t="str">
        <f>"522402"</f>
        <v>522402</v>
      </c>
      <c r="B5767" s="2" t="str">
        <f>"CEFALIV CX 12 COMP."</f>
        <v>CEFALIV CX 12 COMP.</v>
      </c>
      <c r="C5767" s="2" t="str">
        <f t="shared" si="227"/>
        <v>UN</v>
      </c>
      <c r="D5767" s="7">
        <v>406</v>
      </c>
      <c r="E5767" s="3">
        <v>4</v>
      </c>
      <c r="F5767" s="3">
        <v>4</v>
      </c>
      <c r="G5767" t="s">
        <v>514</v>
      </c>
    </row>
    <row r="5768" spans="1:7" x14ac:dyDescent="0.25">
      <c r="A5768" s="1" t="str">
        <f>"523721"</f>
        <v>523721</v>
      </c>
      <c r="B5768" s="2" t="str">
        <f>"CELECOXIBE 200MG"</f>
        <v>CELECOXIBE 200MG</v>
      </c>
      <c r="C5768" s="2" t="str">
        <f t="shared" si="227"/>
        <v>UN</v>
      </c>
      <c r="D5768" s="7">
        <v>99999</v>
      </c>
      <c r="E5768" s="3">
        <v>99</v>
      </c>
      <c r="F5768" s="3">
        <v>99</v>
      </c>
      <c r="G5768" t="s">
        <v>512</v>
      </c>
    </row>
    <row r="5769" spans="1:7" x14ac:dyDescent="0.25">
      <c r="A5769" s="1" t="str">
        <f>"510151"</f>
        <v>510151</v>
      </c>
      <c r="B5769" s="2" t="str">
        <f>"CELITE COLUNA P/ LAVATORIO STYLUS BRANCA"</f>
        <v>CELITE COLUNA P/ LAVATORIO STYLUS BRANCA</v>
      </c>
      <c r="C5769" s="2" t="str">
        <f t="shared" si="227"/>
        <v>UN</v>
      </c>
      <c r="D5769" s="7">
        <v>803</v>
      </c>
      <c r="E5769" s="3">
        <v>10</v>
      </c>
      <c r="F5769" s="3">
        <v>10</v>
      </c>
      <c r="G5769" t="s">
        <v>513</v>
      </c>
    </row>
    <row r="5770" spans="1:7" x14ac:dyDescent="0.25">
      <c r="A5770" s="1" t="str">
        <f>"510152"</f>
        <v>510152</v>
      </c>
      <c r="B5770" s="2" t="str">
        <f>"CELITE LAVATORIO STYLUS BRANCO"</f>
        <v>CELITE LAVATORIO STYLUS BRANCO</v>
      </c>
      <c r="C5770" s="2" t="str">
        <f t="shared" si="227"/>
        <v>UN</v>
      </c>
      <c r="D5770" s="7">
        <v>803</v>
      </c>
      <c r="E5770" s="3">
        <v>10</v>
      </c>
      <c r="F5770" s="3">
        <v>10</v>
      </c>
      <c r="G5770" t="s">
        <v>514</v>
      </c>
    </row>
    <row r="5771" spans="1:7" x14ac:dyDescent="0.25">
      <c r="A5771" s="1" t="str">
        <f>"518615"</f>
        <v>518615</v>
      </c>
      <c r="B5771" s="2" t="str">
        <f>"CELULA - MOD. H-10 C/ ESCADA DE ACESSO"</f>
        <v>CELULA - MOD. H-10 C/ ESCADA DE ACESSO</v>
      </c>
      <c r="C5771" s="2" t="str">
        <f t="shared" si="227"/>
        <v>UN</v>
      </c>
      <c r="D5771" s="7">
        <v>918</v>
      </c>
      <c r="E5771" s="3">
        <v>13</v>
      </c>
      <c r="F5771" s="3">
        <v>13</v>
      </c>
      <c r="G5771" t="s">
        <v>514</v>
      </c>
    </row>
    <row r="5772" spans="1:7" x14ac:dyDescent="0.25">
      <c r="A5772" s="1" t="str">
        <f>"514060"</f>
        <v>514060</v>
      </c>
      <c r="B5772" s="2" t="str">
        <f>"CELULA CARGA HBM 10KG PW15AHC3/10KG"</f>
        <v>CELULA CARGA HBM 10KG PW15AHC3/10KG</v>
      </c>
      <c r="C5772" s="2" t="str">
        <f t="shared" si="227"/>
        <v>UN</v>
      </c>
      <c r="D5772" s="7">
        <v>1300</v>
      </c>
      <c r="E5772" s="3">
        <v>13</v>
      </c>
      <c r="F5772" s="3">
        <v>13</v>
      </c>
      <c r="G5772" t="s">
        <v>514</v>
      </c>
    </row>
    <row r="5773" spans="1:7" x14ac:dyDescent="0.25">
      <c r="A5773" s="1" t="str">
        <f>"527435"</f>
        <v>527435</v>
      </c>
      <c r="B5773" s="2" t="str">
        <f>"CELULA DE CARGA - 6090081 PARA BALANÇA"</f>
        <v>CELULA DE CARGA - 6090081 PARA BALANÇA</v>
      </c>
      <c r="C5773" s="2" t="str">
        <f t="shared" si="227"/>
        <v>UN</v>
      </c>
      <c r="D5773" s="7">
        <v>900</v>
      </c>
      <c r="E5773" s="3">
        <v>11</v>
      </c>
      <c r="F5773" s="3">
        <v>11</v>
      </c>
      <c r="G5773" t="s">
        <v>513</v>
      </c>
    </row>
    <row r="5774" spans="1:7" x14ac:dyDescent="0.25">
      <c r="A5774" s="1" t="str">
        <f>"517528"</f>
        <v>517528</v>
      </c>
      <c r="B5774" s="2" t="str">
        <f>"CELULA DE CARGA 130S004110"</f>
        <v>CELULA DE CARGA 130S004110</v>
      </c>
      <c r="C5774" s="2" t="str">
        <f t="shared" si="227"/>
        <v>UN</v>
      </c>
      <c r="D5774" s="7">
        <v>918</v>
      </c>
      <c r="E5774" s="3">
        <v>11</v>
      </c>
      <c r="F5774" s="3">
        <v>11</v>
      </c>
      <c r="G5774" t="s">
        <v>512</v>
      </c>
    </row>
    <row r="5775" spans="1:7" x14ac:dyDescent="0.25">
      <c r="A5775" s="1" t="str">
        <f>"513983"</f>
        <v>513983</v>
      </c>
      <c r="B5775" s="2" t="str">
        <f>"CELULA DE CARGA HBM 10TN"</f>
        <v>CELULA DE CARGA HBM 10TN</v>
      </c>
      <c r="C5775" s="2" t="str">
        <f t="shared" si="227"/>
        <v>UN</v>
      </c>
      <c r="D5775" s="7">
        <v>1500</v>
      </c>
      <c r="E5775" s="3">
        <v>11</v>
      </c>
      <c r="F5775" s="3">
        <v>11</v>
      </c>
      <c r="G5775" t="s">
        <v>513</v>
      </c>
    </row>
    <row r="5776" spans="1:7" x14ac:dyDescent="0.25">
      <c r="A5776" s="1" t="str">
        <f>"525170"</f>
        <v>525170</v>
      </c>
      <c r="B5776" s="2" t="str">
        <f>"CELULA DE CARGA HBM MOD. PW4C3/500G"</f>
        <v>CELULA DE CARGA HBM MOD. PW4C3/500G</v>
      </c>
      <c r="C5776" s="2" t="str">
        <f t="shared" si="227"/>
        <v>UN</v>
      </c>
      <c r="D5776" s="7">
        <v>811</v>
      </c>
      <c r="E5776" s="3">
        <v>11</v>
      </c>
      <c r="F5776" s="3">
        <v>11</v>
      </c>
      <c r="G5776" t="s">
        <v>514</v>
      </c>
    </row>
    <row r="5777" spans="1:7" x14ac:dyDescent="0.25">
      <c r="A5777" s="1" t="str">
        <f>"517315"</f>
        <v>517315</v>
      </c>
      <c r="B5777" s="2" t="str">
        <f>"CELULA DE CARGA HBM PW15AHC3/10KG"</f>
        <v>CELULA DE CARGA HBM PW15AHC3/10KG</v>
      </c>
      <c r="C5777" s="2" t="str">
        <f t="shared" si="227"/>
        <v>UN</v>
      </c>
      <c r="D5777" s="7">
        <v>918</v>
      </c>
      <c r="E5777" s="3">
        <v>11</v>
      </c>
      <c r="F5777" s="3">
        <v>11</v>
      </c>
      <c r="G5777" t="s">
        <v>514</v>
      </c>
    </row>
    <row r="5778" spans="1:7" x14ac:dyDescent="0.25">
      <c r="A5778" s="1" t="str">
        <f>"528152"</f>
        <v>528152</v>
      </c>
      <c r="B5778" s="2" t="str">
        <f>"CELULA DE CARGA VISHAY ASC2 40T SERIE 55G2488-86H5539"</f>
        <v>CELULA DE CARGA VISHAY ASC2 40T SERIE 55G2488-86H5539</v>
      </c>
      <c r="C5778" s="2" t="str">
        <f t="shared" si="227"/>
        <v>UN</v>
      </c>
      <c r="D5778" s="7">
        <v>900</v>
      </c>
      <c r="E5778" s="3">
        <v>11</v>
      </c>
      <c r="F5778" s="3">
        <v>11</v>
      </c>
      <c r="G5778" t="s">
        <v>514</v>
      </c>
    </row>
    <row r="5779" spans="1:7" x14ac:dyDescent="0.25">
      <c r="A5779" s="1" t="str">
        <f>"521524"</f>
        <v>521524</v>
      </c>
      <c r="B5779" s="2" t="str">
        <f>"CELULA DE RESFRIAMENTO COOLING CELLS C2 HEE TYPE (MOUNTED)"</f>
        <v>CELULA DE RESFRIAMENTO COOLING CELLS C2 HEE TYPE (MOUNTED)</v>
      </c>
      <c r="C5779" s="2" t="str">
        <f t="shared" si="227"/>
        <v>UN</v>
      </c>
      <c r="D5779" s="7">
        <v>99999</v>
      </c>
      <c r="E5779" s="3">
        <v>99</v>
      </c>
      <c r="F5779" s="3">
        <v>99</v>
      </c>
      <c r="G5779" t="s">
        <v>513</v>
      </c>
    </row>
    <row r="5780" spans="1:7" x14ac:dyDescent="0.25">
      <c r="A5780" s="1" t="str">
        <f>"503395"</f>
        <v>503395</v>
      </c>
      <c r="B5780" s="2" t="str">
        <f>"CELULA REFL. DIR M18 PLAS"</f>
        <v>CELULA REFL. DIR M18 PLAS</v>
      </c>
      <c r="C5780" s="2" t="str">
        <f t="shared" si="227"/>
        <v>UN</v>
      </c>
      <c r="D5780" s="7">
        <v>918</v>
      </c>
      <c r="E5780" s="3">
        <v>11</v>
      </c>
      <c r="F5780" s="3">
        <v>11</v>
      </c>
      <c r="G5780" t="s">
        <v>513</v>
      </c>
    </row>
    <row r="5781" spans="1:7" x14ac:dyDescent="0.25">
      <c r="A5781" s="1" t="str">
        <f>"522630"</f>
        <v>522630</v>
      </c>
      <c r="B5781" s="2" t="str">
        <f>"CELULAR ALCATEL 4017F"</f>
        <v>CELULAR ALCATEL 4017F</v>
      </c>
      <c r="C5781" s="2" t="str">
        <f t="shared" si="227"/>
        <v>UN</v>
      </c>
      <c r="D5781" s="7">
        <v>99999</v>
      </c>
      <c r="E5781" s="3">
        <v>99</v>
      </c>
      <c r="F5781" s="3">
        <v>99</v>
      </c>
      <c r="G5781" t="s">
        <v>513</v>
      </c>
    </row>
    <row r="5782" spans="1:7" x14ac:dyDescent="0.25">
      <c r="A5782" s="1" t="str">
        <f>"519608"</f>
        <v>519608</v>
      </c>
      <c r="B5782" s="2" t="str">
        <f>"CELULAR DESBLOQUEADO"</f>
        <v>CELULAR DESBLOQUEADO</v>
      </c>
      <c r="C5782" s="2" t="str">
        <f t="shared" si="227"/>
        <v>UN</v>
      </c>
      <c r="D5782" s="7">
        <v>401</v>
      </c>
      <c r="E5782" s="3">
        <v>4</v>
      </c>
      <c r="F5782" s="3">
        <v>4</v>
      </c>
      <c r="G5782" t="s">
        <v>512</v>
      </c>
    </row>
    <row r="5783" spans="1:7" x14ac:dyDescent="0.25">
      <c r="A5783" s="1" t="str">
        <f>"514683"</f>
        <v>514683</v>
      </c>
      <c r="B5783" s="2" t="str">
        <f>"CELULAR DESBLOQUEADO E78 PR/PT FRECELL"</f>
        <v>CELULAR DESBLOQUEADO E78 PR/PT FRECELL</v>
      </c>
      <c r="C5783" s="2" t="str">
        <f t="shared" si="227"/>
        <v>UN</v>
      </c>
      <c r="D5783" s="7">
        <v>401</v>
      </c>
      <c r="E5783" s="3">
        <v>4</v>
      </c>
      <c r="F5783" s="3">
        <v>4</v>
      </c>
      <c r="G5783" t="s">
        <v>513</v>
      </c>
    </row>
    <row r="5784" spans="1:7" x14ac:dyDescent="0.25">
      <c r="A5784" s="1" t="str">
        <f>"524842"</f>
        <v>524842</v>
      </c>
      <c r="B5784" s="2" t="str">
        <f>"CELULAR J105 SMART PRETO"</f>
        <v>CELULAR J105 SMART PRETO</v>
      </c>
      <c r="C5784" s="2" t="str">
        <f t="shared" ref="C5784:C5820" si="228">"UN"</f>
        <v>UN</v>
      </c>
      <c r="D5784" s="7">
        <v>99999</v>
      </c>
      <c r="E5784" s="3">
        <v>99</v>
      </c>
      <c r="F5784" s="3">
        <v>99</v>
      </c>
      <c r="G5784" t="s">
        <v>514</v>
      </c>
    </row>
    <row r="5785" spans="1:7" x14ac:dyDescent="0.25">
      <c r="A5785" s="1" t="str">
        <f>"524843"</f>
        <v>524843</v>
      </c>
      <c r="B5785" s="2" t="str">
        <f>"CELULAR J120 SMART PRETO"</f>
        <v>CELULAR J120 SMART PRETO</v>
      </c>
      <c r="C5785" s="2" t="str">
        <f t="shared" si="228"/>
        <v>UN</v>
      </c>
      <c r="D5785" s="7">
        <v>99999</v>
      </c>
      <c r="E5785" s="3">
        <v>99</v>
      </c>
      <c r="F5785" s="3">
        <v>99</v>
      </c>
      <c r="G5785" t="s">
        <v>515</v>
      </c>
    </row>
    <row r="5786" spans="1:7" x14ac:dyDescent="0.25">
      <c r="A5786" s="1" t="str">
        <f>"524077"</f>
        <v>524077</v>
      </c>
      <c r="B5786" s="2" t="str">
        <f>"CELULAR J260M SMART PRETO"</f>
        <v>CELULAR J260M SMART PRETO</v>
      </c>
      <c r="C5786" s="2" t="str">
        <f t="shared" si="228"/>
        <v>UN</v>
      </c>
      <c r="D5786" s="7">
        <v>99999</v>
      </c>
      <c r="E5786" s="3">
        <v>99</v>
      </c>
      <c r="F5786" s="3">
        <v>99</v>
      </c>
      <c r="G5786" t="s">
        <v>512</v>
      </c>
    </row>
    <row r="5787" spans="1:7" x14ac:dyDescent="0.25">
      <c r="A5787" s="1" t="str">
        <f>"519201"</f>
        <v>519201</v>
      </c>
      <c r="B5787" s="2" t="str">
        <f>"CELULAR LG-L20"</f>
        <v>CELULAR LG-L20</v>
      </c>
      <c r="C5787" s="2" t="str">
        <f t="shared" si="228"/>
        <v>UN</v>
      </c>
      <c r="D5787" s="7">
        <v>401</v>
      </c>
      <c r="E5787" s="3">
        <v>4</v>
      </c>
      <c r="F5787" s="3">
        <v>4</v>
      </c>
      <c r="G5787" t="s">
        <v>516</v>
      </c>
    </row>
    <row r="5788" spans="1:7" x14ac:dyDescent="0.25">
      <c r="A5788" s="1" t="str">
        <f>"519596"</f>
        <v>519596</v>
      </c>
      <c r="B5788" s="2" t="str">
        <f>"CELULAR MOTOROLA MOTO E"</f>
        <v>CELULAR MOTOROLA MOTO E</v>
      </c>
      <c r="C5788" s="2" t="str">
        <f t="shared" si="228"/>
        <v>UN</v>
      </c>
      <c r="D5788" s="7">
        <v>99999</v>
      </c>
      <c r="E5788" s="3">
        <v>99</v>
      </c>
      <c r="F5788" s="3">
        <v>99</v>
      </c>
      <c r="G5788" t="s">
        <v>515</v>
      </c>
    </row>
    <row r="5789" spans="1:7" x14ac:dyDescent="0.25">
      <c r="A5789" s="1" t="str">
        <f>"520894"</f>
        <v>520894</v>
      </c>
      <c r="B5789" s="2" t="str">
        <f>"CELULAR MOTOROLA MOTO G TV 3º GERAÇÃO XT-1544 16GB PRETO"</f>
        <v>CELULAR MOTOROLA MOTO G TV 3º GERAÇÃO XT-1544 16GB PRETO</v>
      </c>
      <c r="C5789" s="2" t="str">
        <f t="shared" si="228"/>
        <v>UN</v>
      </c>
      <c r="D5789" s="7">
        <v>99999</v>
      </c>
      <c r="E5789" s="3">
        <v>99</v>
      </c>
      <c r="F5789" s="3">
        <v>99</v>
      </c>
      <c r="G5789" t="s">
        <v>514</v>
      </c>
    </row>
    <row r="5790" spans="1:7" x14ac:dyDescent="0.25">
      <c r="A5790" s="1" t="str">
        <f>"524078"</f>
        <v>524078</v>
      </c>
      <c r="B5790" s="2" t="str">
        <f>"CELULAR MOTOROLA XT 1952 SMART"</f>
        <v>CELULAR MOTOROLA XT 1952 SMART</v>
      </c>
      <c r="C5790" s="2" t="str">
        <f t="shared" si="228"/>
        <v>UN</v>
      </c>
      <c r="D5790" s="7">
        <v>99999</v>
      </c>
      <c r="E5790" s="3">
        <v>99</v>
      </c>
      <c r="F5790" s="3">
        <v>99</v>
      </c>
      <c r="G5790" t="s">
        <v>512</v>
      </c>
    </row>
    <row r="5791" spans="1:7" x14ac:dyDescent="0.25">
      <c r="A5791" s="1" t="str">
        <f>"524079"</f>
        <v>524079</v>
      </c>
      <c r="B5791" s="2" t="str">
        <f>"CELULAR MOTOROLA XT 1965 SMART"</f>
        <v>CELULAR MOTOROLA XT 1965 SMART</v>
      </c>
      <c r="C5791" s="2" t="str">
        <f t="shared" si="228"/>
        <v>UN</v>
      </c>
      <c r="D5791" s="7">
        <v>99999</v>
      </c>
      <c r="E5791" s="3">
        <v>99</v>
      </c>
      <c r="F5791" s="3">
        <v>99</v>
      </c>
      <c r="G5791" t="s">
        <v>513</v>
      </c>
    </row>
    <row r="5792" spans="1:7" x14ac:dyDescent="0.25">
      <c r="A5792" s="1" t="str">
        <f>"521362"</f>
        <v>521362</v>
      </c>
      <c r="B5792" s="2" t="str">
        <f>"CELULAR MOTOROLA XT1603 MOTO G4 PLAY DTV COLORS 16GB PRETO"</f>
        <v>CELULAR MOTOROLA XT1603 MOTO G4 PLAY DTV COLORS 16GB PRETO</v>
      </c>
      <c r="C5792" s="2" t="str">
        <f t="shared" si="228"/>
        <v>UN</v>
      </c>
      <c r="D5792" s="7">
        <v>99999</v>
      </c>
      <c r="E5792" s="3">
        <v>99</v>
      </c>
      <c r="F5792" s="3">
        <v>99</v>
      </c>
      <c r="G5792" t="s">
        <v>514</v>
      </c>
    </row>
    <row r="5793" spans="1:7" x14ac:dyDescent="0.25">
      <c r="A5793" s="1" t="str">
        <f>"522628"</f>
        <v>522628</v>
      </c>
      <c r="B5793" s="2" t="str">
        <f>"CELULAR MOTOROLA XT1672  PLATINUM"</f>
        <v>CELULAR MOTOROLA XT1672  PLATINUM</v>
      </c>
      <c r="C5793" s="2" t="str">
        <f t="shared" si="228"/>
        <v>UN</v>
      </c>
      <c r="D5793" s="7">
        <v>99999</v>
      </c>
      <c r="E5793" s="3">
        <v>99</v>
      </c>
      <c r="F5793" s="3">
        <v>99</v>
      </c>
      <c r="G5793" t="s">
        <v>514</v>
      </c>
    </row>
    <row r="5794" spans="1:7" x14ac:dyDescent="0.25">
      <c r="A5794" s="1" t="str">
        <f>"522627"</f>
        <v>522627</v>
      </c>
      <c r="B5794" s="2" t="str">
        <f>"CELULAR MOTOROLA XT1710  PLATINUM"</f>
        <v>CELULAR MOTOROLA XT1710  PLATINUM</v>
      </c>
      <c r="C5794" s="2" t="str">
        <f t="shared" si="228"/>
        <v>UN</v>
      </c>
      <c r="D5794" s="7">
        <v>99999</v>
      </c>
      <c r="E5794" s="3">
        <v>99</v>
      </c>
      <c r="F5794" s="3">
        <v>99</v>
      </c>
      <c r="G5794" t="s">
        <v>512</v>
      </c>
    </row>
    <row r="5795" spans="1:7" x14ac:dyDescent="0.25">
      <c r="A5795" s="1" t="str">
        <f>"523803"</f>
        <v>523803</v>
      </c>
      <c r="B5795" s="2" t="str">
        <f>"CELULAR MOTOROLA XT1922 SMARTFONE INDIGO"</f>
        <v>CELULAR MOTOROLA XT1922 SMARTFONE INDIGO</v>
      </c>
      <c r="C5795" s="2" t="str">
        <f t="shared" si="228"/>
        <v>UN</v>
      </c>
      <c r="D5795" s="7">
        <v>99999</v>
      </c>
      <c r="E5795" s="3">
        <v>99</v>
      </c>
      <c r="F5795" s="3">
        <v>99</v>
      </c>
      <c r="G5795" t="s">
        <v>513</v>
      </c>
    </row>
    <row r="5796" spans="1:7" x14ac:dyDescent="0.25">
      <c r="A5796" s="1" t="str">
        <f>"523804"</f>
        <v>523804</v>
      </c>
      <c r="B5796" s="2" t="str">
        <f>"CELULAR MOTOROLA XT1929 SMARTFONE INDIGO"</f>
        <v>CELULAR MOTOROLA XT1929 SMARTFONE INDIGO</v>
      </c>
      <c r="C5796" s="2" t="str">
        <f t="shared" si="228"/>
        <v>UN</v>
      </c>
      <c r="D5796" s="7">
        <v>99999</v>
      </c>
      <c r="E5796" s="3">
        <v>99</v>
      </c>
      <c r="F5796" s="3">
        <v>99</v>
      </c>
      <c r="G5796" t="s">
        <v>514</v>
      </c>
    </row>
    <row r="5797" spans="1:7" x14ac:dyDescent="0.25">
      <c r="A5797" s="1" t="str">
        <f>"514854"</f>
        <v>514854</v>
      </c>
      <c r="B5797" s="2" t="str">
        <f>"CELULAR NOKIA X100 DUAL CHIP"</f>
        <v>CELULAR NOKIA X100 DUAL CHIP</v>
      </c>
      <c r="C5797" s="2" t="str">
        <f t="shared" si="228"/>
        <v>UN</v>
      </c>
      <c r="D5797" s="7">
        <v>401</v>
      </c>
      <c r="E5797" s="3">
        <v>4</v>
      </c>
      <c r="F5797" s="3">
        <v>4</v>
      </c>
      <c r="G5797" t="s">
        <v>514</v>
      </c>
    </row>
    <row r="5798" spans="1:7" x14ac:dyDescent="0.25">
      <c r="A5798" s="1" t="str">
        <f>"519200"</f>
        <v>519200</v>
      </c>
      <c r="B5798" s="2" t="str">
        <f>"CELULAR SANGSUNG MOTO X PLUS 1"</f>
        <v>CELULAR SANGSUNG MOTO X PLUS 1</v>
      </c>
      <c r="C5798" s="2" t="str">
        <f t="shared" si="228"/>
        <v>UN</v>
      </c>
      <c r="D5798" s="7">
        <v>401</v>
      </c>
      <c r="E5798" s="3">
        <v>4</v>
      </c>
      <c r="F5798" s="3">
        <v>4</v>
      </c>
      <c r="G5798" t="s">
        <v>514</v>
      </c>
    </row>
    <row r="5799" spans="1:7" x14ac:dyDescent="0.25">
      <c r="A5799" s="1" t="str">
        <f>"516847"</f>
        <v>516847</v>
      </c>
      <c r="B5799" s="2" t="str">
        <f>"CENOFISCO"</f>
        <v>CENOFISCO</v>
      </c>
      <c r="C5799" s="2" t="str">
        <f t="shared" si="228"/>
        <v>UN</v>
      </c>
      <c r="D5799" s="7">
        <v>401</v>
      </c>
      <c r="E5799" s="3">
        <v>4</v>
      </c>
      <c r="F5799" s="3">
        <v>4</v>
      </c>
      <c r="G5799" t="s">
        <v>513</v>
      </c>
    </row>
    <row r="5800" spans="1:7" x14ac:dyDescent="0.25">
      <c r="A5800" s="1" t="str">
        <f>"514903"</f>
        <v>514903</v>
      </c>
      <c r="B5800" s="2" t="str">
        <f>"CENOURA"</f>
        <v>CENOURA</v>
      </c>
      <c r="C5800" s="2" t="str">
        <f t="shared" si="228"/>
        <v>UN</v>
      </c>
      <c r="D5800" s="7">
        <v>401</v>
      </c>
      <c r="E5800" s="3">
        <v>4</v>
      </c>
      <c r="F5800" s="3">
        <v>4</v>
      </c>
      <c r="G5800" t="s">
        <v>512</v>
      </c>
    </row>
    <row r="5801" spans="1:7" x14ac:dyDescent="0.25">
      <c r="A5801" s="1" t="str">
        <f>"518789"</f>
        <v>518789</v>
      </c>
      <c r="B5801" s="2" t="str">
        <f>"CENTRADOR DO DOSADOR AMARELO 160GR"</f>
        <v>CENTRADOR DO DOSADOR AMARELO 160GR</v>
      </c>
      <c r="C5801" s="2" t="str">
        <f t="shared" si="228"/>
        <v>UN</v>
      </c>
      <c r="D5801" s="7">
        <v>918</v>
      </c>
      <c r="E5801" s="3">
        <v>11</v>
      </c>
      <c r="F5801" s="3">
        <v>11</v>
      </c>
      <c r="G5801" t="s">
        <v>513</v>
      </c>
    </row>
    <row r="5802" spans="1:7" x14ac:dyDescent="0.25">
      <c r="A5802" s="1" t="str">
        <f>"518776"</f>
        <v>518776</v>
      </c>
      <c r="B5802" s="2" t="str">
        <f>"CENTRADOR DO DOSADOR AZUL 180GR"</f>
        <v>CENTRADOR DO DOSADOR AZUL 180GR</v>
      </c>
      <c r="C5802" s="2" t="str">
        <f t="shared" si="228"/>
        <v>UN</v>
      </c>
      <c r="D5802" s="7">
        <v>918</v>
      </c>
      <c r="E5802" s="3">
        <v>11</v>
      </c>
      <c r="F5802" s="3">
        <v>11</v>
      </c>
      <c r="G5802" t="s">
        <v>514</v>
      </c>
    </row>
    <row r="5803" spans="1:7" x14ac:dyDescent="0.25">
      <c r="A5803" s="1" t="str">
        <f>"514270"</f>
        <v>514270</v>
      </c>
      <c r="B5803" s="2" t="str">
        <f>"CENTRAL AUTOMATIZAÇÃO PORTAO"</f>
        <v>CENTRAL AUTOMATIZAÇÃO PORTAO</v>
      </c>
      <c r="C5803" s="2" t="str">
        <f t="shared" si="228"/>
        <v>UN</v>
      </c>
      <c r="D5803" s="7">
        <v>811</v>
      </c>
      <c r="E5803" s="3">
        <v>8</v>
      </c>
      <c r="F5803" s="3">
        <v>8</v>
      </c>
      <c r="G5803" t="s">
        <v>514</v>
      </c>
    </row>
    <row r="5804" spans="1:7" x14ac:dyDescent="0.25">
      <c r="A5804" s="1" t="str">
        <f>"522879"</f>
        <v>522879</v>
      </c>
      <c r="B5804" s="2" t="str">
        <f>"CENTRALIZADOR FERMENTADO 80GR"</f>
        <v>CENTRALIZADOR FERMENTADO 80GR</v>
      </c>
      <c r="C5804" s="2" t="str">
        <f t="shared" si="228"/>
        <v>UN</v>
      </c>
      <c r="D5804" s="7">
        <v>918</v>
      </c>
      <c r="E5804" s="3">
        <v>13</v>
      </c>
      <c r="F5804" s="3">
        <v>13</v>
      </c>
      <c r="G5804" t="s">
        <v>514</v>
      </c>
    </row>
    <row r="5805" spans="1:7" x14ac:dyDescent="0.25">
      <c r="A5805" s="1" t="str">
        <f>"514250"</f>
        <v>514250</v>
      </c>
      <c r="B5805" s="2" t="str">
        <f>"CENTRIFUGA ALFA LAVAL"</f>
        <v>CENTRIFUGA ALFA LAVAL</v>
      </c>
      <c r="C5805" s="2" t="str">
        <f t="shared" si="228"/>
        <v>UN</v>
      </c>
      <c r="D5805" s="7">
        <v>1300</v>
      </c>
      <c r="E5805" s="3">
        <v>13</v>
      </c>
      <c r="F5805" s="3">
        <v>13</v>
      </c>
      <c r="G5805" t="s">
        <v>513</v>
      </c>
    </row>
    <row r="5806" spans="1:7" x14ac:dyDescent="0.25">
      <c r="A5806" s="1" t="str">
        <f>"515304"</f>
        <v>515304</v>
      </c>
      <c r="B5806" s="2" t="str">
        <f>"CENTRIFUGA DE GEBER P/ ANALISE DE GORDURA C/ 26 BUTIROMETROS"</f>
        <v>CENTRIFUGA DE GEBER P/ ANALISE DE GORDURA C/ 26 BUTIROMETROS</v>
      </c>
      <c r="C5806" s="2" t="str">
        <f t="shared" si="228"/>
        <v>UN</v>
      </c>
      <c r="D5806" s="7">
        <v>1300</v>
      </c>
      <c r="E5806" s="3">
        <v>13</v>
      </c>
      <c r="F5806" s="3">
        <v>13</v>
      </c>
      <c r="G5806" t="s">
        <v>513</v>
      </c>
    </row>
    <row r="5807" spans="1:7" x14ac:dyDescent="0.25">
      <c r="A5807" s="1" t="str">
        <f>"516209"</f>
        <v>516209</v>
      </c>
      <c r="B5807" s="2" t="str">
        <f>"CENTRIFUGA DESNATADEIRA WESTFALIA"</f>
        <v>CENTRIFUGA DESNATADEIRA WESTFALIA</v>
      </c>
      <c r="C5807" s="2" t="str">
        <f t="shared" si="228"/>
        <v>UN</v>
      </c>
      <c r="D5807" s="7">
        <v>1300</v>
      </c>
      <c r="E5807" s="3">
        <v>13</v>
      </c>
      <c r="F5807" s="3">
        <v>13</v>
      </c>
      <c r="G5807" t="s">
        <v>513</v>
      </c>
    </row>
    <row r="5808" spans="1:7" x14ac:dyDescent="0.25">
      <c r="A5808" s="1" t="str">
        <f>"514517"</f>
        <v>514517</v>
      </c>
      <c r="B5808" s="2" t="str">
        <f>"CENTRIFUGA DESNATAGEIRA WESTFALIA MM 10004"</f>
        <v>CENTRIFUGA DESNATAGEIRA WESTFALIA MM 10004</v>
      </c>
      <c r="C5808" s="2" t="str">
        <f t="shared" si="228"/>
        <v>UN</v>
      </c>
      <c r="D5808" s="7">
        <v>1300</v>
      </c>
      <c r="E5808" s="3">
        <v>13</v>
      </c>
      <c r="F5808" s="3">
        <v>13</v>
      </c>
      <c r="G5808" t="s">
        <v>512</v>
      </c>
    </row>
    <row r="5809" spans="1:7" x14ac:dyDescent="0.25">
      <c r="A5809" s="1" t="str">
        <f>"518367"</f>
        <v>518367</v>
      </c>
      <c r="B5809" s="2" t="str">
        <f>"CENTRIFUGA INOX 8 BTF ITR 220V"</f>
        <v>CENTRIFUGA INOX 8 BTF ITR 220V</v>
      </c>
      <c r="C5809" s="2" t="str">
        <f t="shared" si="228"/>
        <v>UN</v>
      </c>
      <c r="D5809" s="7">
        <v>915</v>
      </c>
      <c r="E5809" s="3">
        <v>13</v>
      </c>
      <c r="F5809" s="3">
        <v>13</v>
      </c>
      <c r="G5809" t="s">
        <v>513</v>
      </c>
    </row>
    <row r="5810" spans="1:7" x14ac:dyDescent="0.25">
      <c r="A5810" s="1" t="str">
        <f>"513505"</f>
        <v>513505</v>
      </c>
      <c r="B5810" s="2" t="str">
        <f>"CENTRIFUGA TIPO SIROCO 290X100X19MM"</f>
        <v>CENTRIFUGA TIPO SIROCO 290X100X19MM</v>
      </c>
      <c r="C5810" s="2" t="str">
        <f t="shared" si="228"/>
        <v>UN</v>
      </c>
      <c r="D5810" s="7">
        <v>918</v>
      </c>
      <c r="E5810" s="3">
        <v>11</v>
      </c>
      <c r="F5810" s="3">
        <v>11</v>
      </c>
      <c r="G5810" t="s">
        <v>514</v>
      </c>
    </row>
    <row r="5811" spans="1:7" x14ac:dyDescent="0.25">
      <c r="A5811" s="1" t="str">
        <f>"514249"</f>
        <v>514249</v>
      </c>
      <c r="B5811" s="2" t="str">
        <f>"CENTRIFUGA WASTFALIA MTA 50-01-026"</f>
        <v>CENTRIFUGA WASTFALIA MTA 50-01-026</v>
      </c>
      <c r="C5811" s="2" t="str">
        <f t="shared" si="228"/>
        <v>UN</v>
      </c>
      <c r="D5811" s="7">
        <v>1300</v>
      </c>
      <c r="E5811" s="3">
        <v>13</v>
      </c>
      <c r="F5811" s="3">
        <v>13</v>
      </c>
      <c r="G5811" t="s">
        <v>515</v>
      </c>
    </row>
    <row r="5812" spans="1:7" x14ac:dyDescent="0.25">
      <c r="A5812" s="1" t="str">
        <f>"512165"</f>
        <v>512165</v>
      </c>
      <c r="B5812" s="2" t="str">
        <f>"CENTRIFUGA WESTFALIA MTA50"</f>
        <v>CENTRIFUGA WESTFALIA MTA50</v>
      </c>
      <c r="C5812" s="2" t="str">
        <f t="shared" si="228"/>
        <v>UN</v>
      </c>
      <c r="D5812" s="7">
        <v>915</v>
      </c>
      <c r="E5812" s="3">
        <v>11</v>
      </c>
      <c r="F5812" s="3">
        <v>11</v>
      </c>
      <c r="G5812" t="s">
        <v>512</v>
      </c>
    </row>
    <row r="5813" spans="1:7" x14ac:dyDescent="0.25">
      <c r="A5813" s="1" t="str">
        <f>"509942"</f>
        <v>509942</v>
      </c>
      <c r="B5813" s="2" t="str">
        <f>"CENTRINHO DE 12"</f>
        <v>CENTRINHO DE 12</v>
      </c>
      <c r="C5813" s="2" t="str">
        <f t="shared" si="228"/>
        <v>UN</v>
      </c>
      <c r="D5813" s="7">
        <v>601</v>
      </c>
      <c r="E5813" s="3">
        <v>8</v>
      </c>
      <c r="F5813" s="3">
        <v>8</v>
      </c>
      <c r="G5813" t="s">
        <v>516</v>
      </c>
    </row>
    <row r="5814" spans="1:7" x14ac:dyDescent="0.25">
      <c r="A5814" s="1" t="str">
        <f>"517740"</f>
        <v>517740</v>
      </c>
      <c r="B5814" s="2" t="str">
        <f>"CENTRO DISJUNTOR SOBREPOR REF. S.CV.24.PT"</f>
        <v>CENTRO DISJUNTOR SOBREPOR REF. S.CV.24.PT</v>
      </c>
      <c r="C5814" s="2" t="str">
        <f t="shared" si="228"/>
        <v>UN</v>
      </c>
      <c r="D5814" s="7">
        <v>811</v>
      </c>
      <c r="E5814" s="3">
        <v>8</v>
      </c>
      <c r="F5814" s="3">
        <v>8</v>
      </c>
      <c r="G5814" t="s">
        <v>515</v>
      </c>
    </row>
    <row r="5815" spans="1:7" x14ac:dyDescent="0.25">
      <c r="A5815" s="1" t="str">
        <f>"517741"</f>
        <v>517741</v>
      </c>
      <c r="B5815" s="2" t="str">
        <f>"CENTRO DISJUNTOR SOBREPOR REF. S.SCT.2"</f>
        <v>CENTRO DISJUNTOR SOBREPOR REF. S.SCT.2</v>
      </c>
      <c r="C5815" s="2" t="str">
        <f t="shared" si="228"/>
        <v>UN</v>
      </c>
      <c r="D5815" s="7">
        <v>811</v>
      </c>
      <c r="E5815" s="3">
        <v>8</v>
      </c>
      <c r="F5815" s="3">
        <v>8</v>
      </c>
      <c r="G5815" t="s">
        <v>514</v>
      </c>
    </row>
    <row r="5816" spans="1:7" x14ac:dyDescent="0.25">
      <c r="A5816" s="1" t="str">
        <f>"511101"</f>
        <v>511101</v>
      </c>
      <c r="B5816" s="2" t="str">
        <f>"CENTRO DISJUNTORES SOBREPOR 06 DISJ. DIN"</f>
        <v>CENTRO DISJUNTORES SOBREPOR 06 DISJ. DIN</v>
      </c>
      <c r="C5816" s="2" t="str">
        <f t="shared" si="228"/>
        <v>UN</v>
      </c>
      <c r="D5816" s="7">
        <v>601</v>
      </c>
      <c r="E5816" s="3">
        <v>8</v>
      </c>
      <c r="F5816" s="3">
        <v>8</v>
      </c>
      <c r="G5816" t="s">
        <v>512</v>
      </c>
    </row>
    <row r="5817" spans="1:7" x14ac:dyDescent="0.25">
      <c r="A5817" s="1" t="str">
        <f>"512288"</f>
        <v>512288</v>
      </c>
      <c r="B5817" s="2" t="str">
        <f>"CENTRO DISJUNTORES SOBREPOR 08 DISJ. DIN"</f>
        <v>CENTRO DISJUNTORES SOBREPOR 08 DISJ. DIN</v>
      </c>
      <c r="C5817" s="2" t="str">
        <f t="shared" si="228"/>
        <v>UN</v>
      </c>
      <c r="D5817" s="7">
        <v>601</v>
      </c>
      <c r="E5817" s="3">
        <v>8</v>
      </c>
      <c r="F5817" s="3">
        <v>8</v>
      </c>
      <c r="G5817" t="s">
        <v>513</v>
      </c>
    </row>
    <row r="5818" spans="1:7" x14ac:dyDescent="0.25">
      <c r="A5818" s="1" t="str">
        <f>"511100"</f>
        <v>511100</v>
      </c>
      <c r="B5818" s="2" t="str">
        <f>"CENTRO DISJUNTORES SOBREPOR 12 DISJ. DIN"</f>
        <v>CENTRO DISJUNTORES SOBREPOR 12 DISJ. DIN</v>
      </c>
      <c r="C5818" s="2" t="str">
        <f t="shared" si="228"/>
        <v>UN</v>
      </c>
      <c r="D5818" s="7">
        <v>601</v>
      </c>
      <c r="E5818" s="3">
        <v>8</v>
      </c>
      <c r="F5818" s="3">
        <v>8</v>
      </c>
      <c r="G5818" t="s">
        <v>514</v>
      </c>
    </row>
    <row r="5819" spans="1:7" x14ac:dyDescent="0.25">
      <c r="A5819" s="1" t="str">
        <f>"507386"</f>
        <v>507386</v>
      </c>
      <c r="B5819" s="2" t="str">
        <f>"CERA CANARIO INCOLOR - PASTA"</f>
        <v>CERA CANARIO INCOLOR - PASTA</v>
      </c>
      <c r="C5819" s="2" t="str">
        <f t="shared" si="228"/>
        <v>UN</v>
      </c>
      <c r="D5819" s="7">
        <v>402</v>
      </c>
      <c r="E5819" s="3">
        <v>4</v>
      </c>
      <c r="F5819" s="3">
        <v>4</v>
      </c>
      <c r="G5819" t="s">
        <v>514</v>
      </c>
    </row>
    <row r="5820" spans="1:7" x14ac:dyDescent="0.25">
      <c r="A5820" s="1" t="str">
        <f>"515279"</f>
        <v>515279</v>
      </c>
      <c r="B5820" s="2" t="str">
        <f>"CERA GIOCA INCOLOR"</f>
        <v>CERA GIOCA INCOLOR</v>
      </c>
      <c r="C5820" s="2" t="str">
        <f t="shared" si="228"/>
        <v>UN</v>
      </c>
      <c r="D5820" s="7">
        <v>400</v>
      </c>
      <c r="E5820" s="3">
        <v>4</v>
      </c>
      <c r="F5820" s="3">
        <v>4</v>
      </c>
      <c r="G5820" t="s">
        <v>512</v>
      </c>
    </row>
    <row r="5821" spans="1:7" x14ac:dyDescent="0.25">
      <c r="A5821" s="1" t="str">
        <f>"513921"</f>
        <v>513921</v>
      </c>
      <c r="B5821" s="2" t="str">
        <f>"CERA GRAND PRIX"</f>
        <v>CERA GRAND PRIX</v>
      </c>
      <c r="C5821" s="2" t="str">
        <f>"PC"</f>
        <v>PC</v>
      </c>
      <c r="D5821" s="7">
        <v>704</v>
      </c>
      <c r="E5821" s="3">
        <v>4</v>
      </c>
      <c r="F5821" s="3">
        <v>4</v>
      </c>
      <c r="G5821" t="s">
        <v>513</v>
      </c>
    </row>
    <row r="5822" spans="1:7" x14ac:dyDescent="0.25">
      <c r="A5822" s="1" t="str">
        <f>"510274"</f>
        <v>510274</v>
      </c>
      <c r="B5822" s="2" t="str">
        <f>"CERA SACY LIQUIDA"</f>
        <v>CERA SACY LIQUIDA</v>
      </c>
      <c r="C5822" s="2" t="str">
        <f t="shared" ref="C5822:C5864" si="229">"UN"</f>
        <v>UN</v>
      </c>
      <c r="D5822" s="7">
        <v>99999</v>
      </c>
      <c r="E5822" s="3">
        <v>99</v>
      </c>
      <c r="F5822" s="3">
        <v>99</v>
      </c>
      <c r="G5822" t="s">
        <v>514</v>
      </c>
    </row>
    <row r="5823" spans="1:7" x14ac:dyDescent="0.25">
      <c r="A5823" s="1" t="str">
        <f>"514436"</f>
        <v>514436</v>
      </c>
      <c r="B5823" s="2" t="str">
        <f>"CERAMICA"</f>
        <v>CERAMICA</v>
      </c>
      <c r="C5823" s="2" t="str">
        <f t="shared" si="229"/>
        <v>UN</v>
      </c>
      <c r="D5823" s="7">
        <v>917</v>
      </c>
      <c r="E5823" s="3">
        <v>4</v>
      </c>
      <c r="F5823" s="3">
        <v>4</v>
      </c>
      <c r="G5823" t="s">
        <v>514</v>
      </c>
    </row>
    <row r="5824" spans="1:7" x14ac:dyDescent="0.25">
      <c r="A5824" s="1" t="str">
        <f>"527446"</f>
        <v>527446</v>
      </c>
      <c r="B5824" s="2" t="str">
        <f>"CERCA CONCERTINA DIAMETRO 300MM 40 VOLTAS 8 METROS"</f>
        <v>CERCA CONCERTINA DIAMETRO 300MM 40 VOLTAS 8 METROS</v>
      </c>
      <c r="C5824" s="2" t="str">
        <f t="shared" si="229"/>
        <v>UN</v>
      </c>
      <c r="D5824" s="7">
        <v>403</v>
      </c>
      <c r="E5824" s="3">
        <v>4</v>
      </c>
      <c r="F5824" s="3">
        <v>4</v>
      </c>
      <c r="G5824" t="s">
        <v>514</v>
      </c>
    </row>
    <row r="5825" spans="1:7" x14ac:dyDescent="0.25">
      <c r="A5825" s="1" t="str">
        <f>"519302"</f>
        <v>519302</v>
      </c>
      <c r="B5825" s="2" t="str">
        <f>"CERCA ELETRICA CABO ALTA ISOLAÇÃO 40KVCC"</f>
        <v>CERCA ELETRICA CABO ALTA ISOLAÇÃO 40KVCC</v>
      </c>
      <c r="C5825" s="2" t="str">
        <f t="shared" si="229"/>
        <v>UN</v>
      </c>
      <c r="D5825" s="7">
        <v>811</v>
      </c>
      <c r="E5825" s="3">
        <v>8</v>
      </c>
      <c r="F5825" s="3">
        <v>8</v>
      </c>
      <c r="G5825" t="s">
        <v>513</v>
      </c>
    </row>
    <row r="5826" spans="1:7" x14ac:dyDescent="0.25">
      <c r="A5826" s="1" t="str">
        <f>"517465"</f>
        <v>517465</v>
      </c>
      <c r="B5826" s="2" t="str">
        <f>"CERCA ELETRICA NELLORE 220V"</f>
        <v>CERCA ELETRICA NELLORE 220V</v>
      </c>
      <c r="C5826" s="2" t="str">
        <f t="shared" si="229"/>
        <v>UN</v>
      </c>
      <c r="D5826" s="7">
        <v>811</v>
      </c>
      <c r="E5826" s="3">
        <v>8</v>
      </c>
      <c r="F5826" s="3">
        <v>8</v>
      </c>
      <c r="G5826" t="s">
        <v>512</v>
      </c>
    </row>
    <row r="5827" spans="1:7" x14ac:dyDescent="0.25">
      <c r="A5827" s="1" t="str">
        <f>"522355"</f>
        <v>522355</v>
      </c>
      <c r="B5827" s="2" t="str">
        <f>"CERCADO DE SEGURANÇA P/ TANQUE CIP 6.000LTS"</f>
        <v>CERCADO DE SEGURANÇA P/ TANQUE CIP 6.000LTS</v>
      </c>
      <c r="C5827" s="2" t="str">
        <f t="shared" si="229"/>
        <v>UN</v>
      </c>
      <c r="D5827" s="7">
        <v>1600</v>
      </c>
      <c r="E5827" s="3">
        <v>10</v>
      </c>
      <c r="F5827" s="3">
        <v>10</v>
      </c>
      <c r="G5827" t="s">
        <v>513</v>
      </c>
    </row>
    <row r="5828" spans="1:7" x14ac:dyDescent="0.25">
      <c r="A5828" s="1" t="str">
        <f>"522195"</f>
        <v>522195</v>
      </c>
      <c r="B5828" s="2" t="str">
        <f>"CEREAL EM FLOCOS"</f>
        <v>CEREAL EM FLOCOS</v>
      </c>
      <c r="C5828" s="2" t="str">
        <f t="shared" si="229"/>
        <v>UN</v>
      </c>
      <c r="D5828" s="7">
        <v>99999</v>
      </c>
      <c r="E5828" s="3">
        <v>99</v>
      </c>
      <c r="F5828" s="3">
        <v>99</v>
      </c>
      <c r="G5828" t="s">
        <v>514</v>
      </c>
    </row>
    <row r="5829" spans="1:7" x14ac:dyDescent="0.25">
      <c r="A5829" s="1" t="str">
        <f>"518173"</f>
        <v>518173</v>
      </c>
      <c r="B5829" s="2" t="str">
        <f>"CEREAL SKARCHITOS 200GR"</f>
        <v>CEREAL SKARCHITOS 200GR</v>
      </c>
      <c r="C5829" s="2" t="str">
        <f t="shared" si="229"/>
        <v>UN</v>
      </c>
      <c r="D5829" s="7">
        <v>918</v>
      </c>
      <c r="E5829" s="3">
        <v>4</v>
      </c>
      <c r="F5829" s="3">
        <v>4</v>
      </c>
      <c r="G5829" t="s">
        <v>514</v>
      </c>
    </row>
    <row r="5830" spans="1:7" x14ac:dyDescent="0.25">
      <c r="A5830" s="1" t="str">
        <f>"515716"</f>
        <v>515716</v>
      </c>
      <c r="B5830" s="2" t="str">
        <f>"CEREJA"</f>
        <v>CEREJA</v>
      </c>
      <c r="C5830" s="2" t="str">
        <f t="shared" si="229"/>
        <v>UN</v>
      </c>
      <c r="D5830" s="7">
        <v>401</v>
      </c>
      <c r="E5830" s="3">
        <v>4</v>
      </c>
      <c r="F5830" s="3">
        <v>4</v>
      </c>
      <c r="G5830" t="s">
        <v>514</v>
      </c>
    </row>
    <row r="5831" spans="1:7" x14ac:dyDescent="0.25">
      <c r="A5831" s="1" t="str">
        <f>"526189"</f>
        <v>526189</v>
      </c>
      <c r="B5831" s="2" t="str">
        <f>"CERTIF CALIB SENSOR PRESSAO ZBR003"</f>
        <v>CERTIF CALIB SENSOR PRESSAO ZBR003</v>
      </c>
      <c r="C5831" s="2" t="str">
        <f t="shared" si="229"/>
        <v>UN</v>
      </c>
      <c r="D5831" s="7">
        <v>918</v>
      </c>
      <c r="E5831" s="3">
        <v>11</v>
      </c>
      <c r="F5831" s="3">
        <v>11</v>
      </c>
      <c r="G5831" t="s">
        <v>513</v>
      </c>
    </row>
    <row r="5832" spans="1:7" x14ac:dyDescent="0.25">
      <c r="A5832" s="1" t="str">
        <f>"526197"</f>
        <v>526197</v>
      </c>
      <c r="B5832" s="2" t="str">
        <f>"CERTIF.CALIBRACAO P/ CALIBRADOR MULTI-FUN COES"</f>
        <v>CERTIF.CALIBRACAO P/ CALIBRADOR MULTI-FUN COES</v>
      </c>
      <c r="C5832" s="2" t="str">
        <f t="shared" si="229"/>
        <v>UN</v>
      </c>
      <c r="D5832" s="7">
        <v>811</v>
      </c>
      <c r="E5832" s="3">
        <v>10</v>
      </c>
      <c r="F5832" s="3">
        <v>10</v>
      </c>
      <c r="G5832" t="s">
        <v>513</v>
      </c>
    </row>
    <row r="5833" spans="1:7" x14ac:dyDescent="0.25">
      <c r="A5833" s="1" t="str">
        <f>"521038"</f>
        <v>521038</v>
      </c>
      <c r="B5833" s="2" t="str">
        <f>"CERTIFICAÇÃO"</f>
        <v>CERTIFICAÇÃO</v>
      </c>
      <c r="C5833" s="2" t="str">
        <f t="shared" si="229"/>
        <v>UN</v>
      </c>
      <c r="D5833" s="7">
        <v>918</v>
      </c>
      <c r="E5833" s="3">
        <v>10</v>
      </c>
      <c r="F5833" s="3">
        <v>10</v>
      </c>
      <c r="G5833" t="s">
        <v>513</v>
      </c>
    </row>
    <row r="5834" spans="1:7" x14ac:dyDescent="0.25">
      <c r="A5834" s="1" t="str">
        <f>"521754"</f>
        <v>521754</v>
      </c>
      <c r="B5834" s="2" t="str">
        <f>"CERTIFICADO"</f>
        <v>CERTIFICADO</v>
      </c>
      <c r="C5834" s="2" t="str">
        <f t="shared" si="229"/>
        <v>UN</v>
      </c>
      <c r="D5834" s="7">
        <v>99999</v>
      </c>
      <c r="E5834" s="3">
        <v>99</v>
      </c>
      <c r="F5834" s="3">
        <v>99</v>
      </c>
      <c r="G5834" t="s">
        <v>512</v>
      </c>
    </row>
    <row r="5835" spans="1:7" x14ac:dyDescent="0.25">
      <c r="A5835" s="1" t="str">
        <f>"513625"</f>
        <v>513625</v>
      </c>
      <c r="B5835" s="2" t="str">
        <f>"CERTIFICADO CALIBRAÇÃO RASTREADO A RBC"</f>
        <v>CERTIFICADO CALIBRAÇÃO RASTREADO A RBC</v>
      </c>
      <c r="C5835" s="2" t="str">
        <f t="shared" si="229"/>
        <v>UN</v>
      </c>
      <c r="D5835" s="7">
        <v>406</v>
      </c>
      <c r="E5835" s="3">
        <v>4</v>
      </c>
      <c r="F5835" s="3">
        <v>4</v>
      </c>
      <c r="G5835" t="s">
        <v>513</v>
      </c>
    </row>
    <row r="5836" spans="1:7" x14ac:dyDescent="0.25">
      <c r="A5836" s="1" t="str">
        <f>"513173"</f>
        <v>513173</v>
      </c>
      <c r="B5836" s="2" t="str">
        <f>"CERTIFICADO CALIBRACAO TERMO-HIGROMETRO"</f>
        <v>CERTIFICADO CALIBRACAO TERMO-HIGROMETRO</v>
      </c>
      <c r="C5836" s="2" t="str">
        <f t="shared" si="229"/>
        <v>UN</v>
      </c>
      <c r="D5836" s="7">
        <v>402</v>
      </c>
      <c r="E5836" s="3">
        <v>4</v>
      </c>
      <c r="F5836" s="3">
        <v>4</v>
      </c>
      <c r="G5836" t="s">
        <v>514</v>
      </c>
    </row>
    <row r="5837" spans="1:7" x14ac:dyDescent="0.25">
      <c r="A5837" s="1" t="str">
        <f>"523165"</f>
        <v>523165</v>
      </c>
      <c r="B5837" s="2" t="str">
        <f>"CERTIFICADO DE CALIBRAÇÃO DA TRENA"</f>
        <v>CERTIFICADO DE CALIBRAÇÃO DA TRENA</v>
      </c>
      <c r="C5837" s="2" t="str">
        <f t="shared" si="229"/>
        <v>UN</v>
      </c>
      <c r="D5837" s="7">
        <v>99999</v>
      </c>
      <c r="E5837" s="3">
        <v>99</v>
      </c>
      <c r="F5837" s="3">
        <v>99</v>
      </c>
      <c r="G5837" t="s">
        <v>515</v>
      </c>
    </row>
    <row r="5838" spans="1:7" x14ac:dyDescent="0.25">
      <c r="A5838" s="1" t="str">
        <f>"523167"</f>
        <v>523167</v>
      </c>
      <c r="B5838" s="2" t="str">
        <f>"CERTIFICADO DE CALIBRAÇÃO DO PAQUIMETRO"</f>
        <v>CERTIFICADO DE CALIBRAÇÃO DO PAQUIMETRO</v>
      </c>
      <c r="C5838" s="2" t="str">
        <f t="shared" si="229"/>
        <v>UN</v>
      </c>
      <c r="D5838" s="7">
        <v>99999</v>
      </c>
      <c r="E5838" s="3">
        <v>99</v>
      </c>
      <c r="F5838" s="3">
        <v>99</v>
      </c>
      <c r="G5838" t="s">
        <v>512</v>
      </c>
    </row>
    <row r="5839" spans="1:7" x14ac:dyDescent="0.25">
      <c r="A5839" s="1" t="str">
        <f>"523171"</f>
        <v>523171</v>
      </c>
      <c r="B5839" s="2" t="str">
        <f>"CERTIFICADO DE CALIBRAÇÃO RASTREAVEL RBC P/ TERMOMETRO"</f>
        <v>CERTIFICADO DE CALIBRAÇÃO RASTREAVEL RBC P/ TERMOMETRO</v>
      </c>
      <c r="C5839" s="2" t="str">
        <f t="shared" si="229"/>
        <v>UN</v>
      </c>
      <c r="D5839" s="7">
        <v>99999</v>
      </c>
      <c r="E5839" s="3">
        <v>99</v>
      </c>
      <c r="F5839" s="3">
        <v>99</v>
      </c>
      <c r="G5839" t="s">
        <v>516</v>
      </c>
    </row>
    <row r="5840" spans="1:7" x14ac:dyDescent="0.25">
      <c r="A5840" s="1" t="str">
        <f>"514878"</f>
        <v>514878</v>
      </c>
      <c r="B5840" s="2" t="str">
        <f>"CERVEJA SKOL"</f>
        <v>CERVEJA SKOL</v>
      </c>
      <c r="C5840" s="2" t="str">
        <f t="shared" si="229"/>
        <v>UN</v>
      </c>
      <c r="D5840" s="7">
        <v>401</v>
      </c>
      <c r="E5840" s="3">
        <v>4</v>
      </c>
      <c r="F5840" s="3">
        <v>4</v>
      </c>
      <c r="G5840" t="s">
        <v>515</v>
      </c>
    </row>
    <row r="5841" spans="1:7" x14ac:dyDescent="0.25">
      <c r="A5841" s="1" t="str">
        <f>"573787"</f>
        <v>573787</v>
      </c>
      <c r="B5841" s="2" t="str">
        <f>"CESTA"</f>
        <v>CESTA</v>
      </c>
      <c r="C5841" s="2" t="str">
        <f t="shared" si="229"/>
        <v>UN</v>
      </c>
      <c r="D5841" s="7">
        <v>402</v>
      </c>
      <c r="E5841" s="3">
        <v>4</v>
      </c>
      <c r="F5841" s="3">
        <v>4</v>
      </c>
      <c r="G5841" t="s">
        <v>514</v>
      </c>
    </row>
    <row r="5842" spans="1:7" x14ac:dyDescent="0.25">
      <c r="A5842" s="1" t="str">
        <f>"509246"</f>
        <v>509246</v>
      </c>
      <c r="B5842" s="2" t="str">
        <f>"CESTA DE NATAL"</f>
        <v>CESTA DE NATAL</v>
      </c>
      <c r="C5842" s="2" t="str">
        <f t="shared" si="229"/>
        <v>UN</v>
      </c>
      <c r="D5842" s="7">
        <v>402</v>
      </c>
      <c r="E5842" s="3">
        <v>4</v>
      </c>
      <c r="F5842" s="3">
        <v>4</v>
      </c>
      <c r="G5842" t="s">
        <v>512</v>
      </c>
    </row>
    <row r="5843" spans="1:7" x14ac:dyDescent="0.25">
      <c r="A5843" s="1" t="str">
        <f>"510431"</f>
        <v>510431</v>
      </c>
      <c r="B5843" s="2" t="str">
        <f>"CESTA P/ BRINDE"</f>
        <v>CESTA P/ BRINDE</v>
      </c>
      <c r="C5843" s="2" t="str">
        <f t="shared" si="229"/>
        <v>UN</v>
      </c>
      <c r="D5843" s="7">
        <v>402</v>
      </c>
      <c r="E5843" s="3">
        <v>4</v>
      </c>
      <c r="F5843" s="3">
        <v>4</v>
      </c>
      <c r="G5843" t="s">
        <v>513</v>
      </c>
    </row>
    <row r="5844" spans="1:7" x14ac:dyDescent="0.25">
      <c r="A5844" s="1" t="str">
        <f>"523686"</f>
        <v>523686</v>
      </c>
      <c r="B5844" s="2" t="str">
        <f>"CESTO LIXO 1068 25L"</f>
        <v>CESTO LIXO 1068 25L</v>
      </c>
      <c r="C5844" s="2" t="str">
        <f t="shared" si="229"/>
        <v>UN</v>
      </c>
      <c r="D5844" s="7">
        <v>400</v>
      </c>
      <c r="E5844" s="3">
        <v>4</v>
      </c>
      <c r="F5844" s="3">
        <v>4</v>
      </c>
      <c r="G5844" t="s">
        <v>514</v>
      </c>
    </row>
    <row r="5845" spans="1:7" x14ac:dyDescent="0.25">
      <c r="A5845" s="1" t="str">
        <f>"523951"</f>
        <v>523951</v>
      </c>
      <c r="B5845" s="2" t="str">
        <f>"CESTO LIXO POLIETILENO FILTRO UV 25 LT AZ 1068"</f>
        <v>CESTO LIXO POLIETILENO FILTRO UV 25 LT AZ 1068</v>
      </c>
      <c r="C5845" s="2" t="str">
        <f t="shared" si="229"/>
        <v>UN</v>
      </c>
      <c r="D5845" s="7">
        <v>400</v>
      </c>
      <c r="E5845" s="3">
        <v>4</v>
      </c>
      <c r="F5845" s="3">
        <v>4</v>
      </c>
      <c r="G5845" t="s">
        <v>514</v>
      </c>
    </row>
    <row r="5846" spans="1:7" x14ac:dyDescent="0.25">
      <c r="A5846" s="1" t="str">
        <f>"523958"</f>
        <v>523958</v>
      </c>
      <c r="B5846" s="2" t="str">
        <f>"CESTO LIXO POLIPROPILENO TP VAI-VEM LR 1051PB"</f>
        <v>CESTO LIXO POLIPROPILENO TP VAI-VEM LR 1051PB</v>
      </c>
      <c r="C5846" s="2" t="str">
        <f t="shared" si="229"/>
        <v>UN</v>
      </c>
      <c r="D5846" s="7">
        <v>400</v>
      </c>
      <c r="E5846" s="3">
        <v>4</v>
      </c>
      <c r="F5846" s="3">
        <v>4</v>
      </c>
      <c r="G5846" t="s">
        <v>512</v>
      </c>
    </row>
    <row r="5847" spans="1:7" x14ac:dyDescent="0.25">
      <c r="A5847" s="1" t="str">
        <f>"504452"</f>
        <v>504452</v>
      </c>
      <c r="B5847" s="2" t="str">
        <f>"CESTO P/ LIXO"</f>
        <v>CESTO P/ LIXO</v>
      </c>
      <c r="C5847" s="2" t="str">
        <f t="shared" si="229"/>
        <v>UN</v>
      </c>
      <c r="D5847" s="7">
        <v>820</v>
      </c>
      <c r="E5847" s="3">
        <v>10</v>
      </c>
      <c r="F5847" s="3">
        <v>10</v>
      </c>
      <c r="G5847" t="s">
        <v>513</v>
      </c>
    </row>
    <row r="5848" spans="1:7" x14ac:dyDescent="0.25">
      <c r="A5848" s="1" t="str">
        <f>"518735"</f>
        <v>518735</v>
      </c>
      <c r="B5848" s="2" t="str">
        <f>"CESTO PARA LIXO 30LT"</f>
        <v>CESTO PARA LIXO 30LT</v>
      </c>
      <c r="C5848" s="2" t="str">
        <f t="shared" si="229"/>
        <v>UN</v>
      </c>
      <c r="D5848" s="7">
        <v>400</v>
      </c>
      <c r="E5848" s="3">
        <v>4</v>
      </c>
      <c r="F5848" s="3">
        <v>4</v>
      </c>
      <c r="G5848" t="s">
        <v>514</v>
      </c>
    </row>
    <row r="5849" spans="1:7" x14ac:dyDescent="0.25">
      <c r="A5849" s="1" t="str">
        <f>"519117"</f>
        <v>519117</v>
      </c>
      <c r="B5849" s="2" t="str">
        <f>"CESTO PARA LIXO 51LT"</f>
        <v>CESTO PARA LIXO 51LT</v>
      </c>
      <c r="C5849" s="2" t="str">
        <f t="shared" si="229"/>
        <v>UN</v>
      </c>
      <c r="D5849" s="7">
        <v>400</v>
      </c>
      <c r="E5849" s="3">
        <v>4</v>
      </c>
      <c r="F5849" s="3">
        <v>4</v>
      </c>
      <c r="G5849" t="s">
        <v>514</v>
      </c>
    </row>
    <row r="5850" spans="1:7" x14ac:dyDescent="0.25">
      <c r="A5850" s="1" t="str">
        <f>"509625"</f>
        <v>509625</v>
      </c>
      <c r="B5850" s="2" t="str">
        <f>"CESTO PARA LIXO 60LT"</f>
        <v>CESTO PARA LIXO 60LT</v>
      </c>
      <c r="C5850" s="2" t="str">
        <f t="shared" si="229"/>
        <v>UN</v>
      </c>
      <c r="D5850" s="7">
        <v>400</v>
      </c>
      <c r="E5850" s="3">
        <v>4</v>
      </c>
      <c r="F5850" s="3">
        <v>4</v>
      </c>
      <c r="G5850" t="s">
        <v>514</v>
      </c>
    </row>
    <row r="5851" spans="1:7" x14ac:dyDescent="0.25">
      <c r="A5851" s="1" t="str">
        <f>"526771"</f>
        <v>526771</v>
      </c>
      <c r="B5851" s="2" t="str">
        <f>"CESTO RETANGULAR P/ LAVAGEM E AUTOLAVAGEM DE VIDRARIAS"</f>
        <v>CESTO RETANGULAR P/ LAVAGEM E AUTOLAVAGEM DE VIDRARIAS</v>
      </c>
      <c r="C5851" s="2" t="str">
        <f t="shared" si="229"/>
        <v>UN</v>
      </c>
      <c r="D5851" s="7">
        <v>99999</v>
      </c>
      <c r="E5851" s="3">
        <v>99</v>
      </c>
      <c r="F5851" s="3">
        <v>99</v>
      </c>
      <c r="G5851" t="s">
        <v>513</v>
      </c>
    </row>
    <row r="5852" spans="1:7" x14ac:dyDescent="0.25">
      <c r="A5852" s="1" t="str">
        <f>"527229"</f>
        <v>527229</v>
      </c>
      <c r="B5852" s="2" t="str">
        <f>"CETOPROFENO 50MG"</f>
        <v>CETOPROFENO 50MG</v>
      </c>
      <c r="C5852" s="2" t="str">
        <f t="shared" si="229"/>
        <v>UN</v>
      </c>
      <c r="D5852" s="7">
        <v>99999</v>
      </c>
      <c r="E5852" s="3">
        <v>99</v>
      </c>
      <c r="F5852" s="3">
        <v>99</v>
      </c>
      <c r="G5852" t="s">
        <v>512</v>
      </c>
    </row>
    <row r="5853" spans="1:7" x14ac:dyDescent="0.25">
      <c r="A5853" s="1" t="str">
        <f>"513903"</f>
        <v>513903</v>
      </c>
      <c r="B5853" s="2" t="str">
        <f>"CH AL PISO HI 14 2,2 X 1000 X 3000"</f>
        <v>CH AL PISO HI 14 2,2 X 1000 X 3000</v>
      </c>
      <c r="C5853" s="2" t="str">
        <f t="shared" si="229"/>
        <v>UN</v>
      </c>
      <c r="D5853" s="7">
        <v>99999</v>
      </c>
      <c r="E5853" s="3">
        <v>99</v>
      </c>
      <c r="F5853" s="3">
        <v>99</v>
      </c>
      <c r="G5853" t="s">
        <v>513</v>
      </c>
    </row>
    <row r="5854" spans="1:7" x14ac:dyDescent="0.25">
      <c r="A5854" s="1" t="str">
        <f>"522685"</f>
        <v>522685</v>
      </c>
      <c r="B5854" s="2" t="str">
        <f>"CH CORTA CIRCUITO P/ 100A 15KV"</f>
        <v>CH CORTA CIRCUITO P/ 100A 15KV</v>
      </c>
      <c r="C5854" s="2" t="str">
        <f t="shared" si="229"/>
        <v>UN</v>
      </c>
      <c r="D5854" s="7">
        <v>811</v>
      </c>
      <c r="E5854" s="3">
        <v>8</v>
      </c>
      <c r="F5854" s="3">
        <v>8</v>
      </c>
      <c r="G5854" t="s">
        <v>514</v>
      </c>
    </row>
    <row r="5855" spans="1:7" x14ac:dyDescent="0.25">
      <c r="A5855" s="1" t="str">
        <f>"511510"</f>
        <v>511510</v>
      </c>
      <c r="B5855" s="2" t="str">
        <f>"CH FQ 2,65 (12)X1200X3000"</f>
        <v>CH FQ 2,65 (12)X1200X3000</v>
      </c>
      <c r="C5855" s="2" t="str">
        <f t="shared" si="229"/>
        <v>UN</v>
      </c>
      <c r="D5855" s="7">
        <v>704</v>
      </c>
      <c r="E5855" s="3">
        <v>9</v>
      </c>
      <c r="F5855" s="3">
        <v>9</v>
      </c>
      <c r="G5855" t="s">
        <v>514</v>
      </c>
    </row>
    <row r="5856" spans="1:7" x14ac:dyDescent="0.25">
      <c r="A5856" s="1" t="str">
        <f>"513140"</f>
        <v>513140</v>
      </c>
      <c r="B5856" s="2" t="str">
        <f>"CH FQ 4,75 (3/16) X 1200 X 3000"</f>
        <v>CH FQ 4,75 (3/16) X 1200 X 3000</v>
      </c>
      <c r="C5856" s="2" t="str">
        <f t="shared" si="229"/>
        <v>UN</v>
      </c>
      <c r="D5856" s="7">
        <v>99999</v>
      </c>
      <c r="E5856" s="3">
        <v>99</v>
      </c>
      <c r="F5856" s="3">
        <v>99</v>
      </c>
      <c r="G5856" t="s">
        <v>514</v>
      </c>
    </row>
    <row r="5857" spans="1:7" x14ac:dyDescent="0.25">
      <c r="A5857" s="1" t="str">
        <f>"513142"</f>
        <v>513142</v>
      </c>
      <c r="B5857" s="2" t="str">
        <f>"CH IN 304 3(11)"</f>
        <v>CH IN 304 3(11)</v>
      </c>
      <c r="C5857" s="2" t="str">
        <f t="shared" si="229"/>
        <v>UN</v>
      </c>
      <c r="D5857" s="7">
        <v>704</v>
      </c>
      <c r="E5857" s="3">
        <v>9</v>
      </c>
      <c r="F5857" s="3">
        <v>9</v>
      </c>
      <c r="G5857" t="s">
        <v>513</v>
      </c>
    </row>
    <row r="5858" spans="1:7" x14ac:dyDescent="0.25">
      <c r="A5858" s="1" t="str">
        <f>"509291"</f>
        <v>509291</v>
      </c>
      <c r="B5858" s="2" t="str">
        <f>"CHA MATTE LEAO 250GR"</f>
        <v>CHA MATTE LEAO 250GR</v>
      </c>
      <c r="C5858" s="2" t="str">
        <f t="shared" si="229"/>
        <v>UN</v>
      </c>
      <c r="D5858" s="7">
        <v>402</v>
      </c>
      <c r="E5858" s="3">
        <v>4</v>
      </c>
      <c r="F5858" s="3">
        <v>4</v>
      </c>
      <c r="G5858" t="s">
        <v>513</v>
      </c>
    </row>
    <row r="5859" spans="1:7" x14ac:dyDescent="0.25">
      <c r="A5859" s="1" t="str">
        <f>"514272"</f>
        <v>514272</v>
      </c>
      <c r="B5859" s="2" t="str">
        <f>"CHA MATTE LEAO 40GR (SACHE)"</f>
        <v>CHA MATTE LEAO 40GR (SACHE)</v>
      </c>
      <c r="C5859" s="2" t="str">
        <f t="shared" si="229"/>
        <v>UN</v>
      </c>
      <c r="D5859" s="7">
        <v>401</v>
      </c>
      <c r="E5859" s="3">
        <v>4</v>
      </c>
      <c r="F5859" s="3">
        <v>4</v>
      </c>
      <c r="G5859" t="s">
        <v>513</v>
      </c>
    </row>
    <row r="5860" spans="1:7" x14ac:dyDescent="0.25">
      <c r="A5860" s="1" t="str">
        <f>"514508"</f>
        <v>514508</v>
      </c>
      <c r="B5860" s="2" t="str">
        <f>"CHAIRA ESTRIADA"</f>
        <v>CHAIRA ESTRIADA</v>
      </c>
      <c r="C5860" s="2" t="str">
        <f t="shared" si="229"/>
        <v>UN</v>
      </c>
      <c r="D5860" s="7">
        <v>401</v>
      </c>
      <c r="E5860" s="3">
        <v>4</v>
      </c>
      <c r="F5860" s="3">
        <v>4</v>
      </c>
      <c r="G5860" t="s">
        <v>512</v>
      </c>
    </row>
    <row r="5861" spans="1:7" x14ac:dyDescent="0.25">
      <c r="A5861" s="1" t="str">
        <f>"506051"</f>
        <v>506051</v>
      </c>
      <c r="B5861" s="2" t="str">
        <f>"CHAMINE EM AÇO CARBONO - CALDEIRA"</f>
        <v>CHAMINE EM AÇO CARBONO - CALDEIRA</v>
      </c>
      <c r="C5861" s="2" t="str">
        <f t="shared" si="229"/>
        <v>UN</v>
      </c>
      <c r="D5861" s="7">
        <v>1001</v>
      </c>
      <c r="E5861" s="3">
        <v>10</v>
      </c>
      <c r="F5861" s="3">
        <v>10</v>
      </c>
      <c r="G5861" t="s">
        <v>513</v>
      </c>
    </row>
    <row r="5862" spans="1:7" x14ac:dyDescent="0.25">
      <c r="A5862" s="1" t="str">
        <f>"517202"</f>
        <v>517202</v>
      </c>
      <c r="B5862" s="2" t="str">
        <f>"CHAMINÉ EM AÇO INOX"</f>
        <v>CHAMINÉ EM AÇO INOX</v>
      </c>
      <c r="C5862" s="2" t="str">
        <f t="shared" si="229"/>
        <v>UN</v>
      </c>
      <c r="D5862" s="7">
        <v>918</v>
      </c>
      <c r="E5862" s="3">
        <v>11</v>
      </c>
      <c r="F5862" s="3">
        <v>11</v>
      </c>
      <c r="G5862" t="s">
        <v>514</v>
      </c>
    </row>
    <row r="5863" spans="1:7" x14ac:dyDescent="0.25">
      <c r="A5863" s="1" t="str">
        <f>"510880"</f>
        <v>510880</v>
      </c>
      <c r="B5863" s="2" t="str">
        <f>"CHAMPAGNE SIDRA CERESER"</f>
        <v>CHAMPAGNE SIDRA CERESER</v>
      </c>
      <c r="C5863" s="2" t="str">
        <f t="shared" si="229"/>
        <v>UN</v>
      </c>
      <c r="D5863" s="7">
        <v>401</v>
      </c>
      <c r="E5863" s="3">
        <v>4</v>
      </c>
      <c r="F5863" s="3">
        <v>4</v>
      </c>
      <c r="G5863" t="s">
        <v>515</v>
      </c>
    </row>
    <row r="5864" spans="1:7" x14ac:dyDescent="0.25">
      <c r="A5864" s="1" t="str">
        <f>"509872"</f>
        <v>509872</v>
      </c>
      <c r="B5864" s="2" t="str">
        <f>"CHAPA"</f>
        <v>CHAPA</v>
      </c>
      <c r="C5864" s="2" t="str">
        <f t="shared" si="229"/>
        <v>UN</v>
      </c>
      <c r="D5864" s="7">
        <v>917</v>
      </c>
      <c r="E5864" s="3">
        <v>11</v>
      </c>
      <c r="F5864" s="3">
        <v>11</v>
      </c>
      <c r="G5864" t="s">
        <v>512</v>
      </c>
    </row>
    <row r="5865" spans="1:7" x14ac:dyDescent="0.25">
      <c r="A5865" s="1" t="str">
        <f>"511421"</f>
        <v>511421</v>
      </c>
      <c r="B5865" s="2" t="str">
        <f>"CHAPA 01MM 140X1250MM"</f>
        <v>CHAPA 01MM 140X1250MM</v>
      </c>
      <c r="C5865" s="2" t="str">
        <f>"PC"</f>
        <v>PC</v>
      </c>
      <c r="D5865" s="7">
        <v>806</v>
      </c>
      <c r="E5865" s="3">
        <v>10</v>
      </c>
      <c r="F5865" s="3">
        <v>10</v>
      </c>
      <c r="G5865" t="s">
        <v>516</v>
      </c>
    </row>
    <row r="5866" spans="1:7" x14ac:dyDescent="0.25">
      <c r="A5866" s="1" t="str">
        <f>"511420"</f>
        <v>511420</v>
      </c>
      <c r="B5866" s="2" t="str">
        <f>"CHAPA 01MM 300X3000MM"</f>
        <v>CHAPA 01MM 300X3000MM</v>
      </c>
      <c r="C5866" s="2" t="str">
        <f>"PC"</f>
        <v>PC</v>
      </c>
      <c r="D5866" s="7">
        <v>806</v>
      </c>
      <c r="E5866" s="3">
        <v>10</v>
      </c>
      <c r="F5866" s="3">
        <v>10</v>
      </c>
      <c r="G5866" t="s">
        <v>515</v>
      </c>
    </row>
    <row r="5867" spans="1:7" x14ac:dyDescent="0.25">
      <c r="A5867" s="1" t="str">
        <f>"511419"</f>
        <v>511419</v>
      </c>
      <c r="B5867" s="2" t="str">
        <f>"CHAPA 01MM 620X2800MM"</f>
        <v>CHAPA 01MM 620X2800MM</v>
      </c>
      <c r="C5867" s="2" t="str">
        <f>"PC"</f>
        <v>PC</v>
      </c>
      <c r="D5867" s="7">
        <v>806</v>
      </c>
      <c r="E5867" s="3">
        <v>10</v>
      </c>
      <c r="F5867" s="3">
        <v>10</v>
      </c>
      <c r="G5867" t="s">
        <v>514</v>
      </c>
    </row>
    <row r="5868" spans="1:7" x14ac:dyDescent="0.25">
      <c r="A5868" s="1" t="str">
        <f>"516018"</f>
        <v>516018</v>
      </c>
      <c r="B5868" s="2" t="str">
        <f>"CHAPA 1200 X 2000 X 2MM INOX 430"</f>
        <v>CHAPA 1200 X 2000 X 2MM INOX 430</v>
      </c>
      <c r="C5868" s="2" t="str">
        <f t="shared" ref="C5868:C5874" si="230">"UN"</f>
        <v>UN</v>
      </c>
      <c r="D5868" s="7">
        <v>99999</v>
      </c>
      <c r="E5868" s="3">
        <v>99</v>
      </c>
      <c r="F5868" s="3">
        <v>99</v>
      </c>
      <c r="G5868" t="s">
        <v>512</v>
      </c>
    </row>
    <row r="5869" spans="1:7" x14ac:dyDescent="0.25">
      <c r="A5869" s="1" t="str">
        <f>"516017"</f>
        <v>516017</v>
      </c>
      <c r="B5869" s="2" t="str">
        <f>"CHAPA 1200 X 2000 X 5MM INOX 430"</f>
        <v>CHAPA 1200 X 2000 X 5MM INOX 430</v>
      </c>
      <c r="C5869" s="2" t="str">
        <f t="shared" si="230"/>
        <v>UN</v>
      </c>
      <c r="D5869" s="7">
        <v>99999</v>
      </c>
      <c r="E5869" s="3">
        <v>99</v>
      </c>
      <c r="F5869" s="3">
        <v>99</v>
      </c>
      <c r="G5869" t="s">
        <v>513</v>
      </c>
    </row>
    <row r="5870" spans="1:7" x14ac:dyDescent="0.25">
      <c r="A5870" s="1" t="str">
        <f>"516016"</f>
        <v>516016</v>
      </c>
      <c r="B5870" s="2" t="str">
        <f>"CHAPA 1200 X 3000 X 1,5MM INOX 304"</f>
        <v>CHAPA 1200 X 3000 X 1,5MM INOX 304</v>
      </c>
      <c r="C5870" s="2" t="str">
        <f t="shared" si="230"/>
        <v>UN</v>
      </c>
      <c r="D5870" s="7">
        <v>99999</v>
      </c>
      <c r="E5870" s="3">
        <v>99</v>
      </c>
      <c r="F5870" s="3">
        <v>99</v>
      </c>
      <c r="G5870" t="s">
        <v>514</v>
      </c>
    </row>
    <row r="5871" spans="1:7" x14ac:dyDescent="0.25">
      <c r="A5871" s="1" t="str">
        <f>"522072"</f>
        <v>522072</v>
      </c>
      <c r="B5871" s="2" t="str">
        <f>"CHAPA 1200 X 3000 X 3MM INOX 304"</f>
        <v>CHAPA 1200 X 3000 X 3MM INOX 304</v>
      </c>
      <c r="C5871" s="2" t="str">
        <f t="shared" si="230"/>
        <v>UN</v>
      </c>
      <c r="D5871" s="7">
        <v>99999</v>
      </c>
      <c r="E5871" s="3">
        <v>99</v>
      </c>
      <c r="F5871" s="3">
        <v>99</v>
      </c>
      <c r="G5871" t="s">
        <v>514</v>
      </c>
    </row>
    <row r="5872" spans="1:7" x14ac:dyDescent="0.25">
      <c r="A5872" s="1" t="str">
        <f>"523104"</f>
        <v>523104</v>
      </c>
      <c r="B5872" s="2" t="str">
        <f>"CHAPA 1200 X 3000 X 3MM INOX 304 2B"</f>
        <v>CHAPA 1200 X 3000 X 3MM INOX 304 2B</v>
      </c>
      <c r="C5872" s="2" t="str">
        <f t="shared" si="230"/>
        <v>UN</v>
      </c>
      <c r="D5872" s="7">
        <v>99999</v>
      </c>
      <c r="E5872" s="3">
        <v>99</v>
      </c>
      <c r="F5872" s="3">
        <v>99</v>
      </c>
      <c r="G5872" t="s">
        <v>512</v>
      </c>
    </row>
    <row r="5873" spans="1:7" x14ac:dyDescent="0.25">
      <c r="A5873" s="1" t="str">
        <f>"516547"</f>
        <v>516547</v>
      </c>
      <c r="B5873" s="2" t="str">
        <f>"CHAPA 2000 X 1200 X 2MM INOX 304"</f>
        <v>CHAPA 2000 X 1200 X 2MM INOX 304</v>
      </c>
      <c r="C5873" s="2" t="str">
        <f t="shared" si="230"/>
        <v>UN</v>
      </c>
      <c r="D5873" s="7">
        <v>812</v>
      </c>
      <c r="E5873" s="3">
        <v>10</v>
      </c>
      <c r="F5873" s="3">
        <v>10</v>
      </c>
      <c r="G5873" t="s">
        <v>513</v>
      </c>
    </row>
    <row r="5874" spans="1:7" x14ac:dyDescent="0.25">
      <c r="A5874" s="1" t="str">
        <f>"522674"</f>
        <v>522674</v>
      </c>
      <c r="B5874" s="2" t="str">
        <f>"CHAPA 3000 X 1200 X 2MM INOX 304"</f>
        <v>CHAPA 3000 X 1200 X 2MM INOX 304</v>
      </c>
      <c r="C5874" s="2" t="str">
        <f t="shared" si="230"/>
        <v>UN</v>
      </c>
      <c r="D5874" s="7">
        <v>99999</v>
      </c>
      <c r="E5874" s="3">
        <v>99</v>
      </c>
      <c r="F5874" s="3">
        <v>99</v>
      </c>
      <c r="G5874" t="s">
        <v>514</v>
      </c>
    </row>
    <row r="5875" spans="1:7" x14ac:dyDescent="0.25">
      <c r="A5875" s="1" t="str">
        <f>"512379"</f>
        <v>512379</v>
      </c>
      <c r="B5875" s="2" t="str">
        <f>"CHAPA 5/8"" 320X200MM FURO 25MM"</f>
        <v>CHAPA 5/8" 320X200MM FURO 25MM</v>
      </c>
      <c r="C5875" s="2" t="str">
        <f>"PC"</f>
        <v>PC</v>
      </c>
      <c r="D5875" s="7">
        <v>806</v>
      </c>
      <c r="E5875" s="3">
        <v>10</v>
      </c>
      <c r="F5875" s="3">
        <v>10</v>
      </c>
      <c r="G5875" t="s">
        <v>514</v>
      </c>
    </row>
    <row r="5876" spans="1:7" x14ac:dyDescent="0.25">
      <c r="A5876" s="1" t="str">
        <f>"509506"</f>
        <v>509506</v>
      </c>
      <c r="B5876" s="2" t="str">
        <f>"CHAPA ACO CARBONO  720X685X6MM"</f>
        <v>CHAPA ACO CARBONO  720X685X6MM</v>
      </c>
      <c r="C5876" s="2" t="str">
        <f>"UN"</f>
        <v>UN</v>
      </c>
      <c r="D5876" s="7">
        <v>403</v>
      </c>
      <c r="E5876" s="3">
        <v>4</v>
      </c>
      <c r="F5876" s="3">
        <v>4</v>
      </c>
      <c r="G5876" t="s">
        <v>514</v>
      </c>
    </row>
    <row r="5877" spans="1:7" x14ac:dyDescent="0.25">
      <c r="A5877" s="1" t="str">
        <f>"509508"</f>
        <v>509508</v>
      </c>
      <c r="B5877" s="2" t="str">
        <f>"CHAPA ACO CARBONO  755X690X6MM"</f>
        <v>CHAPA ACO CARBONO  755X690X6MM</v>
      </c>
      <c r="C5877" s="2" t="str">
        <f>"UN"</f>
        <v>UN</v>
      </c>
      <c r="D5877" s="7">
        <v>403</v>
      </c>
      <c r="E5877" s="3">
        <v>4</v>
      </c>
      <c r="F5877" s="3">
        <v>4</v>
      </c>
      <c r="G5877" t="s">
        <v>513</v>
      </c>
    </row>
    <row r="5878" spans="1:7" x14ac:dyDescent="0.25">
      <c r="A5878" s="1" t="str">
        <f>"522662"</f>
        <v>522662</v>
      </c>
      <c r="B5878" s="2" t="str">
        <f>"CHAPA ACO CARBONO 1000 X 3000 #16"</f>
        <v>CHAPA ACO CARBONO 1000 X 3000 #16</v>
      </c>
      <c r="C5878" s="2" t="str">
        <f>"UN"</f>
        <v>UN</v>
      </c>
      <c r="D5878" s="7">
        <v>807</v>
      </c>
      <c r="E5878" s="3">
        <v>4</v>
      </c>
      <c r="F5878" s="3">
        <v>4</v>
      </c>
      <c r="G5878" t="s">
        <v>512</v>
      </c>
    </row>
    <row r="5879" spans="1:7" x14ac:dyDescent="0.25">
      <c r="A5879" s="1" t="str">
        <f>"516240"</f>
        <v>516240</v>
      </c>
      <c r="B5879" s="2" t="str">
        <f>"CHAPA ACO CARBONO 1000X1000X6MM"</f>
        <v>CHAPA ACO CARBONO 1000X1000X6MM</v>
      </c>
      <c r="C5879" s="2" t="str">
        <f>"UN"</f>
        <v>UN</v>
      </c>
      <c r="D5879" s="7">
        <v>917</v>
      </c>
      <c r="E5879" s="3">
        <v>10</v>
      </c>
      <c r="F5879" s="3">
        <v>10</v>
      </c>
      <c r="G5879" t="s">
        <v>513</v>
      </c>
    </row>
    <row r="5880" spans="1:7" x14ac:dyDescent="0.25">
      <c r="A5880" s="1" t="str">
        <f>"509505"</f>
        <v>509505</v>
      </c>
      <c r="B5880" s="2" t="str">
        <f>"CHAPA ACO CARBONO 1025X960X6MM"</f>
        <v>CHAPA ACO CARBONO 1025X960X6MM</v>
      </c>
      <c r="C5880" s="2" t="str">
        <f>"UN"</f>
        <v>UN</v>
      </c>
      <c r="D5880" s="7">
        <v>403</v>
      </c>
      <c r="E5880" s="3">
        <v>4</v>
      </c>
      <c r="F5880" s="3">
        <v>4</v>
      </c>
      <c r="G5880" t="s">
        <v>514</v>
      </c>
    </row>
    <row r="5881" spans="1:7" x14ac:dyDescent="0.25">
      <c r="A5881" s="1" t="str">
        <f>"516454"</f>
        <v>516454</v>
      </c>
      <c r="B5881" s="2" t="str">
        <f>"CHAPA ACO CARBONO 1080X1080X1/4"""</f>
        <v>CHAPA ACO CARBONO 1080X1080X1/4"</v>
      </c>
      <c r="C5881" s="2" t="str">
        <f>"PC"</f>
        <v>PC</v>
      </c>
      <c r="D5881" s="7">
        <v>806</v>
      </c>
      <c r="E5881" s="3">
        <v>10</v>
      </c>
      <c r="F5881" s="3">
        <v>10</v>
      </c>
      <c r="G5881" t="s">
        <v>514</v>
      </c>
    </row>
    <row r="5882" spans="1:7" x14ac:dyDescent="0.25">
      <c r="A5882" s="1" t="str">
        <f>"517025"</f>
        <v>517025</v>
      </c>
      <c r="B5882" s="2" t="str">
        <f>"CHAPA ACO CARBONO 1200 X 3000 X 3MM"</f>
        <v>CHAPA ACO CARBONO 1200 X 3000 X 3MM</v>
      </c>
      <c r="C5882" s="2" t="str">
        <f t="shared" ref="C5882:C5887" si="231">"UN"</f>
        <v>UN</v>
      </c>
      <c r="D5882" s="7">
        <v>1700</v>
      </c>
      <c r="E5882" s="3">
        <v>10</v>
      </c>
      <c r="F5882" s="3">
        <v>10</v>
      </c>
      <c r="G5882" t="s">
        <v>514</v>
      </c>
    </row>
    <row r="5883" spans="1:7" x14ac:dyDescent="0.25">
      <c r="A5883" s="1" t="str">
        <f>"524904"</f>
        <v>524904</v>
      </c>
      <c r="B5883" s="2" t="str">
        <f>"CHAPA ACO CARBONO 1200X2000X#14"</f>
        <v>CHAPA ACO CARBONO 1200X2000X#14</v>
      </c>
      <c r="C5883" s="2" t="str">
        <f t="shared" si="231"/>
        <v>UN</v>
      </c>
      <c r="D5883" s="7">
        <v>1700</v>
      </c>
      <c r="E5883" s="3">
        <v>10</v>
      </c>
      <c r="F5883" s="3">
        <v>10</v>
      </c>
      <c r="G5883" t="s">
        <v>513</v>
      </c>
    </row>
    <row r="5884" spans="1:7" x14ac:dyDescent="0.25">
      <c r="A5884" s="1" t="str">
        <f>"517733"</f>
        <v>517733</v>
      </c>
      <c r="B5884" s="2" t="str">
        <f>"CHAPA ACO CARBONO 1200X2000X1,2MM"</f>
        <v>CHAPA ACO CARBONO 1200X2000X1,2MM</v>
      </c>
      <c r="C5884" s="2" t="str">
        <f t="shared" si="231"/>
        <v>UN</v>
      </c>
      <c r="D5884" s="7">
        <v>1700</v>
      </c>
      <c r="E5884" s="3">
        <v>10</v>
      </c>
      <c r="F5884" s="3">
        <v>10</v>
      </c>
      <c r="G5884" t="s">
        <v>513</v>
      </c>
    </row>
    <row r="5885" spans="1:7" x14ac:dyDescent="0.25">
      <c r="A5885" s="1" t="str">
        <f>"527696"</f>
        <v>527696</v>
      </c>
      <c r="B5885" s="2" t="str">
        <f>"CHAPA AÇO CARBONO 1200X2000X12,7MM"</f>
        <v>CHAPA AÇO CARBONO 1200X2000X12,7MM</v>
      </c>
      <c r="C5885" s="2" t="str">
        <f t="shared" si="231"/>
        <v>UN</v>
      </c>
      <c r="D5885" s="7">
        <v>1700</v>
      </c>
      <c r="E5885" s="3">
        <v>10</v>
      </c>
      <c r="F5885" s="3">
        <v>10</v>
      </c>
      <c r="G5885" t="s">
        <v>513</v>
      </c>
    </row>
    <row r="5886" spans="1:7" x14ac:dyDescent="0.25">
      <c r="A5886" s="1" t="str">
        <f>"517732"</f>
        <v>517732</v>
      </c>
      <c r="B5886" s="2" t="str">
        <f>"CHAPA ACO CARBONO 1200X3000X1MM"</f>
        <v>CHAPA ACO CARBONO 1200X3000X1MM</v>
      </c>
      <c r="C5886" s="2" t="str">
        <f t="shared" si="231"/>
        <v>UN</v>
      </c>
      <c r="D5886" s="7">
        <v>1700</v>
      </c>
      <c r="E5886" s="3">
        <v>10</v>
      </c>
      <c r="F5886" s="3">
        <v>10</v>
      </c>
      <c r="G5886" t="s">
        <v>512</v>
      </c>
    </row>
    <row r="5887" spans="1:7" x14ac:dyDescent="0.25">
      <c r="A5887" s="1" t="str">
        <f>"517971"</f>
        <v>517971</v>
      </c>
      <c r="B5887" s="2" t="str">
        <f>"CHAPA ACO CARBONO 1200X3000X2MM"</f>
        <v>CHAPA ACO CARBONO 1200X3000X2MM</v>
      </c>
      <c r="C5887" s="2" t="str">
        <f t="shared" si="231"/>
        <v>UN</v>
      </c>
      <c r="D5887" s="7">
        <v>1700</v>
      </c>
      <c r="E5887" s="3">
        <v>10</v>
      </c>
      <c r="F5887" s="3">
        <v>10</v>
      </c>
      <c r="G5887" t="s">
        <v>513</v>
      </c>
    </row>
    <row r="5888" spans="1:7" x14ac:dyDescent="0.25">
      <c r="A5888" s="1" t="str">
        <f>"510794"</f>
        <v>510794</v>
      </c>
      <c r="B5888" s="2" t="str">
        <f>"CHAPA ACO CARBONO 1200X6000X03MM"</f>
        <v>CHAPA ACO CARBONO 1200X6000X03MM</v>
      </c>
      <c r="C5888" s="2" t="str">
        <f>"PC"</f>
        <v>PC</v>
      </c>
      <c r="D5888" s="7">
        <v>806</v>
      </c>
      <c r="E5888" s="3">
        <v>10</v>
      </c>
      <c r="F5888" s="3">
        <v>10</v>
      </c>
      <c r="G5888" t="s">
        <v>514</v>
      </c>
    </row>
    <row r="5889" spans="1:7" x14ac:dyDescent="0.25">
      <c r="A5889" s="1" t="str">
        <f>"516093"</f>
        <v>516093</v>
      </c>
      <c r="B5889" s="2" t="str">
        <f>"CHAPA AÇO CARBONO 1500X2100X10MM"</f>
        <v>CHAPA AÇO CARBONO 1500X2100X10MM</v>
      </c>
      <c r="C5889" s="2" t="str">
        <f>"UN"</f>
        <v>UN</v>
      </c>
      <c r="D5889" s="7">
        <v>1700</v>
      </c>
      <c r="E5889" s="3">
        <v>10</v>
      </c>
      <c r="F5889" s="3">
        <v>10</v>
      </c>
      <c r="G5889" t="s">
        <v>515</v>
      </c>
    </row>
    <row r="5890" spans="1:7" x14ac:dyDescent="0.25">
      <c r="A5890" s="1" t="str">
        <f>"504150"</f>
        <v>504150</v>
      </c>
      <c r="B5890" s="2" t="str">
        <f>"CHAPA ACO CARBONO 1500X3000X8MM"</f>
        <v>CHAPA ACO CARBONO 1500X3000X8MM</v>
      </c>
      <c r="C5890" s="2" t="str">
        <f>"UN"</f>
        <v>UN</v>
      </c>
      <c r="D5890" s="7">
        <v>402</v>
      </c>
      <c r="E5890" s="3">
        <v>4</v>
      </c>
      <c r="F5890" s="3">
        <v>4</v>
      </c>
      <c r="G5890" t="s">
        <v>512</v>
      </c>
    </row>
    <row r="5891" spans="1:7" x14ac:dyDescent="0.25">
      <c r="A5891" s="1" t="str">
        <f>"509643"</f>
        <v>509643</v>
      </c>
      <c r="B5891" s="2" t="str">
        <f>"CHAPA AÇO CARBONO 1500X600X3MM ANT DERR"</f>
        <v>CHAPA AÇO CARBONO 1500X600X3MM ANT DERR</v>
      </c>
      <c r="C5891" s="2" t="str">
        <f>"UN"</f>
        <v>UN</v>
      </c>
      <c r="D5891" s="7">
        <v>917</v>
      </c>
      <c r="E5891" s="3">
        <v>11</v>
      </c>
      <c r="F5891" s="3">
        <v>11</v>
      </c>
      <c r="G5891" t="s">
        <v>516</v>
      </c>
    </row>
    <row r="5892" spans="1:7" x14ac:dyDescent="0.25">
      <c r="A5892" s="1" t="str">
        <f>"516239"</f>
        <v>516239</v>
      </c>
      <c r="B5892" s="2" t="str">
        <f>"CHAPA ACO CARBONO 1840X1910X6MM"</f>
        <v>CHAPA ACO CARBONO 1840X1910X6MM</v>
      </c>
      <c r="C5892" s="2" t="str">
        <f>"UN"</f>
        <v>UN</v>
      </c>
      <c r="D5892" s="7">
        <v>917</v>
      </c>
      <c r="E5892" s="3">
        <v>10</v>
      </c>
      <c r="F5892" s="3">
        <v>10</v>
      </c>
      <c r="G5892" t="s">
        <v>515</v>
      </c>
    </row>
    <row r="5893" spans="1:7" x14ac:dyDescent="0.25">
      <c r="A5893" s="1" t="str">
        <f>"506038"</f>
        <v>506038</v>
      </c>
      <c r="B5893" s="2" t="str">
        <f>"CHAPA ACO CARBONO 2000X1200X1,5MM"</f>
        <v>CHAPA ACO CARBONO 2000X1200X1,5MM</v>
      </c>
      <c r="C5893" s="2" t="str">
        <f>"PC"</f>
        <v>PC</v>
      </c>
      <c r="D5893" s="7">
        <v>806</v>
      </c>
      <c r="E5893" s="3">
        <v>10</v>
      </c>
      <c r="F5893" s="3">
        <v>10</v>
      </c>
      <c r="G5893" t="s">
        <v>514</v>
      </c>
    </row>
    <row r="5894" spans="1:7" x14ac:dyDescent="0.25">
      <c r="A5894" s="1" t="str">
        <f>"510414"</f>
        <v>510414</v>
      </c>
      <c r="B5894" s="2" t="str">
        <f>"CHAPA AÇO CARBONO 2000X1200X1/8"""</f>
        <v>CHAPA AÇO CARBONO 2000X1200X1/8"</v>
      </c>
      <c r="C5894" s="2" t="str">
        <f>"PC"</f>
        <v>PC</v>
      </c>
      <c r="D5894" s="7">
        <v>806</v>
      </c>
      <c r="E5894" s="3">
        <v>10</v>
      </c>
      <c r="F5894" s="3">
        <v>10</v>
      </c>
      <c r="G5894" t="s">
        <v>512</v>
      </c>
    </row>
    <row r="5895" spans="1:7" x14ac:dyDescent="0.25">
      <c r="A5895" s="1" t="str">
        <f>"506035"</f>
        <v>506035</v>
      </c>
      <c r="B5895" s="2" t="str">
        <f>"CHAPA ACO CARBONO 2000X1200X2MM"</f>
        <v>CHAPA ACO CARBONO 2000X1200X2MM</v>
      </c>
      <c r="C5895" s="2" t="str">
        <f>"PC"</f>
        <v>PC</v>
      </c>
      <c r="D5895" s="7">
        <v>806</v>
      </c>
      <c r="E5895" s="3">
        <v>10</v>
      </c>
      <c r="F5895" s="3">
        <v>10</v>
      </c>
      <c r="G5895" t="s">
        <v>513</v>
      </c>
    </row>
    <row r="5896" spans="1:7" x14ac:dyDescent="0.25">
      <c r="A5896" s="1" t="str">
        <f>"518244"</f>
        <v>518244</v>
      </c>
      <c r="B5896" s="2" t="str">
        <f>"CHAPA ACO CARBONO 200X550#1/4"</f>
        <v>CHAPA ACO CARBONO 200X550#1/4</v>
      </c>
      <c r="C5896" s="2" t="str">
        <f>"UN"</f>
        <v>UN</v>
      </c>
      <c r="D5896" s="7">
        <v>1700</v>
      </c>
      <c r="E5896" s="3">
        <v>10</v>
      </c>
      <c r="F5896" s="3">
        <v>10</v>
      </c>
      <c r="G5896" t="s">
        <v>514</v>
      </c>
    </row>
    <row r="5897" spans="1:7" x14ac:dyDescent="0.25">
      <c r="A5897" s="1" t="str">
        <f>"503400"</f>
        <v>503400</v>
      </c>
      <c r="B5897" s="2" t="str">
        <f>"CHAPA ACO CARBONO 2300X500 CHAPA 6MM"</f>
        <v>CHAPA ACO CARBONO 2300X500 CHAPA 6MM</v>
      </c>
      <c r="C5897" s="2" t="str">
        <f>"UN"</f>
        <v>UN</v>
      </c>
      <c r="D5897" s="7">
        <v>402</v>
      </c>
      <c r="E5897" s="3">
        <v>4</v>
      </c>
      <c r="F5897" s="3">
        <v>4</v>
      </c>
      <c r="G5897" t="s">
        <v>514</v>
      </c>
    </row>
    <row r="5898" spans="1:7" x14ac:dyDescent="0.25">
      <c r="A5898" s="1" t="str">
        <f>"509698"</f>
        <v>509698</v>
      </c>
      <c r="B5898" s="2" t="str">
        <f>"CHAPA AÇO CARBONO 3000X1200X3/16"""</f>
        <v>CHAPA AÇO CARBONO 3000X1200X3/16"</v>
      </c>
      <c r="C5898" s="2" t="str">
        <f>"UN"</f>
        <v>UN</v>
      </c>
      <c r="D5898" s="7">
        <v>917</v>
      </c>
      <c r="E5898" s="3">
        <v>11</v>
      </c>
      <c r="F5898" s="3">
        <v>11</v>
      </c>
      <c r="G5898" t="s">
        <v>512</v>
      </c>
    </row>
    <row r="5899" spans="1:7" x14ac:dyDescent="0.25">
      <c r="A5899" s="1" t="str">
        <f>"508163"</f>
        <v>508163</v>
      </c>
      <c r="B5899" s="2" t="str">
        <f>"CHAPA AÇO CARBONO 345X400#1/4"</f>
        <v>CHAPA AÇO CARBONO 345X400#1/4</v>
      </c>
      <c r="C5899" s="2" t="str">
        <f>"UN"</f>
        <v>UN</v>
      </c>
      <c r="D5899" s="7">
        <v>1700</v>
      </c>
      <c r="E5899" s="3">
        <v>13</v>
      </c>
      <c r="F5899" s="3">
        <v>13</v>
      </c>
      <c r="G5899" t="s">
        <v>513</v>
      </c>
    </row>
    <row r="5900" spans="1:7" x14ac:dyDescent="0.25">
      <c r="A5900" s="1" t="str">
        <f>"519034"</f>
        <v>519034</v>
      </c>
      <c r="B5900" s="2" t="str">
        <f>"CHAPA ACO CARBONO 405X400#1/4"""</f>
        <v>CHAPA ACO CARBONO 405X400#1/4"</v>
      </c>
      <c r="C5900" s="2" t="str">
        <f t="shared" ref="C5900:C5906" si="232">"PC"</f>
        <v>PC</v>
      </c>
      <c r="D5900" s="7">
        <v>806</v>
      </c>
      <c r="E5900" s="3">
        <v>10</v>
      </c>
      <c r="F5900" s="3">
        <v>10</v>
      </c>
      <c r="G5900" t="s">
        <v>514</v>
      </c>
    </row>
    <row r="5901" spans="1:7" x14ac:dyDescent="0.25">
      <c r="A5901" s="1" t="str">
        <f>"508028"</f>
        <v>508028</v>
      </c>
      <c r="B5901" s="2" t="str">
        <f>"CHAPA ACO CARBONO 450X550#1/4"</f>
        <v>CHAPA ACO CARBONO 450X550#1/4</v>
      </c>
      <c r="C5901" s="2" t="str">
        <f t="shared" si="232"/>
        <v>PC</v>
      </c>
      <c r="D5901" s="7">
        <v>806</v>
      </c>
      <c r="E5901" s="3">
        <v>10</v>
      </c>
      <c r="F5901" s="3">
        <v>10</v>
      </c>
      <c r="G5901" t="s">
        <v>514</v>
      </c>
    </row>
    <row r="5902" spans="1:7" x14ac:dyDescent="0.25">
      <c r="A5902" s="1" t="str">
        <f>"519267"</f>
        <v>519267</v>
      </c>
      <c r="B5902" s="2" t="str">
        <f>"CHAPA ACO CARBONO 480X100X3/8"""</f>
        <v>CHAPA ACO CARBONO 480X100X3/8"</v>
      </c>
      <c r="C5902" s="2" t="str">
        <f t="shared" si="232"/>
        <v>PC</v>
      </c>
      <c r="D5902" s="7">
        <v>806</v>
      </c>
      <c r="E5902" s="3">
        <v>10</v>
      </c>
      <c r="F5902" s="3">
        <v>10</v>
      </c>
      <c r="G5902" t="s">
        <v>514</v>
      </c>
    </row>
    <row r="5903" spans="1:7" x14ac:dyDescent="0.25">
      <c r="A5903" s="1" t="str">
        <f>"508026"</f>
        <v>508026</v>
      </c>
      <c r="B5903" s="2" t="str">
        <f>"CHAPA ACO CARBONO 500X500X1/4"""</f>
        <v>CHAPA ACO CARBONO 500X500X1/4"</v>
      </c>
      <c r="C5903" s="2" t="str">
        <f t="shared" si="232"/>
        <v>PC</v>
      </c>
      <c r="D5903" s="7">
        <v>806</v>
      </c>
      <c r="E5903" s="3">
        <v>10</v>
      </c>
      <c r="F5903" s="3">
        <v>10</v>
      </c>
      <c r="G5903" t="s">
        <v>513</v>
      </c>
    </row>
    <row r="5904" spans="1:7" x14ac:dyDescent="0.25">
      <c r="A5904" s="1" t="str">
        <f>"516515"</f>
        <v>516515</v>
      </c>
      <c r="B5904" s="2" t="str">
        <f>"CHAPA ACO CARBONO 520x790x1/4MM"</f>
        <v>CHAPA ACO CARBONO 520x790x1/4MM</v>
      </c>
      <c r="C5904" s="2" t="str">
        <f t="shared" si="232"/>
        <v>PC</v>
      </c>
      <c r="D5904" s="7">
        <v>806</v>
      </c>
      <c r="E5904" s="3">
        <v>10</v>
      </c>
      <c r="F5904" s="3">
        <v>10</v>
      </c>
      <c r="G5904" t="s">
        <v>512</v>
      </c>
    </row>
    <row r="5905" spans="1:7" x14ac:dyDescent="0.25">
      <c r="A5905" s="1" t="str">
        <f>"516516"</f>
        <v>516516</v>
      </c>
      <c r="B5905" s="2" t="str">
        <f>"CHAPA ACO CARBONO 550X770X1/4MM"</f>
        <v>CHAPA ACO CARBONO 550X770X1/4MM</v>
      </c>
      <c r="C5905" s="2" t="str">
        <f t="shared" si="232"/>
        <v>PC</v>
      </c>
      <c r="D5905" s="7">
        <v>806</v>
      </c>
      <c r="E5905" s="3">
        <v>10</v>
      </c>
      <c r="F5905" s="3">
        <v>10</v>
      </c>
      <c r="G5905" t="s">
        <v>513</v>
      </c>
    </row>
    <row r="5906" spans="1:7" x14ac:dyDescent="0.25">
      <c r="A5906" s="1" t="str">
        <f>"519268"</f>
        <v>519268</v>
      </c>
      <c r="B5906" s="2" t="str">
        <f>"CHAPA ACO CARBONO 560X250X3/8"""</f>
        <v>CHAPA ACO CARBONO 560X250X3/8"</v>
      </c>
      <c r="C5906" s="2" t="str">
        <f t="shared" si="232"/>
        <v>PC</v>
      </c>
      <c r="D5906" s="7">
        <v>806</v>
      </c>
      <c r="E5906" s="3">
        <v>10</v>
      </c>
      <c r="F5906" s="3">
        <v>10</v>
      </c>
      <c r="G5906" t="s">
        <v>514</v>
      </c>
    </row>
    <row r="5907" spans="1:7" x14ac:dyDescent="0.25">
      <c r="A5907" s="1" t="str">
        <f>"516241"</f>
        <v>516241</v>
      </c>
      <c r="B5907" s="2" t="str">
        <f>"CHAPA ACO CARBONO 600X1000X6MM"</f>
        <v>CHAPA ACO CARBONO 600X1000X6MM</v>
      </c>
      <c r="C5907" s="2" t="str">
        <f t="shared" ref="C5907:C5924" si="233">"UN"</f>
        <v>UN</v>
      </c>
      <c r="D5907" s="7">
        <v>917</v>
      </c>
      <c r="E5907" s="3">
        <v>10</v>
      </c>
      <c r="F5907" s="3">
        <v>10</v>
      </c>
      <c r="G5907" t="s">
        <v>514</v>
      </c>
    </row>
    <row r="5908" spans="1:7" x14ac:dyDescent="0.25">
      <c r="A5908" s="1" t="str">
        <f>"503907"</f>
        <v>503907</v>
      </c>
      <c r="B5908" s="2" t="str">
        <f>"CHAPA ACO CARBONO 80X80 CHAPA 2MM"</f>
        <v>CHAPA ACO CARBONO 80X80 CHAPA 2MM</v>
      </c>
      <c r="C5908" s="2" t="str">
        <f t="shared" si="233"/>
        <v>UN</v>
      </c>
      <c r="D5908" s="7">
        <v>402</v>
      </c>
      <c r="E5908" s="3">
        <v>4</v>
      </c>
      <c r="F5908" s="3">
        <v>4</v>
      </c>
      <c r="G5908" t="s">
        <v>514</v>
      </c>
    </row>
    <row r="5909" spans="1:7" x14ac:dyDescent="0.25">
      <c r="A5909" s="1" t="str">
        <f>"509342"</f>
        <v>509342</v>
      </c>
      <c r="B5909" s="2" t="str">
        <f>"CHAPA ACO CARBONO 90X10031/4"</f>
        <v>CHAPA ACO CARBONO 90X10031/4</v>
      </c>
      <c r="C5909" s="2" t="str">
        <f t="shared" si="233"/>
        <v>UN</v>
      </c>
      <c r="D5909" s="7">
        <v>704</v>
      </c>
      <c r="E5909" s="3">
        <v>9</v>
      </c>
      <c r="F5909" s="3">
        <v>9</v>
      </c>
      <c r="G5909" t="s">
        <v>513</v>
      </c>
    </row>
    <row r="5910" spans="1:7" x14ac:dyDescent="0.25">
      <c r="A5910" s="1" t="str">
        <f>"520668"</f>
        <v>520668</v>
      </c>
      <c r="B5910" s="2" t="str">
        <f>"CHAPA AÇO INOX MODELADA P/ AMAROK"</f>
        <v>CHAPA AÇO INOX MODELADA P/ AMAROK</v>
      </c>
      <c r="C5910" s="2" t="str">
        <f t="shared" si="233"/>
        <v>UN</v>
      </c>
      <c r="D5910" s="7">
        <v>99999</v>
      </c>
      <c r="E5910" s="3">
        <v>99</v>
      </c>
      <c r="F5910" s="3">
        <v>99</v>
      </c>
      <c r="G5910" t="s">
        <v>513</v>
      </c>
    </row>
    <row r="5911" spans="1:7" x14ac:dyDescent="0.25">
      <c r="A5911" s="1" t="str">
        <f>"502281"</f>
        <v>502281</v>
      </c>
      <c r="B5911" s="2" t="str">
        <f>"CHAPA ACRILICA TRANSP. 2000X1000X04MM"</f>
        <v>CHAPA ACRILICA TRANSP. 2000X1000X04MM</v>
      </c>
      <c r="C5911" s="2" t="str">
        <f t="shared" si="233"/>
        <v>UN</v>
      </c>
      <c r="D5911" s="7">
        <v>402</v>
      </c>
      <c r="E5911" s="3">
        <v>4</v>
      </c>
      <c r="F5911" s="3">
        <v>4</v>
      </c>
      <c r="G5911" t="s">
        <v>513</v>
      </c>
    </row>
    <row r="5912" spans="1:7" x14ac:dyDescent="0.25">
      <c r="A5912" s="1" t="str">
        <f>"516109"</f>
        <v>516109</v>
      </c>
      <c r="B5912" s="2" t="str">
        <f>"CHAPA ACRILICO 2000X1200X06MM"</f>
        <v>CHAPA ACRILICO 2000X1200X06MM</v>
      </c>
      <c r="C5912" s="2" t="str">
        <f t="shared" si="233"/>
        <v>UN</v>
      </c>
      <c r="D5912" s="7">
        <v>918</v>
      </c>
      <c r="E5912" s="3">
        <v>10</v>
      </c>
      <c r="F5912" s="3">
        <v>10</v>
      </c>
      <c r="G5912" t="s">
        <v>512</v>
      </c>
    </row>
    <row r="5913" spans="1:7" x14ac:dyDescent="0.25">
      <c r="A5913" s="1" t="str">
        <f>"516108"</f>
        <v>516108</v>
      </c>
      <c r="B5913" s="2" t="str">
        <f>"CHAPA ACRILICO 2000X1200X08MM"</f>
        <v>CHAPA ACRILICO 2000X1200X08MM</v>
      </c>
      <c r="C5913" s="2" t="str">
        <f t="shared" si="233"/>
        <v>UN</v>
      </c>
      <c r="D5913" s="7">
        <v>918</v>
      </c>
      <c r="E5913" s="3">
        <v>10</v>
      </c>
      <c r="F5913" s="3">
        <v>10</v>
      </c>
      <c r="G5913" t="s">
        <v>513</v>
      </c>
    </row>
    <row r="5914" spans="1:7" x14ac:dyDescent="0.25">
      <c r="A5914" s="1" t="str">
        <f>"526466"</f>
        <v>526466</v>
      </c>
      <c r="B5914" s="2" t="str">
        <f>"CHAPA ACRILICO CRISTAL 2000X1000X20MM"</f>
        <v>CHAPA ACRILICO CRISTAL 2000X1000X20MM</v>
      </c>
      <c r="C5914" s="2" t="str">
        <f t="shared" si="233"/>
        <v>UN</v>
      </c>
      <c r="D5914" s="7">
        <v>918</v>
      </c>
      <c r="E5914" s="3">
        <v>11</v>
      </c>
      <c r="F5914" s="3">
        <v>11</v>
      </c>
      <c r="G5914" t="s">
        <v>514</v>
      </c>
    </row>
    <row r="5915" spans="1:7" x14ac:dyDescent="0.25">
      <c r="A5915" s="1" t="str">
        <f>"523789"</f>
        <v>523789</v>
      </c>
      <c r="B5915" s="2" t="str">
        <f>"CHAPA ALUMINIO"</f>
        <v>CHAPA ALUMINIO</v>
      </c>
      <c r="C5915" s="2" t="str">
        <f t="shared" si="233"/>
        <v>UN</v>
      </c>
      <c r="D5915" s="7">
        <v>99999</v>
      </c>
      <c r="E5915" s="3">
        <v>99</v>
      </c>
      <c r="F5915" s="3">
        <v>99</v>
      </c>
      <c r="G5915" t="s">
        <v>515</v>
      </c>
    </row>
    <row r="5916" spans="1:7" x14ac:dyDescent="0.25">
      <c r="A5916" s="1" t="str">
        <f>"519807"</f>
        <v>519807</v>
      </c>
      <c r="B5916" s="2" t="str">
        <f>"CHAPA ALUMINIO 1000X115X12,7MM"</f>
        <v>CHAPA ALUMINIO 1000X115X12,7MM</v>
      </c>
      <c r="C5916" s="2" t="str">
        <f t="shared" si="233"/>
        <v>UN</v>
      </c>
      <c r="D5916" s="7">
        <v>918</v>
      </c>
      <c r="E5916" s="3">
        <v>11</v>
      </c>
      <c r="F5916" s="3">
        <v>11</v>
      </c>
      <c r="G5916" t="s">
        <v>512</v>
      </c>
    </row>
    <row r="5917" spans="1:7" x14ac:dyDescent="0.25">
      <c r="A5917" s="1" t="str">
        <f>"519852"</f>
        <v>519852</v>
      </c>
      <c r="B5917" s="2" t="str">
        <f>"CHAPA ALUMINIO 700X100X12,7MM"</f>
        <v>CHAPA ALUMINIO 700X100X12,7MM</v>
      </c>
      <c r="C5917" s="2" t="str">
        <f t="shared" si="233"/>
        <v>UN</v>
      </c>
      <c r="D5917" s="7">
        <v>918</v>
      </c>
      <c r="E5917" s="3">
        <v>11</v>
      </c>
      <c r="F5917" s="3">
        <v>11</v>
      </c>
      <c r="G5917" t="s">
        <v>516</v>
      </c>
    </row>
    <row r="5918" spans="1:7" x14ac:dyDescent="0.25">
      <c r="A5918" s="1" t="str">
        <f>"519764"</f>
        <v>519764</v>
      </c>
      <c r="B5918" s="2" t="str">
        <f>"CHAPA ALUMINIO 7075 2 1/2"" X 242 X 278MM"</f>
        <v>CHAPA ALUMINIO 7075 2 1/2" X 242 X 278MM</v>
      </c>
      <c r="C5918" s="2" t="str">
        <f t="shared" si="233"/>
        <v>UN</v>
      </c>
      <c r="D5918" s="7">
        <v>918</v>
      </c>
      <c r="E5918" s="3">
        <v>11</v>
      </c>
      <c r="F5918" s="3">
        <v>11</v>
      </c>
      <c r="G5918" t="s">
        <v>515</v>
      </c>
    </row>
    <row r="5919" spans="1:7" x14ac:dyDescent="0.25">
      <c r="A5919" s="1" t="str">
        <f>"519415"</f>
        <v>519415</v>
      </c>
      <c r="B5919" s="2" t="str">
        <f>"CHAPA ALUMINIO 7075 63,50X140X513MM (MOLDE 100)"</f>
        <v>CHAPA ALUMINIO 7075 63,50X140X513MM (MOLDE 100)</v>
      </c>
      <c r="C5919" s="2" t="str">
        <f t="shared" si="233"/>
        <v>UN</v>
      </c>
      <c r="D5919" s="7">
        <v>918</v>
      </c>
      <c r="E5919" s="3">
        <v>11</v>
      </c>
      <c r="F5919" s="3">
        <v>11</v>
      </c>
      <c r="G5919" t="s">
        <v>514</v>
      </c>
    </row>
    <row r="5920" spans="1:7" x14ac:dyDescent="0.25">
      <c r="A5920" s="1" t="str">
        <f>"519416"</f>
        <v>519416</v>
      </c>
      <c r="B5920" s="2" t="str">
        <f>"CHAPA ALUMINIO 7075 63,50X63,50X196MM (MOLDE 101)"</f>
        <v>CHAPA ALUMINIO 7075 63,50X63,50X196MM (MOLDE 101)</v>
      </c>
      <c r="C5920" s="2" t="str">
        <f t="shared" si="233"/>
        <v>UN</v>
      </c>
      <c r="D5920" s="7">
        <v>918</v>
      </c>
      <c r="E5920" s="3">
        <v>11</v>
      </c>
      <c r="F5920" s="3">
        <v>11</v>
      </c>
      <c r="G5920" t="s">
        <v>512</v>
      </c>
    </row>
    <row r="5921" spans="1:7" x14ac:dyDescent="0.25">
      <c r="A5921" s="1" t="str">
        <f>"519765"</f>
        <v>519765</v>
      </c>
      <c r="B5921" s="2" t="str">
        <f>"CHAPA ALUMINIO 7075 65 X 127 X 390MM"</f>
        <v>CHAPA ALUMINIO 7075 65 X 127 X 390MM</v>
      </c>
      <c r="C5921" s="2" t="str">
        <f t="shared" si="233"/>
        <v>UN</v>
      </c>
      <c r="D5921" s="7">
        <v>918</v>
      </c>
      <c r="E5921" s="3">
        <v>11</v>
      </c>
      <c r="F5921" s="3">
        <v>11</v>
      </c>
      <c r="G5921" t="s">
        <v>513</v>
      </c>
    </row>
    <row r="5922" spans="1:7" x14ac:dyDescent="0.25">
      <c r="A5922" s="1" t="str">
        <f>"519413"</f>
        <v>519413</v>
      </c>
      <c r="B5922" s="2" t="str">
        <f>"CHAPA ALUMINIO 7075 76,20X130X503MM (MOLDE 98)"</f>
        <v>CHAPA ALUMINIO 7075 76,20X130X503MM (MOLDE 98)</v>
      </c>
      <c r="C5922" s="2" t="str">
        <f t="shared" si="233"/>
        <v>UN</v>
      </c>
      <c r="D5922" s="7">
        <v>918</v>
      </c>
      <c r="E5922" s="3">
        <v>11</v>
      </c>
      <c r="F5922" s="3">
        <v>11</v>
      </c>
      <c r="G5922" t="s">
        <v>514</v>
      </c>
    </row>
    <row r="5923" spans="1:7" x14ac:dyDescent="0.25">
      <c r="A5923" s="1" t="str">
        <f>"519414"</f>
        <v>519414</v>
      </c>
      <c r="B5923" s="2" t="str">
        <f>"CHAPA ALUMINIO 7075 76,20X160X503MM (MOLDE 99)"</f>
        <v>CHAPA ALUMINIO 7075 76,20X160X503MM (MOLDE 99)</v>
      </c>
      <c r="C5923" s="2" t="str">
        <f t="shared" si="233"/>
        <v>UN</v>
      </c>
      <c r="D5923" s="7">
        <v>918</v>
      </c>
      <c r="E5923" s="3">
        <v>11</v>
      </c>
      <c r="F5923" s="3">
        <v>11</v>
      </c>
      <c r="G5923" t="s">
        <v>514</v>
      </c>
    </row>
    <row r="5924" spans="1:7" x14ac:dyDescent="0.25">
      <c r="A5924" s="1" t="str">
        <f>"519449"</f>
        <v>519449</v>
      </c>
      <c r="B5924" s="2" t="str">
        <f>"CHAPA ALUMINIO 7075 88,90X230X425MM"</f>
        <v>CHAPA ALUMINIO 7075 88,90X230X425MM</v>
      </c>
      <c r="C5924" s="2" t="str">
        <f t="shared" si="233"/>
        <v>UN</v>
      </c>
      <c r="D5924" s="7">
        <v>918</v>
      </c>
      <c r="E5924" s="3">
        <v>11</v>
      </c>
      <c r="F5924" s="3">
        <v>11</v>
      </c>
      <c r="G5924" t="s">
        <v>512</v>
      </c>
    </row>
    <row r="5925" spans="1:7" x14ac:dyDescent="0.25">
      <c r="A5925" s="1" t="str">
        <f>"509829"</f>
        <v>509829</v>
      </c>
      <c r="B5925" s="2" t="str">
        <f>"CHAPA ANTIDERRAPANTE 1700X800X3MM"</f>
        <v>CHAPA ANTIDERRAPANTE 1700X800X3MM</v>
      </c>
      <c r="C5925" s="2" t="str">
        <f>"PC"</f>
        <v>PC</v>
      </c>
      <c r="D5925" s="7">
        <v>806</v>
      </c>
      <c r="E5925" s="3">
        <v>10</v>
      </c>
      <c r="F5925" s="3">
        <v>10</v>
      </c>
      <c r="G5925" t="s">
        <v>513</v>
      </c>
    </row>
    <row r="5926" spans="1:7" x14ac:dyDescent="0.25">
      <c r="A5926" s="1" t="str">
        <f>"509600"</f>
        <v>509600</v>
      </c>
      <c r="B5926" s="2" t="str">
        <f>"CHAPA ANTIDERRAPANTE 800X200X30X3MM"</f>
        <v>CHAPA ANTIDERRAPANTE 800X200X30X3MM</v>
      </c>
      <c r="C5926" s="2" t="str">
        <f>"PC"</f>
        <v>PC</v>
      </c>
      <c r="D5926" s="7">
        <v>806</v>
      </c>
      <c r="E5926" s="3">
        <v>10</v>
      </c>
      <c r="F5926" s="3">
        <v>10</v>
      </c>
      <c r="G5926" t="s">
        <v>514</v>
      </c>
    </row>
    <row r="5927" spans="1:7" x14ac:dyDescent="0.25">
      <c r="A5927" s="1" t="str">
        <f>"519897"</f>
        <v>519897</v>
      </c>
      <c r="B5927" s="2" t="str">
        <f>"CHAPA CABINE CARGO DIANTSUP"</f>
        <v>CHAPA CABINE CARGO DIANTSUP</v>
      </c>
      <c r="C5927" s="2" t="str">
        <f>"UN"</f>
        <v>UN</v>
      </c>
      <c r="D5927" s="7">
        <v>704</v>
      </c>
      <c r="E5927" s="3">
        <v>9</v>
      </c>
      <c r="F5927" s="3">
        <v>9</v>
      </c>
      <c r="G5927" t="s">
        <v>514</v>
      </c>
    </row>
    <row r="5928" spans="1:7" x14ac:dyDescent="0.25">
      <c r="A5928" s="1" t="str">
        <f>"516061"</f>
        <v>516061</v>
      </c>
      <c r="B5928" s="2" t="str">
        <f>"CHAPA CALANDRADA 6600MMX1MM DIAMETRO 2800MM"</f>
        <v>CHAPA CALANDRADA 6600MMX1MM DIAMETRO 2800MM</v>
      </c>
      <c r="C5928" s="2" t="str">
        <f>"UN"</f>
        <v>UN</v>
      </c>
      <c r="D5928" s="7">
        <v>99999</v>
      </c>
      <c r="E5928" s="3">
        <v>99</v>
      </c>
      <c r="F5928" s="3">
        <v>99</v>
      </c>
      <c r="G5928" t="s">
        <v>514</v>
      </c>
    </row>
    <row r="5929" spans="1:7" x14ac:dyDescent="0.25">
      <c r="A5929" s="1" t="str">
        <f>"516060"</f>
        <v>516060</v>
      </c>
      <c r="B5929" s="2" t="str">
        <f>"CHAPA CALANDRADA 6600MMX4MM DIAMETRO 2500MM"</f>
        <v>CHAPA CALANDRADA 6600MMX4MM DIAMETRO 2500MM</v>
      </c>
      <c r="C5929" s="2" t="str">
        <f>"UN"</f>
        <v>UN</v>
      </c>
      <c r="D5929" s="7">
        <v>99999</v>
      </c>
      <c r="E5929" s="3">
        <v>99</v>
      </c>
      <c r="F5929" s="3">
        <v>99</v>
      </c>
      <c r="G5929" t="s">
        <v>513</v>
      </c>
    </row>
    <row r="5930" spans="1:7" x14ac:dyDescent="0.25">
      <c r="A5930" s="1" t="str">
        <f>"522912"</f>
        <v>522912</v>
      </c>
      <c r="B5930" s="2" t="str">
        <f>"CHAPA COMPENSADA PLASTIFICADA 1,10M X 2,20M X15MM"</f>
        <v>CHAPA COMPENSADA PLASTIFICADA 1,10M X 2,20M X15MM</v>
      </c>
      <c r="C5930" s="2" t="str">
        <f>"UN"</f>
        <v>UN</v>
      </c>
      <c r="D5930" s="7">
        <v>917</v>
      </c>
      <c r="E5930" s="3">
        <v>10</v>
      </c>
      <c r="F5930" s="3">
        <v>10</v>
      </c>
      <c r="G5930" t="s">
        <v>512</v>
      </c>
    </row>
    <row r="5931" spans="1:7" x14ac:dyDescent="0.25">
      <c r="A5931" s="1" t="str">
        <f>"505857"</f>
        <v>505857</v>
      </c>
      <c r="B5931" s="2" t="str">
        <f>"CHAPA CORTE/DOBRA 1/4"""</f>
        <v>CHAPA CORTE/DOBRA 1/4"</v>
      </c>
      <c r="C5931" s="2" t="str">
        <f>"PC"</f>
        <v>PC</v>
      </c>
      <c r="D5931" s="7">
        <v>806</v>
      </c>
      <c r="E5931" s="3">
        <v>10</v>
      </c>
      <c r="F5931" s="3">
        <v>10</v>
      </c>
      <c r="G5931" t="s">
        <v>513</v>
      </c>
    </row>
    <row r="5932" spans="1:7" x14ac:dyDescent="0.25">
      <c r="A5932" s="1" t="str">
        <f>"510196"</f>
        <v>510196</v>
      </c>
      <c r="B5932" s="2" t="str">
        <f>"CHAPA DE 30 X 30 X 1/4 ACO CARBONO"</f>
        <v>CHAPA DE 30 X 30 X 1/4 ACO CARBONO</v>
      </c>
      <c r="C5932" s="2" t="str">
        <f>"UN"</f>
        <v>UN</v>
      </c>
      <c r="D5932" s="7">
        <v>917</v>
      </c>
      <c r="E5932" s="3">
        <v>11</v>
      </c>
      <c r="F5932" s="3">
        <v>11</v>
      </c>
      <c r="G5932" t="s">
        <v>514</v>
      </c>
    </row>
    <row r="5933" spans="1:7" x14ac:dyDescent="0.25">
      <c r="A5933" s="1" t="str">
        <f>"501467"</f>
        <v>501467</v>
      </c>
      <c r="B5933" s="2" t="str">
        <f>"CHAPA DE AÇO CARBONO 2 X 1 MTS X 1/4"""</f>
        <v>CHAPA DE AÇO CARBONO 2 X 1 MTS X 1/4"</v>
      </c>
      <c r="C5933" s="2" t="str">
        <f>"UN"</f>
        <v>UN</v>
      </c>
      <c r="D5933" s="7">
        <v>403</v>
      </c>
      <c r="E5933" s="3">
        <v>4</v>
      </c>
      <c r="F5933" s="3">
        <v>4</v>
      </c>
      <c r="G5933" t="s">
        <v>514</v>
      </c>
    </row>
    <row r="5934" spans="1:7" x14ac:dyDescent="0.25">
      <c r="A5934" s="1" t="str">
        <f>"522218"</f>
        <v>522218</v>
      </c>
      <c r="B5934" s="2" t="str">
        <f>"CHAPA DE AÇO GALV. 100X100X2MM"</f>
        <v>CHAPA DE AÇO GALV. 100X100X2MM</v>
      </c>
      <c r="C5934" s="2" t="str">
        <f>"PC"</f>
        <v>PC</v>
      </c>
      <c r="D5934" s="7">
        <v>806</v>
      </c>
      <c r="E5934" s="3">
        <v>10</v>
      </c>
      <c r="F5934" s="3">
        <v>10</v>
      </c>
      <c r="G5934" t="s">
        <v>514</v>
      </c>
    </row>
    <row r="5935" spans="1:7" x14ac:dyDescent="0.25">
      <c r="A5935" s="1" t="str">
        <f>"510642"</f>
        <v>510642</v>
      </c>
      <c r="B5935" s="2" t="str">
        <f>"CHAPA DE AÇO GALV. 250X250X3MM"</f>
        <v>CHAPA DE AÇO GALV. 250X250X3MM</v>
      </c>
      <c r="C5935" s="2" t="str">
        <f>"PC"</f>
        <v>PC</v>
      </c>
      <c r="D5935" s="7">
        <v>806</v>
      </c>
      <c r="E5935" s="3">
        <v>10</v>
      </c>
      <c r="F5935" s="3">
        <v>10</v>
      </c>
      <c r="G5935" t="s">
        <v>513</v>
      </c>
    </row>
    <row r="5936" spans="1:7" x14ac:dyDescent="0.25">
      <c r="A5936" s="1" t="str">
        <f>"509780"</f>
        <v>509780</v>
      </c>
      <c r="B5936" s="2" t="str">
        <f>"CHAPA DE CARBONO 1,20 X 3MT X 2MM"</f>
        <v>CHAPA DE CARBONO 1,20 X 3MT X 2MM</v>
      </c>
      <c r="C5936" s="2" t="str">
        <f t="shared" ref="C5936:C5941" si="234">"UN"</f>
        <v>UN</v>
      </c>
      <c r="D5936" s="7">
        <v>403</v>
      </c>
      <c r="E5936" s="3">
        <v>4</v>
      </c>
      <c r="F5936" s="3">
        <v>4</v>
      </c>
      <c r="G5936" t="s">
        <v>513</v>
      </c>
    </row>
    <row r="5937" spans="1:7" x14ac:dyDescent="0.25">
      <c r="A5937" s="1" t="str">
        <f>"510436"</f>
        <v>510436</v>
      </c>
      <c r="B5937" s="2" t="str">
        <f>"CHAPA DE CELERON 200X60X30MM"</f>
        <v>CHAPA DE CELERON 200X60X30MM</v>
      </c>
      <c r="C5937" s="2" t="str">
        <f t="shared" si="234"/>
        <v>UN</v>
      </c>
      <c r="D5937" s="7">
        <v>918</v>
      </c>
      <c r="E5937" s="3">
        <v>11</v>
      </c>
      <c r="F5937" s="3">
        <v>11</v>
      </c>
      <c r="G5937" t="s">
        <v>513</v>
      </c>
    </row>
    <row r="5938" spans="1:7" x14ac:dyDescent="0.25">
      <c r="A5938" s="1" t="str">
        <f>"510992"</f>
        <v>510992</v>
      </c>
      <c r="B5938" s="2" t="str">
        <f>"CHAPA DE CELERON 250X150X20MM"</f>
        <v>CHAPA DE CELERON 250X150X20MM</v>
      </c>
      <c r="C5938" s="2" t="str">
        <f t="shared" si="234"/>
        <v>UN</v>
      </c>
      <c r="D5938" s="7">
        <v>402</v>
      </c>
      <c r="E5938" s="3">
        <v>4</v>
      </c>
      <c r="F5938" s="3">
        <v>4</v>
      </c>
      <c r="G5938" t="s">
        <v>512</v>
      </c>
    </row>
    <row r="5939" spans="1:7" x14ac:dyDescent="0.25">
      <c r="A5939" s="1" t="str">
        <f>"509464"</f>
        <v>509464</v>
      </c>
      <c r="B5939" s="2" t="str">
        <f>"CHAPA DE CELERON 500X500X10MM"</f>
        <v>CHAPA DE CELERON 500X500X10MM</v>
      </c>
      <c r="C5939" s="2" t="str">
        <f t="shared" si="234"/>
        <v>UN</v>
      </c>
      <c r="D5939" s="7">
        <v>918</v>
      </c>
      <c r="E5939" s="3">
        <v>11</v>
      </c>
      <c r="F5939" s="3">
        <v>11</v>
      </c>
      <c r="G5939" t="s">
        <v>513</v>
      </c>
    </row>
    <row r="5940" spans="1:7" x14ac:dyDescent="0.25">
      <c r="A5940" s="1" t="str">
        <f>"513892"</f>
        <v>513892</v>
      </c>
      <c r="B5940" s="2" t="str">
        <f>"CHAPA DE FERRO"</f>
        <v>CHAPA DE FERRO</v>
      </c>
      <c r="C5940" s="2" t="str">
        <f t="shared" si="234"/>
        <v>UN</v>
      </c>
      <c r="D5940" s="7">
        <v>704</v>
      </c>
      <c r="E5940" s="3">
        <v>9</v>
      </c>
      <c r="F5940" s="3">
        <v>9</v>
      </c>
      <c r="G5940" t="s">
        <v>514</v>
      </c>
    </row>
    <row r="5941" spans="1:7" x14ac:dyDescent="0.25">
      <c r="A5941" s="1" t="str">
        <f>"509397"</f>
        <v>509397</v>
      </c>
      <c r="B5941" s="2" t="str">
        <f>"CHAPA DE FERRO 1/4"</f>
        <v>CHAPA DE FERRO 1/4</v>
      </c>
      <c r="C5941" s="2" t="str">
        <f t="shared" si="234"/>
        <v>UN</v>
      </c>
      <c r="D5941" s="7">
        <v>704</v>
      </c>
      <c r="E5941" s="3">
        <v>9</v>
      </c>
      <c r="F5941" s="3">
        <v>9</v>
      </c>
      <c r="G5941" t="s">
        <v>515</v>
      </c>
    </row>
    <row r="5942" spans="1:7" x14ac:dyDescent="0.25">
      <c r="A5942" s="1" t="str">
        <f>"507944"</f>
        <v>507944</v>
      </c>
      <c r="B5942" s="2" t="str">
        <f>"CHAPA DE FERRO 3MM"</f>
        <v>CHAPA DE FERRO 3MM</v>
      </c>
      <c r="C5942" s="2" t="str">
        <f>"PC"</f>
        <v>PC</v>
      </c>
      <c r="D5942" s="7">
        <v>806</v>
      </c>
      <c r="E5942" s="3">
        <v>10</v>
      </c>
      <c r="F5942" s="3">
        <v>10</v>
      </c>
      <c r="G5942" t="s">
        <v>512</v>
      </c>
    </row>
    <row r="5943" spans="1:7" x14ac:dyDescent="0.25">
      <c r="A5943" s="1" t="str">
        <f>"527078"</f>
        <v>527078</v>
      </c>
      <c r="B5943" s="2" t="str">
        <f>"CHAPA DE INOX"</f>
        <v>CHAPA DE INOX</v>
      </c>
      <c r="C5943" s="2" t="str">
        <f>"UN"</f>
        <v>UN</v>
      </c>
      <c r="D5943" s="7">
        <v>1500</v>
      </c>
      <c r="E5943" s="3">
        <v>13</v>
      </c>
      <c r="F5943" s="3">
        <v>13</v>
      </c>
      <c r="G5943" t="s">
        <v>516</v>
      </c>
    </row>
    <row r="5944" spans="1:7" x14ac:dyDescent="0.25">
      <c r="A5944" s="1" t="str">
        <f>"513400"</f>
        <v>513400</v>
      </c>
      <c r="B5944" s="2" t="str">
        <f>"CHAPA DE SEGURANCA"</f>
        <v>CHAPA DE SEGURANCA</v>
      </c>
      <c r="C5944" s="2" t="str">
        <f>"UN"</f>
        <v>UN</v>
      </c>
      <c r="D5944" s="7">
        <v>704</v>
      </c>
      <c r="E5944" s="3">
        <v>9</v>
      </c>
      <c r="F5944" s="3">
        <v>9</v>
      </c>
      <c r="G5944" t="s">
        <v>515</v>
      </c>
    </row>
    <row r="5945" spans="1:7" x14ac:dyDescent="0.25">
      <c r="A5945" s="1" t="str">
        <f>"503272"</f>
        <v>503272</v>
      </c>
      <c r="B5945" s="2" t="str">
        <f>"CHAPA EM ACO GALVONIZADA 30X30CMX1/4"""</f>
        <v>CHAPA EM ACO GALVONIZADA 30X30CMX1/4"</v>
      </c>
      <c r="C5945" s="2" t="str">
        <f>"UN"</f>
        <v>UN</v>
      </c>
      <c r="D5945" s="7">
        <v>402</v>
      </c>
      <c r="E5945" s="3">
        <v>4</v>
      </c>
      <c r="F5945" s="3">
        <v>4</v>
      </c>
      <c r="G5945" t="s">
        <v>514</v>
      </c>
    </row>
    <row r="5946" spans="1:7" x14ac:dyDescent="0.25">
      <c r="A5946" s="1" t="str">
        <f>"503271"</f>
        <v>503271</v>
      </c>
      <c r="B5946" s="2" t="str">
        <f>"CHAPA EM ACO GALVONIZADO 1,30X0,50X1/4"""</f>
        <v>CHAPA EM ACO GALVONIZADO 1,30X0,50X1/4"</v>
      </c>
      <c r="C5946" s="2" t="str">
        <f>"UN"</f>
        <v>UN</v>
      </c>
      <c r="D5946" s="7">
        <v>402</v>
      </c>
      <c r="E5946" s="3">
        <v>4</v>
      </c>
      <c r="F5946" s="3">
        <v>4</v>
      </c>
      <c r="G5946" t="s">
        <v>512</v>
      </c>
    </row>
    <row r="5947" spans="1:7" x14ac:dyDescent="0.25">
      <c r="A5947" s="1" t="str">
        <f>"523211"</f>
        <v>523211</v>
      </c>
      <c r="B5947" s="2" t="str">
        <f>"CHAPA EM INOX 150X100X1/8"</f>
        <v>CHAPA EM INOX 150X100X1/8</v>
      </c>
      <c r="C5947" s="2" t="str">
        <f>"PÇ"</f>
        <v>PÇ</v>
      </c>
      <c r="D5947" s="7">
        <v>811</v>
      </c>
      <c r="E5947" s="3">
        <v>10</v>
      </c>
      <c r="F5947" s="3">
        <v>10</v>
      </c>
      <c r="G5947" t="s">
        <v>513</v>
      </c>
    </row>
    <row r="5948" spans="1:7" x14ac:dyDescent="0.25">
      <c r="A5948" s="1" t="str">
        <f>"521677"</f>
        <v>521677</v>
      </c>
      <c r="B5948" s="2" t="str">
        <f>"CHAPA EM INOX 304 1,2MM MED. 878 X 892 X 1,5MM"</f>
        <v>CHAPA EM INOX 304 1,2MM MED. 878 X 892 X 1,5MM</v>
      </c>
      <c r="C5948" s="2" t="str">
        <f>"UN"</f>
        <v>UN</v>
      </c>
      <c r="D5948" s="7">
        <v>99999</v>
      </c>
      <c r="E5948" s="3">
        <v>99</v>
      </c>
      <c r="F5948" s="3">
        <v>99</v>
      </c>
      <c r="G5948" t="s">
        <v>514</v>
      </c>
    </row>
    <row r="5949" spans="1:7" x14ac:dyDescent="0.25">
      <c r="A5949" s="1" t="str">
        <f>"523210"</f>
        <v>523210</v>
      </c>
      <c r="B5949" s="2" t="str">
        <f>"CHAPA EM INOX 4""X2""X3/16"</f>
        <v>CHAPA EM INOX 4"X2"X3/16</v>
      </c>
      <c r="C5949" s="2" t="str">
        <f>"PÇ"</f>
        <v>PÇ</v>
      </c>
      <c r="D5949" s="7">
        <v>811</v>
      </c>
      <c r="E5949" s="3">
        <v>10</v>
      </c>
      <c r="F5949" s="3">
        <v>10</v>
      </c>
      <c r="G5949" t="s">
        <v>514</v>
      </c>
    </row>
    <row r="5950" spans="1:7" x14ac:dyDescent="0.25">
      <c r="A5950" s="1" t="str">
        <f>"502862"</f>
        <v>502862</v>
      </c>
      <c r="B5950" s="2" t="str">
        <f>"CHAPA ENRIGECIDA DE PAREDE 2,26MM DE 4"""</f>
        <v>CHAPA ENRIGECIDA DE PAREDE 2,26MM DE 4"</v>
      </c>
      <c r="C5950" s="2" t="str">
        <f>"UN"</f>
        <v>UN</v>
      </c>
      <c r="D5950" s="7">
        <v>402</v>
      </c>
      <c r="E5950" s="3">
        <v>4</v>
      </c>
      <c r="F5950" s="3">
        <v>4</v>
      </c>
      <c r="G5950" t="s">
        <v>512</v>
      </c>
    </row>
    <row r="5951" spans="1:7" x14ac:dyDescent="0.25">
      <c r="A5951" s="1" t="str">
        <f>"516117"</f>
        <v>516117</v>
      </c>
      <c r="B5951" s="2" t="str">
        <f>"CHAPA EXP. INOX 304 1000X1200X5MM - MALHA 38,0 X 75,00MM"</f>
        <v>CHAPA EXP. INOX 304 1000X1200X5MM - MALHA 38,0 X 75,00MM</v>
      </c>
      <c r="C5951" s="2" t="str">
        <f>"UN"</f>
        <v>UN</v>
      </c>
      <c r="D5951" s="7">
        <v>807</v>
      </c>
      <c r="E5951" s="3">
        <v>10</v>
      </c>
      <c r="F5951" s="3">
        <v>10</v>
      </c>
      <c r="G5951" t="s">
        <v>513</v>
      </c>
    </row>
    <row r="5952" spans="1:7" x14ac:dyDescent="0.25">
      <c r="A5952" s="1" t="str">
        <f>"522060"</f>
        <v>522060</v>
      </c>
      <c r="B5952" s="2" t="str">
        <f>"CHAPA EXP. INOX 304 50X80 1000X1000 #1/4"</f>
        <v>CHAPA EXP. INOX 304 50X80 1000X1000 #1/4</v>
      </c>
      <c r="C5952" s="2" t="str">
        <f>"UN"</f>
        <v>UN</v>
      </c>
      <c r="D5952" s="7">
        <v>816</v>
      </c>
      <c r="E5952" s="3">
        <v>10</v>
      </c>
      <c r="F5952" s="3">
        <v>10</v>
      </c>
      <c r="G5952" t="s">
        <v>514</v>
      </c>
    </row>
    <row r="5953" spans="1:7" x14ac:dyDescent="0.25">
      <c r="A5953" s="1" t="str">
        <f>"515997"</f>
        <v>515997</v>
      </c>
      <c r="B5953" s="2" t="str">
        <f>"CHAPA EXP. INOX 430 900X4,00MM"</f>
        <v>CHAPA EXP. INOX 430 900X4,00MM</v>
      </c>
      <c r="C5953" s="2" t="str">
        <f>"M2"</f>
        <v>M2</v>
      </c>
      <c r="D5953" s="7">
        <v>99999</v>
      </c>
      <c r="E5953" s="3">
        <v>99</v>
      </c>
      <c r="F5953" s="3">
        <v>99</v>
      </c>
      <c r="G5953" t="s">
        <v>514</v>
      </c>
    </row>
    <row r="5954" spans="1:7" x14ac:dyDescent="0.25">
      <c r="A5954" s="1" t="str">
        <f>"526992"</f>
        <v>526992</v>
      </c>
      <c r="B5954" s="2" t="str">
        <f>"CHAPA EXPANDIDA"</f>
        <v>CHAPA EXPANDIDA</v>
      </c>
      <c r="C5954" s="2" t="str">
        <f>"UN"</f>
        <v>UN</v>
      </c>
      <c r="D5954" s="7">
        <v>920</v>
      </c>
      <c r="E5954" s="3">
        <v>11</v>
      </c>
      <c r="F5954" s="3">
        <v>11</v>
      </c>
      <c r="G5954" t="s">
        <v>514</v>
      </c>
    </row>
    <row r="5955" spans="1:7" x14ac:dyDescent="0.25">
      <c r="A5955" s="1" t="str">
        <f>"516050"</f>
        <v>516050</v>
      </c>
      <c r="B5955" s="2" t="str">
        <f>"CHAPA EXPANDIDA 3/16"" AÇO CARBONO"</f>
        <v>CHAPA EXPANDIDA 3/16" AÇO CARBONO</v>
      </c>
      <c r="C5955" s="2" t="str">
        <f>"MT"</f>
        <v>MT</v>
      </c>
      <c r="D5955" s="7">
        <v>806</v>
      </c>
      <c r="E5955" s="3">
        <v>10</v>
      </c>
      <c r="F5955" s="3">
        <v>10</v>
      </c>
      <c r="G5955" t="s">
        <v>513</v>
      </c>
    </row>
    <row r="5956" spans="1:7" x14ac:dyDescent="0.25">
      <c r="A5956" s="1" t="str">
        <f>"527192"</f>
        <v>527192</v>
      </c>
      <c r="B5956" s="2" t="str">
        <f>"CHAPA EXPANDIDA EM INOX 100X100X4MM"</f>
        <v>CHAPA EXPANDIDA EM INOX 100X100X4MM</v>
      </c>
      <c r="C5956" s="2" t="str">
        <f>"UN"</f>
        <v>UN</v>
      </c>
      <c r="D5956" s="7">
        <v>1700</v>
      </c>
      <c r="E5956" s="3">
        <v>10</v>
      </c>
      <c r="F5956" s="3">
        <v>10</v>
      </c>
      <c r="G5956" t="s">
        <v>512</v>
      </c>
    </row>
    <row r="5957" spans="1:7" x14ac:dyDescent="0.25">
      <c r="A5957" s="1" t="str">
        <f>"507413"</f>
        <v>507413</v>
      </c>
      <c r="B5957" s="2" t="str">
        <f>"CHAPA EXPANDIDA INOX 1200X1000X6MM MALHA 50X100MM"</f>
        <v>CHAPA EXPANDIDA INOX 1200X1000X6MM MALHA 50X100MM</v>
      </c>
      <c r="C5957" s="2" t="str">
        <f>"M2"</f>
        <v>M2</v>
      </c>
      <c r="D5957" s="7">
        <v>917</v>
      </c>
      <c r="E5957" s="3">
        <v>10</v>
      </c>
      <c r="F5957" s="3">
        <v>10</v>
      </c>
      <c r="G5957" t="s">
        <v>513</v>
      </c>
    </row>
    <row r="5958" spans="1:7" x14ac:dyDescent="0.25">
      <c r="A5958" s="1" t="str">
        <f>"516348"</f>
        <v>516348</v>
      </c>
      <c r="B5958" s="2" t="str">
        <f>"CHAPA EXPANDIDA INOX 304 1000 X 1000 X 1/4 FURO 50X100MM"</f>
        <v>CHAPA EXPANDIDA INOX 304 1000 X 1000 X 1/4 FURO 50X100MM</v>
      </c>
      <c r="C5958" s="2" t="str">
        <f>"UN"</f>
        <v>UN</v>
      </c>
      <c r="D5958" s="7">
        <v>1700</v>
      </c>
      <c r="E5958" s="3">
        <v>10</v>
      </c>
      <c r="F5958" s="3">
        <v>10</v>
      </c>
      <c r="G5958" t="s">
        <v>514</v>
      </c>
    </row>
    <row r="5959" spans="1:7" x14ac:dyDescent="0.25">
      <c r="A5959" s="1" t="str">
        <f>"508937"</f>
        <v>508937</v>
      </c>
      <c r="B5959" s="2" t="str">
        <f>"CHAPA EXPANDIDA INOX 304 1200 X 1000 X 6MM FURO 50X85MM"</f>
        <v>CHAPA EXPANDIDA INOX 304 1200 X 1000 X 6MM FURO 50X85MM</v>
      </c>
      <c r="C5959" s="2" t="str">
        <f>"UN"</f>
        <v>UN</v>
      </c>
      <c r="D5959" s="7">
        <v>403</v>
      </c>
      <c r="E5959" s="3">
        <v>4</v>
      </c>
      <c r="F5959" s="3">
        <v>4</v>
      </c>
      <c r="G5959" t="s">
        <v>514</v>
      </c>
    </row>
    <row r="5960" spans="1:7" x14ac:dyDescent="0.25">
      <c r="A5960" s="1" t="str">
        <f>"516210"</f>
        <v>516210</v>
      </c>
      <c r="B5960" s="2" t="str">
        <f>"CHAPA EXPANDIDA INOX 304 900X3000X5MM"</f>
        <v>CHAPA EXPANDIDA INOX 304 900X3000X5MM</v>
      </c>
      <c r="C5960" s="2" t="str">
        <f>"UN"</f>
        <v>UN</v>
      </c>
      <c r="D5960" s="7">
        <v>917</v>
      </c>
      <c r="E5960" s="3">
        <v>10</v>
      </c>
      <c r="F5960" s="3">
        <v>10</v>
      </c>
      <c r="G5960" t="s">
        <v>514</v>
      </c>
    </row>
    <row r="5961" spans="1:7" x14ac:dyDescent="0.25">
      <c r="A5961" s="1" t="str">
        <f>"517972"</f>
        <v>517972</v>
      </c>
      <c r="B5961" s="2" t="str">
        <f>"CHAPA EXPANDIDA P/ PASSARELA 1000X1000X04MM"</f>
        <v>CHAPA EXPANDIDA P/ PASSARELA 1000X1000X04MM</v>
      </c>
      <c r="C5961" s="2" t="str">
        <f>"UN"</f>
        <v>UN</v>
      </c>
      <c r="D5961" s="7">
        <v>1700</v>
      </c>
      <c r="E5961" s="3">
        <v>10</v>
      </c>
      <c r="F5961" s="3">
        <v>10</v>
      </c>
      <c r="G5961" t="s">
        <v>513</v>
      </c>
    </row>
    <row r="5962" spans="1:7" x14ac:dyDescent="0.25">
      <c r="A5962" s="1" t="str">
        <f>"512053"</f>
        <v>512053</v>
      </c>
      <c r="B5962" s="2" t="str">
        <f>"CHAPA EXPANDIDA P/ PASSARELA 1000X2000X1/4 VÃO 40X70MM"</f>
        <v>CHAPA EXPANDIDA P/ PASSARELA 1000X2000X1/4 VÃO 40X70MM</v>
      </c>
      <c r="C5962" s="2" t="str">
        <f>"PC"</f>
        <v>PC</v>
      </c>
      <c r="D5962" s="7">
        <v>806</v>
      </c>
      <c r="E5962" s="3">
        <v>10</v>
      </c>
      <c r="F5962" s="3">
        <v>10</v>
      </c>
      <c r="G5962" t="s">
        <v>513</v>
      </c>
    </row>
    <row r="5963" spans="1:7" x14ac:dyDescent="0.25">
      <c r="A5963" s="1" t="str">
        <f>"513088"</f>
        <v>513088</v>
      </c>
      <c r="B5963" s="2" t="str">
        <f>"CHAPA EXPANDIDA P/ PASSARELA 2000X1000X3/16"""</f>
        <v>CHAPA EXPANDIDA P/ PASSARELA 2000X1000X3/16"</v>
      </c>
      <c r="C5963" s="2" t="str">
        <f>"UN"</f>
        <v>UN</v>
      </c>
      <c r="D5963" s="7">
        <v>1700</v>
      </c>
      <c r="E5963" s="3">
        <v>10</v>
      </c>
      <c r="F5963" s="3">
        <v>10</v>
      </c>
      <c r="G5963" t="s">
        <v>513</v>
      </c>
    </row>
    <row r="5964" spans="1:7" x14ac:dyDescent="0.25">
      <c r="A5964" s="1" t="str">
        <f>"522096"</f>
        <v>522096</v>
      </c>
      <c r="B5964" s="2" t="str">
        <f>"CHAPA FERRO 800X700MM #1/2"</f>
        <v>CHAPA FERRO 800X700MM #1/2</v>
      </c>
      <c r="C5964" s="2" t="str">
        <f>"UN"</f>
        <v>UN</v>
      </c>
      <c r="D5964" s="7">
        <v>704</v>
      </c>
      <c r="E5964" s="3">
        <v>9</v>
      </c>
      <c r="F5964" s="3">
        <v>9</v>
      </c>
      <c r="G5964" t="s">
        <v>512</v>
      </c>
    </row>
    <row r="5965" spans="1:7" x14ac:dyDescent="0.25">
      <c r="A5965" s="1" t="str">
        <f>"511590"</f>
        <v>511590</v>
      </c>
      <c r="B5965" s="2" t="str">
        <f>"CHAPA FERRO GALVANIZADO 2000X1000X#26"</f>
        <v>CHAPA FERRO GALVANIZADO 2000X1000X#26</v>
      </c>
      <c r="C5965" s="2" t="str">
        <f>"PC"</f>
        <v>PC</v>
      </c>
      <c r="D5965" s="7">
        <v>806</v>
      </c>
      <c r="E5965" s="3">
        <v>10</v>
      </c>
      <c r="F5965" s="3">
        <v>10</v>
      </c>
      <c r="G5965" t="s">
        <v>513</v>
      </c>
    </row>
    <row r="5966" spans="1:7" x14ac:dyDescent="0.25">
      <c r="A5966" s="1" t="str">
        <f>"515619"</f>
        <v>515619</v>
      </c>
      <c r="B5966" s="2" t="str">
        <f>"CHAPA FF 1,50"</f>
        <v>CHAPA FF 1,50</v>
      </c>
      <c r="C5966" s="2" t="str">
        <f t="shared" ref="C5966:C5971" si="235">"UN"</f>
        <v>UN</v>
      </c>
      <c r="D5966" s="7">
        <v>704</v>
      </c>
      <c r="E5966" s="3">
        <v>9</v>
      </c>
      <c r="F5966" s="3">
        <v>9</v>
      </c>
      <c r="G5966" t="s">
        <v>514</v>
      </c>
    </row>
    <row r="5967" spans="1:7" x14ac:dyDescent="0.25">
      <c r="A5967" s="1" t="str">
        <f>"506270"</f>
        <v>506270</v>
      </c>
      <c r="B5967" s="2" t="str">
        <f>"CHAPA FF 16 3X1.2X1.5.50MM"</f>
        <v>CHAPA FF 16 3X1.2X1.5.50MM</v>
      </c>
      <c r="C5967" s="2" t="str">
        <f t="shared" si="235"/>
        <v>UN</v>
      </c>
      <c r="D5967" s="7">
        <v>918</v>
      </c>
      <c r="E5967" s="3">
        <v>11</v>
      </c>
      <c r="F5967" s="3">
        <v>11</v>
      </c>
      <c r="G5967" t="s">
        <v>515</v>
      </c>
    </row>
    <row r="5968" spans="1:7" x14ac:dyDescent="0.25">
      <c r="A5968" s="1" t="str">
        <f>"511406"</f>
        <v>511406</v>
      </c>
      <c r="B5968" s="2" t="str">
        <f>"CHAPA FIBRA FORRO PORTA"</f>
        <v>CHAPA FIBRA FORRO PORTA</v>
      </c>
      <c r="C5968" s="2" t="str">
        <f t="shared" si="235"/>
        <v>UN</v>
      </c>
      <c r="D5968" s="7">
        <v>704</v>
      </c>
      <c r="E5968" s="3">
        <v>9</v>
      </c>
      <c r="F5968" s="3">
        <v>9</v>
      </c>
      <c r="G5968" t="s">
        <v>512</v>
      </c>
    </row>
    <row r="5969" spans="1:7" x14ac:dyDescent="0.25">
      <c r="A5969" s="1" t="str">
        <f>"508476"</f>
        <v>508476</v>
      </c>
      <c r="B5969" s="2" t="str">
        <f>"CHAPA FQ 1/4 3.000X1.200X6.400MM P. CHOQ"</f>
        <v>CHAPA FQ 1/4 3.000X1.200X6.400MM P. CHOQ</v>
      </c>
      <c r="C5969" s="2" t="str">
        <f t="shared" si="235"/>
        <v>UN</v>
      </c>
      <c r="D5969" s="7">
        <v>704</v>
      </c>
      <c r="E5969" s="3">
        <v>9</v>
      </c>
      <c r="F5969" s="3">
        <v>9</v>
      </c>
      <c r="G5969" t="s">
        <v>516</v>
      </c>
    </row>
    <row r="5970" spans="1:7" x14ac:dyDescent="0.25">
      <c r="A5970" s="1" t="str">
        <f>"515620"</f>
        <v>515620</v>
      </c>
      <c r="B5970" s="2" t="str">
        <f>"CHAPA FQ 4,75"</f>
        <v>CHAPA FQ 4,75</v>
      </c>
      <c r="C5970" s="2" t="str">
        <f t="shared" si="235"/>
        <v>UN</v>
      </c>
      <c r="D5970" s="7">
        <v>704</v>
      </c>
      <c r="E5970" s="3">
        <v>9</v>
      </c>
      <c r="F5970" s="3">
        <v>9</v>
      </c>
      <c r="G5970" t="s">
        <v>515</v>
      </c>
    </row>
    <row r="5971" spans="1:7" x14ac:dyDescent="0.25">
      <c r="A5971" s="1" t="str">
        <f>"501468"</f>
        <v>501468</v>
      </c>
      <c r="B5971" s="2" t="str">
        <f>"CHAPA GALV 150X150MM NA CHAPA 3/16"</f>
        <v>CHAPA GALV 150X150MM NA CHAPA 3/16</v>
      </c>
      <c r="C5971" s="2" t="str">
        <f t="shared" si="235"/>
        <v>UN</v>
      </c>
      <c r="D5971" s="7">
        <v>403</v>
      </c>
      <c r="E5971" s="3">
        <v>4</v>
      </c>
      <c r="F5971" s="3">
        <v>4</v>
      </c>
      <c r="G5971" t="s">
        <v>514</v>
      </c>
    </row>
    <row r="5972" spans="1:7" x14ac:dyDescent="0.25">
      <c r="A5972" s="1" t="str">
        <f>"505783"</f>
        <v>505783</v>
      </c>
      <c r="B5972" s="2" t="str">
        <f>"CHAPA GALV. 500MM"</f>
        <v>CHAPA GALV. 500MM</v>
      </c>
      <c r="C5972" s="2" t="str">
        <f>"PC"</f>
        <v>PC</v>
      </c>
      <c r="D5972" s="7">
        <v>806</v>
      </c>
      <c r="E5972" s="3">
        <v>10</v>
      </c>
      <c r="F5972" s="3">
        <v>10</v>
      </c>
      <c r="G5972" t="s">
        <v>512</v>
      </c>
    </row>
    <row r="5973" spans="1:7" x14ac:dyDescent="0.25">
      <c r="A5973" s="1" t="str">
        <f>"511310"</f>
        <v>511310</v>
      </c>
      <c r="B5973" s="2" t="str">
        <f>"CHAPA GALVANIZADA 1200X2000X1,5"</f>
        <v>CHAPA GALVANIZADA 1200X2000X1,5</v>
      </c>
      <c r="C5973" s="2" t="str">
        <f>"UN"</f>
        <v>UN</v>
      </c>
      <c r="D5973" s="7">
        <v>704</v>
      </c>
      <c r="E5973" s="3">
        <v>9</v>
      </c>
      <c r="F5973" s="3">
        <v>9</v>
      </c>
      <c r="G5973" t="s">
        <v>513</v>
      </c>
    </row>
    <row r="5974" spans="1:7" x14ac:dyDescent="0.25">
      <c r="A5974" s="1" t="str">
        <f>"519230"</f>
        <v>519230</v>
      </c>
      <c r="B5974" s="2" t="str">
        <f>"CHAPA GALVANIZADA 2000 X 1000 #1,2MM"</f>
        <v>CHAPA GALVANIZADA 2000 X 1000 #1,2MM</v>
      </c>
      <c r="C5974" s="2" t="str">
        <f>"UN"</f>
        <v>UN</v>
      </c>
      <c r="D5974" s="7">
        <v>704</v>
      </c>
      <c r="E5974" s="3">
        <v>9</v>
      </c>
      <c r="F5974" s="3">
        <v>9</v>
      </c>
      <c r="G5974" t="s">
        <v>514</v>
      </c>
    </row>
    <row r="5975" spans="1:7" x14ac:dyDescent="0.25">
      <c r="A5975" s="1" t="str">
        <f>"519021"</f>
        <v>519021</v>
      </c>
      <c r="B5975" s="2" t="str">
        <f>"CHAPA GALVANIZADA 3000X1200X#18"</f>
        <v>CHAPA GALVANIZADA 3000X1200X#18</v>
      </c>
      <c r="C5975" s="2" t="str">
        <f>"UN"</f>
        <v>UN</v>
      </c>
      <c r="D5975" s="7">
        <v>704</v>
      </c>
      <c r="E5975" s="3">
        <v>9</v>
      </c>
      <c r="F5975" s="3">
        <v>9</v>
      </c>
      <c r="G5975" t="s">
        <v>514</v>
      </c>
    </row>
    <row r="5976" spans="1:7" x14ac:dyDescent="0.25">
      <c r="A5976" s="1" t="str">
        <f>"515985"</f>
        <v>515985</v>
      </c>
      <c r="B5976" s="8" t="s">
        <v>76</v>
      </c>
      <c r="C5976" s="2" t="str">
        <f>"UN"</f>
        <v>UN</v>
      </c>
      <c r="D5976" s="7">
        <v>99999</v>
      </c>
      <c r="E5976" s="3">
        <v>99</v>
      </c>
      <c r="F5976" s="3">
        <v>99</v>
      </c>
      <c r="G5976" t="s">
        <v>512</v>
      </c>
    </row>
    <row r="5977" spans="1:7" x14ac:dyDescent="0.25">
      <c r="A5977" s="1" t="str">
        <f>"521117"</f>
        <v>521117</v>
      </c>
      <c r="B5977" s="2" t="str">
        <f>"CHAPA INOX 1/8"""</f>
        <v>CHAPA INOX 1/8"</v>
      </c>
      <c r="C5977" s="2" t="str">
        <f>"MT"</f>
        <v>MT</v>
      </c>
      <c r="D5977" s="7">
        <v>803</v>
      </c>
      <c r="E5977" s="3">
        <v>10</v>
      </c>
      <c r="F5977" s="3">
        <v>10</v>
      </c>
      <c r="G5977" t="s">
        <v>513</v>
      </c>
    </row>
    <row r="5978" spans="1:7" x14ac:dyDescent="0.25">
      <c r="A5978" s="1" t="str">
        <f>"515621"</f>
        <v>515621</v>
      </c>
      <c r="B5978" s="2" t="str">
        <f>"CHAPA INOX 304 3000 X 1250 # 1,5MM"</f>
        <v>CHAPA INOX 304 3000 X 1250 # 1,5MM</v>
      </c>
      <c r="C5978" s="2" t="str">
        <f>"UN"</f>
        <v>UN</v>
      </c>
      <c r="D5978" s="7">
        <v>704</v>
      </c>
      <c r="E5978" s="3">
        <v>9</v>
      </c>
      <c r="F5978" s="3">
        <v>9</v>
      </c>
      <c r="G5978" t="s">
        <v>514</v>
      </c>
    </row>
    <row r="5979" spans="1:7" x14ac:dyDescent="0.25">
      <c r="A5979" s="1" t="str">
        <f>"506984"</f>
        <v>506984</v>
      </c>
      <c r="B5979" s="2" t="str">
        <f>"CHAPA INOX 304 MED. 1.5X3.000X220MM"</f>
        <v>CHAPA INOX 304 MED. 1.5X3.000X220MM</v>
      </c>
      <c r="C5979" s="2" t="str">
        <f>"UN"</f>
        <v>UN</v>
      </c>
      <c r="D5979" s="7">
        <v>704</v>
      </c>
      <c r="E5979" s="3">
        <v>9</v>
      </c>
      <c r="F5979" s="3">
        <v>9</v>
      </c>
      <c r="G5979" t="s">
        <v>514</v>
      </c>
    </row>
    <row r="5980" spans="1:7" x14ac:dyDescent="0.25">
      <c r="A5980" s="1" t="str">
        <f>"518227"</f>
        <v>518227</v>
      </c>
      <c r="B5980" s="2" t="str">
        <f>"CHAPA INOX 304 MED. 1000 X 1000 X 1,2MM"</f>
        <v>CHAPA INOX 304 MED. 1000 X 1000 X 1,2MM</v>
      </c>
      <c r="C5980" s="2" t="str">
        <f>"UN"</f>
        <v>UN</v>
      </c>
      <c r="D5980" s="7">
        <v>918</v>
      </c>
      <c r="E5980" s="3">
        <v>11</v>
      </c>
      <c r="F5980" s="3">
        <v>11</v>
      </c>
      <c r="G5980" t="s">
        <v>514</v>
      </c>
    </row>
    <row r="5981" spans="1:7" x14ac:dyDescent="0.25">
      <c r="A5981" s="1" t="str">
        <f>"521984"</f>
        <v>521984</v>
      </c>
      <c r="B5981" s="2" t="str">
        <f>"CHAPA INOX 304 MED. 100X100MM #1/4"</f>
        <v>CHAPA INOX 304 MED. 100X100MM #1/4</v>
      </c>
      <c r="C5981" s="2" t="str">
        <f>"PC"</f>
        <v>PC</v>
      </c>
      <c r="D5981" s="7">
        <v>806</v>
      </c>
      <c r="E5981" s="3">
        <v>10</v>
      </c>
      <c r="F5981" s="3">
        <v>10</v>
      </c>
      <c r="G5981" t="s">
        <v>513</v>
      </c>
    </row>
    <row r="5982" spans="1:7" x14ac:dyDescent="0.25">
      <c r="A5982" s="1" t="str">
        <f>"524237"</f>
        <v>524237</v>
      </c>
      <c r="B5982" s="2" t="str">
        <f>"CHAPA INOX 304 MED. 100X100MM X1/8"</f>
        <v>CHAPA INOX 304 MED. 100X100MM X1/8</v>
      </c>
      <c r="C5982" s="2" t="str">
        <f>"PC"</f>
        <v>PC</v>
      </c>
      <c r="D5982" s="7">
        <v>806</v>
      </c>
      <c r="E5982" s="3">
        <v>10</v>
      </c>
      <c r="F5982" s="3">
        <v>10</v>
      </c>
      <c r="G5982" t="s">
        <v>512</v>
      </c>
    </row>
    <row r="5983" spans="1:7" x14ac:dyDescent="0.25">
      <c r="A5983" s="1" t="str">
        <f>"508304"</f>
        <v>508304</v>
      </c>
      <c r="B5983" s="2" t="str">
        <f>"CHAPA INOX 304 MED. 1200 X 3000 #2MM"</f>
        <v>CHAPA INOX 304 MED. 1200 X 3000 #2MM</v>
      </c>
      <c r="C5983" s="2" t="str">
        <f>"UN"</f>
        <v>UN</v>
      </c>
      <c r="D5983" s="7">
        <v>704</v>
      </c>
      <c r="E5983" s="3">
        <v>9</v>
      </c>
      <c r="F5983" s="3">
        <v>9</v>
      </c>
      <c r="G5983" t="s">
        <v>513</v>
      </c>
    </row>
    <row r="5984" spans="1:7" x14ac:dyDescent="0.25">
      <c r="A5984" s="1" t="str">
        <f>"520554"</f>
        <v>520554</v>
      </c>
      <c r="B5984" s="2" t="str">
        <f>"CHAPA INOX 304 MED. 1200X2000X1,5MM ESCOVADA DE UM LADO"</f>
        <v>CHAPA INOX 304 MED. 1200X2000X1,5MM ESCOVADA DE UM LADO</v>
      </c>
      <c r="C5984" s="2" t="str">
        <f>"UN"</f>
        <v>UN</v>
      </c>
      <c r="D5984" s="7">
        <v>812</v>
      </c>
      <c r="E5984" s="3">
        <v>10</v>
      </c>
      <c r="F5984" s="3">
        <v>10</v>
      </c>
      <c r="G5984" t="s">
        <v>514</v>
      </c>
    </row>
    <row r="5985" spans="1:7" x14ac:dyDescent="0.25">
      <c r="A5985" s="1" t="str">
        <f>"522242"</f>
        <v>522242</v>
      </c>
      <c r="B5985" s="2" t="str">
        <f>"CHAPA INOX 304 MED. 1200X700X04MM"</f>
        <v>CHAPA INOX 304 MED. 1200X700X04MM</v>
      </c>
      <c r="C5985" s="2" t="str">
        <f>"PC"</f>
        <v>PC</v>
      </c>
      <c r="D5985" s="7">
        <v>806</v>
      </c>
      <c r="E5985" s="3">
        <v>10</v>
      </c>
      <c r="F5985" s="3">
        <v>10</v>
      </c>
      <c r="G5985" t="s">
        <v>514</v>
      </c>
    </row>
    <row r="5986" spans="1:7" x14ac:dyDescent="0.25">
      <c r="A5986" s="1" t="str">
        <f>"523390"</f>
        <v>523390</v>
      </c>
      <c r="B5986" s="2" t="str">
        <f>"CHAPA INOX 304 MED. 130X170MM #1/8"</f>
        <v>CHAPA INOX 304 MED. 130X170MM #1/8</v>
      </c>
      <c r="C5986" s="2" t="str">
        <f>"PC"</f>
        <v>PC</v>
      </c>
      <c r="D5986" s="7">
        <v>806</v>
      </c>
      <c r="E5986" s="3">
        <v>10</v>
      </c>
      <c r="F5986" s="3">
        <v>10</v>
      </c>
      <c r="G5986" t="s">
        <v>514</v>
      </c>
    </row>
    <row r="5987" spans="1:7" x14ac:dyDescent="0.25">
      <c r="A5987" s="1" t="str">
        <f>"524238"</f>
        <v>524238</v>
      </c>
      <c r="B5987" s="2" t="str">
        <f>"CHAPA INOX 304 MED. 150X100MM X1/8"</f>
        <v>CHAPA INOX 304 MED. 150X100MM X1/8</v>
      </c>
      <c r="C5987" s="2" t="str">
        <f>"PC"</f>
        <v>PC</v>
      </c>
      <c r="D5987" s="7">
        <v>806</v>
      </c>
      <c r="E5987" s="3">
        <v>10</v>
      </c>
      <c r="F5987" s="3">
        <v>10</v>
      </c>
      <c r="G5987" t="s">
        <v>513</v>
      </c>
    </row>
    <row r="5988" spans="1:7" x14ac:dyDescent="0.25">
      <c r="A5988" s="1" t="str">
        <f>"523389"</f>
        <v>523389</v>
      </c>
      <c r="B5988" s="2" t="str">
        <f>"CHAPA INOX 304 MED. 150X250MM #1/8"</f>
        <v>CHAPA INOX 304 MED. 150X250MM #1/8</v>
      </c>
      <c r="C5988" s="2" t="str">
        <f>"PC"</f>
        <v>PC</v>
      </c>
      <c r="D5988" s="7">
        <v>806</v>
      </c>
      <c r="E5988" s="3">
        <v>10</v>
      </c>
      <c r="F5988" s="3">
        <v>10</v>
      </c>
      <c r="G5988" t="s">
        <v>513</v>
      </c>
    </row>
    <row r="5989" spans="1:7" x14ac:dyDescent="0.25">
      <c r="A5989" s="1" t="str">
        <f>"523388"</f>
        <v>523388</v>
      </c>
      <c r="B5989" s="2" t="str">
        <f>"CHAPA INOX 304 MED. 170X370MM #1/8"</f>
        <v>CHAPA INOX 304 MED. 170X370MM #1/8</v>
      </c>
      <c r="C5989" s="2" t="str">
        <f>"PC"</f>
        <v>PC</v>
      </c>
      <c r="D5989" s="7">
        <v>806</v>
      </c>
      <c r="E5989" s="3">
        <v>10</v>
      </c>
      <c r="F5989" s="3">
        <v>10</v>
      </c>
      <c r="G5989" t="s">
        <v>513</v>
      </c>
    </row>
    <row r="5990" spans="1:7" x14ac:dyDescent="0.25">
      <c r="A5990" s="1" t="str">
        <f>"508306"</f>
        <v>508306</v>
      </c>
      <c r="B5990" s="2" t="str">
        <f>"CHAPA INOX 304 MED. 2.00X2.300X1.250MM"</f>
        <v>CHAPA INOX 304 MED. 2.00X2.300X1.250MM</v>
      </c>
      <c r="C5990" s="2" t="str">
        <f>"UN"</f>
        <v>UN</v>
      </c>
      <c r="D5990" s="7">
        <v>704</v>
      </c>
      <c r="E5990" s="3">
        <v>9</v>
      </c>
      <c r="F5990" s="3">
        <v>9</v>
      </c>
      <c r="G5990" t="s">
        <v>512</v>
      </c>
    </row>
    <row r="5991" spans="1:7" x14ac:dyDescent="0.25">
      <c r="A5991" s="1" t="str">
        <f>"508302"</f>
        <v>508302</v>
      </c>
      <c r="B5991" s="2" t="str">
        <f>"CHAPA INOX 304 MED. 2.75X1.200X2.000MM"</f>
        <v>CHAPA INOX 304 MED. 2.75X1.200X2.000MM</v>
      </c>
      <c r="C5991" s="2" t="str">
        <f>"UN"</f>
        <v>UN</v>
      </c>
      <c r="D5991" s="7">
        <v>704</v>
      </c>
      <c r="E5991" s="3">
        <v>9</v>
      </c>
      <c r="F5991" s="3">
        <v>9</v>
      </c>
      <c r="G5991" t="s">
        <v>513</v>
      </c>
    </row>
    <row r="5992" spans="1:7" x14ac:dyDescent="0.25">
      <c r="A5992" s="1" t="str">
        <f>"508814"</f>
        <v>508814</v>
      </c>
      <c r="B5992" s="2" t="str">
        <f>"CHAPA INOX 304 MED. 2.75X2.500X1.200MM"</f>
        <v>CHAPA INOX 304 MED. 2.75X2.500X1.200MM</v>
      </c>
      <c r="C5992" s="2" t="str">
        <f>"PC"</f>
        <v>PC</v>
      </c>
      <c r="D5992" s="7">
        <v>806</v>
      </c>
      <c r="E5992" s="3">
        <v>10</v>
      </c>
      <c r="F5992" s="3">
        <v>10</v>
      </c>
      <c r="G5992" t="s">
        <v>514</v>
      </c>
    </row>
    <row r="5993" spans="1:7" x14ac:dyDescent="0.25">
      <c r="A5993" s="1" t="str">
        <f>"517607"</f>
        <v>517607</v>
      </c>
      <c r="B5993" s="2" t="str">
        <f>"CHAPA INOX 304 MED. 2000X1000 #5MM"</f>
        <v>CHAPA INOX 304 MED. 2000X1000 #5MM</v>
      </c>
      <c r="C5993" s="2" t="str">
        <f>"UN"</f>
        <v>UN</v>
      </c>
      <c r="D5993" s="7">
        <v>1700</v>
      </c>
      <c r="E5993" s="3">
        <v>10</v>
      </c>
      <c r="F5993" s="3">
        <v>10</v>
      </c>
      <c r="G5993" t="s">
        <v>515</v>
      </c>
    </row>
    <row r="5994" spans="1:7" x14ac:dyDescent="0.25">
      <c r="A5994" s="1" t="str">
        <f>"508088"</f>
        <v>508088</v>
      </c>
      <c r="B5994" s="2" t="str">
        <f>"CHAPA INOX 304 MED. 2000X1200X01MM"</f>
        <v>CHAPA INOX 304 MED. 2000X1200X01MM</v>
      </c>
      <c r="C5994" s="2" t="str">
        <f>"PC"</f>
        <v>PC</v>
      </c>
      <c r="D5994" s="7">
        <v>806</v>
      </c>
      <c r="E5994" s="3">
        <v>10</v>
      </c>
      <c r="F5994" s="3">
        <v>10</v>
      </c>
      <c r="G5994" t="s">
        <v>512</v>
      </c>
    </row>
    <row r="5995" spans="1:7" x14ac:dyDescent="0.25">
      <c r="A5995" s="1" t="str">
        <f>"516306"</f>
        <v>516306</v>
      </c>
      <c r="B5995" s="2" t="str">
        <f>"CHAPA INOX 304 MED. 2000X1200X1,2MM"</f>
        <v>CHAPA INOX 304 MED. 2000X1200X1,2MM</v>
      </c>
      <c r="C5995" s="2" t="str">
        <f>"PC"</f>
        <v>PC</v>
      </c>
      <c r="D5995" s="7">
        <v>806</v>
      </c>
      <c r="E5995" s="3">
        <v>10</v>
      </c>
      <c r="F5995" s="3">
        <v>10</v>
      </c>
      <c r="G5995" t="s">
        <v>516</v>
      </c>
    </row>
    <row r="5996" spans="1:7" x14ac:dyDescent="0.25">
      <c r="A5996" s="1" t="str">
        <f>"526806"</f>
        <v>526806</v>
      </c>
      <c r="B5996" s="2" t="str">
        <f>"CHAPA INOX 304 MED. 2000X1200X1,2MM"</f>
        <v>CHAPA INOX 304 MED. 2000X1200X1,2MM</v>
      </c>
      <c r="C5996" s="2" t="str">
        <f t="shared" ref="C5996:C6005" si="236">"UN"</f>
        <v>UN</v>
      </c>
      <c r="D5996" s="7">
        <v>1700</v>
      </c>
      <c r="E5996" s="3">
        <v>10</v>
      </c>
      <c r="F5996" s="3">
        <v>10</v>
      </c>
      <c r="G5996" t="s">
        <v>515</v>
      </c>
    </row>
    <row r="5997" spans="1:7" x14ac:dyDescent="0.25">
      <c r="A5997" s="1" t="str">
        <f>"516333"</f>
        <v>516333</v>
      </c>
      <c r="B5997" s="2" t="str">
        <f>"CHAPA INOX 304 MED. 2000X1200X1,5MM"</f>
        <v>CHAPA INOX 304 MED. 2000X1200X1,5MM</v>
      </c>
      <c r="C5997" s="2" t="str">
        <f t="shared" si="236"/>
        <v>UN</v>
      </c>
      <c r="D5997" s="7">
        <v>812</v>
      </c>
      <c r="E5997" s="3">
        <v>10</v>
      </c>
      <c r="F5997" s="3">
        <v>10</v>
      </c>
      <c r="G5997" t="s">
        <v>514</v>
      </c>
    </row>
    <row r="5998" spans="1:7" x14ac:dyDescent="0.25">
      <c r="A5998" s="1" t="str">
        <f>"517608"</f>
        <v>517608</v>
      </c>
      <c r="B5998" s="2" t="str">
        <f>"CHAPA INOX 304 MED. 2000X1200X10MM"</f>
        <v>CHAPA INOX 304 MED. 2000X1200X10MM</v>
      </c>
      <c r="C5998" s="2" t="str">
        <f t="shared" si="236"/>
        <v>UN</v>
      </c>
      <c r="D5998" s="7">
        <v>1700</v>
      </c>
      <c r="E5998" s="3">
        <v>10</v>
      </c>
      <c r="F5998" s="3">
        <v>10</v>
      </c>
      <c r="G5998" t="s">
        <v>512</v>
      </c>
    </row>
    <row r="5999" spans="1:7" x14ac:dyDescent="0.25">
      <c r="A5999" s="1" t="str">
        <f>"522827"</f>
        <v>522827</v>
      </c>
      <c r="B5999" s="2" t="str">
        <f>"CHAPA INOX 304 MED. 2000X1200X2,5MM POLIDA"</f>
        <v>CHAPA INOX 304 MED. 2000X1200X2,5MM POLIDA</v>
      </c>
      <c r="C5999" s="2" t="str">
        <f t="shared" si="236"/>
        <v>UN</v>
      </c>
      <c r="D5999" s="7">
        <v>1700</v>
      </c>
      <c r="E5999" s="3">
        <v>10</v>
      </c>
      <c r="F5999" s="3">
        <v>10</v>
      </c>
      <c r="G5999" t="s">
        <v>513</v>
      </c>
    </row>
    <row r="6000" spans="1:7" x14ac:dyDescent="0.25">
      <c r="A6000" s="1" t="str">
        <f>"519423"</f>
        <v>519423</v>
      </c>
      <c r="B6000" s="2" t="str">
        <f>"CHAPA INOX 304 MED. 2000X1200X2MM RED. 12,7MM EF 5,0MM"</f>
        <v>CHAPA INOX 304 MED. 2000X1200X2MM RED. 12,7MM EF 5,0MM</v>
      </c>
      <c r="C6000" s="2" t="str">
        <f t="shared" si="236"/>
        <v>UN</v>
      </c>
      <c r="D6000" s="7">
        <v>812</v>
      </c>
      <c r="E6000" s="3">
        <v>10</v>
      </c>
      <c r="F6000" s="3">
        <v>10</v>
      </c>
      <c r="G6000" t="s">
        <v>514</v>
      </c>
    </row>
    <row r="6001" spans="1:7" x14ac:dyDescent="0.25">
      <c r="A6001" s="1" t="str">
        <f>"519420"</f>
        <v>519420</v>
      </c>
      <c r="B6001" s="2" t="str">
        <f>"CHAPA INOX 304 MED. 2000X1200X2MM RED. 3,2MM EF 2,0MM"</f>
        <v>CHAPA INOX 304 MED. 2000X1200X2MM RED. 3,2MM EF 2,0MM</v>
      </c>
      <c r="C6001" s="2" t="str">
        <f t="shared" si="236"/>
        <v>UN</v>
      </c>
      <c r="D6001" s="7">
        <v>812</v>
      </c>
      <c r="E6001" s="3">
        <v>10</v>
      </c>
      <c r="F6001" s="3">
        <v>10</v>
      </c>
      <c r="G6001" t="s">
        <v>514</v>
      </c>
    </row>
    <row r="6002" spans="1:7" x14ac:dyDescent="0.25">
      <c r="A6002" s="1" t="str">
        <f>"519421"</f>
        <v>519421</v>
      </c>
      <c r="B6002" s="2" t="str">
        <f>"CHAPA INOX 304 MED. 2000X1200X2MM RED. 6,3MM EF 3,0MM"</f>
        <v>CHAPA INOX 304 MED. 2000X1200X2MM RED. 6,3MM EF 3,0MM</v>
      </c>
      <c r="C6002" s="2" t="str">
        <f t="shared" si="236"/>
        <v>UN</v>
      </c>
      <c r="D6002" s="7">
        <v>812</v>
      </c>
      <c r="E6002" s="3">
        <v>10</v>
      </c>
      <c r="F6002" s="3">
        <v>10</v>
      </c>
      <c r="G6002" t="s">
        <v>512</v>
      </c>
    </row>
    <row r="6003" spans="1:7" x14ac:dyDescent="0.25">
      <c r="A6003" s="1" t="str">
        <f>"519422"</f>
        <v>519422</v>
      </c>
      <c r="B6003" s="2" t="str">
        <f>"CHAPA INOX 304 MED. 2000X1200X2MM RED. 9,5MM EF 3,0MM"</f>
        <v>CHAPA INOX 304 MED. 2000X1200X2MM RED. 9,5MM EF 3,0MM</v>
      </c>
      <c r="C6003" s="2" t="str">
        <f t="shared" si="236"/>
        <v>UN</v>
      </c>
      <c r="D6003" s="7">
        <v>812</v>
      </c>
      <c r="E6003" s="3">
        <v>10</v>
      </c>
      <c r="F6003" s="3">
        <v>10</v>
      </c>
      <c r="G6003" t="s">
        <v>513</v>
      </c>
    </row>
    <row r="6004" spans="1:7" x14ac:dyDescent="0.25">
      <c r="A6004" s="1" t="str">
        <f>"527697"</f>
        <v>527697</v>
      </c>
      <c r="B6004" s="2" t="str">
        <f>"CHAPA INOX 304 MED. 2000X1200X3,18MM"</f>
        <v>CHAPA INOX 304 MED. 2000X1200X3,18MM</v>
      </c>
      <c r="C6004" s="2" t="str">
        <f t="shared" si="236"/>
        <v>UN</v>
      </c>
      <c r="D6004" s="7">
        <v>812</v>
      </c>
      <c r="E6004" s="3">
        <v>10</v>
      </c>
      <c r="F6004" s="3">
        <v>10</v>
      </c>
      <c r="G6004" t="s">
        <v>514</v>
      </c>
    </row>
    <row r="6005" spans="1:7" x14ac:dyDescent="0.25">
      <c r="A6005" s="1" t="str">
        <f>"517696"</f>
        <v>517696</v>
      </c>
      <c r="B6005" s="2" t="str">
        <f>"CHAPA INOX 304 MED. 2000X1200X3MM"</f>
        <v>CHAPA INOX 304 MED. 2000X1200X3MM</v>
      </c>
      <c r="C6005" s="2" t="str">
        <f t="shared" si="236"/>
        <v>UN</v>
      </c>
      <c r="D6005" s="7">
        <v>1700</v>
      </c>
      <c r="E6005" s="3">
        <v>10</v>
      </c>
      <c r="F6005" s="3">
        <v>10</v>
      </c>
      <c r="G6005" t="s">
        <v>514</v>
      </c>
    </row>
    <row r="6006" spans="1:7" x14ac:dyDescent="0.25">
      <c r="A6006" s="1" t="str">
        <f>"522152"</f>
        <v>522152</v>
      </c>
      <c r="B6006" s="2" t="str">
        <f>"CHAPA INOX 304 MED. 200X200MM #1/4"</f>
        <v>CHAPA INOX 304 MED. 200X200MM #1/4</v>
      </c>
      <c r="C6006" s="2" t="str">
        <f>"PC"</f>
        <v>PC</v>
      </c>
      <c r="D6006" s="7">
        <v>806</v>
      </c>
      <c r="E6006" s="3">
        <v>10</v>
      </c>
      <c r="F6006" s="3">
        <v>10</v>
      </c>
      <c r="G6006" t="s">
        <v>514</v>
      </c>
    </row>
    <row r="6007" spans="1:7" x14ac:dyDescent="0.25">
      <c r="A6007" s="1" t="str">
        <f>"518228"</f>
        <v>518228</v>
      </c>
      <c r="B6007" s="2" t="str">
        <f>"CHAPA INOX 304 MED. 2240X1440X1,2MM"</f>
        <v>CHAPA INOX 304 MED. 2240X1440X1,2MM</v>
      </c>
      <c r="C6007" s="2" t="str">
        <f t="shared" ref="C6007:C6016" si="237">"UN"</f>
        <v>UN</v>
      </c>
      <c r="D6007" s="7">
        <v>918</v>
      </c>
      <c r="E6007" s="3">
        <v>11</v>
      </c>
      <c r="F6007" s="3">
        <v>11</v>
      </c>
      <c r="G6007" t="s">
        <v>513</v>
      </c>
    </row>
    <row r="6008" spans="1:7" x14ac:dyDescent="0.25">
      <c r="A6008" s="1" t="str">
        <f>"517676"</f>
        <v>517676</v>
      </c>
      <c r="B6008" s="2" t="str">
        <f>"CHAPA INOX 304 MED. 2500 X 660 X 1,2MM"</f>
        <v>CHAPA INOX 304 MED. 2500 X 660 X 1,2MM</v>
      </c>
      <c r="C6008" s="2" t="str">
        <f t="shared" si="237"/>
        <v>UN</v>
      </c>
      <c r="D6008" s="7">
        <v>1700</v>
      </c>
      <c r="E6008" s="3">
        <v>10</v>
      </c>
      <c r="F6008" s="3">
        <v>10</v>
      </c>
      <c r="G6008" t="s">
        <v>512</v>
      </c>
    </row>
    <row r="6009" spans="1:7" x14ac:dyDescent="0.25">
      <c r="A6009" s="1" t="str">
        <f>"517787"</f>
        <v>517787</v>
      </c>
      <c r="B6009" s="2" t="str">
        <f>"CHAPA INOX 304 MED. 3000X1200X1,0MM"</f>
        <v>CHAPA INOX 304 MED. 3000X1200X1,0MM</v>
      </c>
      <c r="C6009" s="2" t="str">
        <f t="shared" si="237"/>
        <v>UN</v>
      </c>
      <c r="D6009" s="7">
        <v>1700</v>
      </c>
      <c r="E6009" s="3">
        <v>10</v>
      </c>
      <c r="F6009" s="3">
        <v>10</v>
      </c>
      <c r="G6009" t="s">
        <v>513</v>
      </c>
    </row>
    <row r="6010" spans="1:7" x14ac:dyDescent="0.25">
      <c r="A6010" s="1" t="str">
        <f>"518194"</f>
        <v>518194</v>
      </c>
      <c r="B6010" s="2" t="str">
        <f>"CHAPA INOX 304 MED. 3000X1200X1,0MM DECAPADA"</f>
        <v>CHAPA INOX 304 MED. 3000X1200X1,0MM DECAPADA</v>
      </c>
      <c r="C6010" s="2" t="str">
        <f t="shared" si="237"/>
        <v>UN</v>
      </c>
      <c r="D6010" s="7">
        <v>812</v>
      </c>
      <c r="E6010" s="3">
        <v>10</v>
      </c>
      <c r="F6010" s="3">
        <v>10</v>
      </c>
      <c r="G6010" t="s">
        <v>514</v>
      </c>
    </row>
    <row r="6011" spans="1:7" x14ac:dyDescent="0.25">
      <c r="A6011" s="1" t="str">
        <f>"517567"</f>
        <v>517567</v>
      </c>
      <c r="B6011" s="2" t="str">
        <f>"CHAPA INOX 304 MED. 3000X1200X1,5MM 2B"</f>
        <v>CHAPA INOX 304 MED. 3000X1200X1,5MM 2B</v>
      </c>
      <c r="C6011" s="2" t="str">
        <f t="shared" si="237"/>
        <v>UN</v>
      </c>
      <c r="D6011" s="7">
        <v>918</v>
      </c>
      <c r="E6011" s="3">
        <v>11</v>
      </c>
      <c r="F6011" s="3">
        <v>11</v>
      </c>
      <c r="G6011" t="s">
        <v>514</v>
      </c>
    </row>
    <row r="6012" spans="1:7" x14ac:dyDescent="0.25">
      <c r="A6012" s="1" t="str">
        <f>"519258"</f>
        <v>519258</v>
      </c>
      <c r="B6012" s="2" t="str">
        <f>"CHAPA INOX 304 MED. 3000X1220X1,5MM"</f>
        <v>CHAPA INOX 304 MED. 3000X1220X1,5MM</v>
      </c>
      <c r="C6012" s="2" t="str">
        <f t="shared" si="237"/>
        <v>UN</v>
      </c>
      <c r="D6012" s="7">
        <v>918</v>
      </c>
      <c r="E6012" s="3">
        <v>11</v>
      </c>
      <c r="F6012" s="3">
        <v>11</v>
      </c>
      <c r="G6012" t="s">
        <v>514</v>
      </c>
    </row>
    <row r="6013" spans="1:7" x14ac:dyDescent="0.25">
      <c r="A6013" s="1" t="str">
        <f>"522327"</f>
        <v>522327</v>
      </c>
      <c r="B6013" s="2" t="str">
        <f>"CHAPA INOX 304 MED. 3000X1220X10,0MM"</f>
        <v>CHAPA INOX 304 MED. 3000X1220X10,0MM</v>
      </c>
      <c r="C6013" s="2" t="str">
        <f t="shared" si="237"/>
        <v>UN</v>
      </c>
      <c r="D6013" s="7">
        <v>1700</v>
      </c>
      <c r="E6013" s="3">
        <v>10</v>
      </c>
      <c r="F6013" s="3">
        <v>10</v>
      </c>
      <c r="G6013" t="s">
        <v>513</v>
      </c>
    </row>
    <row r="6014" spans="1:7" x14ac:dyDescent="0.25">
      <c r="A6014" s="1" t="str">
        <f>"518289"</f>
        <v>518289</v>
      </c>
      <c r="B6014" s="2" t="str">
        <f>"CHAPA INOX 304 MED. 3000X1220X3,0MM"</f>
        <v>CHAPA INOX 304 MED. 3000X1220X3,0MM</v>
      </c>
      <c r="C6014" s="2" t="str">
        <f t="shared" si="237"/>
        <v>UN</v>
      </c>
      <c r="D6014" s="7">
        <v>1700</v>
      </c>
      <c r="E6014" s="3">
        <v>10</v>
      </c>
      <c r="F6014" s="3">
        <v>10</v>
      </c>
      <c r="G6014" t="s">
        <v>513</v>
      </c>
    </row>
    <row r="6015" spans="1:7" x14ac:dyDescent="0.25">
      <c r="A6015" s="1" t="str">
        <f>"517675"</f>
        <v>517675</v>
      </c>
      <c r="B6015" s="2" t="str">
        <f>"CHAPA INOX 304 MED. 3000X1220X6,0MM"</f>
        <v>CHAPA INOX 304 MED. 3000X1220X6,0MM</v>
      </c>
      <c r="C6015" s="2" t="str">
        <f t="shared" si="237"/>
        <v>UN</v>
      </c>
      <c r="D6015" s="7">
        <v>1700</v>
      </c>
      <c r="E6015" s="3">
        <v>10</v>
      </c>
      <c r="F6015" s="3">
        <v>10</v>
      </c>
      <c r="G6015" t="s">
        <v>513</v>
      </c>
    </row>
    <row r="6016" spans="1:7" x14ac:dyDescent="0.25">
      <c r="A6016" s="1" t="str">
        <f>"513615"</f>
        <v>513615</v>
      </c>
      <c r="B6016" s="2" t="str">
        <f>"CHAPA INOX 304 MED. 3000X1240X1,0MM"</f>
        <v>CHAPA INOX 304 MED. 3000X1240X1,0MM</v>
      </c>
      <c r="C6016" s="2" t="str">
        <f t="shared" si="237"/>
        <v>UN</v>
      </c>
      <c r="D6016" s="7">
        <v>1700</v>
      </c>
      <c r="E6016" s="3">
        <v>10</v>
      </c>
      <c r="F6016" s="3">
        <v>10</v>
      </c>
      <c r="G6016" t="s">
        <v>512</v>
      </c>
    </row>
    <row r="6017" spans="1:7" x14ac:dyDescent="0.25">
      <c r="A6017" s="1" t="str">
        <f>"521983"</f>
        <v>521983</v>
      </c>
      <c r="B6017" s="2" t="str">
        <f>"CHAPA INOX 304 MED. 40X40MM #1/4"</f>
        <v>CHAPA INOX 304 MED. 40X40MM #1/4</v>
      </c>
      <c r="C6017" s="2" t="str">
        <f t="shared" ref="C6017:C6022" si="238">"PC"</f>
        <v>PC</v>
      </c>
      <c r="D6017" s="7">
        <v>806</v>
      </c>
      <c r="E6017" s="3">
        <v>10</v>
      </c>
      <c r="F6017" s="3">
        <v>10</v>
      </c>
      <c r="G6017" t="s">
        <v>513</v>
      </c>
    </row>
    <row r="6018" spans="1:7" x14ac:dyDescent="0.25">
      <c r="A6018" s="1" t="str">
        <f>"522150"</f>
        <v>522150</v>
      </c>
      <c r="B6018" s="2" t="str">
        <f>"CHAPA INOX 304 MED. 40X40MM #2MM"</f>
        <v>CHAPA INOX 304 MED. 40X40MM #2MM</v>
      </c>
      <c r="C6018" s="2" t="str">
        <f t="shared" si="238"/>
        <v>PC</v>
      </c>
      <c r="D6018" s="7">
        <v>806</v>
      </c>
      <c r="E6018" s="3">
        <v>10</v>
      </c>
      <c r="F6018" s="3">
        <v>10</v>
      </c>
      <c r="G6018" t="s">
        <v>514</v>
      </c>
    </row>
    <row r="6019" spans="1:7" x14ac:dyDescent="0.25">
      <c r="A6019" s="1" t="str">
        <f>"512568"</f>
        <v>512568</v>
      </c>
      <c r="B6019" s="2" t="str">
        <f>"CHAPA INOX 304 MED. 600X600MM"</f>
        <v>CHAPA INOX 304 MED. 600X600MM</v>
      </c>
      <c r="C6019" s="2" t="str">
        <f t="shared" si="238"/>
        <v>PC</v>
      </c>
      <c r="D6019" s="7">
        <v>806</v>
      </c>
      <c r="E6019" s="3">
        <v>10</v>
      </c>
      <c r="F6019" s="3">
        <v>10</v>
      </c>
      <c r="G6019" t="s">
        <v>515</v>
      </c>
    </row>
    <row r="6020" spans="1:7" x14ac:dyDescent="0.25">
      <c r="A6020" s="1" t="str">
        <f>"522247"</f>
        <v>522247</v>
      </c>
      <c r="B6020" s="2" t="str">
        <f>"CHAPA INOX 304 MED. 600X600X04MM"</f>
        <v>CHAPA INOX 304 MED. 600X600X04MM</v>
      </c>
      <c r="C6020" s="2" t="str">
        <f t="shared" si="238"/>
        <v>PC</v>
      </c>
      <c r="D6020" s="7">
        <v>806</v>
      </c>
      <c r="E6020" s="3">
        <v>10</v>
      </c>
      <c r="F6020" s="3">
        <v>10</v>
      </c>
      <c r="G6020" t="s">
        <v>512</v>
      </c>
    </row>
    <row r="6021" spans="1:7" x14ac:dyDescent="0.25">
      <c r="A6021" s="1" t="str">
        <f>"522151"</f>
        <v>522151</v>
      </c>
      <c r="B6021" s="2" t="str">
        <f>"CHAPA INOX 304 MED. 80X80MM #2MM"</f>
        <v>CHAPA INOX 304 MED. 80X80MM #2MM</v>
      </c>
      <c r="C6021" s="2" t="str">
        <f t="shared" si="238"/>
        <v>PC</v>
      </c>
      <c r="D6021" s="7">
        <v>806</v>
      </c>
      <c r="E6021" s="3">
        <v>10</v>
      </c>
      <c r="F6021" s="3">
        <v>10</v>
      </c>
      <c r="G6021" t="s">
        <v>516</v>
      </c>
    </row>
    <row r="6022" spans="1:7" x14ac:dyDescent="0.25">
      <c r="A6022" s="1" t="str">
        <f>"508083"</f>
        <v>508083</v>
      </c>
      <c r="B6022" s="2" t="str">
        <f>"CHAPA INOX 316 MED. 2000X1200X1,2MM"</f>
        <v>CHAPA INOX 316 MED. 2000X1200X1,2MM</v>
      </c>
      <c r="C6022" s="2" t="str">
        <f t="shared" si="238"/>
        <v>PC</v>
      </c>
      <c r="D6022" s="7">
        <v>806</v>
      </c>
      <c r="E6022" s="3">
        <v>10</v>
      </c>
      <c r="F6022" s="3">
        <v>10</v>
      </c>
      <c r="G6022" t="s">
        <v>515</v>
      </c>
    </row>
    <row r="6023" spans="1:7" x14ac:dyDescent="0.25">
      <c r="A6023" s="1" t="str">
        <f>"526176"</f>
        <v>526176</v>
      </c>
      <c r="B6023" s="2" t="str">
        <f>"CHAPA INOX 316 MED. 2000X1200X2MM"</f>
        <v>CHAPA INOX 316 MED. 2000X1200X2MM</v>
      </c>
      <c r="C6023" s="2" t="str">
        <f t="shared" ref="C6023:C6032" si="239">"UN"</f>
        <v>UN</v>
      </c>
      <c r="D6023" s="7">
        <v>812</v>
      </c>
      <c r="E6023" s="3">
        <v>10</v>
      </c>
      <c r="F6023" s="3">
        <v>10</v>
      </c>
      <c r="G6023" t="s">
        <v>514</v>
      </c>
    </row>
    <row r="6024" spans="1:7" x14ac:dyDescent="0.25">
      <c r="A6024" s="1" t="str">
        <f>"516332"</f>
        <v>516332</v>
      </c>
      <c r="B6024" s="2" t="str">
        <f>"CHAPA INOX 430 MED. 2000X1200X6MM"</f>
        <v>CHAPA INOX 430 MED. 2000X1200X6MM</v>
      </c>
      <c r="C6024" s="2" t="str">
        <f t="shared" si="239"/>
        <v>UN</v>
      </c>
      <c r="D6024" s="7">
        <v>812</v>
      </c>
      <c r="E6024" s="3">
        <v>10</v>
      </c>
      <c r="F6024" s="3">
        <v>10</v>
      </c>
      <c r="G6024" t="s">
        <v>512</v>
      </c>
    </row>
    <row r="6025" spans="1:7" x14ac:dyDescent="0.25">
      <c r="A6025" s="1" t="str">
        <f>"526896"</f>
        <v>526896</v>
      </c>
      <c r="B6025" s="2" t="str">
        <f>"CHAPA INOX LISA 2000MM X 1240MM #1,5MM"</f>
        <v>CHAPA INOX LISA 2000MM X 1240MM #1,5MM</v>
      </c>
      <c r="C6025" s="2" t="str">
        <f t="shared" si="239"/>
        <v>UN</v>
      </c>
      <c r="D6025" s="7">
        <v>402</v>
      </c>
      <c r="E6025" s="3">
        <v>4</v>
      </c>
      <c r="F6025" s="3">
        <v>4</v>
      </c>
      <c r="G6025" t="s">
        <v>513</v>
      </c>
    </row>
    <row r="6026" spans="1:7" x14ac:dyDescent="0.25">
      <c r="A6026" s="1" t="str">
        <f>"517566"</f>
        <v>517566</v>
      </c>
      <c r="B6026" s="2" t="str">
        <f>"CHAPA INOX PERFURADA 3MM MED.  2000 X 1200 X 1,5MM"</f>
        <v>CHAPA INOX PERFURADA 3MM MED.  2000 X 1200 X 1,5MM</v>
      </c>
      <c r="C6026" s="2" t="str">
        <f t="shared" si="239"/>
        <v>UN</v>
      </c>
      <c r="D6026" s="7">
        <v>918</v>
      </c>
      <c r="E6026" s="3">
        <v>11</v>
      </c>
      <c r="F6026" s="3">
        <v>11</v>
      </c>
      <c r="G6026" t="s">
        <v>514</v>
      </c>
    </row>
    <row r="6027" spans="1:7" x14ac:dyDescent="0.25">
      <c r="A6027" s="1" t="str">
        <f>"526653"</f>
        <v>526653</v>
      </c>
      <c r="B6027" s="2" t="str">
        <f>"CHAPA LATERAL PRENSA"</f>
        <v>CHAPA LATERAL PRENSA</v>
      </c>
      <c r="C6027" s="2" t="str">
        <f t="shared" si="239"/>
        <v>UN</v>
      </c>
      <c r="D6027" s="7">
        <v>918</v>
      </c>
      <c r="E6027" s="3">
        <v>11</v>
      </c>
      <c r="F6027" s="3">
        <v>11</v>
      </c>
      <c r="G6027" t="s">
        <v>514</v>
      </c>
    </row>
    <row r="6028" spans="1:7" x14ac:dyDescent="0.25">
      <c r="A6028" s="1" t="str">
        <f>"526963"</f>
        <v>526963</v>
      </c>
      <c r="B6028" s="2" t="str">
        <f>"CHAPA LISA"</f>
        <v>CHAPA LISA</v>
      </c>
      <c r="C6028" s="2" t="str">
        <f t="shared" si="239"/>
        <v>UN</v>
      </c>
      <c r="D6028" s="7">
        <v>917</v>
      </c>
      <c r="E6028" s="3">
        <v>11</v>
      </c>
      <c r="F6028" s="3">
        <v>11</v>
      </c>
      <c r="G6028" t="s">
        <v>512</v>
      </c>
    </row>
    <row r="6029" spans="1:7" x14ac:dyDescent="0.25">
      <c r="A6029" s="1" t="str">
        <f>"526954"</f>
        <v>526954</v>
      </c>
      <c r="B6029" s="2" t="str">
        <f>"CHAPA LISA 14 (1,9 MM)"</f>
        <v>CHAPA LISA 14 (1,9 MM)</v>
      </c>
      <c r="C6029" s="2" t="str">
        <f t="shared" si="239"/>
        <v>UN</v>
      </c>
      <c r="D6029" s="7">
        <v>917</v>
      </c>
      <c r="E6029" s="3">
        <v>11</v>
      </c>
      <c r="F6029" s="3">
        <v>11</v>
      </c>
      <c r="G6029" t="s">
        <v>513</v>
      </c>
    </row>
    <row r="6030" spans="1:7" x14ac:dyDescent="0.25">
      <c r="A6030" s="1" t="str">
        <f>"509387"</f>
        <v>509387</v>
      </c>
      <c r="B6030" s="2" t="str">
        <f>"CHAPA LISA 250X250X1/4"</f>
        <v>CHAPA LISA 250X250X1/4</v>
      </c>
      <c r="C6030" s="2" t="str">
        <f t="shared" si="239"/>
        <v>UN</v>
      </c>
      <c r="D6030" s="7">
        <v>917</v>
      </c>
      <c r="E6030" s="3">
        <v>11</v>
      </c>
      <c r="F6030" s="3">
        <v>11</v>
      </c>
      <c r="G6030" t="s">
        <v>514</v>
      </c>
    </row>
    <row r="6031" spans="1:7" x14ac:dyDescent="0.25">
      <c r="A6031" s="1" t="str">
        <f>"509763"</f>
        <v>509763</v>
      </c>
      <c r="B6031" s="2" t="str">
        <f>"CHAPA LISA 3/8"</f>
        <v>CHAPA LISA 3/8</v>
      </c>
      <c r="C6031" s="2" t="str">
        <f t="shared" si="239"/>
        <v>UN</v>
      </c>
      <c r="D6031" s="7">
        <v>403</v>
      </c>
      <c r="E6031" s="3">
        <v>4</v>
      </c>
      <c r="F6031" s="3">
        <v>4</v>
      </c>
      <c r="G6031" t="s">
        <v>514</v>
      </c>
    </row>
    <row r="6032" spans="1:7" x14ac:dyDescent="0.25">
      <c r="A6032" s="1" t="str">
        <f>"509507"</f>
        <v>509507</v>
      </c>
      <c r="B6032" s="2" t="str">
        <f>"CHAPA LISA AÇO INOX 1200X2000X1MM"</f>
        <v>CHAPA LISA AÇO INOX 1200X2000X1MM</v>
      </c>
      <c r="C6032" s="2" t="str">
        <f t="shared" si="239"/>
        <v>UN</v>
      </c>
      <c r="D6032" s="7">
        <v>403</v>
      </c>
      <c r="E6032" s="3">
        <v>4</v>
      </c>
      <c r="F6032" s="3">
        <v>4</v>
      </c>
      <c r="G6032" t="s">
        <v>514</v>
      </c>
    </row>
    <row r="6033" spans="1:7" x14ac:dyDescent="0.25">
      <c r="A6033" s="1" t="str">
        <f>"520379"</f>
        <v>520379</v>
      </c>
      <c r="B6033" s="2" t="str">
        <f>"CHAPA LISA AÇO INOX 1200X3000X1,2MM"</f>
        <v>CHAPA LISA AÇO INOX 1200X3000X1,2MM</v>
      </c>
      <c r="C6033" s="2" t="str">
        <f>"PC"</f>
        <v>PC</v>
      </c>
      <c r="D6033" s="7">
        <v>806</v>
      </c>
      <c r="E6033" s="3">
        <v>10</v>
      </c>
      <c r="F6033" s="3">
        <v>10</v>
      </c>
      <c r="G6033" t="s">
        <v>513</v>
      </c>
    </row>
    <row r="6034" spans="1:7" x14ac:dyDescent="0.25">
      <c r="A6034" s="1" t="str">
        <f>"509682"</f>
        <v>509682</v>
      </c>
      <c r="B6034" s="2" t="str">
        <f>"CHAPA LISA AZ DEL REY X CZ 99MX1200MM"</f>
        <v>CHAPA LISA AZ DEL REY X CZ 99MX1200MM</v>
      </c>
      <c r="C6034" s="2" t="str">
        <f>"PC"</f>
        <v>PC</v>
      </c>
      <c r="D6034" s="7">
        <v>806</v>
      </c>
      <c r="E6034" s="3">
        <v>10</v>
      </c>
      <c r="F6034" s="3">
        <v>10</v>
      </c>
      <c r="G6034" t="s">
        <v>512</v>
      </c>
    </row>
    <row r="6035" spans="1:7" x14ac:dyDescent="0.25">
      <c r="A6035" s="1" t="str">
        <f>"500419"</f>
        <v>500419</v>
      </c>
      <c r="B6035" s="2" t="str">
        <f>"CHAPA LISA GALVANIZADA 1200X2000X1,2"</f>
        <v>CHAPA LISA GALVANIZADA 1200X2000X1,2</v>
      </c>
      <c r="C6035" s="2" t="str">
        <f t="shared" ref="C6035:C6046" si="240">"UN"</f>
        <v>UN</v>
      </c>
      <c r="D6035" s="7">
        <v>403</v>
      </c>
      <c r="E6035" s="3">
        <v>4</v>
      </c>
      <c r="F6035" s="3">
        <v>4</v>
      </c>
      <c r="G6035" t="s">
        <v>513</v>
      </c>
    </row>
    <row r="6036" spans="1:7" x14ac:dyDescent="0.25">
      <c r="A6036" s="1" t="str">
        <f>"527045"</f>
        <v>527045</v>
      </c>
      <c r="B6036" s="2" t="str">
        <f>"CHAPA MOEDA INOX 304 1000X2000MM"</f>
        <v>CHAPA MOEDA INOX 304 1000X2000MM</v>
      </c>
      <c r="C6036" s="2" t="str">
        <f t="shared" si="240"/>
        <v>UN</v>
      </c>
      <c r="D6036" s="7">
        <v>918</v>
      </c>
      <c r="E6036" s="3">
        <v>10</v>
      </c>
      <c r="F6036" s="3">
        <v>10</v>
      </c>
      <c r="G6036" t="s">
        <v>514</v>
      </c>
    </row>
    <row r="6037" spans="1:7" x14ac:dyDescent="0.25">
      <c r="A6037" s="1" t="str">
        <f>"512244"</f>
        <v>512244</v>
      </c>
      <c r="B6037" s="2" t="str">
        <f>"CHAPA NYLON 500X200X15MM"</f>
        <v>CHAPA NYLON 500X200X15MM</v>
      </c>
      <c r="C6037" s="2" t="str">
        <f t="shared" si="240"/>
        <v>UN</v>
      </c>
      <c r="D6037" s="7">
        <v>918</v>
      </c>
      <c r="E6037" s="3">
        <v>11</v>
      </c>
      <c r="F6037" s="3">
        <v>11</v>
      </c>
      <c r="G6037" t="s">
        <v>514</v>
      </c>
    </row>
    <row r="6038" spans="1:7" x14ac:dyDescent="0.25">
      <c r="A6038" s="1" t="str">
        <f>"518195"</f>
        <v>518195</v>
      </c>
      <c r="B6038" s="2" t="str">
        <f>"CHAPA P/ FIXACAO INOX 4X2 X3/16 P/ TOMADA DE LUMINARIA"</f>
        <v>CHAPA P/ FIXACAO INOX 4X2 X3/16 P/ TOMADA DE LUMINARIA</v>
      </c>
      <c r="C6038" s="2" t="str">
        <f t="shared" si="240"/>
        <v>UN</v>
      </c>
      <c r="D6038" s="7">
        <v>812</v>
      </c>
      <c r="E6038" s="3">
        <v>10</v>
      </c>
      <c r="F6038" s="3">
        <v>10</v>
      </c>
      <c r="G6038" t="s">
        <v>514</v>
      </c>
    </row>
    <row r="6039" spans="1:7" x14ac:dyDescent="0.25">
      <c r="A6039" s="1" t="str">
        <f>"521539"</f>
        <v>521539</v>
      </c>
      <c r="B6039" s="2" t="str">
        <f>"CHAPA PERFURADA INOX 1200 X 2000 X 3MM FURO 3MM EC6MM"</f>
        <v>CHAPA PERFURADA INOX 1200 X 2000 X 3MM FURO 3MM EC6MM</v>
      </c>
      <c r="C6039" s="2" t="str">
        <f t="shared" si="240"/>
        <v>UN</v>
      </c>
      <c r="D6039" s="7">
        <v>918</v>
      </c>
      <c r="E6039" s="3">
        <v>10</v>
      </c>
      <c r="F6039" s="3">
        <v>10</v>
      </c>
      <c r="G6039" t="s">
        <v>513</v>
      </c>
    </row>
    <row r="6040" spans="1:7" x14ac:dyDescent="0.25">
      <c r="A6040" s="1" t="str">
        <f>"524636"</f>
        <v>524636</v>
      </c>
      <c r="B6040" s="2" t="str">
        <f>"CHAPA PERFURADO INOX POLIDO 1200 X 3000 FURO 25MM #1,5MM"</f>
        <v>CHAPA PERFURADO INOX POLIDO 1200 X 3000 FURO 25MM #1,5MM</v>
      </c>
      <c r="C6040" s="2" t="str">
        <f t="shared" si="240"/>
        <v>UN</v>
      </c>
      <c r="D6040" s="7">
        <v>99999</v>
      </c>
      <c r="E6040" s="3">
        <v>10</v>
      </c>
      <c r="F6040" s="3">
        <v>10</v>
      </c>
      <c r="G6040" t="s">
        <v>513</v>
      </c>
    </row>
    <row r="6041" spans="1:7" x14ac:dyDescent="0.25">
      <c r="A6041" s="1" t="str">
        <f>"525261"</f>
        <v>525261</v>
      </c>
      <c r="B6041" s="2" t="str">
        <f>"CHAPA PISO 800X800 X 1/8"</f>
        <v>CHAPA PISO 800X800 X 1/8</v>
      </c>
      <c r="C6041" s="2" t="str">
        <f t="shared" si="240"/>
        <v>UN</v>
      </c>
      <c r="D6041" s="7">
        <v>1700</v>
      </c>
      <c r="E6041" s="3">
        <v>10</v>
      </c>
      <c r="F6041" s="3">
        <v>10</v>
      </c>
      <c r="G6041" t="s">
        <v>513</v>
      </c>
    </row>
    <row r="6042" spans="1:7" x14ac:dyDescent="0.25">
      <c r="A6042" s="1" t="str">
        <f>"520531"</f>
        <v>520531</v>
      </c>
      <c r="B6042" s="2" t="str">
        <f>"CHAPA PISO AÇO CARBONO"</f>
        <v>CHAPA PISO AÇO CARBONO</v>
      </c>
      <c r="C6042" s="2" t="str">
        <f t="shared" si="240"/>
        <v>UN</v>
      </c>
      <c r="D6042" s="7">
        <v>1700</v>
      </c>
      <c r="E6042" s="3">
        <v>10</v>
      </c>
      <c r="F6042" s="3">
        <v>10</v>
      </c>
      <c r="G6042" t="s">
        <v>512</v>
      </c>
    </row>
    <row r="6043" spans="1:7" x14ac:dyDescent="0.25">
      <c r="A6043" s="1" t="str">
        <f>"517953"</f>
        <v>517953</v>
      </c>
      <c r="B6043" s="2" t="str">
        <f>"CHAPA PISO XADREIZADA 1/8!"</f>
        <v>CHAPA PISO XADREIZADA 1/8!</v>
      </c>
      <c r="C6043" s="2" t="str">
        <f t="shared" si="240"/>
        <v>UN</v>
      </c>
      <c r="D6043" s="7">
        <v>1700</v>
      </c>
      <c r="E6043" s="3">
        <v>10</v>
      </c>
      <c r="F6043" s="3">
        <v>10</v>
      </c>
      <c r="G6043" t="s">
        <v>513</v>
      </c>
    </row>
    <row r="6044" spans="1:7" x14ac:dyDescent="0.25">
      <c r="A6044" s="1" t="str">
        <f>"517697"</f>
        <v>517697</v>
      </c>
      <c r="B6044" s="2" t="str">
        <f>"CHAPA PISO XADREIZADA 1200X2000X3MM"</f>
        <v>CHAPA PISO XADREIZADA 1200X2000X3MM</v>
      </c>
      <c r="C6044" s="2" t="str">
        <f t="shared" si="240"/>
        <v>UN</v>
      </c>
      <c r="D6044" s="7">
        <v>1700</v>
      </c>
      <c r="E6044" s="3">
        <v>10</v>
      </c>
      <c r="F6044" s="3">
        <v>10</v>
      </c>
      <c r="G6044" t="s">
        <v>514</v>
      </c>
    </row>
    <row r="6045" spans="1:7" x14ac:dyDescent="0.25">
      <c r="A6045" s="1" t="str">
        <f>"518815"</f>
        <v>518815</v>
      </c>
      <c r="B6045" s="2" t="str">
        <f>"CHAPA PISO XADREIZADA 1220X3000X3MM"</f>
        <v>CHAPA PISO XADREIZADA 1220X3000X3MM</v>
      </c>
      <c r="C6045" s="2" t="str">
        <f t="shared" si="240"/>
        <v>UN</v>
      </c>
      <c r="D6045" s="7">
        <v>1700</v>
      </c>
      <c r="E6045" s="3">
        <v>10</v>
      </c>
      <c r="F6045" s="3">
        <v>10</v>
      </c>
      <c r="G6045" t="s">
        <v>515</v>
      </c>
    </row>
    <row r="6046" spans="1:7" x14ac:dyDescent="0.25">
      <c r="A6046" s="1" t="str">
        <f>"527695"</f>
        <v>527695</v>
      </c>
      <c r="B6046" s="2" t="str">
        <f>"CHAPA PISO XADREIZADA INOX 1200X2000X3,18MM"</f>
        <v>CHAPA PISO XADREIZADA INOX 1200X2000X3,18MM</v>
      </c>
      <c r="C6046" s="2" t="str">
        <f t="shared" si="240"/>
        <v>UN</v>
      </c>
      <c r="D6046" s="7">
        <v>1700</v>
      </c>
      <c r="E6046" s="3">
        <v>10</v>
      </c>
      <c r="F6046" s="3">
        <v>10</v>
      </c>
      <c r="G6046" t="s">
        <v>512</v>
      </c>
    </row>
    <row r="6047" spans="1:7" x14ac:dyDescent="0.25">
      <c r="A6047" s="1" t="str">
        <f>"506033"</f>
        <v>506033</v>
      </c>
      <c r="B6047" s="2" t="str">
        <f>"CHAPA POLICARBONATO 1000X2000X8MM"</f>
        <v>CHAPA POLICARBONATO 1000X2000X8MM</v>
      </c>
      <c r="C6047" s="2" t="str">
        <f>"PC"</f>
        <v>PC</v>
      </c>
      <c r="D6047" s="7">
        <v>806</v>
      </c>
      <c r="E6047" s="3">
        <v>10</v>
      </c>
      <c r="F6047" s="3">
        <v>10</v>
      </c>
      <c r="G6047" t="s">
        <v>516</v>
      </c>
    </row>
    <row r="6048" spans="1:7" x14ac:dyDescent="0.25">
      <c r="A6048" s="1" t="str">
        <f>"506034"</f>
        <v>506034</v>
      </c>
      <c r="B6048" s="2" t="str">
        <f>"CHAPA POLICARBONATO 3000X1600X8MM"</f>
        <v>CHAPA POLICARBONATO 3000X1600X8MM</v>
      </c>
      <c r="C6048" s="2" t="str">
        <f>"PC"</f>
        <v>PC</v>
      </c>
      <c r="D6048" s="7">
        <v>806</v>
      </c>
      <c r="E6048" s="3">
        <v>10</v>
      </c>
      <c r="F6048" s="3">
        <v>10</v>
      </c>
      <c r="G6048" t="s">
        <v>515</v>
      </c>
    </row>
    <row r="6049" spans="1:7" x14ac:dyDescent="0.25">
      <c r="A6049" s="1" t="str">
        <f>"503943"</f>
        <v>503943</v>
      </c>
      <c r="B6049" s="2" t="str">
        <f>"CHAPA POLICARBONATO COMPACTA CRISTAL 1500MM X 1000MM X 6MM"</f>
        <v>CHAPA POLICARBONATO COMPACTA CRISTAL 1500MM X 1000MM X 6MM</v>
      </c>
      <c r="C6049" s="2" t="str">
        <f>"UN"</f>
        <v>UN</v>
      </c>
      <c r="D6049" s="7">
        <v>402</v>
      </c>
      <c r="E6049" s="3">
        <v>4</v>
      </c>
      <c r="F6049" s="3">
        <v>4</v>
      </c>
      <c r="G6049" t="s">
        <v>514</v>
      </c>
    </row>
    <row r="6050" spans="1:7" x14ac:dyDescent="0.25">
      <c r="A6050" s="1" t="str">
        <f>"506042"</f>
        <v>506042</v>
      </c>
      <c r="B6050" s="2" t="str">
        <f>"CHAPA POLICARBONATO COMPACTA CRISTAL 2000X1000X06M"</f>
        <v>CHAPA POLICARBONATO COMPACTA CRISTAL 2000X1000X06M</v>
      </c>
      <c r="C6050" s="2" t="str">
        <f>"UN"</f>
        <v>UN</v>
      </c>
      <c r="D6050" s="7">
        <v>918</v>
      </c>
      <c r="E6050" s="3">
        <v>10</v>
      </c>
      <c r="F6050" s="3">
        <v>10</v>
      </c>
      <c r="G6050" t="s">
        <v>512</v>
      </c>
    </row>
    <row r="6051" spans="1:7" x14ac:dyDescent="0.25">
      <c r="A6051" s="1" t="str">
        <f>"527861"</f>
        <v>527861</v>
      </c>
      <c r="B6051" s="2" t="str">
        <f>"CHAPA POLICARBONATO COMPACTA TRANSP. 2000X6000X08MM"</f>
        <v>CHAPA POLICARBONATO COMPACTA TRANSP. 2000X6000X08MM</v>
      </c>
      <c r="C6051" s="2" t="str">
        <f>"UN"</f>
        <v>UN</v>
      </c>
      <c r="D6051" s="7">
        <v>918</v>
      </c>
      <c r="E6051" s="3">
        <v>10</v>
      </c>
      <c r="F6051" s="3">
        <v>10</v>
      </c>
      <c r="G6051" t="s">
        <v>513</v>
      </c>
    </row>
    <row r="6052" spans="1:7" x14ac:dyDescent="0.25">
      <c r="A6052" s="1" t="str">
        <f>"514795"</f>
        <v>514795</v>
      </c>
      <c r="B6052" s="2" t="str">
        <f>"CHAPA POLICARBONATO COMPACTO CRISTAL 5,0X2050X1000MMM"</f>
        <v>CHAPA POLICARBONATO COMPACTO CRISTAL 5,0X2050X1000MMM</v>
      </c>
      <c r="C6052" s="2" t="str">
        <f>"UN"</f>
        <v>UN</v>
      </c>
      <c r="D6052" s="7">
        <v>917</v>
      </c>
      <c r="E6052" s="3">
        <v>10</v>
      </c>
      <c r="F6052" s="3">
        <v>10</v>
      </c>
      <c r="G6052" t="s">
        <v>514</v>
      </c>
    </row>
    <row r="6053" spans="1:7" x14ac:dyDescent="0.25">
      <c r="A6053" s="1" t="str">
        <f>"514796"</f>
        <v>514796</v>
      </c>
      <c r="B6053" s="2" t="str">
        <f>"CHAPA POLICARBONATO COMPACTO CRISTAL 5,0X2050X6000MMM"</f>
        <v>CHAPA POLICARBONATO COMPACTO CRISTAL 5,0X2050X6000MMM</v>
      </c>
      <c r="C6053" s="2" t="str">
        <f>"UN"</f>
        <v>UN</v>
      </c>
      <c r="D6053" s="7">
        <v>917</v>
      </c>
      <c r="E6053" s="3">
        <v>10</v>
      </c>
      <c r="F6053" s="3">
        <v>10</v>
      </c>
      <c r="G6053" t="s">
        <v>514</v>
      </c>
    </row>
    <row r="6054" spans="1:7" x14ac:dyDescent="0.25">
      <c r="A6054" s="1" t="str">
        <f>"506130"</f>
        <v>506130</v>
      </c>
      <c r="B6054" s="2" t="str">
        <f>"CHAPA POLICARBONATO CRISTAL 1000X800X4MM"</f>
        <v>CHAPA POLICARBONATO CRISTAL 1000X800X4MM</v>
      </c>
      <c r="C6054" s="2" t="str">
        <f>"PC"</f>
        <v>PC</v>
      </c>
      <c r="D6054" s="7">
        <v>806</v>
      </c>
      <c r="E6054" s="3">
        <v>10</v>
      </c>
      <c r="F6054" s="3">
        <v>10</v>
      </c>
      <c r="G6054" t="s">
        <v>512</v>
      </c>
    </row>
    <row r="6055" spans="1:7" x14ac:dyDescent="0.25">
      <c r="A6055" s="1" t="str">
        <f>"506039"</f>
        <v>506039</v>
      </c>
      <c r="B6055" s="2" t="str">
        <f>"CHAPA POLICARBONATO CRISTAL 1220 X 3000 X 6MM"</f>
        <v>CHAPA POLICARBONATO CRISTAL 1220 X 3000 X 6MM</v>
      </c>
      <c r="C6055" s="2" t="str">
        <f>"UN"</f>
        <v>UN</v>
      </c>
      <c r="D6055" s="7">
        <v>402</v>
      </c>
      <c r="E6055" s="3">
        <v>4</v>
      </c>
      <c r="F6055" s="3">
        <v>4</v>
      </c>
      <c r="G6055" t="s">
        <v>513</v>
      </c>
    </row>
    <row r="6056" spans="1:7" x14ac:dyDescent="0.25">
      <c r="A6056" s="1" t="str">
        <f>"512770"</f>
        <v>512770</v>
      </c>
      <c r="B6056" s="2" t="str">
        <f>"CHAPA POLICARBONATO CRISTAL 1220 X 3000 X 8MM"</f>
        <v>CHAPA POLICARBONATO CRISTAL 1220 X 3000 X 8MM</v>
      </c>
      <c r="C6056" s="2" t="str">
        <f>"PC"</f>
        <v>PC</v>
      </c>
      <c r="D6056" s="7">
        <v>806</v>
      </c>
      <c r="E6056" s="3">
        <v>10</v>
      </c>
      <c r="F6056" s="3">
        <v>10</v>
      </c>
      <c r="G6056" t="s">
        <v>514</v>
      </c>
    </row>
    <row r="6057" spans="1:7" x14ac:dyDescent="0.25">
      <c r="A6057" s="1" t="str">
        <f>"517427"</f>
        <v>517427</v>
      </c>
      <c r="B6057" s="2" t="str">
        <f>"CHAPA POLICARBONATO CRISTAL 1220X3000X10M"</f>
        <v>CHAPA POLICARBONATO CRISTAL 1220X3000X10M</v>
      </c>
      <c r="C6057" s="2" t="str">
        <f>"UN"</f>
        <v>UN</v>
      </c>
      <c r="D6057" s="7">
        <v>1300</v>
      </c>
      <c r="E6057" s="3">
        <v>10</v>
      </c>
      <c r="F6057" s="3">
        <v>10</v>
      </c>
      <c r="G6057" t="s">
        <v>514</v>
      </c>
    </row>
    <row r="6058" spans="1:7" x14ac:dyDescent="0.25">
      <c r="A6058" s="1" t="str">
        <f>"505931"</f>
        <v>505931</v>
      </c>
      <c r="B6058" s="2" t="str">
        <f>"CHAPA POLICARBONATO CRISTAL 1275X675X6MM"</f>
        <v>CHAPA POLICARBONATO CRISTAL 1275X675X6MM</v>
      </c>
      <c r="C6058" s="2" t="str">
        <f>"UN"</f>
        <v>UN</v>
      </c>
      <c r="D6058" s="7">
        <v>918</v>
      </c>
      <c r="E6058" s="3">
        <v>11</v>
      </c>
      <c r="F6058" s="3">
        <v>11</v>
      </c>
      <c r="G6058" t="s">
        <v>514</v>
      </c>
    </row>
    <row r="6059" spans="1:7" x14ac:dyDescent="0.25">
      <c r="A6059" s="1" t="str">
        <f>"506133"</f>
        <v>506133</v>
      </c>
      <c r="B6059" s="2" t="str">
        <f>"CHAPA POLICARBONATO CRISTAL 1500X1000X05MM"</f>
        <v>CHAPA POLICARBONATO CRISTAL 1500X1000X05MM</v>
      </c>
      <c r="C6059" s="2" t="str">
        <f>"UN"</f>
        <v>UN</v>
      </c>
      <c r="D6059" s="7">
        <v>917</v>
      </c>
      <c r="E6059" s="3">
        <v>10</v>
      </c>
      <c r="F6059" s="3">
        <v>10</v>
      </c>
      <c r="G6059" t="s">
        <v>513</v>
      </c>
    </row>
    <row r="6060" spans="1:7" x14ac:dyDescent="0.25">
      <c r="A6060" s="1" t="str">
        <f>"506129"</f>
        <v>506129</v>
      </c>
      <c r="B6060" s="2" t="str">
        <f>"CHAPA POLICARBONATO CRISTAL 1500X610X4MM"</f>
        <v>CHAPA POLICARBONATO CRISTAL 1500X610X4MM</v>
      </c>
      <c r="C6060" s="2" t="str">
        <f>"PC"</f>
        <v>PC</v>
      </c>
      <c r="D6060" s="7">
        <v>806</v>
      </c>
      <c r="E6060" s="3">
        <v>10</v>
      </c>
      <c r="F6060" s="3">
        <v>10</v>
      </c>
      <c r="G6060" t="s">
        <v>512</v>
      </c>
    </row>
    <row r="6061" spans="1:7" x14ac:dyDescent="0.25">
      <c r="A6061" s="1" t="str">
        <f>"503751"</f>
        <v>503751</v>
      </c>
      <c r="B6061" s="2" t="str">
        <f>"CHAPA POLICARBONATO CRISTAL 1880X880X6MM"</f>
        <v>CHAPA POLICARBONATO CRISTAL 1880X880X6MM</v>
      </c>
      <c r="C6061" s="2" t="str">
        <f>"UN"</f>
        <v>UN</v>
      </c>
      <c r="D6061" s="7">
        <v>402</v>
      </c>
      <c r="E6061" s="3">
        <v>4</v>
      </c>
      <c r="F6061" s="3">
        <v>4</v>
      </c>
      <c r="G6061" t="s">
        <v>513</v>
      </c>
    </row>
    <row r="6062" spans="1:7" x14ac:dyDescent="0.25">
      <c r="A6062" s="1" t="str">
        <f>"513062"</f>
        <v>513062</v>
      </c>
      <c r="B6062" s="2" t="str">
        <f>"CHAPA POLICARBONATO CRISTAL 2000X1000X10MM"</f>
        <v>CHAPA POLICARBONATO CRISTAL 2000X1000X10MM</v>
      </c>
      <c r="C6062" s="2" t="str">
        <f>"UN"</f>
        <v>UN</v>
      </c>
      <c r="D6062" s="7">
        <v>917</v>
      </c>
      <c r="E6062" s="3">
        <v>10</v>
      </c>
      <c r="F6062" s="3">
        <v>10</v>
      </c>
      <c r="G6062" t="s">
        <v>514</v>
      </c>
    </row>
    <row r="6063" spans="1:7" x14ac:dyDescent="0.25">
      <c r="A6063" s="1" t="str">
        <f>"506136"</f>
        <v>506136</v>
      </c>
      <c r="B6063" s="2" t="str">
        <f>"CHAPA POLICARBONATO CRISTAL 2000X1000X8MM"</f>
        <v>CHAPA POLICARBONATO CRISTAL 2000X1000X8MM</v>
      </c>
      <c r="C6063" s="2" t="str">
        <f>"UN"</f>
        <v>UN</v>
      </c>
      <c r="D6063" s="7">
        <v>917</v>
      </c>
      <c r="E6063" s="3">
        <v>10</v>
      </c>
      <c r="F6063" s="3">
        <v>10</v>
      </c>
      <c r="G6063" t="s">
        <v>514</v>
      </c>
    </row>
    <row r="6064" spans="1:7" x14ac:dyDescent="0.25">
      <c r="A6064" s="1" t="str">
        <f>"517896"</f>
        <v>517896</v>
      </c>
      <c r="B6064" s="2" t="str">
        <f>"CHAPA POLICARBONATO CRISTAL 3000X1300X08M"</f>
        <v>CHAPA POLICARBONATO CRISTAL 3000X1300X08M</v>
      </c>
      <c r="C6064" s="2" t="str">
        <f>"UN"</f>
        <v>UN</v>
      </c>
      <c r="D6064" s="7">
        <v>1300</v>
      </c>
      <c r="E6064" s="3">
        <v>10</v>
      </c>
      <c r="F6064" s="3">
        <v>10</v>
      </c>
      <c r="G6064" t="s">
        <v>514</v>
      </c>
    </row>
    <row r="6065" spans="1:7" x14ac:dyDescent="0.25">
      <c r="A6065" s="1" t="str">
        <f>"518799"</f>
        <v>518799</v>
      </c>
      <c r="B6065" s="2" t="str">
        <f>"CHAPA POLICARBONATO CRISTAL 3000X2050X4MM"</f>
        <v>CHAPA POLICARBONATO CRISTAL 3000X2050X4MM</v>
      </c>
      <c r="C6065" s="2" t="str">
        <f>"PC"</f>
        <v>PC</v>
      </c>
      <c r="D6065" s="7">
        <v>806</v>
      </c>
      <c r="E6065" s="3">
        <v>10</v>
      </c>
      <c r="F6065" s="3">
        <v>10</v>
      </c>
      <c r="G6065" t="s">
        <v>513</v>
      </c>
    </row>
    <row r="6066" spans="1:7" x14ac:dyDescent="0.25">
      <c r="A6066" s="1" t="str">
        <f>"505930"</f>
        <v>505930</v>
      </c>
      <c r="B6066" s="2" t="str">
        <f>"CHAPA POLICARBONATO CRISTAL 620X610X6MM"</f>
        <v>CHAPA POLICARBONATO CRISTAL 620X610X6MM</v>
      </c>
      <c r="C6066" s="2" t="str">
        <f t="shared" ref="C6066:C6075" si="241">"UN"</f>
        <v>UN</v>
      </c>
      <c r="D6066" s="7">
        <v>918</v>
      </c>
      <c r="E6066" s="3">
        <v>11</v>
      </c>
      <c r="F6066" s="3">
        <v>11</v>
      </c>
      <c r="G6066" t="s">
        <v>513</v>
      </c>
    </row>
    <row r="6067" spans="1:7" x14ac:dyDescent="0.25">
      <c r="A6067" s="1" t="str">
        <f>"505932"</f>
        <v>505932</v>
      </c>
      <c r="B6067" s="2" t="str">
        <f>"CHAPA POLICARBONATO CRISTAL 650X580X6MM"</f>
        <v>CHAPA POLICARBONATO CRISTAL 650X580X6MM</v>
      </c>
      <c r="C6067" s="2" t="str">
        <f t="shared" si="241"/>
        <v>UN</v>
      </c>
      <c r="D6067" s="7">
        <v>918</v>
      </c>
      <c r="E6067" s="3">
        <v>11</v>
      </c>
      <c r="F6067" s="3">
        <v>11</v>
      </c>
      <c r="G6067" t="s">
        <v>513</v>
      </c>
    </row>
    <row r="6068" spans="1:7" x14ac:dyDescent="0.25">
      <c r="A6068" s="1" t="str">
        <f>"504091"</f>
        <v>504091</v>
      </c>
      <c r="B6068" s="2" t="str">
        <f>"CHAPA POLICARBONATO CRISTAL 700X1300X6MM"</f>
        <v>CHAPA POLICARBONATO CRISTAL 700X1300X6MM</v>
      </c>
      <c r="C6068" s="2" t="str">
        <f t="shared" si="241"/>
        <v>UN</v>
      </c>
      <c r="D6068" s="7">
        <v>402</v>
      </c>
      <c r="E6068" s="3">
        <v>4</v>
      </c>
      <c r="F6068" s="3">
        <v>4</v>
      </c>
      <c r="G6068" t="s">
        <v>512</v>
      </c>
    </row>
    <row r="6069" spans="1:7" x14ac:dyDescent="0.25">
      <c r="A6069" s="1" t="str">
        <f>"503942"</f>
        <v>503942</v>
      </c>
      <c r="B6069" s="2" t="str">
        <f>"CHAPA POLICARBONATO CRISTAL 720X2000X6MM"</f>
        <v>CHAPA POLICARBONATO CRISTAL 720X2000X6MM</v>
      </c>
      <c r="C6069" s="2" t="str">
        <f t="shared" si="241"/>
        <v>UN</v>
      </c>
      <c r="D6069" s="7">
        <v>402</v>
      </c>
      <c r="E6069" s="3">
        <v>4</v>
      </c>
      <c r="F6069" s="3">
        <v>4</v>
      </c>
      <c r="G6069" t="s">
        <v>513</v>
      </c>
    </row>
    <row r="6070" spans="1:7" x14ac:dyDescent="0.25">
      <c r="A6070" s="1" t="str">
        <f>"503941"</f>
        <v>503941</v>
      </c>
      <c r="B6070" s="2" t="str">
        <f>"CHAPA POLICARBONATO CRISTAL 740X650X6MM"</f>
        <v>CHAPA POLICARBONATO CRISTAL 740X650X6MM</v>
      </c>
      <c r="C6070" s="2" t="str">
        <f t="shared" si="241"/>
        <v>UN</v>
      </c>
      <c r="D6070" s="7">
        <v>402</v>
      </c>
      <c r="E6070" s="3">
        <v>4</v>
      </c>
      <c r="F6070" s="3">
        <v>4</v>
      </c>
      <c r="G6070" t="s">
        <v>514</v>
      </c>
    </row>
    <row r="6071" spans="1:7" x14ac:dyDescent="0.25">
      <c r="A6071" s="1" t="str">
        <f>"505933"</f>
        <v>505933</v>
      </c>
      <c r="B6071" s="2" t="str">
        <f>"CHAPA POLICARBONATO CRISTAL 760X580X6MM"</f>
        <v>CHAPA POLICARBONATO CRISTAL 760X580X6MM</v>
      </c>
      <c r="C6071" s="2" t="str">
        <f t="shared" si="241"/>
        <v>UN</v>
      </c>
      <c r="D6071" s="7">
        <v>918</v>
      </c>
      <c r="E6071" s="3">
        <v>11</v>
      </c>
      <c r="F6071" s="3">
        <v>11</v>
      </c>
      <c r="G6071" t="s">
        <v>515</v>
      </c>
    </row>
    <row r="6072" spans="1:7" x14ac:dyDescent="0.25">
      <c r="A6072" s="1" t="str">
        <f>"503752"</f>
        <v>503752</v>
      </c>
      <c r="B6072" s="2" t="str">
        <f>"CHAPA POLICARBONATO CRISTAL 825X880X6MM"</f>
        <v>CHAPA POLICARBONATO CRISTAL 825X880X6MM</v>
      </c>
      <c r="C6072" s="2" t="str">
        <f t="shared" si="241"/>
        <v>UN</v>
      </c>
      <c r="D6072" s="7">
        <v>402</v>
      </c>
      <c r="E6072" s="3">
        <v>4</v>
      </c>
      <c r="F6072" s="3">
        <v>4</v>
      </c>
      <c r="G6072" t="s">
        <v>512</v>
      </c>
    </row>
    <row r="6073" spans="1:7" x14ac:dyDescent="0.25">
      <c r="A6073" s="1" t="str">
        <f>"503750"</f>
        <v>503750</v>
      </c>
      <c r="B6073" s="2" t="str">
        <f>"CHAPA POLICARBONATO CRISTAL 845X720X6MM"</f>
        <v>CHAPA POLICARBONATO CRISTAL 845X720X6MM</v>
      </c>
      <c r="C6073" s="2" t="str">
        <f t="shared" si="241"/>
        <v>UN</v>
      </c>
      <c r="D6073" s="7">
        <v>402</v>
      </c>
      <c r="E6073" s="3">
        <v>4</v>
      </c>
      <c r="F6073" s="3">
        <v>4</v>
      </c>
      <c r="G6073" t="s">
        <v>516</v>
      </c>
    </row>
    <row r="6074" spans="1:7" x14ac:dyDescent="0.25">
      <c r="A6074" s="1" t="str">
        <f>"503753"</f>
        <v>503753</v>
      </c>
      <c r="B6074" s="2" t="str">
        <f>"CHAPA POLICARBONATO CRISTAL 900X800X10MM"</f>
        <v>CHAPA POLICARBONATO CRISTAL 900X800X10MM</v>
      </c>
      <c r="C6074" s="2" t="str">
        <f t="shared" si="241"/>
        <v>UN</v>
      </c>
      <c r="D6074" s="7">
        <v>402</v>
      </c>
      <c r="E6074" s="3">
        <v>4</v>
      </c>
      <c r="F6074" s="3">
        <v>4</v>
      </c>
      <c r="G6074" t="s">
        <v>515</v>
      </c>
    </row>
    <row r="6075" spans="1:7" x14ac:dyDescent="0.25">
      <c r="A6075" s="1" t="str">
        <f>"511837"</f>
        <v>511837</v>
      </c>
      <c r="B6075" s="2" t="str">
        <f>"CHAPA PORTA EMBREAGEM"</f>
        <v>CHAPA PORTA EMBREAGEM</v>
      </c>
      <c r="C6075" s="2" t="str">
        <f t="shared" si="241"/>
        <v>UN</v>
      </c>
      <c r="D6075" s="7">
        <v>918</v>
      </c>
      <c r="E6075" s="3">
        <v>11</v>
      </c>
      <c r="F6075" s="3">
        <v>11</v>
      </c>
      <c r="G6075" t="s">
        <v>514</v>
      </c>
    </row>
    <row r="6076" spans="1:7" x14ac:dyDescent="0.25">
      <c r="A6076" s="1" t="str">
        <f>"511991"</f>
        <v>511991</v>
      </c>
      <c r="B6076" s="2" t="str">
        <f>"CHAPA PRETA 142 C 1,20"</f>
        <v>CHAPA PRETA 142 C 1,20</v>
      </c>
      <c r="C6076" s="2" t="str">
        <f>"PC"</f>
        <v>PC</v>
      </c>
      <c r="D6076" s="7">
        <v>806</v>
      </c>
      <c r="E6076" s="3">
        <v>10</v>
      </c>
      <c r="F6076" s="3">
        <v>10</v>
      </c>
      <c r="G6076" t="s">
        <v>512</v>
      </c>
    </row>
    <row r="6077" spans="1:7" x14ac:dyDescent="0.25">
      <c r="A6077" s="1" t="str">
        <f>"511990"</f>
        <v>511990</v>
      </c>
      <c r="B6077" s="2" t="str">
        <f>"CHAPA PRETA 143 X 1,20"</f>
        <v>CHAPA PRETA 143 X 1,20</v>
      </c>
      <c r="C6077" s="2" t="str">
        <f>"PC"</f>
        <v>PC</v>
      </c>
      <c r="D6077" s="7">
        <v>806</v>
      </c>
      <c r="E6077" s="3">
        <v>10</v>
      </c>
      <c r="F6077" s="3">
        <v>10</v>
      </c>
      <c r="G6077" t="s">
        <v>513</v>
      </c>
    </row>
    <row r="6078" spans="1:7" x14ac:dyDescent="0.25">
      <c r="A6078" s="1" t="str">
        <f>"501794"</f>
        <v>501794</v>
      </c>
      <c r="B6078" s="2" t="str">
        <f>"CHAPA PRETA 50X25X1/4"""</f>
        <v>CHAPA PRETA 50X25X1/4"</v>
      </c>
      <c r="C6078" s="2" t="str">
        <f>"UN"</f>
        <v>UN</v>
      </c>
      <c r="D6078" s="7">
        <v>403</v>
      </c>
      <c r="E6078" s="3">
        <v>4</v>
      </c>
      <c r="F6078" s="3">
        <v>4</v>
      </c>
      <c r="G6078" t="s">
        <v>514</v>
      </c>
    </row>
    <row r="6079" spans="1:7" x14ac:dyDescent="0.25">
      <c r="A6079" s="1" t="str">
        <f>"522707"</f>
        <v>522707</v>
      </c>
      <c r="B6079" s="2" t="str">
        <f>"CHAPA PS ADESIVADA TAMANHO A0"</f>
        <v>CHAPA PS ADESIVADA TAMANHO A0</v>
      </c>
      <c r="C6079" s="2" t="str">
        <f>"UN"</f>
        <v>UN</v>
      </c>
      <c r="D6079" s="7">
        <v>99999</v>
      </c>
      <c r="E6079" s="3">
        <v>99</v>
      </c>
      <c r="F6079" s="3">
        <v>99</v>
      </c>
      <c r="G6079" t="s">
        <v>514</v>
      </c>
    </row>
    <row r="6080" spans="1:7" x14ac:dyDescent="0.25">
      <c r="A6080" s="1" t="str">
        <f>"523221"</f>
        <v>523221</v>
      </c>
      <c r="B6080" s="2" t="str">
        <f>"CHAPA QUADRADA 100X100MM #2MM INOX"</f>
        <v>CHAPA QUADRADA 100X100MM #2MM INOX</v>
      </c>
      <c r="C6080" s="2" t="str">
        <f>"PC"</f>
        <v>PC</v>
      </c>
      <c r="D6080" s="7">
        <v>806</v>
      </c>
      <c r="E6080" s="3">
        <v>10</v>
      </c>
      <c r="F6080" s="3">
        <v>10</v>
      </c>
      <c r="G6080" t="s">
        <v>512</v>
      </c>
    </row>
    <row r="6081" spans="1:7" x14ac:dyDescent="0.25">
      <c r="A6081" s="1" t="str">
        <f>"523220"</f>
        <v>523220</v>
      </c>
      <c r="B6081" s="2" t="str">
        <f>"CHAPA QUADRADA 40X40MM #2MM INOX"</f>
        <v>CHAPA QUADRADA 40X40MM #2MM INOX</v>
      </c>
      <c r="C6081" s="2" t="str">
        <f>"PC"</f>
        <v>PC</v>
      </c>
      <c r="D6081" s="7">
        <v>806</v>
      </c>
      <c r="E6081" s="3">
        <v>10</v>
      </c>
      <c r="F6081" s="3">
        <v>10</v>
      </c>
      <c r="G6081" t="s">
        <v>513</v>
      </c>
    </row>
    <row r="6082" spans="1:7" x14ac:dyDescent="0.25">
      <c r="A6082" s="1" t="str">
        <f>"519446"</f>
        <v>519446</v>
      </c>
      <c r="B6082" s="2" t="str">
        <f>"CHAPA SAE 1020 15,87X33X63 (5) M-101"</f>
        <v>CHAPA SAE 1020 15,87X33X63 (5) M-101</v>
      </c>
      <c r="C6082" s="2" t="str">
        <f t="shared" ref="C6082:C6145" si="242">"UN"</f>
        <v>UN</v>
      </c>
      <c r="D6082" s="7">
        <v>812</v>
      </c>
      <c r="E6082" s="3">
        <v>10</v>
      </c>
      <c r="F6082" s="3">
        <v>10</v>
      </c>
      <c r="G6082" t="s">
        <v>514</v>
      </c>
    </row>
    <row r="6083" spans="1:7" x14ac:dyDescent="0.25">
      <c r="A6083" s="1" t="str">
        <f>"519444"</f>
        <v>519444</v>
      </c>
      <c r="B6083" s="2" t="str">
        <f>"CHAPA SAE 1020 22,22X243X473 (2) M-101"</f>
        <v>CHAPA SAE 1020 22,22X243X473 (2) M-101</v>
      </c>
      <c r="C6083" s="2" t="str">
        <f t="shared" si="242"/>
        <v>UN</v>
      </c>
      <c r="D6083" s="7">
        <v>812</v>
      </c>
      <c r="E6083" s="3">
        <v>10</v>
      </c>
      <c r="F6083" s="3">
        <v>10</v>
      </c>
      <c r="G6083" t="s">
        <v>514</v>
      </c>
    </row>
    <row r="6084" spans="1:7" x14ac:dyDescent="0.25">
      <c r="A6084" s="1" t="str">
        <f>"519445"</f>
        <v>519445</v>
      </c>
      <c r="B6084" s="2" t="str">
        <f>"CHAPA SAE 1020 22,22X30X380 (1) M-101"</f>
        <v>CHAPA SAE 1020 22,22X30X380 (1) M-101</v>
      </c>
      <c r="C6084" s="2" t="str">
        <f t="shared" si="242"/>
        <v>UN</v>
      </c>
      <c r="D6084" s="7">
        <v>812</v>
      </c>
      <c r="E6084" s="3">
        <v>10</v>
      </c>
      <c r="F6084" s="3">
        <v>10</v>
      </c>
      <c r="G6084" t="s">
        <v>514</v>
      </c>
    </row>
    <row r="6085" spans="1:7" x14ac:dyDescent="0.25">
      <c r="A6085" s="1" t="str">
        <f>"519447"</f>
        <v>519447</v>
      </c>
      <c r="B6085" s="2" t="str">
        <f>"CHAPA SAE 1020 44,45X50X78 (2) M-101"</f>
        <v>CHAPA SAE 1020 44,45X50X78 (2) M-101</v>
      </c>
      <c r="C6085" s="2" t="str">
        <f t="shared" si="242"/>
        <v>UN</v>
      </c>
      <c r="D6085" s="7">
        <v>812</v>
      </c>
      <c r="E6085" s="3">
        <v>10</v>
      </c>
      <c r="F6085" s="3">
        <v>10</v>
      </c>
      <c r="G6085" t="s">
        <v>513</v>
      </c>
    </row>
    <row r="6086" spans="1:7" x14ac:dyDescent="0.25">
      <c r="A6086" s="1" t="str">
        <f>"506985"</f>
        <v>506985</v>
      </c>
      <c r="B6086" s="2" t="str">
        <f>"CHAPA ZN 14 3.000X1.200X1.95MM"</f>
        <v>CHAPA ZN 14 3.000X1.200X1.95MM</v>
      </c>
      <c r="C6086" s="2" t="str">
        <f t="shared" si="242"/>
        <v>UN</v>
      </c>
      <c r="D6086" s="7">
        <v>704</v>
      </c>
      <c r="E6086" s="3">
        <v>9</v>
      </c>
      <c r="F6086" s="3">
        <v>9</v>
      </c>
      <c r="G6086" t="s">
        <v>512</v>
      </c>
    </row>
    <row r="6087" spans="1:7" x14ac:dyDescent="0.25">
      <c r="A6087" s="1" t="str">
        <f>"506768"</f>
        <v>506768</v>
      </c>
      <c r="B6087" s="2" t="str">
        <f>"CHAPA ZN 14 3.000X1.200X95MM"</f>
        <v>CHAPA ZN 14 3.000X1.200X95MM</v>
      </c>
      <c r="C6087" s="2" t="str">
        <f t="shared" si="242"/>
        <v>UN</v>
      </c>
      <c r="D6087" s="7">
        <v>917</v>
      </c>
      <c r="E6087" s="3">
        <v>11</v>
      </c>
      <c r="F6087" s="3">
        <v>11</v>
      </c>
      <c r="G6087" t="s">
        <v>513</v>
      </c>
    </row>
    <row r="6088" spans="1:7" x14ac:dyDescent="0.25">
      <c r="A6088" s="1" t="str">
        <f>"506175"</f>
        <v>506175</v>
      </c>
      <c r="B6088" s="2" t="str">
        <f>"CHAPAS DE A/C 200X200MMX1/4"</f>
        <v>CHAPAS DE A/C 200X200MMX1/4</v>
      </c>
      <c r="C6088" s="2" t="str">
        <f t="shared" si="242"/>
        <v>UN</v>
      </c>
      <c r="D6088" s="7">
        <v>402</v>
      </c>
      <c r="E6088" s="3">
        <v>4</v>
      </c>
      <c r="F6088" s="3">
        <v>4</v>
      </c>
      <c r="G6088" t="s">
        <v>514</v>
      </c>
    </row>
    <row r="6089" spans="1:7" x14ac:dyDescent="0.25">
      <c r="A6089" s="1" t="str">
        <f>"506174"</f>
        <v>506174</v>
      </c>
      <c r="B6089" s="2" t="str">
        <f>"CHAPAS DE A/C 300X500MMX1/4"</f>
        <v>CHAPAS DE A/C 300X500MMX1/4</v>
      </c>
      <c r="C6089" s="2" t="str">
        <f t="shared" si="242"/>
        <v>UN</v>
      </c>
      <c r="D6089" s="7">
        <v>402</v>
      </c>
      <c r="E6089" s="3">
        <v>4</v>
      </c>
      <c r="F6089" s="3">
        <v>4</v>
      </c>
      <c r="G6089" t="s">
        <v>514</v>
      </c>
    </row>
    <row r="6090" spans="1:7" x14ac:dyDescent="0.25">
      <c r="A6090" s="1" t="str">
        <f>"514733"</f>
        <v>514733</v>
      </c>
      <c r="B6090" s="2" t="str">
        <f>"CHAPAS PARA ELEVADOR"</f>
        <v>CHAPAS PARA ELEVADOR</v>
      </c>
      <c r="C6090" s="2" t="str">
        <f t="shared" si="242"/>
        <v>UN</v>
      </c>
      <c r="D6090" s="7">
        <v>918</v>
      </c>
      <c r="E6090" s="3">
        <v>10</v>
      </c>
      <c r="F6090" s="3">
        <v>10</v>
      </c>
      <c r="G6090" t="s">
        <v>514</v>
      </c>
    </row>
    <row r="6091" spans="1:7" x14ac:dyDescent="0.25">
      <c r="A6091" s="1" t="str">
        <f>"511619"</f>
        <v>511619</v>
      </c>
      <c r="B6091" s="2" t="str">
        <f>"CHAPAS PORTA EMBREAGENS"</f>
        <v>CHAPAS PORTA EMBREAGENS</v>
      </c>
      <c r="C6091" s="2" t="str">
        <f t="shared" si="242"/>
        <v>UN</v>
      </c>
      <c r="D6091" s="7">
        <v>918</v>
      </c>
      <c r="E6091" s="3">
        <v>11</v>
      </c>
      <c r="F6091" s="3">
        <v>11</v>
      </c>
      <c r="G6091" t="s">
        <v>513</v>
      </c>
    </row>
    <row r="6092" spans="1:7" x14ac:dyDescent="0.25">
      <c r="A6092" s="1" t="str">
        <f>"523900"</f>
        <v>523900</v>
      </c>
      <c r="B6092" s="2" t="str">
        <f>"CHAPEU"</f>
        <v>CHAPEU</v>
      </c>
      <c r="C6092" s="2" t="str">
        <f t="shared" si="242"/>
        <v>UN</v>
      </c>
      <c r="D6092" s="7">
        <v>401</v>
      </c>
      <c r="E6092" s="3">
        <v>4</v>
      </c>
      <c r="F6092" s="3">
        <v>4</v>
      </c>
      <c r="G6092" t="s">
        <v>513</v>
      </c>
    </row>
    <row r="6093" spans="1:7" x14ac:dyDescent="0.25">
      <c r="A6093" s="1" t="str">
        <f>"516252"</f>
        <v>516252</v>
      </c>
      <c r="B6093" s="2" t="str">
        <f>"CHAPEU CHINÊS 750MM DIAM. 15CM ABERT. CHAPA 10MM AÇO CARBONO"</f>
        <v>CHAPEU CHINÊS 750MM DIAM. 15CM ABERT. CHAPA 10MM AÇO CARBONO</v>
      </c>
      <c r="C6093" s="2" t="str">
        <f t="shared" si="242"/>
        <v>UN</v>
      </c>
      <c r="D6093" s="7">
        <v>1700</v>
      </c>
      <c r="E6093" s="3">
        <v>10</v>
      </c>
      <c r="F6093" s="3">
        <v>10</v>
      </c>
      <c r="G6093" t="s">
        <v>513</v>
      </c>
    </row>
    <row r="6094" spans="1:7" x14ac:dyDescent="0.25">
      <c r="A6094" s="1" t="str">
        <f>"516064"</f>
        <v>516064</v>
      </c>
      <c r="B6094" s="2" t="str">
        <f>"CHAPEU CHINÊS CAXA D'AGUA 3MM BASE CAIXA 2500MM"</f>
        <v>CHAPEU CHINÊS CAXA D'AGUA 3MM BASE CAIXA 2500MM</v>
      </c>
      <c r="C6094" s="2" t="str">
        <f t="shared" si="242"/>
        <v>UN</v>
      </c>
      <c r="D6094" s="7">
        <v>99999</v>
      </c>
      <c r="E6094" s="3">
        <v>99</v>
      </c>
      <c r="F6094" s="3">
        <v>99</v>
      </c>
      <c r="G6094" t="s">
        <v>512</v>
      </c>
    </row>
    <row r="6095" spans="1:7" x14ac:dyDescent="0.25">
      <c r="A6095" s="1" t="str">
        <f>"523801"</f>
        <v>523801</v>
      </c>
      <c r="B6095" s="2" t="str">
        <f>"CHAPINHA CABELO"</f>
        <v>CHAPINHA CABELO</v>
      </c>
      <c r="C6095" s="2" t="str">
        <f t="shared" si="242"/>
        <v>UN</v>
      </c>
      <c r="D6095" s="7">
        <v>99999</v>
      </c>
      <c r="E6095" s="3">
        <v>99</v>
      </c>
      <c r="F6095" s="3">
        <v>99</v>
      </c>
      <c r="G6095" t="s">
        <v>513</v>
      </c>
    </row>
    <row r="6096" spans="1:7" x14ac:dyDescent="0.25">
      <c r="A6096" s="1" t="str">
        <f>"515406"</f>
        <v>515406</v>
      </c>
      <c r="B6096" s="2" t="str">
        <f>"CHARMTESTE HEXIS DG660 (1 LATA COM 100 FITAS)"</f>
        <v>CHARMTESTE HEXIS DG660 (1 LATA COM 100 FITAS)</v>
      </c>
      <c r="C6096" s="2" t="str">
        <f t="shared" si="242"/>
        <v>UN</v>
      </c>
      <c r="D6096" s="7">
        <v>406</v>
      </c>
      <c r="E6096" s="3">
        <v>4</v>
      </c>
      <c r="F6096" s="3">
        <v>4</v>
      </c>
      <c r="G6096" t="s">
        <v>514</v>
      </c>
    </row>
    <row r="6097" spans="1:7" x14ac:dyDescent="0.25">
      <c r="A6097" s="1" t="str">
        <f>"523894"</f>
        <v>523894</v>
      </c>
      <c r="B6097" s="2" t="str">
        <f>"CHARMTESTE HEXIS HX0066-00385"</f>
        <v>CHARMTESTE HEXIS HX0066-00385</v>
      </c>
      <c r="C6097" s="2" t="str">
        <f t="shared" si="242"/>
        <v>UN</v>
      </c>
      <c r="D6097" s="7">
        <v>99999</v>
      </c>
      <c r="E6097" s="3">
        <v>99</v>
      </c>
      <c r="F6097" s="3">
        <v>99</v>
      </c>
      <c r="G6097" t="s">
        <v>515</v>
      </c>
    </row>
    <row r="6098" spans="1:7" x14ac:dyDescent="0.25">
      <c r="A6098" s="1" t="str">
        <f>"510687"</f>
        <v>510687</v>
      </c>
      <c r="B6098" s="2" t="str">
        <f>"CHASSI VW/24.250 CLC 6X2 CONSTELLATION"</f>
        <v>CHASSI VW/24.250 CLC 6X2 CONSTELLATION</v>
      </c>
      <c r="C6098" s="2" t="str">
        <f t="shared" si="242"/>
        <v>UN</v>
      </c>
      <c r="D6098" s="7">
        <v>1700</v>
      </c>
      <c r="E6098" s="3">
        <v>13</v>
      </c>
      <c r="F6098" s="3">
        <v>13</v>
      </c>
      <c r="G6098" t="s">
        <v>512</v>
      </c>
    </row>
    <row r="6099" spans="1:7" x14ac:dyDescent="0.25">
      <c r="A6099" s="1" t="str">
        <f>"522878"</f>
        <v>522878</v>
      </c>
      <c r="B6099" s="2" t="str">
        <f>"CHAVE 1"" SMS EPECIAL (GREGO)"</f>
        <v>CHAVE 1" SMS EPECIAL (GREGO)</v>
      </c>
      <c r="C6099" s="2" t="str">
        <f t="shared" si="242"/>
        <v>UN</v>
      </c>
      <c r="D6099" s="7">
        <v>817</v>
      </c>
      <c r="E6099" s="3">
        <v>10</v>
      </c>
      <c r="F6099" s="3">
        <v>10</v>
      </c>
      <c r="G6099" t="s">
        <v>516</v>
      </c>
    </row>
    <row r="6100" spans="1:7" x14ac:dyDescent="0.25">
      <c r="A6100" s="1" t="str">
        <f>"513587"</f>
        <v>513587</v>
      </c>
      <c r="B6100" s="2" t="str">
        <f>"CHAVE ACIONAMENTO 5311128 IE16-S1"</f>
        <v>CHAVE ACIONAMENTO 5311128 IE16-S1</v>
      </c>
      <c r="C6100" s="2" t="str">
        <f t="shared" si="242"/>
        <v>UN</v>
      </c>
      <c r="D6100" s="7">
        <v>811</v>
      </c>
      <c r="E6100" s="3">
        <v>8</v>
      </c>
      <c r="F6100" s="3">
        <v>8</v>
      </c>
      <c r="G6100" t="s">
        <v>515</v>
      </c>
    </row>
    <row r="6101" spans="1:7" x14ac:dyDescent="0.25">
      <c r="A6101" s="1" t="str">
        <f>"527495"</f>
        <v>527495</v>
      </c>
      <c r="B6101" s="2" t="str">
        <f>"CHAVE AJUST. 10"" ISOL. 1000V IEC/NR10 44310/010 TRAMONTPRO"</f>
        <v>CHAVE AJUST. 10" ISOL. 1000V IEC/NR10 44310/010 TRAMONTPRO</v>
      </c>
      <c r="C6101" s="2" t="str">
        <f t="shared" si="242"/>
        <v>UN</v>
      </c>
      <c r="D6101" s="7">
        <v>99999</v>
      </c>
      <c r="E6101" s="3">
        <v>99</v>
      </c>
      <c r="F6101" s="3">
        <v>99</v>
      </c>
      <c r="G6101" t="s">
        <v>514</v>
      </c>
    </row>
    <row r="6102" spans="1:7" x14ac:dyDescent="0.25">
      <c r="A6102" s="1" t="str">
        <f>"503958"</f>
        <v>503958</v>
      </c>
      <c r="B6102" s="2" t="str">
        <f>"CHAVE AJUSTAVEL 12"</f>
        <v>CHAVE AJUSTAVEL 12</v>
      </c>
      <c r="C6102" s="2" t="str">
        <f t="shared" si="242"/>
        <v>UN</v>
      </c>
      <c r="D6102" s="7">
        <v>402</v>
      </c>
      <c r="E6102" s="3">
        <v>4</v>
      </c>
      <c r="F6102" s="3">
        <v>4</v>
      </c>
      <c r="G6102" t="s">
        <v>512</v>
      </c>
    </row>
    <row r="6103" spans="1:7" x14ac:dyDescent="0.25">
      <c r="A6103" s="1" t="str">
        <f>"518342"</f>
        <v>518342</v>
      </c>
      <c r="B6103" s="2" t="str">
        <f>"CHAVE ALLEN 08MM"</f>
        <v>CHAVE ALLEN 08MM</v>
      </c>
      <c r="C6103" s="2" t="str">
        <f t="shared" si="242"/>
        <v>UN</v>
      </c>
      <c r="D6103" s="7">
        <v>920</v>
      </c>
      <c r="E6103" s="3">
        <v>4</v>
      </c>
      <c r="F6103" s="3">
        <v>4</v>
      </c>
      <c r="G6103" t="s">
        <v>513</v>
      </c>
    </row>
    <row r="6104" spans="1:7" x14ac:dyDescent="0.25">
      <c r="A6104" s="1" t="str">
        <f>"511246"</f>
        <v>511246</v>
      </c>
      <c r="B6104" s="2" t="str">
        <f>"CHAVE ALLEN 1,5MM"</f>
        <v>CHAVE ALLEN 1,5MM</v>
      </c>
      <c r="C6104" s="2" t="str">
        <f t="shared" si="242"/>
        <v>UN</v>
      </c>
      <c r="D6104" s="7">
        <v>402</v>
      </c>
      <c r="E6104" s="3">
        <v>4</v>
      </c>
      <c r="F6104" s="3">
        <v>4</v>
      </c>
      <c r="G6104" t="s">
        <v>514</v>
      </c>
    </row>
    <row r="6105" spans="1:7" x14ac:dyDescent="0.25">
      <c r="A6105" s="1" t="str">
        <f>"528060"</f>
        <v>528060</v>
      </c>
      <c r="B6105" s="2" t="str">
        <f>"CHAVE ALLEN 10MM"</f>
        <v>CHAVE ALLEN 10MM</v>
      </c>
      <c r="C6105" s="2" t="str">
        <f t="shared" si="242"/>
        <v>UN</v>
      </c>
      <c r="D6105" s="7">
        <v>920</v>
      </c>
      <c r="E6105" s="3">
        <v>4</v>
      </c>
      <c r="F6105" s="3">
        <v>4</v>
      </c>
      <c r="G6105" t="s">
        <v>514</v>
      </c>
    </row>
    <row r="6106" spans="1:7" x14ac:dyDescent="0.25">
      <c r="A6106" s="1" t="str">
        <f>"516190"</f>
        <v>516190</v>
      </c>
      <c r="B6106" s="2" t="str">
        <f>"CHAVE ALLEN 12MM"</f>
        <v>CHAVE ALLEN 12MM</v>
      </c>
      <c r="C6106" s="2" t="str">
        <f t="shared" si="242"/>
        <v>UN</v>
      </c>
      <c r="D6106" s="7">
        <v>920</v>
      </c>
      <c r="E6106" s="3">
        <v>4</v>
      </c>
      <c r="F6106" s="3">
        <v>4</v>
      </c>
      <c r="G6106" t="s">
        <v>512</v>
      </c>
    </row>
    <row r="6107" spans="1:7" x14ac:dyDescent="0.25">
      <c r="A6107" s="1" t="str">
        <f>"506031"</f>
        <v>506031</v>
      </c>
      <c r="B6107" s="2" t="str">
        <f>"CHAVE ALLEN 14MM"</f>
        <v>CHAVE ALLEN 14MM</v>
      </c>
      <c r="C6107" s="2" t="str">
        <f t="shared" si="242"/>
        <v>UN</v>
      </c>
      <c r="D6107" s="7">
        <v>402</v>
      </c>
      <c r="E6107" s="3">
        <v>4</v>
      </c>
      <c r="F6107" s="3">
        <v>4</v>
      </c>
      <c r="G6107" t="s">
        <v>513</v>
      </c>
    </row>
    <row r="6108" spans="1:7" x14ac:dyDescent="0.25">
      <c r="A6108" s="1" t="str">
        <f>"513319"</f>
        <v>513319</v>
      </c>
      <c r="B6108" s="2" t="str">
        <f>"CHAVE ALLEN 17MM GEDORE/BELZER"</f>
        <v>CHAVE ALLEN 17MM GEDORE/BELZER</v>
      </c>
      <c r="C6108" s="2" t="str">
        <f t="shared" si="242"/>
        <v>UN</v>
      </c>
      <c r="D6108" s="7">
        <v>920</v>
      </c>
      <c r="E6108" s="3">
        <v>11</v>
      </c>
      <c r="F6108" s="3">
        <v>11</v>
      </c>
      <c r="G6108" t="s">
        <v>514</v>
      </c>
    </row>
    <row r="6109" spans="1:7" x14ac:dyDescent="0.25">
      <c r="A6109" s="1" t="str">
        <f>"509650"</f>
        <v>509650</v>
      </c>
      <c r="B6109" s="2" t="str">
        <f>"CHAVE ALLEN 2,5MM"</f>
        <v>CHAVE ALLEN 2,5MM</v>
      </c>
      <c r="C6109" s="2" t="str">
        <f t="shared" si="242"/>
        <v>UN</v>
      </c>
      <c r="D6109" s="7">
        <v>402</v>
      </c>
      <c r="E6109" s="3">
        <v>4</v>
      </c>
      <c r="F6109" s="3">
        <v>4</v>
      </c>
      <c r="G6109" t="s">
        <v>514</v>
      </c>
    </row>
    <row r="6110" spans="1:7" x14ac:dyDescent="0.25">
      <c r="A6110" s="1" t="str">
        <f>"519011"</f>
        <v>519011</v>
      </c>
      <c r="B6110" s="2" t="str">
        <f>"CHAVE ALLEN 3MM"</f>
        <v>CHAVE ALLEN 3MM</v>
      </c>
      <c r="C6110" s="2" t="str">
        <f t="shared" si="242"/>
        <v>UN</v>
      </c>
      <c r="D6110" s="7">
        <v>402</v>
      </c>
      <c r="E6110" s="3">
        <v>4</v>
      </c>
      <c r="F6110" s="3">
        <v>4</v>
      </c>
      <c r="G6110" t="s">
        <v>514</v>
      </c>
    </row>
    <row r="6111" spans="1:7" x14ac:dyDescent="0.25">
      <c r="A6111" s="1" t="str">
        <f>"528061"</f>
        <v>528061</v>
      </c>
      <c r="B6111" s="2" t="str">
        <f>"CHAVE ALLEN 4MM"</f>
        <v>CHAVE ALLEN 4MM</v>
      </c>
      <c r="C6111" s="2" t="str">
        <f t="shared" si="242"/>
        <v>UN</v>
      </c>
      <c r="D6111" s="7">
        <v>920</v>
      </c>
      <c r="E6111" s="3">
        <v>4</v>
      </c>
      <c r="F6111" s="3">
        <v>4</v>
      </c>
      <c r="G6111" t="s">
        <v>513</v>
      </c>
    </row>
    <row r="6112" spans="1:7" x14ac:dyDescent="0.25">
      <c r="A6112" s="1" t="str">
        <f>"519012"</f>
        <v>519012</v>
      </c>
      <c r="B6112" s="2" t="str">
        <f>"CHAVE ALLEN 5/32MM"</f>
        <v>CHAVE ALLEN 5/32MM</v>
      </c>
      <c r="C6112" s="2" t="str">
        <f t="shared" si="242"/>
        <v>UN</v>
      </c>
      <c r="D6112" s="7">
        <v>402</v>
      </c>
      <c r="E6112" s="3">
        <v>4</v>
      </c>
      <c r="F6112" s="3">
        <v>4</v>
      </c>
      <c r="G6112" t="s">
        <v>512</v>
      </c>
    </row>
    <row r="6113" spans="1:7" x14ac:dyDescent="0.25">
      <c r="A6113" s="1" t="str">
        <f>"503403"</f>
        <v>503403</v>
      </c>
      <c r="B6113" s="2" t="str">
        <f>"CHAVE ALLEN 5/8"" LONGA"</f>
        <v>CHAVE ALLEN 5/8" LONGA</v>
      </c>
      <c r="C6113" s="2" t="str">
        <f t="shared" si="242"/>
        <v>UN</v>
      </c>
      <c r="D6113" s="7">
        <v>402</v>
      </c>
      <c r="E6113" s="3">
        <v>4</v>
      </c>
      <c r="F6113" s="3">
        <v>4</v>
      </c>
      <c r="G6113" t="s">
        <v>513</v>
      </c>
    </row>
    <row r="6114" spans="1:7" x14ac:dyDescent="0.25">
      <c r="A6114" s="1" t="str">
        <f>"502196"</f>
        <v>502196</v>
      </c>
      <c r="B6114" s="2" t="str">
        <f>"CHAVE ALLEN 5MM"</f>
        <v>CHAVE ALLEN 5MM</v>
      </c>
      <c r="C6114" s="2" t="str">
        <f t="shared" si="242"/>
        <v>UN</v>
      </c>
      <c r="D6114" s="7">
        <v>920</v>
      </c>
      <c r="E6114" s="3">
        <v>4</v>
      </c>
      <c r="F6114" s="3">
        <v>4</v>
      </c>
      <c r="G6114" t="s">
        <v>514</v>
      </c>
    </row>
    <row r="6115" spans="1:7" x14ac:dyDescent="0.25">
      <c r="A6115" s="1" t="str">
        <f>"503404"</f>
        <v>503404</v>
      </c>
      <c r="B6115" s="2" t="str">
        <f>"CHAVE ALLEN 6MM"</f>
        <v>CHAVE ALLEN 6MM</v>
      </c>
      <c r="C6115" s="2" t="str">
        <f t="shared" si="242"/>
        <v>UN</v>
      </c>
      <c r="D6115" s="7">
        <v>402</v>
      </c>
      <c r="E6115" s="3">
        <v>4</v>
      </c>
      <c r="F6115" s="3">
        <v>4</v>
      </c>
      <c r="G6115" t="s">
        <v>514</v>
      </c>
    </row>
    <row r="6116" spans="1:7" x14ac:dyDescent="0.25">
      <c r="A6116" s="1" t="str">
        <f>"505323"</f>
        <v>505323</v>
      </c>
      <c r="B6116" s="2" t="str">
        <f>"CHAVE ALLEN 7/32"" LONGA"</f>
        <v>CHAVE ALLEN 7/32" LONGA</v>
      </c>
      <c r="C6116" s="2" t="str">
        <f t="shared" si="242"/>
        <v>UN</v>
      </c>
      <c r="D6116" s="7">
        <v>402</v>
      </c>
      <c r="E6116" s="3">
        <v>4</v>
      </c>
      <c r="F6116" s="3">
        <v>4</v>
      </c>
      <c r="G6116" t="s">
        <v>514</v>
      </c>
    </row>
    <row r="6117" spans="1:7" x14ac:dyDescent="0.25">
      <c r="A6117" s="1" t="str">
        <f>"518852"</f>
        <v>518852</v>
      </c>
      <c r="B6117" s="2" t="str">
        <f>"CHAVE ALLEN 8MM"</f>
        <v>CHAVE ALLEN 8MM</v>
      </c>
      <c r="C6117" s="2" t="str">
        <f t="shared" si="242"/>
        <v>UN</v>
      </c>
      <c r="D6117" s="7">
        <v>402</v>
      </c>
      <c r="E6117" s="3">
        <v>4</v>
      </c>
      <c r="F6117" s="3">
        <v>4</v>
      </c>
      <c r="G6117" t="s">
        <v>513</v>
      </c>
    </row>
    <row r="6118" spans="1:7" x14ac:dyDescent="0.25">
      <c r="A6118" s="1" t="str">
        <f>"518453"</f>
        <v>518453</v>
      </c>
      <c r="B6118" s="2" t="str">
        <f>"CHAVE ALLEN 9MM"</f>
        <v>CHAVE ALLEN 9MM</v>
      </c>
      <c r="C6118" s="2" t="str">
        <f t="shared" si="242"/>
        <v>UN</v>
      </c>
      <c r="D6118" s="7">
        <v>920</v>
      </c>
      <c r="E6118" s="3">
        <v>4</v>
      </c>
      <c r="F6118" s="3">
        <v>4</v>
      </c>
      <c r="G6118" t="s">
        <v>513</v>
      </c>
    </row>
    <row r="6119" spans="1:7" x14ac:dyDescent="0.25">
      <c r="A6119" s="1" t="str">
        <f>"526685"</f>
        <v>526685</v>
      </c>
      <c r="B6119" s="2" t="str">
        <f>"CHAVE ALLEN ABAULADA 1/8 GEDORE"</f>
        <v>CHAVE ALLEN ABAULADA 1/8 GEDORE</v>
      </c>
      <c r="C6119" s="2" t="str">
        <f t="shared" si="242"/>
        <v>UN</v>
      </c>
      <c r="D6119" s="7">
        <v>99999</v>
      </c>
      <c r="E6119" s="3">
        <v>99</v>
      </c>
      <c r="F6119" s="3">
        <v>99</v>
      </c>
      <c r="G6119" t="s">
        <v>513</v>
      </c>
    </row>
    <row r="6120" spans="1:7" x14ac:dyDescent="0.25">
      <c r="A6120" s="1" t="str">
        <f>"526682"</f>
        <v>526682</v>
      </c>
      <c r="B6120" s="2" t="str">
        <f>"CHAVE ALLEN ABAULADA 3MM GEDORE"</f>
        <v>CHAVE ALLEN ABAULADA 3MM GEDORE</v>
      </c>
      <c r="C6120" s="2" t="str">
        <f t="shared" si="242"/>
        <v>UN</v>
      </c>
      <c r="D6120" s="7">
        <v>99999</v>
      </c>
      <c r="E6120" s="3">
        <v>99</v>
      </c>
      <c r="F6120" s="3">
        <v>99</v>
      </c>
      <c r="G6120" t="s">
        <v>512</v>
      </c>
    </row>
    <row r="6121" spans="1:7" x14ac:dyDescent="0.25">
      <c r="A6121" s="1" t="str">
        <f>"526683"</f>
        <v>526683</v>
      </c>
      <c r="B6121" s="2" t="str">
        <f>"CHAVE ALLEN ABAULADA 4MM GEDORE"</f>
        <v>CHAVE ALLEN ABAULADA 4MM GEDORE</v>
      </c>
      <c r="C6121" s="2" t="str">
        <f t="shared" si="242"/>
        <v>UN</v>
      </c>
      <c r="D6121" s="7">
        <v>99999</v>
      </c>
      <c r="E6121" s="3">
        <v>99</v>
      </c>
      <c r="F6121" s="3">
        <v>99</v>
      </c>
      <c r="G6121" t="s">
        <v>513</v>
      </c>
    </row>
    <row r="6122" spans="1:7" x14ac:dyDescent="0.25">
      <c r="A6122" s="1" t="str">
        <f>"526684"</f>
        <v>526684</v>
      </c>
      <c r="B6122" s="2" t="str">
        <f>"CHAVE ALLEN ABAULADA 5MM GEDORE"</f>
        <v>CHAVE ALLEN ABAULADA 5MM GEDORE</v>
      </c>
      <c r="C6122" s="2" t="str">
        <f t="shared" si="242"/>
        <v>UN</v>
      </c>
      <c r="D6122" s="7">
        <v>99999</v>
      </c>
      <c r="E6122" s="3">
        <v>99</v>
      </c>
      <c r="F6122" s="3">
        <v>99</v>
      </c>
      <c r="G6122" t="s">
        <v>514</v>
      </c>
    </row>
    <row r="6123" spans="1:7" x14ac:dyDescent="0.25">
      <c r="A6123" s="1" t="str">
        <f>"500736"</f>
        <v>500736</v>
      </c>
      <c r="B6123" s="2" t="str">
        <f>"CHAVE ALLEN HEX LONGA 3/16"" REF.10589"</f>
        <v>CHAVE ALLEN HEX LONGA 3/16" REF.10589</v>
      </c>
      <c r="C6123" s="2" t="str">
        <f t="shared" si="242"/>
        <v>UN</v>
      </c>
      <c r="D6123" s="7">
        <v>402</v>
      </c>
      <c r="E6123" s="3">
        <v>4</v>
      </c>
      <c r="F6123" s="3">
        <v>4</v>
      </c>
      <c r="G6123" t="s">
        <v>515</v>
      </c>
    </row>
    <row r="6124" spans="1:7" x14ac:dyDescent="0.25">
      <c r="A6124" s="1" t="str">
        <f>"518750"</f>
        <v>518750</v>
      </c>
      <c r="B6124" s="2" t="str">
        <f>"CHAVE AR 3 ESTAGIOS PAINEL RODOAR"</f>
        <v>CHAVE AR 3 ESTAGIOS PAINEL RODOAR</v>
      </c>
      <c r="C6124" s="2" t="str">
        <f t="shared" si="242"/>
        <v>UN</v>
      </c>
      <c r="D6124" s="7">
        <v>918</v>
      </c>
      <c r="E6124" s="3">
        <v>9</v>
      </c>
      <c r="F6124" s="3">
        <v>9</v>
      </c>
      <c r="G6124" t="s">
        <v>512</v>
      </c>
    </row>
    <row r="6125" spans="1:7" x14ac:dyDescent="0.25">
      <c r="A6125" s="1" t="str">
        <f>"522733"</f>
        <v>522733</v>
      </c>
      <c r="B6125" s="2" t="str">
        <f>"CHAVE ARTICULADA 304 1"" A 4"" ESPECIAL CABO 450MM"</f>
        <v>CHAVE ARTICULADA 304 1" A 4" ESPECIAL CABO 450MM</v>
      </c>
      <c r="C6125" s="2" t="str">
        <f t="shared" si="242"/>
        <v>UN</v>
      </c>
      <c r="D6125" s="7">
        <v>817</v>
      </c>
      <c r="E6125" s="3">
        <v>10</v>
      </c>
      <c r="F6125" s="3">
        <v>10</v>
      </c>
      <c r="G6125" t="s">
        <v>516</v>
      </c>
    </row>
    <row r="6126" spans="1:7" x14ac:dyDescent="0.25">
      <c r="A6126" s="1" t="str">
        <f>"506045"</f>
        <v>506045</v>
      </c>
      <c r="B6126" s="2" t="str">
        <f>"CHAVE ARTICULADORA PARA PORCA 1""A 4"""</f>
        <v>CHAVE ARTICULADORA PARA PORCA 1"A 4"</v>
      </c>
      <c r="C6126" s="2" t="str">
        <f t="shared" si="242"/>
        <v>UN</v>
      </c>
      <c r="D6126" s="7">
        <v>402</v>
      </c>
      <c r="E6126" s="3">
        <v>4</v>
      </c>
      <c r="F6126" s="3">
        <v>4</v>
      </c>
      <c r="G6126" t="s">
        <v>515</v>
      </c>
    </row>
    <row r="6127" spans="1:7" x14ac:dyDescent="0.25">
      <c r="A6127" s="1" t="str">
        <f>"511384"</f>
        <v>511384</v>
      </c>
      <c r="B6127" s="2" t="str">
        <f>"CHAVE AUTOMATICA MANUAL"</f>
        <v>CHAVE AUTOMATICA MANUAL</v>
      </c>
      <c r="C6127" s="2" t="str">
        <f t="shared" si="242"/>
        <v>UN</v>
      </c>
      <c r="D6127" s="7">
        <v>601</v>
      </c>
      <c r="E6127" s="3">
        <v>8</v>
      </c>
      <c r="F6127" s="3">
        <v>8</v>
      </c>
      <c r="G6127" t="s">
        <v>514</v>
      </c>
    </row>
    <row r="6128" spans="1:7" x14ac:dyDescent="0.25">
      <c r="A6128" s="1" t="str">
        <f>"526056"</f>
        <v>526056</v>
      </c>
      <c r="B6128" s="2" t="str">
        <f>"CHAVE AUXILIAR FRONTAL  3RV1901-1E (1NA+1NF)"</f>
        <v>CHAVE AUXILIAR FRONTAL  3RV1901-1E (1NA+1NF)</v>
      </c>
      <c r="C6128" s="2" t="str">
        <f t="shared" si="242"/>
        <v>UN</v>
      </c>
      <c r="D6128" s="7">
        <v>600</v>
      </c>
      <c r="E6128" s="3">
        <v>8</v>
      </c>
      <c r="F6128" s="3">
        <v>8</v>
      </c>
      <c r="G6128" t="s">
        <v>512</v>
      </c>
    </row>
    <row r="6129" spans="1:7" x14ac:dyDescent="0.25">
      <c r="A6129" s="1" t="str">
        <f>"518721"</f>
        <v>518721</v>
      </c>
      <c r="B6129" s="2" t="str">
        <f>"CHAVE AUXILIAR FRONTAL 1NA+1NF 3RV2901-1E"</f>
        <v>CHAVE AUXILIAR FRONTAL 1NA+1NF 3RV2901-1E</v>
      </c>
      <c r="C6129" s="2" t="str">
        <f t="shared" si="242"/>
        <v>UN</v>
      </c>
      <c r="D6129" s="7">
        <v>600</v>
      </c>
      <c r="E6129" s="3">
        <v>8</v>
      </c>
      <c r="F6129" s="3">
        <v>8</v>
      </c>
      <c r="G6129" t="s">
        <v>513</v>
      </c>
    </row>
    <row r="6130" spans="1:7" x14ac:dyDescent="0.25">
      <c r="A6130" s="1" t="str">
        <f>"503516"</f>
        <v>503516</v>
      </c>
      <c r="B6130" s="2" t="str">
        <f>"CHAVE BIELA 08MM REF.42805/008"</f>
        <v>CHAVE BIELA 08MM REF.42805/008</v>
      </c>
      <c r="C6130" s="2" t="str">
        <f t="shared" si="242"/>
        <v>UN</v>
      </c>
      <c r="D6130" s="7">
        <v>402</v>
      </c>
      <c r="E6130" s="3">
        <v>4</v>
      </c>
      <c r="F6130" s="3">
        <v>4</v>
      </c>
      <c r="G6130" t="s">
        <v>514</v>
      </c>
    </row>
    <row r="6131" spans="1:7" x14ac:dyDescent="0.25">
      <c r="A6131" s="1" t="str">
        <f>"517313"</f>
        <v>517313</v>
      </c>
      <c r="B6131" s="2" t="str">
        <f>"CHAVE BIELA 1/2"</f>
        <v>CHAVE BIELA 1/2</v>
      </c>
      <c r="C6131" s="2" t="str">
        <f t="shared" si="242"/>
        <v>UN</v>
      </c>
      <c r="D6131" s="7">
        <v>920</v>
      </c>
      <c r="E6131" s="3">
        <v>4</v>
      </c>
      <c r="F6131" s="3">
        <v>4</v>
      </c>
      <c r="G6131" t="s">
        <v>514</v>
      </c>
    </row>
    <row r="6132" spans="1:7" x14ac:dyDescent="0.25">
      <c r="A6132" s="1" t="str">
        <f>"503517"</f>
        <v>503517</v>
      </c>
      <c r="B6132" s="2" t="str">
        <f>"CHAVE BIELA 10MM REF.42805/010"</f>
        <v>CHAVE BIELA 10MM REF.42805/010</v>
      </c>
      <c r="C6132" s="2" t="str">
        <f t="shared" si="242"/>
        <v>UN</v>
      </c>
      <c r="D6132" s="7">
        <v>402</v>
      </c>
      <c r="E6132" s="3">
        <v>4</v>
      </c>
      <c r="F6132" s="3">
        <v>4</v>
      </c>
      <c r="G6132" t="s">
        <v>512</v>
      </c>
    </row>
    <row r="6133" spans="1:7" x14ac:dyDescent="0.25">
      <c r="A6133" s="1" t="str">
        <f>"504017"</f>
        <v>504017</v>
      </c>
      <c r="B6133" s="2" t="str">
        <f>"CHAVE BIELA 11MM"</f>
        <v>CHAVE BIELA 11MM</v>
      </c>
      <c r="C6133" s="2" t="str">
        <f t="shared" si="242"/>
        <v>UN</v>
      </c>
      <c r="D6133" s="7">
        <v>402</v>
      </c>
      <c r="E6133" s="3">
        <v>4</v>
      </c>
      <c r="F6133" s="3">
        <v>4</v>
      </c>
      <c r="G6133" t="s">
        <v>513</v>
      </c>
    </row>
    <row r="6134" spans="1:7" x14ac:dyDescent="0.25">
      <c r="A6134" s="1" t="str">
        <f>"517311"</f>
        <v>517311</v>
      </c>
      <c r="B6134" s="2" t="str">
        <f>"CHAVE BIELA 12MM"</f>
        <v>CHAVE BIELA 12MM</v>
      </c>
      <c r="C6134" s="2" t="str">
        <f t="shared" si="242"/>
        <v>UN</v>
      </c>
      <c r="D6134" s="7">
        <v>920</v>
      </c>
      <c r="E6134" s="3">
        <v>4</v>
      </c>
      <c r="F6134" s="3">
        <v>4</v>
      </c>
      <c r="G6134" t="s">
        <v>514</v>
      </c>
    </row>
    <row r="6135" spans="1:7" x14ac:dyDescent="0.25">
      <c r="A6135" s="1" t="str">
        <f>"517050"</f>
        <v>517050</v>
      </c>
      <c r="B6135" s="2" t="str">
        <f>"CHAVE BIELA 13MM"</f>
        <v>CHAVE BIELA 13MM</v>
      </c>
      <c r="C6135" s="2" t="str">
        <f t="shared" si="242"/>
        <v>UN</v>
      </c>
      <c r="D6135" s="7">
        <v>920</v>
      </c>
      <c r="E6135" s="3">
        <v>4</v>
      </c>
      <c r="F6135" s="3">
        <v>4</v>
      </c>
      <c r="G6135" t="s">
        <v>514</v>
      </c>
    </row>
    <row r="6136" spans="1:7" x14ac:dyDescent="0.25">
      <c r="A6136" s="1" t="str">
        <f>"517051"</f>
        <v>517051</v>
      </c>
      <c r="B6136" s="2" t="str">
        <f>"CHAVE BIELA 14MM"</f>
        <v>CHAVE BIELA 14MM</v>
      </c>
      <c r="C6136" s="2" t="str">
        <f t="shared" si="242"/>
        <v>UN</v>
      </c>
      <c r="D6136" s="7">
        <v>920</v>
      </c>
      <c r="E6136" s="3">
        <v>4</v>
      </c>
      <c r="F6136" s="3">
        <v>4</v>
      </c>
      <c r="G6136" t="s">
        <v>514</v>
      </c>
    </row>
    <row r="6137" spans="1:7" x14ac:dyDescent="0.25">
      <c r="A6137" s="1" t="str">
        <f>"503518"</f>
        <v>503518</v>
      </c>
      <c r="B6137" s="2" t="str">
        <f>"CHAVE BIELA 15MM"</f>
        <v>CHAVE BIELA 15MM</v>
      </c>
      <c r="C6137" s="2" t="str">
        <f t="shared" si="242"/>
        <v>UN</v>
      </c>
      <c r="D6137" s="7">
        <v>99999</v>
      </c>
      <c r="E6137" s="3">
        <v>99</v>
      </c>
      <c r="F6137" s="3">
        <v>99</v>
      </c>
      <c r="G6137" t="s">
        <v>513</v>
      </c>
    </row>
    <row r="6138" spans="1:7" x14ac:dyDescent="0.25">
      <c r="A6138" s="1" t="str">
        <f>"517310"</f>
        <v>517310</v>
      </c>
      <c r="B6138" s="2" t="str">
        <f>"CHAVE BIELA 16MM"</f>
        <v>CHAVE BIELA 16MM</v>
      </c>
      <c r="C6138" s="2" t="str">
        <f t="shared" si="242"/>
        <v>UN</v>
      </c>
      <c r="D6138" s="7">
        <v>920</v>
      </c>
      <c r="E6138" s="3">
        <v>4</v>
      </c>
      <c r="F6138" s="3">
        <v>4</v>
      </c>
      <c r="G6138" t="s">
        <v>512</v>
      </c>
    </row>
    <row r="6139" spans="1:7" x14ac:dyDescent="0.25">
      <c r="A6139" s="1" t="str">
        <f>"517312"</f>
        <v>517312</v>
      </c>
      <c r="B6139" s="2" t="str">
        <f>"CHAVE BIELA 17MM"</f>
        <v>CHAVE BIELA 17MM</v>
      </c>
      <c r="C6139" s="2" t="str">
        <f t="shared" si="242"/>
        <v>UN</v>
      </c>
      <c r="D6139" s="7">
        <v>920</v>
      </c>
      <c r="E6139" s="3">
        <v>4</v>
      </c>
      <c r="F6139" s="3">
        <v>4</v>
      </c>
      <c r="G6139" t="s">
        <v>513</v>
      </c>
    </row>
    <row r="6140" spans="1:7" x14ac:dyDescent="0.25">
      <c r="A6140" s="1" t="str">
        <f>"517052"</f>
        <v>517052</v>
      </c>
      <c r="B6140" s="2" t="str">
        <f>"CHAVE BIELA 19MM"</f>
        <v>CHAVE BIELA 19MM</v>
      </c>
      <c r="C6140" s="2" t="str">
        <f t="shared" si="242"/>
        <v>UN</v>
      </c>
      <c r="D6140" s="7">
        <v>920</v>
      </c>
      <c r="E6140" s="3">
        <v>4</v>
      </c>
      <c r="F6140" s="3">
        <v>4</v>
      </c>
      <c r="G6140" t="s">
        <v>514</v>
      </c>
    </row>
    <row r="6141" spans="1:7" x14ac:dyDescent="0.25">
      <c r="A6141" s="1" t="str">
        <f>"517314"</f>
        <v>517314</v>
      </c>
      <c r="B6141" s="2" t="str">
        <f>"CHAVE BIELA 9/16"</f>
        <v>CHAVE BIELA 9/16</v>
      </c>
      <c r="C6141" s="2" t="str">
        <f t="shared" si="242"/>
        <v>UN</v>
      </c>
      <c r="D6141" s="7">
        <v>920</v>
      </c>
      <c r="E6141" s="3">
        <v>4</v>
      </c>
      <c r="F6141" s="3">
        <v>4</v>
      </c>
      <c r="G6141" t="s">
        <v>514</v>
      </c>
    </row>
    <row r="6142" spans="1:7" x14ac:dyDescent="0.25">
      <c r="A6142" s="1" t="str">
        <f>"517009"</f>
        <v>517009</v>
      </c>
      <c r="B6142" s="2" t="str">
        <f>"CHAVE BOIA COD. CB1008"</f>
        <v>CHAVE BOIA COD. CB1008</v>
      </c>
      <c r="C6142" s="2" t="str">
        <f t="shared" si="242"/>
        <v>UN</v>
      </c>
      <c r="D6142" s="7">
        <v>918</v>
      </c>
      <c r="E6142" s="3">
        <v>8</v>
      </c>
      <c r="F6142" s="3">
        <v>8</v>
      </c>
      <c r="G6142" t="s">
        <v>514</v>
      </c>
    </row>
    <row r="6143" spans="1:7" x14ac:dyDescent="0.25">
      <c r="A6143" s="1" t="str">
        <f>"516437"</f>
        <v>516437</v>
      </c>
      <c r="B6143" s="2" t="str">
        <f>"CHAVE BOIA COD. CB2000 CABO DE 3MTS"</f>
        <v>CHAVE BOIA COD. CB2000 CABO DE 3MTS</v>
      </c>
      <c r="C6143" s="2" t="str">
        <f t="shared" si="242"/>
        <v>UN</v>
      </c>
      <c r="D6143" s="7">
        <v>811</v>
      </c>
      <c r="E6143" s="3">
        <v>8</v>
      </c>
      <c r="F6143" s="3">
        <v>8</v>
      </c>
      <c r="G6143" t="s">
        <v>513</v>
      </c>
    </row>
    <row r="6144" spans="1:7" x14ac:dyDescent="0.25">
      <c r="A6144" s="1" t="str">
        <f>"513590"</f>
        <v>513590</v>
      </c>
      <c r="B6144" s="2" t="str">
        <f>"CHAVE BOIA COD. CB2003"</f>
        <v>CHAVE BOIA COD. CB2003</v>
      </c>
      <c r="C6144" s="2" t="str">
        <f t="shared" si="242"/>
        <v>UN</v>
      </c>
      <c r="D6144" s="7">
        <v>811</v>
      </c>
      <c r="E6144" s="3">
        <v>8</v>
      </c>
      <c r="F6144" s="3">
        <v>8</v>
      </c>
      <c r="G6144" t="s">
        <v>513</v>
      </c>
    </row>
    <row r="6145" spans="1:7" x14ac:dyDescent="0.25">
      <c r="A6145" s="1" t="str">
        <f>"506527"</f>
        <v>506527</v>
      </c>
      <c r="B6145" s="2" t="str">
        <f>"CHAVE BOIA CONTROLE SUPERIOR"</f>
        <v>CHAVE BOIA CONTROLE SUPERIOR</v>
      </c>
      <c r="C6145" s="2" t="str">
        <f t="shared" si="242"/>
        <v>UN</v>
      </c>
      <c r="D6145" s="7">
        <v>900</v>
      </c>
      <c r="E6145" s="3">
        <v>11</v>
      </c>
      <c r="F6145" s="3">
        <v>11</v>
      </c>
      <c r="G6145" t="s">
        <v>513</v>
      </c>
    </row>
    <row r="6146" spans="1:7" x14ac:dyDescent="0.25">
      <c r="A6146" s="1" t="str">
        <f>"506326"</f>
        <v>506326</v>
      </c>
      <c r="B6146" s="2" t="str">
        <f>"CHAVE BOIA ELETROMEC. NIVEL SUPERIOR"</f>
        <v>CHAVE BOIA ELETROMEC. NIVEL SUPERIOR</v>
      </c>
      <c r="C6146" s="2" t="str">
        <f t="shared" ref="C6146:C6209" si="243">"UN"</f>
        <v>UN</v>
      </c>
      <c r="D6146" s="7">
        <v>900</v>
      </c>
      <c r="E6146" s="3">
        <v>11</v>
      </c>
      <c r="F6146" s="3">
        <v>11</v>
      </c>
      <c r="G6146" t="s">
        <v>512</v>
      </c>
    </row>
    <row r="6147" spans="1:7" x14ac:dyDescent="0.25">
      <c r="A6147" s="1" t="str">
        <f>"525153"</f>
        <v>525153</v>
      </c>
      <c r="B6147" s="2" t="str">
        <f>"CHAVE BOIA SUPERIOR/INFERI 15A 250V 10MT MARGIRIUS"</f>
        <v>CHAVE BOIA SUPERIOR/INFERI 15A 250V 10MT MARGIRIUS</v>
      </c>
      <c r="C6147" s="2" t="str">
        <f t="shared" si="243"/>
        <v>UN</v>
      </c>
      <c r="D6147" s="7">
        <v>402</v>
      </c>
      <c r="E6147" s="3">
        <v>4</v>
      </c>
      <c r="F6147" s="3">
        <v>4</v>
      </c>
      <c r="G6147" t="s">
        <v>513</v>
      </c>
    </row>
    <row r="6148" spans="1:7" x14ac:dyDescent="0.25">
      <c r="A6148" s="1" t="str">
        <f>"509139"</f>
        <v>509139</v>
      </c>
      <c r="B6148" s="2" t="str">
        <f>"CHAVE BRUTA C/ TRANSPONDER"</f>
        <v>CHAVE BRUTA C/ TRANSPONDER</v>
      </c>
      <c r="C6148" s="2" t="str">
        <f t="shared" si="243"/>
        <v>UN</v>
      </c>
      <c r="D6148" s="7">
        <v>704</v>
      </c>
      <c r="E6148" s="3">
        <v>9</v>
      </c>
      <c r="F6148" s="3">
        <v>9</v>
      </c>
      <c r="G6148" t="s">
        <v>514</v>
      </c>
    </row>
    <row r="6149" spans="1:7" x14ac:dyDescent="0.25">
      <c r="A6149" s="1" t="str">
        <f>"510586"</f>
        <v>510586</v>
      </c>
      <c r="B6149" s="2" t="str">
        <f>"CHAVE CA10-BRD369-KN2 PI-803950 K &amp; N"</f>
        <v>CHAVE CA10-BRD369-KN2 PI-803950 K &amp; N</v>
      </c>
      <c r="C6149" s="2" t="str">
        <f t="shared" si="243"/>
        <v>UN</v>
      </c>
      <c r="D6149" s="7">
        <v>600</v>
      </c>
      <c r="E6149" s="3">
        <v>8</v>
      </c>
      <c r="F6149" s="3">
        <v>8</v>
      </c>
      <c r="G6149" t="s">
        <v>515</v>
      </c>
    </row>
    <row r="6150" spans="1:7" x14ac:dyDescent="0.25">
      <c r="A6150" s="1" t="str">
        <f>"517973"</f>
        <v>517973</v>
      </c>
      <c r="B6150" s="2" t="str">
        <f>"CHAVE CANHAO 07MM"</f>
        <v>CHAVE CANHAO 07MM</v>
      </c>
      <c r="C6150" s="2" t="str">
        <f t="shared" si="243"/>
        <v>UN</v>
      </c>
      <c r="D6150" s="7">
        <v>920</v>
      </c>
      <c r="E6150" s="3">
        <v>10</v>
      </c>
      <c r="F6150" s="3">
        <v>10</v>
      </c>
      <c r="G6150" t="s">
        <v>512</v>
      </c>
    </row>
    <row r="6151" spans="1:7" x14ac:dyDescent="0.25">
      <c r="A6151" s="1" t="str">
        <f>"518209"</f>
        <v>518209</v>
      </c>
      <c r="B6151" s="2" t="str">
        <f>"CHAVE CANHÃO 08MM"</f>
        <v>CHAVE CANHÃO 08MM</v>
      </c>
      <c r="C6151" s="2" t="str">
        <f t="shared" si="243"/>
        <v>UN</v>
      </c>
      <c r="D6151" s="7">
        <v>920</v>
      </c>
      <c r="E6151" s="3">
        <v>4</v>
      </c>
      <c r="F6151" s="3">
        <v>4</v>
      </c>
      <c r="G6151" t="s">
        <v>516</v>
      </c>
    </row>
    <row r="6152" spans="1:7" x14ac:dyDescent="0.25">
      <c r="A6152" s="1" t="str">
        <f>"504113"</f>
        <v>504113</v>
      </c>
      <c r="B6152" s="2" t="str">
        <f>"CHAVE CANHAO 10MM"</f>
        <v>CHAVE CANHAO 10MM</v>
      </c>
      <c r="C6152" s="2" t="str">
        <f t="shared" si="243"/>
        <v>UN</v>
      </c>
      <c r="D6152" s="7">
        <v>402</v>
      </c>
      <c r="E6152" s="3">
        <v>4</v>
      </c>
      <c r="F6152" s="3">
        <v>4</v>
      </c>
      <c r="G6152" t="s">
        <v>515</v>
      </c>
    </row>
    <row r="6153" spans="1:7" x14ac:dyDescent="0.25">
      <c r="A6153" s="1" t="str">
        <f>"512914"</f>
        <v>512914</v>
      </c>
      <c r="B6153" s="2" t="str">
        <f>"CHAVE CANHAO 11MM"</f>
        <v>CHAVE CANHAO 11MM</v>
      </c>
      <c r="C6153" s="2" t="str">
        <f t="shared" si="243"/>
        <v>UN</v>
      </c>
      <c r="D6153" s="7">
        <v>920</v>
      </c>
      <c r="E6153" s="3">
        <v>10</v>
      </c>
      <c r="F6153" s="3">
        <v>10</v>
      </c>
      <c r="G6153" t="s">
        <v>514</v>
      </c>
    </row>
    <row r="6154" spans="1:7" x14ac:dyDescent="0.25">
      <c r="A6154" s="1" t="str">
        <f>"512915"</f>
        <v>512915</v>
      </c>
      <c r="B6154" s="2" t="str">
        <f>"CHAVE CANHAO 12MM"</f>
        <v>CHAVE CANHAO 12MM</v>
      </c>
      <c r="C6154" s="2" t="str">
        <f t="shared" si="243"/>
        <v>UN</v>
      </c>
      <c r="D6154" s="7">
        <v>920</v>
      </c>
      <c r="E6154" s="3">
        <v>10</v>
      </c>
      <c r="F6154" s="3">
        <v>10</v>
      </c>
      <c r="G6154" t="s">
        <v>512</v>
      </c>
    </row>
    <row r="6155" spans="1:7" x14ac:dyDescent="0.25">
      <c r="A6155" s="1" t="str">
        <f>"504114"</f>
        <v>504114</v>
      </c>
      <c r="B6155" s="2" t="str">
        <f>"CHAVE CANHAO 5X125MM REF.91832551"</f>
        <v>CHAVE CANHAO 5X125MM REF.91832551</v>
      </c>
      <c r="C6155" s="2" t="str">
        <f t="shared" si="243"/>
        <v>UN</v>
      </c>
      <c r="D6155" s="7">
        <v>402</v>
      </c>
      <c r="E6155" s="3">
        <v>4</v>
      </c>
      <c r="F6155" s="3">
        <v>4</v>
      </c>
      <c r="G6155" t="s">
        <v>513</v>
      </c>
    </row>
    <row r="6156" spans="1:7" x14ac:dyDescent="0.25">
      <c r="A6156" s="1" t="str">
        <f>"504112"</f>
        <v>504112</v>
      </c>
      <c r="B6156" s="2" t="str">
        <f>"CHAVE CANHAO 6X125MM REF.91832659"</f>
        <v>CHAVE CANHAO 6X125MM REF.91832659</v>
      </c>
      <c r="C6156" s="2" t="str">
        <f t="shared" si="243"/>
        <v>UN</v>
      </c>
      <c r="D6156" s="7">
        <v>402</v>
      </c>
      <c r="E6156" s="3">
        <v>4</v>
      </c>
      <c r="F6156" s="3">
        <v>4</v>
      </c>
      <c r="G6156" t="s">
        <v>514</v>
      </c>
    </row>
    <row r="6157" spans="1:7" x14ac:dyDescent="0.25">
      <c r="A6157" s="1" t="str">
        <f>"503255"</f>
        <v>503255</v>
      </c>
      <c r="B6157" s="2" t="str">
        <f>"CHAVE CATRACA P/ REFRIGERAÇAO"</f>
        <v>CHAVE CATRACA P/ REFRIGERAÇAO</v>
      </c>
      <c r="C6157" s="2" t="str">
        <f t="shared" si="243"/>
        <v>UN</v>
      </c>
      <c r="D6157" s="7">
        <v>402</v>
      </c>
      <c r="E6157" s="3">
        <v>4</v>
      </c>
      <c r="F6157" s="3">
        <v>4</v>
      </c>
      <c r="G6157" t="s">
        <v>514</v>
      </c>
    </row>
    <row r="6158" spans="1:7" x14ac:dyDescent="0.25">
      <c r="A6158" s="1" t="str">
        <f>"505790"</f>
        <v>505790</v>
      </c>
      <c r="B6158" s="2" t="str">
        <f>"CHAVE COMBINADA 06MM"</f>
        <v>CHAVE COMBINADA 06MM</v>
      </c>
      <c r="C6158" s="2" t="str">
        <f t="shared" si="243"/>
        <v>UN</v>
      </c>
      <c r="D6158" s="7">
        <v>99999</v>
      </c>
      <c r="E6158" s="3">
        <v>99</v>
      </c>
      <c r="F6158" s="3">
        <v>99</v>
      </c>
      <c r="G6158" t="s">
        <v>512</v>
      </c>
    </row>
    <row r="6159" spans="1:7" x14ac:dyDescent="0.25">
      <c r="A6159" s="1" t="str">
        <f>"515792"</f>
        <v>515792</v>
      </c>
      <c r="B6159" s="2" t="str">
        <f>"CHAVE COMBINADA 07MM"</f>
        <v>CHAVE COMBINADA 07MM</v>
      </c>
      <c r="C6159" s="2" t="str">
        <f t="shared" si="243"/>
        <v>UN</v>
      </c>
      <c r="D6159" s="7">
        <v>99999</v>
      </c>
      <c r="E6159" s="3">
        <v>99</v>
      </c>
      <c r="F6159" s="3">
        <v>99</v>
      </c>
      <c r="G6159" t="s">
        <v>513</v>
      </c>
    </row>
    <row r="6160" spans="1:7" x14ac:dyDescent="0.25">
      <c r="A6160" s="1" t="str">
        <f>"515768"</f>
        <v>515768</v>
      </c>
      <c r="B6160" s="2" t="str">
        <f>"CHAVE COMBINADA 08MM"</f>
        <v>CHAVE COMBINADA 08MM</v>
      </c>
      <c r="C6160" s="2" t="str">
        <f t="shared" si="243"/>
        <v>UN</v>
      </c>
      <c r="D6160" s="7">
        <v>920</v>
      </c>
      <c r="E6160" s="3">
        <v>4</v>
      </c>
      <c r="F6160" s="3">
        <v>4</v>
      </c>
      <c r="G6160" t="s">
        <v>514</v>
      </c>
    </row>
    <row r="6161" spans="1:7" x14ac:dyDescent="0.25">
      <c r="A6161" s="1" t="str">
        <f>"513317"</f>
        <v>513317</v>
      </c>
      <c r="B6161" s="2" t="str">
        <f>"CHAVE COMBINADA 09MM"</f>
        <v>CHAVE COMBINADA 09MM</v>
      </c>
      <c r="C6161" s="2" t="str">
        <f t="shared" si="243"/>
        <v>UN</v>
      </c>
      <c r="D6161" s="7">
        <v>920</v>
      </c>
      <c r="E6161" s="3">
        <v>11</v>
      </c>
      <c r="F6161" s="3">
        <v>11</v>
      </c>
      <c r="G6161" t="s">
        <v>514</v>
      </c>
    </row>
    <row r="6162" spans="1:7" x14ac:dyDescent="0.25">
      <c r="A6162" s="1" t="str">
        <f>"515800"</f>
        <v>515800</v>
      </c>
      <c r="B6162" s="2" t="str">
        <f>"CHAVE COMBINADA 1 1/16"</f>
        <v>CHAVE COMBINADA 1 1/16</v>
      </c>
      <c r="C6162" s="2" t="str">
        <f t="shared" si="243"/>
        <v>UN</v>
      </c>
      <c r="D6162" s="7">
        <v>99999</v>
      </c>
      <c r="E6162" s="3">
        <v>99</v>
      </c>
      <c r="F6162" s="3">
        <v>99</v>
      </c>
      <c r="G6162" t="s">
        <v>514</v>
      </c>
    </row>
    <row r="6163" spans="1:7" x14ac:dyDescent="0.25">
      <c r="A6163" s="1" t="str">
        <f>"519112"</f>
        <v>519112</v>
      </c>
      <c r="B6163" s="2" t="str">
        <f>"CHAVE COMBINADA 1 1/4"</f>
        <v>CHAVE COMBINADA 1 1/4</v>
      </c>
      <c r="C6163" s="2" t="str">
        <f t="shared" si="243"/>
        <v>UN</v>
      </c>
      <c r="D6163" s="7">
        <v>99999</v>
      </c>
      <c r="E6163" s="3">
        <v>99</v>
      </c>
      <c r="F6163" s="3">
        <v>99</v>
      </c>
      <c r="G6163" t="s">
        <v>513</v>
      </c>
    </row>
    <row r="6164" spans="1:7" x14ac:dyDescent="0.25">
      <c r="A6164" s="1" t="str">
        <f>"517925"</f>
        <v>517925</v>
      </c>
      <c r="B6164" s="2" t="str">
        <f>"CHAVE COMBINADA 1 5/16"""</f>
        <v>CHAVE COMBINADA 1 5/16"</v>
      </c>
      <c r="C6164" s="2" t="str">
        <f t="shared" si="243"/>
        <v>UN</v>
      </c>
      <c r="D6164" s="7">
        <v>920</v>
      </c>
      <c r="E6164" s="3">
        <v>4</v>
      </c>
      <c r="F6164" s="3">
        <v>4</v>
      </c>
      <c r="G6164" t="s">
        <v>512</v>
      </c>
    </row>
    <row r="6165" spans="1:7" x14ac:dyDescent="0.25">
      <c r="A6165" s="1" t="str">
        <f>"515794"</f>
        <v>515794</v>
      </c>
      <c r="B6165" s="2" t="str">
        <f>"CHAVE COMBINADA 1/2"""</f>
        <v>CHAVE COMBINADA 1/2"</v>
      </c>
      <c r="C6165" s="2" t="str">
        <f t="shared" si="243"/>
        <v>UN</v>
      </c>
      <c r="D6165" s="7">
        <v>99999</v>
      </c>
      <c r="E6165" s="3">
        <v>99</v>
      </c>
      <c r="F6165" s="3">
        <v>99</v>
      </c>
      <c r="G6165" t="s">
        <v>513</v>
      </c>
    </row>
    <row r="6166" spans="1:7" x14ac:dyDescent="0.25">
      <c r="A6166" s="1" t="str">
        <f>"515791"</f>
        <v>515791</v>
      </c>
      <c r="B6166" s="2" t="str">
        <f>"CHAVE COMBINADA 1/4"""</f>
        <v>CHAVE COMBINADA 1/4"</v>
      </c>
      <c r="C6166" s="2" t="str">
        <f t="shared" si="243"/>
        <v>UN</v>
      </c>
      <c r="D6166" s="7">
        <v>99999</v>
      </c>
      <c r="E6166" s="3">
        <v>99</v>
      </c>
      <c r="F6166" s="3">
        <v>99</v>
      </c>
      <c r="G6166" t="s">
        <v>514</v>
      </c>
    </row>
    <row r="6167" spans="1:7" x14ac:dyDescent="0.25">
      <c r="A6167" s="1" t="str">
        <f>"515769"</f>
        <v>515769</v>
      </c>
      <c r="B6167" s="2" t="str">
        <f>"CHAVE COMBINADA 10MM"</f>
        <v>CHAVE COMBINADA 10MM</v>
      </c>
      <c r="C6167" s="2" t="str">
        <f t="shared" si="243"/>
        <v>UN</v>
      </c>
      <c r="D6167" s="7">
        <v>920</v>
      </c>
      <c r="E6167" s="3">
        <v>4</v>
      </c>
      <c r="F6167" s="3">
        <v>4</v>
      </c>
      <c r="G6167" t="s">
        <v>514</v>
      </c>
    </row>
    <row r="6168" spans="1:7" x14ac:dyDescent="0.25">
      <c r="A6168" s="1" t="str">
        <f>"515797"</f>
        <v>515797</v>
      </c>
      <c r="B6168" s="2" t="str">
        <f>"CHAVE COMBINADA 11/16"""</f>
        <v>CHAVE COMBINADA 11/16"</v>
      </c>
      <c r="C6168" s="2" t="str">
        <f t="shared" si="243"/>
        <v>UN</v>
      </c>
      <c r="D6168" s="7">
        <v>99999</v>
      </c>
      <c r="E6168" s="3">
        <v>99</v>
      </c>
      <c r="F6168" s="3">
        <v>99</v>
      </c>
      <c r="G6168" t="s">
        <v>514</v>
      </c>
    </row>
    <row r="6169" spans="1:7" x14ac:dyDescent="0.25">
      <c r="A6169" s="1" t="str">
        <f>"515770"</f>
        <v>515770</v>
      </c>
      <c r="B6169" s="2" t="str">
        <f>"CHAVE COMBINADA 11MM"</f>
        <v>CHAVE COMBINADA 11MM</v>
      </c>
      <c r="C6169" s="2" t="str">
        <f t="shared" si="243"/>
        <v>UN</v>
      </c>
      <c r="D6169" s="7">
        <v>99999</v>
      </c>
      <c r="E6169" s="3">
        <v>99</v>
      </c>
      <c r="F6169" s="3">
        <v>99</v>
      </c>
      <c r="G6169" t="s">
        <v>513</v>
      </c>
    </row>
    <row r="6170" spans="1:7" x14ac:dyDescent="0.25">
      <c r="A6170" s="1" t="str">
        <f>"515771"</f>
        <v>515771</v>
      </c>
      <c r="B6170" s="2" t="str">
        <f>"CHAVE COMBINADA 12MM"</f>
        <v>CHAVE COMBINADA 12MM</v>
      </c>
      <c r="C6170" s="2" t="str">
        <f t="shared" si="243"/>
        <v>UN</v>
      </c>
      <c r="D6170" s="7">
        <v>99999</v>
      </c>
      <c r="E6170" s="3">
        <v>99</v>
      </c>
      <c r="F6170" s="3">
        <v>99</v>
      </c>
      <c r="G6170" t="s">
        <v>513</v>
      </c>
    </row>
    <row r="6171" spans="1:7" x14ac:dyDescent="0.25">
      <c r="A6171" s="1" t="str">
        <f>"515798"</f>
        <v>515798</v>
      </c>
      <c r="B6171" s="2" t="str">
        <f>"CHAVE COMBINADA 13/16"""</f>
        <v>CHAVE COMBINADA 13/16"</v>
      </c>
      <c r="C6171" s="2" t="str">
        <f t="shared" si="243"/>
        <v>UN</v>
      </c>
      <c r="D6171" s="7">
        <v>99999</v>
      </c>
      <c r="E6171" s="3">
        <v>99</v>
      </c>
      <c r="F6171" s="3">
        <v>99</v>
      </c>
      <c r="G6171" t="s">
        <v>513</v>
      </c>
    </row>
    <row r="6172" spans="1:7" x14ac:dyDescent="0.25">
      <c r="A6172" s="1" t="str">
        <f>"515772"</f>
        <v>515772</v>
      </c>
      <c r="B6172" s="2" t="str">
        <f>"CHAVE COMBINADA 13MM"</f>
        <v>CHAVE COMBINADA 13MM</v>
      </c>
      <c r="C6172" s="2" t="str">
        <f t="shared" si="243"/>
        <v>UN</v>
      </c>
      <c r="D6172" s="7">
        <v>99999</v>
      </c>
      <c r="E6172" s="3">
        <v>99</v>
      </c>
      <c r="F6172" s="3">
        <v>99</v>
      </c>
      <c r="G6172" t="s">
        <v>512</v>
      </c>
    </row>
    <row r="6173" spans="1:7" x14ac:dyDescent="0.25">
      <c r="A6173" s="1" t="str">
        <f>"515773"</f>
        <v>515773</v>
      </c>
      <c r="B6173" s="2" t="str">
        <f>"CHAVE COMBINADA 14MM"</f>
        <v>CHAVE COMBINADA 14MM</v>
      </c>
      <c r="C6173" s="2" t="str">
        <f t="shared" si="243"/>
        <v>UN</v>
      </c>
      <c r="D6173" s="7">
        <v>99999</v>
      </c>
      <c r="E6173" s="3">
        <v>99</v>
      </c>
      <c r="F6173" s="3">
        <v>99</v>
      </c>
      <c r="G6173" t="s">
        <v>513</v>
      </c>
    </row>
    <row r="6174" spans="1:7" x14ac:dyDescent="0.25">
      <c r="A6174" s="1" t="str">
        <f>"515774"</f>
        <v>515774</v>
      </c>
      <c r="B6174" s="2" t="str">
        <f>"CHAVE COMBINADA 15MM"</f>
        <v>CHAVE COMBINADA 15MM</v>
      </c>
      <c r="C6174" s="2" t="str">
        <f t="shared" si="243"/>
        <v>UN</v>
      </c>
      <c r="D6174" s="7">
        <v>99999</v>
      </c>
      <c r="E6174" s="3">
        <v>99</v>
      </c>
      <c r="F6174" s="3">
        <v>99</v>
      </c>
      <c r="G6174" t="s">
        <v>514</v>
      </c>
    </row>
    <row r="6175" spans="1:7" x14ac:dyDescent="0.25">
      <c r="A6175" s="1" t="str">
        <f>"515796"</f>
        <v>515796</v>
      </c>
      <c r="B6175" s="2" t="str">
        <f>"CHAVE COMBINADA 16MM"</f>
        <v>CHAVE COMBINADA 16MM</v>
      </c>
      <c r="C6175" s="2" t="str">
        <f t="shared" si="243"/>
        <v>UN</v>
      </c>
      <c r="D6175" s="7">
        <v>99999</v>
      </c>
      <c r="E6175" s="3">
        <v>99</v>
      </c>
      <c r="F6175" s="3">
        <v>99</v>
      </c>
      <c r="G6175" t="s">
        <v>515</v>
      </c>
    </row>
    <row r="6176" spans="1:7" x14ac:dyDescent="0.25">
      <c r="A6176" s="1" t="str">
        <f>"515775"</f>
        <v>515775</v>
      </c>
      <c r="B6176" s="2" t="str">
        <f>"CHAVE COMBINADA 17MM"</f>
        <v>CHAVE COMBINADA 17MM</v>
      </c>
      <c r="C6176" s="2" t="str">
        <f t="shared" si="243"/>
        <v>UN</v>
      </c>
      <c r="D6176" s="7">
        <v>99999</v>
      </c>
      <c r="E6176" s="3">
        <v>99</v>
      </c>
      <c r="F6176" s="3">
        <v>99</v>
      </c>
      <c r="G6176" t="s">
        <v>512</v>
      </c>
    </row>
    <row r="6177" spans="1:7" x14ac:dyDescent="0.25">
      <c r="A6177" s="1" t="str">
        <f>"505569"</f>
        <v>505569</v>
      </c>
      <c r="B6177" s="2" t="str">
        <f>"CHAVE COMBINADA 18MM"</f>
        <v>CHAVE COMBINADA 18MM</v>
      </c>
      <c r="C6177" s="2" t="str">
        <f t="shared" si="243"/>
        <v>UN</v>
      </c>
      <c r="D6177" s="7">
        <v>402</v>
      </c>
      <c r="E6177" s="3">
        <v>4</v>
      </c>
      <c r="F6177" s="3">
        <v>4</v>
      </c>
      <c r="G6177" t="s">
        <v>516</v>
      </c>
    </row>
    <row r="6178" spans="1:7" x14ac:dyDescent="0.25">
      <c r="A6178" s="1" t="str">
        <f>"515776"</f>
        <v>515776</v>
      </c>
      <c r="B6178" s="2" t="str">
        <f>"CHAVE COMBINADA 19MM"</f>
        <v>CHAVE COMBINADA 19MM</v>
      </c>
      <c r="C6178" s="2" t="str">
        <f t="shared" si="243"/>
        <v>UN</v>
      </c>
      <c r="D6178" s="7">
        <v>99999</v>
      </c>
      <c r="E6178" s="3">
        <v>99</v>
      </c>
      <c r="F6178" s="3">
        <v>99</v>
      </c>
      <c r="G6178" t="s">
        <v>515</v>
      </c>
    </row>
    <row r="6179" spans="1:7" x14ac:dyDescent="0.25">
      <c r="A6179" s="1" t="str">
        <f>"505701"</f>
        <v>505701</v>
      </c>
      <c r="B6179" s="2" t="str">
        <f>"CHAVE COMBINADA 20MM"</f>
        <v>CHAVE COMBINADA 20MM</v>
      </c>
      <c r="C6179" s="2" t="str">
        <f t="shared" si="243"/>
        <v>UN</v>
      </c>
      <c r="D6179" s="7">
        <v>402</v>
      </c>
      <c r="E6179" s="3">
        <v>4</v>
      </c>
      <c r="F6179" s="3">
        <v>4</v>
      </c>
      <c r="G6179" t="s">
        <v>514</v>
      </c>
    </row>
    <row r="6180" spans="1:7" x14ac:dyDescent="0.25">
      <c r="A6180" s="1" t="str">
        <f>"500971"</f>
        <v>500971</v>
      </c>
      <c r="B6180" s="2" t="str">
        <f>"CHAVE COMBINADA 21MM"</f>
        <v>CHAVE COMBINADA 21MM</v>
      </c>
      <c r="C6180" s="2" t="str">
        <f t="shared" si="243"/>
        <v>UN</v>
      </c>
      <c r="D6180" s="7">
        <v>402</v>
      </c>
      <c r="E6180" s="3">
        <v>4</v>
      </c>
      <c r="F6180" s="3">
        <v>4</v>
      </c>
      <c r="G6180" t="s">
        <v>512</v>
      </c>
    </row>
    <row r="6181" spans="1:7" x14ac:dyDescent="0.25">
      <c r="A6181" s="1" t="str">
        <f>"515799"</f>
        <v>515799</v>
      </c>
      <c r="B6181" s="2" t="str">
        <f>"CHAVE COMBINADA 22MM"</f>
        <v>CHAVE COMBINADA 22MM</v>
      </c>
      <c r="C6181" s="2" t="str">
        <f t="shared" si="243"/>
        <v>UN</v>
      </c>
      <c r="D6181" s="7">
        <v>99999</v>
      </c>
      <c r="E6181" s="3">
        <v>99</v>
      </c>
      <c r="F6181" s="3">
        <v>99</v>
      </c>
      <c r="G6181" t="s">
        <v>513</v>
      </c>
    </row>
    <row r="6182" spans="1:7" x14ac:dyDescent="0.25">
      <c r="A6182" s="1" t="str">
        <f>"518882"</f>
        <v>518882</v>
      </c>
      <c r="B6182" s="2" t="str">
        <f>"CHAVE COMBINADA 23MM"</f>
        <v>CHAVE COMBINADA 23MM</v>
      </c>
      <c r="C6182" s="2" t="str">
        <f t="shared" si="243"/>
        <v>UN</v>
      </c>
      <c r="D6182" s="7">
        <v>99999</v>
      </c>
      <c r="E6182" s="3">
        <v>99</v>
      </c>
      <c r="F6182" s="3">
        <v>99</v>
      </c>
      <c r="G6182" t="s">
        <v>514</v>
      </c>
    </row>
    <row r="6183" spans="1:7" x14ac:dyDescent="0.25">
      <c r="A6183" s="1" t="str">
        <f>"515801"</f>
        <v>515801</v>
      </c>
      <c r="B6183" s="2" t="str">
        <f>"CHAVE COMBINADA 24MM"</f>
        <v>CHAVE COMBINADA 24MM</v>
      </c>
      <c r="C6183" s="2" t="str">
        <f t="shared" si="243"/>
        <v>UN</v>
      </c>
      <c r="D6183" s="7">
        <v>99999</v>
      </c>
      <c r="E6183" s="3">
        <v>99</v>
      </c>
      <c r="F6183" s="3">
        <v>99</v>
      </c>
      <c r="G6183" t="s">
        <v>514</v>
      </c>
    </row>
    <row r="6184" spans="1:7" x14ac:dyDescent="0.25">
      <c r="A6184" s="1" t="str">
        <f>"518542"</f>
        <v>518542</v>
      </c>
      <c r="B6184" s="2" t="str">
        <f>"CHAVE COMBINADA 25MM"</f>
        <v>CHAVE COMBINADA 25MM</v>
      </c>
      <c r="C6184" s="2" t="str">
        <f t="shared" si="243"/>
        <v>UN</v>
      </c>
      <c r="D6184" s="7">
        <v>99999</v>
      </c>
      <c r="E6184" s="3">
        <v>99</v>
      </c>
      <c r="F6184" s="3">
        <v>99</v>
      </c>
      <c r="G6184" t="s">
        <v>512</v>
      </c>
    </row>
    <row r="6185" spans="1:7" x14ac:dyDescent="0.25">
      <c r="A6185" s="1" t="str">
        <f>"514193"</f>
        <v>514193</v>
      </c>
      <c r="B6185" s="2" t="str">
        <f>"CHAVE COMBINADA 26MM"</f>
        <v>CHAVE COMBINADA 26MM</v>
      </c>
      <c r="C6185" s="2" t="str">
        <f t="shared" si="243"/>
        <v>UN</v>
      </c>
      <c r="D6185" s="7">
        <v>817</v>
      </c>
      <c r="E6185" s="3">
        <v>13</v>
      </c>
      <c r="F6185" s="3">
        <v>13</v>
      </c>
      <c r="G6185" t="s">
        <v>513</v>
      </c>
    </row>
    <row r="6186" spans="1:7" x14ac:dyDescent="0.25">
      <c r="A6186" s="1" t="str">
        <f>"519111"</f>
        <v>519111</v>
      </c>
      <c r="B6186" s="2" t="str">
        <f>"CHAVE COMBINADA 27MM"</f>
        <v>CHAVE COMBINADA 27MM</v>
      </c>
      <c r="C6186" s="2" t="str">
        <f t="shared" si="243"/>
        <v>UN</v>
      </c>
      <c r="D6186" s="7">
        <v>817</v>
      </c>
      <c r="E6186" s="3">
        <v>13</v>
      </c>
      <c r="F6186" s="3">
        <v>13</v>
      </c>
      <c r="G6186" t="s">
        <v>514</v>
      </c>
    </row>
    <row r="6187" spans="1:7" x14ac:dyDescent="0.25">
      <c r="A6187" s="1" t="str">
        <f>"519110"</f>
        <v>519110</v>
      </c>
      <c r="B6187" s="2" t="str">
        <f>"CHAVE COMBINADA 28MM"</f>
        <v>CHAVE COMBINADA 28MM</v>
      </c>
      <c r="C6187" s="2" t="str">
        <f t="shared" si="243"/>
        <v>UN</v>
      </c>
      <c r="D6187" s="7">
        <v>817</v>
      </c>
      <c r="E6187" s="3">
        <v>13</v>
      </c>
      <c r="F6187" s="3">
        <v>13</v>
      </c>
      <c r="G6187" t="s">
        <v>514</v>
      </c>
    </row>
    <row r="6188" spans="1:7" x14ac:dyDescent="0.25">
      <c r="A6188" s="1" t="str">
        <f>"519108"</f>
        <v>519108</v>
      </c>
      <c r="B6188" s="2" t="str">
        <f>"CHAVE COMBINADA 29MM"</f>
        <v>CHAVE COMBINADA 29MM</v>
      </c>
      <c r="C6188" s="2" t="str">
        <f t="shared" si="243"/>
        <v>UN</v>
      </c>
      <c r="D6188" s="7">
        <v>817</v>
      </c>
      <c r="E6188" s="3">
        <v>13</v>
      </c>
      <c r="F6188" s="3">
        <v>13</v>
      </c>
      <c r="G6188" t="s">
        <v>514</v>
      </c>
    </row>
    <row r="6189" spans="1:7" x14ac:dyDescent="0.25">
      <c r="A6189" s="1" t="str">
        <f>"518084"</f>
        <v>518084</v>
      </c>
      <c r="B6189" s="2" t="str">
        <f>"CHAVE COMBINADA 3/4"""</f>
        <v>CHAVE COMBINADA 3/4"</v>
      </c>
      <c r="C6189" s="2" t="str">
        <f t="shared" si="243"/>
        <v>UN</v>
      </c>
      <c r="D6189" s="7">
        <v>99999</v>
      </c>
      <c r="E6189" s="3">
        <v>99</v>
      </c>
      <c r="F6189" s="3">
        <v>99</v>
      </c>
      <c r="G6189" t="s">
        <v>513</v>
      </c>
    </row>
    <row r="6190" spans="1:7" x14ac:dyDescent="0.25">
      <c r="A6190" s="1" t="str">
        <f>"507763"</f>
        <v>507763</v>
      </c>
      <c r="B6190" s="2" t="str">
        <f>"CHAVE COMBINADA 30MM"</f>
        <v>CHAVE COMBINADA 30MM</v>
      </c>
      <c r="C6190" s="2" t="str">
        <f t="shared" si="243"/>
        <v>UN</v>
      </c>
      <c r="D6190" s="7">
        <v>402</v>
      </c>
      <c r="E6190" s="3">
        <v>4</v>
      </c>
      <c r="F6190" s="3">
        <v>4</v>
      </c>
      <c r="G6190" t="s">
        <v>512</v>
      </c>
    </row>
    <row r="6191" spans="1:7" x14ac:dyDescent="0.25">
      <c r="A6191" s="1" t="str">
        <f>"510653"</f>
        <v>510653</v>
      </c>
      <c r="B6191" s="2" t="str">
        <f>"CHAVE COMBINADA 36MM"</f>
        <v>CHAVE COMBINADA 36MM</v>
      </c>
      <c r="C6191" s="2" t="str">
        <f t="shared" si="243"/>
        <v>UN</v>
      </c>
      <c r="D6191" s="7">
        <v>402</v>
      </c>
      <c r="E6191" s="3">
        <v>4</v>
      </c>
      <c r="F6191" s="3">
        <v>4</v>
      </c>
      <c r="G6191" t="s">
        <v>513</v>
      </c>
    </row>
    <row r="6192" spans="1:7" x14ac:dyDescent="0.25">
      <c r="A6192" s="1" t="str">
        <f>"510654"</f>
        <v>510654</v>
      </c>
      <c r="B6192" s="2" t="str">
        <f>"CHAVE COMBINADA 41MM"</f>
        <v>CHAVE COMBINADA 41MM</v>
      </c>
      <c r="C6192" s="2" t="str">
        <f t="shared" si="243"/>
        <v>UN</v>
      </c>
      <c r="D6192" s="7">
        <v>402</v>
      </c>
      <c r="E6192" s="3">
        <v>4</v>
      </c>
      <c r="F6192" s="3">
        <v>4</v>
      </c>
      <c r="G6192" t="s">
        <v>514</v>
      </c>
    </row>
    <row r="6193" spans="1:7" x14ac:dyDescent="0.25">
      <c r="A6193" s="1" t="str">
        <f>"515793"</f>
        <v>515793</v>
      </c>
      <c r="B6193" s="2" t="str">
        <f>"CHAVE COMBINADA 5/16"""</f>
        <v>CHAVE COMBINADA 5/16"</v>
      </c>
      <c r="C6193" s="2" t="str">
        <f t="shared" si="243"/>
        <v>UN</v>
      </c>
      <c r="D6193" s="7">
        <v>99999</v>
      </c>
      <c r="E6193" s="3">
        <v>99</v>
      </c>
      <c r="F6193" s="3">
        <v>99</v>
      </c>
      <c r="G6193" t="s">
        <v>514</v>
      </c>
    </row>
    <row r="6194" spans="1:7" x14ac:dyDescent="0.25">
      <c r="A6194" s="1" t="str">
        <f>"518083"</f>
        <v>518083</v>
      </c>
      <c r="B6194" s="2" t="str">
        <f>"CHAVE COMBINADA 5/8"""</f>
        <v>CHAVE COMBINADA 5/8"</v>
      </c>
      <c r="C6194" s="2" t="str">
        <f t="shared" si="243"/>
        <v>UN</v>
      </c>
      <c r="D6194" s="7">
        <v>99999</v>
      </c>
      <c r="E6194" s="3">
        <v>99</v>
      </c>
      <c r="F6194" s="3">
        <v>99</v>
      </c>
      <c r="G6194" t="s">
        <v>514</v>
      </c>
    </row>
    <row r="6195" spans="1:7" x14ac:dyDescent="0.25">
      <c r="A6195" s="1" t="str">
        <f>"508082"</f>
        <v>508082</v>
      </c>
      <c r="B6195" s="2" t="str">
        <f>"CHAVE COMBINADA 7/16"""</f>
        <v>CHAVE COMBINADA 7/16"</v>
      </c>
      <c r="C6195" s="2" t="str">
        <f t="shared" si="243"/>
        <v>UN</v>
      </c>
      <c r="D6195" s="7">
        <v>99999</v>
      </c>
      <c r="E6195" s="3">
        <v>99</v>
      </c>
      <c r="F6195" s="3">
        <v>99</v>
      </c>
      <c r="G6195" t="s">
        <v>513</v>
      </c>
    </row>
    <row r="6196" spans="1:7" x14ac:dyDescent="0.25">
      <c r="A6196" s="1" t="str">
        <f>"515795"</f>
        <v>515795</v>
      </c>
      <c r="B6196" s="2" t="str">
        <f>"CHAVE COMBINADA 9/16"""</f>
        <v>CHAVE COMBINADA 9/16"</v>
      </c>
      <c r="C6196" s="2" t="str">
        <f t="shared" si="243"/>
        <v>UN</v>
      </c>
      <c r="D6196" s="7">
        <v>99999</v>
      </c>
      <c r="E6196" s="3">
        <v>99</v>
      </c>
      <c r="F6196" s="3">
        <v>99</v>
      </c>
      <c r="G6196" t="s">
        <v>513</v>
      </c>
    </row>
    <row r="6197" spans="1:7" x14ac:dyDescent="0.25">
      <c r="A6197" s="1" t="str">
        <f>"525224"</f>
        <v>525224</v>
      </c>
      <c r="B6197" s="2" t="str">
        <f>"CHAVE COMBINADA CATRACA 17MM"</f>
        <v>CHAVE COMBINADA CATRACA 17MM</v>
      </c>
      <c r="C6197" s="2" t="str">
        <f t="shared" si="243"/>
        <v>UN</v>
      </c>
      <c r="D6197" s="7">
        <v>920</v>
      </c>
      <c r="E6197" s="3">
        <v>99</v>
      </c>
      <c r="F6197" s="3">
        <v>99</v>
      </c>
      <c r="G6197" t="s">
        <v>513</v>
      </c>
    </row>
    <row r="6198" spans="1:7" x14ac:dyDescent="0.25">
      <c r="A6198" s="1" t="str">
        <f>"525225"</f>
        <v>525225</v>
      </c>
      <c r="B6198" s="2" t="str">
        <f>"CHAVE COMBINADA CATRACA 19MM"</f>
        <v>CHAVE COMBINADA CATRACA 19MM</v>
      </c>
      <c r="C6198" s="2" t="str">
        <f t="shared" si="243"/>
        <v>UN</v>
      </c>
      <c r="D6198" s="7">
        <v>920</v>
      </c>
      <c r="E6198" s="3">
        <v>99</v>
      </c>
      <c r="F6198" s="3">
        <v>99</v>
      </c>
      <c r="G6198" t="s">
        <v>512</v>
      </c>
    </row>
    <row r="6199" spans="1:7" x14ac:dyDescent="0.25">
      <c r="A6199" s="1" t="str">
        <f>"526567"</f>
        <v>526567</v>
      </c>
      <c r="B6199" s="2" t="str">
        <f>"CHAVE COMBINADA CATRACA 32MM"</f>
        <v>CHAVE COMBINADA CATRACA 32MM</v>
      </c>
      <c r="C6199" s="2" t="str">
        <f t="shared" si="243"/>
        <v>UN</v>
      </c>
      <c r="D6199" s="7">
        <v>920</v>
      </c>
      <c r="E6199" s="3">
        <v>10</v>
      </c>
      <c r="F6199" s="3">
        <v>10</v>
      </c>
      <c r="G6199" t="s">
        <v>513</v>
      </c>
    </row>
    <row r="6200" spans="1:7" x14ac:dyDescent="0.25">
      <c r="A6200" s="1" t="str">
        <f>"503024"</f>
        <v>503024</v>
      </c>
      <c r="B6200" s="2" t="str">
        <f>"CHAVE COMBINADA MAYLE 08MM REF. 102003"</f>
        <v>CHAVE COMBINADA MAYLE 08MM REF. 102003</v>
      </c>
      <c r="C6200" s="2" t="str">
        <f t="shared" si="243"/>
        <v>UN</v>
      </c>
      <c r="D6200" s="7">
        <v>402</v>
      </c>
      <c r="E6200" s="3">
        <v>4</v>
      </c>
      <c r="F6200" s="3">
        <v>4</v>
      </c>
      <c r="G6200" t="s">
        <v>514</v>
      </c>
    </row>
    <row r="6201" spans="1:7" x14ac:dyDescent="0.25">
      <c r="A6201" s="1" t="str">
        <f>"501333"</f>
        <v>501333</v>
      </c>
      <c r="B6201" s="2" t="str">
        <f>"CHAVE COMBINADA MAYLE 10MM REF. 102005"</f>
        <v>CHAVE COMBINADA MAYLE 10MM REF. 102005</v>
      </c>
      <c r="C6201" s="2" t="str">
        <f t="shared" si="243"/>
        <v>UN</v>
      </c>
      <c r="D6201" s="7">
        <v>402</v>
      </c>
      <c r="E6201" s="3">
        <v>4</v>
      </c>
      <c r="F6201" s="3">
        <v>4</v>
      </c>
      <c r="G6201" t="s">
        <v>515</v>
      </c>
    </row>
    <row r="6202" spans="1:7" x14ac:dyDescent="0.25">
      <c r="A6202" s="1" t="str">
        <f>"500977"</f>
        <v>500977</v>
      </c>
      <c r="B6202" s="2" t="str">
        <f>"CHAVE COMBINADA MAYLE 11/16 REF. 102508"</f>
        <v>CHAVE COMBINADA MAYLE 11/16 REF. 102508</v>
      </c>
      <c r="C6202" s="2" t="str">
        <f t="shared" si="243"/>
        <v>UN</v>
      </c>
      <c r="D6202" s="7">
        <v>402</v>
      </c>
      <c r="E6202" s="3">
        <v>4</v>
      </c>
      <c r="F6202" s="3">
        <v>4</v>
      </c>
      <c r="G6202" t="s">
        <v>512</v>
      </c>
    </row>
    <row r="6203" spans="1:7" x14ac:dyDescent="0.25">
      <c r="A6203" s="1" t="str">
        <f>"501337"</f>
        <v>501337</v>
      </c>
      <c r="B6203" s="2" t="str">
        <f>"CHAVE COMBINADA MAYLE 11MM REF. 102006"</f>
        <v>CHAVE COMBINADA MAYLE 11MM REF. 102006</v>
      </c>
      <c r="C6203" s="2" t="str">
        <f t="shared" si="243"/>
        <v>UN</v>
      </c>
      <c r="D6203" s="7">
        <v>402</v>
      </c>
      <c r="E6203" s="3">
        <v>4</v>
      </c>
      <c r="F6203" s="3">
        <v>4</v>
      </c>
      <c r="G6203" t="s">
        <v>516</v>
      </c>
    </row>
    <row r="6204" spans="1:7" x14ac:dyDescent="0.25">
      <c r="A6204" s="1" t="str">
        <f>"501335"</f>
        <v>501335</v>
      </c>
      <c r="B6204" s="2" t="str">
        <f>"CHAVE COMBINADA MAYLE 14MM REF. 102011"</f>
        <v>CHAVE COMBINADA MAYLE 14MM REF. 102011</v>
      </c>
      <c r="C6204" s="2" t="str">
        <f t="shared" si="243"/>
        <v>UN</v>
      </c>
      <c r="D6204" s="7">
        <v>402</v>
      </c>
      <c r="E6204" s="3">
        <v>4</v>
      </c>
      <c r="F6204" s="3">
        <v>4</v>
      </c>
      <c r="G6204" t="s">
        <v>515</v>
      </c>
    </row>
    <row r="6205" spans="1:7" x14ac:dyDescent="0.25">
      <c r="A6205" s="1" t="str">
        <f>"505571"</f>
        <v>505571</v>
      </c>
      <c r="B6205" s="2" t="str">
        <f>"CHAVE COMBINADA MAYLE 15MM"</f>
        <v>CHAVE COMBINADA MAYLE 15MM</v>
      </c>
      <c r="C6205" s="2" t="str">
        <f t="shared" si="243"/>
        <v>UN</v>
      </c>
      <c r="D6205" s="7">
        <v>402</v>
      </c>
      <c r="E6205" s="3">
        <v>4</v>
      </c>
      <c r="F6205" s="3">
        <v>4</v>
      </c>
      <c r="G6205" t="s">
        <v>514</v>
      </c>
    </row>
    <row r="6206" spans="1:7" x14ac:dyDescent="0.25">
      <c r="A6206" s="1" t="str">
        <f>"501332"</f>
        <v>501332</v>
      </c>
      <c r="B6206" s="2" t="str">
        <f>"CHAVE COMBINADA MAYLE 17MM REF. 102014"</f>
        <v>CHAVE COMBINADA MAYLE 17MM REF. 102014</v>
      </c>
      <c r="C6206" s="2" t="str">
        <f t="shared" si="243"/>
        <v>UN</v>
      </c>
      <c r="D6206" s="7">
        <v>402</v>
      </c>
      <c r="E6206" s="3">
        <v>4</v>
      </c>
      <c r="F6206" s="3">
        <v>4</v>
      </c>
      <c r="G6206" t="s">
        <v>512</v>
      </c>
    </row>
    <row r="6207" spans="1:7" x14ac:dyDescent="0.25">
      <c r="A6207" s="1" t="str">
        <f>"501334"</f>
        <v>501334</v>
      </c>
      <c r="B6207" s="2" t="str">
        <f>"CHAVE COMBINADA MAYLE 22MM REF. 102019"</f>
        <v>CHAVE COMBINADA MAYLE 22MM REF. 102019</v>
      </c>
      <c r="C6207" s="2" t="str">
        <f t="shared" si="243"/>
        <v>UN</v>
      </c>
      <c r="D6207" s="7">
        <v>402</v>
      </c>
      <c r="E6207" s="3">
        <v>4</v>
      </c>
      <c r="F6207" s="3">
        <v>4</v>
      </c>
      <c r="G6207" t="s">
        <v>513</v>
      </c>
    </row>
    <row r="6208" spans="1:7" x14ac:dyDescent="0.25">
      <c r="A6208" s="1" t="str">
        <f>"505769"</f>
        <v>505769</v>
      </c>
      <c r="B6208" s="2" t="str">
        <f>"CHAVE COMBINADA MAYLE 23MM"</f>
        <v>CHAVE COMBINADA MAYLE 23MM</v>
      </c>
      <c r="C6208" s="2" t="str">
        <f t="shared" si="243"/>
        <v>UN</v>
      </c>
      <c r="D6208" s="7">
        <v>402</v>
      </c>
      <c r="E6208" s="3">
        <v>4</v>
      </c>
      <c r="F6208" s="3">
        <v>4</v>
      </c>
      <c r="G6208" t="s">
        <v>514</v>
      </c>
    </row>
    <row r="6209" spans="1:7" x14ac:dyDescent="0.25">
      <c r="A6209" s="1" t="str">
        <f>"505570"</f>
        <v>505570</v>
      </c>
      <c r="B6209" s="2" t="str">
        <f>"CHAVE COMBINADA MAYLE 24MM"</f>
        <v>CHAVE COMBINADA MAYLE 24MM</v>
      </c>
      <c r="C6209" s="2" t="str">
        <f t="shared" si="243"/>
        <v>UN</v>
      </c>
      <c r="D6209" s="7">
        <v>402</v>
      </c>
      <c r="E6209" s="3">
        <v>4</v>
      </c>
      <c r="F6209" s="3">
        <v>4</v>
      </c>
      <c r="G6209" t="s">
        <v>514</v>
      </c>
    </row>
    <row r="6210" spans="1:7" x14ac:dyDescent="0.25">
      <c r="A6210" s="1" t="str">
        <f>"503023"</f>
        <v>503023</v>
      </c>
      <c r="B6210" s="2" t="str">
        <f>"CHAVE COMBINADA MAYLE 25MM REF. 102022"</f>
        <v>CHAVE COMBINADA MAYLE 25MM REF. 102022</v>
      </c>
      <c r="C6210" s="2" t="str">
        <f t="shared" ref="C6210:C6273" si="244">"UN"</f>
        <v>UN</v>
      </c>
      <c r="D6210" s="7">
        <v>402</v>
      </c>
      <c r="E6210" s="3">
        <v>4</v>
      </c>
      <c r="F6210" s="3">
        <v>4</v>
      </c>
      <c r="G6210" t="s">
        <v>512</v>
      </c>
    </row>
    <row r="6211" spans="1:7" x14ac:dyDescent="0.25">
      <c r="A6211" s="1" t="str">
        <f>"505700"</f>
        <v>505700</v>
      </c>
      <c r="B6211" s="2" t="str">
        <f>"CHAVE COMBINADA MAYLE 3/8"""</f>
        <v>CHAVE COMBINADA MAYLE 3/8"</v>
      </c>
      <c r="C6211" s="2" t="str">
        <f t="shared" si="244"/>
        <v>UN</v>
      </c>
      <c r="D6211" s="7">
        <v>402</v>
      </c>
      <c r="E6211" s="3">
        <v>4</v>
      </c>
      <c r="F6211" s="3">
        <v>4</v>
      </c>
      <c r="G6211" t="s">
        <v>513</v>
      </c>
    </row>
    <row r="6212" spans="1:7" x14ac:dyDescent="0.25">
      <c r="A6212" s="1" t="str">
        <f>"507971"</f>
        <v>507971</v>
      </c>
      <c r="B6212" s="2" t="str">
        <f>"CHAVE COMPENSADORA 220V 25HP"</f>
        <v>CHAVE COMPENSADORA 220V 25HP</v>
      </c>
      <c r="C6212" s="2" t="str">
        <f t="shared" si="244"/>
        <v>UN</v>
      </c>
      <c r="D6212" s="7">
        <v>600</v>
      </c>
      <c r="E6212" s="3">
        <v>8</v>
      </c>
      <c r="F6212" s="3">
        <v>8</v>
      </c>
      <c r="G6212" t="s">
        <v>514</v>
      </c>
    </row>
    <row r="6213" spans="1:7" x14ac:dyDescent="0.25">
      <c r="A6213" s="1" t="str">
        <f>"503874"</f>
        <v>503874</v>
      </c>
      <c r="B6213" s="2" t="str">
        <f>"CHAVE COMUTADORA 4 POSICAO"</f>
        <v>CHAVE COMUTADORA 4 POSICAO</v>
      </c>
      <c r="C6213" s="2" t="str">
        <f t="shared" si="244"/>
        <v>UN</v>
      </c>
      <c r="D6213" s="7">
        <v>402</v>
      </c>
      <c r="E6213" s="3">
        <v>4</v>
      </c>
      <c r="F6213" s="3">
        <v>4</v>
      </c>
      <c r="G6213" t="s">
        <v>514</v>
      </c>
    </row>
    <row r="6214" spans="1:7" x14ac:dyDescent="0.25">
      <c r="A6214" s="1" t="str">
        <f>"511284"</f>
        <v>511284</v>
      </c>
      <c r="B6214" s="2" t="str">
        <f>"CHAVE COMUTADORA AMPERIMETRO 2TW1 020-1"</f>
        <v>CHAVE COMUTADORA AMPERIMETRO 2TW1 020-1</v>
      </c>
      <c r="C6214" s="2" t="str">
        <f t="shared" si="244"/>
        <v>UN</v>
      </c>
      <c r="D6214" s="7">
        <v>600</v>
      </c>
      <c r="E6214" s="3">
        <v>8</v>
      </c>
      <c r="F6214" s="3">
        <v>8</v>
      </c>
      <c r="G6214" t="s">
        <v>514</v>
      </c>
    </row>
    <row r="6215" spans="1:7" x14ac:dyDescent="0.25">
      <c r="A6215" s="1" t="str">
        <f>"511743"</f>
        <v>511743</v>
      </c>
      <c r="B6215" s="2" t="str">
        <f>"CHAVE COMUTADORA AMPERIMETRO 2TW1 020-1"</f>
        <v>CHAVE COMUTADORA AMPERIMETRO 2TW1 020-1</v>
      </c>
      <c r="C6215" s="2" t="str">
        <f t="shared" si="244"/>
        <v>UN</v>
      </c>
      <c r="D6215" s="7">
        <v>600</v>
      </c>
      <c r="E6215" s="3">
        <v>8</v>
      </c>
      <c r="F6215" s="3">
        <v>8</v>
      </c>
      <c r="G6215" t="s">
        <v>513</v>
      </c>
    </row>
    <row r="6216" spans="1:7" x14ac:dyDescent="0.25">
      <c r="A6216" s="1" t="str">
        <f>"511488"</f>
        <v>511488</v>
      </c>
      <c r="B6216" s="2" t="str">
        <f>"CHAVE COMUTADORA AMPERIMETRO 5TW0 020-1"</f>
        <v>CHAVE COMUTADORA AMPERIMETRO 5TW0 020-1</v>
      </c>
      <c r="C6216" s="2" t="str">
        <f t="shared" si="244"/>
        <v>UN</v>
      </c>
      <c r="D6216" s="7">
        <v>600</v>
      </c>
      <c r="E6216" s="3">
        <v>8</v>
      </c>
      <c r="F6216" s="3">
        <v>8</v>
      </c>
      <c r="G6216" t="s">
        <v>512</v>
      </c>
    </row>
    <row r="6217" spans="1:7" x14ac:dyDescent="0.25">
      <c r="A6217" s="1" t="str">
        <f>"522296"</f>
        <v>522296</v>
      </c>
      <c r="B6217" s="2" t="str">
        <f>"CHAVE COMUTADORA TRIFASICA FRONTAL 32A P/ PORTA PAINEL"</f>
        <v>CHAVE COMUTADORA TRIFASICA FRONTAL 32A P/ PORTA PAINEL</v>
      </c>
      <c r="C6217" s="2" t="str">
        <f t="shared" si="244"/>
        <v>UN</v>
      </c>
      <c r="D6217" s="7">
        <v>811</v>
      </c>
      <c r="E6217" s="3">
        <v>8</v>
      </c>
      <c r="F6217" s="3">
        <v>8</v>
      </c>
      <c r="G6217" t="s">
        <v>513</v>
      </c>
    </row>
    <row r="6218" spans="1:7" x14ac:dyDescent="0.25">
      <c r="A6218" s="1" t="str">
        <f>"511280"</f>
        <v>511280</v>
      </c>
      <c r="B6218" s="2" t="str">
        <f>"CHAVE COMUTADORA VOLTIMETRO 2TW0 020-1"</f>
        <v>CHAVE COMUTADORA VOLTIMETRO 2TW0 020-1</v>
      </c>
      <c r="C6218" s="2" t="str">
        <f t="shared" si="244"/>
        <v>UN</v>
      </c>
      <c r="D6218" s="7">
        <v>600</v>
      </c>
      <c r="E6218" s="3">
        <v>8</v>
      </c>
      <c r="F6218" s="3">
        <v>8</v>
      </c>
      <c r="G6218" t="s">
        <v>514</v>
      </c>
    </row>
    <row r="6219" spans="1:7" x14ac:dyDescent="0.25">
      <c r="A6219" s="1" t="str">
        <f>"511487"</f>
        <v>511487</v>
      </c>
      <c r="B6219" s="2" t="str">
        <f>"CHAVE COMUTADORA VOLTIMETRO 5TW0 020-1"</f>
        <v>CHAVE COMUTADORA VOLTIMETRO 5TW0 020-1</v>
      </c>
      <c r="C6219" s="2" t="str">
        <f t="shared" si="244"/>
        <v>UN</v>
      </c>
      <c r="D6219" s="7">
        <v>600</v>
      </c>
      <c r="E6219" s="3">
        <v>8</v>
      </c>
      <c r="F6219" s="3">
        <v>8</v>
      </c>
      <c r="G6219" t="s">
        <v>514</v>
      </c>
    </row>
    <row r="6220" spans="1:7" x14ac:dyDescent="0.25">
      <c r="A6220" s="1" t="str">
        <f>"522564"</f>
        <v>522564</v>
      </c>
      <c r="B6220" s="8" t="s">
        <v>320</v>
      </c>
      <c r="C6220" s="2" t="str">
        <f t="shared" si="244"/>
        <v>UN</v>
      </c>
      <c r="D6220" s="7">
        <v>1004</v>
      </c>
      <c r="E6220" s="3">
        <v>10</v>
      </c>
      <c r="F6220" s="3">
        <v>10</v>
      </c>
      <c r="G6220" t="s">
        <v>514</v>
      </c>
    </row>
    <row r="6221" spans="1:7" x14ac:dyDescent="0.25">
      <c r="A6221" s="1" t="str">
        <f>"523011"</f>
        <v>523011</v>
      </c>
      <c r="B6221" s="2" t="str">
        <f>"CHAVE CORRENTE P/ TUBOS 14"""</f>
        <v>CHAVE CORRENTE P/ TUBOS 14"</v>
      </c>
      <c r="C6221" s="2" t="str">
        <f t="shared" si="244"/>
        <v>UN</v>
      </c>
      <c r="D6221" s="7">
        <v>817</v>
      </c>
      <c r="E6221" s="3">
        <v>4</v>
      </c>
      <c r="F6221" s="3">
        <v>4</v>
      </c>
      <c r="G6221" t="s">
        <v>513</v>
      </c>
    </row>
    <row r="6222" spans="1:7" x14ac:dyDescent="0.25">
      <c r="A6222" s="1" t="str">
        <f>"501631"</f>
        <v>501631</v>
      </c>
      <c r="B6222" s="2" t="str">
        <f>"CHAVE DE CANO 18""(GRIFO)"</f>
        <v>CHAVE DE CANO 18"(GRIFO)</v>
      </c>
      <c r="C6222" s="2" t="str">
        <f t="shared" si="244"/>
        <v>UN</v>
      </c>
      <c r="D6222" s="7">
        <v>402</v>
      </c>
      <c r="E6222" s="3">
        <v>4</v>
      </c>
      <c r="F6222" s="3">
        <v>4</v>
      </c>
      <c r="G6222" t="s">
        <v>513</v>
      </c>
    </row>
    <row r="6223" spans="1:7" x14ac:dyDescent="0.25">
      <c r="A6223" s="1" t="str">
        <f>"526445"</f>
        <v>526445</v>
      </c>
      <c r="B6223" s="2" t="str">
        <f>"CHAVE DE CONTATO E PARTIDA"</f>
        <v>CHAVE DE CONTATO E PARTIDA</v>
      </c>
      <c r="C6223" s="2" t="str">
        <f t="shared" si="244"/>
        <v>UN</v>
      </c>
      <c r="D6223" s="7">
        <v>704</v>
      </c>
      <c r="E6223" s="3">
        <v>9</v>
      </c>
      <c r="F6223" s="3">
        <v>9</v>
      </c>
      <c r="G6223" t="s">
        <v>513</v>
      </c>
    </row>
    <row r="6224" spans="1:7" x14ac:dyDescent="0.25">
      <c r="A6224" s="1" t="str">
        <f>"513444"</f>
        <v>513444</v>
      </c>
      <c r="B6224" s="2" t="str">
        <f>"CHAVE DE EXTRAÇÃO CORPO DA VALVULA"</f>
        <v>CHAVE DE EXTRAÇÃO CORPO DA VALVULA</v>
      </c>
      <c r="C6224" s="2" t="str">
        <f t="shared" si="244"/>
        <v>UN</v>
      </c>
      <c r="D6224" s="7">
        <v>918</v>
      </c>
      <c r="E6224" s="3">
        <v>11</v>
      </c>
      <c r="F6224" s="3">
        <v>11</v>
      </c>
      <c r="G6224" t="s">
        <v>512</v>
      </c>
    </row>
    <row r="6225" spans="1:7" x14ac:dyDescent="0.25">
      <c r="A6225" s="1" t="str">
        <f>"501391"</f>
        <v>501391</v>
      </c>
      <c r="B6225" s="2" t="str">
        <f>"CHAVE DE EXTRAÇAO DA VALVULA"</f>
        <v>CHAVE DE EXTRAÇAO DA VALVULA</v>
      </c>
      <c r="C6225" s="2" t="str">
        <f t="shared" si="244"/>
        <v>UN</v>
      </c>
      <c r="D6225" s="7">
        <v>704</v>
      </c>
      <c r="E6225" s="3">
        <v>9</v>
      </c>
      <c r="F6225" s="3">
        <v>9</v>
      </c>
      <c r="G6225" t="s">
        <v>513</v>
      </c>
    </row>
    <row r="6226" spans="1:7" x14ac:dyDescent="0.25">
      <c r="A6226" s="1" t="str">
        <f>"513445"</f>
        <v>513445</v>
      </c>
      <c r="B6226" s="2" t="str">
        <f>"CHAVE DE EXTRAÇÃO PISTÃO DA VALVULA"</f>
        <v>CHAVE DE EXTRAÇÃO PISTÃO DA VALVULA</v>
      </c>
      <c r="C6226" s="2" t="str">
        <f t="shared" si="244"/>
        <v>UN</v>
      </c>
      <c r="D6226" s="7">
        <v>918</v>
      </c>
      <c r="E6226" s="3">
        <v>11</v>
      </c>
      <c r="F6226" s="3">
        <v>11</v>
      </c>
      <c r="G6226" t="s">
        <v>514</v>
      </c>
    </row>
    <row r="6227" spans="1:7" x14ac:dyDescent="0.25">
      <c r="A6227" s="1" t="str">
        <f>"518680"</f>
        <v>518680</v>
      </c>
      <c r="B6227" s="2" t="str">
        <f>"CHAVE DE FENDA 1/4 X 4"</f>
        <v>CHAVE DE FENDA 1/4 X 4</v>
      </c>
      <c r="C6227" s="2" t="str">
        <f t="shared" si="244"/>
        <v>UN</v>
      </c>
      <c r="D6227" s="7">
        <v>402</v>
      </c>
      <c r="E6227" s="3">
        <v>4</v>
      </c>
      <c r="F6227" s="3">
        <v>4</v>
      </c>
      <c r="G6227" t="s">
        <v>515</v>
      </c>
    </row>
    <row r="6228" spans="1:7" x14ac:dyDescent="0.25">
      <c r="A6228" s="1" t="str">
        <f>"528062"</f>
        <v>528062</v>
      </c>
      <c r="B6228" s="2" t="str">
        <f>"CHAVE DE FENDA 1/4 X 5"</f>
        <v>CHAVE DE FENDA 1/4 X 5</v>
      </c>
      <c r="C6228" s="2" t="str">
        <f t="shared" si="244"/>
        <v>UN</v>
      </c>
      <c r="D6228" s="7">
        <v>402</v>
      </c>
      <c r="E6228" s="3">
        <v>4</v>
      </c>
      <c r="F6228" s="3">
        <v>4</v>
      </c>
      <c r="G6228" t="s">
        <v>512</v>
      </c>
    </row>
    <row r="6229" spans="1:7" x14ac:dyDescent="0.25">
      <c r="A6229" s="1" t="str">
        <f>"519107"</f>
        <v>519107</v>
      </c>
      <c r="B6229" s="2" t="str">
        <f>"CHAVE DE FENDA 1/4 X 8"</f>
        <v>CHAVE DE FENDA 1/4 X 8</v>
      </c>
      <c r="C6229" s="2" t="str">
        <f t="shared" si="244"/>
        <v>UN</v>
      </c>
      <c r="D6229" s="7">
        <v>402</v>
      </c>
      <c r="E6229" s="3">
        <v>4</v>
      </c>
      <c r="F6229" s="3">
        <v>4</v>
      </c>
      <c r="G6229" t="s">
        <v>516</v>
      </c>
    </row>
    <row r="6230" spans="1:7" x14ac:dyDescent="0.25">
      <c r="A6230" s="1" t="str">
        <f>"512897"</f>
        <v>512897</v>
      </c>
      <c r="B6230" s="2" t="str">
        <f>"CHAVE DE FENDA 1/8 X 3"</f>
        <v>CHAVE DE FENDA 1/8 X 3</v>
      </c>
      <c r="C6230" s="2" t="str">
        <f t="shared" si="244"/>
        <v>UN</v>
      </c>
      <c r="D6230" s="7">
        <v>402</v>
      </c>
      <c r="E6230" s="3">
        <v>4</v>
      </c>
      <c r="F6230" s="3">
        <v>4</v>
      </c>
      <c r="G6230" t="s">
        <v>515</v>
      </c>
    </row>
    <row r="6231" spans="1:7" x14ac:dyDescent="0.25">
      <c r="A6231" s="1" t="str">
        <f>"500169"</f>
        <v>500169</v>
      </c>
      <c r="B6231" s="2" t="str">
        <f>"CHAVE DE FENDA 1/8 X 4"</f>
        <v>CHAVE DE FENDA 1/8 X 4</v>
      </c>
      <c r="C6231" s="2" t="str">
        <f t="shared" si="244"/>
        <v>UN</v>
      </c>
      <c r="D6231" s="7">
        <v>402</v>
      </c>
      <c r="E6231" s="3">
        <v>4</v>
      </c>
      <c r="F6231" s="3">
        <v>4</v>
      </c>
      <c r="G6231" t="s">
        <v>514</v>
      </c>
    </row>
    <row r="6232" spans="1:7" x14ac:dyDescent="0.25">
      <c r="A6232" s="1" t="str">
        <f>"518491"</f>
        <v>518491</v>
      </c>
      <c r="B6232" s="2" t="str">
        <f>"CHAVE DE FENDA 3 X 125MM"</f>
        <v>CHAVE DE FENDA 3 X 125MM</v>
      </c>
      <c r="C6232" s="2" t="str">
        <f t="shared" si="244"/>
        <v>UN</v>
      </c>
      <c r="D6232" s="7">
        <v>920</v>
      </c>
      <c r="E6232" s="3">
        <v>4</v>
      </c>
      <c r="F6232" s="3">
        <v>4</v>
      </c>
      <c r="G6232" t="s">
        <v>512</v>
      </c>
    </row>
    <row r="6233" spans="1:7" x14ac:dyDescent="0.25">
      <c r="A6233" s="1" t="str">
        <f>"515067"</f>
        <v>515067</v>
      </c>
      <c r="B6233" s="2" t="str">
        <f>"CHAVE DE FENDA 3 X 150MM"</f>
        <v>CHAVE DE FENDA 3 X 150MM</v>
      </c>
      <c r="C6233" s="2" t="str">
        <f t="shared" si="244"/>
        <v>UN</v>
      </c>
      <c r="D6233" s="7">
        <v>920</v>
      </c>
      <c r="E6233" s="3">
        <v>4</v>
      </c>
      <c r="F6233" s="3">
        <v>4</v>
      </c>
      <c r="G6233" t="s">
        <v>513</v>
      </c>
    </row>
    <row r="6234" spans="1:7" x14ac:dyDescent="0.25">
      <c r="A6234" s="1" t="str">
        <f>"515069"</f>
        <v>515069</v>
      </c>
      <c r="B6234" s="2" t="str">
        <f>"CHAVE DE FENDA 3 X 300MM"</f>
        <v>CHAVE DE FENDA 3 X 300MM</v>
      </c>
      <c r="C6234" s="2" t="str">
        <f t="shared" si="244"/>
        <v>UN</v>
      </c>
      <c r="D6234" s="7">
        <v>920</v>
      </c>
      <c r="E6234" s="3">
        <v>4</v>
      </c>
      <c r="F6234" s="3">
        <v>4</v>
      </c>
      <c r="G6234" t="s">
        <v>514</v>
      </c>
    </row>
    <row r="6235" spans="1:7" x14ac:dyDescent="0.25">
      <c r="A6235" s="1" t="str">
        <f>"519419"</f>
        <v>519419</v>
      </c>
      <c r="B6235" s="2" t="str">
        <f>"CHAVE DE FENDA 3/16 X 4"</f>
        <v>CHAVE DE FENDA 3/16 X 4</v>
      </c>
      <c r="C6235" s="2" t="str">
        <f t="shared" si="244"/>
        <v>UN</v>
      </c>
      <c r="D6235" s="7">
        <v>99999</v>
      </c>
      <c r="E6235" s="3">
        <v>99</v>
      </c>
      <c r="F6235" s="3">
        <v>99</v>
      </c>
      <c r="G6235" t="s">
        <v>514</v>
      </c>
    </row>
    <row r="6236" spans="1:7" x14ac:dyDescent="0.25">
      <c r="A6236" s="1" t="str">
        <f>"528063"</f>
        <v>528063</v>
      </c>
      <c r="B6236" s="2" t="str">
        <f>"CHAVE DE FENDA 3/16 X 5"</f>
        <v>CHAVE DE FENDA 3/16 X 5</v>
      </c>
      <c r="C6236" s="2" t="str">
        <f t="shared" si="244"/>
        <v>UN</v>
      </c>
      <c r="D6236" s="7">
        <v>402</v>
      </c>
      <c r="E6236" s="3">
        <v>4</v>
      </c>
      <c r="F6236" s="3">
        <v>4</v>
      </c>
      <c r="G6236" t="s">
        <v>512</v>
      </c>
    </row>
    <row r="6237" spans="1:7" x14ac:dyDescent="0.25">
      <c r="A6237" s="1" t="str">
        <f>"510460"</f>
        <v>510460</v>
      </c>
      <c r="B6237" s="2" t="str">
        <f>"CHAVE DE FENDA 3/16X3"</f>
        <v>CHAVE DE FENDA 3/16X3</v>
      </c>
      <c r="C6237" s="2" t="str">
        <f t="shared" si="244"/>
        <v>UN</v>
      </c>
      <c r="D6237" s="7">
        <v>402</v>
      </c>
      <c r="E6237" s="3">
        <v>4</v>
      </c>
      <c r="F6237" s="3">
        <v>4</v>
      </c>
      <c r="G6237" t="s">
        <v>513</v>
      </c>
    </row>
    <row r="6238" spans="1:7" x14ac:dyDescent="0.25">
      <c r="A6238" s="1" t="str">
        <f>"519102"</f>
        <v>519102</v>
      </c>
      <c r="B6238" s="2" t="str">
        <f>"CHAVE DE FENDA 3/8 X 10"</f>
        <v>CHAVE DE FENDA 3/8 X 10</v>
      </c>
      <c r="C6238" s="2" t="str">
        <f t="shared" si="244"/>
        <v>UN</v>
      </c>
      <c r="D6238" s="7">
        <v>99999</v>
      </c>
      <c r="E6238" s="3">
        <v>99</v>
      </c>
      <c r="F6238" s="3">
        <v>99</v>
      </c>
      <c r="G6238" t="s">
        <v>514</v>
      </c>
    </row>
    <row r="6239" spans="1:7" x14ac:dyDescent="0.25">
      <c r="A6239" s="1" t="str">
        <f>"515810"</f>
        <v>515810</v>
      </c>
      <c r="B6239" s="2" t="str">
        <f>"CHAVE DE FENDA 3/8 X 12"</f>
        <v>CHAVE DE FENDA 3/8 X 12</v>
      </c>
      <c r="C6239" s="2" t="str">
        <f t="shared" si="244"/>
        <v>UN</v>
      </c>
      <c r="D6239" s="7">
        <v>99999</v>
      </c>
      <c r="E6239" s="3">
        <v>99</v>
      </c>
      <c r="F6239" s="3">
        <v>99</v>
      </c>
      <c r="G6239" t="s">
        <v>514</v>
      </c>
    </row>
    <row r="6240" spans="1:7" x14ac:dyDescent="0.25">
      <c r="A6240" s="1" t="str">
        <f>"519467"</f>
        <v>519467</v>
      </c>
      <c r="B6240" s="2" t="str">
        <f>"CHAVE DE FENDA 3/8 X 12 ISOLADA GEDORE/MORETZSOHN"</f>
        <v>CHAVE DE FENDA 3/8 X 12 ISOLADA GEDORE/MORETZSOHN</v>
      </c>
      <c r="C6240" s="2" t="str">
        <f t="shared" si="244"/>
        <v>UN</v>
      </c>
      <c r="D6240" s="7">
        <v>99999</v>
      </c>
      <c r="E6240" s="3">
        <v>99</v>
      </c>
      <c r="F6240" s="3">
        <v>99</v>
      </c>
      <c r="G6240" t="s">
        <v>514</v>
      </c>
    </row>
    <row r="6241" spans="1:7" x14ac:dyDescent="0.25">
      <c r="A6241" s="1" t="str">
        <f>"515068"</f>
        <v>515068</v>
      </c>
      <c r="B6241" s="2" t="str">
        <f>"CHAVE DE FENDA 4 X 150MM"</f>
        <v>CHAVE DE FENDA 4 X 150MM</v>
      </c>
      <c r="C6241" s="2" t="str">
        <f t="shared" si="244"/>
        <v>UN</v>
      </c>
      <c r="D6241" s="7">
        <v>920</v>
      </c>
      <c r="E6241" s="3">
        <v>4</v>
      </c>
      <c r="F6241" s="3">
        <v>4</v>
      </c>
      <c r="G6241" t="s">
        <v>513</v>
      </c>
    </row>
    <row r="6242" spans="1:7" x14ac:dyDescent="0.25">
      <c r="A6242" s="1" t="str">
        <f>"518490"</f>
        <v>518490</v>
      </c>
      <c r="B6242" s="2" t="str">
        <f>"CHAVE DE FENDA 5 X 150MM"</f>
        <v>CHAVE DE FENDA 5 X 150MM</v>
      </c>
      <c r="C6242" s="2" t="str">
        <f t="shared" si="244"/>
        <v>UN</v>
      </c>
      <c r="D6242" s="7">
        <v>920</v>
      </c>
      <c r="E6242" s="3">
        <v>4</v>
      </c>
      <c r="F6242" s="3">
        <v>4</v>
      </c>
      <c r="G6242" t="s">
        <v>512</v>
      </c>
    </row>
    <row r="6243" spans="1:7" x14ac:dyDescent="0.25">
      <c r="A6243" s="1" t="str">
        <f>"518538"</f>
        <v>518538</v>
      </c>
      <c r="B6243" s="2" t="str">
        <f>"CHAVE DE FENDA 5/16 X 8 ISOLADA. GEDORE/MORETZSOHN"</f>
        <v>CHAVE DE FENDA 5/16 X 8 ISOLADA. GEDORE/MORETZSOHN</v>
      </c>
      <c r="C6243" s="2" t="str">
        <f t="shared" si="244"/>
        <v>UN</v>
      </c>
      <c r="D6243" s="7">
        <v>402</v>
      </c>
      <c r="E6243" s="3">
        <v>4</v>
      </c>
      <c r="F6243" s="3">
        <v>4</v>
      </c>
      <c r="G6243" t="s">
        <v>513</v>
      </c>
    </row>
    <row r="6244" spans="1:7" x14ac:dyDescent="0.25">
      <c r="A6244" s="1" t="str">
        <f>"508959"</f>
        <v>508959</v>
      </c>
      <c r="B6244" s="2" t="str">
        <f>"CHAVE DE FENDA 8 X 150MM"</f>
        <v>CHAVE DE FENDA 8 X 150MM</v>
      </c>
      <c r="C6244" s="2" t="str">
        <f t="shared" si="244"/>
        <v>UN</v>
      </c>
      <c r="D6244" s="7">
        <v>920</v>
      </c>
      <c r="E6244" s="3">
        <v>11</v>
      </c>
      <c r="F6244" s="3">
        <v>11</v>
      </c>
      <c r="G6244" t="s">
        <v>514</v>
      </c>
    </row>
    <row r="6245" spans="1:7" x14ac:dyDescent="0.25">
      <c r="A6245" s="1" t="str">
        <f>"515891"</f>
        <v>515891</v>
      </c>
      <c r="B6245" s="2" t="str">
        <f>"CHAVE DE FENDA BORNE"</f>
        <v>CHAVE DE FENDA BORNE</v>
      </c>
      <c r="C6245" s="2" t="str">
        <f t="shared" si="244"/>
        <v>UN</v>
      </c>
      <c r="D6245" s="7">
        <v>99999</v>
      </c>
      <c r="E6245" s="3">
        <v>99</v>
      </c>
      <c r="F6245" s="3">
        <v>99</v>
      </c>
      <c r="G6245" t="s">
        <v>514</v>
      </c>
    </row>
    <row r="6246" spans="1:7" x14ac:dyDescent="0.25">
      <c r="A6246" s="1" t="str">
        <f>"515815"</f>
        <v>515815</v>
      </c>
      <c r="B6246" s="2" t="str">
        <f>"CHAVE DE FENDA COTOCO 1/4 X 1 1/2"</f>
        <v>CHAVE DE FENDA COTOCO 1/4 X 1 1/2</v>
      </c>
      <c r="C6246" s="2" t="str">
        <f t="shared" si="244"/>
        <v>UN</v>
      </c>
      <c r="D6246" s="7">
        <v>99999</v>
      </c>
      <c r="E6246" s="3">
        <v>99</v>
      </c>
      <c r="F6246" s="3">
        <v>99</v>
      </c>
      <c r="G6246" t="s">
        <v>514</v>
      </c>
    </row>
    <row r="6247" spans="1:7" x14ac:dyDescent="0.25">
      <c r="A6247" s="1" t="str">
        <f>"501303"</f>
        <v>501303</v>
      </c>
      <c r="B6247" s="2" t="str">
        <f>"CHAVE DE FENDA ELETRIC MASTER 1/4 X 6 MORETZSOHN"</f>
        <v>CHAVE DE FENDA ELETRIC MASTER 1/4 X 6 MORETZSOHN</v>
      </c>
      <c r="C6247" s="2" t="str">
        <f t="shared" si="244"/>
        <v>UN</v>
      </c>
      <c r="D6247" s="7">
        <v>402</v>
      </c>
      <c r="E6247" s="3">
        <v>4</v>
      </c>
      <c r="F6247" s="3">
        <v>4</v>
      </c>
      <c r="G6247" t="s">
        <v>513</v>
      </c>
    </row>
    <row r="6248" spans="1:7" x14ac:dyDescent="0.25">
      <c r="A6248" s="1" t="str">
        <f>"518537"</f>
        <v>518537</v>
      </c>
      <c r="B6248" s="2" t="str">
        <f>"CHAVE DE FENDA ELETRIC MASTER 1/8 X 6 MORETZSOHN"</f>
        <v>CHAVE DE FENDA ELETRIC MASTER 1/8 X 6 MORETZSOHN</v>
      </c>
      <c r="C6248" s="2" t="str">
        <f t="shared" si="244"/>
        <v>UN</v>
      </c>
      <c r="D6248" s="7">
        <v>402</v>
      </c>
      <c r="E6248" s="3">
        <v>4</v>
      </c>
      <c r="F6248" s="3">
        <v>4</v>
      </c>
      <c r="G6248" t="s">
        <v>513</v>
      </c>
    </row>
    <row r="6249" spans="1:7" x14ac:dyDescent="0.25">
      <c r="A6249" s="1" t="str">
        <f>"515809"</f>
        <v>515809</v>
      </c>
      <c r="B6249" s="2" t="str">
        <f>"CHAVE DE FENDA ELETRIC MASTER 3/16 X 6 MORETZSOHN"</f>
        <v>CHAVE DE FENDA ELETRIC MASTER 3/16 X 6 MORETZSOHN</v>
      </c>
      <c r="C6249" s="2" t="str">
        <f t="shared" si="244"/>
        <v>UN</v>
      </c>
      <c r="D6249" s="7">
        <v>99999</v>
      </c>
      <c r="E6249" s="3">
        <v>99</v>
      </c>
      <c r="F6249" s="3">
        <v>99</v>
      </c>
      <c r="G6249" t="s">
        <v>513</v>
      </c>
    </row>
    <row r="6250" spans="1:7" x14ac:dyDescent="0.25">
      <c r="A6250" s="1" t="str">
        <f>"526723"</f>
        <v>526723</v>
      </c>
      <c r="B6250" s="2" t="str">
        <f>"CHAVE DE FENDA ELETRIC MASTER 5/16 X 7 MORETZSOHN"</f>
        <v>CHAVE DE FENDA ELETRIC MASTER 5/16 X 7 MORETZSOHN</v>
      </c>
      <c r="C6250" s="2" t="str">
        <f t="shared" si="244"/>
        <v>UN</v>
      </c>
      <c r="D6250" s="7">
        <v>920</v>
      </c>
      <c r="E6250" s="3">
        <v>4</v>
      </c>
      <c r="F6250" s="3">
        <v>4</v>
      </c>
      <c r="G6250" t="s">
        <v>512</v>
      </c>
    </row>
    <row r="6251" spans="1:7" x14ac:dyDescent="0.25">
      <c r="A6251" s="1" t="str">
        <f>"518090"</f>
        <v>518090</v>
      </c>
      <c r="B6251" s="2" t="str">
        <f>"CHAVE DE FENDA ISOLADA 1/4 X 6"""</f>
        <v>CHAVE DE FENDA ISOLADA 1/4 X 6"</v>
      </c>
      <c r="C6251" s="2" t="str">
        <f t="shared" si="244"/>
        <v>UN</v>
      </c>
      <c r="D6251" s="7">
        <v>920</v>
      </c>
      <c r="E6251" s="3">
        <v>4</v>
      </c>
      <c r="F6251" s="3">
        <v>4</v>
      </c>
      <c r="G6251" t="s">
        <v>513</v>
      </c>
    </row>
    <row r="6252" spans="1:7" x14ac:dyDescent="0.25">
      <c r="A6252" s="1" t="str">
        <f>"518085"</f>
        <v>518085</v>
      </c>
      <c r="B6252" s="2" t="str">
        <f>"CHAVE DE FENDA ISOLADA 1/8 X 3"</f>
        <v>CHAVE DE FENDA ISOLADA 1/8 X 3</v>
      </c>
      <c r="C6252" s="2" t="str">
        <f t="shared" si="244"/>
        <v>UN</v>
      </c>
      <c r="D6252" s="7">
        <v>920</v>
      </c>
      <c r="E6252" s="3">
        <v>4</v>
      </c>
      <c r="F6252" s="3">
        <v>4</v>
      </c>
      <c r="G6252" t="s">
        <v>514</v>
      </c>
    </row>
    <row r="6253" spans="1:7" x14ac:dyDescent="0.25">
      <c r="A6253" s="1" t="str">
        <f>"501630"</f>
        <v>501630</v>
      </c>
      <c r="B6253" s="2" t="str">
        <f>"CHAVE DE FENDA ISOLADA 1/8 X6"</f>
        <v>CHAVE DE FENDA ISOLADA 1/8 X6</v>
      </c>
      <c r="C6253" s="2" t="str">
        <f t="shared" si="244"/>
        <v>UN</v>
      </c>
      <c r="D6253" s="7">
        <v>402</v>
      </c>
      <c r="E6253" s="3">
        <v>4</v>
      </c>
      <c r="F6253" s="3">
        <v>4</v>
      </c>
      <c r="G6253" t="s">
        <v>515</v>
      </c>
    </row>
    <row r="6254" spans="1:7" x14ac:dyDescent="0.25">
      <c r="A6254" s="1" t="str">
        <f>"518089"</f>
        <v>518089</v>
      </c>
      <c r="B6254" s="2" t="str">
        <f>"CHAVE DE FENDA ISOLADA 3/16 X 6"""</f>
        <v>CHAVE DE FENDA ISOLADA 3/16 X 6"</v>
      </c>
      <c r="C6254" s="2" t="str">
        <f t="shared" si="244"/>
        <v>UN</v>
      </c>
      <c r="D6254" s="7">
        <v>920</v>
      </c>
      <c r="E6254" s="3">
        <v>4</v>
      </c>
      <c r="F6254" s="3">
        <v>4</v>
      </c>
      <c r="G6254" t="s">
        <v>512</v>
      </c>
    </row>
    <row r="6255" spans="1:7" x14ac:dyDescent="0.25">
      <c r="A6255" s="1" t="str">
        <f>"526725"</f>
        <v>526725</v>
      </c>
      <c r="B6255" s="2" t="str">
        <f>"CHAVE DE FENDA ROBUST ISOLADA 3/32X3"</f>
        <v>CHAVE DE FENDA ROBUST ISOLADA 3/32X3</v>
      </c>
      <c r="C6255" s="2" t="str">
        <f t="shared" si="244"/>
        <v>UN</v>
      </c>
      <c r="D6255" s="7">
        <v>920</v>
      </c>
      <c r="E6255" s="3">
        <v>4</v>
      </c>
      <c r="F6255" s="3">
        <v>4</v>
      </c>
      <c r="G6255" t="s">
        <v>516</v>
      </c>
    </row>
    <row r="6256" spans="1:7" x14ac:dyDescent="0.25">
      <c r="A6256" s="1" t="str">
        <f>"511067"</f>
        <v>511067</v>
      </c>
      <c r="B6256" s="2" t="str">
        <f>"CHAVE DE FLUXO 1"""</f>
        <v>CHAVE DE FLUXO 1"</v>
      </c>
      <c r="C6256" s="2" t="str">
        <f t="shared" si="244"/>
        <v>UN</v>
      </c>
      <c r="D6256" s="7">
        <v>900</v>
      </c>
      <c r="E6256" s="3">
        <v>11</v>
      </c>
      <c r="F6256" s="3">
        <v>11</v>
      </c>
      <c r="G6256" t="s">
        <v>515</v>
      </c>
    </row>
    <row r="6257" spans="1:7" x14ac:dyDescent="0.25">
      <c r="A6257" s="1" t="str">
        <f>"526191"</f>
        <v>526191</v>
      </c>
      <c r="B6257" s="2" t="str">
        <f>"CHAVE DE FLUXO COMPACTA SI6800"</f>
        <v>CHAVE DE FLUXO COMPACTA SI6800</v>
      </c>
      <c r="C6257" s="2" t="str">
        <f t="shared" si="244"/>
        <v>UN</v>
      </c>
      <c r="D6257" s="7">
        <v>918</v>
      </c>
      <c r="E6257" s="3">
        <v>11</v>
      </c>
      <c r="F6257" s="3">
        <v>11</v>
      </c>
      <c r="G6257" t="s">
        <v>514</v>
      </c>
    </row>
    <row r="6258" spans="1:7" x14ac:dyDescent="0.25">
      <c r="A6258" s="1" t="str">
        <f>"514738"</f>
        <v>514738</v>
      </c>
      <c r="B6258" s="2" t="str">
        <f>"CHAVE DE LUZ"</f>
        <v>CHAVE DE LUZ</v>
      </c>
      <c r="C6258" s="2" t="str">
        <f t="shared" si="244"/>
        <v>UN</v>
      </c>
      <c r="D6258" s="7">
        <v>704</v>
      </c>
      <c r="E6258" s="3">
        <v>9</v>
      </c>
      <c r="F6258" s="3">
        <v>9</v>
      </c>
      <c r="G6258" t="s">
        <v>512</v>
      </c>
    </row>
    <row r="6259" spans="1:7" x14ac:dyDescent="0.25">
      <c r="A6259" s="1" t="str">
        <f>"525022"</f>
        <v>525022</v>
      </c>
      <c r="B6259" s="2" t="str">
        <f>"CHAVE DE PARTIDA C/ INVERSOR DE FREQUENCIA 380V WEG"</f>
        <v>CHAVE DE PARTIDA C/ INVERSOR DE FREQUENCIA 380V WEG</v>
      </c>
      <c r="C6259" s="2" t="str">
        <f t="shared" si="244"/>
        <v>UN</v>
      </c>
      <c r="D6259" s="7">
        <v>1300</v>
      </c>
      <c r="E6259" s="3">
        <v>13</v>
      </c>
      <c r="F6259" s="3">
        <v>13</v>
      </c>
      <c r="G6259" t="s">
        <v>513</v>
      </c>
    </row>
    <row r="6260" spans="1:7" x14ac:dyDescent="0.25">
      <c r="A6260" s="1" t="str">
        <f>"508988"</f>
        <v>508988</v>
      </c>
      <c r="B6260" s="2" t="str">
        <f>"CHAVE DE RODA"</f>
        <v>CHAVE DE RODA</v>
      </c>
      <c r="C6260" s="2" t="str">
        <f t="shared" si="244"/>
        <v>UN</v>
      </c>
      <c r="D6260" s="7">
        <v>704</v>
      </c>
      <c r="E6260" s="3">
        <v>9</v>
      </c>
      <c r="F6260" s="3">
        <v>9</v>
      </c>
      <c r="G6260" t="s">
        <v>514</v>
      </c>
    </row>
    <row r="6261" spans="1:7" x14ac:dyDescent="0.25">
      <c r="A6261" s="1" t="str">
        <f>"514236"</f>
        <v>514236</v>
      </c>
      <c r="B6261" s="2" t="str">
        <f>"CHAVE DE SETA"</f>
        <v>CHAVE DE SETA</v>
      </c>
      <c r="C6261" s="2" t="str">
        <f t="shared" si="244"/>
        <v>UN</v>
      </c>
      <c r="D6261" s="7">
        <v>704</v>
      </c>
      <c r="E6261" s="3">
        <v>9</v>
      </c>
      <c r="F6261" s="3">
        <v>9</v>
      </c>
      <c r="G6261" t="s">
        <v>514</v>
      </c>
    </row>
    <row r="6262" spans="1:7" x14ac:dyDescent="0.25">
      <c r="A6262" s="1" t="str">
        <f>"526601"</f>
        <v>526601</v>
      </c>
      <c r="B6262" s="2" t="str">
        <f>"CHAVE DE UNHA ARTICULADA P/PORCA 1"" A 4"" INOX"</f>
        <v>CHAVE DE UNHA ARTICULADA P/PORCA 1" A 4" INOX</v>
      </c>
      <c r="C6262" s="2" t="str">
        <f t="shared" si="244"/>
        <v>UN</v>
      </c>
      <c r="D6262" s="7">
        <v>402</v>
      </c>
      <c r="E6262" s="3">
        <v>4</v>
      </c>
      <c r="F6262" s="3">
        <v>4</v>
      </c>
      <c r="G6262" t="s">
        <v>512</v>
      </c>
    </row>
    <row r="6263" spans="1:7" x14ac:dyDescent="0.25">
      <c r="A6263" s="1" t="str">
        <f>"516904"</f>
        <v>516904</v>
      </c>
      <c r="B6263" s="2" t="str">
        <f>"CHAVE DIRECIONAL EMPILHADEIRA TOYOTA"</f>
        <v>CHAVE DIRECIONAL EMPILHADEIRA TOYOTA</v>
      </c>
      <c r="C6263" s="2" t="str">
        <f t="shared" si="244"/>
        <v>UN</v>
      </c>
      <c r="D6263" s="7">
        <v>600</v>
      </c>
      <c r="E6263" s="3">
        <v>8</v>
      </c>
      <c r="F6263" s="3">
        <v>8</v>
      </c>
      <c r="G6263" t="s">
        <v>513</v>
      </c>
    </row>
    <row r="6264" spans="1:7" x14ac:dyDescent="0.25">
      <c r="A6264" s="1" t="str">
        <f>"526866"</f>
        <v>526866</v>
      </c>
      <c r="B6264" s="2" t="str">
        <f>"CHAVE DOBRA FERRO"</f>
        <v>CHAVE DOBRA FERRO</v>
      </c>
      <c r="C6264" s="2" t="str">
        <f t="shared" si="244"/>
        <v>UN</v>
      </c>
      <c r="D6264" s="7">
        <v>402</v>
      </c>
      <c r="E6264" s="3">
        <v>4</v>
      </c>
      <c r="F6264" s="3">
        <v>4</v>
      </c>
      <c r="G6264" t="s">
        <v>514</v>
      </c>
    </row>
    <row r="6265" spans="1:7" x14ac:dyDescent="0.25">
      <c r="A6265" s="1" t="str">
        <f>"515451"</f>
        <v>515451</v>
      </c>
      <c r="B6265" s="2" t="str">
        <f>"CHAVE ELETRONICA"</f>
        <v>CHAVE ELETRONICA</v>
      </c>
      <c r="C6265" s="2" t="str">
        <f t="shared" si="244"/>
        <v>UN</v>
      </c>
      <c r="D6265" s="7">
        <v>704</v>
      </c>
      <c r="E6265" s="3">
        <v>9</v>
      </c>
      <c r="F6265" s="3">
        <v>9</v>
      </c>
      <c r="G6265" t="s">
        <v>514</v>
      </c>
    </row>
    <row r="6266" spans="1:7" x14ac:dyDescent="0.25">
      <c r="A6266" s="1" t="str">
        <f>"508942"</f>
        <v>508942</v>
      </c>
      <c r="B6266" s="2" t="str">
        <f>"CHAVE ENTORTAR FERRO"</f>
        <v>CHAVE ENTORTAR FERRO</v>
      </c>
      <c r="C6266" s="2" t="str">
        <f t="shared" si="244"/>
        <v>UN</v>
      </c>
      <c r="D6266" s="7">
        <v>601</v>
      </c>
      <c r="E6266" s="3">
        <v>8</v>
      </c>
      <c r="F6266" s="3">
        <v>8</v>
      </c>
      <c r="G6266" t="s">
        <v>514</v>
      </c>
    </row>
    <row r="6267" spans="1:7" x14ac:dyDescent="0.25">
      <c r="A6267" s="1" t="str">
        <f>"516894"</f>
        <v>516894</v>
      </c>
      <c r="B6267" s="2" t="str">
        <f>"CHAVE ESTATICA QA45069C1"</f>
        <v>CHAVE ESTATICA QA45069C1</v>
      </c>
      <c r="C6267" s="2" t="str">
        <f t="shared" si="244"/>
        <v>UN</v>
      </c>
      <c r="D6267" s="7">
        <v>811</v>
      </c>
      <c r="E6267" s="3">
        <v>8</v>
      </c>
      <c r="F6267" s="3">
        <v>8</v>
      </c>
      <c r="G6267" t="s">
        <v>513</v>
      </c>
    </row>
    <row r="6268" spans="1:7" x14ac:dyDescent="0.25">
      <c r="A6268" s="1" t="str">
        <f>"522560"</f>
        <v>522560</v>
      </c>
      <c r="B6268" s="2" t="str">
        <f>"CHAVE ESTRELA 1/2"" X 9/16"""</f>
        <v>CHAVE ESTRELA 1/2" X 9/16"</v>
      </c>
      <c r="C6268" s="2" t="str">
        <f t="shared" si="244"/>
        <v>UN</v>
      </c>
      <c r="D6268" s="7">
        <v>402</v>
      </c>
      <c r="E6268" s="3">
        <v>4</v>
      </c>
      <c r="F6268" s="3">
        <v>4</v>
      </c>
      <c r="G6268" t="s">
        <v>512</v>
      </c>
    </row>
    <row r="6269" spans="1:7" x14ac:dyDescent="0.25">
      <c r="A6269" s="1" t="str">
        <f>"528071"</f>
        <v>528071</v>
      </c>
      <c r="B6269" s="2" t="str">
        <f>"CHAVE ESTRELA 14 X 15MM"</f>
        <v>CHAVE ESTRELA 14 X 15MM</v>
      </c>
      <c r="C6269" s="2" t="str">
        <f t="shared" si="244"/>
        <v>UN</v>
      </c>
      <c r="D6269" s="7">
        <v>402</v>
      </c>
      <c r="E6269" s="3">
        <v>4</v>
      </c>
      <c r="F6269" s="3">
        <v>4</v>
      </c>
      <c r="G6269" t="s">
        <v>513</v>
      </c>
    </row>
    <row r="6270" spans="1:7" x14ac:dyDescent="0.25">
      <c r="A6270" s="1" t="str">
        <f>"522561"</f>
        <v>522561</v>
      </c>
      <c r="B6270" s="2" t="str">
        <f>"CHAVE ESTRELA 3/4"" X 7/8"""</f>
        <v>CHAVE ESTRELA 3/4" X 7/8"</v>
      </c>
      <c r="C6270" s="2" t="str">
        <f t="shared" si="244"/>
        <v>UN</v>
      </c>
      <c r="D6270" s="7">
        <v>402</v>
      </c>
      <c r="E6270" s="3">
        <v>4</v>
      </c>
      <c r="F6270" s="3">
        <v>4</v>
      </c>
      <c r="G6270" t="s">
        <v>514</v>
      </c>
    </row>
    <row r="6271" spans="1:7" x14ac:dyDescent="0.25">
      <c r="A6271" s="1" t="str">
        <f>"506118"</f>
        <v>506118</v>
      </c>
      <c r="B6271" s="2" t="str">
        <f>"CHAVE ESTRELA 5/8"" X 11/16"""</f>
        <v>CHAVE ESTRELA 5/8" X 11/16"</v>
      </c>
      <c r="C6271" s="2" t="str">
        <f t="shared" si="244"/>
        <v>UN</v>
      </c>
      <c r="D6271" s="7">
        <v>402</v>
      </c>
      <c r="E6271" s="3">
        <v>4</v>
      </c>
      <c r="F6271" s="3">
        <v>4</v>
      </c>
      <c r="G6271" t="s">
        <v>514</v>
      </c>
    </row>
    <row r="6272" spans="1:7" x14ac:dyDescent="0.25">
      <c r="A6272" s="1" t="str">
        <f>"524885"</f>
        <v>524885</v>
      </c>
      <c r="B6272" s="2" t="str">
        <f>"CHAVE FENDA ISOLADA GEDORE 1/8 X 10"""</f>
        <v>CHAVE FENDA ISOLADA GEDORE 1/8 X 10"</v>
      </c>
      <c r="C6272" s="2" t="str">
        <f t="shared" si="244"/>
        <v>UN</v>
      </c>
      <c r="D6272" s="7">
        <v>920</v>
      </c>
      <c r="E6272" s="3">
        <v>4</v>
      </c>
      <c r="F6272" s="3">
        <v>4</v>
      </c>
      <c r="G6272" t="s">
        <v>514</v>
      </c>
    </row>
    <row r="6273" spans="1:7" x14ac:dyDescent="0.25">
      <c r="A6273" s="1" t="str">
        <f>"524884"</f>
        <v>524884</v>
      </c>
      <c r="B6273" s="2" t="str">
        <f>"CHAVE FENDA ISOLADA GEDORE 3/16 X 8"""</f>
        <v>CHAVE FENDA ISOLADA GEDORE 3/16 X 8"</v>
      </c>
      <c r="C6273" s="2" t="str">
        <f t="shared" si="244"/>
        <v>UN</v>
      </c>
      <c r="D6273" s="7">
        <v>920</v>
      </c>
      <c r="E6273" s="3">
        <v>4</v>
      </c>
      <c r="F6273" s="3">
        <v>4</v>
      </c>
      <c r="G6273" t="s">
        <v>513</v>
      </c>
    </row>
    <row r="6274" spans="1:7" x14ac:dyDescent="0.25">
      <c r="A6274" s="1" t="str">
        <f>"517039"</f>
        <v>517039</v>
      </c>
      <c r="B6274" s="2" t="str">
        <f>"CHAVE FERRAMENTAL MP2 - SERAC"</f>
        <v>CHAVE FERRAMENTAL MP2 - SERAC</v>
      </c>
      <c r="C6274" s="2" t="str">
        <f t="shared" ref="C6274:C6283" si="245">"UN"</f>
        <v>UN</v>
      </c>
      <c r="D6274" s="7">
        <v>918</v>
      </c>
      <c r="E6274" s="3">
        <v>11</v>
      </c>
      <c r="F6274" s="3">
        <v>11</v>
      </c>
      <c r="G6274" t="s">
        <v>513</v>
      </c>
    </row>
    <row r="6275" spans="1:7" x14ac:dyDescent="0.25">
      <c r="A6275" s="1" t="str">
        <f>"503612"</f>
        <v>503612</v>
      </c>
      <c r="B6275" s="2" t="str">
        <f>"CHAVE FIM DE CURSO"</f>
        <v>CHAVE FIM DE CURSO</v>
      </c>
      <c r="C6275" s="2" t="str">
        <f t="shared" si="245"/>
        <v>UN</v>
      </c>
      <c r="D6275" s="7">
        <v>601</v>
      </c>
      <c r="E6275" s="3">
        <v>8</v>
      </c>
      <c r="F6275" s="3">
        <v>8</v>
      </c>
      <c r="G6275" t="s">
        <v>513</v>
      </c>
    </row>
    <row r="6276" spans="1:7" x14ac:dyDescent="0.25">
      <c r="A6276" s="1" t="str">
        <f>"515549"</f>
        <v>515549</v>
      </c>
      <c r="B6276" s="2" t="str">
        <f>"CHAVE FIM DE CURSO 3SE5 PLASTICA"</f>
        <v>CHAVE FIM DE CURSO 3SE5 PLASTICA</v>
      </c>
      <c r="C6276" s="2" t="str">
        <f t="shared" si="245"/>
        <v>UN</v>
      </c>
      <c r="D6276" s="7">
        <v>811</v>
      </c>
      <c r="E6276" s="3">
        <v>8</v>
      </c>
      <c r="F6276" s="3">
        <v>8</v>
      </c>
      <c r="G6276" t="s">
        <v>512</v>
      </c>
    </row>
    <row r="6277" spans="1:7" x14ac:dyDescent="0.25">
      <c r="A6277" s="1" t="str">
        <f>"505865"</f>
        <v>505865</v>
      </c>
      <c r="B6277" s="2" t="str">
        <f>"CHAVE FIM DE CURSO BOIA SEPARADOR LIQUIDO SMC 106"</f>
        <v>CHAVE FIM DE CURSO BOIA SEPARADOR LIQUIDO SMC 106</v>
      </c>
      <c r="C6277" s="2" t="str">
        <f t="shared" si="245"/>
        <v>UN</v>
      </c>
      <c r="D6277" s="7">
        <v>900</v>
      </c>
      <c r="E6277" s="3">
        <v>11</v>
      </c>
      <c r="F6277" s="3">
        <v>11</v>
      </c>
      <c r="G6277" t="s">
        <v>513</v>
      </c>
    </row>
    <row r="6278" spans="1:7" x14ac:dyDescent="0.25">
      <c r="A6278" s="1" t="str">
        <f>"512987"</f>
        <v>512987</v>
      </c>
      <c r="B6278" s="2" t="str">
        <f>"CHAVE FIM DE CURSO METALTEX MODELO FM1308"</f>
        <v>CHAVE FIM DE CURSO METALTEX MODELO FM1308</v>
      </c>
      <c r="C6278" s="2" t="str">
        <f t="shared" si="245"/>
        <v>UN</v>
      </c>
      <c r="D6278" s="7">
        <v>811</v>
      </c>
      <c r="E6278" s="3">
        <v>8</v>
      </c>
      <c r="F6278" s="3">
        <v>8</v>
      </c>
      <c r="G6278" t="s">
        <v>514</v>
      </c>
    </row>
    <row r="6279" spans="1:7" x14ac:dyDescent="0.25">
      <c r="A6279" s="1" t="str">
        <f>"516923"</f>
        <v>516923</v>
      </c>
      <c r="B6279" s="2" t="str">
        <f>"CHAVE FIM DE CURSO ONROM Z-15GW-B"</f>
        <v>CHAVE FIM DE CURSO ONROM Z-15GW-B</v>
      </c>
      <c r="C6279" s="2" t="str">
        <f t="shared" si="245"/>
        <v>UN</v>
      </c>
      <c r="D6279" s="7">
        <v>811</v>
      </c>
      <c r="E6279" s="3">
        <v>11</v>
      </c>
      <c r="F6279" s="3">
        <v>11</v>
      </c>
      <c r="G6279" t="s">
        <v>515</v>
      </c>
    </row>
    <row r="6280" spans="1:7" x14ac:dyDescent="0.25">
      <c r="A6280" s="1" t="str">
        <f>"517735"</f>
        <v>517735</v>
      </c>
      <c r="B6280" s="2" t="str">
        <f>"CHAVE FIM DE CURSO PL LXK-106 (LVK-P106)"</f>
        <v>CHAVE FIM DE CURSO PL LXK-106 (LVK-P106)</v>
      </c>
      <c r="C6280" s="2" t="str">
        <f t="shared" si="245"/>
        <v>UN</v>
      </c>
      <c r="D6280" s="7">
        <v>811</v>
      </c>
      <c r="E6280" s="3">
        <v>8</v>
      </c>
      <c r="F6280" s="3">
        <v>8</v>
      </c>
      <c r="G6280" t="s">
        <v>512</v>
      </c>
    </row>
    <row r="6281" spans="1:7" x14ac:dyDescent="0.25">
      <c r="A6281" s="1" t="str">
        <f>"519226"</f>
        <v>519226</v>
      </c>
      <c r="B6281" s="2" t="str">
        <f>"CHAVE FIM DE CURSO PL LXK-P 106 (XCK-P106)"</f>
        <v>CHAVE FIM DE CURSO PL LXK-P 106 (XCK-P106)</v>
      </c>
      <c r="C6281" s="2" t="str">
        <f t="shared" si="245"/>
        <v>UN</v>
      </c>
      <c r="D6281" s="7">
        <v>811</v>
      </c>
      <c r="E6281" s="3">
        <v>11</v>
      </c>
      <c r="F6281" s="3">
        <v>11</v>
      </c>
      <c r="G6281" t="s">
        <v>516</v>
      </c>
    </row>
    <row r="6282" spans="1:7" x14ac:dyDescent="0.25">
      <c r="A6282" s="1" t="str">
        <f>"516307"</f>
        <v>516307</v>
      </c>
      <c r="B6282" s="2" t="str">
        <f>"CHAVE FIM DE CURSO SIE 3SE5 112-0LH50"</f>
        <v>CHAVE FIM DE CURSO SIE 3SE5 112-0LH50</v>
      </c>
      <c r="C6282" s="2" t="str">
        <f t="shared" si="245"/>
        <v>UN</v>
      </c>
      <c r="D6282" s="7">
        <v>600</v>
      </c>
      <c r="E6282" s="3">
        <v>10</v>
      </c>
      <c r="F6282" s="3">
        <v>10</v>
      </c>
      <c r="G6282" t="s">
        <v>515</v>
      </c>
    </row>
    <row r="6283" spans="1:7" x14ac:dyDescent="0.25">
      <c r="A6283" s="1" t="str">
        <f>"517419"</f>
        <v>517419</v>
      </c>
      <c r="B6283" s="2" t="str">
        <f>"CHAVE FIM DE CURSO SIE 3SE5 232-0L05 PLASTICA C PINO SIMPLES"</f>
        <v>CHAVE FIM DE CURSO SIE 3SE5 232-0L05 PLASTICA C PINO SIMPLES</v>
      </c>
      <c r="C6283" s="2" t="str">
        <f t="shared" si="245"/>
        <v>UN</v>
      </c>
      <c r="D6283" s="7">
        <v>811</v>
      </c>
      <c r="E6283" s="3">
        <v>8</v>
      </c>
      <c r="F6283" s="3">
        <v>8</v>
      </c>
      <c r="G6283" t="s">
        <v>514</v>
      </c>
    </row>
    <row r="6284" spans="1:7" x14ac:dyDescent="0.25">
      <c r="A6284" s="1" t="str">
        <f>"520216"</f>
        <v>520216</v>
      </c>
      <c r="B6284" s="2" t="str">
        <f>"CHAVE FIM DE CURSO SIE. 3SE5 000-0AA50"</f>
        <v>CHAVE FIM DE CURSO SIE. 3SE5 000-0AA50</v>
      </c>
      <c r="C6284" s="2" t="str">
        <f>"PC"</f>
        <v>PC</v>
      </c>
      <c r="D6284" s="7">
        <v>601</v>
      </c>
      <c r="E6284" s="3">
        <v>8</v>
      </c>
      <c r="F6284" s="3">
        <v>8</v>
      </c>
      <c r="G6284" t="s">
        <v>512</v>
      </c>
    </row>
    <row r="6285" spans="1:7" x14ac:dyDescent="0.25">
      <c r="A6285" s="1" t="str">
        <f>"512892"</f>
        <v>512892</v>
      </c>
      <c r="B6285" s="2" t="str">
        <f>"CHAVE FIM DE CURSO SIE. 3SE5 000-0AK00"</f>
        <v>CHAVE FIM DE CURSO SIE. 3SE5 000-0AK00</v>
      </c>
      <c r="C6285" s="2" t="str">
        <f>"PC"</f>
        <v>PC</v>
      </c>
      <c r="D6285" s="7">
        <v>601</v>
      </c>
      <c r="E6285" s="3">
        <v>8</v>
      </c>
      <c r="F6285" s="3">
        <v>8</v>
      </c>
      <c r="G6285" t="s">
        <v>513</v>
      </c>
    </row>
    <row r="6286" spans="1:7" x14ac:dyDescent="0.25">
      <c r="A6286" s="1" t="str">
        <f>"510701"</f>
        <v>510701</v>
      </c>
      <c r="B6286" s="2" t="str">
        <f>"CHAVE FIM DE CURSO SIE. 3SE5 112-0LE01"</f>
        <v>CHAVE FIM DE CURSO SIE. 3SE5 112-0LE01</v>
      </c>
      <c r="C6286" s="2" t="str">
        <f>"PC"</f>
        <v>PC</v>
      </c>
      <c r="D6286" s="7">
        <v>601</v>
      </c>
      <c r="E6286" s="3">
        <v>8</v>
      </c>
      <c r="F6286" s="3">
        <v>8</v>
      </c>
      <c r="G6286" t="s">
        <v>514</v>
      </c>
    </row>
    <row r="6287" spans="1:7" x14ac:dyDescent="0.25">
      <c r="A6287" s="1" t="str">
        <f>"510699"</f>
        <v>510699</v>
      </c>
      <c r="B6287" s="2" t="str">
        <f>"CHAVE FIM DE CURSO SIE. 3SE5 122-0LE01"</f>
        <v>CHAVE FIM DE CURSO SIE. 3SE5 122-0LE01</v>
      </c>
      <c r="C6287" s="2" t="str">
        <f>"PC"</f>
        <v>PC</v>
      </c>
      <c r="D6287" s="7">
        <v>601</v>
      </c>
      <c r="E6287" s="3">
        <v>8</v>
      </c>
      <c r="F6287" s="3">
        <v>8</v>
      </c>
      <c r="G6287" t="s">
        <v>514</v>
      </c>
    </row>
    <row r="6288" spans="1:7" x14ac:dyDescent="0.25">
      <c r="A6288" s="1" t="str">
        <f>"510700"</f>
        <v>510700</v>
      </c>
      <c r="B6288" s="2" t="str">
        <f>"CHAVE FIM DE CURSO SIE. 3SE5 122-0LH01"</f>
        <v>CHAVE FIM DE CURSO SIE. 3SE5 122-0LH01</v>
      </c>
      <c r="C6288" s="2" t="str">
        <f t="shared" ref="C6288:C6325" si="246">"UN"</f>
        <v>UN</v>
      </c>
      <c r="D6288" s="7">
        <v>601</v>
      </c>
      <c r="E6288" s="3">
        <v>8</v>
      </c>
      <c r="F6288" s="3">
        <v>8</v>
      </c>
      <c r="G6288" t="s">
        <v>512</v>
      </c>
    </row>
    <row r="6289" spans="1:7" x14ac:dyDescent="0.25">
      <c r="A6289" s="1" t="str">
        <f>"510928"</f>
        <v>510928</v>
      </c>
      <c r="B6289" s="2" t="str">
        <f>"CHAVE FIM DE CURSO SIE. 3SE5 122-OLH50"</f>
        <v>CHAVE FIM DE CURSO SIE. 3SE5 122-OLH50</v>
      </c>
      <c r="C6289" s="2" t="str">
        <f t="shared" si="246"/>
        <v>UN</v>
      </c>
      <c r="D6289" s="7">
        <v>601</v>
      </c>
      <c r="E6289" s="3">
        <v>8</v>
      </c>
      <c r="F6289" s="3">
        <v>8</v>
      </c>
      <c r="G6289" t="s">
        <v>513</v>
      </c>
    </row>
    <row r="6290" spans="1:7" x14ac:dyDescent="0.25">
      <c r="A6290" s="1" t="str">
        <f>"510657"</f>
        <v>510657</v>
      </c>
      <c r="B6290" s="2" t="str">
        <f>"CHAVE FIM DE CURSO SIEM. 3SE5 112-0LE01"</f>
        <v>CHAVE FIM DE CURSO SIEM. 3SE5 112-0LE01</v>
      </c>
      <c r="C6290" s="2" t="str">
        <f t="shared" si="246"/>
        <v>UN</v>
      </c>
      <c r="D6290" s="7">
        <v>601</v>
      </c>
      <c r="E6290" s="3">
        <v>8</v>
      </c>
      <c r="F6290" s="3">
        <v>8</v>
      </c>
      <c r="G6290" t="s">
        <v>514</v>
      </c>
    </row>
    <row r="6291" spans="1:7" x14ac:dyDescent="0.25">
      <c r="A6291" s="1" t="str">
        <f>"527264"</f>
        <v>527264</v>
      </c>
      <c r="B6291" s="2" t="str">
        <f>"CHAVE FIM DE CURSO SIEMENS - MODELO 3SE52320LC05"</f>
        <v>CHAVE FIM DE CURSO SIEMENS - MODELO 3SE52320LC05</v>
      </c>
      <c r="C6291" s="2" t="str">
        <f t="shared" si="246"/>
        <v>UN</v>
      </c>
      <c r="D6291" s="7">
        <v>811</v>
      </c>
      <c r="E6291" s="3">
        <v>8</v>
      </c>
      <c r="F6291" s="3">
        <v>8</v>
      </c>
      <c r="G6291" t="s">
        <v>514</v>
      </c>
    </row>
    <row r="6292" spans="1:7" x14ac:dyDescent="0.25">
      <c r="A6292" s="1" t="str">
        <f>"508062"</f>
        <v>508062</v>
      </c>
      <c r="B6292" s="2" t="str">
        <f>"CHAVE FIM DE CURSO SIEMENS 36SE3 100-1EA"</f>
        <v>CHAVE FIM DE CURSO SIEMENS 36SE3 100-1EA</v>
      </c>
      <c r="C6292" s="2" t="str">
        <f t="shared" si="246"/>
        <v>UN</v>
      </c>
      <c r="D6292" s="7">
        <v>601</v>
      </c>
      <c r="E6292" s="3">
        <v>8</v>
      </c>
      <c r="F6292" s="3">
        <v>8</v>
      </c>
      <c r="G6292" t="s">
        <v>514</v>
      </c>
    </row>
    <row r="6293" spans="1:7" x14ac:dyDescent="0.25">
      <c r="A6293" s="1" t="str">
        <f>"505349"</f>
        <v>505349</v>
      </c>
      <c r="B6293" s="2" t="str">
        <f>"CHAVE FIM DE CURSO SIEMENS 3SE3 100-1GWA"</f>
        <v>CHAVE FIM DE CURSO SIEMENS 3SE3 100-1GWA</v>
      </c>
      <c r="C6293" s="2" t="str">
        <f t="shared" si="246"/>
        <v>UN</v>
      </c>
      <c r="D6293" s="7">
        <v>601</v>
      </c>
      <c r="E6293" s="3">
        <v>8</v>
      </c>
      <c r="F6293" s="3">
        <v>8</v>
      </c>
      <c r="G6293" t="s">
        <v>513</v>
      </c>
    </row>
    <row r="6294" spans="1:7" x14ac:dyDescent="0.25">
      <c r="A6294" s="1" t="str">
        <f>"501211"</f>
        <v>501211</v>
      </c>
      <c r="B6294" s="2" t="str">
        <f>"CHAVE FIM DE CURSO SIEMENS 3SE3 120-1EA"</f>
        <v>CHAVE FIM DE CURSO SIEMENS 3SE3 120-1EA</v>
      </c>
      <c r="C6294" s="2" t="str">
        <f t="shared" si="246"/>
        <v>UN</v>
      </c>
      <c r="D6294" s="7">
        <v>601</v>
      </c>
      <c r="E6294" s="3">
        <v>8</v>
      </c>
      <c r="F6294" s="3">
        <v>8</v>
      </c>
      <c r="G6294" t="s">
        <v>512</v>
      </c>
    </row>
    <row r="6295" spans="1:7" x14ac:dyDescent="0.25">
      <c r="A6295" s="1" t="str">
        <f>"518671"</f>
        <v>518671</v>
      </c>
      <c r="B6295" s="2" t="str">
        <f>"CHAVE FIM DE CURSO STECK C/ ROLDANA P/ PORTA DE CORRER"</f>
        <v>CHAVE FIM DE CURSO STECK C/ ROLDANA P/ PORTA DE CORRER</v>
      </c>
      <c r="C6295" s="2" t="str">
        <f t="shared" si="246"/>
        <v>UN</v>
      </c>
      <c r="D6295" s="7">
        <v>600</v>
      </c>
      <c r="E6295" s="3">
        <v>8</v>
      </c>
      <c r="F6295" s="3">
        <v>8</v>
      </c>
      <c r="G6295" t="s">
        <v>513</v>
      </c>
    </row>
    <row r="6296" spans="1:7" x14ac:dyDescent="0.25">
      <c r="A6296" s="1" t="str">
        <f>"528064"</f>
        <v>528064</v>
      </c>
      <c r="B6296" s="2" t="str">
        <f>"CHAVE FIXA 10 X 11MM"</f>
        <v>CHAVE FIXA 10 X 11MM</v>
      </c>
      <c r="C6296" s="2" t="str">
        <f t="shared" si="246"/>
        <v>UN</v>
      </c>
      <c r="D6296" s="7">
        <v>402</v>
      </c>
      <c r="E6296" s="3">
        <v>4</v>
      </c>
      <c r="F6296" s="3">
        <v>4</v>
      </c>
      <c r="G6296" t="s">
        <v>514</v>
      </c>
    </row>
    <row r="6297" spans="1:7" x14ac:dyDescent="0.25">
      <c r="A6297" s="1" t="str">
        <f>"528073"</f>
        <v>528073</v>
      </c>
      <c r="B6297" s="2" t="str">
        <f>"CHAVE FIXA 10 X 11MM"</f>
        <v>CHAVE FIXA 10 X 11MM</v>
      </c>
      <c r="C6297" s="2" t="str">
        <f t="shared" si="246"/>
        <v>UN</v>
      </c>
      <c r="D6297" s="7">
        <v>817</v>
      </c>
      <c r="E6297" s="3">
        <v>4</v>
      </c>
      <c r="F6297" s="3">
        <v>4</v>
      </c>
      <c r="G6297" t="s">
        <v>514</v>
      </c>
    </row>
    <row r="6298" spans="1:7" x14ac:dyDescent="0.25">
      <c r="A6298" s="1" t="str">
        <f>"528066"</f>
        <v>528066</v>
      </c>
      <c r="B6298" s="2" t="str">
        <f>"CHAVE FIXA 12 X 13MM"</f>
        <v>CHAVE FIXA 12 X 13MM</v>
      </c>
      <c r="C6298" s="2" t="str">
        <f t="shared" si="246"/>
        <v>UN</v>
      </c>
      <c r="D6298" s="7">
        <v>402</v>
      </c>
      <c r="E6298" s="3">
        <v>4</v>
      </c>
      <c r="F6298" s="3">
        <v>4</v>
      </c>
      <c r="G6298" t="s">
        <v>514</v>
      </c>
    </row>
    <row r="6299" spans="1:7" x14ac:dyDescent="0.25">
      <c r="A6299" s="1" t="str">
        <f>"528065"</f>
        <v>528065</v>
      </c>
      <c r="B6299" s="2" t="str">
        <f>"CHAVE FIXA 16 X 17MM"</f>
        <v>CHAVE FIXA 16 X 17MM</v>
      </c>
      <c r="C6299" s="2" t="str">
        <f t="shared" si="246"/>
        <v>UN</v>
      </c>
      <c r="D6299" s="7">
        <v>402</v>
      </c>
      <c r="E6299" s="3">
        <v>4</v>
      </c>
      <c r="F6299" s="3">
        <v>4</v>
      </c>
      <c r="G6299" t="s">
        <v>513</v>
      </c>
    </row>
    <row r="6300" spans="1:7" x14ac:dyDescent="0.25">
      <c r="A6300" s="1" t="str">
        <f>"528069"</f>
        <v>528069</v>
      </c>
      <c r="B6300" s="2" t="str">
        <f>"CHAVE FIXA 18 X 19MM"</f>
        <v>CHAVE FIXA 18 X 19MM</v>
      </c>
      <c r="C6300" s="2" t="str">
        <f t="shared" si="246"/>
        <v>UN</v>
      </c>
      <c r="D6300" s="7">
        <v>402</v>
      </c>
      <c r="E6300" s="3">
        <v>4</v>
      </c>
      <c r="F6300" s="3">
        <v>4</v>
      </c>
      <c r="G6300" t="s">
        <v>513</v>
      </c>
    </row>
    <row r="6301" spans="1:7" x14ac:dyDescent="0.25">
      <c r="A6301" s="1" t="str">
        <f>"528067"</f>
        <v>528067</v>
      </c>
      <c r="B6301" s="2" t="str">
        <f>"CHAVE FIXA 22 X 24MM"</f>
        <v>CHAVE FIXA 22 X 24MM</v>
      </c>
      <c r="C6301" s="2" t="str">
        <f t="shared" si="246"/>
        <v>UN</v>
      </c>
      <c r="D6301" s="7">
        <v>402</v>
      </c>
      <c r="E6301" s="3">
        <v>4</v>
      </c>
      <c r="F6301" s="3">
        <v>4</v>
      </c>
      <c r="G6301" t="s">
        <v>513</v>
      </c>
    </row>
    <row r="6302" spans="1:7" x14ac:dyDescent="0.25">
      <c r="A6302" s="1" t="str">
        <f>"522746"</f>
        <v>522746</v>
      </c>
      <c r="B6302" s="2" t="str">
        <f>"CHAVE FIXA 304 SMS 1 1/2"" CABO 250MM"</f>
        <v>CHAVE FIXA 304 SMS 1 1/2" CABO 250MM</v>
      </c>
      <c r="C6302" s="2" t="str">
        <f t="shared" si="246"/>
        <v>UN</v>
      </c>
      <c r="D6302" s="7">
        <v>817</v>
      </c>
      <c r="E6302" s="3">
        <v>10</v>
      </c>
      <c r="F6302" s="3">
        <v>10</v>
      </c>
      <c r="G6302" t="s">
        <v>512</v>
      </c>
    </row>
    <row r="6303" spans="1:7" x14ac:dyDescent="0.25">
      <c r="A6303" s="1" t="str">
        <f>"522745"</f>
        <v>522745</v>
      </c>
      <c r="B6303" s="2" t="str">
        <f>"CHAVE FIXA 304 SMS 1"" CABO 250MM"</f>
        <v>CHAVE FIXA 304 SMS 1" CABO 250MM</v>
      </c>
      <c r="C6303" s="2" t="str">
        <f t="shared" si="246"/>
        <v>UN</v>
      </c>
      <c r="D6303" s="7">
        <v>817</v>
      </c>
      <c r="E6303" s="3">
        <v>10</v>
      </c>
      <c r="F6303" s="3">
        <v>10</v>
      </c>
      <c r="G6303" t="s">
        <v>513</v>
      </c>
    </row>
    <row r="6304" spans="1:7" x14ac:dyDescent="0.25">
      <c r="A6304" s="1" t="str">
        <f>"528070"</f>
        <v>528070</v>
      </c>
      <c r="B6304" s="2" t="str">
        <f>"CHAVE FIXA 6 X 7MM"</f>
        <v>CHAVE FIXA 6 X 7MM</v>
      </c>
      <c r="C6304" s="2" t="str">
        <f t="shared" si="246"/>
        <v>UN</v>
      </c>
      <c r="D6304" s="7">
        <v>402</v>
      </c>
      <c r="E6304" s="3">
        <v>4</v>
      </c>
      <c r="F6304" s="3">
        <v>4</v>
      </c>
      <c r="G6304" t="s">
        <v>514</v>
      </c>
    </row>
    <row r="6305" spans="1:7" x14ac:dyDescent="0.25">
      <c r="A6305" s="1" t="str">
        <f>"528068"</f>
        <v>528068</v>
      </c>
      <c r="B6305" s="2" t="str">
        <f>"CHAVE FIXA 8 X 9 MM"</f>
        <v>CHAVE FIXA 8 X 9 MM</v>
      </c>
      <c r="C6305" s="2" t="str">
        <f t="shared" si="246"/>
        <v>UN</v>
      </c>
      <c r="D6305" s="7">
        <v>402</v>
      </c>
      <c r="E6305" s="3">
        <v>4</v>
      </c>
      <c r="F6305" s="3">
        <v>4</v>
      </c>
      <c r="G6305" t="s">
        <v>515</v>
      </c>
    </row>
    <row r="6306" spans="1:7" x14ac:dyDescent="0.25">
      <c r="A6306" s="1" t="str">
        <f>"522811"</f>
        <v>522811</v>
      </c>
      <c r="B6306" s="2" t="str">
        <f>"CHAVE GANCHO SKF HN15"</f>
        <v>CHAVE GANCHO SKF HN15</v>
      </c>
      <c r="C6306" s="2" t="str">
        <f t="shared" si="246"/>
        <v>UN</v>
      </c>
      <c r="D6306" s="7">
        <v>920</v>
      </c>
      <c r="E6306" s="3">
        <v>10</v>
      </c>
      <c r="F6306" s="3">
        <v>10</v>
      </c>
      <c r="G6306" t="s">
        <v>512</v>
      </c>
    </row>
    <row r="6307" spans="1:7" x14ac:dyDescent="0.25">
      <c r="A6307" s="1" t="str">
        <f>"513293"</f>
        <v>513293</v>
      </c>
      <c r="B6307" s="2" t="str">
        <f>"CHAVE GERAL 1000AMP"</f>
        <v>CHAVE GERAL 1000AMP</v>
      </c>
      <c r="C6307" s="2" t="str">
        <f t="shared" si="246"/>
        <v>UN</v>
      </c>
      <c r="D6307" s="7">
        <v>704</v>
      </c>
      <c r="E6307" s="3">
        <v>9</v>
      </c>
      <c r="F6307" s="3">
        <v>9</v>
      </c>
      <c r="G6307" t="s">
        <v>516</v>
      </c>
    </row>
    <row r="6308" spans="1:7" x14ac:dyDescent="0.25">
      <c r="A6308" s="1" t="str">
        <f>"510977"</f>
        <v>510977</v>
      </c>
      <c r="B6308" s="2" t="str">
        <f>"CHAVE GRIFO 10"""</f>
        <v>CHAVE GRIFO 10"</v>
      </c>
      <c r="C6308" s="2" t="str">
        <f t="shared" si="246"/>
        <v>UN</v>
      </c>
      <c r="D6308" s="7">
        <v>402</v>
      </c>
      <c r="E6308" s="3">
        <v>4</v>
      </c>
      <c r="F6308" s="3">
        <v>4</v>
      </c>
      <c r="G6308" t="s">
        <v>515</v>
      </c>
    </row>
    <row r="6309" spans="1:7" x14ac:dyDescent="0.25">
      <c r="A6309" s="1" t="str">
        <f>"510728"</f>
        <v>510728</v>
      </c>
      <c r="B6309" s="2" t="str">
        <f>"CHAVE GRIFO 12"""</f>
        <v>CHAVE GRIFO 12"</v>
      </c>
      <c r="C6309" s="2" t="str">
        <f t="shared" si="246"/>
        <v>UN</v>
      </c>
      <c r="D6309" s="7">
        <v>403</v>
      </c>
      <c r="E6309" s="3">
        <v>4</v>
      </c>
      <c r="F6309" s="3">
        <v>4</v>
      </c>
      <c r="G6309" t="s">
        <v>514</v>
      </c>
    </row>
    <row r="6310" spans="1:7" x14ac:dyDescent="0.25">
      <c r="A6310" s="1" t="str">
        <f>"502200"</f>
        <v>502200</v>
      </c>
      <c r="B6310" s="2" t="str">
        <f>"CHAVE GRIFO 14"""</f>
        <v>CHAVE GRIFO 14"</v>
      </c>
      <c r="C6310" s="2" t="str">
        <f t="shared" si="246"/>
        <v>UN</v>
      </c>
      <c r="D6310" s="7">
        <v>402</v>
      </c>
      <c r="E6310" s="3">
        <v>4</v>
      </c>
      <c r="F6310" s="3">
        <v>4</v>
      </c>
      <c r="G6310" t="s">
        <v>512</v>
      </c>
    </row>
    <row r="6311" spans="1:7" x14ac:dyDescent="0.25">
      <c r="A6311" s="1" t="str">
        <f>"510729"</f>
        <v>510729</v>
      </c>
      <c r="B6311" s="2" t="str">
        <f>"CHAVE GRIFO 18"""</f>
        <v>CHAVE GRIFO 18"</v>
      </c>
      <c r="C6311" s="2" t="str">
        <f t="shared" si="246"/>
        <v>UN</v>
      </c>
      <c r="D6311" s="7">
        <v>403</v>
      </c>
      <c r="E6311" s="3">
        <v>4</v>
      </c>
      <c r="F6311" s="3">
        <v>4</v>
      </c>
      <c r="G6311" t="s">
        <v>513</v>
      </c>
    </row>
    <row r="6312" spans="1:7" x14ac:dyDescent="0.25">
      <c r="A6312" s="1" t="str">
        <f>"510730"</f>
        <v>510730</v>
      </c>
      <c r="B6312" s="2" t="str">
        <f>"CHAVE GRIFO 24"""</f>
        <v>CHAVE GRIFO 24"</v>
      </c>
      <c r="C6312" s="2" t="str">
        <f t="shared" si="246"/>
        <v>UN</v>
      </c>
      <c r="D6312" s="7">
        <v>403</v>
      </c>
      <c r="E6312" s="3">
        <v>4</v>
      </c>
      <c r="F6312" s="3">
        <v>4</v>
      </c>
      <c r="G6312" t="s">
        <v>514</v>
      </c>
    </row>
    <row r="6313" spans="1:7" x14ac:dyDescent="0.25">
      <c r="A6313" s="1" t="str">
        <f>"503228"</f>
        <v>503228</v>
      </c>
      <c r="B6313" s="2" t="str">
        <f>"CHAVE HEXAG 04MM ALLEN LONGA REF.10605"</f>
        <v>CHAVE HEXAG 04MM ALLEN LONGA REF.10605</v>
      </c>
      <c r="C6313" s="2" t="str">
        <f t="shared" si="246"/>
        <v>UN</v>
      </c>
      <c r="D6313" s="7">
        <v>402</v>
      </c>
      <c r="E6313" s="3">
        <v>4</v>
      </c>
      <c r="F6313" s="3">
        <v>4</v>
      </c>
      <c r="G6313" t="s">
        <v>514</v>
      </c>
    </row>
    <row r="6314" spans="1:7" x14ac:dyDescent="0.25">
      <c r="A6314" s="1" t="str">
        <f>"503229"</f>
        <v>503229</v>
      </c>
      <c r="B6314" s="2" t="str">
        <f>"CHAVE HEXAG 08MM ALLEN LONGA REF.10609"</f>
        <v>CHAVE HEXAG 08MM ALLEN LONGA REF.10609</v>
      </c>
      <c r="C6314" s="2" t="str">
        <f t="shared" si="246"/>
        <v>UN</v>
      </c>
      <c r="D6314" s="7">
        <v>402</v>
      </c>
      <c r="E6314" s="3">
        <v>4</v>
      </c>
      <c r="F6314" s="3">
        <v>4</v>
      </c>
      <c r="G6314" t="s">
        <v>512</v>
      </c>
    </row>
    <row r="6315" spans="1:7" x14ac:dyDescent="0.25">
      <c r="A6315" s="1" t="str">
        <f>"503230"</f>
        <v>503230</v>
      </c>
      <c r="B6315" s="2" t="str">
        <f>"CHAVE HEXAG 10MM ALLEN LONGA REF.10611"</f>
        <v>CHAVE HEXAG 10MM ALLEN LONGA REF.10611</v>
      </c>
      <c r="C6315" s="2" t="str">
        <f t="shared" si="246"/>
        <v>UN</v>
      </c>
      <c r="D6315" s="7">
        <v>402</v>
      </c>
      <c r="E6315" s="3">
        <v>4</v>
      </c>
      <c r="F6315" s="3">
        <v>4</v>
      </c>
      <c r="G6315" t="s">
        <v>513</v>
      </c>
    </row>
    <row r="6316" spans="1:7" x14ac:dyDescent="0.25">
      <c r="A6316" s="1" t="str">
        <f>"503231"</f>
        <v>503231</v>
      </c>
      <c r="B6316" s="2" t="str">
        <f>"CHAVE HEXAG 12MM ALLEN LONGA REF.10612"</f>
        <v>CHAVE HEXAG 12MM ALLEN LONGA REF.10612</v>
      </c>
      <c r="C6316" s="2" t="str">
        <f t="shared" si="246"/>
        <v>UN</v>
      </c>
      <c r="D6316" s="7">
        <v>402</v>
      </c>
      <c r="E6316" s="3">
        <v>4</v>
      </c>
      <c r="F6316" s="3">
        <v>4</v>
      </c>
      <c r="G6316" t="s">
        <v>514</v>
      </c>
    </row>
    <row r="6317" spans="1:7" x14ac:dyDescent="0.25">
      <c r="A6317" s="1" t="str">
        <f>"503232"</f>
        <v>503232</v>
      </c>
      <c r="B6317" s="2" t="str">
        <f>"CHAVE HEXAG 14MM ALLEN LONGA REF.10613"</f>
        <v>CHAVE HEXAG 14MM ALLEN LONGA REF.10613</v>
      </c>
      <c r="C6317" s="2" t="str">
        <f t="shared" si="246"/>
        <v>UN</v>
      </c>
      <c r="D6317" s="7">
        <v>402</v>
      </c>
      <c r="E6317" s="3">
        <v>4</v>
      </c>
      <c r="F6317" s="3">
        <v>4</v>
      </c>
      <c r="G6317" t="s">
        <v>514</v>
      </c>
    </row>
    <row r="6318" spans="1:7" x14ac:dyDescent="0.25">
      <c r="A6318" s="1" t="str">
        <f>"503660"</f>
        <v>503660</v>
      </c>
      <c r="B6318" s="2" t="str">
        <f>"CHAVE INGLESA 10"""</f>
        <v>CHAVE INGLESA 10"</v>
      </c>
      <c r="C6318" s="2" t="str">
        <f t="shared" si="246"/>
        <v>UN</v>
      </c>
      <c r="D6318" s="7">
        <v>402</v>
      </c>
      <c r="E6318" s="3">
        <v>4</v>
      </c>
      <c r="F6318" s="3">
        <v>4</v>
      </c>
      <c r="G6318" t="s">
        <v>514</v>
      </c>
    </row>
    <row r="6319" spans="1:7" x14ac:dyDescent="0.25">
      <c r="A6319" s="1" t="str">
        <f>"501731"</f>
        <v>501731</v>
      </c>
      <c r="B6319" s="2" t="str">
        <f>"CHAVE INGLESA 12"""</f>
        <v>CHAVE INGLESA 12"</v>
      </c>
      <c r="C6319" s="2" t="str">
        <f t="shared" si="246"/>
        <v>UN</v>
      </c>
      <c r="D6319" s="7">
        <v>402</v>
      </c>
      <c r="E6319" s="3">
        <v>4</v>
      </c>
      <c r="F6319" s="3">
        <v>4</v>
      </c>
      <c r="G6319" t="s">
        <v>513</v>
      </c>
    </row>
    <row r="6320" spans="1:7" x14ac:dyDescent="0.25">
      <c r="A6320" s="1" t="str">
        <f>"513034"</f>
        <v>513034</v>
      </c>
      <c r="B6320" s="2" t="str">
        <f>"CHAVE INGLESA 15"""</f>
        <v>CHAVE INGLESA 15"</v>
      </c>
      <c r="C6320" s="2" t="str">
        <f t="shared" si="246"/>
        <v>UN</v>
      </c>
      <c r="D6320" s="7">
        <v>402</v>
      </c>
      <c r="E6320" s="3">
        <v>4</v>
      </c>
      <c r="F6320" s="3">
        <v>4</v>
      </c>
      <c r="G6320" t="s">
        <v>512</v>
      </c>
    </row>
    <row r="6321" spans="1:7" x14ac:dyDescent="0.25">
      <c r="A6321" s="1" t="str">
        <f>"518270"</f>
        <v>518270</v>
      </c>
      <c r="B6321" s="2" t="str">
        <f>"CHAVE INGLESA 18"""</f>
        <v>CHAVE INGLESA 18"</v>
      </c>
      <c r="C6321" s="2" t="str">
        <f t="shared" si="246"/>
        <v>UN</v>
      </c>
      <c r="D6321" s="7">
        <v>402</v>
      </c>
      <c r="E6321" s="3">
        <v>4</v>
      </c>
      <c r="F6321" s="3">
        <v>4</v>
      </c>
      <c r="G6321" t="s">
        <v>513</v>
      </c>
    </row>
    <row r="6322" spans="1:7" x14ac:dyDescent="0.25">
      <c r="A6322" s="1" t="str">
        <f>"503661"</f>
        <v>503661</v>
      </c>
      <c r="B6322" s="2" t="str">
        <f>"CHAVE INGLESA AJUSTAVEL REF.W12CAP"</f>
        <v>CHAVE INGLESA AJUSTAVEL REF.W12CAP</v>
      </c>
      <c r="C6322" s="2" t="str">
        <f t="shared" si="246"/>
        <v>UN</v>
      </c>
      <c r="D6322" s="7">
        <v>402</v>
      </c>
      <c r="E6322" s="3">
        <v>4</v>
      </c>
      <c r="F6322" s="3">
        <v>4</v>
      </c>
      <c r="G6322" t="s">
        <v>514</v>
      </c>
    </row>
    <row r="6323" spans="1:7" x14ac:dyDescent="0.25">
      <c r="A6323" s="1" t="str">
        <f>"516935"</f>
        <v>516935</v>
      </c>
      <c r="B6323" s="2" t="str">
        <f>"CHAVE INTERRUPTORA - CEBOLINHA"</f>
        <v>CHAVE INTERRUPTORA - CEBOLINHA</v>
      </c>
      <c r="C6323" s="2" t="str">
        <f t="shared" si="246"/>
        <v>UN</v>
      </c>
      <c r="D6323" s="7">
        <v>918</v>
      </c>
      <c r="E6323" s="3">
        <v>9</v>
      </c>
      <c r="F6323" s="3">
        <v>9</v>
      </c>
      <c r="G6323" t="s">
        <v>514</v>
      </c>
    </row>
    <row r="6324" spans="1:7" x14ac:dyDescent="0.25">
      <c r="A6324" s="1" t="str">
        <f>"517923"</f>
        <v>517923</v>
      </c>
      <c r="B6324" s="2" t="str">
        <f>"CHAVE LIGA DESLIGA TRAPP 2500W"</f>
        <v>CHAVE LIGA DESLIGA TRAPP 2500W</v>
      </c>
      <c r="C6324" s="2" t="str">
        <f t="shared" si="246"/>
        <v>UN</v>
      </c>
      <c r="D6324" s="7">
        <v>918</v>
      </c>
      <c r="E6324" s="3">
        <v>11</v>
      </c>
      <c r="F6324" s="3">
        <v>11</v>
      </c>
      <c r="G6324" t="s">
        <v>514</v>
      </c>
    </row>
    <row r="6325" spans="1:7" x14ac:dyDescent="0.25">
      <c r="A6325" s="1" t="str">
        <f>"509045"</f>
        <v>509045</v>
      </c>
      <c r="B6325" s="2" t="str">
        <f>"CHAVE LIGA/DESLIGA 05.7130.004.00"</f>
        <v>CHAVE LIGA/DESLIGA 05.7130.004.00</v>
      </c>
      <c r="C6325" s="2" t="str">
        <f t="shared" si="246"/>
        <v>UN</v>
      </c>
      <c r="D6325" s="7">
        <v>900</v>
      </c>
      <c r="E6325" s="3">
        <v>11</v>
      </c>
      <c r="F6325" s="3">
        <v>11</v>
      </c>
      <c r="G6325" t="s">
        <v>513</v>
      </c>
    </row>
    <row r="6326" spans="1:7" x14ac:dyDescent="0.25">
      <c r="A6326" s="1" t="str">
        <f>"510195"</f>
        <v>510195</v>
      </c>
      <c r="B6326" s="2" t="str">
        <f>"CHAVE LIGA/DESLIGA CIJ SP219041"</f>
        <v>CHAVE LIGA/DESLIGA CIJ SP219041</v>
      </c>
      <c r="C6326" s="2" t="str">
        <f>"PC"</f>
        <v>PC</v>
      </c>
      <c r="D6326" s="7">
        <v>907</v>
      </c>
      <c r="E6326" s="3">
        <v>11</v>
      </c>
      <c r="F6326" s="3">
        <v>11</v>
      </c>
      <c r="G6326" t="s">
        <v>513</v>
      </c>
    </row>
    <row r="6327" spans="1:7" x14ac:dyDescent="0.25">
      <c r="A6327" s="1" t="str">
        <f>"519032"</f>
        <v>519032</v>
      </c>
      <c r="B6327" s="2" t="str">
        <f>"CHAVE LUZ 2 PUXADAS"</f>
        <v>CHAVE LUZ 2 PUXADAS</v>
      </c>
      <c r="C6327" s="2" t="str">
        <f t="shared" ref="C6327:C6358" si="247">"UN"</f>
        <v>UN</v>
      </c>
      <c r="D6327" s="7">
        <v>811</v>
      </c>
      <c r="E6327" s="3">
        <v>8</v>
      </c>
      <c r="F6327" s="3">
        <v>8</v>
      </c>
      <c r="G6327" t="s">
        <v>513</v>
      </c>
    </row>
    <row r="6328" spans="1:7" x14ac:dyDescent="0.25">
      <c r="A6328" s="1" t="str">
        <f>"520159"</f>
        <v>520159</v>
      </c>
      <c r="B6328" s="2" t="str">
        <f>"CHAVE MAGNETICA 3RE10 16 -1GA15- OAU1"</f>
        <v>CHAVE MAGNETICA 3RE10 16 -1GA15- OAU1</v>
      </c>
      <c r="C6328" s="2" t="str">
        <f t="shared" si="247"/>
        <v>UN</v>
      </c>
      <c r="D6328" s="7">
        <v>601</v>
      </c>
      <c r="E6328" s="3">
        <v>8</v>
      </c>
      <c r="F6328" s="3">
        <v>8</v>
      </c>
      <c r="G6328" t="s">
        <v>512</v>
      </c>
    </row>
    <row r="6329" spans="1:7" x14ac:dyDescent="0.25">
      <c r="A6329" s="1" t="str">
        <f>"526004"</f>
        <v>526004</v>
      </c>
      <c r="B6329" s="2" t="str">
        <f>"CHAVE MAGNETICA SEGURANÇA SCHNEIDER XCS-DMP7002 NA+NF+NF"</f>
        <v>CHAVE MAGNETICA SEGURANÇA SCHNEIDER XCS-DMP7002 NA+NF+NF</v>
      </c>
      <c r="C6329" s="2" t="str">
        <f t="shared" si="247"/>
        <v>UN</v>
      </c>
      <c r="D6329" s="7">
        <v>908</v>
      </c>
      <c r="E6329" s="3">
        <v>11</v>
      </c>
      <c r="F6329" s="3">
        <v>11</v>
      </c>
      <c r="G6329" t="s">
        <v>513</v>
      </c>
    </row>
    <row r="6330" spans="1:7" x14ac:dyDescent="0.25">
      <c r="A6330" s="1" t="str">
        <f>"500046"</f>
        <v>500046</v>
      </c>
      <c r="B6330" s="2" t="str">
        <f>"CHAVE MARGIRUS LIGA/DESL 15A"</f>
        <v>CHAVE MARGIRUS LIGA/DESL 15A</v>
      </c>
      <c r="C6330" s="2" t="str">
        <f t="shared" si="247"/>
        <v>UN</v>
      </c>
      <c r="D6330" s="7">
        <v>600</v>
      </c>
      <c r="E6330" s="3">
        <v>8</v>
      </c>
      <c r="F6330" s="3">
        <v>8</v>
      </c>
      <c r="G6330" t="s">
        <v>514</v>
      </c>
    </row>
    <row r="6331" spans="1:7" x14ac:dyDescent="0.25">
      <c r="A6331" s="1" t="str">
        <f>"502817"</f>
        <v>502817</v>
      </c>
      <c r="B6331" s="2" t="str">
        <f>"CHAVE MARGIRUS Nº14203 LIGA/DESL/LIGA"</f>
        <v>CHAVE MARGIRUS Nº14203 LIGA/DESL/LIGA</v>
      </c>
      <c r="C6331" s="2" t="str">
        <f t="shared" si="247"/>
        <v>UN</v>
      </c>
      <c r="D6331" s="7">
        <v>600</v>
      </c>
      <c r="E6331" s="3">
        <v>8</v>
      </c>
      <c r="F6331" s="3">
        <v>8</v>
      </c>
      <c r="G6331" t="s">
        <v>515</v>
      </c>
    </row>
    <row r="6332" spans="1:7" x14ac:dyDescent="0.25">
      <c r="A6332" s="1" t="str">
        <f>"509664"</f>
        <v>509664</v>
      </c>
      <c r="B6332" s="2" t="str">
        <f>"CHAVE NH SIEMENS MAX 630A"</f>
        <v>CHAVE NH SIEMENS MAX 630A</v>
      </c>
      <c r="C6332" s="2" t="str">
        <f t="shared" si="247"/>
        <v>UN</v>
      </c>
      <c r="D6332" s="7">
        <v>600</v>
      </c>
      <c r="E6332" s="3">
        <v>8</v>
      </c>
      <c r="F6332" s="3">
        <v>8</v>
      </c>
      <c r="G6332" t="s">
        <v>512</v>
      </c>
    </row>
    <row r="6333" spans="1:7" x14ac:dyDescent="0.25">
      <c r="A6333" s="1" t="str">
        <f>"516903"</f>
        <v>516903</v>
      </c>
      <c r="B6333" s="2" t="str">
        <f>"CHAVE P/ LAVATORIO"</f>
        <v>CHAVE P/ LAVATORIO</v>
      </c>
      <c r="C6333" s="2" t="str">
        <f t="shared" si="247"/>
        <v>UN</v>
      </c>
      <c r="D6333" s="7">
        <v>600</v>
      </c>
      <c r="E6333" s="3">
        <v>8</v>
      </c>
      <c r="F6333" s="3">
        <v>8</v>
      </c>
      <c r="G6333" t="s">
        <v>516</v>
      </c>
    </row>
    <row r="6334" spans="1:7" x14ac:dyDescent="0.25">
      <c r="A6334" s="1" t="str">
        <f>"526507"</f>
        <v>526507</v>
      </c>
      <c r="B6334" s="2" t="str">
        <f>"CHAVE P/ MANDRIL 1/2"</f>
        <v>CHAVE P/ MANDRIL 1/2</v>
      </c>
      <c r="C6334" s="2" t="str">
        <f t="shared" si="247"/>
        <v>UN</v>
      </c>
      <c r="D6334" s="7">
        <v>817</v>
      </c>
      <c r="E6334" s="3">
        <v>10</v>
      </c>
      <c r="F6334" s="3">
        <v>10</v>
      </c>
      <c r="G6334" t="s">
        <v>515</v>
      </c>
    </row>
    <row r="6335" spans="1:7" x14ac:dyDescent="0.25">
      <c r="A6335" s="1" t="str">
        <f>"511426"</f>
        <v>511426</v>
      </c>
      <c r="B6335" s="2" t="str">
        <f>"CHAVE P/ MANDRIL LOYAL 20MM"</f>
        <v>CHAVE P/ MANDRIL LOYAL 20MM</v>
      </c>
      <c r="C6335" s="2" t="str">
        <f t="shared" si="247"/>
        <v>UN</v>
      </c>
      <c r="D6335" s="7">
        <v>920</v>
      </c>
      <c r="E6335" s="3">
        <v>11</v>
      </c>
      <c r="F6335" s="3">
        <v>11</v>
      </c>
      <c r="G6335" t="s">
        <v>514</v>
      </c>
    </row>
    <row r="6336" spans="1:7" x14ac:dyDescent="0.25">
      <c r="A6336" s="1" t="str">
        <f>"503515"</f>
        <v>503515</v>
      </c>
      <c r="B6336" s="2" t="str">
        <f>"CHAVE P/ MANDRIL REF.WS2"</f>
        <v>CHAVE P/ MANDRIL REF.WS2</v>
      </c>
      <c r="C6336" s="2" t="str">
        <f t="shared" si="247"/>
        <v>UN</v>
      </c>
      <c r="D6336" s="7">
        <v>402</v>
      </c>
      <c r="E6336" s="3">
        <v>4</v>
      </c>
      <c r="F6336" s="3">
        <v>4</v>
      </c>
      <c r="G6336" t="s">
        <v>512</v>
      </c>
    </row>
    <row r="6337" spans="1:7" x14ac:dyDescent="0.25">
      <c r="A6337" s="1" t="str">
        <f>"503514"</f>
        <v>503514</v>
      </c>
      <c r="B6337" s="2" t="str">
        <f>"CHAVE P/ MANDRIL S3 REF.525457"</f>
        <v>CHAVE P/ MANDRIL S3 REF.525457</v>
      </c>
      <c r="C6337" s="2" t="str">
        <f t="shared" si="247"/>
        <v>UN</v>
      </c>
      <c r="D6337" s="7">
        <v>402</v>
      </c>
      <c r="E6337" s="3">
        <v>4</v>
      </c>
      <c r="F6337" s="3">
        <v>4</v>
      </c>
      <c r="G6337" t="s">
        <v>513</v>
      </c>
    </row>
    <row r="6338" spans="1:7" x14ac:dyDescent="0.25">
      <c r="A6338" s="1" t="str">
        <f>"515379"</f>
        <v>515379</v>
      </c>
      <c r="B6338" s="2" t="str">
        <f>"CHAVE PAINEL"</f>
        <v>CHAVE PAINEL</v>
      </c>
      <c r="C6338" s="2" t="str">
        <f t="shared" si="247"/>
        <v>UN</v>
      </c>
      <c r="D6338" s="7">
        <v>401</v>
      </c>
      <c r="E6338" s="3">
        <v>4</v>
      </c>
      <c r="F6338" s="3">
        <v>4</v>
      </c>
      <c r="G6338" t="s">
        <v>514</v>
      </c>
    </row>
    <row r="6339" spans="1:7" x14ac:dyDescent="0.25">
      <c r="A6339" s="1" t="str">
        <f>"520534"</f>
        <v>520534</v>
      </c>
      <c r="B6339" s="2" t="str">
        <f>"CHAVE PARA BALDE FERMATADOR"</f>
        <v>CHAVE PARA BALDE FERMATADOR</v>
      </c>
      <c r="C6339" s="2" t="str">
        <f t="shared" si="247"/>
        <v>UN</v>
      </c>
      <c r="D6339" s="7">
        <v>402</v>
      </c>
      <c r="E6339" s="3">
        <v>4</v>
      </c>
      <c r="F6339" s="3">
        <v>4</v>
      </c>
      <c r="G6339" t="s">
        <v>514</v>
      </c>
    </row>
    <row r="6340" spans="1:7" x14ac:dyDescent="0.25">
      <c r="A6340" s="1" t="str">
        <f>"521598"</f>
        <v>521598</v>
      </c>
      <c r="B6340" s="2" t="str">
        <f>"CHAVE PARA PORCA SMS 1"""</f>
        <v>CHAVE PARA PORCA SMS 1"</v>
      </c>
      <c r="C6340" s="2" t="str">
        <f t="shared" si="247"/>
        <v>UN</v>
      </c>
      <c r="D6340" s="7">
        <v>402</v>
      </c>
      <c r="E6340" s="3">
        <v>4</v>
      </c>
      <c r="F6340" s="3">
        <v>4</v>
      </c>
      <c r="G6340" t="s">
        <v>512</v>
      </c>
    </row>
    <row r="6341" spans="1:7" x14ac:dyDescent="0.25">
      <c r="A6341" s="1" t="str">
        <f>"506044"</f>
        <v>506044</v>
      </c>
      <c r="B6341" s="2" t="str">
        <f>"CHAVE PARA PORCA SMS 2"""</f>
        <v>CHAVE PARA PORCA SMS 2"</v>
      </c>
      <c r="C6341" s="2" t="str">
        <f t="shared" si="247"/>
        <v>UN</v>
      </c>
      <c r="D6341" s="7">
        <v>402</v>
      </c>
      <c r="E6341" s="3">
        <v>4</v>
      </c>
      <c r="F6341" s="3">
        <v>4</v>
      </c>
      <c r="G6341" t="s">
        <v>513</v>
      </c>
    </row>
    <row r="6342" spans="1:7" x14ac:dyDescent="0.25">
      <c r="A6342" s="1" t="str">
        <f>"526078"</f>
        <v>526078</v>
      </c>
      <c r="B6342" s="2" t="str">
        <f>"CHAVE PARA PORCA SMS 3"""</f>
        <v>CHAVE PARA PORCA SMS 3"</v>
      </c>
      <c r="C6342" s="2" t="str">
        <f t="shared" si="247"/>
        <v>UN</v>
      </c>
      <c r="D6342" s="7">
        <v>402</v>
      </c>
      <c r="E6342" s="3">
        <v>4</v>
      </c>
      <c r="F6342" s="3">
        <v>4</v>
      </c>
      <c r="G6342" t="s">
        <v>514</v>
      </c>
    </row>
    <row r="6343" spans="1:7" x14ac:dyDescent="0.25">
      <c r="A6343" s="1" t="str">
        <f>"521597"</f>
        <v>521597</v>
      </c>
      <c r="B6343" s="2" t="str">
        <f>"CHAVE PARA PORCA SMS 4"""</f>
        <v>CHAVE PARA PORCA SMS 4"</v>
      </c>
      <c r="C6343" s="2" t="str">
        <f t="shared" si="247"/>
        <v>UN</v>
      </c>
      <c r="D6343" s="7">
        <v>402</v>
      </c>
      <c r="E6343" s="3">
        <v>4</v>
      </c>
      <c r="F6343" s="3">
        <v>4</v>
      </c>
      <c r="G6343" t="s">
        <v>514</v>
      </c>
    </row>
    <row r="6344" spans="1:7" x14ac:dyDescent="0.25">
      <c r="A6344" s="1" t="str">
        <f>"506150"</f>
        <v>506150</v>
      </c>
      <c r="B6344" s="2" t="str">
        <f>"CHAVE PARAFUSOS AJUSTE 5SH3 700-B"</f>
        <v>CHAVE PARAFUSOS AJUSTE 5SH3 700-B</v>
      </c>
      <c r="C6344" s="2" t="str">
        <f t="shared" si="247"/>
        <v>UN</v>
      </c>
      <c r="D6344" s="7">
        <v>601</v>
      </c>
      <c r="E6344" s="3">
        <v>8</v>
      </c>
      <c r="F6344" s="3">
        <v>8</v>
      </c>
      <c r="G6344" t="s">
        <v>514</v>
      </c>
    </row>
    <row r="6345" spans="1:7" x14ac:dyDescent="0.25">
      <c r="A6345" s="1" t="str">
        <f>"509912"</f>
        <v>509912</v>
      </c>
      <c r="B6345" s="2" t="str">
        <f>"CHAVE PARTIDA PDW04 - 4CV 220V WEG"</f>
        <v>CHAVE PARTIDA PDW04 - 4CV 220V WEG</v>
      </c>
      <c r="C6345" s="2" t="str">
        <f t="shared" si="247"/>
        <v>UN</v>
      </c>
      <c r="D6345" s="7">
        <v>600</v>
      </c>
      <c r="E6345" s="3">
        <v>8</v>
      </c>
      <c r="F6345" s="3">
        <v>8</v>
      </c>
      <c r="G6345" t="s">
        <v>513</v>
      </c>
    </row>
    <row r="6346" spans="1:7" x14ac:dyDescent="0.25">
      <c r="A6346" s="1" t="str">
        <f>"509987"</f>
        <v>509987</v>
      </c>
      <c r="B6346" s="2" t="str">
        <f>"CHAVE PARTIDA PDW04 - 7,5CV 220V WEG"</f>
        <v>CHAVE PARTIDA PDW04 - 7,5CV 220V WEG</v>
      </c>
      <c r="C6346" s="2" t="str">
        <f t="shared" si="247"/>
        <v>UN</v>
      </c>
      <c r="D6346" s="7">
        <v>600</v>
      </c>
      <c r="E6346" s="3">
        <v>8</v>
      </c>
      <c r="F6346" s="3">
        <v>8</v>
      </c>
      <c r="G6346" t="s">
        <v>512</v>
      </c>
    </row>
    <row r="6347" spans="1:7" x14ac:dyDescent="0.25">
      <c r="A6347" s="1" t="str">
        <f>"509724"</f>
        <v>509724</v>
      </c>
      <c r="B6347" s="2" t="str">
        <f>"CHAVE PARTIDA SIEMENS 3RE10 36-4FA350AU1"</f>
        <v>CHAVE PARTIDA SIEMENS 3RE10 36-4FA350AU1</v>
      </c>
      <c r="C6347" s="2" t="str">
        <f t="shared" si="247"/>
        <v>UN</v>
      </c>
      <c r="D6347" s="7">
        <v>600</v>
      </c>
      <c r="E6347" s="3">
        <v>8</v>
      </c>
      <c r="F6347" s="3">
        <v>8</v>
      </c>
      <c r="G6347" t="s">
        <v>513</v>
      </c>
    </row>
    <row r="6348" spans="1:7" x14ac:dyDescent="0.25">
      <c r="A6348" s="1" t="str">
        <f>"500903"</f>
        <v>500903</v>
      </c>
      <c r="B6348" s="2" t="str">
        <f>"CHAVE PARTIDA SIRIUS 3RE1016-1CA15-OAN1"</f>
        <v>CHAVE PARTIDA SIRIUS 3RE1016-1CA15-OAN1</v>
      </c>
      <c r="C6348" s="2" t="str">
        <f t="shared" si="247"/>
        <v>UN</v>
      </c>
      <c r="D6348" s="7">
        <v>600</v>
      </c>
      <c r="E6348" s="3">
        <v>8</v>
      </c>
      <c r="F6348" s="3">
        <v>8</v>
      </c>
      <c r="G6348" t="s">
        <v>514</v>
      </c>
    </row>
    <row r="6349" spans="1:7" x14ac:dyDescent="0.25">
      <c r="A6349" s="1" t="str">
        <f>"500838"</f>
        <v>500838</v>
      </c>
      <c r="B6349" s="2" t="str">
        <f>"CHAVE PARTIDA SIRIUS 3RE1016-1EA15-OAN1"</f>
        <v>CHAVE PARTIDA SIRIUS 3RE1016-1EA15-OAN1</v>
      </c>
      <c r="C6349" s="2" t="str">
        <f t="shared" si="247"/>
        <v>UN</v>
      </c>
      <c r="D6349" s="7">
        <v>600</v>
      </c>
      <c r="E6349" s="3">
        <v>8</v>
      </c>
      <c r="F6349" s="3">
        <v>8</v>
      </c>
      <c r="G6349" t="s">
        <v>514</v>
      </c>
    </row>
    <row r="6350" spans="1:7" x14ac:dyDescent="0.25">
      <c r="A6350" s="1" t="str">
        <f>"502761"</f>
        <v>502761</v>
      </c>
      <c r="B6350" s="2" t="str">
        <f>"CHAVE PARTIDA SIRIUS 3RE1016-1HA15-OAN1"</f>
        <v>CHAVE PARTIDA SIRIUS 3RE1016-1HA15-OAN1</v>
      </c>
      <c r="C6350" s="2" t="str">
        <f t="shared" si="247"/>
        <v>UN</v>
      </c>
      <c r="D6350" s="7">
        <v>600</v>
      </c>
      <c r="E6350" s="3">
        <v>8</v>
      </c>
      <c r="F6350" s="3">
        <v>8</v>
      </c>
      <c r="G6350" t="s">
        <v>514</v>
      </c>
    </row>
    <row r="6351" spans="1:7" x14ac:dyDescent="0.25">
      <c r="A6351" s="1" t="str">
        <f>"517525"</f>
        <v>517525</v>
      </c>
      <c r="B6351" s="2" t="str">
        <f>"CHAVE PARTIDA SIRIUS 3RE1016-1HA15-OAU1"</f>
        <v>CHAVE PARTIDA SIRIUS 3RE1016-1HA15-OAU1</v>
      </c>
      <c r="C6351" s="2" t="str">
        <f t="shared" si="247"/>
        <v>UN</v>
      </c>
      <c r="D6351" s="7">
        <v>811</v>
      </c>
      <c r="E6351" s="3">
        <v>8</v>
      </c>
      <c r="F6351" s="3">
        <v>8</v>
      </c>
      <c r="G6351" t="s">
        <v>513</v>
      </c>
    </row>
    <row r="6352" spans="1:7" x14ac:dyDescent="0.25">
      <c r="A6352" s="1" t="str">
        <f>"500824"</f>
        <v>500824</v>
      </c>
      <c r="B6352" s="2" t="str">
        <f>"CHAVE PARTIDA SIRIUS 3RE1016-1KA17-OAN1"</f>
        <v>CHAVE PARTIDA SIRIUS 3RE1016-1KA17-OAN1</v>
      </c>
      <c r="C6352" s="2" t="str">
        <f t="shared" si="247"/>
        <v>UN</v>
      </c>
      <c r="D6352" s="7">
        <v>600</v>
      </c>
      <c r="E6352" s="3">
        <v>8</v>
      </c>
      <c r="F6352" s="3">
        <v>8</v>
      </c>
      <c r="G6352" t="s">
        <v>513</v>
      </c>
    </row>
    <row r="6353" spans="1:7" x14ac:dyDescent="0.25">
      <c r="A6353" s="1" t="str">
        <f>"504096"</f>
        <v>504096</v>
      </c>
      <c r="B6353" s="2" t="str">
        <f>"CHAVE PARTIDA SIRIUS 3RE1016-OKA15-OAN1"</f>
        <v>CHAVE PARTIDA SIRIUS 3RE1016-OKA15-OAN1</v>
      </c>
      <c r="C6353" s="2" t="str">
        <f t="shared" si="247"/>
        <v>UN</v>
      </c>
      <c r="D6353" s="7">
        <v>600</v>
      </c>
      <c r="E6353" s="3">
        <v>8</v>
      </c>
      <c r="F6353" s="3">
        <v>8</v>
      </c>
      <c r="G6353" t="s">
        <v>513</v>
      </c>
    </row>
    <row r="6354" spans="1:7" x14ac:dyDescent="0.25">
      <c r="A6354" s="1" t="str">
        <f>"512101"</f>
        <v>512101</v>
      </c>
      <c r="B6354" s="2" t="str">
        <f>"CHAVE PARTIDA SIRIUS 3RE1026-4A25-0AV1"</f>
        <v>CHAVE PARTIDA SIRIUS 3RE1026-4A25-0AV1</v>
      </c>
      <c r="C6354" s="2" t="str">
        <f t="shared" si="247"/>
        <v>UN</v>
      </c>
      <c r="D6354" s="7">
        <v>600</v>
      </c>
      <c r="E6354" s="3">
        <v>8</v>
      </c>
      <c r="F6354" s="3">
        <v>8</v>
      </c>
      <c r="G6354" t="s">
        <v>512</v>
      </c>
    </row>
    <row r="6355" spans="1:7" x14ac:dyDescent="0.25">
      <c r="A6355" s="1" t="str">
        <f>"509512"</f>
        <v>509512</v>
      </c>
      <c r="B6355" s="2" t="str">
        <f>"CHAVE PARTIDA SIRIUS 3RE1026-4BA26-OAN1"</f>
        <v>CHAVE PARTIDA SIRIUS 3RE1026-4BA26-OAN1</v>
      </c>
      <c r="C6355" s="2" t="str">
        <f t="shared" si="247"/>
        <v>UN</v>
      </c>
      <c r="D6355" s="7">
        <v>600</v>
      </c>
      <c r="E6355" s="3">
        <v>8</v>
      </c>
      <c r="F6355" s="3">
        <v>8</v>
      </c>
      <c r="G6355" t="s">
        <v>513</v>
      </c>
    </row>
    <row r="6356" spans="1:7" x14ac:dyDescent="0.25">
      <c r="A6356" s="1" t="str">
        <f>"515812"</f>
        <v>515812</v>
      </c>
      <c r="B6356" s="2" t="str">
        <f>"CHAVE PHILIPS 1/4 X 4"</f>
        <v>CHAVE PHILIPS 1/4 X 4</v>
      </c>
      <c r="C6356" s="2" t="str">
        <f t="shared" si="247"/>
        <v>UN</v>
      </c>
      <c r="D6356" s="7">
        <v>99999</v>
      </c>
      <c r="E6356" s="3">
        <v>99</v>
      </c>
      <c r="F6356" s="3">
        <v>99</v>
      </c>
      <c r="G6356" t="s">
        <v>514</v>
      </c>
    </row>
    <row r="6357" spans="1:7" x14ac:dyDescent="0.25">
      <c r="A6357" s="1" t="str">
        <f>"517980"</f>
        <v>517980</v>
      </c>
      <c r="B6357" s="2" t="str">
        <f>"CHAVE PHILIPS 1/4 X 8"</f>
        <v>CHAVE PHILIPS 1/4 X 8</v>
      </c>
      <c r="C6357" s="2" t="str">
        <f t="shared" si="247"/>
        <v>UN</v>
      </c>
      <c r="D6357" s="7">
        <v>920</v>
      </c>
      <c r="E6357" s="3">
        <v>4</v>
      </c>
      <c r="F6357" s="3">
        <v>4</v>
      </c>
      <c r="G6357" t="s">
        <v>515</v>
      </c>
    </row>
    <row r="6358" spans="1:7" x14ac:dyDescent="0.25">
      <c r="A6358" s="1" t="str">
        <f>"515811"</f>
        <v>515811</v>
      </c>
      <c r="B6358" s="2" t="str">
        <f>"CHAVE PHILIPS 1/8 X 2"</f>
        <v>CHAVE PHILIPS 1/8 X 2</v>
      </c>
      <c r="C6358" s="2" t="str">
        <f t="shared" si="247"/>
        <v>UN</v>
      </c>
      <c r="D6358" s="7">
        <v>99999</v>
      </c>
      <c r="E6358" s="3">
        <v>99</v>
      </c>
      <c r="F6358" s="3">
        <v>99</v>
      </c>
      <c r="G6358" t="s">
        <v>512</v>
      </c>
    </row>
    <row r="6359" spans="1:7" x14ac:dyDescent="0.25">
      <c r="A6359" s="1" t="str">
        <f>"518436"</f>
        <v>518436</v>
      </c>
      <c r="B6359" s="2" t="str">
        <f>"CHAVE PHILIPS 1/8 X 4"</f>
        <v>CHAVE PHILIPS 1/8 X 4</v>
      </c>
      <c r="C6359" s="2" t="str">
        <f t="shared" ref="C6359:C6390" si="248">"UN"</f>
        <v>UN</v>
      </c>
      <c r="D6359" s="7">
        <v>99999</v>
      </c>
      <c r="E6359" s="3">
        <v>99</v>
      </c>
      <c r="F6359" s="3">
        <v>99</v>
      </c>
      <c r="G6359" t="s">
        <v>516</v>
      </c>
    </row>
    <row r="6360" spans="1:7" x14ac:dyDescent="0.25">
      <c r="A6360" s="1" t="str">
        <f>"508551"</f>
        <v>508551</v>
      </c>
      <c r="B6360" s="2" t="str">
        <f>"CHAVE PHILIPS 3/16 X 3"</f>
        <v>CHAVE PHILIPS 3/16 X 3</v>
      </c>
      <c r="C6360" s="2" t="str">
        <f t="shared" si="248"/>
        <v>UN</v>
      </c>
      <c r="D6360" s="7">
        <v>402</v>
      </c>
      <c r="E6360" s="3">
        <v>4</v>
      </c>
      <c r="F6360" s="3">
        <v>4</v>
      </c>
      <c r="G6360" t="s">
        <v>515</v>
      </c>
    </row>
    <row r="6361" spans="1:7" x14ac:dyDescent="0.25">
      <c r="A6361" s="1" t="str">
        <f>"518087"</f>
        <v>518087</v>
      </c>
      <c r="B6361" s="2" t="str">
        <f>"CHAVE PHILIPS 3/16 X 4"""</f>
        <v>CHAVE PHILIPS 3/16 X 4"</v>
      </c>
      <c r="C6361" s="2" t="str">
        <f t="shared" si="248"/>
        <v>UN</v>
      </c>
      <c r="D6361" s="7">
        <v>920</v>
      </c>
      <c r="E6361" s="3">
        <v>4</v>
      </c>
      <c r="F6361" s="3">
        <v>4</v>
      </c>
      <c r="G6361" t="s">
        <v>514</v>
      </c>
    </row>
    <row r="6362" spans="1:7" x14ac:dyDescent="0.25">
      <c r="A6362" s="1" t="str">
        <f>"515814"</f>
        <v>515814</v>
      </c>
      <c r="B6362" s="2" t="str">
        <f>"CHAVE PHILIPS 3/4 X 10"</f>
        <v>CHAVE PHILIPS 3/4 X 10</v>
      </c>
      <c r="C6362" s="2" t="str">
        <f t="shared" si="248"/>
        <v>UN</v>
      </c>
      <c r="D6362" s="7">
        <v>99999</v>
      </c>
      <c r="E6362" s="3">
        <v>99</v>
      </c>
      <c r="F6362" s="3">
        <v>99</v>
      </c>
      <c r="G6362" t="s">
        <v>512</v>
      </c>
    </row>
    <row r="6363" spans="1:7" x14ac:dyDescent="0.25">
      <c r="A6363" s="1" t="str">
        <f>"515816"</f>
        <v>515816</v>
      </c>
      <c r="B6363" s="2" t="str">
        <f>"CHAVE PHILIPS COTOCO 1/4 X 1 1/2"</f>
        <v>CHAVE PHILIPS COTOCO 1/4 X 1 1/2</v>
      </c>
      <c r="C6363" s="2" t="str">
        <f t="shared" si="248"/>
        <v>UN</v>
      </c>
      <c r="D6363" s="7">
        <v>99999</v>
      </c>
      <c r="E6363" s="3">
        <v>99</v>
      </c>
      <c r="F6363" s="3">
        <v>99</v>
      </c>
      <c r="G6363" t="s">
        <v>513</v>
      </c>
    </row>
    <row r="6364" spans="1:7" x14ac:dyDescent="0.25">
      <c r="A6364" s="1" t="str">
        <f>"518437"</f>
        <v>518437</v>
      </c>
      <c r="B6364" s="2" t="str">
        <f>"CHAVE PHILIPS COTOCO 1/8 X 2"""</f>
        <v>CHAVE PHILIPS COTOCO 1/8 X 2"</v>
      </c>
      <c r="C6364" s="2" t="str">
        <f t="shared" si="248"/>
        <v>UN</v>
      </c>
      <c r="D6364" s="7">
        <v>99999</v>
      </c>
      <c r="E6364" s="3">
        <v>99</v>
      </c>
      <c r="F6364" s="3">
        <v>99</v>
      </c>
      <c r="G6364" t="s">
        <v>514</v>
      </c>
    </row>
    <row r="6365" spans="1:7" x14ac:dyDescent="0.25">
      <c r="A6365" s="1" t="str">
        <f>"518539"</f>
        <v>518539</v>
      </c>
      <c r="B6365" s="2" t="str">
        <f>"CHAVE PHILIPS ELETRIC MASTER 1/4 X 6 MORETZSOHN"</f>
        <v>CHAVE PHILIPS ELETRIC MASTER 1/4 X 6 MORETZSOHN</v>
      </c>
      <c r="C6365" s="2" t="str">
        <f t="shared" si="248"/>
        <v>UN</v>
      </c>
      <c r="D6365" s="7">
        <v>402</v>
      </c>
      <c r="E6365" s="3">
        <v>4</v>
      </c>
      <c r="F6365" s="3">
        <v>4</v>
      </c>
      <c r="G6365" t="s">
        <v>514</v>
      </c>
    </row>
    <row r="6366" spans="1:7" x14ac:dyDescent="0.25">
      <c r="A6366" s="1" t="str">
        <f>"518086"</f>
        <v>518086</v>
      </c>
      <c r="B6366" s="2" t="str">
        <f>"CHAVE PHILIPS ELETRIC MASTER 1/8 X 6"" MORETZSOHN"</f>
        <v>CHAVE PHILIPS ELETRIC MASTER 1/8 X 6" MORETZSOHN</v>
      </c>
      <c r="C6366" s="2" t="str">
        <f t="shared" si="248"/>
        <v>UN</v>
      </c>
      <c r="D6366" s="7">
        <v>920</v>
      </c>
      <c r="E6366" s="3">
        <v>4</v>
      </c>
      <c r="F6366" s="3">
        <v>4</v>
      </c>
      <c r="G6366" t="s">
        <v>512</v>
      </c>
    </row>
    <row r="6367" spans="1:7" x14ac:dyDescent="0.25">
      <c r="A6367" s="1" t="str">
        <f>"518452"</f>
        <v>518452</v>
      </c>
      <c r="B6367" s="2" t="str">
        <f>"CHAVE PHILIPS ELETRIC MASTER 3/16 X 6"" MORETZSOHN"</f>
        <v>CHAVE PHILIPS ELETRIC MASTER 3/16 X 6" MORETZSOHN</v>
      </c>
      <c r="C6367" s="2" t="str">
        <f t="shared" si="248"/>
        <v>UN</v>
      </c>
      <c r="D6367" s="7">
        <v>920</v>
      </c>
      <c r="E6367" s="3">
        <v>4</v>
      </c>
      <c r="F6367" s="3">
        <v>4</v>
      </c>
      <c r="G6367" t="s">
        <v>513</v>
      </c>
    </row>
    <row r="6368" spans="1:7" x14ac:dyDescent="0.25">
      <c r="A6368" s="1" t="str">
        <f>"515813"</f>
        <v>515813</v>
      </c>
      <c r="B6368" s="2" t="str">
        <f>"CHAVE PHILIPS ELETRIC MASTER 5/16 X 6 MORETZSOHN"</f>
        <v>CHAVE PHILIPS ELETRIC MASTER 5/16 X 6 MORETZSOHN</v>
      </c>
      <c r="C6368" s="2" t="str">
        <f t="shared" si="248"/>
        <v>UN</v>
      </c>
      <c r="D6368" s="7">
        <v>99999</v>
      </c>
      <c r="E6368" s="3">
        <v>99</v>
      </c>
      <c r="F6368" s="3">
        <v>99</v>
      </c>
      <c r="G6368" t="s">
        <v>514</v>
      </c>
    </row>
    <row r="6369" spans="1:7" x14ac:dyDescent="0.25">
      <c r="A6369" s="1" t="str">
        <f>"524882"</f>
        <v>524882</v>
      </c>
      <c r="B6369" s="2" t="str">
        <f>"CHAVE PHILIPS ISOLADA GEDORE 1/8 X 10"""</f>
        <v>CHAVE PHILIPS ISOLADA GEDORE 1/8 X 10"</v>
      </c>
      <c r="C6369" s="2" t="str">
        <f t="shared" si="248"/>
        <v>UN</v>
      </c>
      <c r="D6369" s="7">
        <v>920</v>
      </c>
      <c r="E6369" s="3">
        <v>4</v>
      </c>
      <c r="F6369" s="3">
        <v>4</v>
      </c>
      <c r="G6369" t="s">
        <v>514</v>
      </c>
    </row>
    <row r="6370" spans="1:7" x14ac:dyDescent="0.25">
      <c r="A6370" s="1" t="str">
        <f>"524883"</f>
        <v>524883</v>
      </c>
      <c r="B6370" s="2" t="str">
        <f>"CHAVE PHILIPS ISOLADA GEDORE 3/16 X 8"""</f>
        <v>CHAVE PHILIPS ISOLADA GEDORE 3/16 X 8"</v>
      </c>
      <c r="C6370" s="2" t="str">
        <f t="shared" si="248"/>
        <v>UN</v>
      </c>
      <c r="D6370" s="7">
        <v>920</v>
      </c>
      <c r="E6370" s="3">
        <v>4</v>
      </c>
      <c r="F6370" s="3">
        <v>4</v>
      </c>
      <c r="G6370" t="s">
        <v>514</v>
      </c>
    </row>
    <row r="6371" spans="1:7" x14ac:dyDescent="0.25">
      <c r="A6371" s="1" t="str">
        <f>"526730"</f>
        <v>526730</v>
      </c>
      <c r="B6371" s="2" t="str">
        <f>"CHAVE PHILIPS ROBUST ISOLADA  3/16X4"</f>
        <v>CHAVE PHILIPS ROBUST ISOLADA  3/16X4</v>
      </c>
      <c r="C6371" s="2" t="str">
        <f t="shared" si="248"/>
        <v>UN</v>
      </c>
      <c r="D6371" s="7">
        <v>920</v>
      </c>
      <c r="E6371" s="3">
        <v>4</v>
      </c>
      <c r="F6371" s="3">
        <v>4</v>
      </c>
      <c r="G6371" t="s">
        <v>513</v>
      </c>
    </row>
    <row r="6372" spans="1:7" x14ac:dyDescent="0.25">
      <c r="A6372" s="1" t="str">
        <f>"526728"</f>
        <v>526728</v>
      </c>
      <c r="B6372" s="2" t="str">
        <f>"CHAVE PHILIPS ROBUST ISOLADA 1/4X4"</f>
        <v>CHAVE PHILIPS ROBUST ISOLADA 1/4X4</v>
      </c>
      <c r="C6372" s="2" t="str">
        <f t="shared" si="248"/>
        <v>UN</v>
      </c>
      <c r="D6372" s="7">
        <v>920</v>
      </c>
      <c r="E6372" s="3">
        <v>4</v>
      </c>
      <c r="F6372" s="3">
        <v>4</v>
      </c>
      <c r="G6372" t="s">
        <v>512</v>
      </c>
    </row>
    <row r="6373" spans="1:7" x14ac:dyDescent="0.25">
      <c r="A6373" s="1" t="str">
        <f>"526726"</f>
        <v>526726</v>
      </c>
      <c r="B6373" s="2" t="str">
        <f>"CHAVE PHILIPS ROBUST ISOLADA 1/8X3"</f>
        <v>CHAVE PHILIPS ROBUST ISOLADA 1/8X3</v>
      </c>
      <c r="C6373" s="2" t="str">
        <f t="shared" si="248"/>
        <v>UN</v>
      </c>
      <c r="D6373" s="7">
        <v>920</v>
      </c>
      <c r="E6373" s="3">
        <v>4</v>
      </c>
      <c r="F6373" s="3">
        <v>4</v>
      </c>
      <c r="G6373" t="s">
        <v>513</v>
      </c>
    </row>
    <row r="6374" spans="1:7" x14ac:dyDescent="0.25">
      <c r="A6374" s="1" t="str">
        <f>"526727"</f>
        <v>526727</v>
      </c>
      <c r="B6374" s="2" t="str">
        <f>"CHAVE PHILIPS ROBUST ISOLADA 3/16X4"</f>
        <v>CHAVE PHILIPS ROBUST ISOLADA 3/16X4</v>
      </c>
      <c r="C6374" s="2" t="str">
        <f t="shared" si="248"/>
        <v>UN</v>
      </c>
      <c r="D6374" s="7">
        <v>920</v>
      </c>
      <c r="E6374" s="3">
        <v>4</v>
      </c>
      <c r="F6374" s="3">
        <v>4</v>
      </c>
      <c r="G6374" t="s">
        <v>514</v>
      </c>
    </row>
    <row r="6375" spans="1:7" x14ac:dyDescent="0.25">
      <c r="A6375" s="1" t="str">
        <f>"526729"</f>
        <v>526729</v>
      </c>
      <c r="B6375" s="2" t="str">
        <f>"CHAVE PHILIPS ROBUST ISOLADA 5/16X6"</f>
        <v>CHAVE PHILIPS ROBUST ISOLADA 5/16X6</v>
      </c>
      <c r="C6375" s="2" t="str">
        <f t="shared" si="248"/>
        <v>UN</v>
      </c>
      <c r="D6375" s="7">
        <v>920</v>
      </c>
      <c r="E6375" s="3">
        <v>4</v>
      </c>
      <c r="F6375" s="3">
        <v>4</v>
      </c>
      <c r="G6375" t="s">
        <v>514</v>
      </c>
    </row>
    <row r="6376" spans="1:7" x14ac:dyDescent="0.25">
      <c r="A6376" s="1" t="str">
        <f>"513446"</f>
        <v>513446</v>
      </c>
      <c r="B6376" s="2" t="str">
        <f>"CHAVE PORCA APERTO DO ROTOR"</f>
        <v>CHAVE PORCA APERTO DO ROTOR</v>
      </c>
      <c r="C6376" s="2" t="str">
        <f t="shared" si="248"/>
        <v>UN</v>
      </c>
      <c r="D6376" s="7">
        <v>918</v>
      </c>
      <c r="E6376" s="3">
        <v>11</v>
      </c>
      <c r="F6376" s="3">
        <v>11</v>
      </c>
      <c r="G6376" t="s">
        <v>514</v>
      </c>
    </row>
    <row r="6377" spans="1:7" x14ac:dyDescent="0.25">
      <c r="A6377" s="1" t="str">
        <f>"511585"</f>
        <v>511585</v>
      </c>
      <c r="B6377" s="2" t="str">
        <f>"CHAVE RETENÇAO 1NA P/ FORÇADOR"</f>
        <v>CHAVE RETENÇAO 1NA P/ FORÇADOR</v>
      </c>
      <c r="C6377" s="2" t="str">
        <f t="shared" si="248"/>
        <v>UN</v>
      </c>
      <c r="D6377" s="7">
        <v>600</v>
      </c>
      <c r="E6377" s="3">
        <v>8</v>
      </c>
      <c r="F6377" s="3">
        <v>8</v>
      </c>
      <c r="G6377" t="s">
        <v>513</v>
      </c>
    </row>
    <row r="6378" spans="1:7" x14ac:dyDescent="0.25">
      <c r="A6378" s="1" t="str">
        <f>"511584"</f>
        <v>511584</v>
      </c>
      <c r="B6378" s="2" t="str">
        <f>"CHAVE RETENÇAO 1NA P/ LAMPADA"</f>
        <v>CHAVE RETENÇAO 1NA P/ LAMPADA</v>
      </c>
      <c r="C6378" s="2" t="str">
        <f t="shared" si="248"/>
        <v>UN</v>
      </c>
      <c r="D6378" s="7">
        <v>600</v>
      </c>
      <c r="E6378" s="3">
        <v>8</v>
      </c>
      <c r="F6378" s="3">
        <v>8</v>
      </c>
      <c r="G6378" t="s">
        <v>513</v>
      </c>
    </row>
    <row r="6379" spans="1:7" x14ac:dyDescent="0.25">
      <c r="A6379" s="1" t="str">
        <f>"511586"</f>
        <v>511586</v>
      </c>
      <c r="B6379" s="2" t="str">
        <f>"CHAVE RETENÇAO 1NA P/ TERMOMETRO"</f>
        <v>CHAVE RETENÇAO 1NA P/ TERMOMETRO</v>
      </c>
      <c r="C6379" s="2" t="str">
        <f t="shared" si="248"/>
        <v>UN</v>
      </c>
      <c r="D6379" s="7">
        <v>600</v>
      </c>
      <c r="E6379" s="3">
        <v>8</v>
      </c>
      <c r="F6379" s="3">
        <v>8</v>
      </c>
      <c r="G6379" t="s">
        <v>513</v>
      </c>
    </row>
    <row r="6380" spans="1:7" x14ac:dyDescent="0.25">
      <c r="A6380" s="1" t="str">
        <f>"511145"</f>
        <v>511145</v>
      </c>
      <c r="B6380" s="2" t="str">
        <f>"CHAVE RETENÇAO 2 POSIÇOES K3/01"</f>
        <v>CHAVE RETENÇAO 2 POSIÇOES K3/01</v>
      </c>
      <c r="C6380" s="2" t="str">
        <f t="shared" si="248"/>
        <v>UN</v>
      </c>
      <c r="D6380" s="7">
        <v>600</v>
      </c>
      <c r="E6380" s="3">
        <v>8</v>
      </c>
      <c r="F6380" s="3">
        <v>8</v>
      </c>
      <c r="G6380" t="s">
        <v>512</v>
      </c>
    </row>
    <row r="6381" spans="1:7" x14ac:dyDescent="0.25">
      <c r="A6381" s="1" t="str">
        <f>"511144"</f>
        <v>511144</v>
      </c>
      <c r="B6381" s="2" t="str">
        <f>"CHAVE RETENÇAO 3 POSIÇOES KK3/01"</f>
        <v>CHAVE RETENÇAO 3 POSIÇOES KK3/01</v>
      </c>
      <c r="C6381" s="2" t="str">
        <f t="shared" si="248"/>
        <v>UN</v>
      </c>
      <c r="D6381" s="7">
        <v>600</v>
      </c>
      <c r="E6381" s="3">
        <v>8</v>
      </c>
      <c r="F6381" s="3">
        <v>8</v>
      </c>
      <c r="G6381" t="s">
        <v>513</v>
      </c>
    </row>
    <row r="6382" spans="1:7" x14ac:dyDescent="0.25">
      <c r="A6382" s="1" t="str">
        <f>"525309"</f>
        <v>525309</v>
      </c>
      <c r="B6382" s="2" t="str">
        <f>"CHAVE REV. 12A 48V 50/60HZ LC2K1210E7 SCHENEIDER"</f>
        <v>CHAVE REV. 12A 48V 50/60HZ LC2K1210E7 SCHENEIDER</v>
      </c>
      <c r="C6382" s="2" t="str">
        <f t="shared" si="248"/>
        <v>UN</v>
      </c>
      <c r="D6382" s="7">
        <v>811</v>
      </c>
      <c r="E6382" s="3">
        <v>10</v>
      </c>
      <c r="F6382" s="3">
        <v>10</v>
      </c>
      <c r="G6382" t="s">
        <v>514</v>
      </c>
    </row>
    <row r="6383" spans="1:7" x14ac:dyDescent="0.25">
      <c r="A6383" s="1" t="str">
        <f>"514866"</f>
        <v>514866</v>
      </c>
      <c r="B6383" s="2" t="str">
        <f>"CHAVE REVERSAO"</f>
        <v>CHAVE REVERSAO</v>
      </c>
      <c r="C6383" s="2" t="str">
        <f t="shared" si="248"/>
        <v>UN</v>
      </c>
      <c r="D6383" s="7">
        <v>704</v>
      </c>
      <c r="E6383" s="3">
        <v>9</v>
      </c>
      <c r="F6383" s="3">
        <v>9</v>
      </c>
      <c r="G6383" t="s">
        <v>515</v>
      </c>
    </row>
    <row r="6384" spans="1:7" x14ac:dyDescent="0.25">
      <c r="A6384" s="1" t="str">
        <f>"509326"</f>
        <v>509326</v>
      </c>
      <c r="B6384" s="2" t="str">
        <f>"CHAVE ROTATIVA DA DMAX"</f>
        <v>CHAVE ROTATIVA DA DMAX</v>
      </c>
      <c r="C6384" s="2" t="str">
        <f t="shared" si="248"/>
        <v>UN</v>
      </c>
      <c r="D6384" s="7">
        <v>900</v>
      </c>
      <c r="E6384" s="3">
        <v>11</v>
      </c>
      <c r="F6384" s="3">
        <v>11</v>
      </c>
      <c r="G6384" t="s">
        <v>512</v>
      </c>
    </row>
    <row r="6385" spans="1:7" x14ac:dyDescent="0.25">
      <c r="A6385" s="1" t="str">
        <f>"519405"</f>
        <v>519405</v>
      </c>
      <c r="B6385" s="2" t="str">
        <f>"CHAVE ROTATIVA LW2620 6Q/2 02 POSIÇOES"</f>
        <v>CHAVE ROTATIVA LW2620 6Q/2 02 POSIÇOES</v>
      </c>
      <c r="C6385" s="2" t="str">
        <f t="shared" si="248"/>
        <v>UN</v>
      </c>
      <c r="D6385" s="7">
        <v>811</v>
      </c>
      <c r="E6385" s="3">
        <v>8</v>
      </c>
      <c r="F6385" s="3">
        <v>8</v>
      </c>
      <c r="G6385" t="s">
        <v>516</v>
      </c>
    </row>
    <row r="6386" spans="1:7" x14ac:dyDescent="0.25">
      <c r="A6386" s="1" t="str">
        <f>"517215"</f>
        <v>517215</v>
      </c>
      <c r="B6386" s="2" t="str">
        <f>"CHAVE ROTATIVA LW2632 6Q/2 02 POSIÇOES"</f>
        <v>CHAVE ROTATIVA LW2632 6Q/2 02 POSIÇOES</v>
      </c>
      <c r="C6386" s="2" t="str">
        <f t="shared" si="248"/>
        <v>UN</v>
      </c>
      <c r="D6386" s="7">
        <v>811</v>
      </c>
      <c r="E6386" s="3">
        <v>8</v>
      </c>
      <c r="F6386" s="3">
        <v>8</v>
      </c>
      <c r="G6386" t="s">
        <v>515</v>
      </c>
    </row>
    <row r="6387" spans="1:7" x14ac:dyDescent="0.25">
      <c r="A6387" s="1" t="str">
        <f>"518062"</f>
        <v>518062</v>
      </c>
      <c r="B6387" s="2" t="str">
        <f>"CHAVE ROTATIVA TRIFASICA SIEMENS P/ ACOPLAR NA PORTA DO PAIN"</f>
        <v>CHAVE ROTATIVA TRIFASICA SIEMENS P/ ACOPLAR NA PORTA DO PAIN</v>
      </c>
      <c r="C6387" s="2" t="str">
        <f t="shared" si="248"/>
        <v>UN</v>
      </c>
      <c r="D6387" s="7">
        <v>811</v>
      </c>
      <c r="E6387" s="3">
        <v>8</v>
      </c>
      <c r="F6387" s="3">
        <v>8</v>
      </c>
      <c r="G6387" t="s">
        <v>514</v>
      </c>
    </row>
    <row r="6388" spans="1:7" x14ac:dyDescent="0.25">
      <c r="A6388" s="1" t="str">
        <f>"505502"</f>
        <v>505502</v>
      </c>
      <c r="B6388" s="2" t="str">
        <f>"CHAVE SACAR FILTRO DIESEL"</f>
        <v>CHAVE SACAR FILTRO DIESEL</v>
      </c>
      <c r="C6388" s="2" t="str">
        <f t="shared" si="248"/>
        <v>UN</v>
      </c>
      <c r="D6388" s="7">
        <v>704</v>
      </c>
      <c r="E6388" s="3">
        <v>9</v>
      </c>
      <c r="F6388" s="3">
        <v>9</v>
      </c>
      <c r="G6388" t="s">
        <v>512</v>
      </c>
    </row>
    <row r="6389" spans="1:7" x14ac:dyDescent="0.25">
      <c r="A6389" s="1" t="str">
        <f>"519474"</f>
        <v>519474</v>
      </c>
      <c r="B6389" s="2" t="str">
        <f>"CHAVE SCHENEIDER INS 63A"</f>
        <v>CHAVE SCHENEIDER INS 63A</v>
      </c>
      <c r="C6389" s="2" t="str">
        <f t="shared" si="248"/>
        <v>UN</v>
      </c>
      <c r="D6389" s="7">
        <v>811</v>
      </c>
      <c r="E6389" s="3">
        <v>8</v>
      </c>
      <c r="F6389" s="3">
        <v>8</v>
      </c>
      <c r="G6389" t="s">
        <v>513</v>
      </c>
    </row>
    <row r="6390" spans="1:7" x14ac:dyDescent="0.25">
      <c r="A6390" s="1" t="str">
        <f>"527957"</f>
        <v>527957</v>
      </c>
      <c r="B6390" s="2" t="str">
        <f>"CHAVE SECC 25A CAIXA 5TW3 025-CX"</f>
        <v>CHAVE SECC 25A CAIXA 5TW3 025-CX</v>
      </c>
      <c r="C6390" s="2" t="str">
        <f t="shared" si="248"/>
        <v>UN</v>
      </c>
      <c r="D6390" s="7">
        <v>600</v>
      </c>
      <c r="E6390" s="3">
        <v>8</v>
      </c>
      <c r="F6390" s="3">
        <v>8</v>
      </c>
      <c r="G6390" t="s">
        <v>514</v>
      </c>
    </row>
    <row r="6391" spans="1:7" x14ac:dyDescent="0.25">
      <c r="A6391" s="1" t="str">
        <f>"523360"</f>
        <v>523360</v>
      </c>
      <c r="B6391" s="2" t="str">
        <f>"CHAVE SECCIONADA TRI 400A 15KV ABER.SOBRE CARGA"</f>
        <v>CHAVE SECCIONADA TRI 400A 15KV ABER.SOBRE CARGA</v>
      </c>
      <c r="C6391" s="2" t="str">
        <f t="shared" ref="C6391:C6423" si="249">"UN"</f>
        <v>UN</v>
      </c>
      <c r="D6391" s="7">
        <v>900</v>
      </c>
      <c r="E6391" s="3">
        <v>11</v>
      </c>
      <c r="F6391" s="3">
        <v>11</v>
      </c>
      <c r="G6391" t="s">
        <v>514</v>
      </c>
    </row>
    <row r="6392" spans="1:7" x14ac:dyDescent="0.25">
      <c r="A6392" s="1" t="str">
        <f>"518908"</f>
        <v>518908</v>
      </c>
      <c r="B6392" s="2" t="str">
        <f>"CHAVE SECCIONADORA 15KV 400AMP AB. SOB CARGA C BASE HH 160MM"</f>
        <v>CHAVE SECCIONADORA 15KV 400AMP AB. SOB CARGA C BASE HH 160MM</v>
      </c>
      <c r="C6392" s="2" t="str">
        <f t="shared" si="249"/>
        <v>UN</v>
      </c>
      <c r="D6392" s="7">
        <v>811</v>
      </c>
      <c r="E6392" s="3">
        <v>8</v>
      </c>
      <c r="F6392" s="3">
        <v>8</v>
      </c>
      <c r="G6392" t="s">
        <v>512</v>
      </c>
    </row>
    <row r="6393" spans="1:7" x14ac:dyDescent="0.25">
      <c r="A6393" s="1" t="str">
        <f>"510986"</f>
        <v>510986</v>
      </c>
      <c r="B6393" s="2" t="str">
        <f>"CHAVE SECCIONADORA 200A C/ FUSIVEL"</f>
        <v>CHAVE SECCIONADORA 200A C/ FUSIVEL</v>
      </c>
      <c r="C6393" s="2" t="str">
        <f t="shared" si="249"/>
        <v>UN</v>
      </c>
      <c r="D6393" s="7">
        <v>600</v>
      </c>
      <c r="E6393" s="3">
        <v>8</v>
      </c>
      <c r="F6393" s="3">
        <v>8</v>
      </c>
      <c r="G6393" t="s">
        <v>513</v>
      </c>
    </row>
    <row r="6394" spans="1:7" x14ac:dyDescent="0.25">
      <c r="A6394" s="1" t="str">
        <f>"516491"</f>
        <v>516491</v>
      </c>
      <c r="B6394" s="2" t="str">
        <f>"CHAVE SECCIONADORA INT. 3P 125A"</f>
        <v>CHAVE SECCIONADORA INT. 3P 125A</v>
      </c>
      <c r="C6394" s="2" t="str">
        <f t="shared" si="249"/>
        <v>UN</v>
      </c>
      <c r="D6394" s="7">
        <v>811</v>
      </c>
      <c r="E6394" s="3">
        <v>8</v>
      </c>
      <c r="F6394" s="3">
        <v>8</v>
      </c>
      <c r="G6394" t="s">
        <v>514</v>
      </c>
    </row>
    <row r="6395" spans="1:7" x14ac:dyDescent="0.25">
      <c r="A6395" s="1" t="str">
        <f>"527892"</f>
        <v>527892</v>
      </c>
      <c r="B6395" s="2" t="str">
        <f>"CHAVE SECCIONADORA S/CARGA 3P 125A MONT EM CX IP67 SIEMENS"</f>
        <v>CHAVE SECCIONADORA S/CARGA 3P 125A MONT EM CX IP67 SIEMENS</v>
      </c>
      <c r="C6395" s="2" t="str">
        <f t="shared" si="249"/>
        <v>UN</v>
      </c>
      <c r="D6395" s="7">
        <v>811</v>
      </c>
      <c r="E6395" s="3">
        <v>8</v>
      </c>
      <c r="F6395" s="3">
        <v>8</v>
      </c>
      <c r="G6395" t="s">
        <v>514</v>
      </c>
    </row>
    <row r="6396" spans="1:7" x14ac:dyDescent="0.25">
      <c r="A6396" s="1" t="str">
        <f>"527891"</f>
        <v>527891</v>
      </c>
      <c r="B6396" s="2" t="str">
        <f>"CHAVE SECCIONADORA S/CARGA 3P 63A MONT EM CX IP67 SIEMENS"</f>
        <v>CHAVE SECCIONADORA S/CARGA 3P 63A MONT EM CX IP67 SIEMENS</v>
      </c>
      <c r="C6396" s="2" t="str">
        <f t="shared" si="249"/>
        <v>UN</v>
      </c>
      <c r="D6396" s="7">
        <v>811</v>
      </c>
      <c r="E6396" s="3">
        <v>8</v>
      </c>
      <c r="F6396" s="3">
        <v>8</v>
      </c>
      <c r="G6396" t="s">
        <v>514</v>
      </c>
    </row>
    <row r="6397" spans="1:7" x14ac:dyDescent="0.25">
      <c r="A6397" s="1" t="str">
        <f>"516267"</f>
        <v>516267</v>
      </c>
      <c r="B6397" s="2" t="str">
        <f>"CHAVE SECCIONADORA SIEMENS 3NA3260 400A"</f>
        <v>CHAVE SECCIONADORA SIEMENS 3NA3260 400A</v>
      </c>
      <c r="C6397" s="2" t="str">
        <f t="shared" si="249"/>
        <v>UN</v>
      </c>
      <c r="D6397" s="7">
        <v>600</v>
      </c>
      <c r="E6397" s="3">
        <v>8</v>
      </c>
      <c r="F6397" s="3">
        <v>8</v>
      </c>
      <c r="G6397" t="s">
        <v>513</v>
      </c>
    </row>
    <row r="6398" spans="1:7" x14ac:dyDescent="0.25">
      <c r="A6398" s="1" t="str">
        <f>"503107"</f>
        <v>503107</v>
      </c>
      <c r="B6398" s="2" t="str">
        <f>"CHAVE SECCIONADORA SIEMENS 3NP4010 100A"</f>
        <v>CHAVE SECCIONADORA SIEMENS 3NP4010 100A</v>
      </c>
      <c r="C6398" s="2" t="str">
        <f t="shared" si="249"/>
        <v>UN</v>
      </c>
      <c r="D6398" s="7">
        <v>600</v>
      </c>
      <c r="E6398" s="3">
        <v>8</v>
      </c>
      <c r="F6398" s="3">
        <v>8</v>
      </c>
      <c r="G6398" t="s">
        <v>512</v>
      </c>
    </row>
    <row r="6399" spans="1:7" x14ac:dyDescent="0.25">
      <c r="A6399" s="1" t="str">
        <f>"500761"</f>
        <v>500761</v>
      </c>
      <c r="B6399" s="2" t="str">
        <f>"CHAVE SECCIONADORA SIEMENS 3NP4070 160A"</f>
        <v>CHAVE SECCIONADORA SIEMENS 3NP4070 160A</v>
      </c>
      <c r="C6399" s="2" t="str">
        <f t="shared" si="249"/>
        <v>UN</v>
      </c>
      <c r="D6399" s="7">
        <v>600</v>
      </c>
      <c r="E6399" s="3">
        <v>8</v>
      </c>
      <c r="F6399" s="3">
        <v>8</v>
      </c>
      <c r="G6399" t="s">
        <v>513</v>
      </c>
    </row>
    <row r="6400" spans="1:7" x14ac:dyDescent="0.25">
      <c r="A6400" s="1" t="str">
        <f>"500760"</f>
        <v>500760</v>
      </c>
      <c r="B6400" s="2" t="str">
        <f>"CHAVE SECCIONADORA SIEMENS 3NP4270 250A"</f>
        <v>CHAVE SECCIONADORA SIEMENS 3NP4270 250A</v>
      </c>
      <c r="C6400" s="2" t="str">
        <f t="shared" si="249"/>
        <v>UN</v>
      </c>
      <c r="D6400" s="7">
        <v>600</v>
      </c>
      <c r="E6400" s="3">
        <v>8</v>
      </c>
      <c r="F6400" s="3">
        <v>8</v>
      </c>
      <c r="G6400" t="s">
        <v>514</v>
      </c>
    </row>
    <row r="6401" spans="1:7" x14ac:dyDescent="0.25">
      <c r="A6401" s="1" t="str">
        <f>"508505"</f>
        <v>508505</v>
      </c>
      <c r="B6401" s="2" t="str">
        <f>"CHAVE SECCIONADORA SIEMENS 3NP4370 0CA01"</f>
        <v>CHAVE SECCIONADORA SIEMENS 3NP4370 0CA01</v>
      </c>
      <c r="C6401" s="2" t="str">
        <f t="shared" si="249"/>
        <v>UN</v>
      </c>
      <c r="D6401" s="7">
        <v>600</v>
      </c>
      <c r="E6401" s="3">
        <v>8</v>
      </c>
      <c r="F6401" s="3">
        <v>8</v>
      </c>
      <c r="G6401" t="s">
        <v>514</v>
      </c>
    </row>
    <row r="6402" spans="1:7" x14ac:dyDescent="0.25">
      <c r="A6402" s="1" t="str">
        <f>"509819"</f>
        <v>509819</v>
      </c>
      <c r="B6402" s="2" t="str">
        <f>"CHAVE SECCIONADORA SIEMENS 3NP4470 630A"</f>
        <v>CHAVE SECCIONADORA SIEMENS 3NP4470 630A</v>
      </c>
      <c r="C6402" s="2" t="str">
        <f t="shared" si="249"/>
        <v>UN</v>
      </c>
      <c r="D6402" s="7">
        <v>600</v>
      </c>
      <c r="E6402" s="3">
        <v>8</v>
      </c>
      <c r="F6402" s="3">
        <v>8</v>
      </c>
      <c r="G6402" t="s">
        <v>514</v>
      </c>
    </row>
    <row r="6403" spans="1:7" x14ac:dyDescent="0.25">
      <c r="A6403" s="1" t="str">
        <f>"517941"</f>
        <v>517941</v>
      </c>
      <c r="B6403" s="2" t="str">
        <f>"CHAVE SECCIONADORA SIEMENS 500A"</f>
        <v>CHAVE SECCIONADORA SIEMENS 500A</v>
      </c>
      <c r="C6403" s="2" t="str">
        <f t="shared" si="249"/>
        <v>UN</v>
      </c>
      <c r="D6403" s="7">
        <v>811</v>
      </c>
      <c r="E6403" s="3">
        <v>8</v>
      </c>
      <c r="F6403" s="3">
        <v>8</v>
      </c>
      <c r="G6403" t="s">
        <v>513</v>
      </c>
    </row>
    <row r="6404" spans="1:7" x14ac:dyDescent="0.25">
      <c r="A6404" s="1" t="str">
        <f>"522599"</f>
        <v>522599</v>
      </c>
      <c r="B6404" s="2" t="str">
        <f>"CHAVE SECCIONADORA SOBRE CARGA HGL-250/3 250 JNG"</f>
        <v>CHAVE SECCIONADORA SOBRE CARGA HGL-250/3 250 JNG</v>
      </c>
      <c r="C6404" s="2" t="str">
        <f t="shared" si="249"/>
        <v>UN</v>
      </c>
      <c r="D6404" s="7">
        <v>811</v>
      </c>
      <c r="E6404" s="3">
        <v>8</v>
      </c>
      <c r="F6404" s="3">
        <v>8</v>
      </c>
      <c r="G6404" t="s">
        <v>513</v>
      </c>
    </row>
    <row r="6405" spans="1:7" x14ac:dyDescent="0.25">
      <c r="A6405" s="1" t="str">
        <f>"526689"</f>
        <v>526689</v>
      </c>
      <c r="B6405" s="2" t="str">
        <f>"CHAVE SECCIONADORA TRIF. WEG MSW 160 B-3H"</f>
        <v>CHAVE SECCIONADORA TRIF. WEG MSW 160 B-3H</v>
      </c>
      <c r="C6405" s="2" t="str">
        <f t="shared" si="249"/>
        <v>UN</v>
      </c>
      <c r="D6405" s="7">
        <v>600</v>
      </c>
      <c r="E6405" s="3">
        <v>8</v>
      </c>
      <c r="F6405" s="3">
        <v>8</v>
      </c>
      <c r="G6405" t="s">
        <v>513</v>
      </c>
    </row>
    <row r="6406" spans="1:7" x14ac:dyDescent="0.25">
      <c r="A6406" s="1" t="str">
        <f>"526690"</f>
        <v>526690</v>
      </c>
      <c r="B6406" s="2" t="str">
        <f>"CHAVE SECCIONADORA TRIF. WEG MSW 25P-3H"</f>
        <v>CHAVE SECCIONADORA TRIF. WEG MSW 25P-3H</v>
      </c>
      <c r="C6406" s="2" t="str">
        <f t="shared" si="249"/>
        <v>UN</v>
      </c>
      <c r="D6406" s="7">
        <v>600</v>
      </c>
      <c r="E6406" s="3">
        <v>8</v>
      </c>
      <c r="F6406" s="3">
        <v>8</v>
      </c>
      <c r="G6406" t="s">
        <v>512</v>
      </c>
    </row>
    <row r="6407" spans="1:7" x14ac:dyDescent="0.25">
      <c r="A6407" s="1" t="str">
        <f>"526687"</f>
        <v>526687</v>
      </c>
      <c r="B6407" s="2" t="str">
        <f>"CHAVE SECCIONADORA TRIF. WEG MSW 40P-3H"</f>
        <v>CHAVE SECCIONADORA TRIF. WEG MSW 40P-3H</v>
      </c>
      <c r="C6407" s="2" t="str">
        <f t="shared" si="249"/>
        <v>UN</v>
      </c>
      <c r="D6407" s="7">
        <v>600</v>
      </c>
      <c r="E6407" s="3">
        <v>8</v>
      </c>
      <c r="F6407" s="3">
        <v>8</v>
      </c>
      <c r="G6407" t="s">
        <v>513</v>
      </c>
    </row>
    <row r="6408" spans="1:7" x14ac:dyDescent="0.25">
      <c r="A6408" s="1" t="str">
        <f>"526688"</f>
        <v>526688</v>
      </c>
      <c r="B6408" s="2" t="str">
        <f>"CHAVE SECCIONADORA TRIF. WEG MSW 63P-3H"</f>
        <v>CHAVE SECCIONADORA TRIF. WEG MSW 63P-3H</v>
      </c>
      <c r="C6408" s="2" t="str">
        <f t="shared" si="249"/>
        <v>UN</v>
      </c>
      <c r="D6408" s="7">
        <v>600</v>
      </c>
      <c r="E6408" s="3">
        <v>8</v>
      </c>
      <c r="F6408" s="3">
        <v>8</v>
      </c>
      <c r="G6408" t="s">
        <v>514</v>
      </c>
    </row>
    <row r="6409" spans="1:7" x14ac:dyDescent="0.25">
      <c r="A6409" s="1" t="str">
        <f>"519716"</f>
        <v>519716</v>
      </c>
      <c r="B6409" s="2" t="str">
        <f>"CHAVE SEGURANÇA AZ16-12ZVRK"</f>
        <v>CHAVE SEGURANÇA AZ16-12ZVRK</v>
      </c>
      <c r="C6409" s="2" t="str">
        <f t="shared" si="249"/>
        <v>UN</v>
      </c>
      <c r="D6409" s="7">
        <v>811</v>
      </c>
      <c r="E6409" s="3">
        <v>8</v>
      </c>
      <c r="F6409" s="3">
        <v>8</v>
      </c>
      <c r="G6409" t="s">
        <v>515</v>
      </c>
    </row>
    <row r="6410" spans="1:7" x14ac:dyDescent="0.25">
      <c r="A6410" s="1" t="str">
        <f>"526853"</f>
        <v>526853</v>
      </c>
      <c r="B6410" s="2" t="str">
        <f>"CHAVE SEGURANÇA MAGNETICA 24VDC 2NF SAIDA PNP R440NZ21W1PH"</f>
        <v>CHAVE SEGURANÇA MAGNETICA 24VDC 2NF SAIDA PNP R440NZ21W1PH</v>
      </c>
      <c r="C6410" s="2" t="str">
        <f t="shared" si="249"/>
        <v>UN</v>
      </c>
      <c r="D6410" s="7">
        <v>908</v>
      </c>
      <c r="E6410" s="3">
        <v>11</v>
      </c>
      <c r="F6410" s="3">
        <v>11</v>
      </c>
      <c r="G6410" t="s">
        <v>512</v>
      </c>
    </row>
    <row r="6411" spans="1:7" x14ac:dyDescent="0.25">
      <c r="A6411" s="1" t="str">
        <f>"527238"</f>
        <v>527238</v>
      </c>
      <c r="B6411" s="2" t="str">
        <f>"CHAVE SEGURANÇA OMRON D4NL-4EFA-B-NPT 24V 2NF/1NA+1NF/1NA"</f>
        <v>CHAVE SEGURANÇA OMRON D4NL-4EFA-B-NPT 24V 2NF/1NA+1NF/1NA</v>
      </c>
      <c r="C6411" s="2" t="str">
        <f t="shared" si="249"/>
        <v>UN</v>
      </c>
      <c r="D6411" s="7">
        <v>900</v>
      </c>
      <c r="E6411" s="3">
        <v>11</v>
      </c>
      <c r="F6411" s="3">
        <v>11</v>
      </c>
      <c r="G6411" t="s">
        <v>516</v>
      </c>
    </row>
    <row r="6412" spans="1:7" x14ac:dyDescent="0.25">
      <c r="A6412" s="1" t="str">
        <f>"505494"</f>
        <v>505494</v>
      </c>
      <c r="B6412" s="2" t="str">
        <f>"CHAVE SELADORA 220/380"</f>
        <v>CHAVE SELADORA 220/380</v>
      </c>
      <c r="C6412" s="2" t="str">
        <f t="shared" si="249"/>
        <v>UN</v>
      </c>
      <c r="D6412" s="7">
        <v>704</v>
      </c>
      <c r="E6412" s="3">
        <v>9</v>
      </c>
      <c r="F6412" s="3">
        <v>9</v>
      </c>
      <c r="G6412" t="s">
        <v>515</v>
      </c>
    </row>
    <row r="6413" spans="1:7" x14ac:dyDescent="0.25">
      <c r="A6413" s="1" t="str">
        <f>"524865"</f>
        <v>524865</v>
      </c>
      <c r="B6413" s="2" t="str">
        <f>"CHAVE SELETORA 2 POSIÇÕES"</f>
        <v>CHAVE SELETORA 2 POSIÇÕES</v>
      </c>
      <c r="C6413" s="2" t="str">
        <f t="shared" si="249"/>
        <v>UN</v>
      </c>
      <c r="D6413" s="7">
        <v>811</v>
      </c>
      <c r="E6413" s="3">
        <v>8</v>
      </c>
      <c r="F6413" s="3">
        <v>8</v>
      </c>
      <c r="G6413" t="s">
        <v>514</v>
      </c>
    </row>
    <row r="6414" spans="1:7" x14ac:dyDescent="0.25">
      <c r="A6414" s="1" t="str">
        <f>"502518"</f>
        <v>502518</v>
      </c>
      <c r="B6414" s="2" t="str">
        <f>"CHAVE SETA FORD CARGO 2422"</f>
        <v>CHAVE SETA FORD CARGO 2422</v>
      </c>
      <c r="C6414" s="2" t="str">
        <f t="shared" si="249"/>
        <v>UN</v>
      </c>
      <c r="D6414" s="7">
        <v>704</v>
      </c>
      <c r="E6414" s="3">
        <v>9</v>
      </c>
      <c r="F6414" s="3">
        <v>9</v>
      </c>
      <c r="G6414" t="s">
        <v>512</v>
      </c>
    </row>
    <row r="6415" spans="1:7" x14ac:dyDescent="0.25">
      <c r="A6415" s="1" t="str">
        <f>"527890"</f>
        <v>527890</v>
      </c>
      <c r="B6415" s="2" t="str">
        <f>"CHAVE SIEMENS FIM CURSO ACIO 3SE5000-0AE01 ROL.PLAS.SUPERIOR"</f>
        <v>CHAVE SIEMENS FIM CURSO ACIO 3SE5000-0AE01 ROL.PLAS.SUPERIOR</v>
      </c>
      <c r="C6415" s="2" t="str">
        <f t="shared" si="249"/>
        <v>UN</v>
      </c>
      <c r="D6415" s="7">
        <v>900</v>
      </c>
      <c r="E6415" s="3">
        <v>11</v>
      </c>
      <c r="F6415" s="3">
        <v>11</v>
      </c>
      <c r="G6415" t="s">
        <v>513</v>
      </c>
    </row>
    <row r="6416" spans="1:7" x14ac:dyDescent="0.25">
      <c r="A6416" s="1" t="str">
        <f>"518841"</f>
        <v>518841</v>
      </c>
      <c r="B6416" s="2" t="str">
        <f>"CHAVE SIEMENS PARTIDA 3TW8011-1GA29-1AN2 220V 4-6,3A 1,5/2CV"</f>
        <v>CHAVE SIEMENS PARTIDA 3TW8011-1GA29-1AN2 220V 4-6,3A 1,5/2CV</v>
      </c>
      <c r="C6416" s="2" t="str">
        <f t="shared" si="249"/>
        <v>UN</v>
      </c>
      <c r="D6416" s="7">
        <v>811</v>
      </c>
      <c r="E6416" s="3">
        <v>8</v>
      </c>
      <c r="F6416" s="3">
        <v>8</v>
      </c>
      <c r="G6416" t="s">
        <v>514</v>
      </c>
    </row>
    <row r="6417" spans="1:7" x14ac:dyDescent="0.25">
      <c r="A6417" s="1" t="str">
        <f>"508598"</f>
        <v>508598</v>
      </c>
      <c r="B6417" s="2" t="str">
        <f>"CHAVE SIEMENS SEC 3NP44 70-OCAO1 630A"</f>
        <v>CHAVE SIEMENS SEC 3NP44 70-OCAO1 630A</v>
      </c>
      <c r="C6417" s="2" t="str">
        <f t="shared" si="249"/>
        <v>UN</v>
      </c>
      <c r="D6417" s="7">
        <v>900</v>
      </c>
      <c r="E6417" s="3">
        <v>11</v>
      </c>
      <c r="F6417" s="3">
        <v>11</v>
      </c>
      <c r="G6417" t="s">
        <v>514</v>
      </c>
    </row>
    <row r="6418" spans="1:7" x14ac:dyDescent="0.25">
      <c r="A6418" s="1" t="str">
        <f>"508600"</f>
        <v>508600</v>
      </c>
      <c r="B6418" s="2" t="str">
        <f>"CHAVE SIEMENS SEC TAMANHO 00 160A"</f>
        <v>CHAVE SIEMENS SEC TAMANHO 00 160A</v>
      </c>
      <c r="C6418" s="2" t="str">
        <f t="shared" si="249"/>
        <v>UN</v>
      </c>
      <c r="D6418" s="7">
        <v>900</v>
      </c>
      <c r="E6418" s="3">
        <v>11</v>
      </c>
      <c r="F6418" s="3">
        <v>11</v>
      </c>
      <c r="G6418" t="s">
        <v>512</v>
      </c>
    </row>
    <row r="6419" spans="1:7" x14ac:dyDescent="0.25">
      <c r="A6419" s="1" t="str">
        <f>"524575"</f>
        <v>524575</v>
      </c>
      <c r="B6419" s="2" t="str">
        <f>"CHAVE SIEMENS SEC TRIP. FRONT. 32A 5TW3032-1"</f>
        <v>CHAVE SIEMENS SEC TRIP. FRONT. 32A 5TW3032-1</v>
      </c>
      <c r="C6419" s="2" t="str">
        <f t="shared" si="249"/>
        <v>UN</v>
      </c>
      <c r="D6419" s="7">
        <v>811</v>
      </c>
      <c r="E6419" s="3">
        <v>11</v>
      </c>
      <c r="F6419" s="3">
        <v>11</v>
      </c>
      <c r="G6419" t="s">
        <v>513</v>
      </c>
    </row>
    <row r="6420" spans="1:7" x14ac:dyDescent="0.25">
      <c r="A6420" s="1" t="str">
        <f>"524576"</f>
        <v>524576</v>
      </c>
      <c r="B6420" s="2" t="str">
        <f>"CHAVE SIEMENS SEC TRIP. FRONT. 63A 5TW3063-1"</f>
        <v>CHAVE SIEMENS SEC TRIP. FRONT. 63A 5TW3063-1</v>
      </c>
      <c r="C6420" s="2" t="str">
        <f t="shared" si="249"/>
        <v>UN</v>
      </c>
      <c r="D6420" s="7">
        <v>811</v>
      </c>
      <c r="E6420" s="3">
        <v>11</v>
      </c>
      <c r="F6420" s="3">
        <v>11</v>
      </c>
      <c r="G6420" t="s">
        <v>514</v>
      </c>
    </row>
    <row r="6421" spans="1:7" x14ac:dyDescent="0.25">
      <c r="A6421" s="1" t="str">
        <f>"527954"</f>
        <v>527954</v>
      </c>
      <c r="B6421" s="2" t="str">
        <f>"CHAVE SIEMENS SEC TRIP. FRONT. 63A 5TW3063-1"</f>
        <v>CHAVE SIEMENS SEC TRIP. FRONT. 63A 5TW3063-1</v>
      </c>
      <c r="C6421" s="2" t="str">
        <f t="shared" si="249"/>
        <v>UN</v>
      </c>
      <c r="D6421" s="7">
        <v>600</v>
      </c>
      <c r="E6421" s="3">
        <v>8</v>
      </c>
      <c r="F6421" s="3">
        <v>8</v>
      </c>
      <c r="G6421" t="s">
        <v>514</v>
      </c>
    </row>
    <row r="6422" spans="1:7" x14ac:dyDescent="0.25">
      <c r="A6422" s="1" t="str">
        <f>"518728"</f>
        <v>518728</v>
      </c>
      <c r="B6422" s="2" t="str">
        <f>"CHAVE SIEMENS SIRIUS 3RE10 36-4EA34-0AN1 220V 22-32A 10CV"</f>
        <v>CHAVE SIEMENS SIRIUS 3RE10 36-4EA34-0AN1 220V 22-32A 10CV</v>
      </c>
      <c r="C6422" s="2" t="str">
        <f t="shared" si="249"/>
        <v>UN</v>
      </c>
      <c r="D6422" s="7">
        <v>811</v>
      </c>
      <c r="E6422" s="3">
        <v>8</v>
      </c>
      <c r="F6422" s="3">
        <v>8</v>
      </c>
      <c r="G6422" t="s">
        <v>514</v>
      </c>
    </row>
    <row r="6423" spans="1:7" x14ac:dyDescent="0.25">
      <c r="A6423" s="1" t="str">
        <f>"510146"</f>
        <v>510146</v>
      </c>
      <c r="B6423" s="2" t="str">
        <f>"CHAVE SOFT STARTER WEG SSW 05 0045 T2246"</f>
        <v>CHAVE SOFT STARTER WEG SSW 05 0045 T2246</v>
      </c>
      <c r="C6423" s="2" t="str">
        <f t="shared" si="249"/>
        <v>UN</v>
      </c>
      <c r="D6423" s="7">
        <v>900</v>
      </c>
      <c r="E6423" s="3">
        <v>11</v>
      </c>
      <c r="F6423" s="3">
        <v>11</v>
      </c>
      <c r="G6423" t="s">
        <v>513</v>
      </c>
    </row>
    <row r="6424" spans="1:7" x14ac:dyDescent="0.25">
      <c r="A6424" s="1" t="str">
        <f>"526146"</f>
        <v>526146</v>
      </c>
      <c r="B6424" s="2" t="str">
        <f>"CHAVE STORZ 2.1/12"</f>
        <v>CHAVE STORZ 2.1/12</v>
      </c>
      <c r="C6424" s="2" t="str">
        <f>"BR"</f>
        <v>BR</v>
      </c>
      <c r="D6424" s="7">
        <v>808</v>
      </c>
      <c r="E6424" s="3">
        <v>10</v>
      </c>
      <c r="F6424" s="3">
        <v>10</v>
      </c>
      <c r="G6424" t="s">
        <v>512</v>
      </c>
    </row>
    <row r="6425" spans="1:7" x14ac:dyDescent="0.25">
      <c r="A6425" s="1" t="str">
        <f>"506993"</f>
        <v>506993</v>
      </c>
      <c r="B6425" s="2" t="str">
        <f>"CHAVE TECLA 1"</f>
        <v>CHAVE TECLA 1</v>
      </c>
      <c r="C6425" s="2" t="str">
        <f t="shared" ref="C6425:C6442" si="250">"UN"</f>
        <v>UN</v>
      </c>
      <c r="D6425" s="7">
        <v>600</v>
      </c>
      <c r="E6425" s="3">
        <v>8</v>
      </c>
      <c r="F6425" s="3">
        <v>8</v>
      </c>
      <c r="G6425" t="s">
        <v>513</v>
      </c>
    </row>
    <row r="6426" spans="1:7" x14ac:dyDescent="0.25">
      <c r="A6426" s="1" t="str">
        <f>"510164"</f>
        <v>510164</v>
      </c>
      <c r="B6426" s="2" t="str">
        <f>"CHAVE TELEFONIA BLI DUPLA"</f>
        <v>CHAVE TELEFONIA BLI DUPLA</v>
      </c>
      <c r="C6426" s="2" t="str">
        <f t="shared" si="250"/>
        <v>UN</v>
      </c>
      <c r="D6426" s="7">
        <v>600</v>
      </c>
      <c r="E6426" s="3">
        <v>8</v>
      </c>
      <c r="F6426" s="3">
        <v>8</v>
      </c>
      <c r="G6426" t="s">
        <v>514</v>
      </c>
    </row>
    <row r="6427" spans="1:7" x14ac:dyDescent="0.25">
      <c r="A6427" s="1" t="str">
        <f>"513840"</f>
        <v>513840</v>
      </c>
      <c r="B6427" s="2" t="str">
        <f>"CHAVE TESTE - FENDA"</f>
        <v>CHAVE TESTE - FENDA</v>
      </c>
      <c r="C6427" s="2" t="str">
        <f t="shared" si="250"/>
        <v>UN</v>
      </c>
      <c r="D6427" s="7">
        <v>811</v>
      </c>
      <c r="E6427" s="3">
        <v>8</v>
      </c>
      <c r="F6427" s="3">
        <v>8</v>
      </c>
      <c r="G6427" t="s">
        <v>514</v>
      </c>
    </row>
    <row r="6428" spans="1:7" x14ac:dyDescent="0.25">
      <c r="A6428" s="1" t="str">
        <f>"512451"</f>
        <v>512451</v>
      </c>
      <c r="B6428" s="2" t="str">
        <f>"CHAVE TORQUE M10"</f>
        <v>CHAVE TORQUE M10</v>
      </c>
      <c r="C6428" s="2" t="str">
        <f t="shared" si="250"/>
        <v>UN</v>
      </c>
      <c r="D6428" s="7">
        <v>402</v>
      </c>
      <c r="E6428" s="3">
        <v>4</v>
      </c>
      <c r="F6428" s="3">
        <v>4</v>
      </c>
      <c r="G6428" t="s">
        <v>514</v>
      </c>
    </row>
    <row r="6429" spans="1:7" x14ac:dyDescent="0.25">
      <c r="A6429" s="1" t="str">
        <f>"518166"</f>
        <v>518166</v>
      </c>
      <c r="B6429" s="2" t="str">
        <f>"CHAVE TORX WURTH GRIP T-10 X 75MM"</f>
        <v>CHAVE TORX WURTH GRIP T-10 X 75MM</v>
      </c>
      <c r="C6429" s="2" t="str">
        <f t="shared" si="250"/>
        <v>UN</v>
      </c>
      <c r="D6429" s="7">
        <v>920</v>
      </c>
      <c r="E6429" s="3">
        <v>4</v>
      </c>
      <c r="F6429" s="3">
        <v>4</v>
      </c>
      <c r="G6429" t="s">
        <v>513</v>
      </c>
    </row>
    <row r="6430" spans="1:7" x14ac:dyDescent="0.25">
      <c r="A6430" s="1" t="str">
        <f>"518167"</f>
        <v>518167</v>
      </c>
      <c r="B6430" s="2" t="str">
        <f>"CHAVE TORX WURTH GRIP T-15 X 75MM"</f>
        <v>CHAVE TORX WURTH GRIP T-15 X 75MM</v>
      </c>
      <c r="C6430" s="2" t="str">
        <f t="shared" si="250"/>
        <v>UN</v>
      </c>
      <c r="D6430" s="7">
        <v>920</v>
      </c>
      <c r="E6430" s="3">
        <v>4</v>
      </c>
      <c r="F6430" s="3">
        <v>4</v>
      </c>
      <c r="G6430" t="s">
        <v>513</v>
      </c>
    </row>
    <row r="6431" spans="1:7" x14ac:dyDescent="0.25">
      <c r="A6431" s="1" t="str">
        <f>"518163"</f>
        <v>518163</v>
      </c>
      <c r="B6431" s="2" t="str">
        <f>"CHAVE TORX WURTH GRIP T-6 X 75MM"</f>
        <v>CHAVE TORX WURTH GRIP T-6 X 75MM</v>
      </c>
      <c r="C6431" s="2" t="str">
        <f t="shared" si="250"/>
        <v>UN</v>
      </c>
      <c r="D6431" s="7">
        <v>920</v>
      </c>
      <c r="E6431" s="3">
        <v>4</v>
      </c>
      <c r="F6431" s="3">
        <v>4</v>
      </c>
      <c r="G6431" t="s">
        <v>513</v>
      </c>
    </row>
    <row r="6432" spans="1:7" x14ac:dyDescent="0.25">
      <c r="A6432" s="1" t="str">
        <f>"518164"</f>
        <v>518164</v>
      </c>
      <c r="B6432" s="2" t="str">
        <f>"CHAVE TORX WURTH GRIP T-8 X 75MM"</f>
        <v>CHAVE TORX WURTH GRIP T-8 X 75MM</v>
      </c>
      <c r="C6432" s="2" t="str">
        <f t="shared" si="250"/>
        <v>UN</v>
      </c>
      <c r="D6432" s="7">
        <v>920</v>
      </c>
      <c r="E6432" s="3">
        <v>4</v>
      </c>
      <c r="F6432" s="3">
        <v>4</v>
      </c>
      <c r="G6432" t="s">
        <v>512</v>
      </c>
    </row>
    <row r="6433" spans="1:7" x14ac:dyDescent="0.25">
      <c r="A6433" s="1" t="str">
        <f>"518165"</f>
        <v>518165</v>
      </c>
      <c r="B6433" s="2" t="str">
        <f>"CHAVE TORX WURTH GRIP T-9 X 75MM"</f>
        <v>CHAVE TORX WURTH GRIP T-9 X 75MM</v>
      </c>
      <c r="C6433" s="2" t="str">
        <f t="shared" si="250"/>
        <v>UN</v>
      </c>
      <c r="D6433" s="7">
        <v>920</v>
      </c>
      <c r="E6433" s="3">
        <v>4</v>
      </c>
      <c r="F6433" s="3">
        <v>4</v>
      </c>
      <c r="G6433" t="s">
        <v>513</v>
      </c>
    </row>
    <row r="6434" spans="1:7" x14ac:dyDescent="0.25">
      <c r="A6434" s="1" t="str">
        <f>"521235"</f>
        <v>521235</v>
      </c>
      <c r="B6434" s="2" t="str">
        <f>"CHAVE VIBRATORIA"</f>
        <v>CHAVE VIBRATORIA</v>
      </c>
      <c r="C6434" s="2" t="str">
        <f t="shared" si="250"/>
        <v>UN</v>
      </c>
      <c r="D6434" s="7">
        <v>811</v>
      </c>
      <c r="E6434" s="3">
        <v>8</v>
      </c>
      <c r="F6434" s="3">
        <v>8</v>
      </c>
      <c r="G6434" t="s">
        <v>514</v>
      </c>
    </row>
    <row r="6435" spans="1:7" x14ac:dyDescent="0.25">
      <c r="A6435" s="1" t="str">
        <f>"526583"</f>
        <v>526583</v>
      </c>
      <c r="B6435" s="2" t="str">
        <f>"CHAVE VIBRATORIA FTL31-3CA0/0 1/2"</f>
        <v>CHAVE VIBRATORIA FTL31-3CA0/0 1/2</v>
      </c>
      <c r="C6435" s="2" t="str">
        <f t="shared" si="250"/>
        <v>UN</v>
      </c>
      <c r="D6435" s="7">
        <v>811</v>
      </c>
      <c r="E6435" s="3">
        <v>8</v>
      </c>
      <c r="F6435" s="3">
        <v>8</v>
      </c>
      <c r="G6435" t="s">
        <v>515</v>
      </c>
    </row>
    <row r="6436" spans="1:7" x14ac:dyDescent="0.25">
      <c r="A6436" s="1" t="str">
        <f>"519009"</f>
        <v>519009</v>
      </c>
      <c r="B6436" s="2" t="str">
        <f>"CHAVE VIRARFERRO 3/8"""</f>
        <v>CHAVE VIRARFERRO 3/8"</v>
      </c>
      <c r="C6436" s="2" t="str">
        <f t="shared" si="250"/>
        <v>UN</v>
      </c>
      <c r="D6436" s="7">
        <v>919</v>
      </c>
      <c r="E6436" s="3">
        <v>4</v>
      </c>
      <c r="F6436" s="3">
        <v>4</v>
      </c>
      <c r="G6436" t="s">
        <v>512</v>
      </c>
    </row>
    <row r="6437" spans="1:7" x14ac:dyDescent="0.25">
      <c r="A6437" s="1" t="str">
        <f>"519010"</f>
        <v>519010</v>
      </c>
      <c r="B6437" s="2" t="str">
        <f>"CHAVE VIRARFERRO 5/16"""</f>
        <v>CHAVE VIRARFERRO 5/16"</v>
      </c>
      <c r="C6437" s="2" t="str">
        <f t="shared" si="250"/>
        <v>UN</v>
      </c>
      <c r="D6437" s="7">
        <v>919</v>
      </c>
      <c r="E6437" s="3">
        <v>4</v>
      </c>
      <c r="F6437" s="3">
        <v>4</v>
      </c>
      <c r="G6437" t="s">
        <v>516</v>
      </c>
    </row>
    <row r="6438" spans="1:7" x14ac:dyDescent="0.25">
      <c r="A6438" s="1" t="str">
        <f>"527854"</f>
        <v>527854</v>
      </c>
      <c r="B6438" s="2" t="str">
        <f>"CHAVE YALE"</f>
        <v>CHAVE YALE</v>
      </c>
      <c r="C6438" s="2" t="str">
        <f t="shared" si="250"/>
        <v>UN</v>
      </c>
      <c r="D6438" s="7">
        <v>704</v>
      </c>
      <c r="E6438" s="3">
        <v>9</v>
      </c>
      <c r="F6438" s="3">
        <v>9</v>
      </c>
      <c r="G6438" t="s">
        <v>515</v>
      </c>
    </row>
    <row r="6439" spans="1:7" x14ac:dyDescent="0.25">
      <c r="A6439" s="1" t="str">
        <f>"507224"</f>
        <v>507224</v>
      </c>
      <c r="B6439" s="2" t="str">
        <f>"CHAVEAMENTO DE PILAR CVP 2"</f>
        <v>CHAVEAMENTO DE PILAR CVP 2</v>
      </c>
      <c r="C6439" s="2" t="str">
        <f t="shared" si="250"/>
        <v>UN</v>
      </c>
      <c r="D6439" s="7">
        <v>1700</v>
      </c>
      <c r="E6439" s="3">
        <v>13</v>
      </c>
      <c r="F6439" s="3">
        <v>13</v>
      </c>
      <c r="G6439" t="s">
        <v>514</v>
      </c>
    </row>
    <row r="6440" spans="1:7" x14ac:dyDescent="0.25">
      <c r="A6440" s="1" t="str">
        <f>"507226"</f>
        <v>507226</v>
      </c>
      <c r="B6440" s="2" t="str">
        <f>"CHAVEAMENTO DE PILAR CVP 4"</f>
        <v>CHAVEAMENTO DE PILAR CVP 4</v>
      </c>
      <c r="C6440" s="2" t="str">
        <f t="shared" si="250"/>
        <v>UN</v>
      </c>
      <c r="D6440" s="7">
        <v>1700</v>
      </c>
      <c r="E6440" s="3">
        <v>13</v>
      </c>
      <c r="F6440" s="3">
        <v>13</v>
      </c>
      <c r="G6440" t="s">
        <v>512</v>
      </c>
    </row>
    <row r="6441" spans="1:7" x14ac:dyDescent="0.25">
      <c r="A6441" s="1" t="str">
        <f>"507227"</f>
        <v>507227</v>
      </c>
      <c r="B6441" s="2" t="str">
        <f>"CHAVEAMENTO DE PILAR CVP 5"</f>
        <v>CHAVEAMENTO DE PILAR CVP 5</v>
      </c>
      <c r="C6441" s="2" t="str">
        <f t="shared" si="250"/>
        <v>UN</v>
      </c>
      <c r="D6441" s="7">
        <v>1700</v>
      </c>
      <c r="E6441" s="3">
        <v>13</v>
      </c>
      <c r="F6441" s="3">
        <v>13</v>
      </c>
      <c r="G6441" t="s">
        <v>513</v>
      </c>
    </row>
    <row r="6442" spans="1:7" x14ac:dyDescent="0.25">
      <c r="A6442" s="1" t="str">
        <f>"521296"</f>
        <v>521296</v>
      </c>
      <c r="B6442" s="2" t="str">
        <f>"CHAVEIRO"</f>
        <v>CHAVEIRO</v>
      </c>
      <c r="C6442" s="2" t="str">
        <f t="shared" si="250"/>
        <v>UN</v>
      </c>
      <c r="D6442" s="7">
        <v>99999</v>
      </c>
      <c r="E6442" s="3">
        <v>99</v>
      </c>
      <c r="F6442" s="3">
        <v>99</v>
      </c>
      <c r="G6442" t="s">
        <v>514</v>
      </c>
    </row>
    <row r="6443" spans="1:7" x14ac:dyDescent="0.25">
      <c r="A6443" s="1" t="str">
        <f>"524529"</f>
        <v>524529</v>
      </c>
      <c r="B6443" s="2" t="str">
        <f>"CHAVES MANUAIS"</f>
        <v>CHAVES MANUAIS</v>
      </c>
      <c r="C6443" s="2" t="str">
        <f>"PC"</f>
        <v>PC</v>
      </c>
      <c r="D6443" s="7">
        <v>817</v>
      </c>
      <c r="E6443" s="3">
        <v>10</v>
      </c>
      <c r="F6443" s="3">
        <v>10</v>
      </c>
      <c r="G6443" t="s">
        <v>514</v>
      </c>
    </row>
    <row r="6444" spans="1:7" x14ac:dyDescent="0.25">
      <c r="A6444" s="1" t="str">
        <f>"527823"</f>
        <v>527823</v>
      </c>
      <c r="B6444" s="2" t="str">
        <f>"CHAVETA"</f>
        <v>CHAVETA</v>
      </c>
      <c r="C6444" s="2" t="str">
        <f t="shared" ref="C6444:C6459" si="251">"UN"</f>
        <v>UN</v>
      </c>
      <c r="D6444" s="7">
        <v>704</v>
      </c>
      <c r="E6444" s="3">
        <v>9</v>
      </c>
      <c r="F6444" s="3">
        <v>9</v>
      </c>
      <c r="G6444" t="s">
        <v>512</v>
      </c>
    </row>
    <row r="6445" spans="1:7" x14ac:dyDescent="0.25">
      <c r="A6445" s="1" t="str">
        <f>"519837"</f>
        <v>519837</v>
      </c>
      <c r="B6445" s="2" t="str">
        <f>"CHAVETA 10MM"</f>
        <v>CHAVETA 10MM</v>
      </c>
      <c r="C6445" s="2" t="str">
        <f t="shared" si="251"/>
        <v>UN</v>
      </c>
      <c r="D6445" s="7">
        <v>704</v>
      </c>
      <c r="E6445" s="3">
        <v>9</v>
      </c>
      <c r="F6445" s="3">
        <v>9</v>
      </c>
      <c r="G6445" t="s">
        <v>513</v>
      </c>
    </row>
    <row r="6446" spans="1:7" x14ac:dyDescent="0.25">
      <c r="A6446" s="1" t="str">
        <f>"527472"</f>
        <v>527472</v>
      </c>
      <c r="B6446" s="2" t="str">
        <f>"CHAVETA 5MM"</f>
        <v>CHAVETA 5MM</v>
      </c>
      <c r="C6446" s="2" t="str">
        <f t="shared" si="251"/>
        <v>UN</v>
      </c>
      <c r="D6446" s="7">
        <v>99999</v>
      </c>
      <c r="E6446" s="3">
        <v>13</v>
      </c>
      <c r="F6446" s="3">
        <v>13</v>
      </c>
      <c r="G6446" t="s">
        <v>514</v>
      </c>
    </row>
    <row r="6447" spans="1:7" x14ac:dyDescent="0.25">
      <c r="A6447" s="1" t="str">
        <f>"519835"</f>
        <v>519835</v>
      </c>
      <c r="B6447" s="2" t="str">
        <f>"CHAVETA 6MM"</f>
        <v>CHAVETA 6MM</v>
      </c>
      <c r="C6447" s="2" t="str">
        <f t="shared" si="251"/>
        <v>UN</v>
      </c>
      <c r="D6447" s="7">
        <v>704</v>
      </c>
      <c r="E6447" s="3">
        <v>9</v>
      </c>
      <c r="F6447" s="3">
        <v>9</v>
      </c>
      <c r="G6447" t="s">
        <v>514</v>
      </c>
    </row>
    <row r="6448" spans="1:7" x14ac:dyDescent="0.25">
      <c r="A6448" s="1" t="str">
        <f>"519836"</f>
        <v>519836</v>
      </c>
      <c r="B6448" s="2" t="str">
        <f>"CHAVETA 8MM"</f>
        <v>CHAVETA 8MM</v>
      </c>
      <c r="C6448" s="2" t="str">
        <f t="shared" si="251"/>
        <v>UN</v>
      </c>
      <c r="D6448" s="7">
        <v>704</v>
      </c>
      <c r="E6448" s="3">
        <v>9</v>
      </c>
      <c r="F6448" s="3">
        <v>9</v>
      </c>
      <c r="G6448" t="s">
        <v>514</v>
      </c>
    </row>
    <row r="6449" spans="1:7" x14ac:dyDescent="0.25">
      <c r="A6449" s="1" t="str">
        <f>"505437"</f>
        <v>505437</v>
      </c>
      <c r="B6449" s="2" t="str">
        <f>"CHAVETA DO COMANDO"</f>
        <v>CHAVETA DO COMANDO</v>
      </c>
      <c r="C6449" s="2" t="str">
        <f t="shared" si="251"/>
        <v>UN</v>
      </c>
      <c r="D6449" s="7">
        <v>704</v>
      </c>
      <c r="E6449" s="3">
        <v>9</v>
      </c>
      <c r="F6449" s="3">
        <v>9</v>
      </c>
      <c r="G6449" t="s">
        <v>513</v>
      </c>
    </row>
    <row r="6450" spans="1:7" x14ac:dyDescent="0.25">
      <c r="A6450" s="1" t="str">
        <f>"520847"</f>
        <v>520847</v>
      </c>
      <c r="B6450" s="2" t="str">
        <f>"CHAVETA E6199-07015"</f>
        <v>CHAVETA E6199-07015</v>
      </c>
      <c r="C6450" s="2" t="str">
        <f t="shared" si="251"/>
        <v>UN</v>
      </c>
      <c r="D6450" s="7">
        <v>1300</v>
      </c>
      <c r="E6450" s="3">
        <v>11</v>
      </c>
      <c r="F6450" s="3">
        <v>11</v>
      </c>
      <c r="G6450" t="s">
        <v>512</v>
      </c>
    </row>
    <row r="6451" spans="1:7" x14ac:dyDescent="0.25">
      <c r="A6451" s="1" t="str">
        <f>"514924"</f>
        <v>514924</v>
      </c>
      <c r="B6451" s="2" t="str">
        <f>"CHAVETA TRAVA PINO"</f>
        <v>CHAVETA TRAVA PINO</v>
      </c>
      <c r="C6451" s="2" t="str">
        <f t="shared" si="251"/>
        <v>UN</v>
      </c>
      <c r="D6451" s="7">
        <v>704</v>
      </c>
      <c r="E6451" s="3">
        <v>9</v>
      </c>
      <c r="F6451" s="3">
        <v>9</v>
      </c>
      <c r="G6451" t="s">
        <v>513</v>
      </c>
    </row>
    <row r="6452" spans="1:7" x14ac:dyDescent="0.25">
      <c r="A6452" s="1" t="str">
        <f>"6378"</f>
        <v>6378</v>
      </c>
      <c r="B6452" s="2" t="str">
        <f>"CHECK LIST VEICULOS A/4 BLC 50FLSX1VIA"</f>
        <v>CHECK LIST VEICULOS A/4 BLC 50FLSX1VIA</v>
      </c>
      <c r="C6452" s="2" t="str">
        <f t="shared" si="251"/>
        <v>UN</v>
      </c>
      <c r="D6452" s="7">
        <v>401</v>
      </c>
      <c r="E6452" s="3">
        <v>4</v>
      </c>
      <c r="F6452" s="3">
        <v>4</v>
      </c>
      <c r="G6452" t="s">
        <v>514</v>
      </c>
    </row>
    <row r="6453" spans="1:7" x14ac:dyDescent="0.25">
      <c r="A6453" s="1" t="str">
        <f>"514902"</f>
        <v>514902</v>
      </c>
      <c r="B6453" s="2" t="str">
        <f>"CHEIRO VERDE"</f>
        <v>CHEIRO VERDE</v>
      </c>
      <c r="C6453" s="2" t="str">
        <f t="shared" si="251"/>
        <v>UN</v>
      </c>
      <c r="D6453" s="7">
        <v>401</v>
      </c>
      <c r="E6453" s="3">
        <v>4</v>
      </c>
      <c r="F6453" s="3">
        <v>4</v>
      </c>
      <c r="G6453" t="s">
        <v>514</v>
      </c>
    </row>
    <row r="6454" spans="1:7" x14ac:dyDescent="0.25">
      <c r="A6454" s="1" t="str">
        <f>"519609"</f>
        <v>519609</v>
      </c>
      <c r="B6454" s="2" t="str">
        <f>"CHEVROLET/ONIX 1.4MT LT MOD. 149573 COMPLETO"</f>
        <v>CHEVROLET/ONIX 1.4MT LT MOD. 149573 COMPLETO</v>
      </c>
      <c r="C6454" s="2" t="str">
        <f t="shared" si="251"/>
        <v>UN</v>
      </c>
      <c r="D6454" s="7">
        <v>2000</v>
      </c>
      <c r="E6454" s="3">
        <v>16</v>
      </c>
      <c r="F6454" s="3">
        <v>16</v>
      </c>
      <c r="G6454" t="s">
        <v>514</v>
      </c>
    </row>
    <row r="6455" spans="1:7" x14ac:dyDescent="0.25">
      <c r="A6455" s="1" t="str">
        <f>"524838"</f>
        <v>524838</v>
      </c>
      <c r="B6455" s="2" t="str">
        <f>"CHIBANCA COM CABO"</f>
        <v>CHIBANCA COM CABO</v>
      </c>
      <c r="C6455" s="2" t="str">
        <f t="shared" si="251"/>
        <v>UN</v>
      </c>
      <c r="D6455" s="7">
        <v>403</v>
      </c>
      <c r="E6455" s="3">
        <v>4</v>
      </c>
      <c r="F6455" s="3">
        <v>4</v>
      </c>
      <c r="G6455" t="s">
        <v>513</v>
      </c>
    </row>
    <row r="6456" spans="1:7" x14ac:dyDescent="0.25">
      <c r="A6456" s="1" t="str">
        <f>"515640"</f>
        <v>515640</v>
      </c>
      <c r="B6456" s="2" t="str">
        <f>"CHICLETE"</f>
        <v>CHICLETE</v>
      </c>
      <c r="C6456" s="2" t="str">
        <f t="shared" si="251"/>
        <v>UN</v>
      </c>
      <c r="D6456" s="7">
        <v>401</v>
      </c>
      <c r="E6456" s="3">
        <v>4</v>
      </c>
      <c r="F6456" s="3">
        <v>4</v>
      </c>
      <c r="G6456" t="s">
        <v>513</v>
      </c>
    </row>
    <row r="6457" spans="1:7" x14ac:dyDescent="0.25">
      <c r="A6457" s="1" t="str">
        <f>"514112"</f>
        <v>514112</v>
      </c>
      <c r="B6457" s="2" t="str">
        <f>"CHICOTE"</f>
        <v>CHICOTE</v>
      </c>
      <c r="C6457" s="2" t="str">
        <f t="shared" si="251"/>
        <v>UN</v>
      </c>
      <c r="D6457" s="7">
        <v>704</v>
      </c>
      <c r="E6457" s="3">
        <v>9</v>
      </c>
      <c r="F6457" s="3">
        <v>9</v>
      </c>
      <c r="G6457" t="s">
        <v>513</v>
      </c>
    </row>
    <row r="6458" spans="1:7" x14ac:dyDescent="0.25">
      <c r="A6458" s="1" t="str">
        <f>"522710"</f>
        <v>522710</v>
      </c>
      <c r="B6458" s="2" t="str">
        <f>"CHICOTE DO MASTRO TOYOTA RRE160"</f>
        <v>CHICOTE DO MASTRO TOYOTA RRE160</v>
      </c>
      <c r="C6458" s="2" t="str">
        <f t="shared" si="251"/>
        <v>UN</v>
      </c>
      <c r="D6458" s="7">
        <v>900</v>
      </c>
      <c r="E6458" s="3">
        <v>10</v>
      </c>
      <c r="F6458" s="3">
        <v>10</v>
      </c>
      <c r="G6458" t="s">
        <v>512</v>
      </c>
    </row>
    <row r="6459" spans="1:7" x14ac:dyDescent="0.25">
      <c r="A6459" s="1" t="str">
        <f>"502911"</f>
        <v>502911</v>
      </c>
      <c r="B6459" s="2" t="str">
        <f>"CHICOTE FREIO MOTOR 17.220"</f>
        <v>CHICOTE FREIO MOTOR 17.220</v>
      </c>
      <c r="C6459" s="2" t="str">
        <f t="shared" si="251"/>
        <v>UN</v>
      </c>
      <c r="D6459" s="7">
        <v>704</v>
      </c>
      <c r="E6459" s="3">
        <v>9</v>
      </c>
      <c r="F6459" s="3">
        <v>9</v>
      </c>
      <c r="G6459" t="s">
        <v>513</v>
      </c>
    </row>
    <row r="6460" spans="1:7" x14ac:dyDescent="0.25">
      <c r="A6460" s="1" t="str">
        <f>"527600"</f>
        <v>527600</v>
      </c>
      <c r="B6460" s="2" t="str">
        <f>"CHICOTE TIMÃO CT0001 EMPILHADEITA BT"</f>
        <v>CHICOTE TIMÃO CT0001 EMPILHADEITA BT</v>
      </c>
      <c r="C6460" s="2" t="str">
        <f>"PC"</f>
        <v>PC</v>
      </c>
      <c r="D6460" s="7">
        <v>600</v>
      </c>
      <c r="E6460" s="3">
        <v>8</v>
      </c>
      <c r="F6460" s="3">
        <v>8</v>
      </c>
      <c r="G6460" t="s">
        <v>514</v>
      </c>
    </row>
    <row r="6461" spans="1:7" x14ac:dyDescent="0.25">
      <c r="A6461" s="1" t="str">
        <f>"521279"</f>
        <v>521279</v>
      </c>
      <c r="B6461" s="2" t="str">
        <f>"CHILLER MOD. MSA-30-RI-220/T"</f>
        <v>CHILLER MOD. MSA-30-RI-220/T</v>
      </c>
      <c r="C6461" s="2" t="str">
        <f t="shared" ref="C6461:C6467" si="252">"UN"</f>
        <v>UN</v>
      </c>
      <c r="D6461" s="7">
        <v>915</v>
      </c>
      <c r="E6461" s="3">
        <v>13</v>
      </c>
      <c r="F6461" s="3">
        <v>13</v>
      </c>
      <c r="G6461" t="s">
        <v>515</v>
      </c>
    </row>
    <row r="6462" spans="1:7" x14ac:dyDescent="0.25">
      <c r="A6462" s="1" t="str">
        <f>"515643"</f>
        <v>515643</v>
      </c>
      <c r="B6462" s="2" t="str">
        <f>"CHINELO HAVAIANA"</f>
        <v>CHINELO HAVAIANA</v>
      </c>
      <c r="C6462" s="2" t="str">
        <f t="shared" si="252"/>
        <v>UN</v>
      </c>
      <c r="D6462" s="7">
        <v>401</v>
      </c>
      <c r="E6462" s="3">
        <v>4</v>
      </c>
      <c r="F6462" s="3">
        <v>4</v>
      </c>
      <c r="G6462" t="s">
        <v>512</v>
      </c>
    </row>
    <row r="6463" spans="1:7" x14ac:dyDescent="0.25">
      <c r="A6463" s="1" t="str">
        <f>"526400"</f>
        <v>526400</v>
      </c>
      <c r="B6463" s="2" t="str">
        <f>"CHIP IPD/VOX"</f>
        <v>CHIP IPD/VOX</v>
      </c>
      <c r="C6463" s="2" t="str">
        <f t="shared" si="252"/>
        <v>UN</v>
      </c>
      <c r="D6463" s="7">
        <v>900</v>
      </c>
      <c r="E6463" s="3">
        <v>11</v>
      </c>
      <c r="F6463" s="3">
        <v>11</v>
      </c>
      <c r="G6463" t="s">
        <v>516</v>
      </c>
    </row>
    <row r="6464" spans="1:7" x14ac:dyDescent="0.25">
      <c r="A6464" s="1" t="str">
        <f>"526399"</f>
        <v>526399</v>
      </c>
      <c r="B6464" s="2" t="str">
        <f>"CHIP MC16/LCD"</f>
        <v>CHIP MC16/LCD</v>
      </c>
      <c r="C6464" s="2" t="str">
        <f t="shared" si="252"/>
        <v>UN</v>
      </c>
      <c r="D6464" s="7">
        <v>900</v>
      </c>
      <c r="E6464" s="3">
        <v>11</v>
      </c>
      <c r="F6464" s="3">
        <v>11</v>
      </c>
      <c r="G6464" t="s">
        <v>515</v>
      </c>
    </row>
    <row r="6465" spans="1:7" x14ac:dyDescent="0.25">
      <c r="A6465" s="1" t="str">
        <f>"518456"</f>
        <v>518456</v>
      </c>
      <c r="B6465" s="2" t="str">
        <f>"CHIP P/ CELULAR"</f>
        <v>CHIP P/ CELULAR</v>
      </c>
      <c r="C6465" s="2" t="str">
        <f t="shared" si="252"/>
        <v>UN</v>
      </c>
      <c r="D6465" s="7">
        <v>401</v>
      </c>
      <c r="E6465" s="3">
        <v>4</v>
      </c>
      <c r="F6465" s="3">
        <v>4</v>
      </c>
      <c r="G6465" t="s">
        <v>514</v>
      </c>
    </row>
    <row r="6466" spans="1:7" x14ac:dyDescent="0.25">
      <c r="A6466" s="1" t="str">
        <f>"515645"</f>
        <v>515645</v>
      </c>
      <c r="B6466" s="2" t="str">
        <f>"CHOCOLATE"</f>
        <v>CHOCOLATE</v>
      </c>
      <c r="C6466" s="2" t="str">
        <f t="shared" si="252"/>
        <v>UN</v>
      </c>
      <c r="D6466" s="7">
        <v>401</v>
      </c>
      <c r="E6466" s="3">
        <v>4</v>
      </c>
      <c r="F6466" s="3">
        <v>4</v>
      </c>
      <c r="G6466" t="s">
        <v>512</v>
      </c>
    </row>
    <row r="6467" spans="1:7" x14ac:dyDescent="0.25">
      <c r="A6467" s="1" t="str">
        <f>"514751"</f>
        <v>514751</v>
      </c>
      <c r="B6467" s="2" t="str">
        <f>"CHOCOLATE ESPECIALIDADE NESTLE"</f>
        <v>CHOCOLATE ESPECIALIDADE NESTLE</v>
      </c>
      <c r="C6467" s="2" t="str">
        <f t="shared" si="252"/>
        <v>UN</v>
      </c>
      <c r="D6467" s="7">
        <v>401</v>
      </c>
      <c r="E6467" s="3">
        <v>4</v>
      </c>
      <c r="F6467" s="3">
        <v>4</v>
      </c>
      <c r="G6467" t="s">
        <v>513</v>
      </c>
    </row>
    <row r="6468" spans="1:7" x14ac:dyDescent="0.25">
      <c r="A6468" s="1" t="str">
        <f>"3620"</f>
        <v>3620</v>
      </c>
      <c r="B6468" s="2" t="str">
        <f>"CHOCOLATE FLAVOR"</f>
        <v>CHOCOLATE FLAVOR</v>
      </c>
      <c r="C6468" s="2" t="str">
        <f>"kg"</f>
        <v>kg</v>
      </c>
      <c r="D6468" s="7">
        <v>206</v>
      </c>
      <c r="E6468" s="3">
        <v>2</v>
      </c>
      <c r="F6468" s="3">
        <v>2</v>
      </c>
      <c r="G6468" t="s">
        <v>514</v>
      </c>
    </row>
    <row r="6469" spans="1:7" x14ac:dyDescent="0.25">
      <c r="A6469" s="1" t="str">
        <f>"515714"</f>
        <v>515714</v>
      </c>
      <c r="B6469" s="2" t="str">
        <f>"CHOCOTONE"</f>
        <v>CHOCOTONE</v>
      </c>
      <c r="C6469" s="2" t="str">
        <f>"UN"</f>
        <v>UN</v>
      </c>
      <c r="D6469" s="7">
        <v>401</v>
      </c>
      <c r="E6469" s="3">
        <v>4</v>
      </c>
      <c r="F6469" s="3">
        <v>4</v>
      </c>
      <c r="G6469" t="s">
        <v>514</v>
      </c>
    </row>
    <row r="6470" spans="1:7" x14ac:dyDescent="0.25">
      <c r="A6470" s="1" t="str">
        <f>"519529"</f>
        <v>519529</v>
      </c>
      <c r="B6470" s="2" t="str">
        <f>"CHOPP CLARO"</f>
        <v>CHOPP CLARO</v>
      </c>
      <c r="C6470" s="2" t="str">
        <f>"UN"</f>
        <v>UN</v>
      </c>
      <c r="D6470" s="7">
        <v>401</v>
      </c>
      <c r="E6470" s="3">
        <v>4</v>
      </c>
      <c r="F6470" s="3">
        <v>4</v>
      </c>
      <c r="G6470" t="s">
        <v>512</v>
      </c>
    </row>
    <row r="6471" spans="1:7" x14ac:dyDescent="0.25">
      <c r="A6471" s="1" t="str">
        <f>"518344"</f>
        <v>518344</v>
      </c>
      <c r="B6471" s="2" t="str">
        <f>"CHULINHA DE VEDAÇÃO"</f>
        <v>CHULINHA DE VEDAÇÃO</v>
      </c>
      <c r="C6471" s="2" t="str">
        <f>"UN"</f>
        <v>UN</v>
      </c>
      <c r="D6471" s="7">
        <v>912</v>
      </c>
      <c r="E6471" s="3">
        <v>10</v>
      </c>
      <c r="F6471" s="3">
        <v>10</v>
      </c>
      <c r="G6471" t="s">
        <v>513</v>
      </c>
    </row>
    <row r="6472" spans="1:7" x14ac:dyDescent="0.25">
      <c r="A6472" s="1" t="str">
        <f>"520908"</f>
        <v>520908</v>
      </c>
      <c r="B6472" s="2" t="str">
        <f>"CHUMBADA"</f>
        <v>CHUMBADA</v>
      </c>
      <c r="C6472" s="2" t="str">
        <f>"MT"</f>
        <v>MT</v>
      </c>
      <c r="D6472" s="7">
        <v>803</v>
      </c>
      <c r="E6472" s="3">
        <v>10</v>
      </c>
      <c r="F6472" s="3">
        <v>10</v>
      </c>
      <c r="G6472" t="s">
        <v>514</v>
      </c>
    </row>
    <row r="6473" spans="1:7" x14ac:dyDescent="0.25">
      <c r="A6473" s="1" t="str">
        <f>"524233"</f>
        <v>524233</v>
      </c>
      <c r="B6473" s="2" t="str">
        <f>"CHUMBADOR 3/8 X 2 1/2"" INOX"</f>
        <v>CHUMBADOR 3/8 X 2 1/2" INOX</v>
      </c>
      <c r="C6473" s="2" t="str">
        <f t="shared" ref="C6473:C6511" si="253">"UN"</f>
        <v>UN</v>
      </c>
      <c r="D6473" s="7">
        <v>917</v>
      </c>
      <c r="E6473" s="3">
        <v>4</v>
      </c>
      <c r="F6473" s="3">
        <v>4</v>
      </c>
      <c r="G6473" t="s">
        <v>514</v>
      </c>
    </row>
    <row r="6474" spans="1:7" x14ac:dyDescent="0.25">
      <c r="A6474" s="1" t="str">
        <f>"514638"</f>
        <v>514638</v>
      </c>
      <c r="B6474" s="2" t="str">
        <f>"CHUMBADOR 3/8 X 2 1/4"" INOX"</f>
        <v>CHUMBADOR 3/8 X 2 1/4" INOX</v>
      </c>
      <c r="C6474" s="2" t="str">
        <f t="shared" si="253"/>
        <v>UN</v>
      </c>
      <c r="D6474" s="7">
        <v>917</v>
      </c>
      <c r="E6474" s="3">
        <v>4</v>
      </c>
      <c r="F6474" s="3">
        <v>4</v>
      </c>
      <c r="G6474" t="s">
        <v>514</v>
      </c>
    </row>
    <row r="6475" spans="1:7" x14ac:dyDescent="0.25">
      <c r="A6475" s="1" t="str">
        <f>"573792"</f>
        <v>573792</v>
      </c>
      <c r="B6475" s="2" t="str">
        <f>"CHUMBADOR BASE 500 X 500"</f>
        <v>CHUMBADOR BASE 500 X 500</v>
      </c>
      <c r="C6475" s="2" t="str">
        <f t="shared" si="253"/>
        <v>UN</v>
      </c>
      <c r="D6475" s="7">
        <v>917</v>
      </c>
      <c r="E6475" s="3">
        <v>4</v>
      </c>
      <c r="F6475" s="3">
        <v>4</v>
      </c>
      <c r="G6475" t="s">
        <v>513</v>
      </c>
    </row>
    <row r="6476" spans="1:7" x14ac:dyDescent="0.25">
      <c r="A6476" s="1" t="str">
        <f>"527173"</f>
        <v>527173</v>
      </c>
      <c r="B6476" s="2" t="str">
        <f>"CHUMBADOR JAQUEADO COMPLETO INOX 1/2 X 3"</f>
        <v>CHUMBADOR JAQUEADO COMPLETO INOX 1/2 X 3</v>
      </c>
      <c r="C6476" s="2" t="str">
        <f t="shared" si="253"/>
        <v>UN</v>
      </c>
      <c r="D6476" s="7">
        <v>800</v>
      </c>
      <c r="E6476" s="3">
        <v>10</v>
      </c>
      <c r="F6476" s="3">
        <v>10</v>
      </c>
      <c r="G6476" t="s">
        <v>512</v>
      </c>
    </row>
    <row r="6477" spans="1:7" x14ac:dyDescent="0.25">
      <c r="A6477" s="1" t="str">
        <f>"527174"</f>
        <v>527174</v>
      </c>
      <c r="B6477" s="2" t="str">
        <f>"CHUMBADOR JAQUEADO COMPLETO INOX 3/8 X 3"</f>
        <v>CHUMBADOR JAQUEADO COMPLETO INOX 3/8 X 3</v>
      </c>
      <c r="C6477" s="2" t="str">
        <f t="shared" si="253"/>
        <v>UN</v>
      </c>
      <c r="D6477" s="7">
        <v>800</v>
      </c>
      <c r="E6477" s="3">
        <v>10</v>
      </c>
      <c r="F6477" s="3">
        <v>10</v>
      </c>
      <c r="G6477" t="s">
        <v>513</v>
      </c>
    </row>
    <row r="6478" spans="1:7" x14ac:dyDescent="0.25">
      <c r="A6478" s="1" t="str">
        <f>"519781"</f>
        <v>519781</v>
      </c>
      <c r="B6478" s="2" t="str">
        <f>"CHUMBO BALANCEAMENTO"</f>
        <v>CHUMBO BALANCEAMENTO</v>
      </c>
      <c r="C6478" s="2" t="str">
        <f t="shared" si="253"/>
        <v>UN</v>
      </c>
      <c r="D6478" s="7">
        <v>704</v>
      </c>
      <c r="E6478" s="3">
        <v>9</v>
      </c>
      <c r="F6478" s="3">
        <v>9</v>
      </c>
      <c r="G6478" t="s">
        <v>514</v>
      </c>
    </row>
    <row r="6479" spans="1:7" x14ac:dyDescent="0.25">
      <c r="A6479" s="1" t="str">
        <f>"513204"</f>
        <v>513204</v>
      </c>
      <c r="B6479" s="2" t="str">
        <f>"CHUPETA PARA SUINOS ADULTO"</f>
        <v>CHUPETA PARA SUINOS ADULTO</v>
      </c>
      <c r="C6479" s="2" t="str">
        <f t="shared" si="253"/>
        <v>UN</v>
      </c>
      <c r="D6479" s="7">
        <v>402</v>
      </c>
      <c r="E6479" s="3">
        <v>4</v>
      </c>
      <c r="F6479" s="3">
        <v>4</v>
      </c>
      <c r="G6479" t="s">
        <v>514</v>
      </c>
    </row>
    <row r="6480" spans="1:7" x14ac:dyDescent="0.25">
      <c r="A6480" s="1" t="str">
        <f>"515487"</f>
        <v>515487</v>
      </c>
      <c r="B6480" s="2" t="str">
        <f>"CHUPETINHA P/ TELHA"</f>
        <v>CHUPETINHA P/ TELHA</v>
      </c>
      <c r="C6480" s="2" t="str">
        <f t="shared" si="253"/>
        <v>UN</v>
      </c>
      <c r="D6480" s="7">
        <v>704</v>
      </c>
      <c r="E6480" s="3">
        <v>9</v>
      </c>
      <c r="F6480" s="3">
        <v>9</v>
      </c>
      <c r="G6480" t="s">
        <v>514</v>
      </c>
    </row>
    <row r="6481" spans="1:7" x14ac:dyDescent="0.25">
      <c r="A6481" s="1" t="str">
        <f>"509644"</f>
        <v>509644</v>
      </c>
      <c r="B6481" s="2" t="str">
        <f>"CHURRASQUEIRA"</f>
        <v>CHURRASQUEIRA</v>
      </c>
      <c r="C6481" s="2" t="str">
        <f t="shared" si="253"/>
        <v>UN</v>
      </c>
      <c r="D6481" s="7">
        <v>401</v>
      </c>
      <c r="E6481" s="3">
        <v>4</v>
      </c>
      <c r="F6481" s="3">
        <v>4</v>
      </c>
      <c r="G6481" t="s">
        <v>513</v>
      </c>
    </row>
    <row r="6482" spans="1:7" x14ac:dyDescent="0.25">
      <c r="A6482" s="1" t="str">
        <f>"525455"</f>
        <v>525455</v>
      </c>
      <c r="B6482" s="2" t="str">
        <f>"CHUVEIRINHO"</f>
        <v>CHUVEIRINHO</v>
      </c>
      <c r="C6482" s="2" t="str">
        <f t="shared" si="253"/>
        <v>UN</v>
      </c>
      <c r="D6482" s="7">
        <v>99999</v>
      </c>
      <c r="E6482" s="3">
        <v>99</v>
      </c>
      <c r="F6482" s="3">
        <v>99</v>
      </c>
      <c r="G6482" t="s">
        <v>513</v>
      </c>
    </row>
    <row r="6483" spans="1:7" x14ac:dyDescent="0.25">
      <c r="A6483" s="1" t="str">
        <f>"522778"</f>
        <v>522778</v>
      </c>
      <c r="B6483" s="2" t="str">
        <f>"CHUVEIRO DUCHA 220V LORENZETTI"</f>
        <v>CHUVEIRO DUCHA 220V LORENZETTI</v>
      </c>
      <c r="C6483" s="2" t="str">
        <f t="shared" si="253"/>
        <v>UN</v>
      </c>
      <c r="D6483" s="7">
        <v>803</v>
      </c>
      <c r="E6483" s="3">
        <v>4</v>
      </c>
      <c r="F6483" s="3">
        <v>4</v>
      </c>
      <c r="G6483" t="s">
        <v>513</v>
      </c>
    </row>
    <row r="6484" spans="1:7" x14ac:dyDescent="0.25">
      <c r="A6484" s="1" t="str">
        <f>"522726"</f>
        <v>522726</v>
      </c>
      <c r="B6484" s="8" t="s">
        <v>329</v>
      </c>
      <c r="C6484" s="2" t="str">
        <f t="shared" si="253"/>
        <v>UN</v>
      </c>
      <c r="D6484" s="7">
        <v>501</v>
      </c>
      <c r="E6484" s="3">
        <v>5</v>
      </c>
      <c r="F6484" s="3">
        <v>5</v>
      </c>
      <c r="G6484" t="s">
        <v>512</v>
      </c>
    </row>
    <row r="6485" spans="1:7" x14ac:dyDescent="0.25">
      <c r="A6485" s="1" t="str">
        <f>"527314"</f>
        <v>527314</v>
      </c>
      <c r="B6485" s="8" t="s">
        <v>499</v>
      </c>
      <c r="C6485" s="2" t="str">
        <f t="shared" si="253"/>
        <v>UN</v>
      </c>
      <c r="D6485" s="7">
        <v>99999</v>
      </c>
      <c r="E6485" s="3">
        <v>99</v>
      </c>
      <c r="F6485" s="3">
        <v>99</v>
      </c>
      <c r="G6485" t="s">
        <v>513</v>
      </c>
    </row>
    <row r="6486" spans="1:7" x14ac:dyDescent="0.25">
      <c r="A6486" s="1" t="str">
        <f>"526402"</f>
        <v>526402</v>
      </c>
      <c r="B6486" s="2" t="str">
        <f>"CHUVEIRO ROTATIVO LIPEZA TANQUE INOX SPRAY BALL 1 1/2"" 360º"</f>
        <v>CHUVEIRO ROTATIVO LIPEZA TANQUE INOX SPRAY BALL 1 1/2" 360º</v>
      </c>
      <c r="C6486" s="2" t="str">
        <f t="shared" si="253"/>
        <v>UN</v>
      </c>
      <c r="D6486" s="7">
        <v>99999</v>
      </c>
      <c r="E6486" s="3">
        <v>99</v>
      </c>
      <c r="F6486" s="3">
        <v>99</v>
      </c>
      <c r="G6486" t="s">
        <v>514</v>
      </c>
    </row>
    <row r="6487" spans="1:7" x14ac:dyDescent="0.25">
      <c r="A6487" s="1" t="str">
        <f>"514403"</f>
        <v>514403</v>
      </c>
      <c r="B6487" s="2" t="str">
        <f>"CHUVEIRO TRADIÇÃO 220V 6800W"</f>
        <v>CHUVEIRO TRADIÇÃO 220V 6800W</v>
      </c>
      <c r="C6487" s="2" t="str">
        <f t="shared" si="253"/>
        <v>UN</v>
      </c>
      <c r="D6487" s="7">
        <v>803</v>
      </c>
      <c r="E6487" s="3">
        <v>4</v>
      </c>
      <c r="F6487" s="3">
        <v>4</v>
      </c>
      <c r="G6487" t="s">
        <v>515</v>
      </c>
    </row>
    <row r="6488" spans="1:7" x14ac:dyDescent="0.25">
      <c r="A6488" s="1" t="str">
        <f>"510515"</f>
        <v>510515</v>
      </c>
      <c r="B6488" s="2" t="str">
        <f>"CICLETE"</f>
        <v>CICLETE</v>
      </c>
      <c r="C6488" s="2" t="str">
        <f t="shared" si="253"/>
        <v>UN</v>
      </c>
      <c r="D6488" s="7">
        <v>401</v>
      </c>
      <c r="E6488" s="3">
        <v>4</v>
      </c>
      <c r="F6488" s="3">
        <v>4</v>
      </c>
      <c r="G6488" t="s">
        <v>512</v>
      </c>
    </row>
    <row r="6489" spans="1:7" x14ac:dyDescent="0.25">
      <c r="A6489" s="1" t="str">
        <f>"519286"</f>
        <v>519286</v>
      </c>
      <c r="B6489" s="2" t="str">
        <f>"CICLOMOTOR MODELO FLY-50 AZUL"</f>
        <v>CICLOMOTOR MODELO FLY-50 AZUL</v>
      </c>
      <c r="C6489" s="2" t="str">
        <f t="shared" si="253"/>
        <v>UN</v>
      </c>
      <c r="D6489" s="7">
        <v>1300</v>
      </c>
      <c r="E6489" s="3">
        <v>13</v>
      </c>
      <c r="F6489" s="3">
        <v>13</v>
      </c>
      <c r="G6489" t="s">
        <v>516</v>
      </c>
    </row>
    <row r="6490" spans="1:7" x14ac:dyDescent="0.25">
      <c r="A6490" s="1" t="str">
        <f>"520793"</f>
        <v>520793</v>
      </c>
      <c r="B6490" s="2" t="str">
        <f>"CIF CREMOSO"</f>
        <v>CIF CREMOSO</v>
      </c>
      <c r="C6490" s="2" t="str">
        <f t="shared" si="253"/>
        <v>UN</v>
      </c>
      <c r="D6490" s="7">
        <v>99999</v>
      </c>
      <c r="E6490" s="3">
        <v>99</v>
      </c>
      <c r="F6490" s="3">
        <v>99</v>
      </c>
      <c r="G6490" t="s">
        <v>515</v>
      </c>
    </row>
    <row r="6491" spans="1:7" x14ac:dyDescent="0.25">
      <c r="A6491" s="1" t="str">
        <f>"524740"</f>
        <v>524740</v>
      </c>
      <c r="B6491" s="2" t="str">
        <f>"CILILNDRO DE DRENAGEM L773100 SPX"</f>
        <v>CILILNDRO DE DRENAGEM L773100 SPX</v>
      </c>
      <c r="C6491" s="2" t="str">
        <f t="shared" si="253"/>
        <v>UN</v>
      </c>
      <c r="D6491" s="7">
        <v>807</v>
      </c>
      <c r="E6491" s="3">
        <v>11</v>
      </c>
      <c r="F6491" s="3">
        <v>11</v>
      </c>
      <c r="G6491" t="s">
        <v>514</v>
      </c>
    </row>
    <row r="6492" spans="1:7" x14ac:dyDescent="0.25">
      <c r="A6492" s="1" t="str">
        <f>"515684"</f>
        <v>515684</v>
      </c>
      <c r="B6492" s="2" t="str">
        <f>"CILINDRO"</f>
        <v>CILINDRO</v>
      </c>
      <c r="C6492" s="2" t="str">
        <f t="shared" si="253"/>
        <v>UN</v>
      </c>
      <c r="D6492" s="7">
        <v>401</v>
      </c>
      <c r="E6492" s="3">
        <v>4</v>
      </c>
      <c r="F6492" s="3">
        <v>4</v>
      </c>
      <c r="G6492" t="s">
        <v>512</v>
      </c>
    </row>
    <row r="6493" spans="1:7" x14ac:dyDescent="0.25">
      <c r="A6493" s="1" t="str">
        <f>"520911"</f>
        <v>520911</v>
      </c>
      <c r="B6493" s="2" t="str">
        <f>"CILINDRO AÇO 300 BAR P/ EQUIPAMENTO R.A."</f>
        <v>CILINDRO AÇO 300 BAR P/ EQUIPAMENTO R.A.</v>
      </c>
      <c r="C6493" s="2" t="str">
        <f t="shared" si="253"/>
        <v>UN</v>
      </c>
      <c r="D6493" s="7">
        <v>501</v>
      </c>
      <c r="E6493" s="3">
        <v>13</v>
      </c>
      <c r="F6493" s="3">
        <v>13</v>
      </c>
      <c r="G6493" t="s">
        <v>513</v>
      </c>
    </row>
    <row r="6494" spans="1:7" x14ac:dyDescent="0.25">
      <c r="A6494" s="1" t="str">
        <f>"518031"</f>
        <v>518031</v>
      </c>
      <c r="B6494" s="2" t="str">
        <f>"CILINDRO ACRILICO D-07150 POS4/1433/10"</f>
        <v>CILINDRO ACRILICO D-07150 POS4/1433/10</v>
      </c>
      <c r="C6494" s="2" t="str">
        <f t="shared" si="253"/>
        <v>UN</v>
      </c>
      <c r="D6494" s="7">
        <v>918</v>
      </c>
      <c r="E6494" s="3">
        <v>11</v>
      </c>
      <c r="F6494" s="3">
        <v>11</v>
      </c>
      <c r="G6494" t="s">
        <v>514</v>
      </c>
    </row>
    <row r="6495" spans="1:7" x14ac:dyDescent="0.25">
      <c r="A6495" s="1" t="str">
        <f>"516893"</f>
        <v>516893</v>
      </c>
      <c r="B6495" s="2" t="str">
        <f>"CILINDRO ACRILICO D6199-07150"</f>
        <v>CILINDRO ACRILICO D6199-07150</v>
      </c>
      <c r="C6495" s="2" t="str">
        <f t="shared" si="253"/>
        <v>UN</v>
      </c>
      <c r="D6495" s="7">
        <v>900</v>
      </c>
      <c r="E6495" s="3">
        <v>11</v>
      </c>
      <c r="F6495" s="3">
        <v>11</v>
      </c>
      <c r="G6495" t="s">
        <v>514</v>
      </c>
    </row>
    <row r="6496" spans="1:7" x14ac:dyDescent="0.25">
      <c r="A6496" s="1" t="str">
        <f>"517467"</f>
        <v>517467</v>
      </c>
      <c r="B6496" s="8" t="s">
        <v>91</v>
      </c>
      <c r="C6496" s="2" t="str">
        <f t="shared" si="253"/>
        <v>UN</v>
      </c>
      <c r="D6496" s="7">
        <v>913</v>
      </c>
      <c r="E6496" s="3">
        <v>11</v>
      </c>
      <c r="F6496" s="3">
        <v>11</v>
      </c>
      <c r="G6496" t="s">
        <v>512</v>
      </c>
    </row>
    <row r="6497" spans="1:7" x14ac:dyDescent="0.25">
      <c r="A6497" s="1" t="str">
        <f>"512327"</f>
        <v>512327</v>
      </c>
      <c r="B6497" s="8" t="s">
        <v>35</v>
      </c>
      <c r="C6497" s="2" t="str">
        <f t="shared" si="253"/>
        <v>UN</v>
      </c>
      <c r="D6497" s="7">
        <v>913</v>
      </c>
      <c r="E6497" s="3">
        <v>11</v>
      </c>
      <c r="F6497" s="3">
        <v>11</v>
      </c>
      <c r="G6497" t="s">
        <v>513</v>
      </c>
    </row>
    <row r="6498" spans="1:7" x14ac:dyDescent="0.25">
      <c r="A6498" s="1" t="str">
        <f>"517606"</f>
        <v>517606</v>
      </c>
      <c r="B6498" s="8" t="s">
        <v>93</v>
      </c>
      <c r="C6498" s="2" t="str">
        <f t="shared" si="253"/>
        <v>UN</v>
      </c>
      <c r="D6498" s="7">
        <v>913</v>
      </c>
      <c r="E6498" s="3">
        <v>10</v>
      </c>
      <c r="F6498" s="3">
        <v>10</v>
      </c>
      <c r="G6498" t="s">
        <v>514</v>
      </c>
    </row>
    <row r="6499" spans="1:7" x14ac:dyDescent="0.25">
      <c r="A6499" s="1" t="str">
        <f>"518834"</f>
        <v>518834</v>
      </c>
      <c r="B6499" s="2" t="str">
        <f>"CILINDRO ADVU 50-30-A-P-A 156640"</f>
        <v>CILINDRO ADVU 50-30-A-P-A 156640</v>
      </c>
      <c r="C6499" s="2" t="str">
        <f t="shared" si="253"/>
        <v>UN</v>
      </c>
      <c r="D6499" s="7">
        <v>913</v>
      </c>
      <c r="E6499" s="3">
        <v>11</v>
      </c>
      <c r="F6499" s="3">
        <v>11</v>
      </c>
      <c r="G6499" t="s">
        <v>514</v>
      </c>
    </row>
    <row r="6500" spans="1:7" x14ac:dyDescent="0.25">
      <c r="A6500" s="1" t="str">
        <f>"523149"</f>
        <v>523149</v>
      </c>
      <c r="B6500" s="2" t="str">
        <f>"CILINDRO ADVU 63-50-A-P-A"</f>
        <v>CILINDRO ADVU 63-50-A-P-A</v>
      </c>
      <c r="C6500" s="2" t="str">
        <f t="shared" si="253"/>
        <v>UN</v>
      </c>
      <c r="D6500" s="7">
        <v>913</v>
      </c>
      <c r="E6500" s="3">
        <v>11</v>
      </c>
      <c r="F6500" s="3">
        <v>11</v>
      </c>
      <c r="G6500" t="s">
        <v>514</v>
      </c>
    </row>
    <row r="6501" spans="1:7" x14ac:dyDescent="0.25">
      <c r="A6501" s="1" t="str">
        <f>"511476"</f>
        <v>511476</v>
      </c>
      <c r="B6501" s="2" t="str">
        <f>"CILINDRO ADVU/AEVU 32-100 A-PA"</f>
        <v>CILINDRO ADVU/AEVU 32-100 A-PA</v>
      </c>
      <c r="C6501" s="2" t="str">
        <f t="shared" si="253"/>
        <v>UN</v>
      </c>
      <c r="D6501" s="7">
        <v>913</v>
      </c>
      <c r="E6501" s="3">
        <v>11</v>
      </c>
      <c r="F6501" s="3">
        <v>11</v>
      </c>
      <c r="G6501" t="s">
        <v>513</v>
      </c>
    </row>
    <row r="6502" spans="1:7" x14ac:dyDescent="0.25">
      <c r="A6502" s="1" t="str">
        <f>"524596"</f>
        <v>524596</v>
      </c>
      <c r="B6502" s="2" t="str">
        <f>"CILINDRO ANEL VJ1000 PLASTICO INSERCAO SUP. - WBZ9995027"</f>
        <v>CILINDRO ANEL VJ1000 PLASTICO INSERCAO SUP. - WBZ9995027</v>
      </c>
      <c r="C6502" s="2" t="str">
        <f t="shared" si="253"/>
        <v>UN</v>
      </c>
      <c r="D6502" s="7">
        <v>811</v>
      </c>
      <c r="E6502" s="3">
        <v>10</v>
      </c>
      <c r="F6502" s="3">
        <v>10</v>
      </c>
      <c r="G6502" t="s">
        <v>512</v>
      </c>
    </row>
    <row r="6503" spans="1:7" x14ac:dyDescent="0.25">
      <c r="A6503" s="1" t="str">
        <f>"526632"</f>
        <v>526632</v>
      </c>
      <c r="B6503" s="2" t="str">
        <f>"CILINDRO BLOCO DOSADOR DINI 550MM RONAMEC"</f>
        <v>CILINDRO BLOCO DOSADOR DINI 550MM RONAMEC</v>
      </c>
      <c r="C6503" s="2" t="str">
        <f t="shared" si="253"/>
        <v>UN</v>
      </c>
      <c r="D6503" s="7">
        <v>918</v>
      </c>
      <c r="E6503" s="3">
        <v>11</v>
      </c>
      <c r="F6503" s="3">
        <v>11</v>
      </c>
      <c r="G6503" t="s">
        <v>513</v>
      </c>
    </row>
    <row r="6504" spans="1:7" x14ac:dyDescent="0.25">
      <c r="A6504" s="1" t="str">
        <f>"521844"</f>
        <v>521844</v>
      </c>
      <c r="B6504" s="8" t="s">
        <v>228</v>
      </c>
      <c r="C6504" s="2" t="str">
        <f t="shared" si="253"/>
        <v>UN</v>
      </c>
      <c r="D6504" s="7">
        <v>913</v>
      </c>
      <c r="E6504" s="3">
        <v>10</v>
      </c>
      <c r="F6504" s="3">
        <v>10</v>
      </c>
      <c r="G6504" t="s">
        <v>514</v>
      </c>
    </row>
    <row r="6505" spans="1:7" x14ac:dyDescent="0.25">
      <c r="A6505" s="1" t="str">
        <f>"521612"</f>
        <v>521612</v>
      </c>
      <c r="B6505" s="8" t="s">
        <v>208</v>
      </c>
      <c r="C6505" s="2" t="str">
        <f t="shared" si="253"/>
        <v>UN</v>
      </c>
      <c r="D6505" s="7">
        <v>913</v>
      </c>
      <c r="E6505" s="3">
        <v>11</v>
      </c>
      <c r="F6505" s="3">
        <v>11</v>
      </c>
      <c r="G6505" t="s">
        <v>514</v>
      </c>
    </row>
    <row r="6506" spans="1:7" x14ac:dyDescent="0.25">
      <c r="A6506" s="1" t="str">
        <f>"522330"</f>
        <v>522330</v>
      </c>
      <c r="B6506" s="2" t="str">
        <f>"CILINDRO COMPLETO JACTO COD.925917"</f>
        <v>CILINDRO COMPLETO JACTO COD.925917</v>
      </c>
      <c r="C6506" s="2" t="str">
        <f t="shared" si="253"/>
        <v>UN</v>
      </c>
      <c r="D6506" s="7">
        <v>99999</v>
      </c>
      <c r="E6506" s="3">
        <v>99</v>
      </c>
      <c r="F6506" s="3">
        <v>99</v>
      </c>
      <c r="G6506" t="s">
        <v>514</v>
      </c>
    </row>
    <row r="6507" spans="1:7" x14ac:dyDescent="0.25">
      <c r="A6507" s="1" t="str">
        <f>"527199"</f>
        <v>527199</v>
      </c>
      <c r="B6507" s="2" t="str">
        <f>"CILINDRO COMPOSITE 300BAR 6,8L 45MIN MSA CA-18045"</f>
        <v>CILINDRO COMPOSITE 300BAR 6,8L 45MIN MSA CA-18045</v>
      </c>
      <c r="C6507" s="2" t="str">
        <f t="shared" si="253"/>
        <v>UN</v>
      </c>
      <c r="D6507" s="7">
        <v>501</v>
      </c>
      <c r="E6507" s="3">
        <v>5</v>
      </c>
      <c r="F6507" s="3">
        <v>5</v>
      </c>
      <c r="G6507" t="s">
        <v>513</v>
      </c>
    </row>
    <row r="6508" spans="1:7" x14ac:dyDescent="0.25">
      <c r="A6508" s="1" t="str">
        <f>"513954"</f>
        <v>513954</v>
      </c>
      <c r="B6508" s="2" t="str">
        <f>"CILINDRO DA FECHADURA"</f>
        <v>CILINDRO DA FECHADURA</v>
      </c>
      <c r="C6508" s="2" t="str">
        <f t="shared" si="253"/>
        <v>UN</v>
      </c>
      <c r="D6508" s="7">
        <v>99999</v>
      </c>
      <c r="E6508" s="3">
        <v>99</v>
      </c>
      <c r="F6508" s="3">
        <v>99</v>
      </c>
      <c r="G6508" t="s">
        <v>513</v>
      </c>
    </row>
    <row r="6509" spans="1:7" x14ac:dyDescent="0.25">
      <c r="A6509" s="1" t="str">
        <f>"522805"</f>
        <v>522805</v>
      </c>
      <c r="B6509" s="8" t="s">
        <v>337</v>
      </c>
      <c r="C6509" s="2" t="str">
        <f t="shared" si="253"/>
        <v>UN</v>
      </c>
      <c r="D6509" s="7">
        <v>501</v>
      </c>
      <c r="E6509" s="3">
        <v>13</v>
      </c>
      <c r="F6509" s="3">
        <v>13</v>
      </c>
      <c r="G6509" t="s">
        <v>513</v>
      </c>
    </row>
    <row r="6510" spans="1:7" x14ac:dyDescent="0.25">
      <c r="A6510" s="1" t="str">
        <f>"524362"</f>
        <v>524362</v>
      </c>
      <c r="B6510" s="2" t="str">
        <f>"CILINDRO DE GÁS AMONIA 50PPM 58LT PN 29920015"</f>
        <v>CILINDRO DE GÁS AMONIA 50PPM 58LT PN 29920015</v>
      </c>
      <c r="C6510" s="2" t="str">
        <f t="shared" si="253"/>
        <v>UN</v>
      </c>
      <c r="D6510" s="7">
        <v>900</v>
      </c>
      <c r="E6510" s="3">
        <v>11</v>
      </c>
      <c r="F6510" s="3">
        <v>11</v>
      </c>
      <c r="G6510" t="s">
        <v>512</v>
      </c>
    </row>
    <row r="6511" spans="1:7" x14ac:dyDescent="0.25">
      <c r="A6511" s="1" t="str">
        <f>"512065"</f>
        <v>512065</v>
      </c>
      <c r="B6511" s="2" t="str">
        <f>"CILINDRO DNC 100-120-PPV"</f>
        <v>CILINDRO DNC 100-120-PPV</v>
      </c>
      <c r="C6511" s="2" t="str">
        <f t="shared" si="253"/>
        <v>UN</v>
      </c>
      <c r="D6511" s="7">
        <v>913</v>
      </c>
      <c r="E6511" s="3">
        <v>11</v>
      </c>
      <c r="F6511" s="3">
        <v>11</v>
      </c>
      <c r="G6511" t="s">
        <v>513</v>
      </c>
    </row>
    <row r="6512" spans="1:7" x14ac:dyDescent="0.25">
      <c r="A6512" s="1" t="str">
        <f>"512068"</f>
        <v>512068</v>
      </c>
      <c r="B6512" s="2" t="str">
        <f>"CILINDRO DNC 100-170-PPV"</f>
        <v>CILINDRO DNC 100-170-PPV</v>
      </c>
      <c r="C6512" s="2" t="str">
        <f>"PC"</f>
        <v>PC</v>
      </c>
      <c r="D6512" s="7">
        <v>913</v>
      </c>
      <c r="E6512" s="3">
        <v>11</v>
      </c>
      <c r="F6512" s="3">
        <v>11</v>
      </c>
      <c r="G6512" t="s">
        <v>514</v>
      </c>
    </row>
    <row r="6513" spans="1:7" x14ac:dyDescent="0.25">
      <c r="A6513" s="1" t="str">
        <f>"511883"</f>
        <v>511883</v>
      </c>
      <c r="B6513" s="2" t="str">
        <f>"CILINDRO DNC 100-80-PPV"</f>
        <v>CILINDRO DNC 100-80-PPV</v>
      </c>
      <c r="C6513" s="2" t="str">
        <f>"PC"</f>
        <v>PC</v>
      </c>
      <c r="D6513" s="7">
        <v>913</v>
      </c>
      <c r="E6513" s="3">
        <v>11</v>
      </c>
      <c r="F6513" s="3">
        <v>11</v>
      </c>
      <c r="G6513" t="s">
        <v>515</v>
      </c>
    </row>
    <row r="6514" spans="1:7" x14ac:dyDescent="0.25">
      <c r="A6514" s="1" t="str">
        <f>"510278"</f>
        <v>510278</v>
      </c>
      <c r="B6514" s="2" t="str">
        <f>"CILINDRO DNC 32-100-PPV-A"</f>
        <v>CILINDRO DNC 32-100-PPV-A</v>
      </c>
      <c r="C6514" s="2" t="str">
        <f>"UN"</f>
        <v>UN</v>
      </c>
      <c r="D6514" s="7">
        <v>913</v>
      </c>
      <c r="E6514" s="3">
        <v>11</v>
      </c>
      <c r="F6514" s="3">
        <v>11</v>
      </c>
      <c r="G6514" t="s">
        <v>512</v>
      </c>
    </row>
    <row r="6515" spans="1:7" x14ac:dyDescent="0.25">
      <c r="A6515" s="1" t="str">
        <f>"517792"</f>
        <v>517792</v>
      </c>
      <c r="B6515" s="2" t="str">
        <f>"CILINDRO DNC 32-150-PPV-A"</f>
        <v>CILINDRO DNC 32-150-PPV-A</v>
      </c>
      <c r="C6515" s="2" t="str">
        <f>"UN"</f>
        <v>UN</v>
      </c>
      <c r="D6515" s="7">
        <v>913</v>
      </c>
      <c r="E6515" s="3">
        <v>11</v>
      </c>
      <c r="F6515" s="3">
        <v>11</v>
      </c>
      <c r="G6515" t="s">
        <v>516</v>
      </c>
    </row>
    <row r="6516" spans="1:7" x14ac:dyDescent="0.25">
      <c r="A6516" s="1" t="str">
        <f>"512209"</f>
        <v>512209</v>
      </c>
      <c r="B6516" s="2" t="str">
        <f>"CILINDRO DNC 32-20-PPV"</f>
        <v>CILINDRO DNC 32-20-PPV</v>
      </c>
      <c r="C6516" s="2" t="str">
        <f>"PC"</f>
        <v>PC</v>
      </c>
      <c r="D6516" s="7">
        <v>913</v>
      </c>
      <c r="E6516" s="3">
        <v>11</v>
      </c>
      <c r="F6516" s="3">
        <v>11</v>
      </c>
      <c r="G6516" t="s">
        <v>515</v>
      </c>
    </row>
    <row r="6517" spans="1:7" x14ac:dyDescent="0.25">
      <c r="A6517" s="1" t="str">
        <f>"507976"</f>
        <v>507976</v>
      </c>
      <c r="B6517" s="2" t="str">
        <f>"CILINDRO DNC 32-270-PPV-A"</f>
        <v>CILINDRO DNC 32-270-PPV-A</v>
      </c>
      <c r="C6517" s="2" t="str">
        <f>"UN"</f>
        <v>UN</v>
      </c>
      <c r="D6517" s="7">
        <v>913</v>
      </c>
      <c r="E6517" s="3">
        <v>11</v>
      </c>
      <c r="F6517" s="3">
        <v>11</v>
      </c>
      <c r="G6517" t="s">
        <v>514</v>
      </c>
    </row>
    <row r="6518" spans="1:7" x14ac:dyDescent="0.25">
      <c r="A6518" s="1" t="str">
        <f>"512207"</f>
        <v>512207</v>
      </c>
      <c r="B6518" s="2" t="str">
        <f>"CILINDRO DNC 32-40-PPV"</f>
        <v>CILINDRO DNC 32-40-PPV</v>
      </c>
      <c r="C6518" s="2" t="str">
        <f>"PC"</f>
        <v>PC</v>
      </c>
      <c r="D6518" s="7">
        <v>913</v>
      </c>
      <c r="E6518" s="3">
        <v>11</v>
      </c>
      <c r="F6518" s="3">
        <v>11</v>
      </c>
      <c r="G6518" t="s">
        <v>512</v>
      </c>
    </row>
    <row r="6519" spans="1:7" x14ac:dyDescent="0.25">
      <c r="A6519" s="1" t="str">
        <f>"517791"</f>
        <v>517791</v>
      </c>
      <c r="B6519" s="2" t="str">
        <f>"CILINDRO DNC 32-50-PPV-A"</f>
        <v>CILINDRO DNC 32-50-PPV-A</v>
      </c>
      <c r="C6519" s="2" t="str">
        <f>"UN"</f>
        <v>UN</v>
      </c>
      <c r="D6519" s="7">
        <v>913</v>
      </c>
      <c r="E6519" s="3">
        <v>11</v>
      </c>
      <c r="F6519" s="3">
        <v>11</v>
      </c>
      <c r="G6519" t="s">
        <v>513</v>
      </c>
    </row>
    <row r="6520" spans="1:7" x14ac:dyDescent="0.25">
      <c r="A6520" s="1" t="str">
        <f>"512526"</f>
        <v>512526</v>
      </c>
      <c r="B6520" s="2" t="str">
        <f>"CILINDRO DNC 32-50-PPV-S2"</f>
        <v>CILINDRO DNC 32-50-PPV-S2</v>
      </c>
      <c r="C6520" s="2" t="str">
        <f>"PC"</f>
        <v>PC</v>
      </c>
      <c r="D6520" s="7">
        <v>913</v>
      </c>
      <c r="E6520" s="3">
        <v>11</v>
      </c>
      <c r="F6520" s="3">
        <v>11</v>
      </c>
      <c r="G6520" t="s">
        <v>514</v>
      </c>
    </row>
    <row r="6521" spans="1:7" x14ac:dyDescent="0.25">
      <c r="A6521" s="1" t="str">
        <f>"511870"</f>
        <v>511870</v>
      </c>
      <c r="B6521" s="2" t="str">
        <f>"CILINDRO DNC 32-70-PPV S2"</f>
        <v>CILINDRO DNC 32-70-PPV S2</v>
      </c>
      <c r="C6521" s="2" t="str">
        <f t="shared" ref="C6521:C6528" si="254">"UN"</f>
        <v>UN</v>
      </c>
      <c r="D6521" s="7">
        <v>913</v>
      </c>
      <c r="E6521" s="3">
        <v>11</v>
      </c>
      <c r="F6521" s="3">
        <v>11</v>
      </c>
      <c r="G6521" t="s">
        <v>514</v>
      </c>
    </row>
    <row r="6522" spans="1:7" x14ac:dyDescent="0.25">
      <c r="A6522" s="1" t="str">
        <f>"511961"</f>
        <v>511961</v>
      </c>
      <c r="B6522" s="2" t="str">
        <f>"CILINDRO DNC 32-80-PPV"</f>
        <v>CILINDRO DNC 32-80-PPV</v>
      </c>
      <c r="C6522" s="2" t="str">
        <f t="shared" si="254"/>
        <v>UN</v>
      </c>
      <c r="D6522" s="7">
        <v>913</v>
      </c>
      <c r="E6522" s="3">
        <v>11</v>
      </c>
      <c r="F6522" s="3">
        <v>11</v>
      </c>
      <c r="G6522" t="s">
        <v>512</v>
      </c>
    </row>
    <row r="6523" spans="1:7" x14ac:dyDescent="0.25">
      <c r="A6523" s="1" t="str">
        <f>"510277"</f>
        <v>510277</v>
      </c>
      <c r="B6523" s="2" t="str">
        <f>"CILINDRO DNC 32-80-PPV-A"</f>
        <v>CILINDRO DNC 32-80-PPV-A</v>
      </c>
      <c r="C6523" s="2" t="str">
        <f t="shared" si="254"/>
        <v>UN</v>
      </c>
      <c r="D6523" s="7">
        <v>913</v>
      </c>
      <c r="E6523" s="3">
        <v>11</v>
      </c>
      <c r="F6523" s="3">
        <v>11</v>
      </c>
      <c r="G6523" t="s">
        <v>513</v>
      </c>
    </row>
    <row r="6524" spans="1:7" x14ac:dyDescent="0.25">
      <c r="A6524" s="1" t="str">
        <f>"502968"</f>
        <v>502968</v>
      </c>
      <c r="B6524" s="2" t="str">
        <f>"CILINDRO DNC 50-100 PPV-A"</f>
        <v>CILINDRO DNC 50-100 PPV-A</v>
      </c>
      <c r="C6524" s="2" t="str">
        <f t="shared" si="254"/>
        <v>UN</v>
      </c>
      <c r="D6524" s="7">
        <v>913</v>
      </c>
      <c r="E6524" s="3">
        <v>11</v>
      </c>
      <c r="F6524" s="3">
        <v>11</v>
      </c>
      <c r="G6524" t="s">
        <v>514</v>
      </c>
    </row>
    <row r="6525" spans="1:7" x14ac:dyDescent="0.25">
      <c r="A6525" s="1" t="str">
        <f>"510129"</f>
        <v>510129</v>
      </c>
      <c r="B6525" s="2" t="str">
        <f>"CILINDRO DNC 50-125-PPV-A DUPLA AÇAO"</f>
        <v>CILINDRO DNC 50-125-PPV-A DUPLA AÇAO</v>
      </c>
      <c r="C6525" s="2" t="str">
        <f t="shared" si="254"/>
        <v>UN</v>
      </c>
      <c r="D6525" s="7">
        <v>913</v>
      </c>
      <c r="E6525" s="3">
        <v>11</v>
      </c>
      <c r="F6525" s="3">
        <v>11</v>
      </c>
      <c r="G6525" t="s">
        <v>514</v>
      </c>
    </row>
    <row r="6526" spans="1:7" x14ac:dyDescent="0.25">
      <c r="A6526" s="1" t="str">
        <f>"517895"</f>
        <v>517895</v>
      </c>
      <c r="B6526" s="2" t="str">
        <f>"CILINDRO DNC 50-200 PPV"</f>
        <v>CILINDRO DNC 50-200 PPV</v>
      </c>
      <c r="C6526" s="2" t="str">
        <f t="shared" si="254"/>
        <v>UN</v>
      </c>
      <c r="D6526" s="7">
        <v>913</v>
      </c>
      <c r="E6526" s="3">
        <v>11</v>
      </c>
      <c r="F6526" s="3">
        <v>11</v>
      </c>
      <c r="G6526" t="s">
        <v>514</v>
      </c>
    </row>
    <row r="6527" spans="1:7" x14ac:dyDescent="0.25">
      <c r="A6527" s="1" t="str">
        <f>"511772"</f>
        <v>511772</v>
      </c>
      <c r="B6527" s="2" t="str">
        <f>"CILINDRO DNC 50-220 PPV"</f>
        <v>CILINDRO DNC 50-220 PPV</v>
      </c>
      <c r="C6527" s="2" t="str">
        <f t="shared" si="254"/>
        <v>UN</v>
      </c>
      <c r="D6527" s="7">
        <v>913</v>
      </c>
      <c r="E6527" s="3">
        <v>11</v>
      </c>
      <c r="F6527" s="3">
        <v>11</v>
      </c>
      <c r="G6527" t="s">
        <v>513</v>
      </c>
    </row>
    <row r="6528" spans="1:7" x14ac:dyDescent="0.25">
      <c r="A6528" s="1" t="str">
        <f>"518394"</f>
        <v>518394</v>
      </c>
      <c r="B6528" s="2" t="str">
        <f>"CILINDRO DNC 50-30 APA"</f>
        <v>CILINDRO DNC 50-30 APA</v>
      </c>
      <c r="C6528" s="2" t="str">
        <f t="shared" si="254"/>
        <v>UN</v>
      </c>
      <c r="D6528" s="7">
        <v>913</v>
      </c>
      <c r="E6528" s="3">
        <v>11</v>
      </c>
      <c r="F6528" s="3">
        <v>11</v>
      </c>
      <c r="G6528" t="s">
        <v>512</v>
      </c>
    </row>
    <row r="6529" spans="1:7" x14ac:dyDescent="0.25">
      <c r="A6529" s="1" t="str">
        <f>"511911"</f>
        <v>511911</v>
      </c>
      <c r="B6529" s="2" t="str">
        <f>"CILINDRO DNC 50-50 PPV"</f>
        <v>CILINDRO DNC 50-50 PPV</v>
      </c>
      <c r="C6529" s="2" t="str">
        <f>"PC"</f>
        <v>PC</v>
      </c>
      <c r="D6529" s="7">
        <v>913</v>
      </c>
      <c r="E6529" s="3">
        <v>11</v>
      </c>
      <c r="F6529" s="3">
        <v>11</v>
      </c>
      <c r="G6529" t="s">
        <v>513</v>
      </c>
    </row>
    <row r="6530" spans="1:7" x14ac:dyDescent="0.25">
      <c r="A6530" s="1" t="str">
        <f>"502967"</f>
        <v>502967</v>
      </c>
      <c r="B6530" s="2" t="str">
        <f>"CILINDRO DNC 50-65 PPV"</f>
        <v>CILINDRO DNC 50-65 PPV</v>
      </c>
      <c r="C6530" s="2" t="str">
        <f>"BR"</f>
        <v>BR</v>
      </c>
      <c r="D6530" s="7">
        <v>808</v>
      </c>
      <c r="E6530" s="3">
        <v>10</v>
      </c>
      <c r="F6530" s="3">
        <v>10</v>
      </c>
      <c r="G6530" t="s">
        <v>514</v>
      </c>
    </row>
    <row r="6531" spans="1:7" x14ac:dyDescent="0.25">
      <c r="A6531" s="1" t="str">
        <f>"505518"</f>
        <v>505518</v>
      </c>
      <c r="B6531" s="2" t="str">
        <f>"CILINDRO DNC 63-100-PPV 1383582"</f>
        <v>CILINDRO DNC 63-100-PPV 1383582</v>
      </c>
      <c r="C6531" s="2" t="str">
        <f>"UN"</f>
        <v>UN</v>
      </c>
      <c r="D6531" s="7">
        <v>913</v>
      </c>
      <c r="E6531" s="3">
        <v>11</v>
      </c>
      <c r="F6531" s="3">
        <v>11</v>
      </c>
      <c r="G6531" t="s">
        <v>514</v>
      </c>
    </row>
    <row r="6532" spans="1:7" x14ac:dyDescent="0.25">
      <c r="A6532" s="1" t="str">
        <f>"512063"</f>
        <v>512063</v>
      </c>
      <c r="B6532" s="2" t="str">
        <f>"CILINDRO DNC 63-115-PPV"</f>
        <v>CILINDRO DNC 63-115-PPV</v>
      </c>
      <c r="C6532" s="2" t="str">
        <f>"UN"</f>
        <v>UN</v>
      </c>
      <c r="D6532" s="7">
        <v>913</v>
      </c>
      <c r="E6532" s="3">
        <v>11</v>
      </c>
      <c r="F6532" s="3">
        <v>11</v>
      </c>
      <c r="G6532" t="s">
        <v>514</v>
      </c>
    </row>
    <row r="6533" spans="1:7" x14ac:dyDescent="0.25">
      <c r="A6533" s="1" t="str">
        <f>"512066"</f>
        <v>512066</v>
      </c>
      <c r="B6533" s="2" t="str">
        <f>"CILINDRO DNC 63-160-PPV"</f>
        <v>CILINDRO DNC 63-160-PPV</v>
      </c>
      <c r="C6533" s="2" t="str">
        <f>"UN"</f>
        <v>UN</v>
      </c>
      <c r="D6533" s="7">
        <v>913</v>
      </c>
      <c r="E6533" s="3">
        <v>11</v>
      </c>
      <c r="F6533" s="3">
        <v>11</v>
      </c>
      <c r="G6533" t="s">
        <v>513</v>
      </c>
    </row>
    <row r="6534" spans="1:7" x14ac:dyDescent="0.25">
      <c r="A6534" s="1" t="str">
        <f>"512623"</f>
        <v>512623</v>
      </c>
      <c r="B6534" s="2" t="str">
        <f>"CILINDRO DNC 63-30 PPV"</f>
        <v>CILINDRO DNC 63-30 PPV</v>
      </c>
      <c r="C6534" s="2" t="str">
        <f>"UN"</f>
        <v>UN</v>
      </c>
      <c r="D6534" s="7">
        <v>913</v>
      </c>
      <c r="E6534" s="3">
        <v>11</v>
      </c>
      <c r="F6534" s="3">
        <v>11</v>
      </c>
      <c r="G6534" t="s">
        <v>513</v>
      </c>
    </row>
    <row r="6535" spans="1:7" x14ac:dyDescent="0.25">
      <c r="A6535" s="1" t="str">
        <f>"511871"</f>
        <v>511871</v>
      </c>
      <c r="B6535" s="2" t="str">
        <f>"CILINDRO DNC 63-30-PPV - FERRAMENTA"</f>
        <v>CILINDRO DNC 63-30-PPV - FERRAMENTA</v>
      </c>
      <c r="C6535" s="2" t="str">
        <f>"UN"</f>
        <v>UN</v>
      </c>
      <c r="D6535" s="7">
        <v>913</v>
      </c>
      <c r="E6535" s="3">
        <v>11</v>
      </c>
      <c r="F6535" s="3">
        <v>11</v>
      </c>
      <c r="G6535" t="s">
        <v>513</v>
      </c>
    </row>
    <row r="6536" spans="1:7" x14ac:dyDescent="0.25">
      <c r="A6536" s="1" t="str">
        <f>"512047"</f>
        <v>512047</v>
      </c>
      <c r="B6536" s="2" t="str">
        <f>"CILINDRO DNC 63-30-PPV S2 HASTE PAS."</f>
        <v>CILINDRO DNC 63-30-PPV S2 HASTE PAS.</v>
      </c>
      <c r="C6536" s="2" t="str">
        <f>"PC"</f>
        <v>PC</v>
      </c>
      <c r="D6536" s="7">
        <v>913</v>
      </c>
      <c r="E6536" s="3">
        <v>11</v>
      </c>
      <c r="F6536" s="3">
        <v>11</v>
      </c>
      <c r="G6536" t="s">
        <v>512</v>
      </c>
    </row>
    <row r="6537" spans="1:7" x14ac:dyDescent="0.25">
      <c r="A6537" s="1" t="str">
        <f>"503826"</f>
        <v>503826</v>
      </c>
      <c r="B6537" s="2" t="str">
        <f>"CILINDRO DNC 63-32 PPV S2 100MM ROSCA"</f>
        <v>CILINDRO DNC 63-32 PPV S2 100MM ROSCA</v>
      </c>
      <c r="C6537" s="2" t="str">
        <f>"BR"</f>
        <v>BR</v>
      </c>
      <c r="D6537" s="7">
        <v>808</v>
      </c>
      <c r="E6537" s="3">
        <v>10</v>
      </c>
      <c r="F6537" s="3">
        <v>10</v>
      </c>
      <c r="G6537" t="s">
        <v>513</v>
      </c>
    </row>
    <row r="6538" spans="1:7" x14ac:dyDescent="0.25">
      <c r="A6538" s="1" t="str">
        <f>"512622"</f>
        <v>512622</v>
      </c>
      <c r="B6538" s="2" t="str">
        <f>"CILINDRO DNC 63-50 PPV S2"</f>
        <v>CILINDRO DNC 63-50 PPV S2</v>
      </c>
      <c r="C6538" s="2" t="str">
        <f>"UN"</f>
        <v>UN</v>
      </c>
      <c r="D6538" s="7">
        <v>913</v>
      </c>
      <c r="E6538" s="3">
        <v>11</v>
      </c>
      <c r="F6538" s="3">
        <v>11</v>
      </c>
      <c r="G6538" t="s">
        <v>514</v>
      </c>
    </row>
    <row r="6539" spans="1:7" x14ac:dyDescent="0.25">
      <c r="A6539" s="1" t="str">
        <f>"512621"</f>
        <v>512621</v>
      </c>
      <c r="B6539" s="2" t="str">
        <f>"CILINDRO DNC 63-70 PPV"</f>
        <v>CILINDRO DNC 63-70 PPV</v>
      </c>
      <c r="C6539" s="2" t="str">
        <f>"UN"</f>
        <v>UN</v>
      </c>
      <c r="D6539" s="7">
        <v>900</v>
      </c>
      <c r="E6539" s="3">
        <v>11</v>
      </c>
      <c r="F6539" s="3">
        <v>11</v>
      </c>
      <c r="G6539" t="s">
        <v>515</v>
      </c>
    </row>
    <row r="6540" spans="1:7" x14ac:dyDescent="0.25">
      <c r="A6540" s="1" t="str">
        <f>"512064"</f>
        <v>512064</v>
      </c>
      <c r="B6540" s="2" t="str">
        <f>"CILINDRO DNC 80-105-PPV"</f>
        <v>CILINDRO DNC 80-105-PPV</v>
      </c>
      <c r="C6540" s="2" t="str">
        <f>"UN"</f>
        <v>UN</v>
      </c>
      <c r="D6540" s="7">
        <v>913</v>
      </c>
      <c r="E6540" s="3">
        <v>11</v>
      </c>
      <c r="F6540" s="3">
        <v>11</v>
      </c>
      <c r="G6540" t="s">
        <v>512</v>
      </c>
    </row>
    <row r="6541" spans="1:7" x14ac:dyDescent="0.25">
      <c r="A6541" s="1" t="str">
        <f>"512062"</f>
        <v>512062</v>
      </c>
      <c r="B6541" s="2" t="str">
        <f>"CILINDRO DNC 80-135-PPV"</f>
        <v>CILINDRO DNC 80-135-PPV</v>
      </c>
      <c r="C6541" s="2" t="str">
        <f>"UN"</f>
        <v>UN</v>
      </c>
      <c r="D6541" s="7">
        <v>913</v>
      </c>
      <c r="E6541" s="3">
        <v>11</v>
      </c>
      <c r="F6541" s="3">
        <v>11</v>
      </c>
      <c r="G6541" t="s">
        <v>516</v>
      </c>
    </row>
    <row r="6542" spans="1:7" x14ac:dyDescent="0.25">
      <c r="A6542" s="1" t="str">
        <f>"503922"</f>
        <v>503922</v>
      </c>
      <c r="B6542" s="2" t="str">
        <f>"CILINDRO DNC 80-160PPV"</f>
        <v>CILINDRO DNC 80-160PPV</v>
      </c>
      <c r="C6542" s="2" t="str">
        <f>"BR"</f>
        <v>BR</v>
      </c>
      <c r="D6542" s="7">
        <v>808</v>
      </c>
      <c r="E6542" s="3">
        <v>10</v>
      </c>
      <c r="F6542" s="3">
        <v>10</v>
      </c>
      <c r="G6542" t="s">
        <v>515</v>
      </c>
    </row>
    <row r="6543" spans="1:7" x14ac:dyDescent="0.25">
      <c r="A6543" s="1" t="str">
        <f>"512067"</f>
        <v>512067</v>
      </c>
      <c r="B6543" s="2" t="str">
        <f>"CILINDRO DNC 80-160-PPV"</f>
        <v>CILINDRO DNC 80-160-PPV</v>
      </c>
      <c r="C6543" s="2" t="str">
        <f>"UN"</f>
        <v>UN</v>
      </c>
      <c r="D6543" s="7">
        <v>913</v>
      </c>
      <c r="E6543" s="3">
        <v>11</v>
      </c>
      <c r="F6543" s="3">
        <v>11</v>
      </c>
      <c r="G6543" t="s">
        <v>514</v>
      </c>
    </row>
    <row r="6544" spans="1:7" x14ac:dyDescent="0.25">
      <c r="A6544" s="1" t="str">
        <f>"504306"</f>
        <v>504306</v>
      </c>
      <c r="B6544" s="2" t="str">
        <f>"CILINDRO DNC 80-170PPV REF. RA/8080/170"</f>
        <v>CILINDRO DNC 80-170PPV REF. RA/8080/170</v>
      </c>
      <c r="C6544" s="2" t="str">
        <f>"BR"</f>
        <v>BR</v>
      </c>
      <c r="D6544" s="7">
        <v>808</v>
      </c>
      <c r="E6544" s="3">
        <v>10</v>
      </c>
      <c r="F6544" s="3">
        <v>10</v>
      </c>
      <c r="G6544" t="s">
        <v>512</v>
      </c>
    </row>
    <row r="6545" spans="1:7" x14ac:dyDescent="0.25">
      <c r="A6545" s="1" t="str">
        <f>"517595"</f>
        <v>517595</v>
      </c>
      <c r="B6545" s="2" t="str">
        <f>"CILINDRO DNC 80-300PPV-A"</f>
        <v>CILINDRO DNC 80-300PPV-A</v>
      </c>
      <c r="C6545" s="2" t="str">
        <f>"UN"</f>
        <v>UN</v>
      </c>
      <c r="D6545" s="7">
        <v>913</v>
      </c>
      <c r="E6545" s="3">
        <v>11</v>
      </c>
      <c r="F6545" s="3">
        <v>11</v>
      </c>
      <c r="G6545" t="s">
        <v>513</v>
      </c>
    </row>
    <row r="6546" spans="1:7" x14ac:dyDescent="0.25">
      <c r="A6546" s="1" t="str">
        <f>"516549"</f>
        <v>516549</v>
      </c>
      <c r="B6546" s="2" t="str">
        <f>"CILINDRO DNC 80-50-PPV-S2"</f>
        <v>CILINDRO DNC 80-50-PPV-S2</v>
      </c>
      <c r="C6546" s="2" t="str">
        <f>"UN"</f>
        <v>UN</v>
      </c>
      <c r="D6546" s="7">
        <v>913</v>
      </c>
      <c r="E6546" s="3">
        <v>11</v>
      </c>
      <c r="F6546" s="3">
        <v>11</v>
      </c>
      <c r="G6546" t="s">
        <v>514</v>
      </c>
    </row>
    <row r="6547" spans="1:7" x14ac:dyDescent="0.25">
      <c r="A6547" s="1" t="str">
        <f>"517587"</f>
        <v>517587</v>
      </c>
      <c r="B6547" s="2" t="str">
        <f>"CILINDRO DNC 80-80-PPV"</f>
        <v>CILINDRO DNC 80-80-PPV</v>
      </c>
      <c r="C6547" s="2" t="str">
        <f>"UN"</f>
        <v>UN</v>
      </c>
      <c r="D6547" s="7">
        <v>913</v>
      </c>
      <c r="E6547" s="3">
        <v>11</v>
      </c>
      <c r="F6547" s="3">
        <v>11</v>
      </c>
      <c r="G6547" t="s">
        <v>514</v>
      </c>
    </row>
    <row r="6548" spans="1:7" x14ac:dyDescent="0.25">
      <c r="A6548" s="1" t="str">
        <f>"507014"</f>
        <v>507014</v>
      </c>
      <c r="B6548" s="2" t="str">
        <f>"CILINDRO DNC 80-80-PPV-S2"</f>
        <v>CILINDRO DNC 80-80-PPV-S2</v>
      </c>
      <c r="C6548" s="2" t="str">
        <f>"UN"</f>
        <v>UN</v>
      </c>
      <c r="D6548" s="7">
        <v>913</v>
      </c>
      <c r="E6548" s="3">
        <v>11</v>
      </c>
      <c r="F6548" s="3">
        <v>11</v>
      </c>
      <c r="G6548" t="s">
        <v>512</v>
      </c>
    </row>
    <row r="6549" spans="1:7" x14ac:dyDescent="0.25">
      <c r="A6549" s="1" t="str">
        <f>"522725"</f>
        <v>522725</v>
      </c>
      <c r="B6549" s="8" t="s">
        <v>328</v>
      </c>
      <c r="C6549" s="2" t="str">
        <f>"UN"</f>
        <v>UN</v>
      </c>
      <c r="D6549" s="7">
        <v>901</v>
      </c>
      <c r="E6549" s="3">
        <v>11</v>
      </c>
      <c r="F6549" s="3">
        <v>11</v>
      </c>
      <c r="G6549" t="s">
        <v>513</v>
      </c>
    </row>
    <row r="6550" spans="1:7" x14ac:dyDescent="0.25">
      <c r="A6550" s="1" t="str">
        <f>"522390"</f>
        <v>522390</v>
      </c>
      <c r="B6550" s="2" t="str">
        <f>"CILINDRO DSBC 32-100 PPA-N3"</f>
        <v>CILINDRO DSBC 32-100 PPA-N3</v>
      </c>
      <c r="C6550" s="2" t="str">
        <f>"BR"</f>
        <v>BR</v>
      </c>
      <c r="D6550" s="7">
        <v>808</v>
      </c>
      <c r="E6550" s="3">
        <v>10</v>
      </c>
      <c r="F6550" s="3">
        <v>10</v>
      </c>
      <c r="G6550" t="s">
        <v>514</v>
      </c>
    </row>
    <row r="6551" spans="1:7" x14ac:dyDescent="0.25">
      <c r="A6551" s="1" t="str">
        <f>"522391"</f>
        <v>522391</v>
      </c>
      <c r="B6551" s="2" t="str">
        <f>"CILINDRO DSBC 32-200 PPA-N3"</f>
        <v>CILINDRO DSBC 32-200 PPA-N3</v>
      </c>
      <c r="C6551" s="2" t="str">
        <f>"BR"</f>
        <v>BR</v>
      </c>
      <c r="D6551" s="7">
        <v>808</v>
      </c>
      <c r="E6551" s="3">
        <v>10</v>
      </c>
      <c r="F6551" s="3">
        <v>10</v>
      </c>
      <c r="G6551" t="s">
        <v>514</v>
      </c>
    </row>
    <row r="6552" spans="1:7" x14ac:dyDescent="0.25">
      <c r="A6552" s="1" t="str">
        <f>"521398"</f>
        <v>521398</v>
      </c>
      <c r="B6552" s="2" t="str">
        <f>"CILINDRO DSBC 32-280-PPVA-N3"</f>
        <v>CILINDRO DSBC 32-280-PPVA-N3</v>
      </c>
      <c r="C6552" s="2" t="str">
        <f>"UN"</f>
        <v>UN</v>
      </c>
      <c r="D6552" s="7">
        <v>913</v>
      </c>
      <c r="E6552" s="3">
        <v>11</v>
      </c>
      <c r="F6552" s="3">
        <v>11</v>
      </c>
      <c r="G6552" t="s">
        <v>514</v>
      </c>
    </row>
    <row r="6553" spans="1:7" x14ac:dyDescent="0.25">
      <c r="A6553" s="1" t="str">
        <f>"520180"</f>
        <v>520180</v>
      </c>
      <c r="B6553" s="2" t="str">
        <f>"CILINDRO DSBC 32-40 PVA-N3-00040"</f>
        <v>CILINDRO DSBC 32-40 PVA-N3-00040</v>
      </c>
      <c r="C6553" s="2" t="str">
        <f>"BR"</f>
        <v>BR</v>
      </c>
      <c r="D6553" s="7">
        <v>808</v>
      </c>
      <c r="E6553" s="3">
        <v>10</v>
      </c>
      <c r="F6553" s="3">
        <v>10</v>
      </c>
      <c r="G6553" t="s">
        <v>513</v>
      </c>
    </row>
    <row r="6554" spans="1:7" x14ac:dyDescent="0.25">
      <c r="A6554" s="1" t="str">
        <f>"518790"</f>
        <v>518790</v>
      </c>
      <c r="B6554" s="2" t="str">
        <f>"CILINDRO DSBC 50-30 PPSA-N3"</f>
        <v>CILINDRO DSBC 50-30 PPSA-N3</v>
      </c>
      <c r="C6554" s="2" t="str">
        <f>"BR"</f>
        <v>BR</v>
      </c>
      <c r="D6554" s="7">
        <v>808</v>
      </c>
      <c r="E6554" s="3">
        <v>10</v>
      </c>
      <c r="F6554" s="3">
        <v>10</v>
      </c>
      <c r="G6554" t="s">
        <v>512</v>
      </c>
    </row>
    <row r="6555" spans="1:7" x14ac:dyDescent="0.25">
      <c r="A6555" s="1" t="str">
        <f>"520502"</f>
        <v>520502</v>
      </c>
      <c r="B6555" s="2" t="str">
        <f>"CILINDRO DSBC 50-30 PPVA-N3"</f>
        <v>CILINDRO DSBC 50-30 PPVA-N3</v>
      </c>
      <c r="C6555" s="2" t="str">
        <f>"BR"</f>
        <v>BR</v>
      </c>
      <c r="D6555" s="7">
        <v>808</v>
      </c>
      <c r="E6555" s="3">
        <v>10</v>
      </c>
      <c r="F6555" s="3">
        <v>10</v>
      </c>
      <c r="G6555" t="s">
        <v>513</v>
      </c>
    </row>
    <row r="6556" spans="1:7" x14ac:dyDescent="0.25">
      <c r="A6556" s="1" t="str">
        <f>"519518"</f>
        <v>519518</v>
      </c>
      <c r="B6556" s="2" t="str">
        <f>"CILINDRO DSBC 63-160-PPVA-N3"</f>
        <v>CILINDRO DSBC 63-160-PPVA-N3</v>
      </c>
      <c r="C6556" s="2" t="str">
        <f>"UN"</f>
        <v>UN</v>
      </c>
      <c r="D6556" s="7">
        <v>913</v>
      </c>
      <c r="E6556" s="3">
        <v>11</v>
      </c>
      <c r="F6556" s="3">
        <v>11</v>
      </c>
      <c r="G6556" t="s">
        <v>514</v>
      </c>
    </row>
    <row r="6557" spans="1:7" x14ac:dyDescent="0.25">
      <c r="A6557" s="1" t="str">
        <f>"502064"</f>
        <v>502064</v>
      </c>
      <c r="B6557" s="2" t="str">
        <f>"CILINDRO DSBC 80-105 PPVA-N3"</f>
        <v>CILINDRO DSBC 80-105 PPVA-N3</v>
      </c>
      <c r="C6557" s="2" t="str">
        <f>"UN"</f>
        <v>UN</v>
      </c>
      <c r="D6557" s="7">
        <v>913</v>
      </c>
      <c r="E6557" s="3">
        <v>10</v>
      </c>
      <c r="F6557" s="3">
        <v>10</v>
      </c>
      <c r="G6557" t="s">
        <v>514</v>
      </c>
    </row>
    <row r="6558" spans="1:7" x14ac:dyDescent="0.25">
      <c r="A6558" s="1" t="str">
        <f>"505663"</f>
        <v>505663</v>
      </c>
      <c r="B6558" s="2" t="str">
        <f>"CILINDRO DSN 25-50 RETORNO C/ MOLA"</f>
        <v>CILINDRO DSN 25-50 RETORNO C/ MOLA</v>
      </c>
      <c r="C6558" s="2" t="str">
        <f>"UN"</f>
        <v>UN</v>
      </c>
      <c r="D6558" s="7">
        <v>913</v>
      </c>
      <c r="E6558" s="3">
        <v>11</v>
      </c>
      <c r="F6558" s="3">
        <v>11</v>
      </c>
      <c r="G6558" t="s">
        <v>514</v>
      </c>
    </row>
    <row r="6559" spans="1:7" x14ac:dyDescent="0.25">
      <c r="A6559" s="1" t="str">
        <f>"503139"</f>
        <v>503139</v>
      </c>
      <c r="B6559" s="2" t="str">
        <f>"CILINDRO DSN 25-50P"</f>
        <v>CILINDRO DSN 25-50P</v>
      </c>
      <c r="C6559" s="2" t="str">
        <f>"BR"</f>
        <v>BR</v>
      </c>
      <c r="D6559" s="7">
        <v>808</v>
      </c>
      <c r="E6559" s="3">
        <v>10</v>
      </c>
      <c r="F6559" s="3">
        <v>10</v>
      </c>
      <c r="G6559" t="s">
        <v>513</v>
      </c>
    </row>
    <row r="6560" spans="1:7" x14ac:dyDescent="0.25">
      <c r="A6560" s="1" t="str">
        <f>"523375"</f>
        <v>523375</v>
      </c>
      <c r="B6560" s="2" t="str">
        <f>"CILINDRO DSNU 16-20-P"</f>
        <v>CILINDRO DSNU 16-20-P</v>
      </c>
      <c r="C6560" s="2" t="str">
        <f t="shared" ref="C6560:C6569" si="255">"UN"</f>
        <v>UN</v>
      </c>
      <c r="D6560" s="7">
        <v>913</v>
      </c>
      <c r="E6560" s="3">
        <v>11</v>
      </c>
      <c r="F6560" s="3">
        <v>11</v>
      </c>
      <c r="G6560" t="s">
        <v>513</v>
      </c>
    </row>
    <row r="6561" spans="1:7" x14ac:dyDescent="0.25">
      <c r="A6561" s="1" t="str">
        <f>"513515"</f>
        <v>513515</v>
      </c>
      <c r="B6561" s="2" t="str">
        <f>"CILINDRO DSNU 16-60 P-A 1908263"</f>
        <v>CILINDRO DSNU 16-60 P-A 1908263</v>
      </c>
      <c r="C6561" s="2" t="str">
        <f t="shared" si="255"/>
        <v>UN</v>
      </c>
      <c r="D6561" s="7">
        <v>913</v>
      </c>
      <c r="E6561" s="3">
        <v>11</v>
      </c>
      <c r="F6561" s="3">
        <v>11</v>
      </c>
      <c r="G6561" t="s">
        <v>513</v>
      </c>
    </row>
    <row r="6562" spans="1:7" x14ac:dyDescent="0.25">
      <c r="A6562" s="1" t="str">
        <f>"520179"</f>
        <v>520179</v>
      </c>
      <c r="B6562" s="2" t="str">
        <f>"CILINDRO DSNU 20-15-P"</f>
        <v>CILINDRO DSNU 20-15-P</v>
      </c>
      <c r="C6562" s="2" t="str">
        <f t="shared" si="255"/>
        <v>UN</v>
      </c>
      <c r="D6562" s="7">
        <v>913</v>
      </c>
      <c r="E6562" s="3">
        <v>11</v>
      </c>
      <c r="F6562" s="3">
        <v>11</v>
      </c>
      <c r="G6562" t="s">
        <v>512</v>
      </c>
    </row>
    <row r="6563" spans="1:7" x14ac:dyDescent="0.25">
      <c r="A6563" s="1" t="str">
        <f>"510447"</f>
        <v>510447</v>
      </c>
      <c r="B6563" s="2" t="str">
        <f>"CILINDRO DSNU 25-100 PPV"</f>
        <v>CILINDRO DSNU 25-100 PPV</v>
      </c>
      <c r="C6563" s="2" t="str">
        <f t="shared" si="255"/>
        <v>UN</v>
      </c>
      <c r="D6563" s="7">
        <v>913</v>
      </c>
      <c r="E6563" s="3">
        <v>11</v>
      </c>
      <c r="F6563" s="3">
        <v>11</v>
      </c>
      <c r="G6563" t="s">
        <v>513</v>
      </c>
    </row>
    <row r="6564" spans="1:7" x14ac:dyDescent="0.25">
      <c r="A6564" s="1" t="str">
        <f>"511912"</f>
        <v>511912</v>
      </c>
      <c r="B6564" s="2" t="str">
        <f>"CILINDRO DSNU 25-25 P-A 19219"</f>
        <v>CILINDRO DSNU 25-25 P-A 19219</v>
      </c>
      <c r="C6564" s="2" t="str">
        <f t="shared" si="255"/>
        <v>UN</v>
      </c>
      <c r="D6564" s="7">
        <v>913</v>
      </c>
      <c r="E6564" s="3">
        <v>11</v>
      </c>
      <c r="F6564" s="3">
        <v>11</v>
      </c>
      <c r="G6564" t="s">
        <v>514</v>
      </c>
    </row>
    <row r="6565" spans="1:7" x14ac:dyDescent="0.25">
      <c r="A6565" s="1" t="str">
        <f>"508998"</f>
        <v>508998</v>
      </c>
      <c r="B6565" s="2" t="str">
        <f>"CILINDRO DSNU 25-30-P-A DUPLA AÇAO ISO"</f>
        <v>CILINDRO DSNU 25-30-P-A DUPLA AÇAO ISO</v>
      </c>
      <c r="C6565" s="2" t="str">
        <f t="shared" si="255"/>
        <v>UN</v>
      </c>
      <c r="D6565" s="7">
        <v>913</v>
      </c>
      <c r="E6565" s="3">
        <v>11</v>
      </c>
      <c r="F6565" s="3">
        <v>11</v>
      </c>
      <c r="G6565" t="s">
        <v>515</v>
      </c>
    </row>
    <row r="6566" spans="1:7" x14ac:dyDescent="0.25">
      <c r="A6566" s="1" t="str">
        <f>"518851"</f>
        <v>518851</v>
      </c>
      <c r="B6566" s="8" t="s">
        <v>103</v>
      </c>
      <c r="C6566" s="2" t="str">
        <f t="shared" si="255"/>
        <v>UN</v>
      </c>
      <c r="D6566" s="7">
        <v>913</v>
      </c>
      <c r="E6566" s="3">
        <v>11</v>
      </c>
      <c r="F6566" s="3">
        <v>11</v>
      </c>
      <c r="G6566" t="s">
        <v>512</v>
      </c>
    </row>
    <row r="6567" spans="1:7" x14ac:dyDescent="0.25">
      <c r="A6567" s="1" t="str">
        <f>"509185"</f>
        <v>509185</v>
      </c>
      <c r="B6567" s="2" t="str">
        <f>"CILINDRO DSNU 32-15-PPV-A DUPLA AÇAO"</f>
        <v>CILINDRO DSNU 32-15-PPV-A DUPLA AÇAO</v>
      </c>
      <c r="C6567" s="2" t="str">
        <f t="shared" si="255"/>
        <v>UN</v>
      </c>
      <c r="D6567" s="7">
        <v>913</v>
      </c>
      <c r="E6567" s="3">
        <v>11</v>
      </c>
      <c r="F6567" s="3">
        <v>11</v>
      </c>
      <c r="G6567" t="s">
        <v>516</v>
      </c>
    </row>
    <row r="6568" spans="1:7" x14ac:dyDescent="0.25">
      <c r="A6568" s="1" t="str">
        <f>"501119"</f>
        <v>501119</v>
      </c>
      <c r="B6568" s="2" t="str">
        <f>"CILINDRO DSNU 32-15-PPV-A-MQ"</f>
        <v>CILINDRO DSNU 32-15-PPV-A-MQ</v>
      </c>
      <c r="C6568" s="2" t="str">
        <f t="shared" si="255"/>
        <v>UN</v>
      </c>
      <c r="D6568" s="7">
        <v>913</v>
      </c>
      <c r="E6568" s="3">
        <v>11</v>
      </c>
      <c r="F6568" s="3">
        <v>11</v>
      </c>
      <c r="G6568" t="s">
        <v>515</v>
      </c>
    </row>
    <row r="6569" spans="1:7" x14ac:dyDescent="0.25">
      <c r="A6569" s="1" t="str">
        <f>"520564"</f>
        <v>520564</v>
      </c>
      <c r="B6569" s="2" t="str">
        <f>"CILINDRO DSNU 32X12 PPVA-MQ"</f>
        <v>CILINDRO DSNU 32X12 PPVA-MQ</v>
      </c>
      <c r="C6569" s="2" t="str">
        <f t="shared" si="255"/>
        <v>UN</v>
      </c>
      <c r="D6569" s="7">
        <v>913</v>
      </c>
      <c r="E6569" s="3">
        <v>11</v>
      </c>
      <c r="F6569" s="3">
        <v>11</v>
      </c>
      <c r="G6569" t="s">
        <v>514</v>
      </c>
    </row>
    <row r="6570" spans="1:7" x14ac:dyDescent="0.25">
      <c r="A6570" s="1" t="str">
        <f>"502551"</f>
        <v>502551</v>
      </c>
      <c r="B6570" s="2" t="str">
        <f>"CILINDRO DSW 32-15-PPV"</f>
        <v>CILINDRO DSW 32-15-PPV</v>
      </c>
      <c r="C6570" s="2" t="str">
        <f>"BR"</f>
        <v>BR</v>
      </c>
      <c r="D6570" s="7">
        <v>808</v>
      </c>
      <c r="E6570" s="3">
        <v>10</v>
      </c>
      <c r="F6570" s="3">
        <v>10</v>
      </c>
      <c r="G6570" t="s">
        <v>512</v>
      </c>
    </row>
    <row r="6571" spans="1:7" x14ac:dyDescent="0.25">
      <c r="A6571" s="1" t="str">
        <f>"513429"</f>
        <v>513429</v>
      </c>
      <c r="B6571" s="2" t="str">
        <f>"CILINDRO EMBREAGEM"</f>
        <v>CILINDRO EMBREAGEM</v>
      </c>
      <c r="C6571" s="2" t="str">
        <f t="shared" ref="C6571:C6602" si="256">"UN"</f>
        <v>UN</v>
      </c>
      <c r="D6571" s="7">
        <v>704</v>
      </c>
      <c r="E6571" s="3">
        <v>9</v>
      </c>
      <c r="F6571" s="3">
        <v>9</v>
      </c>
      <c r="G6571" t="s">
        <v>513</v>
      </c>
    </row>
    <row r="6572" spans="1:7" x14ac:dyDescent="0.25">
      <c r="A6572" s="1" t="str">
        <f>"511304"</f>
        <v>511304</v>
      </c>
      <c r="B6572" s="2" t="str">
        <f>"CILINDRO ESN 20-25"</f>
        <v>CILINDRO ESN 20-25</v>
      </c>
      <c r="C6572" s="2" t="str">
        <f t="shared" si="256"/>
        <v>UN</v>
      </c>
      <c r="D6572" s="7">
        <v>913</v>
      </c>
      <c r="E6572" s="3">
        <v>11</v>
      </c>
      <c r="F6572" s="3">
        <v>11</v>
      </c>
      <c r="G6572" t="s">
        <v>514</v>
      </c>
    </row>
    <row r="6573" spans="1:7" x14ac:dyDescent="0.25">
      <c r="A6573" s="1" t="str">
        <f>"516204"</f>
        <v>516204</v>
      </c>
      <c r="B6573" s="2" t="str">
        <f>"CILINDRO ESNU 20-15-P"</f>
        <v>CILINDRO ESNU 20-15-P</v>
      </c>
      <c r="C6573" s="2" t="str">
        <f t="shared" si="256"/>
        <v>UN</v>
      </c>
      <c r="D6573" s="7">
        <v>913</v>
      </c>
      <c r="E6573" s="3">
        <v>11</v>
      </c>
      <c r="F6573" s="3">
        <v>11</v>
      </c>
      <c r="G6573" t="s">
        <v>514</v>
      </c>
    </row>
    <row r="6574" spans="1:7" x14ac:dyDescent="0.25">
      <c r="A6574" s="1" t="str">
        <f>"522526"</f>
        <v>522526</v>
      </c>
      <c r="B6574" s="2" t="str">
        <f>"CILINDRO FESTO DFM-16-30-PPV-GF 383663"</f>
        <v>CILINDRO FESTO DFM-16-30-PPV-GF 383663</v>
      </c>
      <c r="C6574" s="2" t="str">
        <f t="shared" si="256"/>
        <v>UN</v>
      </c>
      <c r="D6574" s="7">
        <v>901</v>
      </c>
      <c r="E6574" s="3">
        <v>11</v>
      </c>
      <c r="F6574" s="3">
        <v>11</v>
      </c>
      <c r="G6574" t="s">
        <v>512</v>
      </c>
    </row>
    <row r="6575" spans="1:7" x14ac:dyDescent="0.25">
      <c r="A6575" s="1" t="str">
        <f>"522524"</f>
        <v>522524</v>
      </c>
      <c r="B6575" s="2" t="str">
        <f>"CILINDRO FESTO DFM-20-80-P-A-GF 383664"</f>
        <v>CILINDRO FESTO DFM-20-80-P-A-GF 383664</v>
      </c>
      <c r="C6575" s="2" t="str">
        <f t="shared" si="256"/>
        <v>UN</v>
      </c>
      <c r="D6575" s="7">
        <v>901</v>
      </c>
      <c r="E6575" s="3">
        <v>11</v>
      </c>
      <c r="F6575" s="3">
        <v>11</v>
      </c>
      <c r="G6575" t="s">
        <v>513</v>
      </c>
    </row>
    <row r="6576" spans="1:7" x14ac:dyDescent="0.25">
      <c r="A6576" s="1" t="str">
        <f>"522525"</f>
        <v>522525</v>
      </c>
      <c r="B6576" s="2" t="str">
        <f>"CILINDRO FESTO DFM-25-115-B-PPV-GF 684523"</f>
        <v>CILINDRO FESTO DFM-25-115-B-PPV-GF 684523</v>
      </c>
      <c r="C6576" s="2" t="str">
        <f t="shared" si="256"/>
        <v>UN</v>
      </c>
      <c r="D6576" s="7">
        <v>901</v>
      </c>
      <c r="E6576" s="3">
        <v>11</v>
      </c>
      <c r="F6576" s="3">
        <v>11</v>
      </c>
      <c r="G6576" t="s">
        <v>514</v>
      </c>
    </row>
    <row r="6577" spans="1:7" x14ac:dyDescent="0.25">
      <c r="A6577" s="1" t="str">
        <f>"522523"</f>
        <v>522523</v>
      </c>
      <c r="B6577" s="2" t="str">
        <f>"CILINDRO FESTO DFM-25-40-P-A-GF 383665"</f>
        <v>CILINDRO FESTO DFM-25-40-P-A-GF 383665</v>
      </c>
      <c r="C6577" s="2" t="str">
        <f t="shared" si="256"/>
        <v>UN</v>
      </c>
      <c r="D6577" s="7">
        <v>901</v>
      </c>
      <c r="E6577" s="3">
        <v>11</v>
      </c>
      <c r="F6577" s="3">
        <v>11</v>
      </c>
      <c r="G6577" t="s">
        <v>514</v>
      </c>
    </row>
    <row r="6578" spans="1:7" x14ac:dyDescent="0.25">
      <c r="A6578" s="1" t="str">
        <f>"527519"</f>
        <v>527519</v>
      </c>
      <c r="B6578" s="2" t="str">
        <f>"CILINDRO FESTO DSBC 100-1800 PPVA"</f>
        <v>CILINDRO FESTO DSBC 100-1800 PPVA</v>
      </c>
      <c r="C6578" s="2" t="str">
        <f t="shared" si="256"/>
        <v>UN</v>
      </c>
      <c r="D6578" s="7">
        <v>901</v>
      </c>
      <c r="E6578" s="3">
        <v>11</v>
      </c>
      <c r="F6578" s="3">
        <v>11</v>
      </c>
      <c r="G6578" t="s">
        <v>514</v>
      </c>
    </row>
    <row r="6579" spans="1:7" x14ac:dyDescent="0.25">
      <c r="A6579" s="1" t="str">
        <f>"522531"</f>
        <v>522531</v>
      </c>
      <c r="B6579" s="8" t="s">
        <v>307</v>
      </c>
      <c r="C6579" s="2" t="str">
        <f t="shared" si="256"/>
        <v>UN</v>
      </c>
      <c r="D6579" s="7">
        <v>901</v>
      </c>
      <c r="E6579" s="3">
        <v>11</v>
      </c>
      <c r="F6579" s="3">
        <v>11</v>
      </c>
      <c r="G6579" t="s">
        <v>513</v>
      </c>
    </row>
    <row r="6580" spans="1:7" x14ac:dyDescent="0.25">
      <c r="A6580" s="1" t="str">
        <f>"522530"</f>
        <v>522530</v>
      </c>
      <c r="B6580" s="8" t="s">
        <v>306</v>
      </c>
      <c r="C6580" s="2" t="str">
        <f t="shared" si="256"/>
        <v>UN</v>
      </c>
      <c r="D6580" s="7">
        <v>901</v>
      </c>
      <c r="E6580" s="3">
        <v>11</v>
      </c>
      <c r="F6580" s="3">
        <v>11</v>
      </c>
      <c r="G6580" t="s">
        <v>512</v>
      </c>
    </row>
    <row r="6581" spans="1:7" x14ac:dyDescent="0.25">
      <c r="A6581" s="1" t="str">
        <f>"522528"</f>
        <v>522528</v>
      </c>
      <c r="B6581" s="8" t="s">
        <v>305</v>
      </c>
      <c r="C6581" s="2" t="str">
        <f t="shared" si="256"/>
        <v>UN</v>
      </c>
      <c r="D6581" s="7">
        <v>901</v>
      </c>
      <c r="E6581" s="3">
        <v>11</v>
      </c>
      <c r="F6581" s="3">
        <v>11</v>
      </c>
      <c r="G6581" t="s">
        <v>513</v>
      </c>
    </row>
    <row r="6582" spans="1:7" x14ac:dyDescent="0.25">
      <c r="A6582" s="1" t="str">
        <f>"522527"</f>
        <v>522527</v>
      </c>
      <c r="B6582" s="2" t="str">
        <f>"CILINDRO FESTO DSNU 32-25 PPVA"</f>
        <v>CILINDRO FESTO DSNU 32-25 PPVA</v>
      </c>
      <c r="C6582" s="2" t="str">
        <f t="shared" si="256"/>
        <v>UN</v>
      </c>
      <c r="D6582" s="7">
        <v>901</v>
      </c>
      <c r="E6582" s="3">
        <v>11</v>
      </c>
      <c r="F6582" s="3">
        <v>11</v>
      </c>
      <c r="G6582" t="s">
        <v>514</v>
      </c>
    </row>
    <row r="6583" spans="1:7" x14ac:dyDescent="0.25">
      <c r="A6583" s="1" t="str">
        <f>"515482"</f>
        <v>515482</v>
      </c>
      <c r="B6583" s="2" t="str">
        <f>"CILINDRO FREIO"</f>
        <v>CILINDRO FREIO</v>
      </c>
      <c r="C6583" s="2" t="str">
        <f t="shared" si="256"/>
        <v>UN</v>
      </c>
      <c r="D6583" s="7">
        <v>704</v>
      </c>
      <c r="E6583" s="3">
        <v>9</v>
      </c>
      <c r="F6583" s="3">
        <v>9</v>
      </c>
      <c r="G6583" t="s">
        <v>514</v>
      </c>
    </row>
    <row r="6584" spans="1:7" x14ac:dyDescent="0.25">
      <c r="A6584" s="1" t="str">
        <f>"517955"</f>
        <v>517955</v>
      </c>
      <c r="B6584" s="2" t="str">
        <f>"CILINDRO GAS INDUSTRIAL"</f>
        <v>CILINDRO GAS INDUSTRIAL</v>
      </c>
      <c r="C6584" s="2" t="str">
        <f t="shared" si="256"/>
        <v>UN</v>
      </c>
      <c r="D6584" s="7">
        <v>918</v>
      </c>
      <c r="E6584" s="3">
        <v>4</v>
      </c>
      <c r="F6584" s="3">
        <v>4</v>
      </c>
      <c r="G6584" t="s">
        <v>514</v>
      </c>
    </row>
    <row r="6585" spans="1:7" x14ac:dyDescent="0.25">
      <c r="A6585" s="1" t="str">
        <f>"510235"</f>
        <v>510235</v>
      </c>
      <c r="B6585" s="2" t="str">
        <f>"CILINDRO HIDR. REXROTH Z10/01 HCDM"</f>
        <v>CILINDRO HIDR. REXROTH Z10/01 HCDM</v>
      </c>
      <c r="C6585" s="2" t="str">
        <f t="shared" si="256"/>
        <v>UN</v>
      </c>
      <c r="D6585" s="7">
        <v>914</v>
      </c>
      <c r="E6585" s="3">
        <v>11</v>
      </c>
      <c r="F6585" s="3">
        <v>11</v>
      </c>
      <c r="G6585" t="s">
        <v>513</v>
      </c>
    </row>
    <row r="6586" spans="1:7" x14ac:dyDescent="0.25">
      <c r="A6586" s="1" t="str">
        <f>"506156"</f>
        <v>506156</v>
      </c>
      <c r="B6586" s="2" t="str">
        <f>"CILINDRO HIDRAULICO DUPLA ACAO"</f>
        <v>CILINDRO HIDRAULICO DUPLA ACAO</v>
      </c>
      <c r="C6586" s="2" t="str">
        <f t="shared" si="256"/>
        <v>UN</v>
      </c>
      <c r="D6586" s="7">
        <v>914</v>
      </c>
      <c r="E6586" s="3">
        <v>11</v>
      </c>
      <c r="F6586" s="3">
        <v>11</v>
      </c>
      <c r="G6586" t="s">
        <v>513</v>
      </c>
    </row>
    <row r="6587" spans="1:7" x14ac:dyDescent="0.25">
      <c r="A6587" s="1" t="str">
        <f>"509137"</f>
        <v>509137</v>
      </c>
      <c r="B6587" s="2" t="str">
        <f>"CILINDRO IGNICAO COM CHAVE A-194"</f>
        <v>CILINDRO IGNICAO COM CHAVE A-194</v>
      </c>
      <c r="C6587" s="2" t="str">
        <f t="shared" si="256"/>
        <v>UN</v>
      </c>
      <c r="D6587" s="7">
        <v>918</v>
      </c>
      <c r="E6587" s="3">
        <v>11</v>
      </c>
      <c r="F6587" s="3">
        <v>11</v>
      </c>
      <c r="G6587" t="s">
        <v>513</v>
      </c>
    </row>
    <row r="6588" spans="1:7" x14ac:dyDescent="0.25">
      <c r="A6588" s="1" t="str">
        <f>"511230"</f>
        <v>511230</v>
      </c>
      <c r="B6588" s="2" t="str">
        <f>"CILINDRO ISO DNC-80-300-PPV-A"</f>
        <v>CILINDRO ISO DNC-80-300-PPV-A</v>
      </c>
      <c r="C6588" s="2" t="str">
        <f t="shared" si="256"/>
        <v>UN</v>
      </c>
      <c r="D6588" s="7">
        <v>913</v>
      </c>
      <c r="E6588" s="3">
        <v>11</v>
      </c>
      <c r="F6588" s="3">
        <v>11</v>
      </c>
      <c r="G6588" t="s">
        <v>512</v>
      </c>
    </row>
    <row r="6589" spans="1:7" x14ac:dyDescent="0.25">
      <c r="A6589" s="1" t="str">
        <f>"512000"</f>
        <v>512000</v>
      </c>
      <c r="B6589" s="2" t="str">
        <f>"CILINDRO LINEAR DGP-25-320-PPV-A-B"</f>
        <v>CILINDRO LINEAR DGP-25-320-PPV-A-B</v>
      </c>
      <c r="C6589" s="2" t="str">
        <f t="shared" si="256"/>
        <v>UN</v>
      </c>
      <c r="D6589" s="7">
        <v>913</v>
      </c>
      <c r="E6589" s="3">
        <v>11</v>
      </c>
      <c r="F6589" s="3">
        <v>11</v>
      </c>
      <c r="G6589" t="s">
        <v>513</v>
      </c>
    </row>
    <row r="6590" spans="1:7" x14ac:dyDescent="0.25">
      <c r="A6590" s="1" t="str">
        <f>"516065"</f>
        <v>516065</v>
      </c>
      <c r="B6590" s="2" t="str">
        <f>"CILINDRO LINEAR DGPL - 25 - 700 - PPV - A - GF - B"</f>
        <v>CILINDRO LINEAR DGPL - 25 - 700 - PPV - A - GF - B</v>
      </c>
      <c r="C6590" s="2" t="str">
        <f t="shared" si="256"/>
        <v>UN</v>
      </c>
      <c r="D6590" s="7">
        <v>913</v>
      </c>
      <c r="E6590" s="3">
        <v>11</v>
      </c>
      <c r="F6590" s="3">
        <v>11</v>
      </c>
      <c r="G6590" t="s">
        <v>514</v>
      </c>
    </row>
    <row r="6591" spans="1:7" x14ac:dyDescent="0.25">
      <c r="A6591" s="1" t="str">
        <f>"513428"</f>
        <v>513428</v>
      </c>
      <c r="B6591" s="2" t="str">
        <f>"CILINDRO MESTRE EMBREAGEM"</f>
        <v>CILINDRO MESTRE EMBREAGEM</v>
      </c>
      <c r="C6591" s="2" t="str">
        <f t="shared" si="256"/>
        <v>UN</v>
      </c>
      <c r="D6591" s="7">
        <v>704</v>
      </c>
      <c r="E6591" s="3">
        <v>9</v>
      </c>
      <c r="F6591" s="3">
        <v>9</v>
      </c>
      <c r="G6591" t="s">
        <v>515</v>
      </c>
    </row>
    <row r="6592" spans="1:7" x14ac:dyDescent="0.25">
      <c r="A6592" s="1" t="str">
        <f>"511876"</f>
        <v>511876</v>
      </c>
      <c r="B6592" s="2" t="str">
        <f>"CILINDRO MICRO CN10 32X0080 0047060080"</f>
        <v>CILINDRO MICRO CN10 32X0080 0047060080</v>
      </c>
      <c r="C6592" s="2" t="str">
        <f t="shared" si="256"/>
        <v>UN</v>
      </c>
      <c r="D6592" s="7">
        <v>913</v>
      </c>
      <c r="E6592" s="3">
        <v>11</v>
      </c>
      <c r="F6592" s="3">
        <v>11</v>
      </c>
      <c r="G6592" t="s">
        <v>512</v>
      </c>
    </row>
    <row r="6593" spans="1:7" x14ac:dyDescent="0.25">
      <c r="A6593" s="1" t="str">
        <f>"505141"</f>
        <v>505141</v>
      </c>
      <c r="B6593" s="2" t="str">
        <f>"CILINDRO NORGREN RM/8025/M/100"</f>
        <v>CILINDRO NORGREN RM/8025/M/100</v>
      </c>
      <c r="C6593" s="2" t="str">
        <f t="shared" si="256"/>
        <v>UN</v>
      </c>
      <c r="D6593" s="7">
        <v>913</v>
      </c>
      <c r="E6593" s="3">
        <v>11</v>
      </c>
      <c r="F6593" s="3">
        <v>11</v>
      </c>
      <c r="G6593" t="s">
        <v>516</v>
      </c>
    </row>
    <row r="6594" spans="1:7" x14ac:dyDescent="0.25">
      <c r="A6594" s="1" t="str">
        <f>"504922"</f>
        <v>504922</v>
      </c>
      <c r="B6594" s="2" t="str">
        <f>"CILINDRO NORGREN RM/8025/M/30"</f>
        <v>CILINDRO NORGREN RM/8025/M/30</v>
      </c>
      <c r="C6594" s="2" t="str">
        <f t="shared" si="256"/>
        <v>UN</v>
      </c>
      <c r="D6594" s="7">
        <v>913</v>
      </c>
      <c r="E6594" s="3">
        <v>11</v>
      </c>
      <c r="F6594" s="3">
        <v>11</v>
      </c>
      <c r="G6594" t="s">
        <v>515</v>
      </c>
    </row>
    <row r="6595" spans="1:7" x14ac:dyDescent="0.25">
      <c r="A6595" s="1" t="str">
        <f>"505139"</f>
        <v>505139</v>
      </c>
      <c r="B6595" s="2" t="str">
        <f>"CILINDRO NORGREN RM/8025/M/50"</f>
        <v>CILINDRO NORGREN RM/8025/M/50</v>
      </c>
      <c r="C6595" s="2" t="str">
        <f t="shared" si="256"/>
        <v>UN</v>
      </c>
      <c r="D6595" s="7">
        <v>913</v>
      </c>
      <c r="E6595" s="3">
        <v>11</v>
      </c>
      <c r="F6595" s="3">
        <v>11</v>
      </c>
      <c r="G6595" t="s">
        <v>514</v>
      </c>
    </row>
    <row r="6596" spans="1:7" x14ac:dyDescent="0.25">
      <c r="A6596" s="1" t="str">
        <f>"527490"</f>
        <v>527490</v>
      </c>
      <c r="B6596" s="2" t="str">
        <f>"CILINDRO NORMALIZADO DSBC-63-250-PPVA-N3 1383586"</f>
        <v>CILINDRO NORMALIZADO DSBC-63-250-PPVA-N3 1383586</v>
      </c>
      <c r="C6596" s="2" t="str">
        <f t="shared" si="256"/>
        <v>UN</v>
      </c>
      <c r="D6596" s="7">
        <v>913</v>
      </c>
      <c r="E6596" s="3">
        <v>13</v>
      </c>
      <c r="F6596" s="3">
        <v>13</v>
      </c>
      <c r="G6596" t="s">
        <v>512</v>
      </c>
    </row>
    <row r="6597" spans="1:7" x14ac:dyDescent="0.25">
      <c r="A6597" s="1" t="str">
        <f>"514030"</f>
        <v>514030</v>
      </c>
      <c r="B6597" s="2" t="str">
        <f>"CILINDRO PARA AMONIA ANIDRA"</f>
        <v>CILINDRO PARA AMONIA ANIDRA</v>
      </c>
      <c r="C6597" s="2" t="str">
        <f t="shared" si="256"/>
        <v>UN</v>
      </c>
      <c r="D6597" s="7">
        <v>99999</v>
      </c>
      <c r="E6597" s="3">
        <v>99</v>
      </c>
      <c r="F6597" s="3">
        <v>99</v>
      </c>
      <c r="G6597" t="s">
        <v>513</v>
      </c>
    </row>
    <row r="6598" spans="1:7" x14ac:dyDescent="0.25">
      <c r="A6598" s="1" t="str">
        <f>"6231"</f>
        <v>6231</v>
      </c>
      <c r="B6598" s="2" t="str">
        <f>"CILINDRO PARA TONER HP12A / HP13A"</f>
        <v>CILINDRO PARA TONER HP12A / HP13A</v>
      </c>
      <c r="C6598" s="2" t="str">
        <f t="shared" si="256"/>
        <v>UN</v>
      </c>
      <c r="D6598" s="7">
        <v>401</v>
      </c>
      <c r="E6598" s="3">
        <v>4</v>
      </c>
      <c r="F6598" s="3">
        <v>4</v>
      </c>
      <c r="G6598" t="s">
        <v>514</v>
      </c>
    </row>
    <row r="6599" spans="1:7" x14ac:dyDescent="0.25">
      <c r="A6599" s="1" t="str">
        <f>"501591"</f>
        <v>501591</v>
      </c>
      <c r="B6599" s="2" t="str">
        <f>"CILINDRO PNEUM COD.143066 DESVIO DOSADOR"</f>
        <v>CILINDRO PNEUM COD.143066 DESVIO DOSADOR</v>
      </c>
      <c r="C6599" s="2" t="str">
        <f t="shared" si="256"/>
        <v>UN</v>
      </c>
      <c r="D6599" s="7">
        <v>913</v>
      </c>
      <c r="E6599" s="3">
        <v>11</v>
      </c>
      <c r="F6599" s="3">
        <v>11</v>
      </c>
      <c r="G6599" t="s">
        <v>514</v>
      </c>
    </row>
    <row r="6600" spans="1:7" x14ac:dyDescent="0.25">
      <c r="A6600" s="1" t="str">
        <f>"511847"</f>
        <v>511847</v>
      </c>
      <c r="B6600" s="2" t="str">
        <f>"CILINDRO PNEUMATICO"</f>
        <v>CILINDRO PNEUMATICO</v>
      </c>
      <c r="C6600" s="2" t="str">
        <f t="shared" si="256"/>
        <v>UN</v>
      </c>
      <c r="D6600" s="7">
        <v>913</v>
      </c>
      <c r="E6600" s="3">
        <v>11</v>
      </c>
      <c r="F6600" s="3">
        <v>11</v>
      </c>
      <c r="G6600" t="s">
        <v>512</v>
      </c>
    </row>
    <row r="6601" spans="1:7" x14ac:dyDescent="0.25">
      <c r="A6601" s="1" t="str">
        <f>"510639"</f>
        <v>510639</v>
      </c>
      <c r="B6601" s="2" t="str">
        <f>"CILINDRO PNEUMATICO 25X30 DSN S"</f>
        <v>CILINDRO PNEUMATICO 25X30 DSN S</v>
      </c>
      <c r="C6601" s="2" t="str">
        <f t="shared" si="256"/>
        <v>UN</v>
      </c>
      <c r="D6601" s="7">
        <v>913</v>
      </c>
      <c r="E6601" s="3">
        <v>11</v>
      </c>
      <c r="F6601" s="3">
        <v>11</v>
      </c>
      <c r="G6601" t="s">
        <v>513</v>
      </c>
    </row>
    <row r="6602" spans="1:7" x14ac:dyDescent="0.25">
      <c r="A6602" s="1" t="str">
        <f>"510640"</f>
        <v>510640</v>
      </c>
      <c r="B6602" s="2" t="str">
        <f>"CILINDRO PNEUMATICO 25X50 DSN"</f>
        <v>CILINDRO PNEUMATICO 25X50 DSN</v>
      </c>
      <c r="C6602" s="2" t="str">
        <f t="shared" si="256"/>
        <v>UN</v>
      </c>
      <c r="D6602" s="7">
        <v>913</v>
      </c>
      <c r="E6602" s="3">
        <v>11</v>
      </c>
      <c r="F6602" s="3">
        <v>11</v>
      </c>
      <c r="G6602" t="s">
        <v>514</v>
      </c>
    </row>
    <row r="6603" spans="1:7" x14ac:dyDescent="0.25">
      <c r="A6603" s="1" t="str">
        <f>"521819"</f>
        <v>521819</v>
      </c>
      <c r="B6603" s="8" t="s">
        <v>226</v>
      </c>
      <c r="C6603" s="2" t="str">
        <f t="shared" ref="C6603:C6634" si="257">"UN"</f>
        <v>UN</v>
      </c>
      <c r="D6603" s="7">
        <v>918</v>
      </c>
      <c r="E6603" s="3">
        <v>10</v>
      </c>
      <c r="F6603" s="3">
        <v>10</v>
      </c>
      <c r="G6603" t="s">
        <v>514</v>
      </c>
    </row>
    <row r="6604" spans="1:7" x14ac:dyDescent="0.25">
      <c r="A6604" s="1" t="str">
        <f>"509406"</f>
        <v>509406</v>
      </c>
      <c r="B6604" s="2" t="str">
        <f>"CILINDRO PNEUMATICO COD.402245-3"</f>
        <v>CILINDRO PNEUMATICO COD.402245-3</v>
      </c>
      <c r="C6604" s="2" t="str">
        <f t="shared" si="257"/>
        <v>UN</v>
      </c>
      <c r="D6604" s="7">
        <v>913</v>
      </c>
      <c r="E6604" s="3">
        <v>11</v>
      </c>
      <c r="F6604" s="3">
        <v>11</v>
      </c>
      <c r="G6604" t="s">
        <v>514</v>
      </c>
    </row>
    <row r="6605" spans="1:7" x14ac:dyDescent="0.25">
      <c r="A6605" s="1" t="str">
        <f>"509413"</f>
        <v>509413</v>
      </c>
      <c r="B6605" s="2" t="str">
        <f>"CILINDRO PNEUMATICO DOSADOR COD.115141-3"</f>
        <v>CILINDRO PNEUMATICO DOSADOR COD.115141-3</v>
      </c>
      <c r="C6605" s="2" t="str">
        <f t="shared" si="257"/>
        <v>UN</v>
      </c>
      <c r="D6605" s="7">
        <v>913</v>
      </c>
      <c r="E6605" s="3">
        <v>11</v>
      </c>
      <c r="F6605" s="3">
        <v>11</v>
      </c>
      <c r="G6605" t="s">
        <v>513</v>
      </c>
    </row>
    <row r="6606" spans="1:7" x14ac:dyDescent="0.25">
      <c r="A6606" s="1" t="str">
        <f>"511630"</f>
        <v>511630</v>
      </c>
      <c r="B6606" s="2" t="str">
        <f>"CILINDRO PNEUMATICO SNU-1215PA FESTO"</f>
        <v>CILINDRO PNEUMATICO SNU-1215PA FESTO</v>
      </c>
      <c r="C6606" s="2" t="str">
        <f t="shared" si="257"/>
        <v>UN</v>
      </c>
      <c r="D6606" s="7">
        <v>913</v>
      </c>
      <c r="E6606" s="3">
        <v>11</v>
      </c>
      <c r="F6606" s="3">
        <v>11</v>
      </c>
      <c r="G6606" t="s">
        <v>512</v>
      </c>
    </row>
    <row r="6607" spans="1:7" x14ac:dyDescent="0.25">
      <c r="A6607" s="1" t="str">
        <f>"510641"</f>
        <v>510641</v>
      </c>
      <c r="B6607" s="2" t="str">
        <f>"CILINDRO PNEUMATICO TRANFERENCIA 1 1/2"""</f>
        <v>CILINDRO PNEUMATICO TRANFERENCIA 1 1/2"</v>
      </c>
      <c r="C6607" s="2" t="str">
        <f t="shared" si="257"/>
        <v>UN</v>
      </c>
      <c r="D6607" s="7">
        <v>913</v>
      </c>
      <c r="E6607" s="3">
        <v>11</v>
      </c>
      <c r="F6607" s="3">
        <v>11</v>
      </c>
      <c r="G6607" t="s">
        <v>513</v>
      </c>
    </row>
    <row r="6608" spans="1:7" x14ac:dyDescent="0.25">
      <c r="A6608" s="1" t="str">
        <f>"513525"</f>
        <v>513525</v>
      </c>
      <c r="B6608" s="2" t="str">
        <f>"CILINDRO POLICARBONATO DINI 550MM POS4/1433/7D6199-07150"</f>
        <v>CILINDRO POLICARBONATO DINI 550MM POS4/1433/7D6199-07150</v>
      </c>
      <c r="C6608" s="2" t="str">
        <f t="shared" si="257"/>
        <v>UN</v>
      </c>
      <c r="D6608" s="7">
        <v>918</v>
      </c>
      <c r="E6608" s="3">
        <v>11</v>
      </c>
      <c r="F6608" s="3">
        <v>11</v>
      </c>
      <c r="G6608" t="s">
        <v>514</v>
      </c>
    </row>
    <row r="6609" spans="1:7" x14ac:dyDescent="0.25">
      <c r="A6609" s="1" t="str">
        <f>"515573"</f>
        <v>515573</v>
      </c>
      <c r="B6609" s="2" t="str">
        <f>"CILINDRO RODA"</f>
        <v>CILINDRO RODA</v>
      </c>
      <c r="C6609" s="2" t="str">
        <f t="shared" si="257"/>
        <v>UN</v>
      </c>
      <c r="D6609" s="7">
        <v>704</v>
      </c>
      <c r="E6609" s="3">
        <v>9</v>
      </c>
      <c r="F6609" s="3">
        <v>9</v>
      </c>
      <c r="G6609" t="s">
        <v>514</v>
      </c>
    </row>
    <row r="6610" spans="1:7" x14ac:dyDescent="0.25">
      <c r="A6610" s="1" t="str">
        <f>"525148"</f>
        <v>525148</v>
      </c>
      <c r="B6610" s="2" t="str">
        <f>"CILINDRO ROLO ESCOVA VERMELHO"</f>
        <v>CILINDRO ROLO ESCOVA VERMELHO</v>
      </c>
      <c r="C6610" s="2" t="str">
        <f t="shared" si="257"/>
        <v>UN</v>
      </c>
      <c r="D6610" s="7">
        <v>99999</v>
      </c>
      <c r="E6610" s="3">
        <v>99</v>
      </c>
      <c r="F6610" s="3">
        <v>99</v>
      </c>
      <c r="G6610" t="s">
        <v>514</v>
      </c>
    </row>
    <row r="6611" spans="1:7" x14ac:dyDescent="0.25">
      <c r="A6611" s="1" t="str">
        <f>"509636"</f>
        <v>509636</v>
      </c>
      <c r="B6611" s="2" t="str">
        <f>"CILINDRO SELAGEM PEQUENO"</f>
        <v>CILINDRO SELAGEM PEQUENO</v>
      </c>
      <c r="C6611" s="2" t="str">
        <f t="shared" si="257"/>
        <v>UN</v>
      </c>
      <c r="D6611" s="7">
        <v>913</v>
      </c>
      <c r="E6611" s="3">
        <v>11</v>
      </c>
      <c r="F6611" s="3">
        <v>11</v>
      </c>
      <c r="G6611" t="s">
        <v>513</v>
      </c>
    </row>
    <row r="6612" spans="1:7" x14ac:dyDescent="0.25">
      <c r="A6612" s="1" t="str">
        <f>"511062"</f>
        <v>511062</v>
      </c>
      <c r="B6612" s="2" t="str">
        <f>"CILINDRO SIMP. AC ESNU 20-15 P"</f>
        <v>CILINDRO SIMP. AC ESNU 20-15 P</v>
      </c>
      <c r="C6612" s="2" t="str">
        <f t="shared" si="257"/>
        <v>UN</v>
      </c>
      <c r="D6612" s="7">
        <v>913</v>
      </c>
      <c r="E6612" s="3">
        <v>11</v>
      </c>
      <c r="F6612" s="3">
        <v>11</v>
      </c>
      <c r="G6612" t="s">
        <v>513</v>
      </c>
    </row>
    <row r="6613" spans="1:7" x14ac:dyDescent="0.25">
      <c r="A6613" s="1" t="str">
        <f>"519162"</f>
        <v>519162</v>
      </c>
      <c r="B6613" s="2" t="str">
        <f>"CILINDRO STILL FS220 38MM"</f>
        <v>CILINDRO STILL FS220 38MM</v>
      </c>
      <c r="C6613" s="2" t="str">
        <f t="shared" si="257"/>
        <v>UN</v>
      </c>
      <c r="D6613" s="7">
        <v>918</v>
      </c>
      <c r="E6613" s="3">
        <v>11</v>
      </c>
      <c r="F6613" s="3">
        <v>11</v>
      </c>
      <c r="G6613" t="s">
        <v>513</v>
      </c>
    </row>
    <row r="6614" spans="1:7" x14ac:dyDescent="0.25">
      <c r="A6614" s="1" t="str">
        <f>"520747"</f>
        <v>520747</v>
      </c>
      <c r="B6614" s="2" t="str">
        <f>"CIMELIDE 100MG CX 12 COMPRIMIDOS"</f>
        <v>CIMELIDE 100MG CX 12 COMPRIMIDOS</v>
      </c>
      <c r="C6614" s="2" t="str">
        <f t="shared" si="257"/>
        <v>UN</v>
      </c>
      <c r="D6614" s="7">
        <v>99999</v>
      </c>
      <c r="E6614" s="3">
        <v>99</v>
      </c>
      <c r="F6614" s="3">
        <v>99</v>
      </c>
      <c r="G6614" t="s">
        <v>512</v>
      </c>
    </row>
    <row r="6615" spans="1:7" x14ac:dyDescent="0.25">
      <c r="A6615" s="1" t="str">
        <f>"500037"</f>
        <v>500037</v>
      </c>
      <c r="B6615" s="2" t="str">
        <f>"CIMENTO - SACO 50 KG"</f>
        <v>CIMENTO - SACO 50 KG</v>
      </c>
      <c r="C6615" s="2" t="str">
        <f t="shared" si="257"/>
        <v>UN</v>
      </c>
      <c r="D6615" s="7">
        <v>403</v>
      </c>
      <c r="E6615" s="3">
        <v>4</v>
      </c>
      <c r="F6615" s="3">
        <v>4</v>
      </c>
      <c r="G6615" t="s">
        <v>513</v>
      </c>
    </row>
    <row r="6616" spans="1:7" x14ac:dyDescent="0.25">
      <c r="A6616" s="1" t="str">
        <f>"500594"</f>
        <v>500594</v>
      </c>
      <c r="B6616" s="2" t="str">
        <f>"CIMENTO BRANCO - KG"</f>
        <v>CIMENTO BRANCO - KG</v>
      </c>
      <c r="C6616" s="2" t="str">
        <f t="shared" si="257"/>
        <v>UN</v>
      </c>
      <c r="D6616" s="7">
        <v>403</v>
      </c>
      <c r="E6616" s="3">
        <v>4</v>
      </c>
      <c r="F6616" s="3">
        <v>4</v>
      </c>
      <c r="G6616" t="s">
        <v>514</v>
      </c>
    </row>
    <row r="6617" spans="1:7" x14ac:dyDescent="0.25">
      <c r="A6617" s="1" t="str">
        <f>"527707"</f>
        <v>527707</v>
      </c>
      <c r="B6617" s="2" t="str">
        <f>"CIMENTO ESTRUTURAL"</f>
        <v>CIMENTO ESTRUTURAL</v>
      </c>
      <c r="C6617" s="2" t="str">
        <f t="shared" si="257"/>
        <v>UN</v>
      </c>
      <c r="D6617" s="7">
        <v>917</v>
      </c>
      <c r="E6617" s="3">
        <v>10</v>
      </c>
      <c r="F6617" s="3">
        <v>10</v>
      </c>
      <c r="G6617" t="s">
        <v>515</v>
      </c>
    </row>
    <row r="6618" spans="1:7" x14ac:dyDescent="0.25">
      <c r="A6618" s="1" t="str">
        <f>"515628"</f>
        <v>515628</v>
      </c>
      <c r="B6618" s="2" t="str">
        <f>"CIMENTO VULCANIZADO"</f>
        <v>CIMENTO VULCANIZADO</v>
      </c>
      <c r="C6618" s="2" t="str">
        <f t="shared" si="257"/>
        <v>UN</v>
      </c>
      <c r="D6618" s="7">
        <v>812</v>
      </c>
      <c r="E6618" s="3">
        <v>4</v>
      </c>
      <c r="F6618" s="3">
        <v>4</v>
      </c>
      <c r="G6618" t="s">
        <v>512</v>
      </c>
    </row>
    <row r="6619" spans="1:7" x14ac:dyDescent="0.25">
      <c r="A6619" s="1" t="str">
        <f>"501887"</f>
        <v>501887</v>
      </c>
      <c r="B6619" s="2" t="str">
        <f>"CINEMATICO RODOAR"</f>
        <v>CINEMATICO RODOAR</v>
      </c>
      <c r="C6619" s="2" t="str">
        <f t="shared" si="257"/>
        <v>UN</v>
      </c>
      <c r="D6619" s="7">
        <v>99999</v>
      </c>
      <c r="E6619" s="3">
        <v>99</v>
      </c>
      <c r="F6619" s="3">
        <v>99</v>
      </c>
      <c r="G6619" t="s">
        <v>516</v>
      </c>
    </row>
    <row r="6620" spans="1:7" x14ac:dyDescent="0.25">
      <c r="A6620" s="1" t="str">
        <f>"514337"</f>
        <v>514337</v>
      </c>
      <c r="B6620" s="2" t="str">
        <f>"CINTA"</f>
        <v>CINTA</v>
      </c>
      <c r="C6620" s="2" t="str">
        <f t="shared" si="257"/>
        <v>UN</v>
      </c>
      <c r="D6620" s="7">
        <v>408</v>
      </c>
      <c r="E6620" s="3">
        <v>4</v>
      </c>
      <c r="F6620" s="3">
        <v>4</v>
      </c>
      <c r="G6620" t="s">
        <v>515</v>
      </c>
    </row>
    <row r="6621" spans="1:7" x14ac:dyDescent="0.25">
      <c r="A6621" s="1" t="str">
        <f>"513753"</f>
        <v>513753</v>
      </c>
      <c r="B6621" s="2" t="str">
        <f>"CINTA ACO INOX DGP-25-550-PPV-A"</f>
        <v>CINTA ACO INOX DGP-25-550-PPV-A</v>
      </c>
      <c r="C6621" s="2" t="str">
        <f t="shared" si="257"/>
        <v>UN</v>
      </c>
      <c r="D6621" s="7">
        <v>600</v>
      </c>
      <c r="E6621" s="3">
        <v>11</v>
      </c>
      <c r="F6621" s="3">
        <v>11</v>
      </c>
      <c r="G6621" t="s">
        <v>514</v>
      </c>
    </row>
    <row r="6622" spans="1:7" x14ac:dyDescent="0.25">
      <c r="A6622" s="1" t="str">
        <f>"519187"</f>
        <v>519187</v>
      </c>
      <c r="B6622" s="2" t="str">
        <f>"CINTA ALUMINIO 1/2"""</f>
        <v>CINTA ALUMINIO 1/2"</v>
      </c>
      <c r="C6622" s="2" t="str">
        <f t="shared" si="257"/>
        <v>UN</v>
      </c>
      <c r="D6622" s="7">
        <v>918</v>
      </c>
      <c r="E6622" s="3">
        <v>10</v>
      </c>
      <c r="F6622" s="3">
        <v>10</v>
      </c>
      <c r="G6622" t="s">
        <v>512</v>
      </c>
    </row>
    <row r="6623" spans="1:7" x14ac:dyDescent="0.25">
      <c r="A6623" s="1" t="str">
        <f>"517729"</f>
        <v>517729</v>
      </c>
      <c r="B6623" s="2" t="str">
        <f>"CINTA BORRACHA LARGA TANQUE 300 LTS"</f>
        <v>CINTA BORRACHA LARGA TANQUE 300 LTS</v>
      </c>
      <c r="C6623" s="2" t="str">
        <f t="shared" si="257"/>
        <v>UN</v>
      </c>
      <c r="D6623" s="7">
        <v>704</v>
      </c>
      <c r="E6623" s="3">
        <v>16</v>
      </c>
      <c r="F6623" s="3">
        <v>16</v>
      </c>
      <c r="G6623" t="s">
        <v>513</v>
      </c>
    </row>
    <row r="6624" spans="1:7" x14ac:dyDescent="0.25">
      <c r="A6624" s="1" t="str">
        <f>"526347"</f>
        <v>526347</v>
      </c>
      <c r="B6624" s="2" t="str">
        <f>"CINTA C/ CATRACA P/ AMARRAÇÃO CARGA 9MT X 50MM CAP 3T"</f>
        <v>CINTA C/ CATRACA P/ AMARRAÇÃO CARGA 9MT X 50MM CAP 3T</v>
      </c>
      <c r="C6624" s="2" t="str">
        <f t="shared" si="257"/>
        <v>UN</v>
      </c>
      <c r="D6624" s="7">
        <v>99999</v>
      </c>
      <c r="E6624" s="3">
        <v>99</v>
      </c>
      <c r="F6624" s="3">
        <v>99</v>
      </c>
      <c r="G6624" t="s">
        <v>514</v>
      </c>
    </row>
    <row r="6625" spans="1:7" x14ac:dyDescent="0.25">
      <c r="A6625" s="1" t="str">
        <f>"514172"</f>
        <v>514172</v>
      </c>
      <c r="B6625" s="2" t="str">
        <f>"CINTA CORRENTE"</f>
        <v>CINTA CORRENTE</v>
      </c>
      <c r="C6625" s="2" t="str">
        <f t="shared" si="257"/>
        <v>UN</v>
      </c>
      <c r="D6625" s="7">
        <v>704</v>
      </c>
      <c r="E6625" s="3">
        <v>9</v>
      </c>
      <c r="F6625" s="3">
        <v>9</v>
      </c>
      <c r="G6625" t="s">
        <v>514</v>
      </c>
    </row>
    <row r="6626" spans="1:7" x14ac:dyDescent="0.25">
      <c r="A6626" s="1" t="str">
        <f>"506273"</f>
        <v>506273</v>
      </c>
      <c r="B6626" s="2" t="str">
        <f>"CINTA DE BORRACHA ESTREITA TANQUE 300 LTS"</f>
        <v>CINTA DE BORRACHA ESTREITA TANQUE 300 LTS</v>
      </c>
      <c r="C6626" s="2" t="str">
        <f t="shared" si="257"/>
        <v>UN</v>
      </c>
      <c r="D6626" s="7">
        <v>704</v>
      </c>
      <c r="E6626" s="3">
        <v>16</v>
      </c>
      <c r="F6626" s="3">
        <v>16</v>
      </c>
      <c r="G6626" t="s">
        <v>512</v>
      </c>
    </row>
    <row r="6627" spans="1:7" x14ac:dyDescent="0.25">
      <c r="A6627" s="1" t="str">
        <f>"520663"</f>
        <v>520663</v>
      </c>
      <c r="B6627" s="8" t="s">
        <v>173</v>
      </c>
      <c r="C6627" s="2" t="str">
        <f t="shared" si="257"/>
        <v>UN</v>
      </c>
      <c r="D6627" s="7">
        <v>402</v>
      </c>
      <c r="E6627" s="3">
        <v>4</v>
      </c>
      <c r="F6627" s="3">
        <v>4</v>
      </c>
      <c r="G6627" t="s">
        <v>513</v>
      </c>
    </row>
    <row r="6628" spans="1:7" x14ac:dyDescent="0.25">
      <c r="A6628" s="1" t="str">
        <f>"519103"</f>
        <v>519103</v>
      </c>
      <c r="B6628" s="2" t="str">
        <f>"CINTA ELEVAÇÃO 2,5 TON X 5 METROS"</f>
        <v>CINTA ELEVAÇÃO 2,5 TON X 5 METROS</v>
      </c>
      <c r="C6628" s="2" t="str">
        <f t="shared" si="257"/>
        <v>UN</v>
      </c>
      <c r="D6628" s="7">
        <v>920</v>
      </c>
      <c r="E6628" s="3">
        <v>4</v>
      </c>
      <c r="F6628" s="3">
        <v>4</v>
      </c>
      <c r="G6628" t="s">
        <v>514</v>
      </c>
    </row>
    <row r="6629" spans="1:7" x14ac:dyDescent="0.25">
      <c r="A6629" s="1" t="str">
        <f>"524066"</f>
        <v>524066</v>
      </c>
      <c r="B6629" s="2" t="str">
        <f>"CINTA ERGONOMICA C-520 5G"</f>
        <v>CINTA ERGONOMICA C-520 5G</v>
      </c>
      <c r="C6629" s="2" t="str">
        <f t="shared" si="257"/>
        <v>UN</v>
      </c>
      <c r="D6629" s="7">
        <v>501</v>
      </c>
      <c r="E6629" s="3">
        <v>5</v>
      </c>
      <c r="F6629" s="3">
        <v>5</v>
      </c>
      <c r="G6629" t="s">
        <v>514</v>
      </c>
    </row>
    <row r="6630" spans="1:7" x14ac:dyDescent="0.25">
      <c r="A6630" s="1" t="str">
        <f>"523889"</f>
        <v>523889</v>
      </c>
      <c r="B6630" s="2" t="str">
        <f>"CINTA ERGONOMICA VIC 42110 REFLETIVA TAMANHO EXG"</f>
        <v>CINTA ERGONOMICA VIC 42110 REFLETIVA TAMANHO EXG</v>
      </c>
      <c r="C6630" s="2" t="str">
        <f t="shared" si="257"/>
        <v>UN</v>
      </c>
      <c r="D6630" s="7">
        <v>501</v>
      </c>
      <c r="E6630" s="3">
        <v>5</v>
      </c>
      <c r="F6630" s="3">
        <v>5</v>
      </c>
      <c r="G6630" t="s">
        <v>514</v>
      </c>
    </row>
    <row r="6631" spans="1:7" x14ac:dyDescent="0.25">
      <c r="A6631" s="1" t="str">
        <f>"523615"</f>
        <v>523615</v>
      </c>
      <c r="B6631" s="2" t="str">
        <f>"CINTA ERGONOMICA VIC 42110 REFLETIVA TAMANHO G"</f>
        <v>CINTA ERGONOMICA VIC 42110 REFLETIVA TAMANHO G</v>
      </c>
      <c r="C6631" s="2" t="str">
        <f t="shared" si="257"/>
        <v>UN</v>
      </c>
      <c r="D6631" s="7">
        <v>501</v>
      </c>
      <c r="E6631" s="3">
        <v>5</v>
      </c>
      <c r="F6631" s="3">
        <v>5</v>
      </c>
      <c r="G6631" t="s">
        <v>513</v>
      </c>
    </row>
    <row r="6632" spans="1:7" x14ac:dyDescent="0.25">
      <c r="A6632" s="1" t="str">
        <f>"523616"</f>
        <v>523616</v>
      </c>
      <c r="B6632" s="2" t="str">
        <f>"CINTA ERGONOMICA VIC 42110 REFLETIVA TAMANHO GG"</f>
        <v>CINTA ERGONOMICA VIC 42110 REFLETIVA TAMANHO GG</v>
      </c>
      <c r="C6632" s="2" t="str">
        <f t="shared" si="257"/>
        <v>UN</v>
      </c>
      <c r="D6632" s="7">
        <v>501</v>
      </c>
      <c r="E6632" s="3">
        <v>5</v>
      </c>
      <c r="F6632" s="3">
        <v>5</v>
      </c>
      <c r="G6632" t="s">
        <v>512</v>
      </c>
    </row>
    <row r="6633" spans="1:7" x14ac:dyDescent="0.25">
      <c r="A6633" s="1" t="str">
        <f>"522761"</f>
        <v>522761</v>
      </c>
      <c r="B6633" s="2" t="str">
        <f>"CINTA ERGONOMICA VIC 42110 REFLETIVA TAMANHO M"</f>
        <v>CINTA ERGONOMICA VIC 42110 REFLETIVA TAMANHO M</v>
      </c>
      <c r="C6633" s="2" t="str">
        <f t="shared" si="257"/>
        <v>UN</v>
      </c>
      <c r="D6633" s="7">
        <v>501</v>
      </c>
      <c r="E6633" s="3">
        <v>5</v>
      </c>
      <c r="F6633" s="3">
        <v>5</v>
      </c>
      <c r="G6633" t="s">
        <v>513</v>
      </c>
    </row>
    <row r="6634" spans="1:7" x14ac:dyDescent="0.25">
      <c r="A6634" s="1" t="str">
        <f>"507923"</f>
        <v>507923</v>
      </c>
      <c r="B6634" s="2" t="str">
        <f>"CINTA FILTRO DIESEL"</f>
        <v>CINTA FILTRO DIESEL</v>
      </c>
      <c r="C6634" s="2" t="str">
        <f t="shared" si="257"/>
        <v>UN</v>
      </c>
      <c r="D6634" s="7">
        <v>704</v>
      </c>
      <c r="E6634" s="3">
        <v>9</v>
      </c>
      <c r="F6634" s="3">
        <v>9</v>
      </c>
      <c r="G6634" t="s">
        <v>514</v>
      </c>
    </row>
    <row r="6635" spans="1:7" x14ac:dyDescent="0.25">
      <c r="A6635" s="1" t="str">
        <f>"507924"</f>
        <v>507924</v>
      </c>
      <c r="B6635" s="2" t="str">
        <f>"CINTA FILTRO DIESEL"</f>
        <v>CINTA FILTRO DIESEL</v>
      </c>
      <c r="C6635" s="2" t="str">
        <f t="shared" ref="C6635:C6653" si="258">"UN"</f>
        <v>UN</v>
      </c>
      <c r="D6635" s="7">
        <v>704</v>
      </c>
      <c r="E6635" s="3">
        <v>9</v>
      </c>
      <c r="F6635" s="3">
        <v>9</v>
      </c>
      <c r="G6635" t="s">
        <v>514</v>
      </c>
    </row>
    <row r="6636" spans="1:7" x14ac:dyDescent="0.25">
      <c r="A6636" s="1" t="str">
        <f>"513401"</f>
        <v>513401</v>
      </c>
      <c r="B6636" s="2" t="str">
        <f>"CINTA PLASTICA"</f>
        <v>CINTA PLASTICA</v>
      </c>
      <c r="C6636" s="2" t="str">
        <f t="shared" si="258"/>
        <v>UN</v>
      </c>
      <c r="D6636" s="7">
        <v>704</v>
      </c>
      <c r="E6636" s="3">
        <v>9</v>
      </c>
      <c r="F6636" s="3">
        <v>9</v>
      </c>
      <c r="G6636" t="s">
        <v>514</v>
      </c>
    </row>
    <row r="6637" spans="1:7" x14ac:dyDescent="0.25">
      <c r="A6637" s="1" t="str">
        <f>"509442"</f>
        <v>509442</v>
      </c>
      <c r="B6637" s="2" t="str">
        <f>"CINTA POLIES. 15060D - 2500KG"</f>
        <v>CINTA POLIES. 15060D - 2500KG</v>
      </c>
      <c r="C6637" s="2" t="str">
        <f t="shared" si="258"/>
        <v>UN</v>
      </c>
      <c r="D6637" s="7">
        <v>402</v>
      </c>
      <c r="E6637" s="3">
        <v>4</v>
      </c>
      <c r="F6637" s="3">
        <v>4</v>
      </c>
      <c r="G6637" t="s">
        <v>513</v>
      </c>
    </row>
    <row r="6638" spans="1:7" x14ac:dyDescent="0.25">
      <c r="A6638" s="1" t="str">
        <f>"512426"</f>
        <v>512426</v>
      </c>
      <c r="B6638" s="2" t="str">
        <f>"CINTATENSO"</f>
        <v>CINTATENSO</v>
      </c>
      <c r="C6638" s="2" t="str">
        <f t="shared" si="258"/>
        <v>UN</v>
      </c>
      <c r="D6638" s="7">
        <v>704</v>
      </c>
      <c r="E6638" s="3">
        <v>9</v>
      </c>
      <c r="F6638" s="3">
        <v>9</v>
      </c>
      <c r="G6638" t="s">
        <v>513</v>
      </c>
    </row>
    <row r="6639" spans="1:7" x14ac:dyDescent="0.25">
      <c r="A6639" s="1" t="str">
        <f>"521889"</f>
        <v>521889</v>
      </c>
      <c r="B6639" s="2" t="str">
        <f>"CINTO C/ BOLSO PRODUÇÃO/RECEBIMENTO LEITE"</f>
        <v>CINTO C/ BOLSO PRODUÇÃO/RECEBIMENTO LEITE</v>
      </c>
      <c r="C6639" s="2" t="str">
        <f t="shared" si="258"/>
        <v>UN</v>
      </c>
      <c r="D6639" s="7">
        <v>99999</v>
      </c>
      <c r="E6639" s="3">
        <v>99</v>
      </c>
      <c r="F6639" s="3">
        <v>99</v>
      </c>
      <c r="G6639" t="s">
        <v>513</v>
      </c>
    </row>
    <row r="6640" spans="1:7" x14ac:dyDescent="0.25">
      <c r="A6640" s="1" t="str">
        <f>"511790"</f>
        <v>511790</v>
      </c>
      <c r="B6640" s="2" t="str">
        <f>"CINTO COURO C/ TALABART CARBOGRAF. CG930"</f>
        <v>CINTO COURO C/ TALABART CARBOGRAF. CG930</v>
      </c>
      <c r="C6640" s="2" t="str">
        <f t="shared" si="258"/>
        <v>UN</v>
      </c>
      <c r="D6640" s="7">
        <v>501</v>
      </c>
      <c r="E6640" s="3">
        <v>5</v>
      </c>
      <c r="F6640" s="3">
        <v>5</v>
      </c>
      <c r="G6640" t="s">
        <v>512</v>
      </c>
    </row>
    <row r="6641" spans="1:7" x14ac:dyDescent="0.25">
      <c r="A6641" s="1" t="str">
        <f>"514906"</f>
        <v>514906</v>
      </c>
      <c r="B6641" s="2" t="str">
        <f>"CINTO DE COURO PARA CARPINTEIRO"</f>
        <v>CINTO DE COURO PARA CARPINTEIRO</v>
      </c>
      <c r="C6641" s="2" t="str">
        <f t="shared" si="258"/>
        <v>UN</v>
      </c>
      <c r="D6641" s="7">
        <v>919</v>
      </c>
      <c r="E6641" s="3">
        <v>4</v>
      </c>
      <c r="F6641" s="3">
        <v>4</v>
      </c>
      <c r="G6641" t="s">
        <v>513</v>
      </c>
    </row>
    <row r="6642" spans="1:7" x14ac:dyDescent="0.25">
      <c r="A6642" s="1" t="str">
        <f>"518319"</f>
        <v>518319</v>
      </c>
      <c r="B6642" s="2" t="str">
        <f>"CINTO DE SEGURANÇA"</f>
        <v>CINTO DE SEGURANÇA</v>
      </c>
      <c r="C6642" s="2" t="str">
        <f t="shared" si="258"/>
        <v>UN</v>
      </c>
      <c r="D6642" s="7">
        <v>704</v>
      </c>
      <c r="E6642" s="3">
        <v>9</v>
      </c>
      <c r="F6642" s="3">
        <v>9</v>
      </c>
      <c r="G6642" t="s">
        <v>514</v>
      </c>
    </row>
    <row r="6643" spans="1:7" x14ac:dyDescent="0.25">
      <c r="A6643" s="1" t="str">
        <f>"508567"</f>
        <v>508567</v>
      </c>
      <c r="B6643" s="2" t="str">
        <f>"CINTURAO FERR. COURO 12 BOLSOS REF-14087"</f>
        <v>CINTURAO FERR. COURO 12 BOLSOS REF-14087</v>
      </c>
      <c r="C6643" s="2" t="str">
        <f t="shared" si="258"/>
        <v>UN</v>
      </c>
      <c r="D6643" s="7">
        <v>919</v>
      </c>
      <c r="E6643" s="3">
        <v>11</v>
      </c>
      <c r="F6643" s="3">
        <v>11</v>
      </c>
      <c r="G6643" t="s">
        <v>515</v>
      </c>
    </row>
    <row r="6644" spans="1:7" x14ac:dyDescent="0.25">
      <c r="A6644" s="1" t="str">
        <f>"523108"</f>
        <v>523108</v>
      </c>
      <c r="B6644" s="2" t="str">
        <f>"CINTURAO P/ ELETRICISTA REF.HL01202CAH2-HERCULES.CA36649"</f>
        <v>CINTURAO P/ ELETRICISTA REF.HL01202CAH2-HERCULES.CA36649</v>
      </c>
      <c r="C6644" s="2" t="str">
        <f t="shared" si="258"/>
        <v>UN</v>
      </c>
      <c r="D6644" s="7">
        <v>402</v>
      </c>
      <c r="E6644" s="3">
        <v>4</v>
      </c>
      <c r="F6644" s="3">
        <v>4</v>
      </c>
      <c r="G6644" t="s">
        <v>512</v>
      </c>
    </row>
    <row r="6645" spans="1:7" x14ac:dyDescent="0.25">
      <c r="A6645" s="1" t="str">
        <f>"503603"</f>
        <v>503603</v>
      </c>
      <c r="B6645" s="2" t="str">
        <f>"CINTURAO P/ ELETRICISTA REF.W330"</f>
        <v>CINTURAO P/ ELETRICISTA REF.W330</v>
      </c>
      <c r="C6645" s="2" t="str">
        <f t="shared" si="258"/>
        <v>UN</v>
      </c>
      <c r="D6645" s="7">
        <v>402</v>
      </c>
      <c r="E6645" s="3">
        <v>4</v>
      </c>
      <c r="F6645" s="3">
        <v>4</v>
      </c>
      <c r="G6645" t="s">
        <v>516</v>
      </c>
    </row>
    <row r="6646" spans="1:7" x14ac:dyDescent="0.25">
      <c r="A6646" s="1" t="str">
        <f>"517776"</f>
        <v>517776</v>
      </c>
      <c r="B6646" s="2" t="str">
        <f>"CINTURÃO SR400/420"</f>
        <v>CINTURÃO SR400/420</v>
      </c>
      <c r="C6646" s="2" t="str">
        <f t="shared" si="258"/>
        <v>UN</v>
      </c>
      <c r="D6646" s="7">
        <v>817</v>
      </c>
      <c r="E6646" s="3">
        <v>4</v>
      </c>
      <c r="F6646" s="3">
        <v>4</v>
      </c>
      <c r="G6646" t="s">
        <v>515</v>
      </c>
    </row>
    <row r="6647" spans="1:7" x14ac:dyDescent="0.25">
      <c r="A6647" s="1" t="str">
        <f>"511032"</f>
        <v>511032</v>
      </c>
      <c r="B6647" s="2" t="str">
        <f>"CIPERPRAG 250 CE 1 LITRO"</f>
        <v>CIPERPRAG 250 CE 1 LITRO</v>
      </c>
      <c r="C6647" s="2" t="str">
        <f t="shared" si="258"/>
        <v>UN</v>
      </c>
      <c r="D6647" s="7">
        <v>402</v>
      </c>
      <c r="E6647" s="3">
        <v>4</v>
      </c>
      <c r="F6647" s="3">
        <v>4</v>
      </c>
      <c r="G6647" t="s">
        <v>514</v>
      </c>
    </row>
    <row r="6648" spans="1:7" x14ac:dyDescent="0.25">
      <c r="A6648" s="1" t="str">
        <f>"514005"</f>
        <v>514005</v>
      </c>
      <c r="B6648" s="2" t="str">
        <f>"CIRCUITO ELETRONICO DISPLAY ORIGO"</f>
        <v>CIRCUITO ELETRONICO DISPLAY ORIGO</v>
      </c>
      <c r="C6648" s="2" t="str">
        <f t="shared" si="258"/>
        <v>UN</v>
      </c>
      <c r="D6648" s="7">
        <v>811</v>
      </c>
      <c r="E6648" s="3">
        <v>8</v>
      </c>
      <c r="F6648" s="3">
        <v>8</v>
      </c>
      <c r="G6648" t="s">
        <v>512</v>
      </c>
    </row>
    <row r="6649" spans="1:7" x14ac:dyDescent="0.25">
      <c r="A6649" s="1" t="str">
        <f>"511250"</f>
        <v>511250</v>
      </c>
      <c r="B6649" s="2" t="str">
        <f>"CIRCUITO TECLADO CIJ 400 - MK2/MK3"</f>
        <v>CIRCUITO TECLADO CIJ 400 - MK2/MK3</v>
      </c>
      <c r="C6649" s="2" t="str">
        <f t="shared" si="258"/>
        <v>UN</v>
      </c>
      <c r="D6649" s="7">
        <v>900</v>
      </c>
      <c r="E6649" s="3">
        <v>11</v>
      </c>
      <c r="F6649" s="3">
        <v>11</v>
      </c>
      <c r="G6649" t="s">
        <v>513</v>
      </c>
    </row>
    <row r="6650" spans="1:7" x14ac:dyDescent="0.25">
      <c r="A6650" s="1" t="str">
        <f>"518037"</f>
        <v>518037</v>
      </c>
      <c r="B6650" s="2" t="str">
        <f>"CIRCULADOR AR BIVOLT C/ HELICE 10"" EOS"</f>
        <v>CIRCULADOR AR BIVOLT C/ HELICE 10" EOS</v>
      </c>
      <c r="C6650" s="2" t="str">
        <f t="shared" si="258"/>
        <v>UN</v>
      </c>
      <c r="D6650" s="7">
        <v>811</v>
      </c>
      <c r="E6650" s="3">
        <v>8</v>
      </c>
      <c r="F6650" s="3">
        <v>8</v>
      </c>
      <c r="G6650" t="s">
        <v>514</v>
      </c>
    </row>
    <row r="6651" spans="1:7" x14ac:dyDescent="0.25">
      <c r="A6651" s="1" t="str">
        <f>"518040"</f>
        <v>518040</v>
      </c>
      <c r="B6651" s="2" t="str">
        <f>"CIRCULADOR AR BIVOLT C/ HELICE 8"" EOS"</f>
        <v>CIRCULADOR AR BIVOLT C/ HELICE 8" EOS</v>
      </c>
      <c r="C6651" s="2" t="str">
        <f t="shared" si="258"/>
        <v>UN</v>
      </c>
      <c r="D6651" s="7">
        <v>811</v>
      </c>
      <c r="E6651" s="3">
        <v>8</v>
      </c>
      <c r="F6651" s="3">
        <v>8</v>
      </c>
      <c r="G6651" t="s">
        <v>514</v>
      </c>
    </row>
    <row r="6652" spans="1:7" x14ac:dyDescent="0.25">
      <c r="A6652" s="1" t="str">
        <f>"515500"</f>
        <v>515500</v>
      </c>
      <c r="B6652" s="2" t="str">
        <f>"CIRCULADOR DE AR"</f>
        <v>CIRCULADOR DE AR</v>
      </c>
      <c r="C6652" s="2" t="str">
        <f t="shared" si="258"/>
        <v>UN</v>
      </c>
      <c r="D6652" s="7">
        <v>811</v>
      </c>
      <c r="E6652" s="3">
        <v>4</v>
      </c>
      <c r="F6652" s="3">
        <v>4</v>
      </c>
      <c r="G6652" t="s">
        <v>512</v>
      </c>
    </row>
    <row r="6653" spans="1:7" x14ac:dyDescent="0.25">
      <c r="A6653" s="1" t="str">
        <f>"524303"</f>
        <v>524303</v>
      </c>
      <c r="B6653" s="2" t="str">
        <f>"CITONEURIM CX C/ 30CPS"</f>
        <v>CITONEURIM CX C/ 30CPS</v>
      </c>
      <c r="C6653" s="2" t="str">
        <f t="shared" si="258"/>
        <v>UN</v>
      </c>
      <c r="D6653" s="7">
        <v>99999</v>
      </c>
      <c r="E6653" s="3">
        <v>99</v>
      </c>
      <c r="F6653" s="3">
        <v>99</v>
      </c>
      <c r="G6653" t="s">
        <v>513</v>
      </c>
    </row>
    <row r="6654" spans="1:7" x14ac:dyDescent="0.25">
      <c r="A6654" s="1" t="str">
        <f>"679"</f>
        <v>679</v>
      </c>
      <c r="B6654" s="2" t="str">
        <f>"CITRATO DE SODIO"</f>
        <v>CITRATO DE SODIO</v>
      </c>
      <c r="C6654" s="2" t="str">
        <f>"KG"</f>
        <v>KG</v>
      </c>
      <c r="D6654" s="7">
        <v>211</v>
      </c>
      <c r="E6654" s="3">
        <v>2</v>
      </c>
      <c r="F6654" s="3">
        <v>2</v>
      </c>
      <c r="G6654" t="s">
        <v>514</v>
      </c>
    </row>
    <row r="6655" spans="1:7" x14ac:dyDescent="0.25">
      <c r="A6655" s="1" t="str">
        <f>"517668"</f>
        <v>517668</v>
      </c>
      <c r="B6655" s="2" t="str">
        <f>"CJ 2 PAINEIS AUTO SUPORTANTES 2200X1600X656MM C/ ACESSORIOS"</f>
        <v>CJ 2 PAINEIS AUTO SUPORTANTES 2200X1600X656MM C/ ACESSORIOS</v>
      </c>
      <c r="C6655" s="2" t="str">
        <f>"UN"</f>
        <v>UN</v>
      </c>
      <c r="D6655" s="7">
        <v>811</v>
      </c>
      <c r="E6655" s="3">
        <v>8</v>
      </c>
      <c r="F6655" s="3">
        <v>8</v>
      </c>
      <c r="G6655" t="s">
        <v>514</v>
      </c>
    </row>
    <row r="6656" spans="1:7" x14ac:dyDescent="0.25">
      <c r="A6656" s="1" t="str">
        <f>"525254"</f>
        <v>525254</v>
      </c>
      <c r="B6656" s="2" t="str">
        <f>"CJ BATEDOR DE DOCA FORMATO I COM CHUMBADORES"</f>
        <v>CJ BATEDOR DE DOCA FORMATO I COM CHUMBADORES</v>
      </c>
      <c r="C6656" s="2" t="str">
        <f>"UN"</f>
        <v>UN</v>
      </c>
      <c r="D6656" s="7">
        <v>811</v>
      </c>
      <c r="E6656" s="3">
        <v>10</v>
      </c>
      <c r="F6656" s="3">
        <v>10</v>
      </c>
      <c r="G6656" t="s">
        <v>514</v>
      </c>
    </row>
    <row r="6657" spans="1:7" x14ac:dyDescent="0.25">
      <c r="A6657" s="1" t="str">
        <f>"509163"</f>
        <v>509163</v>
      </c>
      <c r="B6657" s="2" t="str">
        <f>"CJ CABO BOWSWN ESQ PUXADOR INTERNO"</f>
        <v>CJ CABO BOWSWN ESQ PUXADOR INTERNO</v>
      </c>
      <c r="C6657" s="2" t="str">
        <f>"UN"</f>
        <v>UN</v>
      </c>
      <c r="D6657" s="7">
        <v>704</v>
      </c>
      <c r="E6657" s="3">
        <v>9</v>
      </c>
      <c r="F6657" s="3">
        <v>9</v>
      </c>
      <c r="G6657" t="s">
        <v>513</v>
      </c>
    </row>
    <row r="6658" spans="1:7" x14ac:dyDescent="0.25">
      <c r="A6658" s="1" t="str">
        <f>"508956"</f>
        <v>508956</v>
      </c>
      <c r="B6658" s="2" t="str">
        <f>"CJ COMANDO ALIVIO VAL 25S 1"""</f>
        <v>CJ COMANDO ALIVIO VAL 25S 1"</v>
      </c>
      <c r="C6658" s="2" t="str">
        <f>"BR"</f>
        <v>BR</v>
      </c>
      <c r="D6658" s="7">
        <v>808</v>
      </c>
      <c r="E6658" s="3">
        <v>10</v>
      </c>
      <c r="F6658" s="3">
        <v>10</v>
      </c>
      <c r="G6658" t="s">
        <v>512</v>
      </c>
    </row>
    <row r="6659" spans="1:7" x14ac:dyDescent="0.25">
      <c r="A6659" s="1" t="str">
        <f>"508954"</f>
        <v>508954</v>
      </c>
      <c r="B6659" s="2" t="str">
        <f>"CJ DIAFRAGMA VAL 25S 1"" 1 1/4"" 1 1/2"" IN"</f>
        <v>CJ DIAFRAGMA VAL 25S 1" 1 1/4" 1 1/2" IN</v>
      </c>
      <c r="C6659" s="2" t="str">
        <f>"BR"</f>
        <v>BR</v>
      </c>
      <c r="D6659" s="7">
        <v>808</v>
      </c>
      <c r="E6659" s="3">
        <v>10</v>
      </c>
      <c r="F6659" s="3">
        <v>10</v>
      </c>
      <c r="G6659" t="s">
        <v>513</v>
      </c>
    </row>
    <row r="6660" spans="1:7" x14ac:dyDescent="0.25">
      <c r="A6660" s="1" t="str">
        <f>"508950"</f>
        <v>508950</v>
      </c>
      <c r="B6660" s="2" t="str">
        <f>"CJ DIAFRAGMA/PRATO DO PILOTO""P""AÇO INOX"</f>
        <v>CJ DIAFRAGMA/PRATO DO PILOTO"P"AÇO INOX</v>
      </c>
      <c r="C6660" s="2" t="str">
        <f>"BR"</f>
        <v>BR</v>
      </c>
      <c r="D6660" s="7">
        <v>808</v>
      </c>
      <c r="E6660" s="3">
        <v>10</v>
      </c>
      <c r="F6660" s="3">
        <v>10</v>
      </c>
      <c r="G6660" t="s">
        <v>514</v>
      </c>
    </row>
    <row r="6661" spans="1:7" x14ac:dyDescent="0.25">
      <c r="A6661" s="1" t="str">
        <f>"523315"</f>
        <v>523315</v>
      </c>
      <c r="B6661" s="2" t="str">
        <f>"CJ ESTEIRA TAMPA C/ LAMPADA UV E COMPRESS. SIROCO"</f>
        <v>CJ ESTEIRA TAMPA C/ LAMPADA UV E COMPRESS. SIROCO</v>
      </c>
      <c r="C6661" s="2" t="str">
        <f>"UN"</f>
        <v>UN</v>
      </c>
      <c r="D6661" s="7">
        <v>1300</v>
      </c>
      <c r="E6661" s="3">
        <v>10</v>
      </c>
      <c r="F6661" s="3">
        <v>10</v>
      </c>
      <c r="G6661" t="s">
        <v>514</v>
      </c>
    </row>
    <row r="6662" spans="1:7" x14ac:dyDescent="0.25">
      <c r="A6662" s="1" t="str">
        <f>"508951"</f>
        <v>508951</v>
      </c>
      <c r="B6662" s="2" t="str">
        <f>"CJ ETIQUETA DO PILOTO ""P"""</f>
        <v>CJ ETIQUETA DO PILOTO "P"</v>
      </c>
      <c r="C6662" s="2" t="str">
        <f>"BR"</f>
        <v>BR</v>
      </c>
      <c r="D6662" s="7">
        <v>808</v>
      </c>
      <c r="E6662" s="3">
        <v>10</v>
      </c>
      <c r="F6662" s="3">
        <v>10</v>
      </c>
      <c r="G6662" t="s">
        <v>514</v>
      </c>
    </row>
    <row r="6663" spans="1:7" x14ac:dyDescent="0.25">
      <c r="A6663" s="1" t="str">
        <f>"513138"</f>
        <v>513138</v>
      </c>
      <c r="B6663" s="2" t="str">
        <f>"CJ GRAMPO CHASSI 5/8 X 480"</f>
        <v>CJ GRAMPO CHASSI 5/8 X 480</v>
      </c>
      <c r="C6663" s="2" t="str">
        <f>"UN"</f>
        <v>UN</v>
      </c>
      <c r="D6663" s="7">
        <v>918</v>
      </c>
      <c r="E6663" s="3">
        <v>11</v>
      </c>
      <c r="F6663" s="3">
        <v>11</v>
      </c>
      <c r="G6663" t="s">
        <v>513</v>
      </c>
    </row>
    <row r="6664" spans="1:7" x14ac:dyDescent="0.25">
      <c r="A6664" s="1" t="str">
        <f>"508955"</f>
        <v>508955</v>
      </c>
      <c r="B6664" s="2" t="str">
        <f>"CJ JUNTAS VAL 25S 1"""</f>
        <v>CJ JUNTAS VAL 25S 1"</v>
      </c>
      <c r="C6664" s="2" t="str">
        <f>"BR"</f>
        <v>BR</v>
      </c>
      <c r="D6664" s="7">
        <v>808</v>
      </c>
      <c r="E6664" s="3">
        <v>10</v>
      </c>
      <c r="F6664" s="3">
        <v>10</v>
      </c>
      <c r="G6664" t="s">
        <v>513</v>
      </c>
    </row>
    <row r="6665" spans="1:7" x14ac:dyDescent="0.25">
      <c r="A6665" s="1" t="str">
        <f>"509436"</f>
        <v>509436</v>
      </c>
      <c r="B6665" s="2" t="str">
        <f>"CJ KIT MOTOR"</f>
        <v>CJ KIT MOTOR</v>
      </c>
      <c r="C6665" s="2" t="str">
        <f>"UN"</f>
        <v>UN</v>
      </c>
      <c r="D6665" s="7">
        <v>704</v>
      </c>
      <c r="E6665" s="3">
        <v>9</v>
      </c>
      <c r="F6665" s="3">
        <v>9</v>
      </c>
      <c r="G6665" t="s">
        <v>513</v>
      </c>
    </row>
    <row r="6666" spans="1:7" x14ac:dyDescent="0.25">
      <c r="A6666" s="1" t="str">
        <f>"508953"</f>
        <v>508953</v>
      </c>
      <c r="B6666" s="2" t="str">
        <f>"CJ PARAFUSO CAIXA PILOTO ""P"""</f>
        <v>CJ PARAFUSO CAIXA PILOTO "P"</v>
      </c>
      <c r="C6666" s="2" t="str">
        <f>"BR"</f>
        <v>BR</v>
      </c>
      <c r="D6666" s="7">
        <v>808</v>
      </c>
      <c r="E6666" s="3">
        <v>10</v>
      </c>
      <c r="F6666" s="3">
        <v>10</v>
      </c>
      <c r="G6666" t="s">
        <v>512</v>
      </c>
    </row>
    <row r="6667" spans="1:7" x14ac:dyDescent="0.25">
      <c r="A6667" s="1" t="str">
        <f>"513979"</f>
        <v>513979</v>
      </c>
      <c r="B6667" s="2" t="str">
        <f>"CJ PCI DISPLAY"</f>
        <v>CJ PCI DISPLAY</v>
      </c>
      <c r="C6667" s="2" t="str">
        <f>"UN"</f>
        <v>UN</v>
      </c>
      <c r="D6667" s="7">
        <v>811</v>
      </c>
      <c r="E6667" s="3">
        <v>11</v>
      </c>
      <c r="F6667" s="3">
        <v>11</v>
      </c>
      <c r="G6667" t="s">
        <v>513</v>
      </c>
    </row>
    <row r="6668" spans="1:7" x14ac:dyDescent="0.25">
      <c r="A6668" s="1" t="str">
        <f>"523316"</f>
        <v>523316</v>
      </c>
      <c r="B6668" s="2" t="str">
        <f>"CJ PULVERIZADORES LAVAGENS BICOS"</f>
        <v>CJ PULVERIZADORES LAVAGENS BICOS</v>
      </c>
      <c r="C6668" s="2" t="str">
        <f>"UN"</f>
        <v>UN</v>
      </c>
      <c r="D6668" s="7">
        <v>1300</v>
      </c>
      <c r="E6668" s="3">
        <v>10</v>
      </c>
      <c r="F6668" s="3">
        <v>10</v>
      </c>
      <c r="G6668" t="s">
        <v>514</v>
      </c>
    </row>
    <row r="6669" spans="1:7" x14ac:dyDescent="0.25">
      <c r="A6669" s="1" t="str">
        <f>"523312"</f>
        <v>523312</v>
      </c>
      <c r="B6669" s="2" t="str">
        <f>"CJ REGULADOR ALTURA ROSQUEADOR C/ CONTADOR DE VOLTAS"</f>
        <v>CJ REGULADOR ALTURA ROSQUEADOR C/ CONTADOR DE VOLTAS</v>
      </c>
      <c r="C6669" s="2" t="str">
        <f>"UN"</f>
        <v>UN</v>
      </c>
      <c r="D6669" s="7">
        <v>1300</v>
      </c>
      <c r="E6669" s="3">
        <v>10</v>
      </c>
      <c r="F6669" s="3">
        <v>10</v>
      </c>
      <c r="G6669" t="s">
        <v>515</v>
      </c>
    </row>
    <row r="6670" spans="1:7" x14ac:dyDescent="0.25">
      <c r="A6670" s="1" t="str">
        <f>"523313"</f>
        <v>523313</v>
      </c>
      <c r="B6670" s="2" t="str">
        <f>"CJ REGULADOR ALTURA TANQUE C/ CONTADOR DE VOLTAS"</f>
        <v>CJ REGULADOR ALTURA TANQUE C/ CONTADOR DE VOLTAS</v>
      </c>
      <c r="C6670" s="2" t="str">
        <f>"UN"</f>
        <v>UN</v>
      </c>
      <c r="D6670" s="7">
        <v>1300</v>
      </c>
      <c r="E6670" s="3">
        <v>10</v>
      </c>
      <c r="F6670" s="3">
        <v>10</v>
      </c>
      <c r="G6670" t="s">
        <v>512</v>
      </c>
    </row>
    <row r="6671" spans="1:7" x14ac:dyDescent="0.25">
      <c r="A6671" s="1" t="str">
        <f>"508952"</f>
        <v>508952</v>
      </c>
      <c r="B6671" s="2" t="str">
        <f>"CJ SEDE DO PILOTO ""P"""</f>
        <v>CJ SEDE DO PILOTO "P"</v>
      </c>
      <c r="C6671" s="2" t="str">
        <f>"BR"</f>
        <v>BR</v>
      </c>
      <c r="D6671" s="7">
        <v>808</v>
      </c>
      <c r="E6671" s="3">
        <v>10</v>
      </c>
      <c r="F6671" s="3">
        <v>10</v>
      </c>
      <c r="G6671" t="s">
        <v>516</v>
      </c>
    </row>
    <row r="6672" spans="1:7" x14ac:dyDescent="0.25">
      <c r="A6672" s="1" t="str">
        <f>"523314"</f>
        <v>523314</v>
      </c>
      <c r="B6672" s="2" t="str">
        <f>"CJ SPRAY BALL ROTATIVO"</f>
        <v>CJ SPRAY BALL ROTATIVO</v>
      </c>
      <c r="C6672" s="2" t="str">
        <f t="shared" ref="C6672:C6679" si="259">"UN"</f>
        <v>UN</v>
      </c>
      <c r="D6672" s="7">
        <v>1300</v>
      </c>
      <c r="E6672" s="3">
        <v>10</v>
      </c>
      <c r="F6672" s="3">
        <v>10</v>
      </c>
      <c r="G6672" t="s">
        <v>515</v>
      </c>
    </row>
    <row r="6673" spans="1:7" x14ac:dyDescent="0.25">
      <c r="A6673" s="1" t="str">
        <f>"509836"</f>
        <v>509836</v>
      </c>
      <c r="B6673" s="2" t="str">
        <f>"CJ VEDAÇAO BOMBA HIDR. 25V 17A-1C-22"</f>
        <v>CJ VEDAÇAO BOMBA HIDR. 25V 17A-1C-22</v>
      </c>
      <c r="C6673" s="2" t="str">
        <f t="shared" si="259"/>
        <v>UN</v>
      </c>
      <c r="D6673" s="7">
        <v>910</v>
      </c>
      <c r="E6673" s="3">
        <v>11</v>
      </c>
      <c r="F6673" s="3">
        <v>11</v>
      </c>
      <c r="G6673" t="s">
        <v>514</v>
      </c>
    </row>
    <row r="6674" spans="1:7" x14ac:dyDescent="0.25">
      <c r="A6674" s="1" t="str">
        <f>"527633"</f>
        <v>527633</v>
      </c>
      <c r="B6674" s="2" t="str">
        <f>"CLAMP PARA EMPILHADEIRA"</f>
        <v>CLAMP PARA EMPILHADEIRA</v>
      </c>
      <c r="C6674" s="2" t="str">
        <f t="shared" si="259"/>
        <v>UN</v>
      </c>
      <c r="D6674" s="7">
        <v>99999</v>
      </c>
      <c r="E6674" s="3">
        <v>99</v>
      </c>
      <c r="F6674" s="3">
        <v>99</v>
      </c>
      <c r="G6674" t="s">
        <v>512</v>
      </c>
    </row>
    <row r="6675" spans="1:7" x14ac:dyDescent="0.25">
      <c r="A6675" s="1" t="str">
        <f>"525334"</f>
        <v>525334</v>
      </c>
      <c r="B6675" s="2" t="str">
        <f>"CLAMP T-BOLT TB300-100"</f>
        <v>CLAMP T-BOLT TB300-100</v>
      </c>
      <c r="C6675" s="2" t="str">
        <f t="shared" si="259"/>
        <v>UN</v>
      </c>
      <c r="D6675" s="7">
        <v>918</v>
      </c>
      <c r="E6675" s="3">
        <v>11</v>
      </c>
      <c r="F6675" s="3">
        <v>11</v>
      </c>
      <c r="G6675" t="s">
        <v>513</v>
      </c>
    </row>
    <row r="6676" spans="1:7" x14ac:dyDescent="0.25">
      <c r="A6676" s="1" t="str">
        <f>"521385"</f>
        <v>521385</v>
      </c>
      <c r="B6676" s="2" t="str">
        <f>"CLEAN TRACE SURFACE ATP (SWAB BICOS) CX 100 UNID."</f>
        <v>CLEAN TRACE SURFACE ATP (SWAB BICOS) CX 100 UNID.</v>
      </c>
      <c r="C6676" s="2" t="str">
        <f t="shared" si="259"/>
        <v>UN</v>
      </c>
      <c r="D6676" s="7">
        <v>406</v>
      </c>
      <c r="E6676" s="3">
        <v>4</v>
      </c>
      <c r="F6676" s="3">
        <v>4</v>
      </c>
      <c r="G6676" t="s">
        <v>514</v>
      </c>
    </row>
    <row r="6677" spans="1:7" x14ac:dyDescent="0.25">
      <c r="A6677" s="1" t="str">
        <f>"521386"</f>
        <v>521386</v>
      </c>
      <c r="B6677" s="2" t="str">
        <f>"CLEAN TRACE WATER PLUS ATP (SWAB ÁGUA) CX 100 UNID."</f>
        <v>CLEAN TRACE WATER PLUS ATP (SWAB ÁGUA) CX 100 UNID.</v>
      </c>
      <c r="C6677" s="2" t="str">
        <f t="shared" si="259"/>
        <v>UN</v>
      </c>
      <c r="D6677" s="7">
        <v>406</v>
      </c>
      <c r="E6677" s="3">
        <v>4</v>
      </c>
      <c r="F6677" s="3">
        <v>4</v>
      </c>
      <c r="G6677" t="s">
        <v>514</v>
      </c>
    </row>
    <row r="6678" spans="1:7" x14ac:dyDescent="0.25">
      <c r="A6678" s="1" t="str">
        <f>"514344"</f>
        <v>514344</v>
      </c>
      <c r="B6678" s="2" t="str">
        <f>"CLEANER STYLETTO 1/200"</f>
        <v>CLEANER STYLETTO 1/200</v>
      </c>
      <c r="C6678" s="2" t="str">
        <f t="shared" si="259"/>
        <v>UN</v>
      </c>
      <c r="D6678" s="7">
        <v>400</v>
      </c>
      <c r="E6678" s="3">
        <v>4</v>
      </c>
      <c r="F6678" s="3">
        <v>4</v>
      </c>
      <c r="G6678" t="s">
        <v>512</v>
      </c>
    </row>
    <row r="6679" spans="1:7" x14ac:dyDescent="0.25">
      <c r="A6679" s="1" t="str">
        <f>"514625"</f>
        <v>514625</v>
      </c>
      <c r="B6679" s="2" t="str">
        <f>"CLICHE 5-A"</f>
        <v>CLICHE 5-A</v>
      </c>
      <c r="C6679" s="2" t="str">
        <f t="shared" si="259"/>
        <v>UN</v>
      </c>
      <c r="D6679" s="7">
        <v>401</v>
      </c>
      <c r="E6679" s="3">
        <v>4</v>
      </c>
      <c r="F6679" s="3">
        <v>4</v>
      </c>
      <c r="G6679" t="s">
        <v>513</v>
      </c>
    </row>
    <row r="6680" spans="1:7" x14ac:dyDescent="0.25">
      <c r="A6680" s="1" t="str">
        <f>"503447"</f>
        <v>503447</v>
      </c>
      <c r="B6680" s="2" t="str">
        <f>"CLICHE EM ACO TEMP.  Nº 0"</f>
        <v>CLICHE EM ACO TEMP.  Nº 0</v>
      </c>
      <c r="C6680" s="2" t="str">
        <f t="shared" ref="C6680:C6692" si="260">"PC"</f>
        <v>PC</v>
      </c>
      <c r="D6680" s="7">
        <v>907</v>
      </c>
      <c r="E6680" s="3">
        <v>11</v>
      </c>
      <c r="F6680" s="3">
        <v>11</v>
      </c>
      <c r="G6680" t="s">
        <v>514</v>
      </c>
    </row>
    <row r="6681" spans="1:7" x14ac:dyDescent="0.25">
      <c r="A6681" s="1" t="str">
        <f>"503468"</f>
        <v>503468</v>
      </c>
      <c r="B6681" s="2" t="str">
        <f>"CLICHE EM ACO TEMP.  Nº 1"</f>
        <v>CLICHE EM ACO TEMP.  Nº 1</v>
      </c>
      <c r="C6681" s="2" t="str">
        <f t="shared" si="260"/>
        <v>PC</v>
      </c>
      <c r="D6681" s="7">
        <v>907</v>
      </c>
      <c r="E6681" s="3">
        <v>11</v>
      </c>
      <c r="F6681" s="3">
        <v>11</v>
      </c>
      <c r="G6681" t="s">
        <v>514</v>
      </c>
    </row>
    <row r="6682" spans="1:7" x14ac:dyDescent="0.25">
      <c r="A6682" s="1" t="str">
        <f>"503465"</f>
        <v>503465</v>
      </c>
      <c r="B6682" s="2" t="str">
        <f>"CLICHE EM ACO TEMP.  Nº 2"</f>
        <v>CLICHE EM ACO TEMP.  Nº 2</v>
      </c>
      <c r="C6682" s="2" t="str">
        <f t="shared" si="260"/>
        <v>PC</v>
      </c>
      <c r="D6682" s="7">
        <v>907</v>
      </c>
      <c r="E6682" s="3">
        <v>11</v>
      </c>
      <c r="F6682" s="3">
        <v>11</v>
      </c>
      <c r="G6682" t="s">
        <v>514</v>
      </c>
    </row>
    <row r="6683" spans="1:7" x14ac:dyDescent="0.25">
      <c r="A6683" s="1" t="str">
        <f>"503466"</f>
        <v>503466</v>
      </c>
      <c r="B6683" s="2" t="str">
        <f>"CLICHE EM ACO TEMP.  Nº 3"</f>
        <v>CLICHE EM ACO TEMP.  Nº 3</v>
      </c>
      <c r="C6683" s="2" t="str">
        <f t="shared" si="260"/>
        <v>PC</v>
      </c>
      <c r="D6683" s="7">
        <v>907</v>
      </c>
      <c r="E6683" s="3">
        <v>11</v>
      </c>
      <c r="F6683" s="3">
        <v>11</v>
      </c>
      <c r="G6683" t="s">
        <v>513</v>
      </c>
    </row>
    <row r="6684" spans="1:7" x14ac:dyDescent="0.25">
      <c r="A6684" s="1" t="str">
        <f>"503448"</f>
        <v>503448</v>
      </c>
      <c r="B6684" s="2" t="str">
        <f>"CLICHE EM ACO TEMP.  Nº 4"</f>
        <v>CLICHE EM ACO TEMP.  Nº 4</v>
      </c>
      <c r="C6684" s="2" t="str">
        <f t="shared" si="260"/>
        <v>PC</v>
      </c>
      <c r="D6684" s="7">
        <v>907</v>
      </c>
      <c r="E6684" s="3">
        <v>11</v>
      </c>
      <c r="F6684" s="3">
        <v>11</v>
      </c>
      <c r="G6684" t="s">
        <v>512</v>
      </c>
    </row>
    <row r="6685" spans="1:7" x14ac:dyDescent="0.25">
      <c r="A6685" s="1" t="str">
        <f>"503449"</f>
        <v>503449</v>
      </c>
      <c r="B6685" s="2" t="str">
        <f>"CLICHE EM ACO TEMP.  Nº 5"</f>
        <v>CLICHE EM ACO TEMP.  Nº 5</v>
      </c>
      <c r="C6685" s="2" t="str">
        <f t="shared" si="260"/>
        <v>PC</v>
      </c>
      <c r="D6685" s="7">
        <v>907</v>
      </c>
      <c r="E6685" s="3">
        <v>11</v>
      </c>
      <c r="F6685" s="3">
        <v>11</v>
      </c>
      <c r="G6685" t="s">
        <v>513</v>
      </c>
    </row>
    <row r="6686" spans="1:7" x14ac:dyDescent="0.25">
      <c r="A6686" s="1" t="str">
        <f>"503467"</f>
        <v>503467</v>
      </c>
      <c r="B6686" s="2" t="str">
        <f>"CLICHE EM ACO TEMP.  Nº 6"</f>
        <v>CLICHE EM ACO TEMP.  Nº 6</v>
      </c>
      <c r="C6686" s="2" t="str">
        <f t="shared" si="260"/>
        <v>PC</v>
      </c>
      <c r="D6686" s="7">
        <v>907</v>
      </c>
      <c r="E6686" s="3">
        <v>11</v>
      </c>
      <c r="F6686" s="3">
        <v>11</v>
      </c>
      <c r="G6686" t="s">
        <v>514</v>
      </c>
    </row>
    <row r="6687" spans="1:7" x14ac:dyDescent="0.25">
      <c r="A6687" s="1" t="str">
        <f>"503450"</f>
        <v>503450</v>
      </c>
      <c r="B6687" s="2" t="str">
        <f>"CLICHE EM ACO TEMP.  Nº 7"</f>
        <v>CLICHE EM ACO TEMP.  Nº 7</v>
      </c>
      <c r="C6687" s="2" t="str">
        <f t="shared" si="260"/>
        <v>PC</v>
      </c>
      <c r="D6687" s="7">
        <v>907</v>
      </c>
      <c r="E6687" s="3">
        <v>11</v>
      </c>
      <c r="F6687" s="3">
        <v>11</v>
      </c>
      <c r="G6687" t="s">
        <v>514</v>
      </c>
    </row>
    <row r="6688" spans="1:7" x14ac:dyDescent="0.25">
      <c r="A6688" s="1" t="str">
        <f>"503469"</f>
        <v>503469</v>
      </c>
      <c r="B6688" s="2" t="str">
        <f>"CLICHE EM ACO TEMP.  Nº 8"</f>
        <v>CLICHE EM ACO TEMP.  Nº 8</v>
      </c>
      <c r="C6688" s="2" t="str">
        <f t="shared" si="260"/>
        <v>PC</v>
      </c>
      <c r="D6688" s="7">
        <v>907</v>
      </c>
      <c r="E6688" s="3">
        <v>11</v>
      </c>
      <c r="F6688" s="3">
        <v>11</v>
      </c>
      <c r="G6688" t="s">
        <v>514</v>
      </c>
    </row>
    <row r="6689" spans="1:7" x14ac:dyDescent="0.25">
      <c r="A6689" s="1" t="str">
        <f>"503470"</f>
        <v>503470</v>
      </c>
      <c r="B6689" s="2" t="str">
        <f>"CLICHE EM ACO TEMP.  Nº 9"</f>
        <v>CLICHE EM ACO TEMP.  Nº 9</v>
      </c>
      <c r="C6689" s="2" t="str">
        <f t="shared" si="260"/>
        <v>PC</v>
      </c>
      <c r="D6689" s="7">
        <v>907</v>
      </c>
      <c r="E6689" s="3">
        <v>11</v>
      </c>
      <c r="F6689" s="3">
        <v>11</v>
      </c>
      <c r="G6689" t="s">
        <v>513</v>
      </c>
    </row>
    <row r="6690" spans="1:7" x14ac:dyDescent="0.25">
      <c r="A6690" s="1" t="str">
        <f>"512135"</f>
        <v>512135</v>
      </c>
      <c r="B6690" s="2" t="str">
        <f>"CLICHE EM ACO TEMP. FABRICAÇAO"</f>
        <v>CLICHE EM ACO TEMP. FABRICAÇAO</v>
      </c>
      <c r="C6690" s="2" t="str">
        <f t="shared" si="260"/>
        <v>PC</v>
      </c>
      <c r="D6690" s="7">
        <v>907</v>
      </c>
      <c r="E6690" s="3">
        <v>11</v>
      </c>
      <c r="F6690" s="3">
        <v>11</v>
      </c>
      <c r="G6690" t="s">
        <v>513</v>
      </c>
    </row>
    <row r="6691" spans="1:7" x14ac:dyDescent="0.25">
      <c r="A6691" s="1" t="str">
        <f>"512133"</f>
        <v>512133</v>
      </c>
      <c r="B6691" s="2" t="str">
        <f>"CLICHE EM ACO TEMP. LOTE"</f>
        <v>CLICHE EM ACO TEMP. LOTE</v>
      </c>
      <c r="C6691" s="2" t="str">
        <f t="shared" si="260"/>
        <v>PC</v>
      </c>
      <c r="D6691" s="7">
        <v>907</v>
      </c>
      <c r="E6691" s="3">
        <v>11</v>
      </c>
      <c r="F6691" s="3">
        <v>11</v>
      </c>
      <c r="G6691" t="s">
        <v>513</v>
      </c>
    </row>
    <row r="6692" spans="1:7" x14ac:dyDescent="0.25">
      <c r="A6692" s="1" t="str">
        <f>"512134"</f>
        <v>512134</v>
      </c>
      <c r="B6692" s="2" t="str">
        <f>"CLICHE EM ACO TEMP. VALIDADE"</f>
        <v>CLICHE EM ACO TEMP. VALIDADE</v>
      </c>
      <c r="C6692" s="2" t="str">
        <f t="shared" si="260"/>
        <v>PC</v>
      </c>
      <c r="D6692" s="7">
        <v>907</v>
      </c>
      <c r="E6692" s="3">
        <v>11</v>
      </c>
      <c r="F6692" s="3">
        <v>11</v>
      </c>
      <c r="G6692" t="s">
        <v>512</v>
      </c>
    </row>
    <row r="6693" spans="1:7" x14ac:dyDescent="0.25">
      <c r="A6693" s="1" t="str">
        <f>"521821"</f>
        <v>521821</v>
      </c>
      <c r="B6693" s="2" t="str">
        <f>"CLIM. JOAPE GUARUJÁ REDE HID. CZ 12000M3/H 65DB 220W 220V M"</f>
        <v>CLIM. JOAPE GUARUJÁ REDE HID. CZ 12000M3/H 65DB 220W 220V M</v>
      </c>
      <c r="C6693" s="2" t="str">
        <f t="shared" ref="C6693:C6719" si="261">"UN"</f>
        <v>UN</v>
      </c>
      <c r="D6693" s="7">
        <v>1500</v>
      </c>
      <c r="E6693" s="3">
        <v>13</v>
      </c>
      <c r="F6693" s="3">
        <v>13</v>
      </c>
      <c r="G6693" t="s">
        <v>513</v>
      </c>
    </row>
    <row r="6694" spans="1:7" x14ac:dyDescent="0.25">
      <c r="A6694" s="1" t="str">
        <f>"521822"</f>
        <v>521822</v>
      </c>
      <c r="B6694" s="2" t="str">
        <f>"CLIM. JOAPE JURERE REDE HID. CZ 5780M3/H 71DB 410W 220V M"</f>
        <v>CLIM. JOAPE JURERE REDE HID. CZ 5780M3/H 71DB 410W 220V M</v>
      </c>
      <c r="C6694" s="2" t="str">
        <f t="shared" si="261"/>
        <v>UN</v>
      </c>
      <c r="D6694" s="7">
        <v>1500</v>
      </c>
      <c r="E6694" s="3">
        <v>13</v>
      </c>
      <c r="F6694" s="3">
        <v>13</v>
      </c>
      <c r="G6694" t="s">
        <v>514</v>
      </c>
    </row>
    <row r="6695" spans="1:7" x14ac:dyDescent="0.25">
      <c r="A6695" s="1" t="str">
        <f>"519367"</f>
        <v>519367</v>
      </c>
      <c r="B6695" s="2" t="str">
        <f>"CLIMATIZADOR 5,5 MASTER UNIVERSAL 24V"</f>
        <v>CLIMATIZADOR 5,5 MASTER UNIVERSAL 24V</v>
      </c>
      <c r="C6695" s="2" t="str">
        <f t="shared" si="261"/>
        <v>UN</v>
      </c>
      <c r="D6695" s="7">
        <v>704</v>
      </c>
      <c r="E6695" s="3">
        <v>9</v>
      </c>
      <c r="F6695" s="3">
        <v>9</v>
      </c>
      <c r="G6695" t="s">
        <v>515</v>
      </c>
    </row>
    <row r="6696" spans="1:7" x14ac:dyDescent="0.25">
      <c r="A6696" s="1" t="str">
        <f>"514689"</f>
        <v>514689</v>
      </c>
      <c r="B6696" s="2" t="str">
        <f>"CLIMATIZADOR RESFRIAR R-4"</f>
        <v>CLIMATIZADOR RESFRIAR R-4</v>
      </c>
      <c r="C6696" s="2" t="str">
        <f t="shared" si="261"/>
        <v>UN</v>
      </c>
      <c r="D6696" s="7">
        <v>704</v>
      </c>
      <c r="E6696" s="3">
        <v>9</v>
      </c>
      <c r="F6696" s="3">
        <v>9</v>
      </c>
      <c r="G6696" t="s">
        <v>512</v>
      </c>
    </row>
    <row r="6697" spans="1:7" x14ac:dyDescent="0.25">
      <c r="A6697" s="1" t="str">
        <f>"519037"</f>
        <v>519037</v>
      </c>
      <c r="B6697" s="2" t="str">
        <f>"CLIMATIZADOR SLIM PREMIUM ATEGO/AXOR/ACELO 24V"</f>
        <v>CLIMATIZADOR SLIM PREMIUM ATEGO/AXOR/ACELO 24V</v>
      </c>
      <c r="C6697" s="2" t="str">
        <f t="shared" si="261"/>
        <v>UN</v>
      </c>
      <c r="D6697" s="7">
        <v>704</v>
      </c>
      <c r="E6697" s="3">
        <v>9</v>
      </c>
      <c r="F6697" s="3">
        <v>9</v>
      </c>
      <c r="G6697" t="s">
        <v>516</v>
      </c>
    </row>
    <row r="6698" spans="1:7" x14ac:dyDescent="0.25">
      <c r="A6698" s="1" t="str">
        <f>"511023"</f>
        <v>511023</v>
      </c>
      <c r="B6698" s="2" t="str">
        <f>"CLIN MESTRE EMBREAGEM"</f>
        <v>CLIN MESTRE EMBREAGEM</v>
      </c>
      <c r="C6698" s="2" t="str">
        <f t="shared" si="261"/>
        <v>UN</v>
      </c>
      <c r="D6698" s="7">
        <v>704</v>
      </c>
      <c r="E6698" s="3">
        <v>9</v>
      </c>
      <c r="F6698" s="3">
        <v>9</v>
      </c>
      <c r="G6698" t="s">
        <v>515</v>
      </c>
    </row>
    <row r="6699" spans="1:7" x14ac:dyDescent="0.25">
      <c r="A6699" s="1" t="str">
        <f>"515407"</f>
        <v>515407</v>
      </c>
      <c r="B6699" s="2" t="str">
        <f>"CLIOVAC POLY-CLIP 2660748"</f>
        <v>CLIOVAC POLY-CLIP 2660748</v>
      </c>
      <c r="C6699" s="2" t="str">
        <f t="shared" si="261"/>
        <v>UN</v>
      </c>
      <c r="D6699" s="7">
        <v>406</v>
      </c>
      <c r="E6699" s="3">
        <v>4</v>
      </c>
      <c r="F6699" s="3">
        <v>4</v>
      </c>
      <c r="G6699" t="s">
        <v>514</v>
      </c>
    </row>
    <row r="6700" spans="1:7" x14ac:dyDescent="0.25">
      <c r="A6700" s="1" t="str">
        <f>"524907"</f>
        <v>524907</v>
      </c>
      <c r="B6700" s="2" t="str">
        <f>"CLIP"</f>
        <v>CLIP</v>
      </c>
      <c r="C6700" s="2" t="str">
        <f t="shared" si="261"/>
        <v>UN</v>
      </c>
      <c r="D6700" s="7">
        <v>704</v>
      </c>
      <c r="E6700" s="3">
        <v>9</v>
      </c>
      <c r="F6700" s="3">
        <v>9</v>
      </c>
      <c r="G6700" t="s">
        <v>512</v>
      </c>
    </row>
    <row r="6701" spans="1:7" x14ac:dyDescent="0.25">
      <c r="A6701" s="1" t="str">
        <f>"521713"</f>
        <v>521713</v>
      </c>
      <c r="B6701" s="2" t="str">
        <f>"CLIP STRIP"</f>
        <v>CLIP STRIP</v>
      </c>
      <c r="C6701" s="2" t="str">
        <f t="shared" si="261"/>
        <v>UN</v>
      </c>
      <c r="D6701" s="7">
        <v>99999</v>
      </c>
      <c r="E6701" s="3">
        <v>99</v>
      </c>
      <c r="F6701" s="3">
        <v>99</v>
      </c>
      <c r="G6701" t="s">
        <v>513</v>
      </c>
    </row>
    <row r="6702" spans="1:7" x14ac:dyDescent="0.25">
      <c r="A6702" s="1" t="str">
        <f>"521762"</f>
        <v>521762</v>
      </c>
      <c r="B6702" s="2" t="str">
        <f>"CLIP STRIP PP 0,60 4 X 0 CORES 80X10CM COM ADESIVO"</f>
        <v>CLIP STRIP PP 0,60 4 X 0 CORES 80X10CM COM ADESIVO</v>
      </c>
      <c r="C6702" s="2" t="str">
        <f t="shared" si="261"/>
        <v>UN</v>
      </c>
      <c r="D6702" s="7">
        <v>99999</v>
      </c>
      <c r="E6702" s="3">
        <v>99</v>
      </c>
      <c r="F6702" s="3">
        <v>99</v>
      </c>
      <c r="G6702" t="s">
        <v>514</v>
      </c>
    </row>
    <row r="6703" spans="1:7" x14ac:dyDescent="0.25">
      <c r="A6703" s="1" t="str">
        <f>"527235"</f>
        <v>527235</v>
      </c>
      <c r="B6703" s="2" t="str">
        <f>"CLIPE CINTO DETECTOR GAS BW"</f>
        <v>CLIPE CINTO DETECTOR GAS BW</v>
      </c>
      <c r="C6703" s="2" t="str">
        <f t="shared" si="261"/>
        <v>UN</v>
      </c>
      <c r="D6703" s="7">
        <v>99999</v>
      </c>
      <c r="E6703" s="3">
        <v>99</v>
      </c>
      <c r="F6703" s="3">
        <v>99</v>
      </c>
      <c r="G6703" t="s">
        <v>514</v>
      </c>
    </row>
    <row r="6704" spans="1:7" x14ac:dyDescent="0.25">
      <c r="A6704" s="1" t="str">
        <f>"524783"</f>
        <v>524783</v>
      </c>
      <c r="B6704" s="2" t="str">
        <f>"CLIPE DE MOLA"</f>
        <v>CLIPE DE MOLA</v>
      </c>
      <c r="C6704" s="2" t="str">
        <f t="shared" si="261"/>
        <v>UN</v>
      </c>
      <c r="D6704" s="7">
        <v>99999</v>
      </c>
      <c r="E6704" s="3">
        <v>99</v>
      </c>
      <c r="F6704" s="3">
        <v>99</v>
      </c>
      <c r="G6704" t="s">
        <v>512</v>
      </c>
    </row>
    <row r="6705" spans="1:7" x14ac:dyDescent="0.25">
      <c r="A6705" s="1" t="str">
        <f>"527094"</f>
        <v>527094</v>
      </c>
      <c r="B6705" s="2" t="str">
        <f>"CLIPE JACARÉ XTAG1N"</f>
        <v>CLIPE JACARÉ XTAG1N</v>
      </c>
      <c r="C6705" s="2" t="str">
        <f t="shared" si="261"/>
        <v>UN</v>
      </c>
      <c r="D6705" s="7">
        <v>99999</v>
      </c>
      <c r="E6705" s="3">
        <v>99</v>
      </c>
      <c r="F6705" s="3">
        <v>99</v>
      </c>
      <c r="G6705" t="s">
        <v>513</v>
      </c>
    </row>
    <row r="6706" spans="1:7" x14ac:dyDescent="0.25">
      <c r="A6706" s="1" t="str">
        <f>"514175"</f>
        <v>514175</v>
      </c>
      <c r="B6706" s="2" t="str">
        <f>"CLIPE PARA MANGUEIRA"</f>
        <v>CLIPE PARA MANGUEIRA</v>
      </c>
      <c r="C6706" s="2" t="str">
        <f t="shared" si="261"/>
        <v>UN</v>
      </c>
      <c r="D6706" s="7">
        <v>704</v>
      </c>
      <c r="E6706" s="3">
        <v>9</v>
      </c>
      <c r="F6706" s="3">
        <v>9</v>
      </c>
      <c r="G6706" t="s">
        <v>514</v>
      </c>
    </row>
    <row r="6707" spans="1:7" x14ac:dyDescent="0.25">
      <c r="A6707" s="1" t="str">
        <f>"523503"</f>
        <v>523503</v>
      </c>
      <c r="B6707" s="2" t="str">
        <f>"CLIPE PARA PÁ COLETORA  (COR VERMELHO CÓD. 80204)"</f>
        <v>CLIPE PARA PÁ COLETORA  (COR VERMELHO CÓD. 80204)</v>
      </c>
      <c r="C6707" s="2" t="str">
        <f t="shared" si="261"/>
        <v>UN</v>
      </c>
      <c r="D6707" s="7">
        <v>400</v>
      </c>
      <c r="E6707" s="3">
        <v>4</v>
      </c>
      <c r="F6707" s="3">
        <v>4</v>
      </c>
      <c r="G6707" t="s">
        <v>514</v>
      </c>
    </row>
    <row r="6708" spans="1:7" x14ac:dyDescent="0.25">
      <c r="A6708" s="1" t="str">
        <f>"523142"</f>
        <v>523142</v>
      </c>
      <c r="B6708" s="2" t="str">
        <f>"CLIPE PARA PÁ COLETORA (COR AMARELO CÓD. 80204)"</f>
        <v>CLIPE PARA PÁ COLETORA (COR AMARELO CÓD. 80204)</v>
      </c>
      <c r="C6708" s="2" t="str">
        <f t="shared" si="261"/>
        <v>UN</v>
      </c>
      <c r="D6708" s="7">
        <v>400</v>
      </c>
      <c r="E6708" s="3">
        <v>4</v>
      </c>
      <c r="F6708" s="3">
        <v>4</v>
      </c>
      <c r="G6708" t="s">
        <v>514</v>
      </c>
    </row>
    <row r="6709" spans="1:7" x14ac:dyDescent="0.25">
      <c r="A6709" s="1" t="str">
        <f>"523507"</f>
        <v>523507</v>
      </c>
      <c r="B6709" s="2" t="str">
        <f>"CLIPE PARA PÁ COLETORA (COR MARROM CÓD. 80204)"</f>
        <v>CLIPE PARA PÁ COLETORA (COR MARROM CÓD. 80204)</v>
      </c>
      <c r="C6709" s="2" t="str">
        <f t="shared" si="261"/>
        <v>UN</v>
      </c>
      <c r="D6709" s="7">
        <v>400</v>
      </c>
      <c r="E6709" s="3">
        <v>4</v>
      </c>
      <c r="F6709" s="3">
        <v>4</v>
      </c>
      <c r="G6709" t="s">
        <v>513</v>
      </c>
    </row>
    <row r="6710" spans="1:7" x14ac:dyDescent="0.25">
      <c r="A6710" s="1" t="str">
        <f>"523506"</f>
        <v>523506</v>
      </c>
      <c r="B6710" s="2" t="str">
        <f>"CLIPE PARA PÁ COLETORA (COR ROXO CÓD. 80204)"</f>
        <v>CLIPE PARA PÁ COLETORA (COR ROXO CÓD. 80204)</v>
      </c>
      <c r="C6710" s="2" t="str">
        <f t="shared" si="261"/>
        <v>UN</v>
      </c>
      <c r="D6710" s="7">
        <v>400</v>
      </c>
      <c r="E6710" s="3">
        <v>4</v>
      </c>
      <c r="F6710" s="3">
        <v>4</v>
      </c>
      <c r="G6710" t="s">
        <v>512</v>
      </c>
    </row>
    <row r="6711" spans="1:7" x14ac:dyDescent="0.25">
      <c r="A6711" s="1" t="str">
        <f>"523237"</f>
        <v>523237</v>
      </c>
      <c r="B6711" s="2" t="str">
        <f>"CLIPE PARA PÁ COLETORA (COR VERDE CÓD. 80204)"</f>
        <v>CLIPE PARA PÁ COLETORA (COR VERDE CÓD. 80204)</v>
      </c>
      <c r="C6711" s="2" t="str">
        <f t="shared" si="261"/>
        <v>UN</v>
      </c>
      <c r="D6711" s="7">
        <v>400</v>
      </c>
      <c r="E6711" s="3">
        <v>4</v>
      </c>
      <c r="F6711" s="3">
        <v>4</v>
      </c>
      <c r="G6711" t="s">
        <v>513</v>
      </c>
    </row>
    <row r="6712" spans="1:7" x14ac:dyDescent="0.25">
      <c r="A6712" s="1" t="str">
        <f>"522998"</f>
        <v>522998</v>
      </c>
      <c r="B6712" s="2" t="str">
        <f>"CLIPE PEQUENO PARA SUPORTE (COR AMARELO CÓD. 15150)"</f>
        <v>CLIPE PEQUENO PARA SUPORTE (COR AMARELO CÓD. 15150)</v>
      </c>
      <c r="C6712" s="2" t="str">
        <f t="shared" si="261"/>
        <v>UN</v>
      </c>
      <c r="D6712" s="7">
        <v>400</v>
      </c>
      <c r="E6712" s="3">
        <v>4</v>
      </c>
      <c r="F6712" s="3">
        <v>4</v>
      </c>
      <c r="G6712" t="s">
        <v>514</v>
      </c>
    </row>
    <row r="6713" spans="1:7" x14ac:dyDescent="0.25">
      <c r="A6713" s="1" t="str">
        <f>"522704"</f>
        <v>522704</v>
      </c>
      <c r="B6713" s="2" t="str">
        <f>"CLIPE PEQUENO PARA SUPORTE (COR AZUL CÓD. 15150)"</f>
        <v>CLIPE PEQUENO PARA SUPORTE (COR AZUL CÓD. 15150)</v>
      </c>
      <c r="C6713" s="2" t="str">
        <f t="shared" si="261"/>
        <v>UN</v>
      </c>
      <c r="D6713" s="7">
        <v>400</v>
      </c>
      <c r="E6713" s="3">
        <v>4</v>
      </c>
      <c r="F6713" s="3">
        <v>4</v>
      </c>
      <c r="G6713" t="s">
        <v>514</v>
      </c>
    </row>
    <row r="6714" spans="1:7" x14ac:dyDescent="0.25">
      <c r="A6714" s="1" t="str">
        <f>"523002"</f>
        <v>523002</v>
      </c>
      <c r="B6714" s="2" t="str">
        <f>"CLIPE PEQUENO PARA SUPORTE (COR LARANJA CÓD. 15150)"</f>
        <v>CLIPE PEQUENO PARA SUPORTE (COR LARANJA CÓD. 15150)</v>
      </c>
      <c r="C6714" s="2" t="str">
        <f t="shared" si="261"/>
        <v>UN</v>
      </c>
      <c r="D6714" s="7">
        <v>400</v>
      </c>
      <c r="E6714" s="3">
        <v>4</v>
      </c>
      <c r="F6714" s="3">
        <v>4</v>
      </c>
      <c r="G6714" t="s">
        <v>514</v>
      </c>
    </row>
    <row r="6715" spans="1:7" x14ac:dyDescent="0.25">
      <c r="A6715" s="1" t="str">
        <f>"523006"</f>
        <v>523006</v>
      </c>
      <c r="B6715" s="2" t="str">
        <f>"CLIPE PEQUENO PARA SUPORTE (COR MARROM CÓD. 15150)"</f>
        <v>CLIPE PEQUENO PARA SUPORTE (COR MARROM CÓD. 15150)</v>
      </c>
      <c r="C6715" s="2" t="str">
        <f t="shared" si="261"/>
        <v>UN</v>
      </c>
      <c r="D6715" s="7">
        <v>400</v>
      </c>
      <c r="E6715" s="3">
        <v>4</v>
      </c>
      <c r="F6715" s="3">
        <v>4</v>
      </c>
      <c r="G6715" t="s">
        <v>513</v>
      </c>
    </row>
    <row r="6716" spans="1:7" x14ac:dyDescent="0.25">
      <c r="A6716" s="1" t="str">
        <f>"523004"</f>
        <v>523004</v>
      </c>
      <c r="B6716" s="2" t="str">
        <f>"CLIPE PEQUENO PARA SUPORTE (COR ROXA CÓD. 15150)"</f>
        <v>CLIPE PEQUENO PARA SUPORTE (COR ROXA CÓD. 15150)</v>
      </c>
      <c r="C6716" s="2" t="str">
        <f t="shared" si="261"/>
        <v>UN</v>
      </c>
      <c r="D6716" s="7">
        <v>400</v>
      </c>
      <c r="E6716" s="3">
        <v>4</v>
      </c>
      <c r="F6716" s="3">
        <v>4</v>
      </c>
      <c r="G6716" t="s">
        <v>513</v>
      </c>
    </row>
    <row r="6717" spans="1:7" x14ac:dyDescent="0.25">
      <c r="A6717" s="1" t="str">
        <f>"523000"</f>
        <v>523000</v>
      </c>
      <c r="B6717" s="2" t="str">
        <f>"CLIPE PEQUENO PARA SUPORTE (COR VERDE CÓD. 15150)"</f>
        <v>CLIPE PEQUENO PARA SUPORTE (COR VERDE CÓD. 15150)</v>
      </c>
      <c r="C6717" s="2" t="str">
        <f t="shared" si="261"/>
        <v>UN</v>
      </c>
      <c r="D6717" s="7">
        <v>400</v>
      </c>
      <c r="E6717" s="3">
        <v>4</v>
      </c>
      <c r="F6717" s="3">
        <v>4</v>
      </c>
      <c r="G6717" t="s">
        <v>513</v>
      </c>
    </row>
    <row r="6718" spans="1:7" x14ac:dyDescent="0.25">
      <c r="A6718" s="1" t="str">
        <f>"522995"</f>
        <v>522995</v>
      </c>
      <c r="B6718" s="2" t="str">
        <f>"CLIPE PEQUENO PARA SUPORTE (COR VERMELHO CÓD. 15150)"</f>
        <v>CLIPE PEQUENO PARA SUPORTE (COR VERMELHO CÓD. 15150)</v>
      </c>
      <c r="C6718" s="2" t="str">
        <f t="shared" si="261"/>
        <v>UN</v>
      </c>
      <c r="D6718" s="7">
        <v>400</v>
      </c>
      <c r="E6718" s="3">
        <v>4</v>
      </c>
      <c r="F6718" s="3">
        <v>4</v>
      </c>
      <c r="G6718" t="s">
        <v>512</v>
      </c>
    </row>
    <row r="6719" spans="1:7" x14ac:dyDescent="0.25">
      <c r="A6719" s="1" t="str">
        <f>"526338"</f>
        <v>526338</v>
      </c>
      <c r="B6719" s="2" t="str">
        <f>"CLIPE PLASTICO P/ LUVAS K44100"</f>
        <v>CLIPE PLASTICO P/ LUVAS K44100</v>
      </c>
      <c r="C6719" s="2" t="str">
        <f t="shared" si="261"/>
        <v>UN</v>
      </c>
      <c r="D6719" s="7">
        <v>501</v>
      </c>
      <c r="E6719" s="3">
        <v>4</v>
      </c>
      <c r="F6719" s="3">
        <v>4</v>
      </c>
      <c r="G6719" t="s">
        <v>513</v>
      </c>
    </row>
    <row r="6720" spans="1:7" x14ac:dyDescent="0.25">
      <c r="A6720" s="1" t="str">
        <f>"2248"</f>
        <v>2248</v>
      </c>
      <c r="B6720" s="2" t="str">
        <f>"CLIPS 2/0 C/500G GASPER"</f>
        <v>CLIPS 2/0 C/500G GASPER</v>
      </c>
      <c r="C6720" s="2" t="str">
        <f>"CX"</f>
        <v>CX</v>
      </c>
      <c r="D6720" s="7">
        <v>401</v>
      </c>
      <c r="E6720" s="3">
        <v>4</v>
      </c>
      <c r="F6720" s="3">
        <v>4</v>
      </c>
      <c r="G6720" t="s">
        <v>514</v>
      </c>
    </row>
    <row r="6721" spans="1:7" x14ac:dyDescent="0.25">
      <c r="A6721" s="1" t="str">
        <f>"2373"</f>
        <v>2373</v>
      </c>
      <c r="B6721" s="2" t="str">
        <f>"CLIPS 3/0 C/500G GASPER"</f>
        <v>CLIPS 3/0 C/500G GASPER</v>
      </c>
      <c r="C6721" s="2" t="str">
        <f>"UN"</f>
        <v>UN</v>
      </c>
      <c r="D6721" s="7">
        <v>401</v>
      </c>
      <c r="E6721" s="3">
        <v>4</v>
      </c>
      <c r="F6721" s="3">
        <v>4</v>
      </c>
      <c r="G6721" t="s">
        <v>515</v>
      </c>
    </row>
    <row r="6722" spans="1:7" x14ac:dyDescent="0.25">
      <c r="A6722" s="1" t="str">
        <f>"2249"</f>
        <v>2249</v>
      </c>
      <c r="B6722" s="2" t="str">
        <f>"CLIPS 8/0 C/500G GASPER"</f>
        <v>CLIPS 8/0 C/500G GASPER</v>
      </c>
      <c r="C6722" s="2" t="str">
        <f>"CX"</f>
        <v>CX</v>
      </c>
      <c r="D6722" s="7">
        <v>401</v>
      </c>
      <c r="E6722" s="3">
        <v>4</v>
      </c>
      <c r="F6722" s="3">
        <v>4</v>
      </c>
      <c r="G6722" t="s">
        <v>512</v>
      </c>
    </row>
    <row r="6723" spans="1:7" x14ac:dyDescent="0.25">
      <c r="A6723" s="1" t="str">
        <f>"514635"</f>
        <v>514635</v>
      </c>
      <c r="B6723" s="2" t="str">
        <f>"CLIP'S AUTO-ADESIVO"</f>
        <v>CLIP'S AUTO-ADESIVO</v>
      </c>
      <c r="C6723" s="2" t="str">
        <f>"UN"</f>
        <v>UN</v>
      </c>
      <c r="D6723" s="7">
        <v>600</v>
      </c>
      <c r="E6723" s="3">
        <v>11</v>
      </c>
      <c r="F6723" s="3">
        <v>11</v>
      </c>
      <c r="G6723" t="s">
        <v>516</v>
      </c>
    </row>
    <row r="6724" spans="1:7" x14ac:dyDescent="0.25">
      <c r="A6724" s="1" t="str">
        <f>"513955"</f>
        <v>513955</v>
      </c>
      <c r="B6724" s="2" t="str">
        <f>"CLIPS BINDER"</f>
        <v>CLIPS BINDER</v>
      </c>
      <c r="C6724" s="2" t="str">
        <f>"UN"</f>
        <v>UN</v>
      </c>
      <c r="D6724" s="7">
        <v>99999</v>
      </c>
      <c r="E6724" s="3">
        <v>99</v>
      </c>
      <c r="F6724" s="3">
        <v>99</v>
      </c>
      <c r="G6724" t="s">
        <v>515</v>
      </c>
    </row>
    <row r="6725" spans="1:7" x14ac:dyDescent="0.25">
      <c r="A6725" s="1" t="str">
        <f>"514429"</f>
        <v>514429</v>
      </c>
      <c r="B6725" s="2" t="str">
        <f>"CLIPS P/ CABO DE AÇO PESADO 1/4"""</f>
        <v>CLIPS P/ CABO DE AÇO PESADO 1/4"</v>
      </c>
      <c r="C6725" s="2" t="str">
        <f>"UN"</f>
        <v>UN</v>
      </c>
      <c r="D6725" s="7">
        <v>704</v>
      </c>
      <c r="E6725" s="3">
        <v>9</v>
      </c>
      <c r="F6725" s="3">
        <v>9</v>
      </c>
      <c r="G6725" t="s">
        <v>514</v>
      </c>
    </row>
    <row r="6726" spans="1:7" x14ac:dyDescent="0.25">
      <c r="A6726" s="1" t="str">
        <f>"514477"</f>
        <v>514477</v>
      </c>
      <c r="B6726" s="2" t="str">
        <f>"CLIPS PARA CABO DE AÇO"</f>
        <v>CLIPS PARA CABO DE AÇO</v>
      </c>
      <c r="C6726" s="2" t="str">
        <f>"UN"</f>
        <v>UN</v>
      </c>
      <c r="D6726" s="7">
        <v>917</v>
      </c>
      <c r="E6726" s="3">
        <v>4</v>
      </c>
      <c r="F6726" s="3">
        <v>4</v>
      </c>
      <c r="G6726" t="s">
        <v>512</v>
      </c>
    </row>
    <row r="6727" spans="1:7" x14ac:dyDescent="0.25">
      <c r="A6727" s="1" t="str">
        <f>"242"</f>
        <v>242</v>
      </c>
      <c r="B6727" s="2" t="str">
        <f>"CLORETO DE CALCIO"</f>
        <v>CLORETO DE CALCIO</v>
      </c>
      <c r="C6727" s="2" t="str">
        <f>"kg"</f>
        <v>kg</v>
      </c>
      <c r="D6727" s="7">
        <v>212</v>
      </c>
      <c r="E6727" s="3">
        <v>2</v>
      </c>
      <c r="F6727" s="3">
        <v>2</v>
      </c>
      <c r="G6727" t="s">
        <v>513</v>
      </c>
    </row>
    <row r="6728" spans="1:7" x14ac:dyDescent="0.25">
      <c r="A6728" s="1" t="str">
        <f>"513872"</f>
        <v>513872</v>
      </c>
      <c r="B6728" s="2" t="str">
        <f>"CLORETO DE POTASSIO 1000ML"</f>
        <v>CLORETO DE POTASSIO 1000ML</v>
      </c>
      <c r="C6728" s="2" t="str">
        <f>"UN"</f>
        <v>UN</v>
      </c>
      <c r="D6728" s="7">
        <v>406</v>
      </c>
      <c r="E6728" s="3">
        <v>4</v>
      </c>
      <c r="F6728" s="3">
        <v>4</v>
      </c>
      <c r="G6728" t="s">
        <v>514</v>
      </c>
    </row>
    <row r="6729" spans="1:7" x14ac:dyDescent="0.25">
      <c r="A6729" s="1" t="str">
        <f>"514198"</f>
        <v>514198</v>
      </c>
      <c r="B6729" s="2" t="str">
        <f>"CLORETO DE SODIO"</f>
        <v>CLORETO DE SODIO</v>
      </c>
      <c r="C6729" s="2" t="str">
        <f>"kg"</f>
        <v>kg</v>
      </c>
      <c r="D6729" s="7">
        <v>212</v>
      </c>
      <c r="E6729" s="3">
        <v>4</v>
      </c>
      <c r="F6729" s="3">
        <v>4</v>
      </c>
      <c r="G6729" t="s">
        <v>514</v>
      </c>
    </row>
    <row r="6730" spans="1:7" x14ac:dyDescent="0.25">
      <c r="A6730" s="1" t="str">
        <f>"518440"</f>
        <v>518440</v>
      </c>
      <c r="B6730" s="2" t="str">
        <f>"CLORETO FERRICO 2%"</f>
        <v>CLORETO FERRICO 2%</v>
      </c>
      <c r="C6730" s="2" t="str">
        <f t="shared" ref="C6730:C6735" si="262">"UN"</f>
        <v>UN</v>
      </c>
      <c r="D6730" s="7">
        <v>406</v>
      </c>
      <c r="E6730" s="3">
        <v>4</v>
      </c>
      <c r="F6730" s="3">
        <v>4</v>
      </c>
      <c r="G6730" t="s">
        <v>512</v>
      </c>
    </row>
    <row r="6731" spans="1:7" x14ac:dyDescent="0.25">
      <c r="A6731" s="1" t="str">
        <f>"515152"</f>
        <v>515152</v>
      </c>
      <c r="B6731" s="2" t="str">
        <f>"CLORETO FERRICO 2,5%"</f>
        <v>CLORETO FERRICO 2,5%</v>
      </c>
      <c r="C6731" s="2" t="str">
        <f t="shared" si="262"/>
        <v>UN</v>
      </c>
      <c r="D6731" s="7">
        <v>406</v>
      </c>
      <c r="E6731" s="3">
        <v>4</v>
      </c>
      <c r="F6731" s="3">
        <v>4</v>
      </c>
      <c r="G6731" t="s">
        <v>513</v>
      </c>
    </row>
    <row r="6732" spans="1:7" x14ac:dyDescent="0.25">
      <c r="A6732" s="1" t="str">
        <f>"515153"</f>
        <v>515153</v>
      </c>
      <c r="B6732" s="2" t="str">
        <f>"CLORIDRATO - ANTISEPTICO SPRAY"</f>
        <v>CLORIDRATO - ANTISEPTICO SPRAY</v>
      </c>
      <c r="C6732" s="2" t="str">
        <f t="shared" si="262"/>
        <v>UN</v>
      </c>
      <c r="D6732" s="7">
        <v>401</v>
      </c>
      <c r="E6732" s="3">
        <v>4</v>
      </c>
      <c r="F6732" s="3">
        <v>4</v>
      </c>
      <c r="G6732" t="s">
        <v>514</v>
      </c>
    </row>
    <row r="6733" spans="1:7" x14ac:dyDescent="0.25">
      <c r="A6733" s="1" t="str">
        <f>"524075"</f>
        <v>524075</v>
      </c>
      <c r="B6733" s="2" t="str">
        <f>"CLORIDRATO DE AMITRIPTILINA 25MG CX"</f>
        <v>CLORIDRATO DE AMITRIPTILINA 25MG CX</v>
      </c>
      <c r="C6733" s="2" t="str">
        <f t="shared" si="262"/>
        <v>UN</v>
      </c>
      <c r="D6733" s="7">
        <v>401</v>
      </c>
      <c r="E6733" s="3">
        <v>4</v>
      </c>
      <c r="F6733" s="3">
        <v>4</v>
      </c>
      <c r="G6733" t="s">
        <v>514</v>
      </c>
    </row>
    <row r="6734" spans="1:7" x14ac:dyDescent="0.25">
      <c r="A6734" s="1" t="str">
        <f>"526417"</f>
        <v>526417</v>
      </c>
      <c r="B6734" s="2" t="str">
        <f>"CLORIDRATO DE HIDROXIZINA 25MG"</f>
        <v>CLORIDRATO DE HIDROXIZINA 25MG</v>
      </c>
      <c r="C6734" s="2" t="str">
        <f t="shared" si="262"/>
        <v>UN</v>
      </c>
      <c r="D6734" s="7">
        <v>99999</v>
      </c>
      <c r="E6734" s="3">
        <v>99</v>
      </c>
      <c r="F6734" s="3">
        <v>99</v>
      </c>
      <c r="G6734" t="s">
        <v>514</v>
      </c>
    </row>
    <row r="6735" spans="1:7" x14ac:dyDescent="0.25">
      <c r="A6735" s="1" t="str">
        <f>"526327"</f>
        <v>526327</v>
      </c>
      <c r="B6735" s="2" t="str">
        <f>"CLORIDRATO DE TRAMADOL 50MG"</f>
        <v>CLORIDRATO DE TRAMADOL 50MG</v>
      </c>
      <c r="C6735" s="2" t="str">
        <f t="shared" si="262"/>
        <v>UN</v>
      </c>
      <c r="D6735" s="7">
        <v>401</v>
      </c>
      <c r="E6735" s="3">
        <v>4</v>
      </c>
      <c r="F6735" s="3">
        <v>4</v>
      </c>
      <c r="G6735" t="s">
        <v>513</v>
      </c>
    </row>
    <row r="6736" spans="1:7" x14ac:dyDescent="0.25">
      <c r="A6736" s="1" t="str">
        <f>"4119"</f>
        <v>4119</v>
      </c>
      <c r="B6736" s="2" t="str">
        <f>"CLORO MUND HP-H - BB60KG"</f>
        <v>CLORO MUND HP-H - BB60KG</v>
      </c>
      <c r="C6736" s="2" t="str">
        <f>"KG"</f>
        <v>KG</v>
      </c>
      <c r="D6736" s="7">
        <v>400</v>
      </c>
      <c r="E6736" s="3">
        <v>4</v>
      </c>
      <c r="F6736" s="3">
        <v>4</v>
      </c>
      <c r="G6736" t="s">
        <v>512</v>
      </c>
    </row>
    <row r="6737" spans="1:7" x14ac:dyDescent="0.25">
      <c r="A6737" s="1" t="str">
        <f>"514726"</f>
        <v>514726</v>
      </c>
      <c r="B6737" s="2" t="str">
        <f>"CLORODIFLUOEMETANO"</f>
        <v>CLORODIFLUOEMETANO</v>
      </c>
      <c r="C6737" s="2" t="str">
        <f t="shared" ref="C6737:C6757" si="263">"UN"</f>
        <v>UN</v>
      </c>
      <c r="D6737" s="7">
        <v>916</v>
      </c>
      <c r="E6737" s="3">
        <v>10</v>
      </c>
      <c r="F6737" s="3">
        <v>10</v>
      </c>
      <c r="G6737" t="s">
        <v>513</v>
      </c>
    </row>
    <row r="6738" spans="1:7" x14ac:dyDescent="0.25">
      <c r="A6738" s="1" t="str">
        <f>"517486"</f>
        <v>517486</v>
      </c>
      <c r="B6738" s="2" t="str">
        <f>"CLORODIFLUOROMETANO R22 DESC ONU 1018/2/2"</f>
        <v>CLORODIFLUOROMETANO R22 DESC ONU 1018/2/2</v>
      </c>
      <c r="C6738" s="2" t="str">
        <f t="shared" si="263"/>
        <v>UN</v>
      </c>
      <c r="D6738" s="7">
        <v>918</v>
      </c>
      <c r="E6738" s="3">
        <v>10</v>
      </c>
      <c r="F6738" s="3">
        <v>10</v>
      </c>
      <c r="G6738" t="s">
        <v>514</v>
      </c>
    </row>
    <row r="6739" spans="1:7" x14ac:dyDescent="0.25">
      <c r="A6739" s="1" t="str">
        <f>"507245"</f>
        <v>507245</v>
      </c>
      <c r="B6739" s="2" t="str">
        <f>"CLP - MAQUINA SOPRO-BATTENFELD PUGLIESE"</f>
        <v>CLP - MAQUINA SOPRO-BATTENFELD PUGLIESE</v>
      </c>
      <c r="C6739" s="2" t="str">
        <f t="shared" si="263"/>
        <v>UN</v>
      </c>
      <c r="D6739" s="7">
        <v>900</v>
      </c>
      <c r="E6739" s="3">
        <v>11</v>
      </c>
      <c r="F6739" s="3">
        <v>11</v>
      </c>
      <c r="G6739" t="s">
        <v>514</v>
      </c>
    </row>
    <row r="6740" spans="1:7" x14ac:dyDescent="0.25">
      <c r="A6740" s="1" t="str">
        <f>"517962"</f>
        <v>517962</v>
      </c>
      <c r="B6740" s="2" t="str">
        <f>"CLP 16 ENTRADAS + 16 SAÍDAS C/ ENTRADA P/PT100 2 FIOS"</f>
        <v>CLP 16 ENTRADAS + 16 SAÍDAS C/ ENTRADA P/PT100 2 FIOS</v>
      </c>
      <c r="C6740" s="2" t="str">
        <f t="shared" si="263"/>
        <v>UN</v>
      </c>
      <c r="D6740" s="7">
        <v>900</v>
      </c>
      <c r="E6740" s="3">
        <v>11</v>
      </c>
      <c r="F6740" s="3">
        <v>11</v>
      </c>
      <c r="G6740" t="s">
        <v>514</v>
      </c>
    </row>
    <row r="6741" spans="1:7" x14ac:dyDescent="0.25">
      <c r="A6741" s="1" t="str">
        <f>"518096"</f>
        <v>518096</v>
      </c>
      <c r="B6741" s="2" t="str">
        <f>"CLP CP-TRONIC SERIE - 020200900146"</f>
        <v>CLP CP-TRONIC SERIE - 020200900146</v>
      </c>
      <c r="C6741" s="2" t="str">
        <f t="shared" si="263"/>
        <v>UN</v>
      </c>
      <c r="D6741" s="7">
        <v>811</v>
      </c>
      <c r="E6741" s="3">
        <v>8</v>
      </c>
      <c r="F6741" s="3">
        <v>8</v>
      </c>
      <c r="G6741" t="s">
        <v>513</v>
      </c>
    </row>
    <row r="6742" spans="1:7" x14ac:dyDescent="0.25">
      <c r="A6742" s="1" t="str">
        <f>"520456"</f>
        <v>520456</v>
      </c>
      <c r="B6742" s="2" t="str">
        <f>"CLP CPU1214 AC\DC\RLY 6ES7 214-1BE30-0XB0  FIRMWERE V2.2"</f>
        <v>CLP CPU1214 AC\DC\RLY 6ES7 214-1BE30-0XB0  FIRMWERE V2.2</v>
      </c>
      <c r="C6742" s="2" t="str">
        <f t="shared" si="263"/>
        <v>UN</v>
      </c>
      <c r="D6742" s="7">
        <v>900</v>
      </c>
      <c r="E6742" s="3">
        <v>11</v>
      </c>
      <c r="F6742" s="3">
        <v>11</v>
      </c>
      <c r="G6742" t="s">
        <v>513</v>
      </c>
    </row>
    <row r="6743" spans="1:7" x14ac:dyDescent="0.25">
      <c r="A6743" s="1" t="str">
        <f>"518288"</f>
        <v>518288</v>
      </c>
      <c r="B6743" s="2" t="str">
        <f>"CLP INGERSOLL-HAND SSR 15-100 HP"</f>
        <v>CLP INGERSOLL-HAND SSR 15-100 HP</v>
      </c>
      <c r="C6743" s="2" t="str">
        <f t="shared" si="263"/>
        <v>UN</v>
      </c>
      <c r="D6743" s="7">
        <v>811</v>
      </c>
      <c r="E6743" s="3">
        <v>8</v>
      </c>
      <c r="F6743" s="3">
        <v>8</v>
      </c>
      <c r="G6743" t="s">
        <v>513</v>
      </c>
    </row>
    <row r="6744" spans="1:7" x14ac:dyDescent="0.25">
      <c r="A6744" s="1" t="str">
        <f>"526046"</f>
        <v>526046</v>
      </c>
      <c r="B6744" s="2" t="str">
        <f>"CLP MODULO DE 4 ENTRADAS 2 FIOS 6ES7 134-4GD00-0AB0 SIEMENS"</f>
        <v>CLP MODULO DE 4 ENTRADAS 2 FIOS 6ES7 134-4GD00-0AB0 SIEMENS</v>
      </c>
      <c r="C6744" s="2" t="str">
        <f t="shared" si="263"/>
        <v>UN</v>
      </c>
      <c r="D6744" s="7">
        <v>900</v>
      </c>
      <c r="E6744" s="3">
        <v>11</v>
      </c>
      <c r="F6744" s="3">
        <v>11</v>
      </c>
      <c r="G6744" t="s">
        <v>512</v>
      </c>
    </row>
    <row r="6745" spans="1:7" x14ac:dyDescent="0.25">
      <c r="A6745" s="1" t="str">
        <f>"509858"</f>
        <v>509858</v>
      </c>
      <c r="B6745" s="2" t="str">
        <f>"CLP OMRON NT11S-SF121 24VDC 10W"</f>
        <v>CLP OMRON NT11S-SF121 24VDC 10W</v>
      </c>
      <c r="C6745" s="2" t="str">
        <f t="shared" si="263"/>
        <v>UN</v>
      </c>
      <c r="D6745" s="7">
        <v>600</v>
      </c>
      <c r="E6745" s="3">
        <v>8</v>
      </c>
      <c r="F6745" s="3">
        <v>8</v>
      </c>
      <c r="G6745" t="s">
        <v>513</v>
      </c>
    </row>
    <row r="6746" spans="1:7" x14ac:dyDescent="0.25">
      <c r="A6746" s="1" t="str">
        <f>"4156"</f>
        <v>4156</v>
      </c>
      <c r="B6746" s="2" t="str">
        <f>"CLP PANASONIC - AFPOR 24VDC 16-OUT NPN RS-232 NEO AFR0R32T"</f>
        <v>CLP PANASONIC - AFPOR 24VDC 16-OUT NPN RS-232 NEO AFR0R32T</v>
      </c>
      <c r="C6746" s="2" t="str">
        <f t="shared" si="263"/>
        <v>UN</v>
      </c>
      <c r="D6746" s="7">
        <v>900</v>
      </c>
      <c r="E6746" s="3">
        <v>11</v>
      </c>
      <c r="F6746" s="3">
        <v>11</v>
      </c>
      <c r="G6746" t="s">
        <v>514</v>
      </c>
    </row>
    <row r="6747" spans="1:7" x14ac:dyDescent="0.25">
      <c r="A6747" s="1" t="str">
        <f>"517747"</f>
        <v>517747</v>
      </c>
      <c r="B6747" s="2" t="str">
        <f>"CLP PANASONIC 8 ENT/8 SAIDA NPN, USB, RS485, 24VDC"</f>
        <v>CLP PANASONIC 8 ENT/8 SAIDA NPN, USB, RS485, 24VDC</v>
      </c>
      <c r="C6747" s="2" t="str">
        <f t="shared" si="263"/>
        <v>UN</v>
      </c>
      <c r="D6747" s="7">
        <v>811</v>
      </c>
      <c r="E6747" s="3">
        <v>8</v>
      </c>
      <c r="F6747" s="3">
        <v>8</v>
      </c>
      <c r="G6747" t="s">
        <v>515</v>
      </c>
    </row>
    <row r="6748" spans="1:7" x14ac:dyDescent="0.25">
      <c r="A6748" s="1" t="str">
        <f>"512837"</f>
        <v>512837</v>
      </c>
      <c r="B6748" s="2" t="str">
        <f>"CLP S7 1200 AC/DC RL 12 14"</f>
        <v>CLP S7 1200 AC/DC RL 12 14</v>
      </c>
      <c r="C6748" s="2" t="str">
        <f t="shared" si="263"/>
        <v>UN</v>
      </c>
      <c r="D6748" s="7">
        <v>918</v>
      </c>
      <c r="E6748" s="3">
        <v>11</v>
      </c>
      <c r="F6748" s="3">
        <v>11</v>
      </c>
      <c r="G6748" t="s">
        <v>512</v>
      </c>
    </row>
    <row r="6749" spans="1:7" x14ac:dyDescent="0.25">
      <c r="A6749" s="1" t="str">
        <f>"518141"</f>
        <v>518141</v>
      </c>
      <c r="B6749" s="2" t="str">
        <f>"CLP SIEMENS 201900 MOD. P/1720 S/FRD"</f>
        <v>CLP SIEMENS 201900 MOD. P/1720 S/FRD</v>
      </c>
      <c r="C6749" s="2" t="str">
        <f t="shared" si="263"/>
        <v>UN</v>
      </c>
      <c r="D6749" s="7">
        <v>811</v>
      </c>
      <c r="E6749" s="3">
        <v>8</v>
      </c>
      <c r="F6749" s="3">
        <v>8</v>
      </c>
      <c r="G6749" t="s">
        <v>516</v>
      </c>
    </row>
    <row r="6750" spans="1:7" x14ac:dyDescent="0.25">
      <c r="A6750" s="1" t="str">
        <f>"512325"</f>
        <v>512325</v>
      </c>
      <c r="B6750" s="2" t="str">
        <f>"CLP TELEMECANIQUE MODICON TSX3721001"</f>
        <v>CLP TELEMECANIQUE MODICON TSX3721001</v>
      </c>
      <c r="C6750" s="2" t="str">
        <f t="shared" si="263"/>
        <v>UN</v>
      </c>
      <c r="D6750" s="7">
        <v>900</v>
      </c>
      <c r="E6750" s="3">
        <v>11</v>
      </c>
      <c r="F6750" s="3">
        <v>11</v>
      </c>
      <c r="G6750" t="s">
        <v>515</v>
      </c>
    </row>
    <row r="6751" spans="1:7" x14ac:dyDescent="0.25">
      <c r="A6751" s="1" t="str">
        <f>"511958"</f>
        <v>511958</v>
      </c>
      <c r="B6751" s="2" t="str">
        <f>"CLP TELEMECANIQUE REF. TSX3721001"</f>
        <v>CLP TELEMECANIQUE REF. TSX3721001</v>
      </c>
      <c r="C6751" s="2" t="str">
        <f t="shared" si="263"/>
        <v>UN</v>
      </c>
      <c r="D6751" s="7">
        <v>900</v>
      </c>
      <c r="E6751" s="3">
        <v>11</v>
      </c>
      <c r="F6751" s="3">
        <v>11</v>
      </c>
      <c r="G6751" t="s">
        <v>514</v>
      </c>
    </row>
    <row r="6752" spans="1:7" x14ac:dyDescent="0.25">
      <c r="A6752" s="1" t="str">
        <f>"518317"</f>
        <v>518317</v>
      </c>
      <c r="B6752" s="2" t="str">
        <f>"CLP WEG CLIC CLW-02/20HR-D 3RD"</f>
        <v>CLP WEG CLIC CLW-02/20HR-D 3RD</v>
      </c>
      <c r="C6752" s="2" t="str">
        <f t="shared" si="263"/>
        <v>UN</v>
      </c>
      <c r="D6752" s="7">
        <v>811</v>
      </c>
      <c r="E6752" s="3">
        <v>8</v>
      </c>
      <c r="F6752" s="3">
        <v>8</v>
      </c>
      <c r="G6752" t="s">
        <v>512</v>
      </c>
    </row>
    <row r="6753" spans="1:7" x14ac:dyDescent="0.25">
      <c r="A6753" s="1" t="str">
        <f>"507003"</f>
        <v>507003</v>
      </c>
      <c r="B6753" s="2" t="str">
        <f>"CLP ZAP 500 - GLOBO INOX"</f>
        <v>CLP ZAP 500 - GLOBO INOX</v>
      </c>
      <c r="C6753" s="2" t="str">
        <f t="shared" si="263"/>
        <v>UN</v>
      </c>
      <c r="D6753" s="7">
        <v>900</v>
      </c>
      <c r="E6753" s="3">
        <v>11</v>
      </c>
      <c r="F6753" s="3">
        <v>11</v>
      </c>
      <c r="G6753" t="s">
        <v>513</v>
      </c>
    </row>
    <row r="6754" spans="1:7" x14ac:dyDescent="0.25">
      <c r="A6754" s="1" t="str">
        <f>"526188"</f>
        <v>526188</v>
      </c>
      <c r="B6754" s="2" t="str">
        <f>"CM71M/BR/TF/RH1L/KK"</f>
        <v>CM71M/BR/TF/RH1L/KK</v>
      </c>
      <c r="C6754" s="2" t="str">
        <f t="shared" si="263"/>
        <v>UN</v>
      </c>
      <c r="D6754" s="7">
        <v>918</v>
      </c>
      <c r="E6754" s="3">
        <v>11</v>
      </c>
      <c r="F6754" s="3">
        <v>11</v>
      </c>
      <c r="G6754" t="s">
        <v>514</v>
      </c>
    </row>
    <row r="6755" spans="1:7" x14ac:dyDescent="0.25">
      <c r="A6755" s="1" t="str">
        <f>"502457"</f>
        <v>502457</v>
      </c>
      <c r="B6755" s="2" t="str">
        <f>"CMALTA D20213 - COD. 18378503"</f>
        <v>CMALTA D20213 - COD. 18378503</v>
      </c>
      <c r="C6755" s="2" t="str">
        <f t="shared" si="263"/>
        <v>UN</v>
      </c>
      <c r="D6755" s="7">
        <v>918</v>
      </c>
      <c r="E6755" s="3">
        <v>11</v>
      </c>
      <c r="F6755" s="3">
        <v>11</v>
      </c>
      <c r="G6755" t="s">
        <v>514</v>
      </c>
    </row>
    <row r="6756" spans="1:7" x14ac:dyDescent="0.25">
      <c r="A6756" s="1" t="str">
        <f>"514129"</f>
        <v>514129</v>
      </c>
      <c r="B6756" s="2" t="str">
        <f>"CMT FATEC (500ML)"</f>
        <v>CMT FATEC (500ML)</v>
      </c>
      <c r="C6756" s="2" t="str">
        <f t="shared" si="263"/>
        <v>UN</v>
      </c>
      <c r="D6756" s="7">
        <v>303</v>
      </c>
      <c r="E6756" s="3">
        <v>3</v>
      </c>
      <c r="F6756" s="3">
        <v>3</v>
      </c>
      <c r="G6756" t="s">
        <v>512</v>
      </c>
    </row>
    <row r="6757" spans="1:7" x14ac:dyDescent="0.25">
      <c r="A6757" s="1" t="str">
        <f>"512846"</f>
        <v>512846</v>
      </c>
      <c r="B6757" s="2" t="str">
        <f>"COADOR MALHA ESPERANÇA"</f>
        <v>COADOR MALHA ESPERANÇA</v>
      </c>
      <c r="C6757" s="2" t="str">
        <f t="shared" si="263"/>
        <v>UN</v>
      </c>
      <c r="D6757" s="7">
        <v>99999</v>
      </c>
      <c r="E6757" s="3">
        <v>99</v>
      </c>
      <c r="F6757" s="3">
        <v>99</v>
      </c>
      <c r="G6757" t="s">
        <v>513</v>
      </c>
    </row>
    <row r="6758" spans="1:7" x14ac:dyDescent="0.25">
      <c r="A6758" s="1" t="str">
        <f>"6214"</f>
        <v>6214</v>
      </c>
      <c r="B6758" s="2" t="str">
        <f>"COAGULANTE MICROBIANO (5,5 LITROS)"</f>
        <v>COAGULANTE MICROBIANO (5,5 LITROS)</v>
      </c>
      <c r="C6758" s="2" t="str">
        <f>"LT"</f>
        <v>LT</v>
      </c>
      <c r="D6758" s="7">
        <v>213</v>
      </c>
      <c r="E6758" s="3">
        <v>2</v>
      </c>
      <c r="F6758" s="3">
        <v>2</v>
      </c>
      <c r="G6758" t="s">
        <v>514</v>
      </c>
    </row>
    <row r="6759" spans="1:7" x14ac:dyDescent="0.25">
      <c r="A6759" s="1" t="str">
        <f>"1478"</f>
        <v>1478</v>
      </c>
      <c r="B6759" s="2" t="str">
        <f>"COALHADA CAROLINA COPO 170 G C/18UN"</f>
        <v>COALHADA CAROLINA COPO 170 G C/18UN</v>
      </c>
      <c r="C6759" s="2" t="str">
        <f>"UN"</f>
        <v>UN</v>
      </c>
      <c r="D6759" s="7">
        <v>35</v>
      </c>
      <c r="E6759" s="3">
        <v>6</v>
      </c>
      <c r="F6759" s="3">
        <v>6</v>
      </c>
      <c r="G6759" t="s">
        <v>514</v>
      </c>
    </row>
    <row r="6760" spans="1:7" x14ac:dyDescent="0.25">
      <c r="A6760" s="1" t="str">
        <f>"1178"</f>
        <v>1178</v>
      </c>
      <c r="B6760" s="2" t="str">
        <f>"COALHADA COPO CAROLINA 160G"</f>
        <v>COALHADA COPO CAROLINA 160G</v>
      </c>
      <c r="C6760" s="2" t="str">
        <f>"UN"</f>
        <v>UN</v>
      </c>
      <c r="D6760" s="7">
        <v>39</v>
      </c>
      <c r="E6760" s="3">
        <v>6</v>
      </c>
      <c r="F6760" s="3">
        <v>6</v>
      </c>
      <c r="G6760" t="s">
        <v>514</v>
      </c>
    </row>
    <row r="6761" spans="1:7" x14ac:dyDescent="0.25">
      <c r="A6761" s="1" t="str">
        <f>"51"</f>
        <v>51</v>
      </c>
      <c r="B6761" s="2" t="str">
        <f>"COALHADA INTEGRAL - COPO"</f>
        <v>COALHADA INTEGRAL - COPO</v>
      </c>
      <c r="C6761" s="2" t="str">
        <f>"KG"</f>
        <v>KG</v>
      </c>
      <c r="D6761" s="7">
        <v>1900</v>
      </c>
      <c r="E6761" s="3">
        <v>7</v>
      </c>
      <c r="F6761" s="3">
        <v>7</v>
      </c>
      <c r="G6761" t="s">
        <v>513</v>
      </c>
    </row>
    <row r="6762" spans="1:7" x14ac:dyDescent="0.25">
      <c r="A6762" s="1" t="str">
        <f>"1524"</f>
        <v>1524</v>
      </c>
      <c r="B6762" s="2" t="str">
        <f>"COALHADA INTEGRAL CARREFOUR 170G"</f>
        <v>COALHADA INTEGRAL CARREFOUR 170G</v>
      </c>
      <c r="C6762" s="2" t="str">
        <f>"UN"</f>
        <v>UN</v>
      </c>
      <c r="D6762" s="7">
        <v>35</v>
      </c>
      <c r="E6762" s="3">
        <v>6</v>
      </c>
      <c r="F6762" s="3">
        <v>6</v>
      </c>
      <c r="G6762" t="s">
        <v>512</v>
      </c>
    </row>
    <row r="6763" spans="1:7" x14ac:dyDescent="0.25">
      <c r="A6763" s="1" t="str">
        <f>"2673"</f>
        <v>2673</v>
      </c>
      <c r="B6763" s="8" t="s">
        <v>8</v>
      </c>
      <c r="C6763" s="2" t="str">
        <f>"LT"</f>
        <v>LT</v>
      </c>
      <c r="D6763" s="7">
        <v>213</v>
      </c>
      <c r="E6763" s="3">
        <v>2</v>
      </c>
      <c r="F6763" s="3">
        <v>2</v>
      </c>
      <c r="G6763" t="s">
        <v>513</v>
      </c>
    </row>
    <row r="6764" spans="1:7" x14ac:dyDescent="0.25">
      <c r="A6764" s="1" t="str">
        <f>"514254"</f>
        <v>514254</v>
      </c>
      <c r="B6764" s="2" t="str">
        <f>"COBERTURA"</f>
        <v>COBERTURA</v>
      </c>
      <c r="C6764" s="2" t="str">
        <f>"UN"</f>
        <v>UN</v>
      </c>
      <c r="D6764" s="7">
        <v>704</v>
      </c>
      <c r="E6764" s="3">
        <v>9</v>
      </c>
      <c r="F6764" s="3">
        <v>9</v>
      </c>
      <c r="G6764" t="s">
        <v>514</v>
      </c>
    </row>
    <row r="6765" spans="1:7" x14ac:dyDescent="0.25">
      <c r="A6765" s="1" t="str">
        <f>"6844"</f>
        <v>6844</v>
      </c>
      <c r="B6765" s="2" t="str">
        <f>"COBERTURA CHOC AL LEITE 4MM CRM-DR-0070004-039 (BARRY)"</f>
        <v>COBERTURA CHOC AL LEITE 4MM CRM-DR-0070004-039 (BARRY)</v>
      </c>
      <c r="C6765" s="2" t="str">
        <f>"KG"</f>
        <v>KG</v>
      </c>
      <c r="D6765" s="7">
        <v>217</v>
      </c>
      <c r="E6765" s="3">
        <v>2</v>
      </c>
      <c r="F6765" s="3">
        <v>2</v>
      </c>
      <c r="G6765" t="s">
        <v>514</v>
      </c>
    </row>
    <row r="6766" spans="1:7" x14ac:dyDescent="0.25">
      <c r="A6766" s="1" t="str">
        <f>"6843"</f>
        <v>6843</v>
      </c>
      <c r="B6766" s="2" t="str">
        <f>"COBERTURA CHOC BRANCO 4MM ILW-DR-2072204-039 (BARRY)"</f>
        <v>COBERTURA CHOC BRANCO 4MM ILW-DR-2072204-039 (BARRY)</v>
      </c>
      <c r="C6766" s="2" t="str">
        <f>"KG"</f>
        <v>KG</v>
      </c>
      <c r="D6766" s="7">
        <v>217</v>
      </c>
      <c r="E6766" s="3">
        <v>2</v>
      </c>
      <c r="F6766" s="3">
        <v>2</v>
      </c>
      <c r="G6766" t="s">
        <v>514</v>
      </c>
    </row>
    <row r="6767" spans="1:7" x14ac:dyDescent="0.25">
      <c r="A6767" s="1" t="str">
        <f>"511946"</f>
        <v>511946</v>
      </c>
      <c r="B6767" s="2" t="str">
        <f>"COBERTURA INF. PARA-CHOQUE TRASEIRO"</f>
        <v>COBERTURA INF. PARA-CHOQUE TRASEIRO</v>
      </c>
      <c r="C6767" s="2" t="str">
        <f>"UN"</f>
        <v>UN</v>
      </c>
      <c r="D6767" s="7">
        <v>704</v>
      </c>
      <c r="E6767" s="3">
        <v>9</v>
      </c>
      <c r="F6767" s="3">
        <v>9</v>
      </c>
      <c r="G6767" t="s">
        <v>513</v>
      </c>
    </row>
    <row r="6768" spans="1:7" x14ac:dyDescent="0.25">
      <c r="A6768" s="1" t="str">
        <f>"6851"</f>
        <v>6851</v>
      </c>
      <c r="B6768" s="2" t="str">
        <f>"COBERTURA MANGA PED NATURAL CÓD.272419 (AGRANA) RUBI"</f>
        <v>COBERTURA MANGA PED NATURAL CÓD.272419 (AGRANA) RUBI</v>
      </c>
      <c r="C6768" s="2" t="str">
        <f>"KG"</f>
        <v>KG</v>
      </c>
      <c r="D6768" s="7">
        <v>205</v>
      </c>
      <c r="E6768" s="3">
        <v>2</v>
      </c>
      <c r="F6768" s="3">
        <v>2</v>
      </c>
      <c r="G6768" t="s">
        <v>513</v>
      </c>
    </row>
    <row r="6769" spans="1:7" x14ac:dyDescent="0.25">
      <c r="A6769" s="1" t="str">
        <f>"525419"</f>
        <v>525419</v>
      </c>
      <c r="B6769" s="2" t="str">
        <f>"COBERTURA METALICA"</f>
        <v>COBERTURA METALICA</v>
      </c>
      <c r="C6769" s="2" t="str">
        <f>"UN"</f>
        <v>UN</v>
      </c>
      <c r="D6769" s="7">
        <v>99999</v>
      </c>
      <c r="E6769" s="3">
        <v>99</v>
      </c>
      <c r="F6769" s="3">
        <v>99</v>
      </c>
      <c r="G6769" t="s">
        <v>513</v>
      </c>
    </row>
    <row r="6770" spans="1:7" x14ac:dyDescent="0.25">
      <c r="A6770" s="1" t="str">
        <f>"6848"</f>
        <v>6848</v>
      </c>
      <c r="B6770" s="2" t="str">
        <f>"COBERTURA MORANGO PEDAÇOS NATURAL CÓD.271152 (AGRANA) RUBI"</f>
        <v>COBERTURA MORANGO PEDAÇOS NATURAL CÓD.271152 (AGRANA) RUBI</v>
      </c>
      <c r="C6770" s="2" t="str">
        <f>"KG"</f>
        <v>KG</v>
      </c>
      <c r="D6770" s="7">
        <v>205</v>
      </c>
      <c r="E6770" s="3">
        <v>2</v>
      </c>
      <c r="F6770" s="3">
        <v>2</v>
      </c>
      <c r="G6770" t="s">
        <v>512</v>
      </c>
    </row>
    <row r="6771" spans="1:7" x14ac:dyDescent="0.25">
      <c r="A6771" s="1" t="str">
        <f>"511947"</f>
        <v>511947</v>
      </c>
      <c r="B6771" s="2" t="str">
        <f>"COBERTURA OLHAL REBOQUE PARA-CHOQUE TRAS"</f>
        <v>COBERTURA OLHAL REBOQUE PARA-CHOQUE TRAS</v>
      </c>
      <c r="C6771" s="2" t="str">
        <f t="shared" ref="C6771:C6782" si="264">"UN"</f>
        <v>UN</v>
      </c>
      <c r="D6771" s="7">
        <v>704</v>
      </c>
      <c r="E6771" s="3">
        <v>9</v>
      </c>
      <c r="F6771" s="3">
        <v>9</v>
      </c>
      <c r="G6771" t="s">
        <v>513</v>
      </c>
    </row>
    <row r="6772" spans="1:7" x14ac:dyDescent="0.25">
      <c r="A6772" s="1" t="str">
        <f>"524124"</f>
        <v>524124</v>
      </c>
      <c r="B6772" s="2" t="str">
        <f>"COBRE LANCHE"</f>
        <v>COBRE LANCHE</v>
      </c>
      <c r="C6772" s="2" t="str">
        <f t="shared" si="264"/>
        <v>UN</v>
      </c>
      <c r="D6772" s="7">
        <v>99999</v>
      </c>
      <c r="E6772" s="3">
        <v>99</v>
      </c>
      <c r="F6772" s="3">
        <v>99</v>
      </c>
      <c r="G6772" t="s">
        <v>514</v>
      </c>
    </row>
    <row r="6773" spans="1:7" x14ac:dyDescent="0.25">
      <c r="A6773" s="1" t="str">
        <f>"504570"</f>
        <v>504570</v>
      </c>
      <c r="B6773" s="2" t="str">
        <f>"COCHIM GRANDE TRASEIRO - GABINA"</f>
        <v>COCHIM GRANDE TRASEIRO - GABINA</v>
      </c>
      <c r="C6773" s="2" t="str">
        <f t="shared" si="264"/>
        <v>UN</v>
      </c>
      <c r="D6773" s="7">
        <v>704</v>
      </c>
      <c r="E6773" s="3">
        <v>9</v>
      </c>
      <c r="F6773" s="3">
        <v>9</v>
      </c>
      <c r="G6773" t="s">
        <v>515</v>
      </c>
    </row>
    <row r="6774" spans="1:7" x14ac:dyDescent="0.25">
      <c r="A6774" s="1" t="str">
        <f>"504323"</f>
        <v>504323</v>
      </c>
      <c r="B6774" s="2" t="str">
        <f>"COCHINIL INDIVIDUAL"</f>
        <v>COCHINIL INDIVIDUAL</v>
      </c>
      <c r="C6774" s="2" t="str">
        <f t="shared" si="264"/>
        <v>UN</v>
      </c>
      <c r="D6774" s="7">
        <v>704</v>
      </c>
      <c r="E6774" s="3">
        <v>9</v>
      </c>
      <c r="F6774" s="3">
        <v>9</v>
      </c>
      <c r="G6774" t="s">
        <v>512</v>
      </c>
    </row>
    <row r="6775" spans="1:7" x14ac:dyDescent="0.25">
      <c r="A6775" s="1" t="str">
        <f>"523270"</f>
        <v>523270</v>
      </c>
      <c r="B6775" s="2" t="str">
        <f>"COCHO DE CALHA 5 MT"</f>
        <v>COCHO DE CALHA 5 MT</v>
      </c>
      <c r="C6775" s="2" t="str">
        <f t="shared" si="264"/>
        <v>UN</v>
      </c>
      <c r="D6775" s="7">
        <v>803</v>
      </c>
      <c r="E6775" s="3">
        <v>10</v>
      </c>
      <c r="F6775" s="3">
        <v>10</v>
      </c>
      <c r="G6775" t="s">
        <v>516</v>
      </c>
    </row>
    <row r="6776" spans="1:7" x14ac:dyDescent="0.25">
      <c r="A6776" s="1" t="str">
        <f>"515699"</f>
        <v>515699</v>
      </c>
      <c r="B6776" s="2" t="str">
        <f>"COCO FRUTA"</f>
        <v>COCO FRUTA</v>
      </c>
      <c r="C6776" s="2" t="str">
        <f t="shared" si="264"/>
        <v>UN</v>
      </c>
      <c r="D6776" s="7">
        <v>401</v>
      </c>
      <c r="E6776" s="3">
        <v>4</v>
      </c>
      <c r="F6776" s="3">
        <v>4</v>
      </c>
      <c r="G6776" t="s">
        <v>515</v>
      </c>
    </row>
    <row r="6777" spans="1:7" x14ac:dyDescent="0.25">
      <c r="A6777" s="1" t="str">
        <f>"515591"</f>
        <v>515591</v>
      </c>
      <c r="B6777" s="2" t="str">
        <f>"COENTRO"</f>
        <v>COENTRO</v>
      </c>
      <c r="C6777" s="2" t="str">
        <f t="shared" si="264"/>
        <v>UN</v>
      </c>
      <c r="D6777" s="7">
        <v>401</v>
      </c>
      <c r="E6777" s="3">
        <v>4</v>
      </c>
      <c r="F6777" s="3">
        <v>4</v>
      </c>
      <c r="G6777" t="s">
        <v>514</v>
      </c>
    </row>
    <row r="6778" spans="1:7" x14ac:dyDescent="0.25">
      <c r="A6778" s="1" t="str">
        <f>"514786"</f>
        <v>514786</v>
      </c>
      <c r="B6778" s="2" t="str">
        <f>"COIFA"</f>
        <v>COIFA</v>
      </c>
      <c r="C6778" s="2" t="str">
        <f t="shared" si="264"/>
        <v>UN</v>
      </c>
      <c r="D6778" s="7">
        <v>704</v>
      </c>
      <c r="E6778" s="3">
        <v>9</v>
      </c>
      <c r="F6778" s="3">
        <v>9</v>
      </c>
      <c r="G6778" t="s">
        <v>512</v>
      </c>
    </row>
    <row r="6779" spans="1:7" x14ac:dyDescent="0.25">
      <c r="A6779" s="1" t="str">
        <f>"511571"</f>
        <v>511571</v>
      </c>
      <c r="B6779" s="2" t="str">
        <f>"COIFA HOMOCLIN L CAMBIO SCENIC"</f>
        <v>COIFA HOMOCLIN L CAMBIO SCENIC</v>
      </c>
      <c r="C6779" s="2" t="str">
        <f t="shared" si="264"/>
        <v>UN</v>
      </c>
      <c r="D6779" s="7">
        <v>704</v>
      </c>
      <c r="E6779" s="3">
        <v>9</v>
      </c>
      <c r="F6779" s="3">
        <v>9</v>
      </c>
      <c r="G6779" t="s">
        <v>513</v>
      </c>
    </row>
    <row r="6780" spans="1:7" x14ac:dyDescent="0.25">
      <c r="A6780" s="1" t="str">
        <f>"511762"</f>
        <v>511762</v>
      </c>
      <c r="B6780" s="2" t="str">
        <f>"COIFA INOX 304 C/ TUBULAÇAO"</f>
        <v>COIFA INOX 304 C/ TUBULAÇAO</v>
      </c>
      <c r="C6780" s="2" t="str">
        <f t="shared" si="264"/>
        <v>UN</v>
      </c>
      <c r="D6780" s="7">
        <v>803</v>
      </c>
      <c r="E6780" s="3">
        <v>10</v>
      </c>
      <c r="F6780" s="3">
        <v>10</v>
      </c>
      <c r="G6780" t="s">
        <v>514</v>
      </c>
    </row>
    <row r="6781" spans="1:7" x14ac:dyDescent="0.25">
      <c r="A6781" s="1" t="str">
        <f>"509206"</f>
        <v>509206</v>
      </c>
      <c r="B6781" s="2" t="str">
        <f>"COIFA PROTEÇAO SERRA"</f>
        <v>COIFA PROTEÇAO SERRA</v>
      </c>
      <c r="C6781" s="2" t="str">
        <f t="shared" si="264"/>
        <v>UN</v>
      </c>
      <c r="D6781" s="7">
        <v>402</v>
      </c>
      <c r="E6781" s="3">
        <v>4</v>
      </c>
      <c r="F6781" s="3">
        <v>4</v>
      </c>
      <c r="G6781" t="s">
        <v>514</v>
      </c>
    </row>
    <row r="6782" spans="1:7" x14ac:dyDescent="0.25">
      <c r="A6782" s="1" t="str">
        <f>"512464"</f>
        <v>512464</v>
      </c>
      <c r="B6782" s="2" t="str">
        <f>"COIFA S/C ALAVANCA"</f>
        <v>COIFA S/C ALAVANCA</v>
      </c>
      <c r="C6782" s="2" t="str">
        <f t="shared" si="264"/>
        <v>UN</v>
      </c>
      <c r="D6782" s="7">
        <v>704</v>
      </c>
      <c r="E6782" s="3">
        <v>9</v>
      </c>
      <c r="F6782" s="3">
        <v>9</v>
      </c>
      <c r="G6782" t="s">
        <v>512</v>
      </c>
    </row>
    <row r="6783" spans="1:7" x14ac:dyDescent="0.25">
      <c r="A6783" s="1" t="str">
        <f>"513941"</f>
        <v>513941</v>
      </c>
      <c r="B6783" s="2" t="str">
        <f>"COL URINA TP VERM 50ML EMB IND EST PT-150 CX-750"</f>
        <v>COL URINA TP VERM 50ML EMB IND EST PT-150 CX-750</v>
      </c>
      <c r="C6783" s="2" t="str">
        <f>"CX"</f>
        <v>CX</v>
      </c>
      <c r="D6783" s="7">
        <v>406</v>
      </c>
      <c r="E6783" s="3">
        <v>4</v>
      </c>
      <c r="F6783" s="3">
        <v>4</v>
      </c>
      <c r="G6783" t="s">
        <v>513</v>
      </c>
    </row>
    <row r="6784" spans="1:7" x14ac:dyDescent="0.25">
      <c r="A6784" s="1" t="str">
        <f>"517598"</f>
        <v>517598</v>
      </c>
      <c r="B6784" s="2" t="str">
        <f>"COL. GUIA P/ MOLDE SP 20MM CA"</f>
        <v>COL. GUIA P/ MOLDE SP 20MM CA</v>
      </c>
      <c r="C6784" s="2" t="str">
        <f t="shared" ref="C6784:C6805" si="265">"UN"</f>
        <v>UN</v>
      </c>
      <c r="D6784" s="7">
        <v>918</v>
      </c>
      <c r="E6784" s="3">
        <v>11</v>
      </c>
      <c r="F6784" s="3">
        <v>11</v>
      </c>
      <c r="G6784" t="s">
        <v>514</v>
      </c>
    </row>
    <row r="6785" spans="1:7" x14ac:dyDescent="0.25">
      <c r="A6785" s="1" t="str">
        <f>"521145"</f>
        <v>521145</v>
      </c>
      <c r="B6785" s="2" t="str">
        <f>"COLA  CONTATO 200ml"</f>
        <v>COLA  CONTATO 200ml</v>
      </c>
      <c r="C6785" s="2" t="str">
        <f t="shared" si="265"/>
        <v>UN</v>
      </c>
      <c r="D6785" s="7">
        <v>1200</v>
      </c>
      <c r="E6785" s="3">
        <v>4</v>
      </c>
      <c r="F6785" s="3">
        <v>4</v>
      </c>
      <c r="G6785" t="s">
        <v>514</v>
      </c>
    </row>
    <row r="6786" spans="1:7" x14ac:dyDescent="0.25">
      <c r="A6786" s="1" t="str">
        <f>"515937"</f>
        <v>515937</v>
      </c>
      <c r="B6786" s="8" t="s">
        <v>75</v>
      </c>
      <c r="C6786" s="2" t="str">
        <f t="shared" si="265"/>
        <v>UN</v>
      </c>
      <c r="D6786" s="7">
        <v>909</v>
      </c>
      <c r="E6786" s="3">
        <v>4</v>
      </c>
      <c r="F6786" s="3">
        <v>4</v>
      </c>
      <c r="G6786" t="s">
        <v>514</v>
      </c>
    </row>
    <row r="6787" spans="1:7" x14ac:dyDescent="0.25">
      <c r="A6787" s="1" t="str">
        <f>"500356"</f>
        <v>500356</v>
      </c>
      <c r="B6787" s="2" t="str">
        <f>"COLA ARALDITE ULTRA RAPIDO"</f>
        <v>COLA ARALDITE ULTRA RAPIDO</v>
      </c>
      <c r="C6787" s="2" t="str">
        <f t="shared" si="265"/>
        <v>UN</v>
      </c>
      <c r="D6787" s="7">
        <v>402</v>
      </c>
      <c r="E6787" s="3">
        <v>4</v>
      </c>
      <c r="F6787" s="3">
        <v>4</v>
      </c>
      <c r="G6787" t="s">
        <v>513</v>
      </c>
    </row>
    <row r="6788" spans="1:7" x14ac:dyDescent="0.25">
      <c r="A6788" s="1" t="str">
        <f>"514486"</f>
        <v>514486</v>
      </c>
      <c r="B6788" s="2" t="str">
        <f>"COLA BASTÃO"</f>
        <v>COLA BASTÃO</v>
      </c>
      <c r="C6788" s="2" t="str">
        <f t="shared" si="265"/>
        <v>UN</v>
      </c>
      <c r="D6788" s="7">
        <v>917</v>
      </c>
      <c r="E6788" s="3">
        <v>10</v>
      </c>
      <c r="F6788" s="3">
        <v>10</v>
      </c>
      <c r="G6788" t="s">
        <v>512</v>
      </c>
    </row>
    <row r="6789" spans="1:7" x14ac:dyDescent="0.25">
      <c r="A6789" s="1" t="str">
        <f>"520691"</f>
        <v>520691</v>
      </c>
      <c r="B6789" s="2" t="str">
        <f>"COLA CONTATO 3600ML"</f>
        <v>COLA CONTATO 3600ML</v>
      </c>
      <c r="C6789" s="2" t="str">
        <f t="shared" si="265"/>
        <v>UN</v>
      </c>
      <c r="D6789" s="7">
        <v>99999</v>
      </c>
      <c r="E6789" s="3">
        <v>99</v>
      </c>
      <c r="F6789" s="3">
        <v>99</v>
      </c>
      <c r="G6789" t="s">
        <v>513</v>
      </c>
    </row>
    <row r="6790" spans="1:7" x14ac:dyDescent="0.25">
      <c r="A6790" s="1" t="str">
        <f>"524465"</f>
        <v>524465</v>
      </c>
      <c r="B6790" s="2" t="str">
        <f>"COLA DYNAM. GLASS CART 310 ML"</f>
        <v>COLA DYNAM. GLASS CART 310 ML</v>
      </c>
      <c r="C6790" s="2" t="str">
        <f t="shared" si="265"/>
        <v>UN</v>
      </c>
      <c r="D6790" s="7">
        <v>909</v>
      </c>
      <c r="E6790" s="3">
        <v>4</v>
      </c>
      <c r="F6790" s="3">
        <v>4</v>
      </c>
      <c r="G6790" t="s">
        <v>514</v>
      </c>
    </row>
    <row r="6791" spans="1:7" x14ac:dyDescent="0.25">
      <c r="A6791" s="1" t="str">
        <f>"514158"</f>
        <v>514158</v>
      </c>
      <c r="B6791" s="2" t="str">
        <f>"COLA ESPECIAL"</f>
        <v>COLA ESPECIAL</v>
      </c>
      <c r="C6791" s="2" t="str">
        <f t="shared" si="265"/>
        <v>UN</v>
      </c>
      <c r="D6791" s="7">
        <v>403</v>
      </c>
      <c r="E6791" s="3">
        <v>4</v>
      </c>
      <c r="F6791" s="3">
        <v>4</v>
      </c>
      <c r="G6791" t="s">
        <v>514</v>
      </c>
    </row>
    <row r="6792" spans="1:7" x14ac:dyDescent="0.25">
      <c r="A6792" s="1" t="str">
        <f>"525060"</f>
        <v>525060</v>
      </c>
      <c r="B6792" s="2" t="str">
        <f>"COLA P/ CANO DE PVC 1 LITRO"</f>
        <v>COLA P/ CANO DE PVC 1 LITRO</v>
      </c>
      <c r="C6792" s="2" t="str">
        <f t="shared" si="265"/>
        <v>UN</v>
      </c>
      <c r="D6792" s="7">
        <v>917</v>
      </c>
      <c r="E6792" s="3">
        <v>4</v>
      </c>
      <c r="F6792" s="3">
        <v>4</v>
      </c>
      <c r="G6792" t="s">
        <v>514</v>
      </c>
    </row>
    <row r="6793" spans="1:7" x14ac:dyDescent="0.25">
      <c r="A6793" s="1" t="str">
        <f>"500024"</f>
        <v>500024</v>
      </c>
      <c r="B6793" s="2" t="str">
        <f>"COLA P/ CANO PVC 175GR TIGRE AQUATERM"</f>
        <v>COLA P/ CANO PVC 175GR TIGRE AQUATERM</v>
      </c>
      <c r="C6793" s="2" t="str">
        <f t="shared" si="265"/>
        <v>UN</v>
      </c>
      <c r="D6793" s="7">
        <v>403</v>
      </c>
      <c r="E6793" s="3">
        <v>4</v>
      </c>
      <c r="F6793" s="3">
        <v>4</v>
      </c>
      <c r="G6793" t="s">
        <v>513</v>
      </c>
    </row>
    <row r="6794" spans="1:7" x14ac:dyDescent="0.25">
      <c r="A6794" s="1" t="str">
        <f>"508547"</f>
        <v>508547</v>
      </c>
      <c r="B6794" s="2" t="str">
        <f>"COLA P/ MOTOR E CAMBIO"</f>
        <v>COLA P/ MOTOR E CAMBIO</v>
      </c>
      <c r="C6794" s="2" t="str">
        <f t="shared" si="265"/>
        <v>UN</v>
      </c>
      <c r="D6794" s="7">
        <v>704</v>
      </c>
      <c r="E6794" s="3">
        <v>9</v>
      </c>
      <c r="F6794" s="3">
        <v>9</v>
      </c>
      <c r="G6794" t="s">
        <v>513</v>
      </c>
    </row>
    <row r="6795" spans="1:7" x14ac:dyDescent="0.25">
      <c r="A6795" s="1" t="str">
        <f>"518914"</f>
        <v>518914</v>
      </c>
      <c r="B6795" s="2" t="str">
        <f>"COLA POLIURETANO PU INDUSTRIAL CZ 400G"</f>
        <v>COLA POLIURETANO PU INDUSTRIAL CZ 400G</v>
      </c>
      <c r="C6795" s="2" t="str">
        <f t="shared" si="265"/>
        <v>UN</v>
      </c>
      <c r="D6795" s="7">
        <v>811</v>
      </c>
      <c r="E6795" s="3">
        <v>8</v>
      </c>
      <c r="F6795" s="3">
        <v>8</v>
      </c>
      <c r="G6795" t="s">
        <v>513</v>
      </c>
    </row>
    <row r="6796" spans="1:7" x14ac:dyDescent="0.25">
      <c r="A6796" s="1" t="str">
        <f>"527474"</f>
        <v>527474</v>
      </c>
      <c r="B6796" s="2" t="str">
        <f>"COLA QUENTE (BASTÃO)"</f>
        <v>COLA QUENTE (BASTÃO)</v>
      </c>
      <c r="C6796" s="2" t="str">
        <f t="shared" si="265"/>
        <v>UN</v>
      </c>
      <c r="D6796" s="7">
        <v>99999</v>
      </c>
      <c r="E6796" s="3">
        <v>99</v>
      </c>
      <c r="F6796" s="3">
        <v>99</v>
      </c>
      <c r="G6796" t="s">
        <v>512</v>
      </c>
    </row>
    <row r="6797" spans="1:7" x14ac:dyDescent="0.25">
      <c r="A6797" s="1" t="str">
        <f>"500167"</f>
        <v>500167</v>
      </c>
      <c r="B6797" s="2" t="str">
        <f>"COLA TENAZ (TUBO GRANDE)"</f>
        <v>COLA TENAZ (TUBO GRANDE)</v>
      </c>
      <c r="C6797" s="2" t="str">
        <f t="shared" si="265"/>
        <v>UN</v>
      </c>
      <c r="D6797" s="7">
        <v>402</v>
      </c>
      <c r="E6797" s="3">
        <v>4</v>
      </c>
      <c r="F6797" s="3">
        <v>4</v>
      </c>
      <c r="G6797" t="s">
        <v>513</v>
      </c>
    </row>
    <row r="6798" spans="1:7" x14ac:dyDescent="0.25">
      <c r="A6798" s="1" t="str">
        <f>"506400"</f>
        <v>506400</v>
      </c>
      <c r="B6798" s="2" t="str">
        <f>"COLA TENAZ 90GR"</f>
        <v>COLA TENAZ 90GR</v>
      </c>
      <c r="C6798" s="2" t="str">
        <f t="shared" si="265"/>
        <v>UN</v>
      </c>
      <c r="D6798" s="7">
        <v>402</v>
      </c>
      <c r="E6798" s="3">
        <v>4</v>
      </c>
      <c r="F6798" s="3">
        <v>4</v>
      </c>
      <c r="G6798" t="s">
        <v>514</v>
      </c>
    </row>
    <row r="6799" spans="1:7" x14ac:dyDescent="0.25">
      <c r="A6799" s="1" t="str">
        <f>"527943"</f>
        <v>527943</v>
      </c>
      <c r="B6799" s="2" t="str">
        <f>"COLA TRAVA P/ ROLAMENTO VISCOSIDADE BAIXA"</f>
        <v>COLA TRAVA P/ ROLAMENTO VISCOSIDADE BAIXA</v>
      </c>
      <c r="C6799" s="2" t="str">
        <f t="shared" si="265"/>
        <v>UN</v>
      </c>
      <c r="D6799" s="7">
        <v>402</v>
      </c>
      <c r="E6799" s="3">
        <v>4</v>
      </c>
      <c r="F6799" s="3">
        <v>4</v>
      </c>
      <c r="G6799" t="s">
        <v>515</v>
      </c>
    </row>
    <row r="6800" spans="1:7" x14ac:dyDescent="0.25">
      <c r="A6800" s="1" t="str">
        <f>"514650"</f>
        <v>514650</v>
      </c>
      <c r="B6800" s="2" t="str">
        <f>"COLA VIPAL"</f>
        <v>COLA VIPAL</v>
      </c>
      <c r="C6800" s="2" t="str">
        <f t="shared" si="265"/>
        <v>UN</v>
      </c>
      <c r="D6800" s="7">
        <v>408</v>
      </c>
      <c r="E6800" s="3">
        <v>4</v>
      </c>
      <c r="F6800" s="3">
        <v>4</v>
      </c>
      <c r="G6800" t="s">
        <v>512</v>
      </c>
    </row>
    <row r="6801" spans="1:7" x14ac:dyDescent="0.25">
      <c r="A6801" s="1" t="str">
        <f>"524281"</f>
        <v>524281</v>
      </c>
      <c r="B6801" s="2" t="str">
        <f>"COLAGENO HIDROLISADO 3GR CX C/ 30 COMPRIMIDOS"</f>
        <v>COLAGENO HIDROLISADO 3GR CX C/ 30 COMPRIMIDOS</v>
      </c>
      <c r="C6801" s="2" t="str">
        <f t="shared" si="265"/>
        <v>UN</v>
      </c>
      <c r="D6801" s="7">
        <v>99999</v>
      </c>
      <c r="E6801" s="3">
        <v>99</v>
      </c>
      <c r="F6801" s="3">
        <v>99</v>
      </c>
      <c r="G6801" t="s">
        <v>516</v>
      </c>
    </row>
    <row r="6802" spans="1:7" x14ac:dyDescent="0.25">
      <c r="A6802" s="1" t="str">
        <f>"523896"</f>
        <v>523896</v>
      </c>
      <c r="B6802" s="2" t="str">
        <f>"COLAR"</f>
        <v>COLAR</v>
      </c>
      <c r="C6802" s="2" t="str">
        <f t="shared" si="265"/>
        <v>UN</v>
      </c>
      <c r="D6802" s="7">
        <v>401</v>
      </c>
      <c r="E6802" s="3">
        <v>4</v>
      </c>
      <c r="F6802" s="3">
        <v>4</v>
      </c>
      <c r="G6802" t="s">
        <v>515</v>
      </c>
    </row>
    <row r="6803" spans="1:7" x14ac:dyDescent="0.25">
      <c r="A6803" s="1" t="str">
        <f>"515696"</f>
        <v>515696</v>
      </c>
      <c r="B6803" s="2" t="str">
        <f>"COLAR CERVICAL"</f>
        <v>COLAR CERVICAL</v>
      </c>
      <c r="C6803" s="2" t="str">
        <f t="shared" si="265"/>
        <v>UN</v>
      </c>
      <c r="D6803" s="7">
        <v>501</v>
      </c>
      <c r="E6803" s="3">
        <v>5</v>
      </c>
      <c r="F6803" s="3">
        <v>5</v>
      </c>
      <c r="G6803" t="s">
        <v>514</v>
      </c>
    </row>
    <row r="6804" spans="1:7" x14ac:dyDescent="0.25">
      <c r="A6804" s="1" t="str">
        <f>"514010"</f>
        <v>514010</v>
      </c>
      <c r="B6804" s="2" t="str">
        <f>"COLAR DE FIXAÇAO"</f>
        <v>COLAR DE FIXAÇAO</v>
      </c>
      <c r="C6804" s="2" t="str">
        <f t="shared" si="265"/>
        <v>UN</v>
      </c>
      <c r="D6804" s="7">
        <v>704</v>
      </c>
      <c r="E6804" s="3">
        <v>9</v>
      </c>
      <c r="F6804" s="3">
        <v>9</v>
      </c>
      <c r="G6804" t="s">
        <v>512</v>
      </c>
    </row>
    <row r="6805" spans="1:7" x14ac:dyDescent="0.25">
      <c r="A6805" s="1" t="str">
        <f>"501807"</f>
        <v>501807</v>
      </c>
      <c r="B6805" s="2" t="str">
        <f>"COLAR DO SEMI EIXO"</f>
        <v>COLAR DO SEMI EIXO</v>
      </c>
      <c r="C6805" s="2" t="str">
        <f t="shared" si="265"/>
        <v>UN</v>
      </c>
      <c r="D6805" s="7">
        <v>704</v>
      </c>
      <c r="E6805" s="3">
        <v>9</v>
      </c>
      <c r="F6805" s="3">
        <v>9</v>
      </c>
      <c r="G6805" t="s">
        <v>513</v>
      </c>
    </row>
    <row r="6806" spans="1:7" x14ac:dyDescent="0.25">
      <c r="A6806" s="1" t="str">
        <f>"520517"</f>
        <v>520517</v>
      </c>
      <c r="B6806" s="2" t="str">
        <f>"COLAR TOMADA PVC C/ TRAVAS 75MMX3/4"</f>
        <v>COLAR TOMADA PVC C/ TRAVAS 75MMX3/4</v>
      </c>
      <c r="C6806" s="2" t="str">
        <f>"BR"</f>
        <v>BR</v>
      </c>
      <c r="D6806" s="7">
        <v>808</v>
      </c>
      <c r="E6806" s="3">
        <v>10</v>
      </c>
      <c r="F6806" s="3">
        <v>10</v>
      </c>
      <c r="G6806" t="s">
        <v>514</v>
      </c>
    </row>
    <row r="6807" spans="1:7" x14ac:dyDescent="0.25">
      <c r="A6807" s="1" t="str">
        <f>"516146"</f>
        <v>516146</v>
      </c>
      <c r="B6807" s="2" t="str">
        <f>"COLCHÃO 78X08MM OVERLÃ ORTOBOM"</f>
        <v>COLCHÃO 78X08MM OVERLÃ ORTOBOM</v>
      </c>
      <c r="C6807" s="2" t="str">
        <f t="shared" ref="C6807:C6820" si="266">"UN"</f>
        <v>UN</v>
      </c>
      <c r="D6807" s="7">
        <v>812</v>
      </c>
      <c r="E6807" s="3">
        <v>4</v>
      </c>
      <c r="F6807" s="3">
        <v>4</v>
      </c>
      <c r="G6807" t="s">
        <v>514</v>
      </c>
    </row>
    <row r="6808" spans="1:7" x14ac:dyDescent="0.25">
      <c r="A6808" s="1" t="str">
        <f>"51397"</f>
        <v>51397</v>
      </c>
      <c r="B6808" s="2" t="str">
        <f>"COLCHAO ORTHOFLEX"</f>
        <v>COLCHAO ORTHOFLEX</v>
      </c>
      <c r="C6808" s="2" t="str">
        <f t="shared" si="266"/>
        <v>UN</v>
      </c>
      <c r="D6808" s="7">
        <v>401</v>
      </c>
      <c r="E6808" s="3">
        <v>4</v>
      </c>
      <c r="F6808" s="3">
        <v>4</v>
      </c>
      <c r="G6808" t="s">
        <v>512</v>
      </c>
    </row>
    <row r="6809" spans="1:7" x14ac:dyDescent="0.25">
      <c r="A6809" s="1" t="str">
        <f>"506131"</f>
        <v>506131</v>
      </c>
      <c r="B6809" s="2" t="str">
        <f>"COLCHAO ORTOFLEX ASCOL"</f>
        <v>COLCHAO ORTOFLEX ASCOL</v>
      </c>
      <c r="C6809" s="2" t="str">
        <f t="shared" si="266"/>
        <v>UN</v>
      </c>
      <c r="D6809" s="7">
        <v>402</v>
      </c>
      <c r="E6809" s="3">
        <v>4</v>
      </c>
      <c r="F6809" s="3">
        <v>4</v>
      </c>
      <c r="G6809" t="s">
        <v>513</v>
      </c>
    </row>
    <row r="6810" spans="1:7" x14ac:dyDescent="0.25">
      <c r="A6810" s="1" t="str">
        <f>"515508"</f>
        <v>515508</v>
      </c>
      <c r="B6810" s="2" t="str">
        <f>"COLEIRA"</f>
        <v>COLEIRA</v>
      </c>
      <c r="C6810" s="2" t="str">
        <f t="shared" si="266"/>
        <v>UN</v>
      </c>
      <c r="D6810" s="7">
        <v>401</v>
      </c>
      <c r="E6810" s="3">
        <v>4</v>
      </c>
      <c r="F6810" s="3">
        <v>4</v>
      </c>
      <c r="G6810" t="s">
        <v>514</v>
      </c>
    </row>
    <row r="6811" spans="1:7" x14ac:dyDescent="0.25">
      <c r="A6811" s="1" t="str">
        <f>"519610"</f>
        <v>519610</v>
      </c>
      <c r="B6811" s="2" t="str">
        <f>"COLETANEA GESTÃO PELA MERITOCRACIA"</f>
        <v>COLETANEA GESTÃO PELA MERITOCRACIA</v>
      </c>
      <c r="C6811" s="2" t="str">
        <f t="shared" si="266"/>
        <v>UN</v>
      </c>
      <c r="D6811" s="7">
        <v>99999</v>
      </c>
      <c r="E6811" s="3">
        <v>99</v>
      </c>
      <c r="F6811" s="3">
        <v>99</v>
      </c>
      <c r="G6811" t="s">
        <v>514</v>
      </c>
    </row>
    <row r="6812" spans="1:7" x14ac:dyDescent="0.25">
      <c r="A6812" s="1" t="str">
        <f>"514146"</f>
        <v>514146</v>
      </c>
      <c r="B6812" s="2" t="str">
        <f>"COLETE ATLETA DO FUTURO"</f>
        <v>COLETE ATLETA DO FUTURO</v>
      </c>
      <c r="C6812" s="2" t="str">
        <f t="shared" si="266"/>
        <v>UN</v>
      </c>
      <c r="D6812" s="7">
        <v>99999</v>
      </c>
      <c r="E6812" s="3">
        <v>99</v>
      </c>
      <c r="F6812" s="3">
        <v>99</v>
      </c>
      <c r="G6812" t="s">
        <v>514</v>
      </c>
    </row>
    <row r="6813" spans="1:7" x14ac:dyDescent="0.25">
      <c r="A6813" s="1" t="str">
        <f>"517664"</f>
        <v>517664</v>
      </c>
      <c r="B6813" s="2" t="str">
        <f>"COLETE PARA FUTEBOL"</f>
        <v>COLETE PARA FUTEBOL</v>
      </c>
      <c r="C6813" s="2" t="str">
        <f t="shared" si="266"/>
        <v>UN</v>
      </c>
      <c r="D6813" s="7">
        <v>99999</v>
      </c>
      <c r="E6813" s="3">
        <v>99</v>
      </c>
      <c r="F6813" s="3">
        <v>99</v>
      </c>
      <c r="G6813" t="s">
        <v>513</v>
      </c>
    </row>
    <row r="6814" spans="1:7" x14ac:dyDescent="0.25">
      <c r="A6814" s="1" t="str">
        <f>"521058"</f>
        <v>521058</v>
      </c>
      <c r="B6814" s="2" t="str">
        <f>"COLETE REFLETIVO G VICSA C/ ZIPER S/ BOLSO"</f>
        <v>COLETE REFLETIVO G VICSA C/ ZIPER S/ BOLSO</v>
      </c>
      <c r="C6814" s="2" t="str">
        <f t="shared" si="266"/>
        <v>UN</v>
      </c>
      <c r="D6814" s="7">
        <v>501</v>
      </c>
      <c r="E6814" s="3">
        <v>5</v>
      </c>
      <c r="F6814" s="3">
        <v>5</v>
      </c>
      <c r="G6814" t="s">
        <v>512</v>
      </c>
    </row>
    <row r="6815" spans="1:7" x14ac:dyDescent="0.25">
      <c r="A6815" s="1" t="str">
        <f>"521059"</f>
        <v>521059</v>
      </c>
      <c r="B6815" s="2" t="str">
        <f>"COLETE REFLETIVO GG VICSA C/ ZIPER S/ BOLSO"</f>
        <v>COLETE REFLETIVO GG VICSA C/ ZIPER S/ BOLSO</v>
      </c>
      <c r="C6815" s="2" t="str">
        <f t="shared" si="266"/>
        <v>UN</v>
      </c>
      <c r="D6815" s="7">
        <v>501</v>
      </c>
      <c r="E6815" s="3">
        <v>5</v>
      </c>
      <c r="F6815" s="3">
        <v>5</v>
      </c>
      <c r="G6815" t="s">
        <v>513</v>
      </c>
    </row>
    <row r="6816" spans="1:7" x14ac:dyDescent="0.25">
      <c r="A6816" s="1" t="str">
        <f>"521269"</f>
        <v>521269</v>
      </c>
      <c r="B6816" s="2" t="str">
        <f>"COLETE REFLETIVO M VICSA C/ ZIPER S/ BOLSO"</f>
        <v>COLETE REFLETIVO M VICSA C/ ZIPER S/ BOLSO</v>
      </c>
      <c r="C6816" s="2" t="str">
        <f t="shared" si="266"/>
        <v>UN</v>
      </c>
      <c r="D6816" s="7">
        <v>501</v>
      </c>
      <c r="E6816" s="3">
        <v>5</v>
      </c>
      <c r="F6816" s="3">
        <v>5</v>
      </c>
      <c r="G6816" t="s">
        <v>514</v>
      </c>
    </row>
    <row r="6817" spans="1:7" x14ac:dyDescent="0.25">
      <c r="A6817" s="1" t="str">
        <f>"523728"</f>
        <v>523728</v>
      </c>
      <c r="B6817" s="2" t="str">
        <f>"COLETE REFLETIVO V TACTEL LARANJA C/ FAIXA AMARELA/PRATA G"</f>
        <v>COLETE REFLETIVO V TACTEL LARANJA C/ FAIXA AMARELA/PRATA G</v>
      </c>
      <c r="C6817" s="2" t="str">
        <f t="shared" si="266"/>
        <v>UN</v>
      </c>
      <c r="D6817" s="7">
        <v>501</v>
      </c>
      <c r="E6817" s="3">
        <v>5</v>
      </c>
      <c r="F6817" s="3">
        <v>5</v>
      </c>
      <c r="G6817" t="s">
        <v>514</v>
      </c>
    </row>
    <row r="6818" spans="1:7" x14ac:dyDescent="0.25">
      <c r="A6818" s="1" t="str">
        <f>"523729"</f>
        <v>523729</v>
      </c>
      <c r="B6818" s="2" t="str">
        <f>"COLETE REFLETIVO V TACTEL LARANJA C/ FAIXA AMARELA/PRATA GG"</f>
        <v>COLETE REFLETIVO V TACTEL LARANJA C/ FAIXA AMARELA/PRATA GG</v>
      </c>
      <c r="C6818" s="2" t="str">
        <f t="shared" si="266"/>
        <v>UN</v>
      </c>
      <c r="D6818" s="7">
        <v>501</v>
      </c>
      <c r="E6818" s="3">
        <v>5</v>
      </c>
      <c r="F6818" s="3">
        <v>5</v>
      </c>
      <c r="G6818" t="s">
        <v>514</v>
      </c>
    </row>
    <row r="6819" spans="1:7" x14ac:dyDescent="0.25">
      <c r="A6819" s="1" t="str">
        <f>"523730"</f>
        <v>523730</v>
      </c>
      <c r="B6819" s="2" t="str">
        <f>"COLETE REFLETIVO V TACTEL LARANJA C/ FAIXA AMARELA/PRATA XG"</f>
        <v>COLETE REFLETIVO V TACTEL LARANJA C/ FAIXA AMARELA/PRATA XG</v>
      </c>
      <c r="C6819" s="2" t="str">
        <f t="shared" si="266"/>
        <v>UN</v>
      </c>
      <c r="D6819" s="7">
        <v>501</v>
      </c>
      <c r="E6819" s="3">
        <v>5</v>
      </c>
      <c r="F6819" s="3">
        <v>5</v>
      </c>
      <c r="G6819" t="s">
        <v>513</v>
      </c>
    </row>
    <row r="6820" spans="1:7" x14ac:dyDescent="0.25">
      <c r="A6820" s="1" t="str">
        <f>"521545"</f>
        <v>521545</v>
      </c>
      <c r="B6820" s="2" t="str">
        <f>"COLETE REFLETIVO XGG VICSA C/ ZIPER S/ BOLSO"</f>
        <v>COLETE REFLETIVO XGG VICSA C/ ZIPER S/ BOLSO</v>
      </c>
      <c r="C6820" s="2" t="str">
        <f t="shared" si="266"/>
        <v>UN</v>
      </c>
      <c r="D6820" s="7">
        <v>501</v>
      </c>
      <c r="E6820" s="3">
        <v>5</v>
      </c>
      <c r="F6820" s="3">
        <v>5</v>
      </c>
      <c r="G6820" t="s">
        <v>513</v>
      </c>
    </row>
    <row r="6821" spans="1:7" x14ac:dyDescent="0.25">
      <c r="A6821" s="1" t="str">
        <f>"521363"</f>
        <v>521363</v>
      </c>
      <c r="B6821" s="2" t="str">
        <f>"COLETE SALVA VIDAS 110KG"</f>
        <v>COLETE SALVA VIDAS 110KG</v>
      </c>
      <c r="C6821" s="2" t="str">
        <f>"PC"</f>
        <v>PC</v>
      </c>
      <c r="D6821" s="7">
        <v>501</v>
      </c>
      <c r="E6821" s="3">
        <v>5</v>
      </c>
      <c r="F6821" s="3">
        <v>5</v>
      </c>
      <c r="G6821" t="s">
        <v>513</v>
      </c>
    </row>
    <row r="6822" spans="1:7" x14ac:dyDescent="0.25">
      <c r="A6822" s="1" t="str">
        <f>"523683"</f>
        <v>523683</v>
      </c>
      <c r="B6822" s="2" t="str">
        <f>"COLETE SALVA VIDAS 140KG"</f>
        <v>COLETE SALVA VIDAS 140KG</v>
      </c>
      <c r="C6822" s="2" t="str">
        <f>"PC"</f>
        <v>PC</v>
      </c>
      <c r="D6822" s="7">
        <v>501</v>
      </c>
      <c r="E6822" s="3">
        <v>5</v>
      </c>
      <c r="F6822" s="3">
        <v>5</v>
      </c>
      <c r="G6822" t="s">
        <v>512</v>
      </c>
    </row>
    <row r="6823" spans="1:7" x14ac:dyDescent="0.25">
      <c r="A6823" s="1" t="str">
        <f>"512821"</f>
        <v>512821</v>
      </c>
      <c r="B6823" s="2" t="str">
        <f>"COLETE SINALIZAÇÃO"</f>
        <v>COLETE SINALIZAÇÃO</v>
      </c>
      <c r="C6823" s="2" t="str">
        <f>"UN"</f>
        <v>UN</v>
      </c>
      <c r="D6823" s="7">
        <v>817</v>
      </c>
      <c r="E6823" s="3">
        <v>4</v>
      </c>
      <c r="F6823" s="3">
        <v>4</v>
      </c>
      <c r="G6823" t="s">
        <v>513</v>
      </c>
    </row>
    <row r="6824" spans="1:7" x14ac:dyDescent="0.25">
      <c r="A6824" s="1" t="str">
        <f>"501764"</f>
        <v>501764</v>
      </c>
      <c r="B6824" s="2" t="str">
        <f>"COLETES E ARTIGOS SEMELHANTES"</f>
        <v>COLETES E ARTIGOS SEMELHANTES</v>
      </c>
      <c r="C6824" s="2" t="str">
        <f>"UN"</f>
        <v>UN</v>
      </c>
      <c r="D6824" s="7">
        <v>817</v>
      </c>
      <c r="E6824" s="3">
        <v>4</v>
      </c>
      <c r="F6824" s="3">
        <v>4</v>
      </c>
      <c r="G6824" t="s">
        <v>514</v>
      </c>
    </row>
    <row r="6825" spans="1:7" x14ac:dyDescent="0.25">
      <c r="A6825" s="1" t="str">
        <f>"524835"</f>
        <v>524835</v>
      </c>
      <c r="B6825" s="2" t="str">
        <f>"COLETOR"</f>
        <v>COLETOR</v>
      </c>
      <c r="C6825" s="2" t="str">
        <f>"UN"</f>
        <v>UN</v>
      </c>
      <c r="D6825" s="7">
        <v>704</v>
      </c>
      <c r="E6825" s="3">
        <v>9</v>
      </c>
      <c r="F6825" s="3">
        <v>9</v>
      </c>
      <c r="G6825" t="s">
        <v>515</v>
      </c>
    </row>
    <row r="6826" spans="1:7" x14ac:dyDescent="0.25">
      <c r="A6826" s="1" t="str">
        <f>"527062"</f>
        <v>527062</v>
      </c>
      <c r="B6826" s="2" t="str">
        <f>"COLETOR DE AR TESTE BAB BET"</f>
        <v>COLETOR DE AR TESTE BAB BET</v>
      </c>
      <c r="C6826" s="2" t="str">
        <f>"PC"</f>
        <v>PC</v>
      </c>
      <c r="D6826" s="7">
        <v>99999</v>
      </c>
      <c r="E6826" s="3">
        <v>99</v>
      </c>
      <c r="F6826" s="3">
        <v>99</v>
      </c>
      <c r="G6826" t="s">
        <v>512</v>
      </c>
    </row>
    <row r="6827" spans="1:7" x14ac:dyDescent="0.25">
      <c r="A6827" s="1" t="str">
        <f>"526295"</f>
        <v>526295</v>
      </c>
      <c r="B6827" s="2" t="str">
        <f>"COLETOR DE DADOS 2D IMAGER MOTOROLA MC3190-GI4H04EAA"</f>
        <v>COLETOR DE DADOS 2D IMAGER MOTOROLA MC3190-GI4H04EAA</v>
      </c>
      <c r="C6827" s="2" t="str">
        <f t="shared" ref="C6827:C6866" si="267">"UN"</f>
        <v>UN</v>
      </c>
      <c r="D6827" s="7">
        <v>1500</v>
      </c>
      <c r="E6827" s="3">
        <v>13</v>
      </c>
      <c r="F6827" s="3">
        <v>13</v>
      </c>
      <c r="G6827" t="s">
        <v>516</v>
      </c>
    </row>
    <row r="6828" spans="1:7" x14ac:dyDescent="0.25">
      <c r="A6828" s="1" t="str">
        <f>"508495"</f>
        <v>508495</v>
      </c>
      <c r="B6828" s="2" t="str">
        <f>"COLETOR DE DADOS INNER NET PROX"</f>
        <v>COLETOR DE DADOS INNER NET PROX</v>
      </c>
      <c r="C6828" s="2" t="str">
        <f t="shared" si="267"/>
        <v>UN</v>
      </c>
      <c r="D6828" s="7">
        <v>1500</v>
      </c>
      <c r="E6828" s="3">
        <v>13</v>
      </c>
      <c r="F6828" s="3">
        <v>13</v>
      </c>
      <c r="G6828" t="s">
        <v>515</v>
      </c>
    </row>
    <row r="6829" spans="1:7" x14ac:dyDescent="0.25">
      <c r="A6829" s="1" t="str">
        <f>"509463"</f>
        <v>509463</v>
      </c>
      <c r="B6829" s="2" t="str">
        <f>"COLETOR DE DADOS NEO PX750"</f>
        <v>COLETOR DE DADOS NEO PX750</v>
      </c>
      <c r="C6829" s="2" t="str">
        <f t="shared" si="267"/>
        <v>UN</v>
      </c>
      <c r="D6829" s="7">
        <v>401</v>
      </c>
      <c r="E6829" s="3">
        <v>4</v>
      </c>
      <c r="F6829" s="3">
        <v>4</v>
      </c>
      <c r="G6829" t="s">
        <v>514</v>
      </c>
    </row>
    <row r="6830" spans="1:7" x14ac:dyDescent="0.25">
      <c r="A6830" s="1" t="str">
        <f>"508426"</f>
        <v>508426</v>
      </c>
      <c r="B6830" s="2" t="str">
        <f>"COLETOR DE DADOS TP RF REF.DL-SCORPION-G"</f>
        <v>COLETOR DE DADOS TP RF REF.DL-SCORPION-G</v>
      </c>
      <c r="C6830" s="2" t="str">
        <f t="shared" si="267"/>
        <v>UN</v>
      </c>
      <c r="D6830" s="7">
        <v>1500</v>
      </c>
      <c r="E6830" s="3">
        <v>13</v>
      </c>
      <c r="F6830" s="3">
        <v>13</v>
      </c>
      <c r="G6830" t="s">
        <v>512</v>
      </c>
    </row>
    <row r="6831" spans="1:7" x14ac:dyDescent="0.25">
      <c r="A6831" s="1" t="str">
        <f>"524059"</f>
        <v>524059</v>
      </c>
      <c r="B6831" s="2" t="str">
        <f>"COLETOR DE DADOS ZEBRA MC33"</f>
        <v>COLETOR DE DADOS ZEBRA MC33</v>
      </c>
      <c r="C6831" s="2" t="str">
        <f t="shared" si="267"/>
        <v>UN</v>
      </c>
      <c r="D6831" s="7">
        <v>99999</v>
      </c>
      <c r="E6831" s="3">
        <v>99</v>
      </c>
      <c r="F6831" s="3">
        <v>99</v>
      </c>
      <c r="G6831" t="s">
        <v>513</v>
      </c>
    </row>
    <row r="6832" spans="1:7" x14ac:dyDescent="0.25">
      <c r="A6832" s="1" t="str">
        <f>"514011"</f>
        <v>514011</v>
      </c>
      <c r="B6832" s="2" t="str">
        <f>"COLETOR DESCARGA"</f>
        <v>COLETOR DESCARGA</v>
      </c>
      <c r="C6832" s="2" t="str">
        <f t="shared" si="267"/>
        <v>UN</v>
      </c>
      <c r="D6832" s="7">
        <v>704</v>
      </c>
      <c r="E6832" s="3">
        <v>9</v>
      </c>
      <c r="F6832" s="3">
        <v>9</v>
      </c>
      <c r="G6832" t="s">
        <v>514</v>
      </c>
    </row>
    <row r="6833" spans="1:7" x14ac:dyDescent="0.25">
      <c r="A6833" s="1" t="str">
        <f>"501763"</f>
        <v>501763</v>
      </c>
      <c r="B6833" s="2" t="str">
        <f>"COLETOR DO GA"</f>
        <v>COLETOR DO GA</v>
      </c>
      <c r="C6833" s="2" t="str">
        <f t="shared" si="267"/>
        <v>UN</v>
      </c>
      <c r="D6833" s="7">
        <v>704</v>
      </c>
      <c r="E6833" s="3">
        <v>9</v>
      </c>
      <c r="F6833" s="3">
        <v>9</v>
      </c>
      <c r="G6833" t="s">
        <v>514</v>
      </c>
    </row>
    <row r="6834" spans="1:7" x14ac:dyDescent="0.25">
      <c r="A6834" s="1" t="str">
        <f>"514647"</f>
        <v>514647</v>
      </c>
      <c r="B6834" s="2" t="str">
        <f>"COLETOR ESTERIL"</f>
        <v>COLETOR ESTERIL</v>
      </c>
      <c r="C6834" s="2" t="str">
        <f t="shared" si="267"/>
        <v>UN</v>
      </c>
      <c r="D6834" s="7">
        <v>406</v>
      </c>
      <c r="E6834" s="3">
        <v>4</v>
      </c>
      <c r="F6834" s="3">
        <v>4</v>
      </c>
      <c r="G6834" t="s">
        <v>512</v>
      </c>
    </row>
    <row r="6835" spans="1:7" x14ac:dyDescent="0.25">
      <c r="A6835" s="1" t="str">
        <f>"523954"</f>
        <v>523954</v>
      </c>
      <c r="B6835" s="2" t="str">
        <f>"COLETOR FAST FOOD FIBERGLASS 100 LT 1335"</f>
        <v>COLETOR FAST FOOD FIBERGLASS 100 LT 1335</v>
      </c>
      <c r="C6835" s="2" t="str">
        <f t="shared" si="267"/>
        <v>UN</v>
      </c>
      <c r="D6835" s="7">
        <v>400</v>
      </c>
      <c r="E6835" s="3">
        <v>4</v>
      </c>
      <c r="F6835" s="3">
        <v>4</v>
      </c>
      <c r="G6835" t="s">
        <v>513</v>
      </c>
    </row>
    <row r="6836" spans="1:7" x14ac:dyDescent="0.25">
      <c r="A6836" s="1" t="str">
        <f>"524097"</f>
        <v>524097</v>
      </c>
      <c r="B6836" s="2" t="str">
        <f>"COLETOR FIBERGLASS 28X24X35CM LARANJA 1620"</f>
        <v>COLETOR FIBERGLASS 28X24X35CM LARANJA 1620</v>
      </c>
      <c r="C6836" s="2" t="str">
        <f t="shared" si="267"/>
        <v>UN</v>
      </c>
      <c r="D6836" s="7">
        <v>400</v>
      </c>
      <c r="E6836" s="3">
        <v>4</v>
      </c>
      <c r="F6836" s="3">
        <v>4</v>
      </c>
      <c r="G6836" t="s">
        <v>514</v>
      </c>
    </row>
    <row r="6837" spans="1:7" x14ac:dyDescent="0.25">
      <c r="A6837" s="1" t="str">
        <f>"526372"</f>
        <v>526372</v>
      </c>
      <c r="B6837" s="2" t="str">
        <f>"COLETOR FIBERGLASS 29X29X51CM 30 LITROS 1553 BRANCO"</f>
        <v>COLETOR FIBERGLASS 29X29X51CM 30 LITROS 1553 BRANCO</v>
      </c>
      <c r="C6837" s="2" t="str">
        <f t="shared" si="267"/>
        <v>UN</v>
      </c>
      <c r="D6837" s="7">
        <v>400</v>
      </c>
      <c r="E6837" s="3">
        <v>4</v>
      </c>
      <c r="F6837" s="3">
        <v>4</v>
      </c>
      <c r="G6837" t="s">
        <v>514</v>
      </c>
    </row>
    <row r="6838" spans="1:7" x14ac:dyDescent="0.25">
      <c r="A6838" s="1" t="str">
        <f>"526373"</f>
        <v>526373</v>
      </c>
      <c r="B6838" s="2" t="str">
        <f>"COLETOR FIBERGLASS 29X29X51CM 30 LITROS 1553 CINZA"</f>
        <v>COLETOR FIBERGLASS 29X29X51CM 30 LITROS 1553 CINZA</v>
      </c>
      <c r="C6838" s="2" t="str">
        <f t="shared" si="267"/>
        <v>UN</v>
      </c>
      <c r="D6838" s="7">
        <v>400</v>
      </c>
      <c r="E6838" s="3">
        <v>4</v>
      </c>
      <c r="F6838" s="3">
        <v>4</v>
      </c>
      <c r="G6838" t="s">
        <v>514</v>
      </c>
    </row>
    <row r="6839" spans="1:7" x14ac:dyDescent="0.25">
      <c r="A6839" s="1" t="str">
        <f>"523948"</f>
        <v>523948</v>
      </c>
      <c r="B6839" s="2" t="str">
        <f>"COLETOR FIBERGLASS 50 LT 1013C"</f>
        <v>COLETOR FIBERGLASS 50 LT 1013C</v>
      </c>
      <c r="C6839" s="2" t="str">
        <f t="shared" si="267"/>
        <v>UN</v>
      </c>
      <c r="D6839" s="7">
        <v>400</v>
      </c>
      <c r="E6839" s="3">
        <v>4</v>
      </c>
      <c r="F6839" s="3">
        <v>4</v>
      </c>
      <c r="G6839" t="s">
        <v>513</v>
      </c>
    </row>
    <row r="6840" spans="1:7" x14ac:dyDescent="0.25">
      <c r="A6840" s="1" t="str">
        <f>"523956"</f>
        <v>523956</v>
      </c>
      <c r="B6840" s="2" t="str">
        <f>"COLETOR FIBERGLASS 75 LT CZ 1069"</f>
        <v>COLETOR FIBERGLASS 75 LT CZ 1069</v>
      </c>
      <c r="C6840" s="2" t="str">
        <f t="shared" si="267"/>
        <v>UN</v>
      </c>
      <c r="D6840" s="7">
        <v>400</v>
      </c>
      <c r="E6840" s="3">
        <v>4</v>
      </c>
      <c r="F6840" s="3">
        <v>4</v>
      </c>
      <c r="G6840" t="s">
        <v>512</v>
      </c>
    </row>
    <row r="6841" spans="1:7" x14ac:dyDescent="0.25">
      <c r="A6841" s="1" t="str">
        <f>"523950"</f>
        <v>523950</v>
      </c>
      <c r="B6841" s="2" t="str">
        <f>"COLETOR FIBERGLASS P/ COPO 30X70CM P/ 600 COPOS VM 1512"</f>
        <v>COLETOR FIBERGLASS P/ COPO 30X70CM P/ 600 COPOS VM 1512</v>
      </c>
      <c r="C6841" s="2" t="str">
        <f t="shared" si="267"/>
        <v>UN</v>
      </c>
      <c r="D6841" s="7">
        <v>400</v>
      </c>
      <c r="E6841" s="3">
        <v>4</v>
      </c>
      <c r="F6841" s="3">
        <v>4</v>
      </c>
      <c r="G6841" t="s">
        <v>513</v>
      </c>
    </row>
    <row r="6842" spans="1:7" x14ac:dyDescent="0.25">
      <c r="A6842" s="1" t="str">
        <f>"523013"</f>
        <v>523013</v>
      </c>
      <c r="B6842" s="2" t="str">
        <f>"COLETOR INOX C/ TAMPA 28X24X83MM 50LT AZUL 1175 PAPEL"</f>
        <v>COLETOR INOX C/ TAMPA 28X24X83MM 50LT AZUL 1175 PAPEL</v>
      </c>
      <c r="C6842" s="2" t="str">
        <f t="shared" si="267"/>
        <v>UN</v>
      </c>
      <c r="D6842" s="7">
        <v>400</v>
      </c>
      <c r="E6842" s="3">
        <v>4</v>
      </c>
      <c r="F6842" s="3">
        <v>4</v>
      </c>
      <c r="G6842" t="s">
        <v>514</v>
      </c>
    </row>
    <row r="6843" spans="1:7" x14ac:dyDescent="0.25">
      <c r="A6843" s="1" t="str">
        <f>"523015"</f>
        <v>523015</v>
      </c>
      <c r="B6843" s="2" t="str">
        <f>"COLETOR INOX C/ TAMPA 28X24X83MM 50LT BRANCO 1175 LUVAS"</f>
        <v>COLETOR INOX C/ TAMPA 28X24X83MM 50LT BRANCO 1175 LUVAS</v>
      </c>
      <c r="C6843" s="2" t="str">
        <f t="shared" si="267"/>
        <v>UN</v>
      </c>
      <c r="D6843" s="7">
        <v>400</v>
      </c>
      <c r="E6843" s="3">
        <v>4</v>
      </c>
      <c r="F6843" s="3">
        <v>4</v>
      </c>
      <c r="G6843" t="s">
        <v>514</v>
      </c>
    </row>
    <row r="6844" spans="1:7" x14ac:dyDescent="0.25">
      <c r="A6844" s="1" t="str">
        <f>"523014"</f>
        <v>523014</v>
      </c>
      <c r="B6844" s="2" t="str">
        <f>"COLETOR INOX C/ TAMPA 28X24X83MM 50LT VERMELHO 1175 PLASTICO"</f>
        <v>COLETOR INOX C/ TAMPA 28X24X83MM 50LT VERMELHO 1175 PLASTICO</v>
      </c>
      <c r="C6844" s="2" t="str">
        <f t="shared" si="267"/>
        <v>UN</v>
      </c>
      <c r="D6844" s="7">
        <v>400</v>
      </c>
      <c r="E6844" s="3">
        <v>4</v>
      </c>
      <c r="F6844" s="3">
        <v>4</v>
      </c>
      <c r="G6844" t="s">
        <v>514</v>
      </c>
    </row>
    <row r="6845" spans="1:7" x14ac:dyDescent="0.25">
      <c r="A6845" s="1" t="str">
        <f>"526796"</f>
        <v>526796</v>
      </c>
      <c r="B6845" s="2" t="str">
        <f>"COLETOR POLIETILENO - 100 LITROS"</f>
        <v>COLETOR POLIETILENO - 100 LITROS</v>
      </c>
      <c r="C6845" s="2" t="str">
        <f t="shared" si="267"/>
        <v>UN</v>
      </c>
      <c r="D6845" s="7">
        <v>400</v>
      </c>
      <c r="E6845" s="3">
        <v>4</v>
      </c>
      <c r="F6845" s="3">
        <v>4</v>
      </c>
      <c r="G6845" t="s">
        <v>513</v>
      </c>
    </row>
    <row r="6846" spans="1:7" x14ac:dyDescent="0.25">
      <c r="A6846" s="1" t="str">
        <f>"526374"</f>
        <v>526374</v>
      </c>
      <c r="B6846" s="2" t="str">
        <f>"COLETOR POLIETILENO 24X30X37CM 15 LITROS 4549 CINZA"</f>
        <v>COLETOR POLIETILENO 24X30X37CM 15 LITROS 4549 CINZA</v>
      </c>
      <c r="C6846" s="2" t="str">
        <f t="shared" si="267"/>
        <v>UN</v>
      </c>
      <c r="D6846" s="7">
        <v>400</v>
      </c>
      <c r="E6846" s="3">
        <v>4</v>
      </c>
      <c r="F6846" s="3">
        <v>4</v>
      </c>
      <c r="G6846" t="s">
        <v>513</v>
      </c>
    </row>
    <row r="6847" spans="1:7" x14ac:dyDescent="0.25">
      <c r="A6847" s="1" t="str">
        <f>"523957"</f>
        <v>523957</v>
      </c>
      <c r="B6847" s="2" t="str">
        <f>"COLETOR POLIPROPILENO 50 LITROS AZ 4068"</f>
        <v>COLETOR POLIPROPILENO 50 LITROS AZ 4068</v>
      </c>
      <c r="C6847" s="2" t="str">
        <f t="shared" si="267"/>
        <v>UN</v>
      </c>
      <c r="D6847" s="7">
        <v>400</v>
      </c>
      <c r="E6847" s="3">
        <v>4</v>
      </c>
      <c r="F6847" s="3">
        <v>4</v>
      </c>
      <c r="G6847" t="s">
        <v>513</v>
      </c>
    </row>
    <row r="6848" spans="1:7" x14ac:dyDescent="0.25">
      <c r="A6848" s="1" t="str">
        <f>"523955"</f>
        <v>523955</v>
      </c>
      <c r="B6848" s="2" t="str">
        <f>"COLETOR POLIPROPILENO P/ COPOS AGUA/CAFÉ VM 1531"</f>
        <v>COLETOR POLIPROPILENO P/ COPOS AGUA/CAFÉ VM 1531</v>
      </c>
      <c r="C6848" s="2" t="str">
        <f t="shared" si="267"/>
        <v>UN</v>
      </c>
      <c r="D6848" s="7">
        <v>400</v>
      </c>
      <c r="E6848" s="3">
        <v>4</v>
      </c>
      <c r="F6848" s="3">
        <v>4</v>
      </c>
      <c r="G6848" t="s">
        <v>512</v>
      </c>
    </row>
    <row r="6849" spans="1:7" x14ac:dyDescent="0.25">
      <c r="A6849" s="1" t="str">
        <f>"522819"</f>
        <v>522819</v>
      </c>
      <c r="B6849" s="2" t="str">
        <f>"COLETOR SELETIVO 2 LIXEIRAS PLAST./PAPEL 50L C/ SUP. AÇO"</f>
        <v>COLETOR SELETIVO 2 LIXEIRAS PLAST./PAPEL 50L C/ SUP. AÇO</v>
      </c>
      <c r="C6849" s="2" t="str">
        <f t="shared" si="267"/>
        <v>UN</v>
      </c>
      <c r="D6849" s="7">
        <v>400</v>
      </c>
      <c r="E6849" s="3">
        <v>10</v>
      </c>
      <c r="F6849" s="3">
        <v>10</v>
      </c>
      <c r="G6849" t="s">
        <v>513</v>
      </c>
    </row>
    <row r="6850" spans="1:7" x14ac:dyDescent="0.25">
      <c r="A6850" s="1" t="str">
        <f>"513945"</f>
        <v>513945</v>
      </c>
      <c r="B6850" s="2" t="str">
        <f>"COLETOR SISTEMA CORTE"</f>
        <v>COLETOR SISTEMA CORTE</v>
      </c>
      <c r="C6850" s="2" t="str">
        <f t="shared" si="267"/>
        <v>UN</v>
      </c>
      <c r="D6850" s="7">
        <v>99999</v>
      </c>
      <c r="E6850" s="3">
        <v>99</v>
      </c>
      <c r="F6850" s="3">
        <v>99</v>
      </c>
      <c r="G6850" t="s">
        <v>514</v>
      </c>
    </row>
    <row r="6851" spans="1:7" x14ac:dyDescent="0.25">
      <c r="A6851" s="1" t="str">
        <f>"519079"</f>
        <v>519079</v>
      </c>
      <c r="B6851" s="2" t="str">
        <f>"COLETOR TRANSLUCIDO 80ML ESTÉRIL"</f>
        <v>COLETOR TRANSLUCIDO 80ML ESTÉRIL</v>
      </c>
      <c r="C6851" s="2" t="str">
        <f t="shared" si="267"/>
        <v>UN</v>
      </c>
      <c r="D6851" s="7">
        <v>406</v>
      </c>
      <c r="E6851" s="3">
        <v>4</v>
      </c>
      <c r="F6851" s="3">
        <v>4</v>
      </c>
      <c r="G6851" t="s">
        <v>515</v>
      </c>
    </row>
    <row r="6852" spans="1:7" x14ac:dyDescent="0.25">
      <c r="A6852" s="1" t="str">
        <f>"518695"</f>
        <v>518695</v>
      </c>
      <c r="B6852" s="2" t="str">
        <f>"COLHER DE INOX"</f>
        <v>COLHER DE INOX</v>
      </c>
      <c r="C6852" s="2" t="str">
        <f t="shared" si="267"/>
        <v>UN</v>
      </c>
      <c r="D6852" s="7">
        <v>920</v>
      </c>
      <c r="E6852" s="3">
        <v>4</v>
      </c>
      <c r="F6852" s="3">
        <v>4</v>
      </c>
      <c r="G6852" t="s">
        <v>512</v>
      </c>
    </row>
    <row r="6853" spans="1:7" x14ac:dyDescent="0.25">
      <c r="A6853" s="1" t="str">
        <f>"514591"</f>
        <v>514591</v>
      </c>
      <c r="B6853" s="2" t="str">
        <f>"COLHER DE PEDREIRO"</f>
        <v>COLHER DE PEDREIRO</v>
      </c>
      <c r="C6853" s="2" t="str">
        <f t="shared" si="267"/>
        <v>UN</v>
      </c>
      <c r="D6853" s="7">
        <v>817</v>
      </c>
      <c r="E6853" s="3">
        <v>4</v>
      </c>
      <c r="F6853" s="3">
        <v>4</v>
      </c>
      <c r="G6853" t="s">
        <v>516</v>
      </c>
    </row>
    <row r="6854" spans="1:7" x14ac:dyDescent="0.25">
      <c r="A6854" s="1" t="str">
        <f>"523530"</f>
        <v>523530</v>
      </c>
      <c r="B6854" s="2" t="str">
        <f>"COLHER DE SILICONE"</f>
        <v>COLHER DE SILICONE</v>
      </c>
      <c r="C6854" s="2" t="str">
        <f t="shared" si="267"/>
        <v>UN</v>
      </c>
      <c r="D6854" s="7">
        <v>99999</v>
      </c>
      <c r="E6854" s="3">
        <v>99</v>
      </c>
      <c r="F6854" s="3">
        <v>99</v>
      </c>
      <c r="G6854" t="s">
        <v>515</v>
      </c>
    </row>
    <row r="6855" spans="1:7" x14ac:dyDescent="0.25">
      <c r="A6855" s="1" t="str">
        <f>"518738"</f>
        <v>518738</v>
      </c>
      <c r="B6855" s="2" t="str">
        <f>"COLHER MADEIRA"</f>
        <v>COLHER MADEIRA</v>
      </c>
      <c r="C6855" s="2" t="str">
        <f t="shared" si="267"/>
        <v>UN</v>
      </c>
      <c r="D6855" s="7">
        <v>920</v>
      </c>
      <c r="E6855" s="3">
        <v>4</v>
      </c>
      <c r="F6855" s="3">
        <v>4</v>
      </c>
      <c r="G6855" t="s">
        <v>514</v>
      </c>
    </row>
    <row r="6856" spans="1:7" x14ac:dyDescent="0.25">
      <c r="A6856" s="1" t="str">
        <f>"512941"</f>
        <v>512941</v>
      </c>
      <c r="B6856" s="2" t="str">
        <f>"COLHER P/ DEGUSTAÇÃO TRANSPARENTE (TIPO PÁZINHA) CX C/ 3000"</f>
        <v>COLHER P/ DEGUSTAÇÃO TRANSPARENTE (TIPO PÁZINHA) CX C/ 3000</v>
      </c>
      <c r="C6856" s="2" t="str">
        <f t="shared" si="267"/>
        <v>UN</v>
      </c>
      <c r="D6856" s="7">
        <v>401</v>
      </c>
      <c r="E6856" s="3">
        <v>4</v>
      </c>
      <c r="F6856" s="3">
        <v>4</v>
      </c>
      <c r="G6856" t="s">
        <v>512</v>
      </c>
    </row>
    <row r="6857" spans="1:7" x14ac:dyDescent="0.25">
      <c r="A6857" s="1" t="str">
        <f>"518220"</f>
        <v>518220</v>
      </c>
      <c r="B6857" s="2" t="str">
        <f>"COLHER PICCOLO CAFÉ 12X500"</f>
        <v>COLHER PICCOLO CAFÉ 12X500</v>
      </c>
      <c r="C6857" s="2" t="str">
        <f t="shared" si="267"/>
        <v>UN</v>
      </c>
      <c r="D6857" s="7">
        <v>920</v>
      </c>
      <c r="E6857" s="3">
        <v>4</v>
      </c>
      <c r="F6857" s="3">
        <v>4</v>
      </c>
      <c r="G6857" t="s">
        <v>513</v>
      </c>
    </row>
    <row r="6858" spans="1:7" x14ac:dyDescent="0.25">
      <c r="A6858" s="1" t="str">
        <f>"517042"</f>
        <v>517042</v>
      </c>
      <c r="B6858" s="2" t="str">
        <f>"COLHER SOBREMESA PRA FESTA CRISTAL 8910 1X1000 (CX C/ 1000)"</f>
        <v>COLHER SOBREMESA PRA FESTA CRISTAL 8910 1X1000 (CX C/ 1000)</v>
      </c>
      <c r="C6858" s="2" t="str">
        <f t="shared" si="267"/>
        <v>UN</v>
      </c>
      <c r="D6858" s="7">
        <v>918</v>
      </c>
      <c r="E6858" s="3">
        <v>4</v>
      </c>
      <c r="F6858" s="3">
        <v>4</v>
      </c>
      <c r="G6858" t="s">
        <v>514</v>
      </c>
    </row>
    <row r="6859" spans="1:7" x14ac:dyDescent="0.25">
      <c r="A6859" s="1" t="str">
        <f>"573816"</f>
        <v>573816</v>
      </c>
      <c r="B6859" s="2" t="str">
        <f>"COLIRIO FRESH TEAR"</f>
        <v>COLIRIO FRESH TEAR</v>
      </c>
      <c r="C6859" s="2" t="str">
        <f t="shared" si="267"/>
        <v>UN</v>
      </c>
      <c r="D6859" s="7">
        <v>99999</v>
      </c>
      <c r="E6859" s="3">
        <v>99</v>
      </c>
      <c r="F6859" s="3">
        <v>99</v>
      </c>
      <c r="G6859" t="s">
        <v>514</v>
      </c>
    </row>
    <row r="6860" spans="1:7" x14ac:dyDescent="0.25">
      <c r="A6860" s="1" t="str">
        <f>"514622"</f>
        <v>514622</v>
      </c>
      <c r="B6860" s="2" t="str">
        <f>"COLIRIO LEGRAND FR 20ML"</f>
        <v>COLIRIO LEGRAND FR 20ML</v>
      </c>
      <c r="C6860" s="2" t="str">
        <f t="shared" si="267"/>
        <v>UN</v>
      </c>
      <c r="D6860" s="7">
        <v>406</v>
      </c>
      <c r="E6860" s="3">
        <v>4</v>
      </c>
      <c r="F6860" s="3">
        <v>4</v>
      </c>
      <c r="G6860" t="s">
        <v>512</v>
      </c>
    </row>
    <row r="6861" spans="1:7" x14ac:dyDescent="0.25">
      <c r="A6861" s="1" t="str">
        <f>"505099"</f>
        <v>505099</v>
      </c>
      <c r="B6861" s="2" t="str">
        <f>"COLMEIA RADIADOR"</f>
        <v>COLMEIA RADIADOR</v>
      </c>
      <c r="C6861" s="2" t="str">
        <f t="shared" si="267"/>
        <v>UN</v>
      </c>
      <c r="D6861" s="7">
        <v>704</v>
      </c>
      <c r="E6861" s="3">
        <v>9</v>
      </c>
      <c r="F6861" s="3">
        <v>9</v>
      </c>
      <c r="G6861" t="s">
        <v>513</v>
      </c>
    </row>
    <row r="6862" spans="1:7" x14ac:dyDescent="0.25">
      <c r="A6862" s="1" t="str">
        <f>"515073"</f>
        <v>515073</v>
      </c>
      <c r="B6862" s="2" t="str">
        <f>"COLORGIN U.G. PRATA RAPIDO 5100"</f>
        <v>COLORGIN U.G. PRATA RAPIDO 5100</v>
      </c>
      <c r="C6862" s="2" t="str">
        <f t="shared" si="267"/>
        <v>UN</v>
      </c>
      <c r="D6862" s="7">
        <v>704</v>
      </c>
      <c r="E6862" s="3">
        <v>9</v>
      </c>
      <c r="F6862" s="3">
        <v>9</v>
      </c>
      <c r="G6862" t="s">
        <v>514</v>
      </c>
    </row>
    <row r="6863" spans="1:7" x14ac:dyDescent="0.25">
      <c r="A6863" s="1" t="str">
        <f>"515072"</f>
        <v>515072</v>
      </c>
      <c r="B6863" s="2" t="str">
        <f>"COLORGIN U.G. PRETO FOSCO 5400"</f>
        <v>COLORGIN U.G. PRETO FOSCO 5400</v>
      </c>
      <c r="C6863" s="2" t="str">
        <f t="shared" si="267"/>
        <v>UN</v>
      </c>
      <c r="D6863" s="7">
        <v>704</v>
      </c>
      <c r="E6863" s="3">
        <v>9</v>
      </c>
      <c r="F6863" s="3">
        <v>9</v>
      </c>
      <c r="G6863" t="s">
        <v>514</v>
      </c>
    </row>
    <row r="6864" spans="1:7" x14ac:dyDescent="0.25">
      <c r="A6864" s="1" t="str">
        <f>"524608"</f>
        <v>524608</v>
      </c>
      <c r="B6864" s="8" t="s">
        <v>385</v>
      </c>
      <c r="C6864" s="2" t="str">
        <f t="shared" si="267"/>
        <v>UN</v>
      </c>
      <c r="D6864" s="7">
        <v>406</v>
      </c>
      <c r="E6864" s="3">
        <v>13</v>
      </c>
      <c r="F6864" s="3">
        <v>13</v>
      </c>
      <c r="G6864" t="s">
        <v>514</v>
      </c>
    </row>
    <row r="6865" spans="1:7" x14ac:dyDescent="0.25">
      <c r="A6865" s="1" t="str">
        <f>"515929"</f>
        <v>515929</v>
      </c>
      <c r="B6865" s="2" t="str">
        <f>"COLORSEAL ECOLOGICO CERAMICA TELHA 18L"</f>
        <v>COLORSEAL ECOLOGICO CERAMICA TELHA 18L</v>
      </c>
      <c r="C6865" s="2" t="str">
        <f t="shared" si="267"/>
        <v>UN</v>
      </c>
      <c r="D6865" s="7">
        <v>99999</v>
      </c>
      <c r="E6865" s="3">
        <v>99</v>
      </c>
      <c r="F6865" s="3">
        <v>99</v>
      </c>
      <c r="G6865" t="s">
        <v>513</v>
      </c>
    </row>
    <row r="6866" spans="1:7" x14ac:dyDescent="0.25">
      <c r="A6866" s="1" t="str">
        <f>"506990"</f>
        <v>506990</v>
      </c>
      <c r="B6866" s="2" t="str">
        <f>"COLUNA"</f>
        <v>COLUNA</v>
      </c>
      <c r="C6866" s="2" t="str">
        <f t="shared" si="267"/>
        <v>UN</v>
      </c>
      <c r="D6866" s="7">
        <v>704</v>
      </c>
      <c r="E6866" s="3">
        <v>9</v>
      </c>
      <c r="F6866" s="3">
        <v>9</v>
      </c>
      <c r="G6866" t="s">
        <v>512</v>
      </c>
    </row>
    <row r="6867" spans="1:7" x14ac:dyDescent="0.25">
      <c r="A6867" s="1" t="str">
        <f>"522727"</f>
        <v>522727</v>
      </c>
      <c r="B6867" s="2" t="str">
        <f>"COLUNA 7X14 X 5/16 6 METROS"</f>
        <v>COLUNA 7X14 X 5/16 6 METROS</v>
      </c>
      <c r="C6867" s="2" t="str">
        <f>"BR"</f>
        <v>BR</v>
      </c>
      <c r="D6867" s="7">
        <v>917</v>
      </c>
      <c r="E6867" s="3">
        <v>10</v>
      </c>
      <c r="F6867" s="3">
        <v>10</v>
      </c>
      <c r="G6867" t="s">
        <v>513</v>
      </c>
    </row>
    <row r="6868" spans="1:7" x14ac:dyDescent="0.25">
      <c r="A6868" s="1" t="str">
        <f>"514450"</f>
        <v>514450</v>
      </c>
      <c r="B6868" s="2" t="str">
        <f>"COLUNA A GAS"</f>
        <v>COLUNA A GAS</v>
      </c>
      <c r="C6868" s="2" t="str">
        <f t="shared" ref="C6868:C6905" si="268">"UN"</f>
        <v>UN</v>
      </c>
      <c r="D6868" s="7">
        <v>401</v>
      </c>
      <c r="E6868" s="3">
        <v>4</v>
      </c>
      <c r="F6868" s="3">
        <v>4</v>
      </c>
      <c r="G6868" t="s">
        <v>514</v>
      </c>
    </row>
    <row r="6869" spans="1:7" x14ac:dyDescent="0.25">
      <c r="A6869" s="1" t="str">
        <f>"520849"</f>
        <v>520849</v>
      </c>
      <c r="B6869" s="2" t="str">
        <f>"COLUNA D4399-30599"</f>
        <v>COLUNA D4399-30599</v>
      </c>
      <c r="C6869" s="2" t="str">
        <f t="shared" si="268"/>
        <v>UN</v>
      </c>
      <c r="D6869" s="7">
        <v>1300</v>
      </c>
      <c r="E6869" s="3">
        <v>11</v>
      </c>
      <c r="F6869" s="3">
        <v>11</v>
      </c>
      <c r="G6869" t="s">
        <v>514</v>
      </c>
    </row>
    <row r="6870" spans="1:7" x14ac:dyDescent="0.25">
      <c r="A6870" s="1" t="str">
        <f>"520846"</f>
        <v>520846</v>
      </c>
      <c r="B6870" s="2" t="str">
        <f>"COLUNA D4399-54951"</f>
        <v>COLUNA D4399-54951</v>
      </c>
      <c r="C6870" s="2" t="str">
        <f t="shared" si="268"/>
        <v>UN</v>
      </c>
      <c r="D6870" s="7">
        <v>1300</v>
      </c>
      <c r="E6870" s="3">
        <v>11</v>
      </c>
      <c r="F6870" s="3">
        <v>11</v>
      </c>
      <c r="G6870" t="s">
        <v>514</v>
      </c>
    </row>
    <row r="6871" spans="1:7" x14ac:dyDescent="0.25">
      <c r="A6871" s="1" t="str">
        <f>"507900"</f>
        <v>507900</v>
      </c>
      <c r="B6871" s="2" t="str">
        <f>"COLUNA DE DIREÇAO COMPLETA"</f>
        <v>COLUNA DE DIREÇAO COMPLETA</v>
      </c>
      <c r="C6871" s="2" t="str">
        <f t="shared" si="268"/>
        <v>UN</v>
      </c>
      <c r="D6871" s="7">
        <v>704</v>
      </c>
      <c r="E6871" s="3">
        <v>9</v>
      </c>
      <c r="F6871" s="3">
        <v>9</v>
      </c>
      <c r="G6871" t="s">
        <v>513</v>
      </c>
    </row>
    <row r="6872" spans="1:7" x14ac:dyDescent="0.25">
      <c r="A6872" s="1" t="str">
        <f>"522758"</f>
        <v>522758</v>
      </c>
      <c r="B6872" s="2" t="str">
        <f>"COLUNA IZY P/ LAVATORIO BRANCO DECA"</f>
        <v>COLUNA IZY P/ LAVATORIO BRANCO DECA</v>
      </c>
      <c r="C6872" s="2" t="str">
        <f t="shared" si="268"/>
        <v>UN</v>
      </c>
      <c r="D6872" s="7">
        <v>917</v>
      </c>
      <c r="E6872" s="3">
        <v>10</v>
      </c>
      <c r="F6872" s="3">
        <v>10</v>
      </c>
      <c r="G6872" t="s">
        <v>513</v>
      </c>
    </row>
    <row r="6873" spans="1:7" x14ac:dyDescent="0.25">
      <c r="A6873" s="1" t="str">
        <f>"511407"</f>
        <v>511407</v>
      </c>
      <c r="B6873" s="2" t="str">
        <f>"COLUNA LATERAL DIREITA 600MM"</f>
        <v>COLUNA LATERAL DIREITA 600MM</v>
      </c>
      <c r="C6873" s="2" t="str">
        <f t="shared" si="268"/>
        <v>UN</v>
      </c>
      <c r="D6873" s="7">
        <v>704</v>
      </c>
      <c r="E6873" s="3">
        <v>9</v>
      </c>
      <c r="F6873" s="3">
        <v>9</v>
      </c>
      <c r="G6873" t="s">
        <v>513</v>
      </c>
    </row>
    <row r="6874" spans="1:7" x14ac:dyDescent="0.25">
      <c r="A6874" s="1" t="str">
        <f>"520571"</f>
        <v>520571</v>
      </c>
      <c r="B6874" s="2" t="str">
        <f>"COLUNA LUMINOSA 2 ELEME. LED D60MM"</f>
        <v>COLUNA LUMINOSA 2 ELEME. LED D60MM</v>
      </c>
      <c r="C6874" s="2" t="str">
        <f t="shared" si="268"/>
        <v>UN</v>
      </c>
      <c r="D6874" s="7">
        <v>601</v>
      </c>
      <c r="E6874" s="3">
        <v>8</v>
      </c>
      <c r="F6874" s="3">
        <v>8</v>
      </c>
      <c r="G6874" t="s">
        <v>512</v>
      </c>
    </row>
    <row r="6875" spans="1:7" x14ac:dyDescent="0.25">
      <c r="A6875" s="1" t="str">
        <f>"510297"</f>
        <v>510297</v>
      </c>
      <c r="B6875" s="2" t="str">
        <f>"COLUNA P/ LAVATORIO STYLUS BRANCO CELITE"</f>
        <v>COLUNA P/ LAVATORIO STYLUS BRANCO CELITE</v>
      </c>
      <c r="C6875" s="2" t="str">
        <f t="shared" si="268"/>
        <v>UN</v>
      </c>
      <c r="D6875" s="7">
        <v>803</v>
      </c>
      <c r="E6875" s="3">
        <v>10</v>
      </c>
      <c r="F6875" s="3">
        <v>10</v>
      </c>
      <c r="G6875" t="s">
        <v>513</v>
      </c>
    </row>
    <row r="6876" spans="1:7" x14ac:dyDescent="0.25">
      <c r="A6876" s="1" t="str">
        <f>"509498"</f>
        <v>509498</v>
      </c>
      <c r="B6876" s="2" t="str">
        <f>"COLUNA SUST SILIND DNC 15812403"</f>
        <v>COLUNA SUST SILIND DNC 15812403</v>
      </c>
      <c r="C6876" s="2" t="str">
        <f t="shared" si="268"/>
        <v>UN</v>
      </c>
      <c r="D6876" s="7">
        <v>918</v>
      </c>
      <c r="E6876" s="3">
        <v>11</v>
      </c>
      <c r="F6876" s="3">
        <v>11</v>
      </c>
      <c r="G6876" t="s">
        <v>514</v>
      </c>
    </row>
    <row r="6877" spans="1:7" x14ac:dyDescent="0.25">
      <c r="A6877" s="1" t="str">
        <f>"504010"</f>
        <v>504010</v>
      </c>
      <c r="B6877" s="2" t="str">
        <f>"COLUNAS E BUCHAS"</f>
        <v>COLUNAS E BUCHAS</v>
      </c>
      <c r="C6877" s="2" t="str">
        <f t="shared" si="268"/>
        <v>UN</v>
      </c>
      <c r="D6877" s="7">
        <v>812</v>
      </c>
      <c r="E6877" s="3">
        <v>11</v>
      </c>
      <c r="F6877" s="3">
        <v>11</v>
      </c>
      <c r="G6877" t="s">
        <v>515</v>
      </c>
    </row>
    <row r="6878" spans="1:7" x14ac:dyDescent="0.25">
      <c r="A6878" s="1" t="str">
        <f>"512471"</f>
        <v>512471</v>
      </c>
      <c r="B6878" s="2" t="str">
        <f>"COMANDO ELETRONICO MAQUINA INDUÇAO"</f>
        <v>COMANDO ELETRONICO MAQUINA INDUÇAO</v>
      </c>
      <c r="C6878" s="2" t="str">
        <f t="shared" si="268"/>
        <v>UN</v>
      </c>
      <c r="D6878" s="7">
        <v>600</v>
      </c>
      <c r="E6878" s="3">
        <v>8</v>
      </c>
      <c r="F6878" s="3">
        <v>8</v>
      </c>
      <c r="G6878" t="s">
        <v>512</v>
      </c>
    </row>
    <row r="6879" spans="1:7" x14ac:dyDescent="0.25">
      <c r="A6879" s="1" t="str">
        <f>"505299"</f>
        <v>505299</v>
      </c>
      <c r="B6879" s="2" t="str">
        <f>"COMANDO GRAXA PEM"</f>
        <v>COMANDO GRAXA PEM</v>
      </c>
      <c r="C6879" s="2" t="str">
        <f t="shared" si="268"/>
        <v>UN</v>
      </c>
      <c r="D6879" s="7">
        <v>704</v>
      </c>
      <c r="E6879" s="3">
        <v>9</v>
      </c>
      <c r="F6879" s="3">
        <v>9</v>
      </c>
      <c r="G6879" t="s">
        <v>516</v>
      </c>
    </row>
    <row r="6880" spans="1:7" x14ac:dyDescent="0.25">
      <c r="A6880" s="1" t="str">
        <f>"526379"</f>
        <v>526379</v>
      </c>
      <c r="B6880" s="2" t="str">
        <f>"COMANDO HIDRAULICO"</f>
        <v>COMANDO HIDRAULICO</v>
      </c>
      <c r="C6880" s="2" t="str">
        <f t="shared" si="268"/>
        <v>UN</v>
      </c>
      <c r="D6880" s="7">
        <v>918</v>
      </c>
      <c r="E6880" s="3">
        <v>11</v>
      </c>
      <c r="F6880" s="3">
        <v>11</v>
      </c>
      <c r="G6880" t="s">
        <v>515</v>
      </c>
    </row>
    <row r="6881" spans="1:7" x14ac:dyDescent="0.25">
      <c r="A6881" s="1" t="str">
        <f>"505578"</f>
        <v>505578</v>
      </c>
      <c r="B6881" s="2" t="str">
        <f>"COMANDO HIDRAULICO 1 AL. Nº600.028.A02 J-08"</f>
        <v>COMANDO HIDRAULICO 1 AL. Nº600.028.A02 J-08</v>
      </c>
      <c r="C6881" s="2" t="str">
        <f t="shared" si="268"/>
        <v>UN</v>
      </c>
      <c r="D6881" s="7">
        <v>704</v>
      </c>
      <c r="E6881" s="3">
        <v>9</v>
      </c>
      <c r="F6881" s="3">
        <v>9</v>
      </c>
      <c r="G6881" t="s">
        <v>514</v>
      </c>
    </row>
    <row r="6882" spans="1:7" x14ac:dyDescent="0.25">
      <c r="A6882" s="1" t="str">
        <f>"506428"</f>
        <v>506428</v>
      </c>
      <c r="B6882" s="2" t="str">
        <f>"COMANDO HIDRAULICO 1 AL. Nº600.028.H06-1"</f>
        <v>COMANDO HIDRAULICO 1 AL. Nº600.028.H06-1</v>
      </c>
      <c r="C6882" s="2" t="str">
        <f t="shared" si="268"/>
        <v>UN</v>
      </c>
      <c r="D6882" s="7">
        <v>704</v>
      </c>
      <c r="E6882" s="3">
        <v>9</v>
      </c>
      <c r="F6882" s="3">
        <v>9</v>
      </c>
      <c r="G6882" t="s">
        <v>512</v>
      </c>
    </row>
    <row r="6883" spans="1:7" x14ac:dyDescent="0.25">
      <c r="A6883" s="1" t="str">
        <f>"518744"</f>
        <v>518744</v>
      </c>
      <c r="B6883" s="2" t="str">
        <f>"COMANDO JACTO COMPLETO 611723"</f>
        <v>COMANDO JACTO COMPLETO 611723</v>
      </c>
      <c r="C6883" s="2" t="str">
        <f t="shared" si="268"/>
        <v>UN</v>
      </c>
      <c r="D6883" s="7">
        <v>1000</v>
      </c>
      <c r="E6883" s="3">
        <v>13</v>
      </c>
      <c r="F6883" s="3">
        <v>13</v>
      </c>
      <c r="G6883" t="s">
        <v>513</v>
      </c>
    </row>
    <row r="6884" spans="1:7" x14ac:dyDescent="0.25">
      <c r="A6884" s="1" t="str">
        <f>"513756"</f>
        <v>513756</v>
      </c>
      <c r="B6884" s="2" t="str">
        <f>"COMISSAO SOBRE VENDAS"</f>
        <v>COMISSAO SOBRE VENDAS</v>
      </c>
      <c r="C6884" s="2" t="str">
        <f t="shared" si="268"/>
        <v>UN</v>
      </c>
      <c r="D6884" s="7">
        <v>99999</v>
      </c>
      <c r="E6884" s="3">
        <v>99</v>
      </c>
      <c r="F6884" s="3">
        <v>99</v>
      </c>
      <c r="G6884" t="s">
        <v>514</v>
      </c>
    </row>
    <row r="6885" spans="1:7" x14ac:dyDescent="0.25">
      <c r="A6885" s="1" t="str">
        <f>"510376"</f>
        <v>510376</v>
      </c>
      <c r="B6885" s="2" t="str">
        <f>"COMP 3,2HP 3 X 220V 60HZ SCROLL - HRM038"</f>
        <v>COMP 3,2HP 3 X 220V 60HZ SCROLL - HRM038</v>
      </c>
      <c r="C6885" s="2" t="str">
        <f t="shared" si="268"/>
        <v>UN</v>
      </c>
      <c r="D6885" s="7">
        <v>910</v>
      </c>
      <c r="E6885" s="3">
        <v>11</v>
      </c>
      <c r="F6885" s="3">
        <v>11</v>
      </c>
      <c r="G6885" t="s">
        <v>514</v>
      </c>
    </row>
    <row r="6886" spans="1:7" x14ac:dyDescent="0.25">
      <c r="A6886" s="1" t="str">
        <f>"521875"</f>
        <v>521875</v>
      </c>
      <c r="B6886" s="2" t="str">
        <f>"COMP MANEUROP MT 36-3 22V TRIF."</f>
        <v>COMP MANEUROP MT 36-3 22V TRIF.</v>
      </c>
      <c r="C6886" s="2" t="str">
        <f t="shared" si="268"/>
        <v>UN</v>
      </c>
      <c r="D6886" s="7">
        <v>916</v>
      </c>
      <c r="E6886" s="3">
        <v>10</v>
      </c>
      <c r="F6886" s="3">
        <v>10</v>
      </c>
      <c r="G6886" t="s">
        <v>512</v>
      </c>
    </row>
    <row r="6887" spans="1:7" x14ac:dyDescent="0.25">
      <c r="A6887" s="1" t="str">
        <f>"521874"</f>
        <v>521874</v>
      </c>
      <c r="B6887" s="2" t="str">
        <f>"COMP MANEUROP MT 64-3 22V TRIF."</f>
        <v>COMP MANEUROP MT 64-3 22V TRIF.</v>
      </c>
      <c r="C6887" s="2" t="str">
        <f t="shared" si="268"/>
        <v>UN</v>
      </c>
      <c r="D6887" s="7">
        <v>916</v>
      </c>
      <c r="E6887" s="3">
        <v>10</v>
      </c>
      <c r="F6887" s="3">
        <v>10</v>
      </c>
      <c r="G6887" t="s">
        <v>513</v>
      </c>
    </row>
    <row r="6888" spans="1:7" x14ac:dyDescent="0.25">
      <c r="A6888" s="1" t="str">
        <f>"511518"</f>
        <v>511518</v>
      </c>
      <c r="B6888" s="2" t="str">
        <f>"COMP NAV 18X2490"</f>
        <v>COMP NAV 18X2490</v>
      </c>
      <c r="C6888" s="2" t="str">
        <f t="shared" si="268"/>
        <v>UN</v>
      </c>
      <c r="D6888" s="7">
        <v>99999</v>
      </c>
      <c r="E6888" s="3">
        <v>99</v>
      </c>
      <c r="F6888" s="3">
        <v>99</v>
      </c>
      <c r="G6888" t="s">
        <v>514</v>
      </c>
    </row>
    <row r="6889" spans="1:7" x14ac:dyDescent="0.25">
      <c r="A6889" s="1" t="str">
        <f>"520696"</f>
        <v>520696</v>
      </c>
      <c r="B6889" s="2" t="str">
        <f>"COMP. 2C 16X11 MT WEG 50CV IVP 220/380V BASE P. CORR E CORRE"</f>
        <v>COMP. 2C 16X11 MT WEG 50CV IVP 220/380V BASE P. CORR E CORRE</v>
      </c>
      <c r="C6889" s="2" t="str">
        <f t="shared" si="268"/>
        <v>UN</v>
      </c>
      <c r="D6889" s="7">
        <v>99999</v>
      </c>
      <c r="E6889" s="3">
        <v>99</v>
      </c>
      <c r="F6889" s="3">
        <v>99</v>
      </c>
      <c r="G6889" t="s">
        <v>514</v>
      </c>
    </row>
    <row r="6890" spans="1:7" x14ac:dyDescent="0.25">
      <c r="A6890" s="1" t="str">
        <f>"508498"</f>
        <v>508498</v>
      </c>
      <c r="B6890" s="2" t="str">
        <f>"COMP. AR ATLAS COPCO GA90VSD FF 300/60"</f>
        <v>COMP. AR ATLAS COPCO GA90VSD FF 300/60</v>
      </c>
      <c r="C6890" s="2" t="str">
        <f t="shared" si="268"/>
        <v>UN</v>
      </c>
      <c r="D6890" s="7">
        <v>1002</v>
      </c>
      <c r="E6890" s="3">
        <v>13</v>
      </c>
      <c r="F6890" s="3">
        <v>13</v>
      </c>
      <c r="G6890" t="s">
        <v>514</v>
      </c>
    </row>
    <row r="6891" spans="1:7" x14ac:dyDescent="0.25">
      <c r="A6891" s="1" t="str">
        <f>"510348"</f>
        <v>510348</v>
      </c>
      <c r="B6891" s="2" t="str">
        <f>"COMP. COPELAND 3CV MOD. CR37KQ PSV-240BM"</f>
        <v>COMP. COPELAND 3CV MOD. CR37KQ PSV-240BM</v>
      </c>
      <c r="C6891" s="2" t="str">
        <f t="shared" si="268"/>
        <v>UN</v>
      </c>
      <c r="D6891" s="7">
        <v>910</v>
      </c>
      <c r="E6891" s="3">
        <v>11</v>
      </c>
      <c r="F6891" s="3">
        <v>11</v>
      </c>
      <c r="G6891" t="s">
        <v>513</v>
      </c>
    </row>
    <row r="6892" spans="1:7" x14ac:dyDescent="0.25">
      <c r="A6892" s="1" t="str">
        <f>"511670"</f>
        <v>511670</v>
      </c>
      <c r="B6892" s="2" t="str">
        <f>"COMP. ROTATIVO 2,5HP 220V K2-C310GETE-H"</f>
        <v>COMP. ROTATIVO 2,5HP 220V K2-C310GETE-H</v>
      </c>
      <c r="C6892" s="2" t="str">
        <f t="shared" si="268"/>
        <v>UN</v>
      </c>
      <c r="D6892" s="7">
        <v>910</v>
      </c>
      <c r="E6892" s="3">
        <v>11</v>
      </c>
      <c r="F6892" s="3">
        <v>11</v>
      </c>
      <c r="G6892" t="s">
        <v>512</v>
      </c>
    </row>
    <row r="6893" spans="1:7" x14ac:dyDescent="0.25">
      <c r="A6893" s="1" t="str">
        <f>"528019"</f>
        <v>528019</v>
      </c>
      <c r="B6893" s="2" t="str">
        <f>"COMPACT DRY BOLORES E LEVEDURAS RAPIDO YMR- 100 TESTES"</f>
        <v>COMPACT DRY BOLORES E LEVEDURAS RAPIDO YMR- 100 TESTES</v>
      </c>
      <c r="C6893" s="2" t="str">
        <f t="shared" si="268"/>
        <v>UN</v>
      </c>
      <c r="D6893" s="7">
        <v>406</v>
      </c>
      <c r="E6893" s="3">
        <v>4</v>
      </c>
      <c r="F6893" s="3">
        <v>4</v>
      </c>
      <c r="G6893" t="s">
        <v>513</v>
      </c>
    </row>
    <row r="6894" spans="1:7" x14ac:dyDescent="0.25">
      <c r="A6894" s="1" t="str">
        <f>"528016"</f>
        <v>528016</v>
      </c>
      <c r="B6894" s="2" t="str">
        <f>"COMPACT DRY ECOLI / COLIFORM EC- 100 TESTES"</f>
        <v>COMPACT DRY ECOLI / COLIFORM EC- 100 TESTES</v>
      </c>
      <c r="C6894" s="2" t="str">
        <f t="shared" si="268"/>
        <v>UN</v>
      </c>
      <c r="D6894" s="7">
        <v>406</v>
      </c>
      <c r="E6894" s="3">
        <v>4</v>
      </c>
      <c r="F6894" s="3">
        <v>4</v>
      </c>
      <c r="G6894" t="s">
        <v>514</v>
      </c>
    </row>
    <row r="6895" spans="1:7" x14ac:dyDescent="0.25">
      <c r="A6895" s="1" t="str">
        <f>"528021"</f>
        <v>528021</v>
      </c>
      <c r="B6895" s="2" t="str">
        <f>"COMPACT DRY ENTEROBACTERIACAE ETB- 100 TESTES"</f>
        <v>COMPACT DRY ENTEROBACTERIACAE ETB- 100 TESTES</v>
      </c>
      <c r="C6895" s="2" t="str">
        <f t="shared" si="268"/>
        <v>UN</v>
      </c>
      <c r="D6895" s="7">
        <v>406</v>
      </c>
      <c r="E6895" s="3">
        <v>4</v>
      </c>
      <c r="F6895" s="3">
        <v>4</v>
      </c>
      <c r="G6895" t="s">
        <v>514</v>
      </c>
    </row>
    <row r="6896" spans="1:7" x14ac:dyDescent="0.25">
      <c r="A6896" s="1" t="str">
        <f>"520628"</f>
        <v>520628</v>
      </c>
      <c r="B6896" s="2" t="str">
        <f>"COMPACT DRY LISTERIA LS (100 TESTES)"</f>
        <v>COMPACT DRY LISTERIA LS (100 TESTES)</v>
      </c>
      <c r="C6896" s="2" t="str">
        <f t="shared" si="268"/>
        <v>UN</v>
      </c>
      <c r="D6896" s="7">
        <v>406</v>
      </c>
      <c r="E6896" s="3">
        <v>4</v>
      </c>
      <c r="F6896" s="3">
        <v>4</v>
      </c>
      <c r="G6896" t="s">
        <v>514</v>
      </c>
    </row>
    <row r="6897" spans="1:7" x14ac:dyDescent="0.25">
      <c r="A6897" s="1" t="str">
        <f>"528020"</f>
        <v>528020</v>
      </c>
      <c r="B6897" s="2" t="str">
        <f>"COMPACT DRY STAPHYLOCOCCUS AUREUS XSA- 100 TESTES"</f>
        <v>COMPACT DRY STAPHYLOCOCCUS AUREUS XSA- 100 TESTES</v>
      </c>
      <c r="C6897" s="2" t="str">
        <f t="shared" si="268"/>
        <v>UN</v>
      </c>
      <c r="D6897" s="7">
        <v>406</v>
      </c>
      <c r="E6897" s="3">
        <v>4</v>
      </c>
      <c r="F6897" s="3">
        <v>4</v>
      </c>
      <c r="G6897" t="s">
        <v>513</v>
      </c>
    </row>
    <row r="6898" spans="1:7" x14ac:dyDescent="0.25">
      <c r="A6898" s="1" t="str">
        <f>"528017"</f>
        <v>528017</v>
      </c>
      <c r="B6898" s="2" t="str">
        <f>"COMPACT DRY TOTAL TC- 100 TESTES"</f>
        <v>COMPACT DRY TOTAL TC- 100 TESTES</v>
      </c>
      <c r="C6898" s="2" t="str">
        <f t="shared" si="268"/>
        <v>UN</v>
      </c>
      <c r="D6898" s="7">
        <v>406</v>
      </c>
      <c r="E6898" s="3">
        <v>4</v>
      </c>
      <c r="F6898" s="3">
        <v>4</v>
      </c>
      <c r="G6898" t="s">
        <v>513</v>
      </c>
    </row>
    <row r="6899" spans="1:7" x14ac:dyDescent="0.25">
      <c r="A6899" s="1" t="str">
        <f>"522297"</f>
        <v>522297</v>
      </c>
      <c r="B6899" s="2" t="str">
        <f>"COMPACTADOR SEPARADOR PARA RECICLAGEM"</f>
        <v>COMPACTADOR SEPARADOR PARA RECICLAGEM</v>
      </c>
      <c r="C6899" s="2" t="str">
        <f t="shared" si="268"/>
        <v>UN</v>
      </c>
      <c r="D6899" s="7">
        <v>99999</v>
      </c>
      <c r="E6899" s="3">
        <v>99</v>
      </c>
      <c r="F6899" s="3">
        <v>99</v>
      </c>
      <c r="G6899" t="s">
        <v>513</v>
      </c>
    </row>
    <row r="6900" spans="1:7" x14ac:dyDescent="0.25">
      <c r="A6900" s="1" t="str">
        <f>"515959"</f>
        <v>515959</v>
      </c>
      <c r="B6900" s="2" t="str">
        <f>"COMPACTADOR SOLO WACKER BS50 2T"</f>
        <v>COMPACTADOR SOLO WACKER BS50 2T</v>
      </c>
      <c r="C6900" s="2" t="str">
        <f t="shared" si="268"/>
        <v>UN</v>
      </c>
      <c r="D6900" s="7">
        <v>403</v>
      </c>
      <c r="E6900" s="3">
        <v>4</v>
      </c>
      <c r="F6900" s="3">
        <v>4</v>
      </c>
      <c r="G6900" t="s">
        <v>512</v>
      </c>
    </row>
    <row r="6901" spans="1:7" x14ac:dyDescent="0.25">
      <c r="A6901" s="1" t="str">
        <f>"508996"</f>
        <v>508996</v>
      </c>
      <c r="B6901" s="2" t="str">
        <f>"COMPACTADOR SOLO WEBER SRW 620 GAS 4T"</f>
        <v>COMPACTADOR SOLO WEBER SRW 620 GAS 4T</v>
      </c>
      <c r="C6901" s="2" t="str">
        <f t="shared" si="268"/>
        <v>UN</v>
      </c>
      <c r="D6901" s="7">
        <v>403</v>
      </c>
      <c r="E6901" s="3">
        <v>4</v>
      </c>
      <c r="F6901" s="3">
        <v>4</v>
      </c>
      <c r="G6901" t="s">
        <v>513</v>
      </c>
    </row>
    <row r="6902" spans="1:7" x14ac:dyDescent="0.25">
      <c r="A6902" s="1" t="str">
        <f>"514528"</f>
        <v>514528</v>
      </c>
      <c r="B6902" s="2" t="str">
        <f>"COMPASSO"</f>
        <v>COMPASSO</v>
      </c>
      <c r="C6902" s="2" t="str">
        <f t="shared" si="268"/>
        <v>UN</v>
      </c>
      <c r="D6902" s="7">
        <v>401</v>
      </c>
      <c r="E6902" s="3">
        <v>4</v>
      </c>
      <c r="F6902" s="3">
        <v>4</v>
      </c>
      <c r="G6902" t="s">
        <v>514</v>
      </c>
    </row>
    <row r="6903" spans="1:7" x14ac:dyDescent="0.25">
      <c r="A6903" s="1" t="str">
        <f>"508021"</f>
        <v>508021</v>
      </c>
      <c r="B6903" s="2" t="str">
        <f>"COMPASSO RETO 12"" AMBIKA"</f>
        <v>COMPASSO RETO 12" AMBIKA</v>
      </c>
      <c r="C6903" s="2" t="str">
        <f t="shared" si="268"/>
        <v>UN</v>
      </c>
      <c r="D6903" s="7">
        <v>402</v>
      </c>
      <c r="E6903" s="3">
        <v>4</v>
      </c>
      <c r="F6903" s="3">
        <v>4</v>
      </c>
      <c r="G6903" t="s">
        <v>515</v>
      </c>
    </row>
    <row r="6904" spans="1:7" x14ac:dyDescent="0.25">
      <c r="A6904" s="1" t="str">
        <f>"515622"</f>
        <v>515622</v>
      </c>
      <c r="B6904" s="2" t="str">
        <f>"COMPENSADO NAVAL"</f>
        <v>COMPENSADO NAVAL</v>
      </c>
      <c r="C6904" s="2" t="str">
        <f t="shared" si="268"/>
        <v>UN</v>
      </c>
      <c r="D6904" s="7">
        <v>704</v>
      </c>
      <c r="E6904" s="3">
        <v>9</v>
      </c>
      <c r="F6904" s="3">
        <v>9</v>
      </c>
      <c r="G6904" t="s">
        <v>512</v>
      </c>
    </row>
    <row r="6905" spans="1:7" x14ac:dyDescent="0.25">
      <c r="A6905" s="1" t="str">
        <f>"518042"</f>
        <v>518042</v>
      </c>
      <c r="B6905" s="2" t="str">
        <f>"COMPL. PUXADOR AZUL PANTONE 5435"</f>
        <v>COMPL. PUXADOR AZUL PANTONE 5435</v>
      </c>
      <c r="C6905" s="2" t="str">
        <f t="shared" si="268"/>
        <v>UN</v>
      </c>
      <c r="D6905" s="7">
        <v>811</v>
      </c>
      <c r="E6905" s="3">
        <v>8</v>
      </c>
      <c r="F6905" s="3">
        <v>8</v>
      </c>
      <c r="G6905" t="s">
        <v>516</v>
      </c>
    </row>
    <row r="6906" spans="1:7" x14ac:dyDescent="0.25">
      <c r="A6906" s="1" t="str">
        <f>"527599"</f>
        <v>527599</v>
      </c>
      <c r="B6906" s="2" t="str">
        <f>"COMPLEMENTO MARCO LATERAL SU008"</f>
        <v>COMPLEMENTO MARCO LATERAL SU008</v>
      </c>
      <c r="C6906" s="2" t="str">
        <f>"MT"</f>
        <v>MT</v>
      </c>
      <c r="D6906" s="7">
        <v>403</v>
      </c>
      <c r="E6906" s="3">
        <v>4</v>
      </c>
      <c r="F6906" s="3">
        <v>4</v>
      </c>
      <c r="G6906" t="s">
        <v>515</v>
      </c>
    </row>
    <row r="6907" spans="1:7" x14ac:dyDescent="0.25">
      <c r="A6907" s="1" t="str">
        <f>"513126"</f>
        <v>513126</v>
      </c>
      <c r="B6907" s="2" t="str">
        <f>"COMPONENTE ELETRONICO"</f>
        <v>COMPONENTE ELETRONICO</v>
      </c>
      <c r="C6907" s="2" t="str">
        <f>"UN"</f>
        <v>UN</v>
      </c>
      <c r="D6907" s="7">
        <v>900</v>
      </c>
      <c r="E6907" s="3">
        <v>11</v>
      </c>
      <c r="F6907" s="3">
        <v>11</v>
      </c>
      <c r="G6907" t="s">
        <v>514</v>
      </c>
    </row>
    <row r="6908" spans="1:7" x14ac:dyDescent="0.25">
      <c r="A6908" s="1" t="str">
        <f>"6911"</f>
        <v>6911</v>
      </c>
      <c r="B6908" s="2" t="str">
        <f>"COMPOSTO LACTEO PURELAC 3600"</f>
        <v>COMPOSTO LACTEO PURELAC 3600</v>
      </c>
      <c r="C6908" s="2" t="str">
        <f>"KG"</f>
        <v>KG</v>
      </c>
      <c r="D6908" s="7">
        <v>204</v>
      </c>
      <c r="E6908" s="3">
        <v>2</v>
      </c>
      <c r="F6908" s="3">
        <v>2</v>
      </c>
      <c r="G6908" t="s">
        <v>512</v>
      </c>
    </row>
    <row r="6909" spans="1:7" x14ac:dyDescent="0.25">
      <c r="A6909" s="1" t="str">
        <f>"508766"</f>
        <v>508766</v>
      </c>
      <c r="B6909" s="2" t="str">
        <f>"COMPOSTO VEDADOR"</f>
        <v>COMPOSTO VEDADOR</v>
      </c>
      <c r="C6909" s="2" t="str">
        <f t="shared" ref="C6909:C6923" si="269">"UN"</f>
        <v>UN</v>
      </c>
      <c r="D6909" s="7">
        <v>403</v>
      </c>
      <c r="E6909" s="3">
        <v>4</v>
      </c>
      <c r="F6909" s="3">
        <v>4</v>
      </c>
      <c r="G6909" t="s">
        <v>513</v>
      </c>
    </row>
    <row r="6910" spans="1:7" x14ac:dyDescent="0.25">
      <c r="A6910" s="1" t="str">
        <f>"517158"</f>
        <v>517158</v>
      </c>
      <c r="B6910" s="2" t="str">
        <f>"COMPOUND OTTO 1KG"</f>
        <v>COMPOUND OTTO 1KG</v>
      </c>
      <c r="C6910" s="2" t="str">
        <f t="shared" si="269"/>
        <v>UN</v>
      </c>
      <c r="D6910" s="7">
        <v>917</v>
      </c>
      <c r="E6910" s="3">
        <v>10</v>
      </c>
      <c r="F6910" s="3">
        <v>10</v>
      </c>
      <c r="G6910" t="s">
        <v>514</v>
      </c>
    </row>
    <row r="6911" spans="1:7" x14ac:dyDescent="0.25">
      <c r="A6911" s="1" t="str">
        <f>"521302"</f>
        <v>521302</v>
      </c>
      <c r="B6911" s="2" t="str">
        <f>"COMPR. MTZ56HL9S380V-ID440/365"</f>
        <v>COMPR. MTZ56HL9S380V-ID440/365</v>
      </c>
      <c r="C6911" s="2" t="str">
        <f t="shared" si="269"/>
        <v>UN</v>
      </c>
      <c r="D6911" s="7">
        <v>918</v>
      </c>
      <c r="E6911" s="3">
        <v>11</v>
      </c>
      <c r="F6911" s="3">
        <v>11</v>
      </c>
      <c r="G6911" t="s">
        <v>514</v>
      </c>
    </row>
    <row r="6912" spans="1:7" x14ac:dyDescent="0.25">
      <c r="A6912" s="1" t="str">
        <f>"COMPRA ENT FUT"</f>
        <v>COMPRA ENT FUT</v>
      </c>
      <c r="B6912" s="2" t="str">
        <f>"COMPRA PARA ENTREGA FUTURA"</f>
        <v>COMPRA PARA ENTREGA FUTURA</v>
      </c>
      <c r="C6912" s="2" t="str">
        <f t="shared" si="269"/>
        <v>UN</v>
      </c>
      <c r="D6912" s="7">
        <v>99999</v>
      </c>
      <c r="E6912" s="3">
        <v>99</v>
      </c>
      <c r="F6912" s="3">
        <v>99</v>
      </c>
      <c r="G6912" t="s">
        <v>512</v>
      </c>
    </row>
    <row r="6913" spans="1:7" x14ac:dyDescent="0.25">
      <c r="A6913" s="1" t="str">
        <f>"513407"</f>
        <v>513407</v>
      </c>
      <c r="B6913" s="2" t="str">
        <f>"COMPRESS"</f>
        <v>COMPRESS</v>
      </c>
      <c r="C6913" s="2" t="str">
        <f t="shared" si="269"/>
        <v>UN</v>
      </c>
      <c r="D6913" s="7">
        <v>406</v>
      </c>
      <c r="E6913" s="3">
        <v>4</v>
      </c>
      <c r="F6913" s="3">
        <v>4</v>
      </c>
      <c r="G6913" t="s">
        <v>513</v>
      </c>
    </row>
    <row r="6914" spans="1:7" x14ac:dyDescent="0.25">
      <c r="A6914" s="1" t="str">
        <f>"521406"</f>
        <v>521406</v>
      </c>
      <c r="B6914" s="2" t="str">
        <f>"COMPRESSA DE GASE"</f>
        <v>COMPRESSA DE GASE</v>
      </c>
      <c r="C6914" s="2" t="str">
        <f t="shared" si="269"/>
        <v>UN</v>
      </c>
      <c r="D6914" s="7">
        <v>406</v>
      </c>
      <c r="E6914" s="3">
        <v>4</v>
      </c>
      <c r="F6914" s="3">
        <v>4</v>
      </c>
      <c r="G6914" t="s">
        <v>514</v>
      </c>
    </row>
    <row r="6915" spans="1:7" x14ac:dyDescent="0.25">
      <c r="A6915" s="1" t="str">
        <f>"509201"</f>
        <v>509201</v>
      </c>
      <c r="B6915" s="2" t="str">
        <f>"COMPRESSOR 214X214 REMANUFATURADO-BT/ST"</f>
        <v>COMPRESSOR 214X214 REMANUFATURADO-BT/ST</v>
      </c>
      <c r="C6915" s="2" t="str">
        <f t="shared" si="269"/>
        <v>UN</v>
      </c>
      <c r="D6915" s="7">
        <v>704</v>
      </c>
      <c r="E6915" s="3">
        <v>9</v>
      </c>
      <c r="F6915" s="3">
        <v>9</v>
      </c>
      <c r="G6915" t="s">
        <v>514</v>
      </c>
    </row>
    <row r="6916" spans="1:7" x14ac:dyDescent="0.25">
      <c r="A6916" s="1" t="str">
        <f>"516008"</f>
        <v>516008</v>
      </c>
      <c r="B6916" s="2" t="str">
        <f>"COMPRESSOR 214X214 REMENUFATURADO THERMO KING"</f>
        <v>COMPRESSOR 214X214 REMENUFATURADO THERMO KING</v>
      </c>
      <c r="C6916" s="2" t="str">
        <f t="shared" si="269"/>
        <v>UN</v>
      </c>
      <c r="D6916" s="7">
        <v>704</v>
      </c>
      <c r="E6916" s="3">
        <v>16</v>
      </c>
      <c r="F6916" s="3">
        <v>16</v>
      </c>
      <c r="G6916" t="s">
        <v>514</v>
      </c>
    </row>
    <row r="6917" spans="1:7" x14ac:dyDescent="0.25">
      <c r="A6917" s="1" t="str">
        <f>"510481"</f>
        <v>510481</v>
      </c>
      <c r="B6917" s="2" t="str">
        <f>"COMPRESSOR 3,2HP 1X220V 60HZ HRM038U1LP6"</f>
        <v>COMPRESSOR 3,2HP 1X220V 60HZ HRM038U1LP6</v>
      </c>
      <c r="C6917" s="2" t="str">
        <f t="shared" si="269"/>
        <v>UN</v>
      </c>
      <c r="D6917" s="7">
        <v>900</v>
      </c>
      <c r="E6917" s="3">
        <v>11</v>
      </c>
      <c r="F6917" s="3">
        <v>11</v>
      </c>
      <c r="G6917" t="s">
        <v>513</v>
      </c>
    </row>
    <row r="6918" spans="1:7" x14ac:dyDescent="0.25">
      <c r="A6918" s="1" t="str">
        <f>"518219"</f>
        <v>518219</v>
      </c>
      <c r="B6918" s="2" t="str">
        <f>"COMPRESSOR AMONIA 4-100"</f>
        <v>COMPRESSOR AMONIA 4-100</v>
      </c>
      <c r="C6918" s="2" t="str">
        <f t="shared" si="269"/>
        <v>UN</v>
      </c>
      <c r="D6918" s="7">
        <v>916</v>
      </c>
      <c r="E6918" s="3">
        <v>13</v>
      </c>
      <c r="F6918" s="3">
        <v>13</v>
      </c>
      <c r="G6918" t="s">
        <v>512</v>
      </c>
    </row>
    <row r="6919" spans="1:7" x14ac:dyDescent="0.25">
      <c r="A6919" s="1" t="str">
        <f>"512040"</f>
        <v>512040</v>
      </c>
      <c r="B6919" s="2" t="str">
        <f>"COMPRESSOR AMONIA SABROE 665"</f>
        <v>COMPRESSOR AMONIA SABROE 665</v>
      </c>
      <c r="C6919" s="2" t="str">
        <f t="shared" si="269"/>
        <v>UN</v>
      </c>
      <c r="D6919" s="7">
        <v>1002</v>
      </c>
      <c r="E6919" s="3">
        <v>13</v>
      </c>
      <c r="F6919" s="3">
        <v>13</v>
      </c>
      <c r="G6919" t="s">
        <v>513</v>
      </c>
    </row>
    <row r="6920" spans="1:7" x14ac:dyDescent="0.25">
      <c r="A6920" s="1" t="str">
        <f>"512477"</f>
        <v>512477</v>
      </c>
      <c r="B6920" s="2" t="str">
        <f>"COMPRESSOR AMONIA SMC104S Nº107172"</f>
        <v>COMPRESSOR AMONIA SMC104S Nº107172</v>
      </c>
      <c r="C6920" s="2" t="str">
        <f t="shared" si="269"/>
        <v>UN</v>
      </c>
      <c r="D6920" s="7">
        <v>916</v>
      </c>
      <c r="E6920" s="3">
        <v>11</v>
      </c>
      <c r="F6920" s="3">
        <v>11</v>
      </c>
      <c r="G6920" t="s">
        <v>514</v>
      </c>
    </row>
    <row r="6921" spans="1:7" x14ac:dyDescent="0.25">
      <c r="A6921" s="1" t="str">
        <f>"516401"</f>
        <v>516401</v>
      </c>
      <c r="B6921" s="2" t="str">
        <f>"COMPRESSOR AMONIA YORK CM026"</f>
        <v>COMPRESSOR AMONIA YORK CM026</v>
      </c>
      <c r="C6921" s="2" t="str">
        <f t="shared" si="269"/>
        <v>UN</v>
      </c>
      <c r="D6921" s="7">
        <v>918</v>
      </c>
      <c r="E6921" s="3">
        <v>13</v>
      </c>
      <c r="F6921" s="3">
        <v>13</v>
      </c>
      <c r="G6921" t="s">
        <v>514</v>
      </c>
    </row>
    <row r="6922" spans="1:7" x14ac:dyDescent="0.25">
      <c r="A6922" s="1" t="str">
        <f>"516404"</f>
        <v>516404</v>
      </c>
      <c r="B6922" s="2" t="str">
        <f>"COMPRESSOR AMONIA YORK SMC 106L Nº1061707"</f>
        <v>COMPRESSOR AMONIA YORK SMC 106L Nº1061707</v>
      </c>
      <c r="C6922" s="2" t="str">
        <f t="shared" si="269"/>
        <v>UN</v>
      </c>
      <c r="D6922" s="7">
        <v>918</v>
      </c>
      <c r="E6922" s="3">
        <v>11</v>
      </c>
      <c r="F6922" s="3">
        <v>11</v>
      </c>
      <c r="G6922" t="s">
        <v>514</v>
      </c>
    </row>
    <row r="6923" spans="1:7" x14ac:dyDescent="0.25">
      <c r="A6923" s="1" t="str">
        <f>"519158"</f>
        <v>519158</v>
      </c>
      <c r="B6923" s="2" t="str">
        <f>"COMPRESSOR AR"</f>
        <v>COMPRESSOR AR</v>
      </c>
      <c r="C6923" s="2" t="str">
        <f t="shared" si="269"/>
        <v>UN</v>
      </c>
      <c r="D6923" s="7">
        <v>704</v>
      </c>
      <c r="E6923" s="3">
        <v>9</v>
      </c>
      <c r="F6923" s="3">
        <v>9</v>
      </c>
      <c r="G6923" t="s">
        <v>513</v>
      </c>
    </row>
    <row r="6924" spans="1:7" x14ac:dyDescent="0.25">
      <c r="A6924" s="1" t="str">
        <f>"511865"</f>
        <v>511865</v>
      </c>
      <c r="B6924" s="2" t="str">
        <f>"COMPRESSOR AR - DE PRESSAO"</f>
        <v>COMPRESSOR AR - DE PRESSAO</v>
      </c>
      <c r="C6924" s="2" t="str">
        <f>"BR"</f>
        <v>BR</v>
      </c>
      <c r="D6924" s="7">
        <v>808</v>
      </c>
      <c r="E6924" s="3">
        <v>10</v>
      </c>
      <c r="F6924" s="3">
        <v>10</v>
      </c>
      <c r="G6924" t="s">
        <v>513</v>
      </c>
    </row>
    <row r="6925" spans="1:7" x14ac:dyDescent="0.25">
      <c r="A6925" s="1" t="str">
        <f>"519674"</f>
        <v>519674</v>
      </c>
      <c r="B6925" s="2" t="str">
        <f>"COMPRESSOR AR ATLAS COPCO GA-132 VSD AFF 8,6 380V 8970018332"</f>
        <v>COMPRESSOR AR ATLAS COPCO GA-132 VSD AFF 8,6 380V 8970018332</v>
      </c>
      <c r="C6925" s="2" t="str">
        <f t="shared" ref="C6925:C6944" si="270">"UN"</f>
        <v>UN</v>
      </c>
      <c r="D6925" s="7">
        <v>1300</v>
      </c>
      <c r="E6925" s="3">
        <v>13</v>
      </c>
      <c r="F6925" s="3">
        <v>13</v>
      </c>
      <c r="G6925" t="s">
        <v>513</v>
      </c>
    </row>
    <row r="6926" spans="1:7" x14ac:dyDescent="0.25">
      <c r="A6926" s="1" t="str">
        <f>"518652"</f>
        <v>518652</v>
      </c>
      <c r="B6926" s="2" t="str">
        <f>"COMPRESSOR AR ATLAS COPCO GA-90"</f>
        <v>COMPRESSOR AR ATLAS COPCO GA-90</v>
      </c>
      <c r="C6926" s="2" t="str">
        <f t="shared" si="270"/>
        <v>UN</v>
      </c>
      <c r="D6926" s="7">
        <v>1300</v>
      </c>
      <c r="E6926" s="3">
        <v>13</v>
      </c>
      <c r="F6926" s="3">
        <v>13</v>
      </c>
      <c r="G6926" t="s">
        <v>512</v>
      </c>
    </row>
    <row r="6927" spans="1:7" x14ac:dyDescent="0.25">
      <c r="A6927" s="1" t="str">
        <f>"515321"</f>
        <v>515321</v>
      </c>
      <c r="B6927" s="2" t="str">
        <f>"COMPRESSOR AR C/ TANQUE PULMAO 05HP"</f>
        <v>COMPRESSOR AR C/ TANQUE PULMAO 05HP</v>
      </c>
      <c r="C6927" s="2" t="str">
        <f t="shared" si="270"/>
        <v>UN</v>
      </c>
      <c r="D6927" s="7">
        <v>1300</v>
      </c>
      <c r="E6927" s="3">
        <v>13</v>
      </c>
      <c r="F6927" s="3">
        <v>13</v>
      </c>
      <c r="G6927" t="s">
        <v>513</v>
      </c>
    </row>
    <row r="6928" spans="1:7" x14ac:dyDescent="0.25">
      <c r="A6928" s="1" t="str">
        <f>"513327"</f>
        <v>513327</v>
      </c>
      <c r="B6928" s="2" t="str">
        <f>"COMPRESSOR AR CONDICIONADO 12.000 BTUS"</f>
        <v>COMPRESSOR AR CONDICIONADO 12.000 BTUS</v>
      </c>
      <c r="C6928" s="2" t="str">
        <f t="shared" si="270"/>
        <v>UN</v>
      </c>
      <c r="D6928" s="7">
        <v>900</v>
      </c>
      <c r="E6928" s="3">
        <v>11</v>
      </c>
      <c r="F6928" s="3">
        <v>11</v>
      </c>
      <c r="G6928" t="s">
        <v>514</v>
      </c>
    </row>
    <row r="6929" spans="1:7" x14ac:dyDescent="0.25">
      <c r="A6929" s="1" t="str">
        <f>"526369"</f>
        <v>526369</v>
      </c>
      <c r="B6929" s="2" t="str">
        <f>"COMPRESSOR AR FS 100HP"</f>
        <v>COMPRESSOR AR FS 100HP</v>
      </c>
      <c r="C6929" s="2" t="str">
        <f t="shared" si="270"/>
        <v>UN</v>
      </c>
      <c r="D6929" s="7">
        <v>1300</v>
      </c>
      <c r="E6929" s="3">
        <v>13</v>
      </c>
      <c r="F6929" s="3">
        <v>13</v>
      </c>
      <c r="G6929" t="s">
        <v>515</v>
      </c>
    </row>
    <row r="6930" spans="1:7" x14ac:dyDescent="0.25">
      <c r="A6930" s="1" t="str">
        <f>"516960"</f>
        <v>516960</v>
      </c>
      <c r="B6930" s="2" t="str">
        <f>"COMPRESSOR AR GA-45"</f>
        <v>COMPRESSOR AR GA-45</v>
      </c>
      <c r="C6930" s="2" t="str">
        <f t="shared" si="270"/>
        <v>UN</v>
      </c>
      <c r="D6930" s="7">
        <v>1300</v>
      </c>
      <c r="E6930" s="3">
        <v>13</v>
      </c>
      <c r="F6930" s="3">
        <v>13</v>
      </c>
      <c r="G6930" t="s">
        <v>512</v>
      </c>
    </row>
    <row r="6931" spans="1:7" x14ac:dyDescent="0.25">
      <c r="A6931" s="1" t="str">
        <f>"517831"</f>
        <v>517831</v>
      </c>
      <c r="B6931" s="2" t="str">
        <f>"COMPRESSOR AZ-410-127V"</f>
        <v>COMPRESSOR AZ-410-127V</v>
      </c>
      <c r="C6931" s="2" t="str">
        <f t="shared" si="270"/>
        <v>UN</v>
      </c>
      <c r="D6931" s="7">
        <v>916</v>
      </c>
      <c r="E6931" s="3">
        <v>10</v>
      </c>
      <c r="F6931" s="3">
        <v>10</v>
      </c>
      <c r="G6931" t="s">
        <v>516</v>
      </c>
    </row>
    <row r="6932" spans="1:7" x14ac:dyDescent="0.25">
      <c r="A6932" s="1" t="str">
        <f>"509111"</f>
        <v>509111</v>
      </c>
      <c r="B6932" s="2" t="str">
        <f>"COMPRESSOR CHICAGO PNEUM. S15-40 HA"</f>
        <v>COMPRESSOR CHICAGO PNEUM. S15-40 HA</v>
      </c>
      <c r="C6932" s="2" t="str">
        <f t="shared" si="270"/>
        <v>UN</v>
      </c>
      <c r="D6932" s="7">
        <v>913</v>
      </c>
      <c r="E6932" s="3">
        <v>11</v>
      </c>
      <c r="F6932" s="3">
        <v>11</v>
      </c>
      <c r="G6932" t="s">
        <v>515</v>
      </c>
    </row>
    <row r="6933" spans="1:7" x14ac:dyDescent="0.25">
      <c r="A6933" s="1" t="str">
        <f>"516405"</f>
        <v>516405</v>
      </c>
      <c r="B6933" s="2" t="str">
        <f>"COMPRESSOR CHICAGO PNEUMATIC 12-50 LA -  380 V."</f>
        <v>COMPRESSOR CHICAGO PNEUMATIC 12-50 LA -  380 V.</v>
      </c>
      <c r="C6933" s="2" t="str">
        <f t="shared" si="270"/>
        <v>UN</v>
      </c>
      <c r="D6933" s="7">
        <v>913</v>
      </c>
      <c r="E6933" s="3">
        <v>11</v>
      </c>
      <c r="F6933" s="3">
        <v>11</v>
      </c>
      <c r="G6933" t="s">
        <v>514</v>
      </c>
    </row>
    <row r="6934" spans="1:7" x14ac:dyDescent="0.25">
      <c r="A6934" s="1" t="str">
        <f>"513350"</f>
        <v>513350</v>
      </c>
      <c r="B6934" s="2" t="str">
        <f>"COMPRESSOR COMPL. 16XD 12V ERA 102-0570"</f>
        <v>COMPRESSOR COMPL. 16XD 12V ERA 102-0570</v>
      </c>
      <c r="C6934" s="2" t="str">
        <f t="shared" si="270"/>
        <v>UN</v>
      </c>
      <c r="D6934" s="7">
        <v>916</v>
      </c>
      <c r="E6934" s="3">
        <v>9</v>
      </c>
      <c r="F6934" s="3">
        <v>9</v>
      </c>
      <c r="G6934" t="s">
        <v>512</v>
      </c>
    </row>
    <row r="6935" spans="1:7" x14ac:dyDescent="0.25">
      <c r="A6935" s="1" t="str">
        <f>"517997"</f>
        <v>517997</v>
      </c>
      <c r="B6935" s="2" t="str">
        <f>"COMPRESSOR COPELAND CR24KQ-PFV-240BN 220 MONO N4K LRA 70,5"</f>
        <v>COMPRESSOR COPELAND CR24KQ-PFV-240BN 220 MONO N4K LRA 70,5</v>
      </c>
      <c r="C6935" s="2" t="str">
        <f t="shared" si="270"/>
        <v>UN</v>
      </c>
      <c r="D6935" s="7">
        <v>916</v>
      </c>
      <c r="E6935" s="3">
        <v>10</v>
      </c>
      <c r="F6935" s="3">
        <v>10</v>
      </c>
      <c r="G6935" t="s">
        <v>513</v>
      </c>
    </row>
    <row r="6936" spans="1:7" x14ac:dyDescent="0.25">
      <c r="A6936" s="1" t="str">
        <f>"508784"</f>
        <v>508784</v>
      </c>
      <c r="B6936" s="2" t="str">
        <f>"COMPRESSOR DANFOS MT-40 380V TRIF."</f>
        <v>COMPRESSOR DANFOS MT-40 380V TRIF.</v>
      </c>
      <c r="C6936" s="2" t="str">
        <f t="shared" si="270"/>
        <v>UN</v>
      </c>
      <c r="D6936" s="7">
        <v>916</v>
      </c>
      <c r="E6936" s="3">
        <v>11</v>
      </c>
      <c r="F6936" s="3">
        <v>11</v>
      </c>
      <c r="G6936" t="s">
        <v>514</v>
      </c>
    </row>
    <row r="6937" spans="1:7" x14ac:dyDescent="0.25">
      <c r="A6937" s="1" t="str">
        <f>"518670"</f>
        <v>518670</v>
      </c>
      <c r="B6937" s="2" t="str">
        <f>"COMPRESSOR DANFOSS 3,0HP TRIF 220V"</f>
        <v>COMPRESSOR DANFOSS 3,0HP TRIF 220V</v>
      </c>
      <c r="C6937" s="2" t="str">
        <f t="shared" si="270"/>
        <v>UN</v>
      </c>
      <c r="D6937" s="7">
        <v>600</v>
      </c>
      <c r="E6937" s="3">
        <v>8</v>
      </c>
      <c r="F6937" s="3">
        <v>8</v>
      </c>
      <c r="G6937" t="s">
        <v>514</v>
      </c>
    </row>
    <row r="6938" spans="1:7" x14ac:dyDescent="0.25">
      <c r="A6938" s="1" t="str">
        <f>"508960"</f>
        <v>508960</v>
      </c>
      <c r="B6938" s="2" t="str">
        <f>"COMPRESSOR DANFOSS MT 4.0 220 MONO"</f>
        <v>COMPRESSOR DANFOSS MT 4.0 220 MONO</v>
      </c>
      <c r="C6938" s="2" t="str">
        <f t="shared" si="270"/>
        <v>UN</v>
      </c>
      <c r="D6938" s="7">
        <v>600</v>
      </c>
      <c r="E6938" s="3">
        <v>8</v>
      </c>
      <c r="F6938" s="3">
        <v>8</v>
      </c>
      <c r="G6938" t="s">
        <v>512</v>
      </c>
    </row>
    <row r="6939" spans="1:7" x14ac:dyDescent="0.25">
      <c r="A6939" s="1" t="str">
        <f>"516022"</f>
        <v>516022</v>
      </c>
      <c r="B6939" s="2" t="str">
        <f>"COMPRESSOR DANFOSS MT36 MONO 220V"</f>
        <v>COMPRESSOR DANFOSS MT36 MONO 220V</v>
      </c>
      <c r="C6939" s="2" t="str">
        <f t="shared" si="270"/>
        <v>UN</v>
      </c>
      <c r="D6939" s="7">
        <v>99999</v>
      </c>
      <c r="E6939" s="3">
        <v>99</v>
      </c>
      <c r="F6939" s="3">
        <v>99</v>
      </c>
      <c r="G6939" t="s">
        <v>513</v>
      </c>
    </row>
    <row r="6940" spans="1:7" x14ac:dyDescent="0.25">
      <c r="A6940" s="1" t="str">
        <f>"520352"</f>
        <v>520352</v>
      </c>
      <c r="B6940" s="2" t="str">
        <f>"COMPRESSOR DANFOSS MTZ80HP4AVE"</f>
        <v>COMPRESSOR DANFOSS MTZ80HP4AVE</v>
      </c>
      <c r="C6940" s="2" t="str">
        <f t="shared" si="270"/>
        <v>UN</v>
      </c>
      <c r="D6940" s="7">
        <v>910</v>
      </c>
      <c r="E6940" s="3">
        <v>11</v>
      </c>
      <c r="F6940" s="3">
        <v>11</v>
      </c>
      <c r="G6940" t="s">
        <v>514</v>
      </c>
    </row>
    <row r="6941" spans="1:7" x14ac:dyDescent="0.25">
      <c r="A6941" s="1" t="str">
        <f>"515499"</f>
        <v>515499</v>
      </c>
      <c r="B6941" s="2" t="str">
        <f>"COMPRESSOR DE REFRIGEERAÇÃO 12.000 BTU 220V MONO"</f>
        <v>COMPRESSOR DE REFRIGEERAÇÃO 12.000 BTU 220V MONO</v>
      </c>
      <c r="C6941" s="2" t="str">
        <f t="shared" si="270"/>
        <v>UN</v>
      </c>
      <c r="D6941" s="7">
        <v>818</v>
      </c>
      <c r="E6941" s="3">
        <v>4</v>
      </c>
      <c r="F6941" s="3">
        <v>4</v>
      </c>
      <c r="G6941" t="s">
        <v>514</v>
      </c>
    </row>
    <row r="6942" spans="1:7" x14ac:dyDescent="0.25">
      <c r="A6942" s="1" t="str">
        <f>"520749"</f>
        <v>520749</v>
      </c>
      <c r="B6942" s="2" t="str">
        <f>"COMPRESSOR DE REFRIGERAÇAO 30000 BTU 220V MONO"</f>
        <v>COMPRESSOR DE REFRIGERAÇAO 30000 BTU 220V MONO</v>
      </c>
      <c r="C6942" s="2" t="str">
        <f t="shared" si="270"/>
        <v>UN</v>
      </c>
      <c r="D6942" s="7">
        <v>916</v>
      </c>
      <c r="E6942" s="3">
        <v>11</v>
      </c>
      <c r="F6942" s="3">
        <v>11</v>
      </c>
      <c r="G6942" t="s">
        <v>514</v>
      </c>
    </row>
    <row r="6943" spans="1:7" x14ac:dyDescent="0.25">
      <c r="A6943" s="1" t="str">
        <f>"524812"</f>
        <v>524812</v>
      </c>
      <c r="B6943" s="2" t="str">
        <f>"COMPRESSOR ELETRICO PE 100-TE TRIFASICO 220V- BAUER"</f>
        <v>COMPRESSOR ELETRICO PE 100-TE TRIFASICO 220V- BAUER</v>
      </c>
      <c r="C6943" s="2" t="str">
        <f t="shared" si="270"/>
        <v>UN</v>
      </c>
      <c r="D6943" s="7">
        <v>901</v>
      </c>
      <c r="E6943" s="3">
        <v>13</v>
      </c>
      <c r="F6943" s="3">
        <v>13</v>
      </c>
      <c r="G6943" t="s">
        <v>513</v>
      </c>
    </row>
    <row r="6944" spans="1:7" x14ac:dyDescent="0.25">
      <c r="A6944" s="1" t="str">
        <f>"516512"</f>
        <v>516512</v>
      </c>
      <c r="B6944" s="2" t="str">
        <f>"COMPRESSOR ELGIN TCM 2050EM 1,0 HP 220V"</f>
        <v>COMPRESSOR ELGIN TCM 2050EM 1,0 HP 220V</v>
      </c>
      <c r="C6944" s="2" t="str">
        <f t="shared" si="270"/>
        <v>UN</v>
      </c>
      <c r="D6944" s="7">
        <v>818</v>
      </c>
      <c r="E6944" s="3">
        <v>10</v>
      </c>
      <c r="F6944" s="3">
        <v>10</v>
      </c>
      <c r="G6944" t="s">
        <v>512</v>
      </c>
    </row>
    <row r="6945" spans="1:7" x14ac:dyDescent="0.25">
      <c r="A6945" s="1" t="str">
        <f>"509005"</f>
        <v>509005</v>
      </c>
      <c r="B6945" s="2" t="str">
        <f>"COMPRESSOR EMBALADO FFI128XW 220V/60HZ"</f>
        <v>COMPRESSOR EMBALADO FFI128XW 220V/60HZ</v>
      </c>
      <c r="C6945" s="2" t="str">
        <f>"PC"</f>
        <v>PC</v>
      </c>
      <c r="D6945" s="7">
        <v>808</v>
      </c>
      <c r="E6945" s="3">
        <v>10</v>
      </c>
      <c r="F6945" s="3">
        <v>10</v>
      </c>
      <c r="G6945" t="s">
        <v>513</v>
      </c>
    </row>
    <row r="6946" spans="1:7" x14ac:dyDescent="0.25">
      <c r="A6946" s="1" t="str">
        <f>"519086"</f>
        <v>519086</v>
      </c>
      <c r="B6946" s="2" t="str">
        <f>"COMPRESSOR EMBRACO 110V R134 S/ RESF 310BTU/H"</f>
        <v>COMPRESSOR EMBRACO 110V R134 S/ RESF 310BTU/H</v>
      </c>
      <c r="C6946" s="2" t="str">
        <f t="shared" ref="C6946:C6976" si="271">"UN"</f>
        <v>UN</v>
      </c>
      <c r="D6946" s="7">
        <v>916</v>
      </c>
      <c r="E6946" s="3">
        <v>11</v>
      </c>
      <c r="F6946" s="3">
        <v>11</v>
      </c>
      <c r="G6946" t="s">
        <v>514</v>
      </c>
    </row>
    <row r="6947" spans="1:7" x14ac:dyDescent="0.25">
      <c r="A6947" s="1" t="str">
        <f>"513569"</f>
        <v>513569</v>
      </c>
      <c r="B6947" s="2" t="str">
        <f>"COMPRESSOR EMBRACO 5,0HP 220V MONO"</f>
        <v>COMPRESSOR EMBRACO 5,0HP 220V MONO</v>
      </c>
      <c r="C6947" s="2" t="str">
        <f t="shared" si="271"/>
        <v>UN</v>
      </c>
      <c r="D6947" s="7">
        <v>99999</v>
      </c>
      <c r="E6947" s="3">
        <v>99</v>
      </c>
      <c r="F6947" s="3">
        <v>99</v>
      </c>
      <c r="G6947" t="s">
        <v>514</v>
      </c>
    </row>
    <row r="6948" spans="1:7" x14ac:dyDescent="0.25">
      <c r="A6948" s="1" t="str">
        <f>"518038"</f>
        <v>518038</v>
      </c>
      <c r="B6948" s="2" t="str">
        <f>"COMPRESSOR EMBRAÇO EGAS 1/3 R134A 127V"</f>
        <v>COMPRESSOR EMBRAÇO EGAS 1/3 R134A 127V</v>
      </c>
      <c r="C6948" s="2" t="str">
        <f t="shared" si="271"/>
        <v>UN</v>
      </c>
      <c r="D6948" s="7">
        <v>811</v>
      </c>
      <c r="E6948" s="3">
        <v>8</v>
      </c>
      <c r="F6948" s="3">
        <v>8</v>
      </c>
      <c r="G6948" t="s">
        <v>514</v>
      </c>
    </row>
    <row r="6949" spans="1:7" x14ac:dyDescent="0.25">
      <c r="A6949" s="1" t="str">
        <f>"508967"</f>
        <v>508967</v>
      </c>
      <c r="B6949" s="2" t="str">
        <f>"COMPRESSOR EMBRACO FSI12 220V"</f>
        <v>COMPRESSOR EMBRACO FSI12 220V</v>
      </c>
      <c r="C6949" s="2" t="str">
        <f t="shared" si="271"/>
        <v>UN</v>
      </c>
      <c r="D6949" s="7">
        <v>916</v>
      </c>
      <c r="E6949" s="3">
        <v>11</v>
      </c>
      <c r="F6949" s="3">
        <v>11</v>
      </c>
      <c r="G6949" t="s">
        <v>513</v>
      </c>
    </row>
    <row r="6950" spans="1:7" x14ac:dyDescent="0.25">
      <c r="A6950" s="1" t="str">
        <f>"517596"</f>
        <v>517596</v>
      </c>
      <c r="B6950" s="2" t="str">
        <f>"COMPRESSOR MANEUROP MT36JG1QVE MONOFÁSICO 220V LR84 A"</f>
        <v>COMPRESSOR MANEUROP MT36JG1QVE MONOFÁSICO 220V LR84 A</v>
      </c>
      <c r="C6950" s="2" t="str">
        <f t="shared" si="271"/>
        <v>UN</v>
      </c>
      <c r="D6950" s="7">
        <v>811</v>
      </c>
      <c r="E6950" s="3">
        <v>8</v>
      </c>
      <c r="F6950" s="3">
        <v>8</v>
      </c>
      <c r="G6950" t="s">
        <v>513</v>
      </c>
    </row>
    <row r="6951" spans="1:7" x14ac:dyDescent="0.25">
      <c r="A6951" s="1" t="str">
        <f>"519170"</f>
        <v>519170</v>
      </c>
      <c r="B6951" s="2" t="str">
        <f>"COMPRESSOR MANEUROP MT36JG1QVE TRIFASICO 220V"</f>
        <v>COMPRESSOR MANEUROP MT36JG1QVE TRIFASICO 220V</v>
      </c>
      <c r="C6951" s="2" t="str">
        <f t="shared" si="271"/>
        <v>UN</v>
      </c>
      <c r="D6951" s="7">
        <v>811</v>
      </c>
      <c r="E6951" s="3">
        <v>8</v>
      </c>
      <c r="F6951" s="3">
        <v>8</v>
      </c>
      <c r="G6951" t="s">
        <v>513</v>
      </c>
    </row>
    <row r="6952" spans="1:7" x14ac:dyDescent="0.25">
      <c r="A6952" s="1" t="str">
        <f>"519865"</f>
        <v>519865</v>
      </c>
      <c r="B6952" s="2" t="str">
        <f>"COMPRESSOR MONDO GELADEIRA ELBER GC48 INOX 12V"</f>
        <v>COMPRESSOR MONDO GELADEIRA ELBER GC48 INOX 12V</v>
      </c>
      <c r="C6952" s="2" t="str">
        <f t="shared" si="271"/>
        <v>UN</v>
      </c>
      <c r="D6952" s="7">
        <v>811</v>
      </c>
      <c r="E6952" s="3">
        <v>8</v>
      </c>
      <c r="F6952" s="3">
        <v>8</v>
      </c>
      <c r="G6952" t="s">
        <v>512</v>
      </c>
    </row>
    <row r="6953" spans="1:7" x14ac:dyDescent="0.25">
      <c r="A6953" s="1" t="str">
        <f>"511573"</f>
        <v>511573</v>
      </c>
      <c r="B6953" s="2" t="str">
        <f>"COMPRESSOR MONO AJ5519"</f>
        <v>COMPRESSOR MONO AJ5519</v>
      </c>
      <c r="C6953" s="2" t="str">
        <f t="shared" si="271"/>
        <v>UN</v>
      </c>
      <c r="D6953" s="7">
        <v>916</v>
      </c>
      <c r="E6953" s="3">
        <v>11</v>
      </c>
      <c r="F6953" s="3">
        <v>11</v>
      </c>
      <c r="G6953" t="s">
        <v>513</v>
      </c>
    </row>
    <row r="6954" spans="1:7" x14ac:dyDescent="0.25">
      <c r="A6954" s="1" t="str">
        <f>"516360"</f>
        <v>516360</v>
      </c>
      <c r="B6954" s="2" t="str">
        <f>"COMPRESSOR MT 22 MONO 220V"</f>
        <v>COMPRESSOR MT 22 MONO 220V</v>
      </c>
      <c r="C6954" s="2" t="str">
        <f t="shared" si="271"/>
        <v>UN</v>
      </c>
      <c r="D6954" s="7">
        <v>916</v>
      </c>
      <c r="E6954" s="3">
        <v>8</v>
      </c>
      <c r="F6954" s="3">
        <v>8</v>
      </c>
      <c r="G6954" t="s">
        <v>514</v>
      </c>
    </row>
    <row r="6955" spans="1:7" x14ac:dyDescent="0.25">
      <c r="A6955" s="1" t="str">
        <f>"521287"</f>
        <v>521287</v>
      </c>
      <c r="B6955" s="2" t="str">
        <f>"COMPRESSOR MT 22 TRIF 220V"</f>
        <v>COMPRESSOR MT 22 TRIF 220V</v>
      </c>
      <c r="C6955" s="2" t="str">
        <f t="shared" si="271"/>
        <v>UN</v>
      </c>
      <c r="D6955" s="7">
        <v>916</v>
      </c>
      <c r="E6955" s="3">
        <v>8</v>
      </c>
      <c r="F6955" s="3">
        <v>8</v>
      </c>
      <c r="G6955" t="s">
        <v>515</v>
      </c>
    </row>
    <row r="6956" spans="1:7" x14ac:dyDescent="0.25">
      <c r="A6956" s="1" t="str">
        <f>"519794"</f>
        <v>519794</v>
      </c>
      <c r="B6956" s="2" t="str">
        <f>"COMPRESSOR MT 64 MONO 220V"</f>
        <v>COMPRESSOR MT 64 MONO 220V</v>
      </c>
      <c r="C6956" s="2" t="str">
        <f t="shared" si="271"/>
        <v>UN</v>
      </c>
      <c r="D6956" s="7">
        <v>704</v>
      </c>
      <c r="E6956" s="3">
        <v>9</v>
      </c>
      <c r="F6956" s="3">
        <v>9</v>
      </c>
      <c r="G6956" t="s">
        <v>512</v>
      </c>
    </row>
    <row r="6957" spans="1:7" x14ac:dyDescent="0.25">
      <c r="A6957" s="1" t="str">
        <f>"505226"</f>
        <v>505226</v>
      </c>
      <c r="B6957" s="2" t="str">
        <f>"COMPRESSOR MT-28 MONO DANFOSS"</f>
        <v>COMPRESSOR MT-28 MONO DANFOSS</v>
      </c>
      <c r="C6957" s="2" t="str">
        <f t="shared" si="271"/>
        <v>UN</v>
      </c>
      <c r="D6957" s="7">
        <v>704</v>
      </c>
      <c r="E6957" s="3">
        <v>9</v>
      </c>
      <c r="F6957" s="3">
        <v>9</v>
      </c>
      <c r="G6957" t="s">
        <v>516</v>
      </c>
    </row>
    <row r="6958" spans="1:7" x14ac:dyDescent="0.25">
      <c r="A6958" s="1" t="str">
        <f>"516899"</f>
        <v>516899</v>
      </c>
      <c r="B6958" s="2" t="str">
        <f>"COMPRESSOR MT-36 MONO DANFOSS AH 1005948949"</f>
        <v>COMPRESSOR MT-36 MONO DANFOSS AH 1005948949</v>
      </c>
      <c r="C6958" s="2" t="str">
        <f t="shared" si="271"/>
        <v>UN</v>
      </c>
      <c r="D6958" s="7">
        <v>600</v>
      </c>
      <c r="E6958" s="3">
        <v>8</v>
      </c>
      <c r="F6958" s="3">
        <v>8</v>
      </c>
      <c r="G6958" t="s">
        <v>515</v>
      </c>
    </row>
    <row r="6959" spans="1:7" x14ac:dyDescent="0.25">
      <c r="A6959" s="1" t="str">
        <f>"519186"</f>
        <v>519186</v>
      </c>
      <c r="B6959" s="2" t="str">
        <f>"COMPRESSOR MT-64 220V TRIFASICO"</f>
        <v>COMPRESSOR MT-64 220V TRIFASICO</v>
      </c>
      <c r="C6959" s="2" t="str">
        <f t="shared" si="271"/>
        <v>UN</v>
      </c>
      <c r="D6959" s="7">
        <v>704</v>
      </c>
      <c r="E6959" s="3">
        <v>9</v>
      </c>
      <c r="F6959" s="3">
        <v>9</v>
      </c>
      <c r="G6959" t="s">
        <v>514</v>
      </c>
    </row>
    <row r="6960" spans="1:7" x14ac:dyDescent="0.25">
      <c r="A6960" s="1" t="str">
        <f>"516573"</f>
        <v>516573</v>
      </c>
      <c r="B6960" s="2" t="str">
        <f>"COMPRESSOR MYCON NA4"</f>
        <v>COMPRESSOR MYCON NA4</v>
      </c>
      <c r="C6960" s="2" t="str">
        <f t="shared" si="271"/>
        <v>UN</v>
      </c>
      <c r="D6960" s="7">
        <v>918</v>
      </c>
      <c r="E6960" s="3">
        <v>13</v>
      </c>
      <c r="F6960" s="3">
        <v>13</v>
      </c>
      <c r="G6960" t="s">
        <v>512</v>
      </c>
    </row>
    <row r="6961" spans="1:7" x14ac:dyDescent="0.25">
      <c r="A6961" s="1" t="str">
        <f>"513042"</f>
        <v>513042</v>
      </c>
      <c r="B6961" s="2" t="str">
        <f>"COMPRESSOR NOVO 600290"</f>
        <v>COMPRESSOR NOVO 600290</v>
      </c>
      <c r="C6961" s="2" t="str">
        <f t="shared" si="271"/>
        <v>UN</v>
      </c>
      <c r="D6961" s="7">
        <v>99999</v>
      </c>
      <c r="E6961" s="3">
        <v>99</v>
      </c>
      <c r="F6961" s="3">
        <v>99</v>
      </c>
      <c r="G6961" t="s">
        <v>513</v>
      </c>
    </row>
    <row r="6962" spans="1:7" x14ac:dyDescent="0.25">
      <c r="A6962" s="1" t="str">
        <f>"518478"</f>
        <v>518478</v>
      </c>
      <c r="B6962" s="2" t="str">
        <f>"COMPRESSOR PARAFUSO MYCON N200 VMD-A-TS 350CV"</f>
        <v>COMPRESSOR PARAFUSO MYCON N200 VMD-A-TS 350CV</v>
      </c>
      <c r="C6962" s="2" t="str">
        <f t="shared" si="271"/>
        <v>UN</v>
      </c>
      <c r="D6962" s="7">
        <v>1002</v>
      </c>
      <c r="E6962" s="3">
        <v>13</v>
      </c>
      <c r="F6962" s="3">
        <v>13</v>
      </c>
      <c r="G6962" t="s">
        <v>514</v>
      </c>
    </row>
    <row r="6963" spans="1:7" x14ac:dyDescent="0.25">
      <c r="A6963" s="1" t="str">
        <f>"509268"</f>
        <v>509268</v>
      </c>
      <c r="B6963" s="2" t="str">
        <f>"COMPRESSOR REFRIGERAÇAO ELGIN 2062E-TCM"</f>
        <v>COMPRESSOR REFRIGERAÇAO ELGIN 2062E-TCM</v>
      </c>
      <c r="C6963" s="2" t="str">
        <f t="shared" si="271"/>
        <v>UN</v>
      </c>
      <c r="D6963" s="7">
        <v>916</v>
      </c>
      <c r="E6963" s="3">
        <v>11</v>
      </c>
      <c r="F6963" s="3">
        <v>11</v>
      </c>
      <c r="G6963" t="s">
        <v>514</v>
      </c>
    </row>
    <row r="6964" spans="1:7" x14ac:dyDescent="0.25">
      <c r="A6964" s="1" t="str">
        <f>"518739"</f>
        <v>518739</v>
      </c>
      <c r="B6964" s="2" t="str">
        <f>"COMPRESSOR ROTATIVO 12000 BTU 220V"</f>
        <v>COMPRESSOR ROTATIVO 12000 BTU 220V</v>
      </c>
      <c r="C6964" s="2" t="str">
        <f t="shared" si="271"/>
        <v>UN</v>
      </c>
      <c r="D6964" s="7">
        <v>916</v>
      </c>
      <c r="E6964" s="3">
        <v>11</v>
      </c>
      <c r="F6964" s="3">
        <v>11</v>
      </c>
      <c r="G6964" t="s">
        <v>512</v>
      </c>
    </row>
    <row r="6965" spans="1:7" x14ac:dyDescent="0.25">
      <c r="A6965" s="1" t="str">
        <f>"519832"</f>
        <v>519832</v>
      </c>
      <c r="B6965" s="2" t="str">
        <f>"COMPRESSOR ROTATIVO 18000 BTU 220V"</f>
        <v>COMPRESSOR ROTATIVO 18000 BTU 220V</v>
      </c>
      <c r="C6965" s="2" t="str">
        <f t="shared" si="271"/>
        <v>UN</v>
      </c>
      <c r="D6965" s="7">
        <v>916</v>
      </c>
      <c r="E6965" s="3">
        <v>11</v>
      </c>
      <c r="F6965" s="3">
        <v>11</v>
      </c>
      <c r="G6965" t="s">
        <v>513</v>
      </c>
    </row>
    <row r="6966" spans="1:7" x14ac:dyDescent="0.25">
      <c r="A6966" s="1" t="str">
        <f>"519386"</f>
        <v>519386</v>
      </c>
      <c r="B6966" s="2" t="str">
        <f>"COMPRESSOR ROTATIVO 19000 BTU 220V"</f>
        <v>COMPRESSOR ROTATIVO 19000 BTU 220V</v>
      </c>
      <c r="C6966" s="2" t="str">
        <f t="shared" si="271"/>
        <v>UN</v>
      </c>
      <c r="D6966" s="7">
        <v>916</v>
      </c>
      <c r="E6966" s="3">
        <v>11</v>
      </c>
      <c r="F6966" s="3">
        <v>11</v>
      </c>
      <c r="G6966" t="s">
        <v>514</v>
      </c>
    </row>
    <row r="6967" spans="1:7" x14ac:dyDescent="0.25">
      <c r="A6967" s="1" t="str">
        <f>"510827"</f>
        <v>510827</v>
      </c>
      <c r="B6967" s="2" t="str">
        <f>"COMPRESSOR ROTATIVO 2,5HP - ELGIN"</f>
        <v>COMPRESSOR ROTATIVO 2,5HP - ELGIN</v>
      </c>
      <c r="C6967" s="2" t="str">
        <f t="shared" si="271"/>
        <v>UN</v>
      </c>
      <c r="D6967" s="7">
        <v>916</v>
      </c>
      <c r="E6967" s="3">
        <v>11</v>
      </c>
      <c r="F6967" s="3">
        <v>11</v>
      </c>
      <c r="G6967" t="s">
        <v>514</v>
      </c>
    </row>
    <row r="6968" spans="1:7" x14ac:dyDescent="0.25">
      <c r="A6968" s="1" t="str">
        <f>"521540"</f>
        <v>521540</v>
      </c>
      <c r="B6968" s="2" t="str">
        <f>"COMPRESSOR ROTATIVO 30000 BTU 220V"</f>
        <v>COMPRESSOR ROTATIVO 30000 BTU 220V</v>
      </c>
      <c r="C6968" s="2" t="str">
        <f t="shared" si="271"/>
        <v>UN</v>
      </c>
      <c r="D6968" s="7">
        <v>916</v>
      </c>
      <c r="E6968" s="3">
        <v>11</v>
      </c>
      <c r="F6968" s="3">
        <v>11</v>
      </c>
      <c r="G6968" t="s">
        <v>514</v>
      </c>
    </row>
    <row r="6969" spans="1:7" x14ac:dyDescent="0.25">
      <c r="A6969" s="1" t="str">
        <f>"518987"</f>
        <v>518987</v>
      </c>
      <c r="B6969" s="2" t="str">
        <f>"COMPRESSOR ROTATIVO 7500 BTU 220V LG"</f>
        <v>COMPRESSOR ROTATIVO 7500 BTU 220V LG</v>
      </c>
      <c r="C6969" s="2" t="str">
        <f t="shared" si="271"/>
        <v>UN</v>
      </c>
      <c r="D6969" s="7">
        <v>916</v>
      </c>
      <c r="E6969" s="3">
        <v>11</v>
      </c>
      <c r="F6969" s="3">
        <v>11</v>
      </c>
      <c r="G6969" t="s">
        <v>513</v>
      </c>
    </row>
    <row r="6970" spans="1:7" x14ac:dyDescent="0.25">
      <c r="A6970" s="1" t="str">
        <f>"510435"</f>
        <v>510435</v>
      </c>
      <c r="B6970" s="2" t="str">
        <f>"COMPRESSOR SABROE 865"</f>
        <v>COMPRESSOR SABROE 865</v>
      </c>
      <c r="C6970" s="2" t="str">
        <f t="shared" si="271"/>
        <v>UN</v>
      </c>
      <c r="D6970" s="7">
        <v>1002</v>
      </c>
      <c r="E6970" s="3">
        <v>13</v>
      </c>
      <c r="F6970" s="3">
        <v>13</v>
      </c>
      <c r="G6970" t="s">
        <v>512</v>
      </c>
    </row>
    <row r="6971" spans="1:7" x14ac:dyDescent="0.25">
      <c r="A6971" s="1" t="str">
        <f>"508072"</f>
        <v>508072</v>
      </c>
      <c r="B6971" s="2" t="str">
        <f>"COMPRESSOR TCM 2062E 220V 60HZ SERIE 4602055 1 1/4HP"</f>
        <v>COMPRESSOR TCM 2062E 220V 60HZ SERIE 4602055 1 1/4HP</v>
      </c>
      <c r="C6971" s="2" t="str">
        <f t="shared" si="271"/>
        <v>UN</v>
      </c>
      <c r="D6971" s="7">
        <v>916</v>
      </c>
      <c r="E6971" s="3">
        <v>11</v>
      </c>
      <c r="F6971" s="3">
        <v>11</v>
      </c>
      <c r="G6971" t="s">
        <v>513</v>
      </c>
    </row>
    <row r="6972" spans="1:7" x14ac:dyDescent="0.25">
      <c r="A6972" s="1" t="str">
        <f>"528047"</f>
        <v>528047</v>
      </c>
      <c r="B6972" s="2" t="str">
        <f>"COMPRESSOR TECUMSEH 1HP 220V MONO 60HZ"</f>
        <v>COMPRESSOR TECUMSEH 1HP 220V MONO 60HZ</v>
      </c>
      <c r="C6972" s="2" t="str">
        <f t="shared" si="271"/>
        <v>UN</v>
      </c>
      <c r="D6972" s="7">
        <v>916</v>
      </c>
      <c r="E6972" s="3">
        <v>13</v>
      </c>
      <c r="F6972" s="3">
        <v>13</v>
      </c>
      <c r="G6972" t="s">
        <v>514</v>
      </c>
    </row>
    <row r="6973" spans="1:7" x14ac:dyDescent="0.25">
      <c r="A6973" s="1" t="str">
        <f>"509110"</f>
        <v>509110</v>
      </c>
      <c r="B6973" s="2" t="str">
        <f>"COMPRESSOR WAYNE TA 20 C"</f>
        <v>COMPRESSOR WAYNE TA 20 C</v>
      </c>
      <c r="C6973" s="2" t="str">
        <f t="shared" si="271"/>
        <v>UN</v>
      </c>
      <c r="D6973" s="7">
        <v>916</v>
      </c>
      <c r="E6973" s="3">
        <v>11</v>
      </c>
      <c r="F6973" s="3">
        <v>11</v>
      </c>
      <c r="G6973" t="s">
        <v>514</v>
      </c>
    </row>
    <row r="6974" spans="1:7" x14ac:dyDescent="0.25">
      <c r="A6974" s="1" t="str">
        <f>"509263"</f>
        <v>509263</v>
      </c>
      <c r="B6974" s="2" t="str">
        <f>"COMPRESSOR WAYNE TA 20C"</f>
        <v>COMPRESSOR WAYNE TA 20C</v>
      </c>
      <c r="C6974" s="2" t="str">
        <f t="shared" si="271"/>
        <v>UN</v>
      </c>
      <c r="D6974" s="7">
        <v>916</v>
      </c>
      <c r="E6974" s="3">
        <v>11</v>
      </c>
      <c r="F6974" s="3">
        <v>11</v>
      </c>
      <c r="G6974" t="s">
        <v>514</v>
      </c>
    </row>
    <row r="6975" spans="1:7" x14ac:dyDescent="0.25">
      <c r="A6975" s="1" t="str">
        <f>"510960"</f>
        <v>510960</v>
      </c>
      <c r="B6975" s="2" t="str">
        <f>"COMPRESSOR X430LS 1E41902G0"</f>
        <v>COMPRESSOR X430LS 1E41902G0</v>
      </c>
      <c r="C6975" s="2" t="str">
        <f t="shared" si="271"/>
        <v>UN</v>
      </c>
      <c r="D6975" s="7">
        <v>704</v>
      </c>
      <c r="E6975" s="3">
        <v>9</v>
      </c>
      <c r="F6975" s="3">
        <v>9</v>
      </c>
      <c r="G6975" t="s">
        <v>513</v>
      </c>
    </row>
    <row r="6976" spans="1:7" x14ac:dyDescent="0.25">
      <c r="A6976" s="1" t="str">
        <f>"516906"</f>
        <v>516906</v>
      </c>
      <c r="B6976" s="2" t="str">
        <f>"COMPRESSOT MT-40 220V MONO"</f>
        <v>COMPRESSOT MT-40 220V MONO</v>
      </c>
      <c r="C6976" s="2" t="str">
        <f t="shared" si="271"/>
        <v>UN</v>
      </c>
      <c r="D6976" s="7">
        <v>811</v>
      </c>
      <c r="E6976" s="3">
        <v>8</v>
      </c>
      <c r="F6976" s="3">
        <v>8</v>
      </c>
      <c r="G6976" t="s">
        <v>513</v>
      </c>
    </row>
    <row r="6977" spans="1:7" x14ac:dyDescent="0.25">
      <c r="A6977" s="1" t="str">
        <f>"520909"</f>
        <v>520909</v>
      </c>
      <c r="B6977" s="8" t="s">
        <v>186</v>
      </c>
      <c r="C6977" s="2" t="str">
        <f>"PC"</f>
        <v>PC</v>
      </c>
      <c r="D6977" s="7">
        <v>907</v>
      </c>
      <c r="E6977" s="3">
        <v>11</v>
      </c>
      <c r="F6977" s="3">
        <v>11</v>
      </c>
      <c r="G6977" t="s">
        <v>513</v>
      </c>
    </row>
    <row r="6978" spans="1:7" x14ac:dyDescent="0.25">
      <c r="A6978" s="1" t="str">
        <f>"514815"</f>
        <v>514815</v>
      </c>
      <c r="B6978" s="2" t="str">
        <f>"COMPUTADOR AMD SEMPRON"</f>
        <v>COMPUTADOR AMD SEMPRON</v>
      </c>
      <c r="C6978" s="2" t="str">
        <f t="shared" ref="C6978:C6984" si="272">"UN"</f>
        <v>UN</v>
      </c>
      <c r="D6978" s="7">
        <v>811</v>
      </c>
      <c r="E6978" s="3">
        <v>4</v>
      </c>
      <c r="F6978" s="3">
        <v>4</v>
      </c>
      <c r="G6978" t="s">
        <v>512</v>
      </c>
    </row>
    <row r="6979" spans="1:7" x14ac:dyDescent="0.25">
      <c r="A6979" s="1" t="str">
        <f>"508887"</f>
        <v>508887</v>
      </c>
      <c r="B6979" s="2" t="str">
        <f>"COMPUTADOR DELL 369604 BS540D1PT"</f>
        <v>COMPUTADOR DELL 369604 BS540D1PT</v>
      </c>
      <c r="C6979" s="2" t="str">
        <f t="shared" si="272"/>
        <v>UN</v>
      </c>
      <c r="D6979" s="7">
        <v>401</v>
      </c>
      <c r="E6979" s="3">
        <v>4</v>
      </c>
      <c r="F6979" s="3">
        <v>4</v>
      </c>
      <c r="G6979" t="s">
        <v>513</v>
      </c>
    </row>
    <row r="6980" spans="1:7" x14ac:dyDescent="0.25">
      <c r="A6980" s="1" t="str">
        <f>"514814"</f>
        <v>514814</v>
      </c>
      <c r="B6980" s="2" t="str">
        <f>"COMPUTADOR DELL DIMENSION 1100"</f>
        <v>COMPUTADOR DELL DIMENSION 1100</v>
      </c>
      <c r="C6980" s="2" t="str">
        <f t="shared" si="272"/>
        <v>UN</v>
      </c>
      <c r="D6980" s="7">
        <v>811</v>
      </c>
      <c r="E6980" s="3">
        <v>4</v>
      </c>
      <c r="F6980" s="3">
        <v>4</v>
      </c>
      <c r="G6980" t="s">
        <v>514</v>
      </c>
    </row>
    <row r="6981" spans="1:7" x14ac:dyDescent="0.25">
      <c r="A6981" s="1" t="str">
        <f>"518927"</f>
        <v>518927</v>
      </c>
      <c r="B6981" s="2" t="str">
        <f>"COMPUTADOR DELL POWEREDGE 1800"</f>
        <v>COMPUTADOR DELL POWEREDGE 1800</v>
      </c>
      <c r="C6981" s="2" t="str">
        <f t="shared" si="272"/>
        <v>UN</v>
      </c>
      <c r="D6981" s="7">
        <v>811</v>
      </c>
      <c r="E6981" s="3">
        <v>4</v>
      </c>
      <c r="F6981" s="3">
        <v>4</v>
      </c>
      <c r="G6981" t="s">
        <v>515</v>
      </c>
    </row>
    <row r="6982" spans="1:7" x14ac:dyDescent="0.25">
      <c r="A6982" s="1" t="str">
        <f>"522508"</f>
        <v>522508</v>
      </c>
      <c r="B6982" s="2" t="str">
        <f>"COMPUTER CALLING KIT"</f>
        <v>COMPUTER CALLING KIT</v>
      </c>
      <c r="C6982" s="2" t="str">
        <f t="shared" si="272"/>
        <v>UN</v>
      </c>
      <c r="D6982" s="7">
        <v>99999</v>
      </c>
      <c r="E6982" s="3">
        <v>99</v>
      </c>
      <c r="F6982" s="3">
        <v>99</v>
      </c>
      <c r="G6982" t="s">
        <v>512</v>
      </c>
    </row>
    <row r="6983" spans="1:7" x14ac:dyDescent="0.25">
      <c r="A6983" s="1" t="str">
        <f>"501878"</f>
        <v>501878</v>
      </c>
      <c r="B6983" s="2" t="str">
        <f>"COMUTADOR 2 POS 1NA RETENCAO PT - 3SB61302AA101BA0"</f>
        <v>COMUTADOR 2 POS 1NA RETENCAO PT - 3SB61302AA101BA0</v>
      </c>
      <c r="C6983" s="2" t="str">
        <f t="shared" si="272"/>
        <v>UN</v>
      </c>
      <c r="D6983" s="7">
        <v>704</v>
      </c>
      <c r="E6983" s="3">
        <v>9</v>
      </c>
      <c r="F6983" s="3">
        <v>9</v>
      </c>
      <c r="G6983" t="s">
        <v>516</v>
      </c>
    </row>
    <row r="6984" spans="1:7" x14ac:dyDescent="0.25">
      <c r="A6984" s="1" t="str">
        <f>"515543"</f>
        <v>515543</v>
      </c>
      <c r="B6984" s="2" t="str">
        <f>"COMUTADOR 3 POS 1NA1NA RETENCAO PT - 3SB61302AL101NA0"</f>
        <v>COMUTADOR 3 POS 1NA1NA RETENCAO PT - 3SB61302AL101NA0</v>
      </c>
      <c r="C6984" s="2" t="str">
        <f t="shared" si="272"/>
        <v>UN</v>
      </c>
      <c r="D6984" s="7">
        <v>811</v>
      </c>
      <c r="E6984" s="3">
        <v>8</v>
      </c>
      <c r="F6984" s="3">
        <v>8</v>
      </c>
      <c r="G6984" t="s">
        <v>515</v>
      </c>
    </row>
    <row r="6985" spans="1:7" x14ac:dyDescent="0.25">
      <c r="A6985" s="1" t="str">
        <f>"508061"</f>
        <v>508061</v>
      </c>
      <c r="B6985" s="2" t="str">
        <f>"COMUTADOR CHAVE RETENÇAO 3SB30 00-4AD11"</f>
        <v>COMUTADOR CHAVE RETENÇAO 3SB30 00-4AD11</v>
      </c>
      <c r="C6985" s="2" t="str">
        <f>"PC"</f>
        <v>PC</v>
      </c>
      <c r="D6985" s="7">
        <v>600</v>
      </c>
      <c r="E6985" s="3">
        <v>8</v>
      </c>
      <c r="F6985" s="3">
        <v>8</v>
      </c>
      <c r="G6985" t="s">
        <v>514</v>
      </c>
    </row>
    <row r="6986" spans="1:7" x14ac:dyDescent="0.25">
      <c r="A6986" s="1" t="str">
        <f>"507086"</f>
        <v>507086</v>
      </c>
      <c r="B6986" s="2" t="str">
        <f>"COMUTADOR CHAVE RETENÇAO 3SB30 00-4DD11"</f>
        <v>COMUTADOR CHAVE RETENÇAO 3SB30 00-4DD11</v>
      </c>
      <c r="C6986" s="2" t="str">
        <f>"UN"</f>
        <v>UN</v>
      </c>
      <c r="D6986" s="7">
        <v>900</v>
      </c>
      <c r="E6986" s="3">
        <v>11</v>
      </c>
      <c r="F6986" s="3">
        <v>11</v>
      </c>
      <c r="G6986" t="s">
        <v>512</v>
      </c>
    </row>
    <row r="6987" spans="1:7" x14ac:dyDescent="0.25">
      <c r="A6987" s="1" t="str">
        <f>"524287"</f>
        <v>524287</v>
      </c>
      <c r="B6987" s="2" t="str">
        <f>"COMUTADOR DADOS 24G"</f>
        <v>COMUTADOR DADOS 24G</v>
      </c>
      <c r="C6987" s="2" t="str">
        <f>"UN"</f>
        <v>UN</v>
      </c>
      <c r="D6987" s="7">
        <v>99999</v>
      </c>
      <c r="E6987" s="3">
        <v>99</v>
      </c>
      <c r="F6987" s="3">
        <v>99</v>
      </c>
      <c r="G6987" t="s">
        <v>513</v>
      </c>
    </row>
    <row r="6988" spans="1:7" x14ac:dyDescent="0.25">
      <c r="A6988" s="1" t="str">
        <f>"502893"</f>
        <v>502893</v>
      </c>
      <c r="B6988" s="2" t="str">
        <f>"COMUTADOR SIEMENS 2 POS 1NA RETENCAO PT 3SB61302AA101BA0"</f>
        <v>COMUTADOR SIEMENS 2 POS 1NA RETENCAO PT 3SB61302AA101BA0</v>
      </c>
      <c r="C6988" s="2" t="str">
        <f>"UN"</f>
        <v>UN</v>
      </c>
      <c r="D6988" s="7">
        <v>600</v>
      </c>
      <c r="E6988" s="3">
        <v>8</v>
      </c>
      <c r="F6988" s="3">
        <v>8</v>
      </c>
      <c r="G6988" t="s">
        <v>514</v>
      </c>
    </row>
    <row r="6989" spans="1:7" x14ac:dyDescent="0.25">
      <c r="A6989" s="1" t="str">
        <f>"506561"</f>
        <v>506561</v>
      </c>
      <c r="B6989" s="2" t="str">
        <f>"COMUTADOR SIEMENS 3 POS 1NA1NA RETENCAO PT 3SB61302AL101NA0"</f>
        <v>COMUTADOR SIEMENS 3 POS 1NA1NA RETENCAO PT 3SB61302AL101NA0</v>
      </c>
      <c r="C6989" s="2" t="str">
        <f>"PC"</f>
        <v>PC</v>
      </c>
      <c r="D6989" s="7">
        <v>600</v>
      </c>
      <c r="E6989" s="3">
        <v>8</v>
      </c>
      <c r="F6989" s="3">
        <v>8</v>
      </c>
      <c r="G6989" t="s">
        <v>514</v>
      </c>
    </row>
    <row r="6990" spans="1:7" x14ac:dyDescent="0.25">
      <c r="A6990" s="1" t="str">
        <f>"505949"</f>
        <v>505949</v>
      </c>
      <c r="B6990" s="2" t="str">
        <f>"COMUTADOR SIEMENS 3SB30 00-2KA11"</f>
        <v>COMUTADOR SIEMENS 3SB30 00-2KA11</v>
      </c>
      <c r="C6990" s="2" t="str">
        <f>"UN"</f>
        <v>UN</v>
      </c>
      <c r="D6990" s="7">
        <v>600</v>
      </c>
      <c r="E6990" s="3">
        <v>8</v>
      </c>
      <c r="F6990" s="3">
        <v>8</v>
      </c>
      <c r="G6990" t="s">
        <v>512</v>
      </c>
    </row>
    <row r="6991" spans="1:7" x14ac:dyDescent="0.25">
      <c r="A6991" s="1" t="str">
        <f>"524635"</f>
        <v>524635</v>
      </c>
      <c r="B6991" s="2" t="str">
        <f>"COMUTADOR SIEMENS SS32 SOB CARGA TRI 160A"</f>
        <v>COMUTADOR SIEMENS SS32 SOB CARGA TRI 160A</v>
      </c>
      <c r="C6991" s="2" t="str">
        <f>"UN"</f>
        <v>UN</v>
      </c>
      <c r="D6991" s="7">
        <v>811</v>
      </c>
      <c r="E6991" s="3">
        <v>10</v>
      </c>
      <c r="F6991" s="3">
        <v>10</v>
      </c>
      <c r="G6991" t="s">
        <v>513</v>
      </c>
    </row>
    <row r="6992" spans="1:7" x14ac:dyDescent="0.25">
      <c r="A6992" s="1" t="str">
        <f>"504011"</f>
        <v>504011</v>
      </c>
      <c r="B6992" s="2" t="str">
        <f>"COMUTADOR WEG CK2F45"</f>
        <v>COMUTADOR WEG CK2F45</v>
      </c>
      <c r="C6992" s="2" t="str">
        <f>"UN"</f>
        <v>UN</v>
      </c>
      <c r="D6992" s="7">
        <v>600</v>
      </c>
      <c r="E6992" s="3">
        <v>8</v>
      </c>
      <c r="F6992" s="3">
        <v>8</v>
      </c>
      <c r="G6992" t="s">
        <v>514</v>
      </c>
    </row>
    <row r="6993" spans="1:7" x14ac:dyDescent="0.25">
      <c r="A6993" s="1" t="str">
        <f>"503436"</f>
        <v>503436</v>
      </c>
      <c r="B6993" s="2" t="str">
        <f>"COMUTADOR WEG REF.CJ CK2F45.10"</f>
        <v>COMUTADOR WEG REF.CJ CK2F45.10</v>
      </c>
      <c r="C6993" s="2" t="str">
        <f>"UN"</f>
        <v>UN</v>
      </c>
      <c r="D6993" s="7">
        <v>600</v>
      </c>
      <c r="E6993" s="3">
        <v>8</v>
      </c>
      <c r="F6993" s="3">
        <v>8</v>
      </c>
      <c r="G6993" t="s">
        <v>514</v>
      </c>
    </row>
    <row r="6994" spans="1:7" x14ac:dyDescent="0.25">
      <c r="A6994" s="1" t="str">
        <f>"527001"</f>
        <v>527001</v>
      </c>
      <c r="B6994" s="2" t="str">
        <f>"CON. RAP. ROSCADA QS-1/4-10"</f>
        <v>CON. RAP. ROSCADA QS-1/4-10</v>
      </c>
      <c r="C6994" s="2" t="str">
        <f>"PC"</f>
        <v>PC</v>
      </c>
      <c r="D6994" s="7">
        <v>808</v>
      </c>
      <c r="E6994" s="3">
        <v>10</v>
      </c>
      <c r="F6994" s="3">
        <v>10</v>
      </c>
      <c r="G6994" t="s">
        <v>514</v>
      </c>
    </row>
    <row r="6995" spans="1:7" x14ac:dyDescent="0.25">
      <c r="A6995" s="1" t="str">
        <f>"6920"</f>
        <v>6920</v>
      </c>
      <c r="B6995" s="2" t="str">
        <f>"CONC.PROTEICO DE LEITE ESTABEGEM 367-MPC"</f>
        <v>CONC.PROTEICO DE LEITE ESTABEGEM 367-MPC</v>
      </c>
      <c r="C6995" s="2" t="str">
        <f>"KG"</f>
        <v>KG</v>
      </c>
      <c r="D6995" s="7">
        <v>204</v>
      </c>
      <c r="E6995" s="3">
        <v>2</v>
      </c>
      <c r="F6995" s="3">
        <v>2</v>
      </c>
      <c r="G6995" t="s">
        <v>513</v>
      </c>
    </row>
    <row r="6996" spans="1:7" x14ac:dyDescent="0.25">
      <c r="A6996" s="1" t="str">
        <f>"6981"</f>
        <v>6981</v>
      </c>
      <c r="B6996" s="2" t="str">
        <f>"CONC.PROTEÍCO DE LEITE TECGEM AA 772-MPC"</f>
        <v>CONC.PROTEÍCO DE LEITE TECGEM AA 772-MPC</v>
      </c>
      <c r="C6996" s="2" t="str">
        <f>"KG"</f>
        <v>KG</v>
      </c>
      <c r="D6996" s="7">
        <v>204</v>
      </c>
      <c r="E6996" s="3">
        <v>2</v>
      </c>
      <c r="F6996" s="3">
        <v>2</v>
      </c>
      <c r="G6996" t="s">
        <v>512</v>
      </c>
    </row>
    <row r="6997" spans="1:7" x14ac:dyDescent="0.25">
      <c r="A6997" s="1" t="str">
        <f>"515125"</f>
        <v>515125</v>
      </c>
      <c r="B6997" s="2" t="str">
        <f>"CONCHA"</f>
        <v>CONCHA</v>
      </c>
      <c r="C6997" s="2" t="str">
        <f t="shared" ref="C6997:C7004" si="273">"UN"</f>
        <v>UN</v>
      </c>
      <c r="D6997" s="7">
        <v>401</v>
      </c>
      <c r="E6997" s="3">
        <v>4</v>
      </c>
      <c r="F6997" s="3">
        <v>4</v>
      </c>
      <c r="G6997" t="s">
        <v>513</v>
      </c>
    </row>
    <row r="6998" spans="1:7" x14ac:dyDescent="0.25">
      <c r="A6998" s="1" t="str">
        <f>"525422"</f>
        <v>525422</v>
      </c>
      <c r="B6998" s="2" t="str">
        <f>"CONCRETO FCK10"</f>
        <v>CONCRETO FCK10</v>
      </c>
      <c r="C6998" s="2" t="str">
        <f t="shared" si="273"/>
        <v>UN</v>
      </c>
      <c r="D6998" s="7">
        <v>917</v>
      </c>
      <c r="E6998" s="3">
        <v>10</v>
      </c>
      <c r="F6998" s="3">
        <v>10</v>
      </c>
      <c r="G6998" t="s">
        <v>514</v>
      </c>
    </row>
    <row r="6999" spans="1:7" x14ac:dyDescent="0.25">
      <c r="A6999" s="1" t="str">
        <f>"521885"</f>
        <v>521885</v>
      </c>
      <c r="B6999" s="2" t="str">
        <f>"CONCRETO FCK20"</f>
        <v>CONCRETO FCK20</v>
      </c>
      <c r="C6999" s="2" t="str">
        <f t="shared" si="273"/>
        <v>UN</v>
      </c>
      <c r="D6999" s="7">
        <v>403</v>
      </c>
      <c r="E6999" s="3">
        <v>4</v>
      </c>
      <c r="F6999" s="3">
        <v>4</v>
      </c>
      <c r="G6999" t="s">
        <v>514</v>
      </c>
    </row>
    <row r="7000" spans="1:7" x14ac:dyDescent="0.25">
      <c r="A7000" s="1" t="str">
        <f>"522550"</f>
        <v>522550</v>
      </c>
      <c r="B7000" s="2" t="str">
        <f>"CONCRETO FCK25"</f>
        <v>CONCRETO FCK25</v>
      </c>
      <c r="C7000" s="2" t="str">
        <f t="shared" si="273"/>
        <v>UN</v>
      </c>
      <c r="D7000" s="7">
        <v>403</v>
      </c>
      <c r="E7000" s="3">
        <v>4</v>
      </c>
      <c r="F7000" s="3">
        <v>4</v>
      </c>
      <c r="G7000" t="s">
        <v>514</v>
      </c>
    </row>
    <row r="7001" spans="1:7" x14ac:dyDescent="0.25">
      <c r="A7001" s="1" t="str">
        <f>"501464"</f>
        <v>501464</v>
      </c>
      <c r="B7001" s="2" t="str">
        <f>"CONCRETO FCK30"</f>
        <v>CONCRETO FCK30</v>
      </c>
      <c r="C7001" s="2" t="str">
        <f t="shared" si="273"/>
        <v>UN</v>
      </c>
      <c r="D7001" s="7">
        <v>403</v>
      </c>
      <c r="E7001" s="3">
        <v>4</v>
      </c>
      <c r="F7001" s="3">
        <v>4</v>
      </c>
      <c r="G7001" t="s">
        <v>513</v>
      </c>
    </row>
    <row r="7002" spans="1:7" x14ac:dyDescent="0.25">
      <c r="A7002" s="1" t="str">
        <f>"524371"</f>
        <v>524371</v>
      </c>
      <c r="B7002" s="2" t="str">
        <f>"CONCRETO FCK35"</f>
        <v>CONCRETO FCK35</v>
      </c>
      <c r="C7002" s="2" t="str">
        <f t="shared" si="273"/>
        <v>UN</v>
      </c>
      <c r="D7002" s="7">
        <v>403</v>
      </c>
      <c r="E7002" s="3">
        <v>4</v>
      </c>
      <c r="F7002" s="3">
        <v>4</v>
      </c>
      <c r="G7002" t="s">
        <v>513</v>
      </c>
    </row>
    <row r="7003" spans="1:7" x14ac:dyDescent="0.25">
      <c r="A7003" s="1" t="str">
        <f>"523448"</f>
        <v>523448</v>
      </c>
      <c r="B7003" s="2" t="str">
        <f>"CONCRETO FCK40"</f>
        <v>CONCRETO FCK40</v>
      </c>
      <c r="C7003" s="2" t="str">
        <f t="shared" si="273"/>
        <v>UN</v>
      </c>
      <c r="D7003" s="7">
        <v>403</v>
      </c>
      <c r="E7003" s="3">
        <v>4</v>
      </c>
      <c r="F7003" s="3">
        <v>4</v>
      </c>
      <c r="G7003" t="s">
        <v>513</v>
      </c>
    </row>
    <row r="7004" spans="1:7" x14ac:dyDescent="0.25">
      <c r="A7004" s="1" t="str">
        <f>"503119"</f>
        <v>503119</v>
      </c>
      <c r="B7004" s="2" t="str">
        <f>"CONCRETO REFRATARIO"</f>
        <v>CONCRETO REFRATARIO</v>
      </c>
      <c r="C7004" s="2" t="str">
        <f t="shared" si="273"/>
        <v>UN</v>
      </c>
      <c r="D7004" s="7">
        <v>403</v>
      </c>
      <c r="E7004" s="3">
        <v>4</v>
      </c>
      <c r="F7004" s="3">
        <v>4</v>
      </c>
      <c r="G7004" t="s">
        <v>512</v>
      </c>
    </row>
    <row r="7005" spans="1:7" x14ac:dyDescent="0.25">
      <c r="A7005" s="1" t="str">
        <f>"6699"</f>
        <v>6699</v>
      </c>
      <c r="B7005" s="2" t="str">
        <f>"COND PREP CHEDDAR 20KG"</f>
        <v>COND PREP CHEDDAR 20KG</v>
      </c>
      <c r="C7005" s="2" t="str">
        <f>"KG"</f>
        <v>KG</v>
      </c>
      <c r="D7005" s="7">
        <v>204</v>
      </c>
      <c r="E7005" s="3">
        <v>2</v>
      </c>
      <c r="F7005" s="3">
        <v>2</v>
      </c>
      <c r="G7005" t="s">
        <v>513</v>
      </c>
    </row>
    <row r="7006" spans="1:7" x14ac:dyDescent="0.25">
      <c r="A7006" s="1" t="str">
        <f>"509418"</f>
        <v>509418</v>
      </c>
      <c r="B7006" s="2" t="str">
        <f>"COND. AR HW ATLAS CF 18000BTUS 220V YORK"</f>
        <v>COND. AR HW ATLAS CF 18000BTUS 220V YORK</v>
      </c>
      <c r="C7006" s="2" t="str">
        <f>"UN"</f>
        <v>UN</v>
      </c>
      <c r="D7006" s="7">
        <v>1200</v>
      </c>
      <c r="E7006" s="3">
        <v>13</v>
      </c>
      <c r="F7006" s="3">
        <v>13</v>
      </c>
      <c r="G7006" t="s">
        <v>514</v>
      </c>
    </row>
    <row r="7007" spans="1:7" x14ac:dyDescent="0.25">
      <c r="A7007" s="1" t="str">
        <f>"509416"</f>
        <v>509416</v>
      </c>
      <c r="B7007" s="2" t="str">
        <f>"COND. AR HW ATLAS CF 9000BTUS 220V YORK"</f>
        <v>COND. AR HW ATLAS CF 9000BTUS 220V YORK</v>
      </c>
      <c r="C7007" s="2" t="str">
        <f>"UN"</f>
        <v>UN</v>
      </c>
      <c r="D7007" s="7">
        <v>1200</v>
      </c>
      <c r="E7007" s="3">
        <v>13</v>
      </c>
      <c r="F7007" s="3">
        <v>13</v>
      </c>
      <c r="G7007" t="s">
        <v>515</v>
      </c>
    </row>
    <row r="7008" spans="1:7" x14ac:dyDescent="0.25">
      <c r="A7008" s="1" t="str">
        <f>"519796"</f>
        <v>519796</v>
      </c>
      <c r="B7008" s="2" t="str">
        <f>"COND. AR MONTAGEM LATERAL CCAL05261 538W 1PH/220/60HZ"</f>
        <v>COND. AR MONTAGEM LATERAL CCAL05261 538W 1PH/220/60HZ</v>
      </c>
      <c r="C7008" s="2" t="str">
        <f>"UN"</f>
        <v>UN</v>
      </c>
      <c r="D7008" s="7">
        <v>811</v>
      </c>
      <c r="E7008" s="3">
        <v>8</v>
      </c>
      <c r="F7008" s="3">
        <v>8</v>
      </c>
      <c r="G7008" t="s">
        <v>512</v>
      </c>
    </row>
    <row r="7009" spans="1:7" x14ac:dyDescent="0.25">
      <c r="A7009" s="1" t="str">
        <f>"513165"</f>
        <v>513165</v>
      </c>
      <c r="B7009" s="2" t="str">
        <f>"COND. ELITE HW CF 30.000BTUS 220V"</f>
        <v>COND. ELITE HW CF 30.000BTUS 220V</v>
      </c>
      <c r="C7009" s="2" t="str">
        <f>"UN"</f>
        <v>UN</v>
      </c>
      <c r="D7009" s="7">
        <v>1200</v>
      </c>
      <c r="E7009" s="3">
        <v>13</v>
      </c>
      <c r="F7009" s="3">
        <v>13</v>
      </c>
      <c r="G7009" t="s">
        <v>516</v>
      </c>
    </row>
    <row r="7010" spans="1:7" x14ac:dyDescent="0.25">
      <c r="A7010" s="1" t="str">
        <f>"514870"</f>
        <v>514870</v>
      </c>
      <c r="B7010" s="2" t="str">
        <f>"COND. ELITE HW HR 12000 MIDEA"</f>
        <v>COND. ELITE HW HR 12000 MIDEA</v>
      </c>
      <c r="C7010" s="2" t="str">
        <f>"UN"</f>
        <v>UN</v>
      </c>
      <c r="D7010" s="7">
        <v>1200</v>
      </c>
      <c r="E7010" s="3">
        <v>13</v>
      </c>
      <c r="F7010" s="3">
        <v>13</v>
      </c>
      <c r="G7010" t="s">
        <v>515</v>
      </c>
    </row>
    <row r="7011" spans="1:7" x14ac:dyDescent="0.25">
      <c r="A7011" s="1" t="str">
        <f>"6698"</f>
        <v>6698</v>
      </c>
      <c r="B7011" s="2" t="str">
        <f>"COND. PREP QUEIJO CHEDDAR - 20KG"</f>
        <v>COND. PREP QUEIJO CHEDDAR - 20KG</v>
      </c>
      <c r="C7011" s="2" t="str">
        <f>"KG"</f>
        <v>KG</v>
      </c>
      <c r="D7011" s="7">
        <v>204</v>
      </c>
      <c r="E7011" s="3">
        <v>2</v>
      </c>
      <c r="F7011" s="3">
        <v>2</v>
      </c>
      <c r="G7011" t="s">
        <v>514</v>
      </c>
    </row>
    <row r="7012" spans="1:7" x14ac:dyDescent="0.25">
      <c r="A7012" s="1" t="str">
        <f>"515678"</f>
        <v>515678</v>
      </c>
      <c r="B7012" s="2" t="str">
        <f>"COND. PREP. AZEITONA PRETA"</f>
        <v>COND. PREP. AZEITONA PRETA</v>
      </c>
      <c r="C7012" s="2" t="str">
        <f>"KG"</f>
        <v>KG</v>
      </c>
      <c r="D7012" s="7">
        <v>206</v>
      </c>
      <c r="E7012" s="3">
        <v>2</v>
      </c>
      <c r="F7012" s="3">
        <v>2</v>
      </c>
      <c r="G7012" t="s">
        <v>512</v>
      </c>
    </row>
    <row r="7013" spans="1:7" x14ac:dyDescent="0.25">
      <c r="A7013" s="1" t="str">
        <f>"515676"</f>
        <v>515676</v>
      </c>
      <c r="B7013" s="2" t="str">
        <f>"COND. PREP. ERVAS FINAS"</f>
        <v>COND. PREP. ERVAS FINAS</v>
      </c>
      <c r="C7013" s="2" t="str">
        <f>"KG"</f>
        <v>KG</v>
      </c>
      <c r="D7013" s="7">
        <v>206</v>
      </c>
      <c r="E7013" s="3">
        <v>2</v>
      </c>
      <c r="F7013" s="3">
        <v>2</v>
      </c>
      <c r="G7013" t="s">
        <v>513</v>
      </c>
    </row>
    <row r="7014" spans="1:7" x14ac:dyDescent="0.25">
      <c r="A7014" s="1" t="str">
        <f>"515677"</f>
        <v>515677</v>
      </c>
      <c r="B7014" s="2" t="str">
        <f>"COND. PREP. PEITO PERU"</f>
        <v>COND. PREP. PEITO PERU</v>
      </c>
      <c r="C7014" s="2" t="str">
        <f>"KG"</f>
        <v>KG</v>
      </c>
      <c r="D7014" s="7">
        <v>206</v>
      </c>
      <c r="E7014" s="3">
        <v>2</v>
      </c>
      <c r="F7014" s="3">
        <v>2</v>
      </c>
      <c r="G7014" t="s">
        <v>514</v>
      </c>
    </row>
    <row r="7015" spans="1:7" x14ac:dyDescent="0.25">
      <c r="A7015" s="1" t="str">
        <f>"515675"</f>
        <v>515675</v>
      </c>
      <c r="B7015" s="2" t="str">
        <f>"COND. PREP. TOMATE SECO"</f>
        <v>COND. PREP. TOMATE SECO</v>
      </c>
      <c r="C7015" s="2" t="str">
        <f>"KG"</f>
        <v>KG</v>
      </c>
      <c r="D7015" s="7">
        <v>206</v>
      </c>
      <c r="E7015" s="3">
        <v>2</v>
      </c>
      <c r="F7015" s="3">
        <v>2</v>
      </c>
      <c r="G7015" t="s">
        <v>514</v>
      </c>
    </row>
    <row r="7016" spans="1:7" x14ac:dyDescent="0.25">
      <c r="A7016" s="1" t="str">
        <f>"511092"</f>
        <v>511092</v>
      </c>
      <c r="B7016" s="2" t="str">
        <f>"COND. SPACE CF 30000 BTUS 220V CARRIER"</f>
        <v>COND. SPACE CF 30000 BTUS 220V CARRIER</v>
      </c>
      <c r="C7016" s="2" t="str">
        <f t="shared" ref="C7016:C7047" si="274">"UN"</f>
        <v>UN</v>
      </c>
      <c r="D7016" s="7">
        <v>1200</v>
      </c>
      <c r="E7016" s="3">
        <v>13</v>
      </c>
      <c r="F7016" s="3">
        <v>13</v>
      </c>
      <c r="G7016" t="s">
        <v>512</v>
      </c>
    </row>
    <row r="7017" spans="1:7" x14ac:dyDescent="0.25">
      <c r="A7017" s="1" t="str">
        <f>"511056"</f>
        <v>511056</v>
      </c>
      <c r="B7017" s="2" t="str">
        <f>"CONDENSADOR CO 50A"</f>
        <v>CONDENSADOR CO 50A</v>
      </c>
      <c r="C7017" s="2" t="str">
        <f t="shared" si="274"/>
        <v>UN</v>
      </c>
      <c r="D7017" s="7">
        <v>900</v>
      </c>
      <c r="E7017" s="3">
        <v>11</v>
      </c>
      <c r="F7017" s="3">
        <v>11</v>
      </c>
      <c r="G7017" t="s">
        <v>513</v>
      </c>
    </row>
    <row r="7018" spans="1:7" x14ac:dyDescent="0.25">
      <c r="A7018" s="1" t="str">
        <f>"526633"</f>
        <v>526633</v>
      </c>
      <c r="B7018" s="2" t="str">
        <f>"CONDENSADOR EVAPORADOR TCCE 1575"</f>
        <v>CONDENSADOR EVAPORADOR TCCE 1575</v>
      </c>
      <c r="C7018" s="2" t="str">
        <f t="shared" si="274"/>
        <v>UN</v>
      </c>
      <c r="D7018" s="7">
        <v>1200</v>
      </c>
      <c r="E7018" s="3">
        <v>13</v>
      </c>
      <c r="F7018" s="3">
        <v>13</v>
      </c>
      <c r="G7018" t="s">
        <v>514</v>
      </c>
    </row>
    <row r="7019" spans="1:7" x14ac:dyDescent="0.25">
      <c r="A7019" s="1" t="str">
        <f>"510552"</f>
        <v>510552</v>
      </c>
      <c r="B7019" s="2" t="str">
        <f>"CONDENSADOR EVAPORADOR YCE-400-S-02"</f>
        <v>CONDENSADOR EVAPORADOR YCE-400-S-02</v>
      </c>
      <c r="C7019" s="2" t="str">
        <f t="shared" si="274"/>
        <v>UN</v>
      </c>
      <c r="D7019" s="7">
        <v>1200</v>
      </c>
      <c r="E7019" s="3">
        <v>13</v>
      </c>
      <c r="F7019" s="3">
        <v>13</v>
      </c>
      <c r="G7019" t="s">
        <v>514</v>
      </c>
    </row>
    <row r="7020" spans="1:7" x14ac:dyDescent="0.25">
      <c r="A7020" s="1" t="str">
        <f>"522309"</f>
        <v>522309</v>
      </c>
      <c r="B7020" s="2" t="str">
        <f>"CONDENSADOR EVAPORATIVO CE-1500 60Hz NH3 CF S3 #1,2"</f>
        <v>CONDENSADOR EVAPORATIVO CE-1500 60Hz NH3 CF S3 #1,2</v>
      </c>
      <c r="C7020" s="2" t="str">
        <f t="shared" si="274"/>
        <v>UN</v>
      </c>
      <c r="D7020" s="7">
        <v>912</v>
      </c>
      <c r="E7020" s="3">
        <v>10</v>
      </c>
      <c r="F7020" s="3">
        <v>10</v>
      </c>
      <c r="G7020" t="s">
        <v>514</v>
      </c>
    </row>
    <row r="7021" spans="1:7" x14ac:dyDescent="0.25">
      <c r="A7021" s="1" t="str">
        <f>"514122"</f>
        <v>514122</v>
      </c>
      <c r="B7021" s="2" t="str">
        <f>"CONDENSADOR EVAPORATIVO NCE180"</f>
        <v>CONDENSADOR EVAPORATIVO NCE180</v>
      </c>
      <c r="C7021" s="2" t="str">
        <f t="shared" si="274"/>
        <v>UN</v>
      </c>
      <c r="D7021" s="7">
        <v>1300</v>
      </c>
      <c r="E7021" s="3">
        <v>13</v>
      </c>
      <c r="F7021" s="3">
        <v>13</v>
      </c>
      <c r="G7021" t="s">
        <v>513</v>
      </c>
    </row>
    <row r="7022" spans="1:7" x14ac:dyDescent="0.25">
      <c r="A7022" s="1" t="str">
        <f>"525104"</f>
        <v>525104</v>
      </c>
      <c r="B7022" s="2" t="str">
        <f>"CONDENSADOR GA132 ATLAS COPCO 1617421400-J"</f>
        <v>CONDENSADOR GA132 ATLAS COPCO 1617421400-J</v>
      </c>
      <c r="C7022" s="2" t="str">
        <f t="shared" si="274"/>
        <v>UN</v>
      </c>
      <c r="D7022" s="7">
        <v>901</v>
      </c>
      <c r="E7022" s="3">
        <v>11</v>
      </c>
      <c r="F7022" s="3">
        <v>11</v>
      </c>
      <c r="G7022" t="s">
        <v>512</v>
      </c>
    </row>
    <row r="7023" spans="1:7" x14ac:dyDescent="0.25">
      <c r="A7023" s="1" t="str">
        <f>"520929"</f>
        <v>520929</v>
      </c>
      <c r="B7023" s="2" t="str">
        <f>"CONDENSADOR ID525/5"</f>
        <v>CONDENSADOR ID525/5</v>
      </c>
      <c r="C7023" s="2" t="str">
        <f t="shared" si="274"/>
        <v>UN</v>
      </c>
      <c r="D7023" s="7">
        <v>1300</v>
      </c>
      <c r="E7023" s="3">
        <v>13</v>
      </c>
      <c r="F7023" s="3">
        <v>13</v>
      </c>
      <c r="G7023" t="s">
        <v>513</v>
      </c>
    </row>
    <row r="7024" spans="1:7" x14ac:dyDescent="0.25">
      <c r="A7024" s="1" t="str">
        <f>"518820"</f>
        <v>518820</v>
      </c>
      <c r="B7024" s="2" t="str">
        <f>"CONDICIONADOR DE AR LG HW LIBERO 220V 18000BTU INVERTER"</f>
        <v>CONDICIONADOR DE AR LG HW LIBERO 220V 18000BTU INVERTER</v>
      </c>
      <c r="C7024" s="2" t="str">
        <f t="shared" si="274"/>
        <v>UN</v>
      </c>
      <c r="D7024" s="7">
        <v>1300</v>
      </c>
      <c r="E7024" s="3">
        <v>13</v>
      </c>
      <c r="F7024" s="3">
        <v>13</v>
      </c>
      <c r="G7024" t="s">
        <v>514</v>
      </c>
    </row>
    <row r="7025" spans="1:7" x14ac:dyDescent="0.25">
      <c r="A7025" s="1" t="str">
        <f>"519872"</f>
        <v>519872</v>
      </c>
      <c r="B7025" s="2" t="str">
        <f>"CONDICIONADOR DE AR SPLIT SAMSUNG INVERTER 24000BTU FRIO220V"</f>
        <v>CONDICIONADOR DE AR SPLIT SAMSUNG INVERTER 24000BTU FRIO220V</v>
      </c>
      <c r="C7025" s="2" t="str">
        <f t="shared" si="274"/>
        <v>UN</v>
      </c>
      <c r="D7025" s="7">
        <v>402</v>
      </c>
      <c r="E7025" s="3">
        <v>4</v>
      </c>
      <c r="F7025" s="3">
        <v>4</v>
      </c>
      <c r="G7025" t="s">
        <v>514</v>
      </c>
    </row>
    <row r="7026" spans="1:7" x14ac:dyDescent="0.25">
      <c r="A7026" s="1" t="str">
        <f>"509344"</f>
        <v>509344</v>
      </c>
      <c r="B7026" s="2" t="str">
        <f>"CONDICIONADOR DE AR YORK 18000BTUS 220V"</f>
        <v>CONDICIONADOR DE AR YORK 18000BTUS 220V</v>
      </c>
      <c r="C7026" s="2" t="str">
        <f t="shared" si="274"/>
        <v>UN</v>
      </c>
      <c r="D7026" s="7">
        <v>402</v>
      </c>
      <c r="E7026" s="3">
        <v>4</v>
      </c>
      <c r="F7026" s="3">
        <v>4</v>
      </c>
      <c r="G7026" t="s">
        <v>514</v>
      </c>
    </row>
    <row r="7027" spans="1:7" x14ac:dyDescent="0.25">
      <c r="A7027" s="1" t="str">
        <f>"509127"</f>
        <v>509127</v>
      </c>
      <c r="B7027" s="8" t="s">
        <v>19</v>
      </c>
      <c r="C7027" s="2" t="str">
        <f t="shared" si="274"/>
        <v>UN</v>
      </c>
      <c r="D7027" s="7">
        <v>402</v>
      </c>
      <c r="E7027" s="3">
        <v>4</v>
      </c>
      <c r="F7027" s="3">
        <v>4</v>
      </c>
      <c r="G7027" t="s">
        <v>513</v>
      </c>
    </row>
    <row r="7028" spans="1:7" x14ac:dyDescent="0.25">
      <c r="A7028" s="1" t="str">
        <f>"510585"</f>
        <v>510585</v>
      </c>
      <c r="B7028" s="2" t="str">
        <f>"CONDICIONADOR HW CF 18000BTUS 220V CARRI"</f>
        <v>CONDICIONADOR HW CF 18000BTUS 220V CARRI</v>
      </c>
      <c r="C7028" s="2" t="str">
        <f t="shared" si="274"/>
        <v>UN</v>
      </c>
      <c r="D7028" s="7">
        <v>1200</v>
      </c>
      <c r="E7028" s="3">
        <v>13</v>
      </c>
      <c r="F7028" s="3">
        <v>13</v>
      </c>
      <c r="G7028" t="s">
        <v>513</v>
      </c>
    </row>
    <row r="7029" spans="1:7" x14ac:dyDescent="0.25">
      <c r="A7029" s="1" t="str">
        <f>"526154"</f>
        <v>526154</v>
      </c>
      <c r="B7029" s="2" t="str">
        <f>"CONDUITE 1' LARANJA PARA LAJE"</f>
        <v>CONDUITE 1' LARANJA PARA LAJE</v>
      </c>
      <c r="C7029" s="2" t="str">
        <f t="shared" si="274"/>
        <v>UN</v>
      </c>
      <c r="D7029" s="7">
        <v>917</v>
      </c>
      <c r="E7029" s="3">
        <v>11</v>
      </c>
      <c r="F7029" s="3">
        <v>11</v>
      </c>
      <c r="G7029" t="s">
        <v>513</v>
      </c>
    </row>
    <row r="7030" spans="1:7" x14ac:dyDescent="0.25">
      <c r="A7030" s="1" t="str">
        <f>"526152"</f>
        <v>526152</v>
      </c>
      <c r="B7030" s="2" t="str">
        <f>"CONDUITE 3/4' LARANJA PARA LAJE"</f>
        <v>CONDUITE 3/4' LARANJA PARA LAJE</v>
      </c>
      <c r="C7030" s="2" t="str">
        <f t="shared" si="274"/>
        <v>UN</v>
      </c>
      <c r="D7030" s="7">
        <v>917</v>
      </c>
      <c r="E7030" s="3">
        <v>11</v>
      </c>
      <c r="F7030" s="3">
        <v>11</v>
      </c>
      <c r="G7030" t="s">
        <v>512</v>
      </c>
    </row>
    <row r="7031" spans="1:7" x14ac:dyDescent="0.25">
      <c r="A7031" s="1" t="str">
        <f>"511143"</f>
        <v>511143</v>
      </c>
      <c r="B7031" s="2" t="str">
        <f>"CONDUITE CORRUGADO 1 1/2"""</f>
        <v>CONDUITE CORRUGADO 1 1/2"</v>
      </c>
      <c r="C7031" s="2" t="str">
        <f t="shared" si="274"/>
        <v>UN</v>
      </c>
      <c r="D7031" s="7">
        <v>601</v>
      </c>
      <c r="E7031" s="3">
        <v>8</v>
      </c>
      <c r="F7031" s="3">
        <v>8</v>
      </c>
      <c r="G7031" t="s">
        <v>513</v>
      </c>
    </row>
    <row r="7032" spans="1:7" x14ac:dyDescent="0.25">
      <c r="A7032" s="1" t="str">
        <f>"512528"</f>
        <v>512528</v>
      </c>
      <c r="B7032" s="2" t="str">
        <f>"CONDUITE CORRUGADO DE 1"""</f>
        <v>CONDUITE CORRUGADO DE 1"</v>
      </c>
      <c r="C7032" s="2" t="str">
        <f t="shared" si="274"/>
        <v>UN</v>
      </c>
      <c r="D7032" s="7">
        <v>601</v>
      </c>
      <c r="E7032" s="3">
        <v>8</v>
      </c>
      <c r="F7032" s="3">
        <v>8</v>
      </c>
      <c r="G7032" t="s">
        <v>514</v>
      </c>
    </row>
    <row r="7033" spans="1:7" x14ac:dyDescent="0.25">
      <c r="A7033" s="1" t="str">
        <f>"505245"</f>
        <v>505245</v>
      </c>
      <c r="B7033" s="2" t="str">
        <f>"CONDUITE DE PVC ROSCA DE 75MM"</f>
        <v>CONDUITE DE PVC ROSCA DE 75MM</v>
      </c>
      <c r="C7033" s="2" t="str">
        <f t="shared" si="274"/>
        <v>UN</v>
      </c>
      <c r="D7033" s="7">
        <v>704</v>
      </c>
      <c r="E7033" s="3">
        <v>9</v>
      </c>
      <c r="F7033" s="3">
        <v>9</v>
      </c>
      <c r="G7033" t="s">
        <v>515</v>
      </c>
    </row>
    <row r="7034" spans="1:7" x14ac:dyDescent="0.25">
      <c r="A7034" s="1" t="str">
        <f>"525136"</f>
        <v>525136</v>
      </c>
      <c r="B7034" s="2" t="str">
        <f>"CONDUITE SEALTUBO 1"" CORDOALHA DE FERRO"</f>
        <v>CONDUITE SEALTUBO 1" CORDOALHA DE FERRO</v>
      </c>
      <c r="C7034" s="2" t="str">
        <f t="shared" si="274"/>
        <v>UN</v>
      </c>
      <c r="D7034" s="7">
        <v>601</v>
      </c>
      <c r="E7034" s="3">
        <v>8</v>
      </c>
      <c r="F7034" s="3">
        <v>8</v>
      </c>
      <c r="G7034" t="s">
        <v>512</v>
      </c>
    </row>
    <row r="7035" spans="1:7" x14ac:dyDescent="0.25">
      <c r="A7035" s="1" t="str">
        <f>"525137"</f>
        <v>525137</v>
      </c>
      <c r="B7035" s="2" t="str">
        <f>"CONDUITE SEALTUBO 2"" CORDOALHA DE FERRO"</f>
        <v>CONDUITE SEALTUBO 2" CORDOALHA DE FERRO</v>
      </c>
      <c r="C7035" s="2" t="str">
        <f t="shared" si="274"/>
        <v>UN</v>
      </c>
      <c r="D7035" s="7">
        <v>601</v>
      </c>
      <c r="E7035" s="3">
        <v>8</v>
      </c>
      <c r="F7035" s="3">
        <v>8</v>
      </c>
      <c r="G7035" t="s">
        <v>516</v>
      </c>
    </row>
    <row r="7036" spans="1:7" x14ac:dyDescent="0.25">
      <c r="A7036" s="1" t="str">
        <f>"521769"</f>
        <v>521769</v>
      </c>
      <c r="B7036" s="2" t="str">
        <f>"CONDULETE AL..DAILET 1""DVR100-LL-ST-BSP DAISA"</f>
        <v>CONDULETE AL..DAILET 1"DVR100-LL-ST-BSP DAISA</v>
      </c>
      <c r="C7036" s="2" t="str">
        <f t="shared" si="274"/>
        <v>UN</v>
      </c>
      <c r="D7036" s="7">
        <v>600</v>
      </c>
      <c r="E7036" s="3">
        <v>10</v>
      </c>
      <c r="F7036" s="3">
        <v>10</v>
      </c>
      <c r="G7036" t="s">
        <v>515</v>
      </c>
    </row>
    <row r="7037" spans="1:7" x14ac:dyDescent="0.25">
      <c r="A7037" s="1" t="str">
        <f>"507695"</f>
        <v>507695</v>
      </c>
      <c r="B7037" s="2" t="str">
        <f>"CONDULETE ALUMINIO TIPO C  3/4"</f>
        <v>CONDULETE ALUMINIO TIPO C  3/4</v>
      </c>
      <c r="C7037" s="2" t="str">
        <f t="shared" si="274"/>
        <v>UN</v>
      </c>
      <c r="D7037" s="7">
        <v>601</v>
      </c>
      <c r="E7037" s="3">
        <v>8</v>
      </c>
      <c r="F7037" s="3">
        <v>8</v>
      </c>
      <c r="G7037" t="s">
        <v>514</v>
      </c>
    </row>
    <row r="7038" spans="1:7" x14ac:dyDescent="0.25">
      <c r="A7038" s="1" t="str">
        <f>"500227"</f>
        <v>500227</v>
      </c>
      <c r="B7038" s="2" t="str">
        <f>"CONDULETE ALUMINIO TIPO E 3/4"""</f>
        <v>CONDULETE ALUMINIO TIPO E 3/4"</v>
      </c>
      <c r="C7038" s="2" t="str">
        <f t="shared" si="274"/>
        <v>UN</v>
      </c>
      <c r="D7038" s="7">
        <v>600</v>
      </c>
      <c r="E7038" s="3">
        <v>4</v>
      </c>
      <c r="F7038" s="3">
        <v>4</v>
      </c>
      <c r="G7038" t="s">
        <v>512</v>
      </c>
    </row>
    <row r="7039" spans="1:7" x14ac:dyDescent="0.25">
      <c r="A7039" s="1" t="str">
        <f>"520791"</f>
        <v>520791</v>
      </c>
      <c r="B7039" s="2" t="str">
        <f>"CONDULETE ALUMINIO TIPO T 3/4 C/ ROSCA"</f>
        <v>CONDULETE ALUMINIO TIPO T 3/4 C/ ROSCA</v>
      </c>
      <c r="C7039" s="2" t="str">
        <f t="shared" si="274"/>
        <v>UN</v>
      </c>
      <c r="D7039" s="7">
        <v>601</v>
      </c>
      <c r="E7039" s="3">
        <v>8</v>
      </c>
      <c r="F7039" s="3">
        <v>8</v>
      </c>
      <c r="G7039" t="s">
        <v>513</v>
      </c>
    </row>
    <row r="7040" spans="1:7" x14ac:dyDescent="0.25">
      <c r="A7040" s="1" t="str">
        <f>"502716"</f>
        <v>502716</v>
      </c>
      <c r="B7040" s="2" t="str">
        <f>"CONDULETE ALUMINIO TIPO TB DE 3/4"</f>
        <v>CONDULETE ALUMINIO TIPO TB DE 3/4</v>
      </c>
      <c r="C7040" s="2" t="str">
        <f t="shared" si="274"/>
        <v>UN</v>
      </c>
      <c r="D7040" s="7">
        <v>601</v>
      </c>
      <c r="E7040" s="3">
        <v>8</v>
      </c>
      <c r="F7040" s="3">
        <v>8</v>
      </c>
      <c r="G7040" t="s">
        <v>514</v>
      </c>
    </row>
    <row r="7041" spans="1:7" x14ac:dyDescent="0.25">
      <c r="A7041" s="1" t="str">
        <f>"509543"</f>
        <v>509543</v>
      </c>
      <c r="B7041" s="2" t="str">
        <f>"CONDULETE C/ PLACA INT. DUPLO 3/4""TIPO C"</f>
        <v>CONDULETE C/ PLACA INT. DUPLO 3/4"TIPO C</v>
      </c>
      <c r="C7041" s="2" t="str">
        <f t="shared" si="274"/>
        <v>UN</v>
      </c>
      <c r="D7041" s="7">
        <v>601</v>
      </c>
      <c r="E7041" s="3">
        <v>8</v>
      </c>
      <c r="F7041" s="3">
        <v>8</v>
      </c>
      <c r="G7041" t="s">
        <v>514</v>
      </c>
    </row>
    <row r="7042" spans="1:7" x14ac:dyDescent="0.25">
      <c r="A7042" s="1" t="str">
        <f>"525200"</f>
        <v>525200</v>
      </c>
      <c r="B7042" s="2" t="str">
        <f>"CONDULETE GALVANIZADO O A FOGO EM AÇO CARB LINHA PESADA 4"" L"</f>
        <v>CONDULETE GALVANIZADO O A FOGO EM AÇO CARB LINHA PESADA 4" L</v>
      </c>
      <c r="C7042" s="2" t="str">
        <f t="shared" si="274"/>
        <v>UN</v>
      </c>
      <c r="D7042" s="7">
        <v>601</v>
      </c>
      <c r="E7042" s="3">
        <v>8</v>
      </c>
      <c r="F7042" s="3">
        <v>8</v>
      </c>
      <c r="G7042" t="s">
        <v>512</v>
      </c>
    </row>
    <row r="7043" spans="1:7" x14ac:dyDescent="0.25">
      <c r="A7043" s="1" t="str">
        <f>"512346"</f>
        <v>512346</v>
      </c>
      <c r="B7043" s="2" t="str">
        <f>"CONDULETE GALVANIZADO TIPO C 1"""</f>
        <v>CONDULETE GALVANIZADO TIPO C 1"</v>
      </c>
      <c r="C7043" s="2" t="str">
        <f t="shared" si="274"/>
        <v>UN</v>
      </c>
      <c r="D7043" s="7">
        <v>601</v>
      </c>
      <c r="E7043" s="3">
        <v>8</v>
      </c>
      <c r="F7043" s="3">
        <v>8</v>
      </c>
      <c r="G7043" t="s">
        <v>513</v>
      </c>
    </row>
    <row r="7044" spans="1:7" x14ac:dyDescent="0.25">
      <c r="A7044" s="1" t="str">
        <f>"525135"</f>
        <v>525135</v>
      </c>
      <c r="B7044" s="2" t="str">
        <f>"CONDULETE GALVANIZADO TIPO C 1"""</f>
        <v>CONDULETE GALVANIZADO TIPO C 1"</v>
      </c>
      <c r="C7044" s="2" t="str">
        <f t="shared" si="274"/>
        <v>UN</v>
      </c>
      <c r="D7044" s="7">
        <v>601</v>
      </c>
      <c r="E7044" s="3">
        <v>8</v>
      </c>
      <c r="F7044" s="3">
        <v>8</v>
      </c>
      <c r="G7044" t="s">
        <v>514</v>
      </c>
    </row>
    <row r="7045" spans="1:7" x14ac:dyDescent="0.25">
      <c r="A7045" s="1" t="str">
        <f>"512489"</f>
        <v>512489</v>
      </c>
      <c r="B7045" s="2" t="str">
        <f>"CONDULETE GALVANIZADO TIPO E 1"""</f>
        <v>CONDULETE GALVANIZADO TIPO E 1"</v>
      </c>
      <c r="C7045" s="2" t="str">
        <f t="shared" si="274"/>
        <v>UN</v>
      </c>
      <c r="D7045" s="7">
        <v>601</v>
      </c>
      <c r="E7045" s="3">
        <v>8</v>
      </c>
      <c r="F7045" s="3">
        <v>8</v>
      </c>
      <c r="G7045" t="s">
        <v>514</v>
      </c>
    </row>
    <row r="7046" spans="1:7" x14ac:dyDescent="0.25">
      <c r="A7046" s="1" t="str">
        <f>"525134"</f>
        <v>525134</v>
      </c>
      <c r="B7046" s="2" t="str">
        <f>"CONDULETE GALVANIZADO TIPO LB 1"""</f>
        <v>CONDULETE GALVANIZADO TIPO LB 1"</v>
      </c>
      <c r="C7046" s="2" t="str">
        <f t="shared" si="274"/>
        <v>UN</v>
      </c>
      <c r="D7046" s="7">
        <v>601</v>
      </c>
      <c r="E7046" s="3">
        <v>8</v>
      </c>
      <c r="F7046" s="3">
        <v>8</v>
      </c>
      <c r="G7046" t="s">
        <v>514</v>
      </c>
    </row>
    <row r="7047" spans="1:7" x14ac:dyDescent="0.25">
      <c r="A7047" s="1" t="str">
        <f>"512347"</f>
        <v>512347</v>
      </c>
      <c r="B7047" s="2" t="str">
        <f>"CONDULETE GALVANIZADO TIPO LL 1 1/2"""</f>
        <v>CONDULETE GALVANIZADO TIPO LL 1 1/2"</v>
      </c>
      <c r="C7047" s="2" t="str">
        <f t="shared" si="274"/>
        <v>UN</v>
      </c>
      <c r="D7047" s="7">
        <v>601</v>
      </c>
      <c r="E7047" s="3">
        <v>8</v>
      </c>
      <c r="F7047" s="3">
        <v>8</v>
      </c>
      <c r="G7047" t="s">
        <v>513</v>
      </c>
    </row>
    <row r="7048" spans="1:7" x14ac:dyDescent="0.25">
      <c r="A7048" s="1" t="str">
        <f>"518754"</f>
        <v>518754</v>
      </c>
      <c r="B7048" s="2" t="str">
        <f>"CONDULETE GALVANIZADO TIPO LL 1"""</f>
        <v>CONDULETE GALVANIZADO TIPO LL 1"</v>
      </c>
      <c r="C7048" s="2" t="str">
        <f t="shared" ref="C7048:C7079" si="275">"UN"</f>
        <v>UN</v>
      </c>
      <c r="D7048" s="7">
        <v>601</v>
      </c>
      <c r="E7048" s="3">
        <v>8</v>
      </c>
      <c r="F7048" s="3">
        <v>8</v>
      </c>
      <c r="G7048" t="s">
        <v>512</v>
      </c>
    </row>
    <row r="7049" spans="1:7" x14ac:dyDescent="0.25">
      <c r="A7049" s="1" t="str">
        <f>"526132"</f>
        <v>526132</v>
      </c>
      <c r="B7049" s="2" t="str">
        <f>"CONDULETE GALVANIZADO TIPO LL 2"""</f>
        <v>CONDULETE GALVANIZADO TIPO LL 2"</v>
      </c>
      <c r="C7049" s="2" t="str">
        <f t="shared" si="275"/>
        <v>UN</v>
      </c>
      <c r="D7049" s="7">
        <v>601</v>
      </c>
      <c r="E7049" s="3">
        <v>8</v>
      </c>
      <c r="F7049" s="3">
        <v>8</v>
      </c>
      <c r="G7049" t="s">
        <v>513</v>
      </c>
    </row>
    <row r="7050" spans="1:7" x14ac:dyDescent="0.25">
      <c r="A7050" s="1" t="str">
        <f>"518598"</f>
        <v>518598</v>
      </c>
      <c r="B7050" s="2" t="str">
        <f>"CONDULETE GALVANIZADO TIPO LL 3/4"""</f>
        <v>CONDULETE GALVANIZADO TIPO LL 3/4"</v>
      </c>
      <c r="C7050" s="2" t="str">
        <f t="shared" si="275"/>
        <v>UN</v>
      </c>
      <c r="D7050" s="7">
        <v>601</v>
      </c>
      <c r="E7050" s="3">
        <v>8</v>
      </c>
      <c r="F7050" s="3">
        <v>8</v>
      </c>
      <c r="G7050" t="s">
        <v>514</v>
      </c>
    </row>
    <row r="7051" spans="1:7" x14ac:dyDescent="0.25">
      <c r="A7051" s="1" t="str">
        <f>"525133"</f>
        <v>525133</v>
      </c>
      <c r="B7051" s="2" t="str">
        <f>"CONDULETE GALVANIZADO TIPO T 1"""</f>
        <v>CONDULETE GALVANIZADO TIPO T 1"</v>
      </c>
      <c r="C7051" s="2" t="str">
        <f t="shared" si="275"/>
        <v>UN</v>
      </c>
      <c r="D7051" s="7">
        <v>601</v>
      </c>
      <c r="E7051" s="3">
        <v>8</v>
      </c>
      <c r="F7051" s="3">
        <v>8</v>
      </c>
      <c r="G7051" t="s">
        <v>514</v>
      </c>
    </row>
    <row r="7052" spans="1:7" x14ac:dyDescent="0.25">
      <c r="A7052" s="1" t="str">
        <f>"512488"</f>
        <v>512488</v>
      </c>
      <c r="B7052" s="2" t="str">
        <f>"CONDULETE LL 3/4 ALUMINIO"</f>
        <v>CONDULETE LL 3/4 ALUMINIO</v>
      </c>
      <c r="C7052" s="2" t="str">
        <f t="shared" si="275"/>
        <v>UN</v>
      </c>
      <c r="D7052" s="7">
        <v>704</v>
      </c>
      <c r="E7052" s="3">
        <v>9</v>
      </c>
      <c r="F7052" s="3">
        <v>9</v>
      </c>
      <c r="G7052" t="s">
        <v>514</v>
      </c>
    </row>
    <row r="7053" spans="1:7" x14ac:dyDescent="0.25">
      <c r="A7053" s="1" t="str">
        <f>"509887"</f>
        <v>509887</v>
      </c>
      <c r="B7053" s="2" t="str">
        <f>"CONDULETE LR 3/4 ALUMINIO"</f>
        <v>CONDULETE LR 3/4 ALUMINIO</v>
      </c>
      <c r="C7053" s="2" t="str">
        <f t="shared" si="275"/>
        <v>UN</v>
      </c>
      <c r="D7053" s="7">
        <v>601</v>
      </c>
      <c r="E7053" s="3">
        <v>8</v>
      </c>
      <c r="F7053" s="3">
        <v>8</v>
      </c>
      <c r="G7053" t="s">
        <v>513</v>
      </c>
    </row>
    <row r="7054" spans="1:7" x14ac:dyDescent="0.25">
      <c r="A7054" s="1" t="str">
        <f>"523457"</f>
        <v>523457</v>
      </c>
      <c r="B7054" s="2" t="str">
        <f>"CONDULETE MULTIPLO DUPLO 1"""</f>
        <v>CONDULETE MULTIPLO DUPLO 1"</v>
      </c>
      <c r="C7054" s="2" t="str">
        <f t="shared" si="275"/>
        <v>UN</v>
      </c>
      <c r="D7054" s="7">
        <v>601</v>
      </c>
      <c r="E7054" s="3">
        <v>8</v>
      </c>
      <c r="F7054" s="3">
        <v>8</v>
      </c>
      <c r="G7054" t="s">
        <v>513</v>
      </c>
    </row>
    <row r="7055" spans="1:7" x14ac:dyDescent="0.25">
      <c r="A7055" s="1" t="str">
        <f>"505615"</f>
        <v>505615</v>
      </c>
      <c r="B7055" s="2" t="str">
        <f>"CONDULETE MULTIPLO DUPLO TIPO E 3/4"""</f>
        <v>CONDULETE MULTIPLO DUPLO TIPO E 3/4"</v>
      </c>
      <c r="C7055" s="2" t="str">
        <f t="shared" si="275"/>
        <v>UN</v>
      </c>
      <c r="D7055" s="7">
        <v>601</v>
      </c>
      <c r="E7055" s="3">
        <v>8</v>
      </c>
      <c r="F7055" s="3">
        <v>8</v>
      </c>
      <c r="G7055" t="s">
        <v>513</v>
      </c>
    </row>
    <row r="7056" spans="1:7" x14ac:dyDescent="0.25">
      <c r="A7056" s="1" t="str">
        <f>"509781"</f>
        <v>509781</v>
      </c>
      <c r="B7056" s="2" t="str">
        <f>"CONDULETE PVC POLIWETZEL TAMPAO TPI20 1"""</f>
        <v>CONDULETE PVC POLIWETZEL TAMPAO TPI20 1"</v>
      </c>
      <c r="C7056" s="2" t="str">
        <f t="shared" si="275"/>
        <v>UN</v>
      </c>
      <c r="D7056" s="7">
        <v>601</v>
      </c>
      <c r="E7056" s="3">
        <v>8</v>
      </c>
      <c r="F7056" s="3">
        <v>8</v>
      </c>
      <c r="G7056" t="s">
        <v>512</v>
      </c>
    </row>
    <row r="7057" spans="1:7" x14ac:dyDescent="0.25">
      <c r="A7057" s="1" t="str">
        <f>"511366"</f>
        <v>511366</v>
      </c>
      <c r="B7057" s="2" t="str">
        <f>"CONDULETE PVC TAMPA 1/2"" X 3/4"""</f>
        <v>CONDULETE PVC TAMPA 1/2" X 3/4"</v>
      </c>
      <c r="C7057" s="2" t="str">
        <f t="shared" si="275"/>
        <v>UN</v>
      </c>
      <c r="D7057" s="7">
        <v>601</v>
      </c>
      <c r="E7057" s="3">
        <v>8</v>
      </c>
      <c r="F7057" s="3">
        <v>8</v>
      </c>
      <c r="G7057" t="s">
        <v>513</v>
      </c>
    </row>
    <row r="7058" spans="1:7" x14ac:dyDescent="0.25">
      <c r="A7058" s="1" t="str">
        <f>"511365"</f>
        <v>511365</v>
      </c>
      <c r="B7058" s="2" t="str">
        <f>"CONDULETE PVC TAMPA CEGA 1"""</f>
        <v>CONDULETE PVC TAMPA CEGA 1"</v>
      </c>
      <c r="C7058" s="2" t="str">
        <f t="shared" si="275"/>
        <v>UN</v>
      </c>
      <c r="D7058" s="7">
        <v>601</v>
      </c>
      <c r="E7058" s="3">
        <v>8</v>
      </c>
      <c r="F7058" s="3">
        <v>8</v>
      </c>
      <c r="G7058" t="s">
        <v>514</v>
      </c>
    </row>
    <row r="7059" spans="1:7" x14ac:dyDescent="0.25">
      <c r="A7059" s="1" t="str">
        <f>"511364"</f>
        <v>511364</v>
      </c>
      <c r="B7059" s="2" t="str">
        <f>"CONDULETE PVC TAMPA CEGA 1/2"" E 3/4"""</f>
        <v>CONDULETE PVC TAMPA CEGA 1/2" E 3/4"</v>
      </c>
      <c r="C7059" s="2" t="str">
        <f t="shared" si="275"/>
        <v>UN</v>
      </c>
      <c r="D7059" s="7">
        <v>601</v>
      </c>
      <c r="E7059" s="3">
        <v>8</v>
      </c>
      <c r="F7059" s="3">
        <v>8</v>
      </c>
      <c r="G7059" t="s">
        <v>515</v>
      </c>
    </row>
    <row r="7060" spans="1:7" x14ac:dyDescent="0.25">
      <c r="A7060" s="1" t="str">
        <f>"510983"</f>
        <v>510983</v>
      </c>
      <c r="B7060" s="2" t="str">
        <f>"CONDULETE PVC TIPO C DE 1 1/2"""</f>
        <v>CONDULETE PVC TIPO C DE 1 1/2"</v>
      </c>
      <c r="C7060" s="2" t="str">
        <f t="shared" si="275"/>
        <v>UN</v>
      </c>
      <c r="D7060" s="7">
        <v>601</v>
      </c>
      <c r="E7060" s="3">
        <v>8</v>
      </c>
      <c r="F7060" s="3">
        <v>8</v>
      </c>
      <c r="G7060" t="s">
        <v>512</v>
      </c>
    </row>
    <row r="7061" spans="1:7" x14ac:dyDescent="0.25">
      <c r="A7061" s="1" t="str">
        <f>"510859"</f>
        <v>510859</v>
      </c>
      <c r="B7061" s="2" t="str">
        <f>"CONDULETE PVC TIPO C DE 1"""</f>
        <v>CONDULETE PVC TIPO C DE 1"</v>
      </c>
      <c r="C7061" s="2" t="str">
        <f t="shared" si="275"/>
        <v>UN</v>
      </c>
      <c r="D7061" s="7">
        <v>601</v>
      </c>
      <c r="E7061" s="3">
        <v>8</v>
      </c>
      <c r="F7061" s="3">
        <v>8</v>
      </c>
      <c r="G7061" t="s">
        <v>516</v>
      </c>
    </row>
    <row r="7062" spans="1:7" x14ac:dyDescent="0.25">
      <c r="A7062" s="1" t="str">
        <f>"511445"</f>
        <v>511445</v>
      </c>
      <c r="B7062" s="2" t="str">
        <f>"CONDULETE PVC TIPO C DE 1/2"""</f>
        <v>CONDULETE PVC TIPO C DE 1/2"</v>
      </c>
      <c r="C7062" s="2" t="str">
        <f t="shared" si="275"/>
        <v>UN</v>
      </c>
      <c r="D7062" s="7">
        <v>601</v>
      </c>
      <c r="E7062" s="3">
        <v>8</v>
      </c>
      <c r="F7062" s="3">
        <v>8</v>
      </c>
      <c r="G7062" t="s">
        <v>515</v>
      </c>
    </row>
    <row r="7063" spans="1:7" x14ac:dyDescent="0.25">
      <c r="A7063" s="1" t="str">
        <f>"509954"</f>
        <v>509954</v>
      </c>
      <c r="B7063" s="2" t="str">
        <f>"CONDULETE PVC TIPO C DE 2"" C/ TAMPA CEGA"</f>
        <v>CONDULETE PVC TIPO C DE 2" C/ TAMPA CEGA</v>
      </c>
      <c r="C7063" s="2" t="str">
        <f t="shared" si="275"/>
        <v>UN</v>
      </c>
      <c r="D7063" s="7">
        <v>601</v>
      </c>
      <c r="E7063" s="3">
        <v>8</v>
      </c>
      <c r="F7063" s="3">
        <v>8</v>
      </c>
      <c r="G7063" t="s">
        <v>514</v>
      </c>
    </row>
    <row r="7064" spans="1:7" x14ac:dyDescent="0.25">
      <c r="A7064" s="1" t="str">
        <f>"502442"</f>
        <v>502442</v>
      </c>
      <c r="B7064" s="2" t="str">
        <f>"CONDULETE PVC TIPO C DE 3/4"""</f>
        <v>CONDULETE PVC TIPO C DE 3/4"</v>
      </c>
      <c r="C7064" s="2" t="str">
        <f t="shared" si="275"/>
        <v>UN</v>
      </c>
      <c r="D7064" s="7">
        <v>601</v>
      </c>
      <c r="E7064" s="3">
        <v>8</v>
      </c>
      <c r="F7064" s="3">
        <v>8</v>
      </c>
      <c r="G7064" t="s">
        <v>512</v>
      </c>
    </row>
    <row r="7065" spans="1:7" x14ac:dyDescent="0.25">
      <c r="A7065" s="1" t="str">
        <f>"509843"</f>
        <v>509843</v>
      </c>
      <c r="B7065" s="2" t="str">
        <f>"CONDULETE PVC TIPO E DE 1 1/2"""</f>
        <v>CONDULETE PVC TIPO E DE 1 1/2"</v>
      </c>
      <c r="C7065" s="2" t="str">
        <f t="shared" si="275"/>
        <v>UN</v>
      </c>
      <c r="D7065" s="7">
        <v>601</v>
      </c>
      <c r="E7065" s="3">
        <v>8</v>
      </c>
      <c r="F7065" s="3">
        <v>8</v>
      </c>
      <c r="G7065" t="s">
        <v>513</v>
      </c>
    </row>
    <row r="7066" spans="1:7" x14ac:dyDescent="0.25">
      <c r="A7066" s="1" t="str">
        <f>"502714"</f>
        <v>502714</v>
      </c>
      <c r="B7066" s="2" t="str">
        <f>"CONDULETE PVC TIPO E DE 1"""</f>
        <v>CONDULETE PVC TIPO E DE 1"</v>
      </c>
      <c r="C7066" s="2" t="str">
        <f t="shared" si="275"/>
        <v>UN</v>
      </c>
      <c r="D7066" s="7">
        <v>601</v>
      </c>
      <c r="E7066" s="3">
        <v>8</v>
      </c>
      <c r="F7066" s="3">
        <v>8</v>
      </c>
      <c r="G7066" t="s">
        <v>514</v>
      </c>
    </row>
    <row r="7067" spans="1:7" x14ac:dyDescent="0.25">
      <c r="A7067" s="1" t="str">
        <f>"509454"</f>
        <v>509454</v>
      </c>
      <c r="B7067" s="2" t="str">
        <f>"CONDULETE PVC TIPO E DE 1/2"""</f>
        <v>CONDULETE PVC TIPO E DE 1/2"</v>
      </c>
      <c r="C7067" s="2" t="str">
        <f t="shared" si="275"/>
        <v>UN</v>
      </c>
      <c r="D7067" s="7">
        <v>601</v>
      </c>
      <c r="E7067" s="3">
        <v>8</v>
      </c>
      <c r="F7067" s="3">
        <v>8</v>
      </c>
      <c r="G7067" t="s">
        <v>514</v>
      </c>
    </row>
    <row r="7068" spans="1:7" x14ac:dyDescent="0.25">
      <c r="A7068" s="1" t="str">
        <f>"515919"</f>
        <v>515919</v>
      </c>
      <c r="B7068" s="2" t="str">
        <f>"CONDULETE PVC TIPO E DE 2"""</f>
        <v>CONDULETE PVC TIPO E DE 2"</v>
      </c>
      <c r="C7068" s="2" t="str">
        <f t="shared" si="275"/>
        <v>UN</v>
      </c>
      <c r="D7068" s="7">
        <v>99999</v>
      </c>
      <c r="E7068" s="3">
        <v>99</v>
      </c>
      <c r="F7068" s="3">
        <v>99</v>
      </c>
      <c r="G7068" t="s">
        <v>512</v>
      </c>
    </row>
    <row r="7069" spans="1:7" x14ac:dyDescent="0.25">
      <c r="A7069" s="1" t="str">
        <f>"510853"</f>
        <v>510853</v>
      </c>
      <c r="B7069" s="2" t="str">
        <f>"CONDULETE PVC TIPO E DE 3"""</f>
        <v>CONDULETE PVC TIPO E DE 3"</v>
      </c>
      <c r="C7069" s="2" t="str">
        <f t="shared" si="275"/>
        <v>UN</v>
      </c>
      <c r="D7069" s="7">
        <v>601</v>
      </c>
      <c r="E7069" s="3">
        <v>8</v>
      </c>
      <c r="F7069" s="3">
        <v>8</v>
      </c>
      <c r="G7069" t="s">
        <v>513</v>
      </c>
    </row>
    <row r="7070" spans="1:7" x14ac:dyDescent="0.25">
      <c r="A7070" s="1" t="str">
        <f>"502443"</f>
        <v>502443</v>
      </c>
      <c r="B7070" s="2" t="str">
        <f>"CONDULETE PVC TIPO E DE 3/4"""</f>
        <v>CONDULETE PVC TIPO E DE 3/4"</v>
      </c>
      <c r="C7070" s="2" t="str">
        <f t="shared" si="275"/>
        <v>UN</v>
      </c>
      <c r="D7070" s="7">
        <v>601</v>
      </c>
      <c r="E7070" s="3">
        <v>8</v>
      </c>
      <c r="F7070" s="3">
        <v>8</v>
      </c>
      <c r="G7070" t="s">
        <v>514</v>
      </c>
    </row>
    <row r="7071" spans="1:7" x14ac:dyDescent="0.25">
      <c r="A7071" s="1" t="str">
        <f>"513121"</f>
        <v>513121</v>
      </c>
      <c r="B7071" s="2" t="str">
        <f>"CONDULETE PVC TIPO L 3/4"""</f>
        <v>CONDULETE PVC TIPO L 3/4"</v>
      </c>
      <c r="C7071" s="2" t="str">
        <f t="shared" si="275"/>
        <v>UN</v>
      </c>
      <c r="D7071" s="7">
        <v>601</v>
      </c>
      <c r="E7071" s="3">
        <v>8</v>
      </c>
      <c r="F7071" s="3">
        <v>8</v>
      </c>
      <c r="G7071" t="s">
        <v>514</v>
      </c>
    </row>
    <row r="7072" spans="1:7" x14ac:dyDescent="0.25">
      <c r="A7072" s="1" t="str">
        <f>"509895"</f>
        <v>509895</v>
      </c>
      <c r="B7072" s="2" t="str">
        <f>"CONDULETE PVC TIPO L DE 1 1/2"""</f>
        <v>CONDULETE PVC TIPO L DE 1 1/2"</v>
      </c>
      <c r="C7072" s="2" t="str">
        <f t="shared" si="275"/>
        <v>UN</v>
      </c>
      <c r="D7072" s="7">
        <v>601</v>
      </c>
      <c r="E7072" s="3">
        <v>8</v>
      </c>
      <c r="F7072" s="3">
        <v>8</v>
      </c>
      <c r="G7072" t="s">
        <v>514</v>
      </c>
    </row>
    <row r="7073" spans="1:7" x14ac:dyDescent="0.25">
      <c r="A7073" s="1" t="str">
        <f>"511829"</f>
        <v>511829</v>
      </c>
      <c r="B7073" s="2" t="str">
        <f>"CONDULETE PVC TIPO L DE 2"""</f>
        <v>CONDULETE PVC TIPO L DE 2"</v>
      </c>
      <c r="C7073" s="2" t="str">
        <f t="shared" si="275"/>
        <v>UN</v>
      </c>
      <c r="D7073" s="7">
        <v>601</v>
      </c>
      <c r="E7073" s="3">
        <v>8</v>
      </c>
      <c r="F7073" s="3">
        <v>8</v>
      </c>
      <c r="G7073" t="s">
        <v>513</v>
      </c>
    </row>
    <row r="7074" spans="1:7" x14ac:dyDescent="0.25">
      <c r="A7074" s="1" t="str">
        <f>"512057"</f>
        <v>512057</v>
      </c>
      <c r="B7074" s="2" t="str">
        <f>"CONDULETE PVC TIPO L DE 3/4"""</f>
        <v>CONDULETE PVC TIPO L DE 3/4"</v>
      </c>
      <c r="C7074" s="2" t="str">
        <f t="shared" si="275"/>
        <v>UN</v>
      </c>
      <c r="D7074" s="7">
        <v>601</v>
      </c>
      <c r="E7074" s="3">
        <v>8</v>
      </c>
      <c r="F7074" s="3">
        <v>8</v>
      </c>
      <c r="G7074" t="s">
        <v>512</v>
      </c>
    </row>
    <row r="7075" spans="1:7" x14ac:dyDescent="0.25">
      <c r="A7075" s="1" t="str">
        <f>"502715"</f>
        <v>502715</v>
      </c>
      <c r="B7075" s="2" t="str">
        <f>"CONDULETE PVC TIPO LL DE 1"""</f>
        <v>CONDULETE PVC TIPO LL DE 1"</v>
      </c>
      <c r="C7075" s="2" t="str">
        <f t="shared" si="275"/>
        <v>UN</v>
      </c>
      <c r="D7075" s="7">
        <v>601</v>
      </c>
      <c r="E7075" s="3">
        <v>8</v>
      </c>
      <c r="F7075" s="3">
        <v>8</v>
      </c>
      <c r="G7075" t="s">
        <v>513</v>
      </c>
    </row>
    <row r="7076" spans="1:7" x14ac:dyDescent="0.25">
      <c r="A7076" s="1" t="str">
        <f>"502444"</f>
        <v>502444</v>
      </c>
      <c r="B7076" s="2" t="str">
        <f>"CONDULETE PVC TIPO LL DE 3/4"""</f>
        <v>CONDULETE PVC TIPO LL DE 3/4"</v>
      </c>
      <c r="C7076" s="2" t="str">
        <f t="shared" si="275"/>
        <v>UN</v>
      </c>
      <c r="D7076" s="7">
        <v>601</v>
      </c>
      <c r="E7076" s="3">
        <v>8</v>
      </c>
      <c r="F7076" s="3">
        <v>8</v>
      </c>
      <c r="G7076" t="s">
        <v>514</v>
      </c>
    </row>
    <row r="7077" spans="1:7" x14ac:dyDescent="0.25">
      <c r="A7077" s="1" t="str">
        <f>"511142"</f>
        <v>511142</v>
      </c>
      <c r="B7077" s="2" t="str">
        <f>"CONDULETE PVC TIPO LR DE 1 1/2"""</f>
        <v>CONDULETE PVC TIPO LR DE 1 1/2"</v>
      </c>
      <c r="C7077" s="2" t="str">
        <f t="shared" si="275"/>
        <v>UN</v>
      </c>
      <c r="D7077" s="7">
        <v>601</v>
      </c>
      <c r="E7077" s="3">
        <v>8</v>
      </c>
      <c r="F7077" s="3">
        <v>8</v>
      </c>
      <c r="G7077" t="s">
        <v>514</v>
      </c>
    </row>
    <row r="7078" spans="1:7" x14ac:dyDescent="0.25">
      <c r="A7078" s="1" t="str">
        <f>"511614"</f>
        <v>511614</v>
      </c>
      <c r="B7078" s="2" t="str">
        <f>"CONDULETE PVC TIPO LR DE 1"""</f>
        <v>CONDULETE PVC TIPO LR DE 1"</v>
      </c>
      <c r="C7078" s="2" t="str">
        <f t="shared" si="275"/>
        <v>UN</v>
      </c>
      <c r="D7078" s="7">
        <v>601</v>
      </c>
      <c r="E7078" s="3">
        <v>8</v>
      </c>
      <c r="F7078" s="3">
        <v>8</v>
      </c>
      <c r="G7078" t="s">
        <v>514</v>
      </c>
    </row>
    <row r="7079" spans="1:7" x14ac:dyDescent="0.25">
      <c r="A7079" s="1" t="str">
        <f>"510221"</f>
        <v>510221</v>
      </c>
      <c r="B7079" s="2" t="str">
        <f>"CONDULETE PVC TIPO LR DE 1/2"""</f>
        <v>CONDULETE PVC TIPO LR DE 1/2"</v>
      </c>
      <c r="C7079" s="2" t="str">
        <f t="shared" si="275"/>
        <v>UN</v>
      </c>
      <c r="D7079" s="7">
        <v>601</v>
      </c>
      <c r="E7079" s="3">
        <v>8</v>
      </c>
      <c r="F7079" s="3">
        <v>8</v>
      </c>
      <c r="G7079" t="s">
        <v>513</v>
      </c>
    </row>
    <row r="7080" spans="1:7" x14ac:dyDescent="0.25">
      <c r="A7080" s="1" t="str">
        <f>"511588"</f>
        <v>511588</v>
      </c>
      <c r="B7080" s="2" t="str">
        <f>"CONDULETE PVC TIPO LR DE 2 1/2"" C/ TAMPA"</f>
        <v>CONDULETE PVC TIPO LR DE 2 1/2" C/ TAMPA</v>
      </c>
      <c r="C7080" s="2" t="str">
        <f t="shared" ref="C7080:C7103" si="276">"UN"</f>
        <v>UN</v>
      </c>
      <c r="D7080" s="7">
        <v>601</v>
      </c>
      <c r="E7080" s="3">
        <v>8</v>
      </c>
      <c r="F7080" s="3">
        <v>8</v>
      </c>
      <c r="G7080" t="s">
        <v>513</v>
      </c>
    </row>
    <row r="7081" spans="1:7" x14ac:dyDescent="0.25">
      <c r="A7081" s="1" t="str">
        <f>"512069"</f>
        <v>512069</v>
      </c>
      <c r="B7081" s="2" t="str">
        <f>"CONDULETE PVC TIPO LR DE 2"""</f>
        <v>CONDULETE PVC TIPO LR DE 2"</v>
      </c>
      <c r="C7081" s="2" t="str">
        <f t="shared" si="276"/>
        <v>UN</v>
      </c>
      <c r="D7081" s="7">
        <v>601</v>
      </c>
      <c r="E7081" s="3">
        <v>8</v>
      </c>
      <c r="F7081" s="3">
        <v>8</v>
      </c>
      <c r="G7081" t="s">
        <v>513</v>
      </c>
    </row>
    <row r="7082" spans="1:7" x14ac:dyDescent="0.25">
      <c r="A7082" s="1" t="str">
        <f>"502445"</f>
        <v>502445</v>
      </c>
      <c r="B7082" s="2" t="str">
        <f>"CONDULETE PVC TIPO LR DE 3/4"""</f>
        <v>CONDULETE PVC TIPO LR DE 3/4"</v>
      </c>
      <c r="C7082" s="2" t="str">
        <f t="shared" si="276"/>
        <v>UN</v>
      </c>
      <c r="D7082" s="7">
        <v>601</v>
      </c>
      <c r="E7082" s="3">
        <v>8</v>
      </c>
      <c r="F7082" s="3">
        <v>8</v>
      </c>
      <c r="G7082" t="s">
        <v>512</v>
      </c>
    </row>
    <row r="7083" spans="1:7" x14ac:dyDescent="0.25">
      <c r="A7083" s="1" t="str">
        <f>"509848"</f>
        <v>509848</v>
      </c>
      <c r="B7083" s="2" t="str">
        <f>"CONDULETE PVC TIPO T DE 1 1/2"""</f>
        <v>CONDULETE PVC TIPO T DE 1 1/2"</v>
      </c>
      <c r="C7083" s="2" t="str">
        <f t="shared" si="276"/>
        <v>UN</v>
      </c>
      <c r="D7083" s="7">
        <v>601</v>
      </c>
      <c r="E7083" s="3">
        <v>8</v>
      </c>
      <c r="F7083" s="3">
        <v>8</v>
      </c>
      <c r="G7083" t="s">
        <v>513</v>
      </c>
    </row>
    <row r="7084" spans="1:7" x14ac:dyDescent="0.25">
      <c r="A7084" s="1" t="str">
        <f>"509586"</f>
        <v>509586</v>
      </c>
      <c r="B7084" s="2" t="str">
        <f>"CONDULETE PVC TIPO T DE 1"""</f>
        <v>CONDULETE PVC TIPO T DE 1"</v>
      </c>
      <c r="C7084" s="2" t="str">
        <f t="shared" si="276"/>
        <v>UN</v>
      </c>
      <c r="D7084" s="7">
        <v>601</v>
      </c>
      <c r="E7084" s="3">
        <v>8</v>
      </c>
      <c r="F7084" s="3">
        <v>8</v>
      </c>
      <c r="G7084" t="s">
        <v>514</v>
      </c>
    </row>
    <row r="7085" spans="1:7" x14ac:dyDescent="0.25">
      <c r="A7085" s="1" t="str">
        <f>"511448"</f>
        <v>511448</v>
      </c>
      <c r="B7085" s="2" t="str">
        <f>"CONDULETE PVC TIPO T DE 1/2"""</f>
        <v>CONDULETE PVC TIPO T DE 1/2"</v>
      </c>
      <c r="C7085" s="2" t="str">
        <f t="shared" si="276"/>
        <v>UN</v>
      </c>
      <c r="D7085" s="7">
        <v>601</v>
      </c>
      <c r="E7085" s="3">
        <v>8</v>
      </c>
      <c r="F7085" s="3">
        <v>8</v>
      </c>
      <c r="G7085" t="s">
        <v>515</v>
      </c>
    </row>
    <row r="7086" spans="1:7" x14ac:dyDescent="0.25">
      <c r="A7086" s="1" t="str">
        <f>"502446"</f>
        <v>502446</v>
      </c>
      <c r="B7086" s="2" t="str">
        <f>"CONDULETE PVC TIPO T DE 3/4"""</f>
        <v>CONDULETE PVC TIPO T DE 3/4"</v>
      </c>
      <c r="C7086" s="2" t="str">
        <f t="shared" si="276"/>
        <v>UN</v>
      </c>
      <c r="D7086" s="7">
        <v>601</v>
      </c>
      <c r="E7086" s="3">
        <v>8</v>
      </c>
      <c r="F7086" s="3">
        <v>8</v>
      </c>
      <c r="G7086" t="s">
        <v>512</v>
      </c>
    </row>
    <row r="7087" spans="1:7" x14ac:dyDescent="0.25">
      <c r="A7087" s="1" t="str">
        <f>"511070"</f>
        <v>511070</v>
      </c>
      <c r="B7087" s="2" t="str">
        <f>"CONDULETE ZINCADO TIPO C 2 1/2"""</f>
        <v>CONDULETE ZINCADO TIPO C 2 1/2"</v>
      </c>
      <c r="C7087" s="2" t="str">
        <f t="shared" si="276"/>
        <v>UN</v>
      </c>
      <c r="D7087" s="7">
        <v>601</v>
      </c>
      <c r="E7087" s="3">
        <v>8</v>
      </c>
      <c r="F7087" s="3">
        <v>8</v>
      </c>
      <c r="G7087" t="s">
        <v>516</v>
      </c>
    </row>
    <row r="7088" spans="1:7" x14ac:dyDescent="0.25">
      <c r="A7088" s="1" t="str">
        <f>"524668"</f>
        <v>524668</v>
      </c>
      <c r="B7088" s="2" t="str">
        <f>"CONDUTIVIMETRO SMARTEC CLD18-1139/0-BTXJ"</f>
        <v>CONDUTIVIMETRO SMARTEC CLD18-1139/0-BTXJ</v>
      </c>
      <c r="C7088" s="2" t="str">
        <f t="shared" si="276"/>
        <v>UN</v>
      </c>
      <c r="D7088" s="7">
        <v>811</v>
      </c>
      <c r="E7088" s="3">
        <v>11</v>
      </c>
      <c r="F7088" s="3">
        <v>11</v>
      </c>
      <c r="G7088" t="s">
        <v>515</v>
      </c>
    </row>
    <row r="7089" spans="1:7" x14ac:dyDescent="0.25">
      <c r="A7089" s="1" t="str">
        <f>"526900"</f>
        <v>526900</v>
      </c>
      <c r="B7089" s="2" t="str">
        <f>"CONDUTIVIMETRO SMARTEC CLD18-11A5/0 BTXJ+Z1"</f>
        <v>CONDUTIVIMETRO SMARTEC CLD18-11A5/0 BTXJ+Z1</v>
      </c>
      <c r="C7089" s="2" t="str">
        <f t="shared" si="276"/>
        <v>UN</v>
      </c>
      <c r="D7089" s="7">
        <v>811</v>
      </c>
      <c r="E7089" s="3">
        <v>11</v>
      </c>
      <c r="F7089" s="3">
        <v>11</v>
      </c>
      <c r="G7089" t="s">
        <v>514</v>
      </c>
    </row>
    <row r="7090" spans="1:7" x14ac:dyDescent="0.25">
      <c r="A7090" s="1" t="str">
        <f>"524651"</f>
        <v>524651</v>
      </c>
      <c r="B7090" s="2" t="str">
        <f>"CONDUTIVIMETRO SMARTEC CLD18-BTXJ DN2,0"""</f>
        <v>CONDUTIVIMETRO SMARTEC CLD18-BTXJ DN2,0"</v>
      </c>
      <c r="C7090" s="2" t="str">
        <f t="shared" si="276"/>
        <v>UN</v>
      </c>
      <c r="D7090" s="7">
        <v>811</v>
      </c>
      <c r="E7090" s="3">
        <v>10</v>
      </c>
      <c r="F7090" s="3">
        <v>10</v>
      </c>
      <c r="G7090" t="s">
        <v>512</v>
      </c>
    </row>
    <row r="7091" spans="1:7" x14ac:dyDescent="0.25">
      <c r="A7091" s="1" t="str">
        <f>"510719"</f>
        <v>510719</v>
      </c>
      <c r="B7091" s="2" t="str">
        <f>"CONDUTOR"</f>
        <v>CONDUTOR</v>
      </c>
      <c r="C7091" s="2" t="str">
        <f t="shared" si="276"/>
        <v>UN</v>
      </c>
      <c r="D7091" s="7">
        <v>918</v>
      </c>
      <c r="E7091" s="3">
        <v>11</v>
      </c>
      <c r="F7091" s="3">
        <v>11</v>
      </c>
      <c r="G7091" t="s">
        <v>513</v>
      </c>
    </row>
    <row r="7092" spans="1:7" x14ac:dyDescent="0.25">
      <c r="A7092" s="1" t="str">
        <f>"513801"</f>
        <v>513801</v>
      </c>
      <c r="B7092" s="2" t="str">
        <f>"CONE 50CM PVC"</f>
        <v>CONE 50CM PVC</v>
      </c>
      <c r="C7092" s="2" t="str">
        <f t="shared" si="276"/>
        <v>UN</v>
      </c>
      <c r="D7092" s="7">
        <v>704</v>
      </c>
      <c r="E7092" s="3">
        <v>9</v>
      </c>
      <c r="F7092" s="3">
        <v>9</v>
      </c>
      <c r="G7092" t="s">
        <v>514</v>
      </c>
    </row>
    <row r="7093" spans="1:7" x14ac:dyDescent="0.25">
      <c r="A7093" s="1" t="str">
        <f>"523422"</f>
        <v>523422</v>
      </c>
      <c r="B7093" s="2" t="str">
        <f>"CONE 75CM PVC BRANCO/LARANJA"</f>
        <v>CONE 75CM PVC BRANCO/LARANJA</v>
      </c>
      <c r="C7093" s="2" t="str">
        <f t="shared" si="276"/>
        <v>UN</v>
      </c>
      <c r="D7093" s="7">
        <v>99999</v>
      </c>
      <c r="E7093" s="3">
        <v>99</v>
      </c>
      <c r="F7093" s="3">
        <v>99</v>
      </c>
      <c r="G7093" t="s">
        <v>514</v>
      </c>
    </row>
    <row r="7094" spans="1:7" x14ac:dyDescent="0.25">
      <c r="A7094" s="1" t="str">
        <f>"521696"</f>
        <v>521696</v>
      </c>
      <c r="B7094" s="2" t="str">
        <f>"CONE 75CM PVC PRETO/AMARELO"</f>
        <v>CONE 75CM PVC PRETO/AMARELO</v>
      </c>
      <c r="C7094" s="2" t="str">
        <f t="shared" si="276"/>
        <v>UN</v>
      </c>
      <c r="D7094" s="7">
        <v>99999</v>
      </c>
      <c r="E7094" s="3">
        <v>99</v>
      </c>
      <c r="F7094" s="3">
        <v>99</v>
      </c>
      <c r="G7094" t="s">
        <v>512</v>
      </c>
    </row>
    <row r="7095" spans="1:7" x14ac:dyDescent="0.25">
      <c r="A7095" s="1" t="str">
        <f>"519739"</f>
        <v>519739</v>
      </c>
      <c r="B7095" s="2" t="str">
        <f>"CONE INHOFF GRADUADO VIDRO 1000ML LBG"</f>
        <v>CONE INHOFF GRADUADO VIDRO 1000ML LBG</v>
      </c>
      <c r="C7095" s="2" t="str">
        <f t="shared" si="276"/>
        <v>UN</v>
      </c>
      <c r="D7095" s="7">
        <v>406</v>
      </c>
      <c r="E7095" s="3">
        <v>4</v>
      </c>
      <c r="F7095" s="3">
        <v>4</v>
      </c>
      <c r="G7095" t="s">
        <v>513</v>
      </c>
    </row>
    <row r="7096" spans="1:7" x14ac:dyDescent="0.25">
      <c r="A7096" s="1" t="str">
        <f>"511828"</f>
        <v>511828</v>
      </c>
      <c r="B7096" s="2" t="str">
        <f>"CONEC. SAK SIEM. SECCION. 8WA1011-15F12"</f>
        <v>CONEC. SAK SIEM. SECCION. 8WA1011-15F12</v>
      </c>
      <c r="C7096" s="2" t="str">
        <f t="shared" si="276"/>
        <v>UN</v>
      </c>
      <c r="D7096" s="7">
        <v>600</v>
      </c>
      <c r="E7096" s="3">
        <v>8</v>
      </c>
      <c r="F7096" s="3">
        <v>8</v>
      </c>
      <c r="G7096" t="s">
        <v>514</v>
      </c>
    </row>
    <row r="7097" spans="1:7" x14ac:dyDescent="0.25">
      <c r="A7097" s="1" t="str">
        <f>"514111"</f>
        <v>514111</v>
      </c>
      <c r="B7097" s="2" t="str">
        <f>"CONECTOR"</f>
        <v>CONECTOR</v>
      </c>
      <c r="C7097" s="2" t="str">
        <f t="shared" si="276"/>
        <v>UN</v>
      </c>
      <c r="D7097" s="7">
        <v>704</v>
      </c>
      <c r="E7097" s="3">
        <v>9</v>
      </c>
      <c r="F7097" s="3">
        <v>9</v>
      </c>
      <c r="G7097" t="s">
        <v>514</v>
      </c>
    </row>
    <row r="7098" spans="1:7" x14ac:dyDescent="0.25">
      <c r="A7098" s="1" t="str">
        <f>"509862"</f>
        <v>509862</v>
      </c>
      <c r="B7098" s="2" t="str">
        <f>"CONECTOR 05 VIAS - PLACA SAQUINHO"</f>
        <v>CONECTOR 05 VIAS - PLACA SAQUINHO</v>
      </c>
      <c r="C7098" s="2" t="str">
        <f t="shared" si="276"/>
        <v>UN</v>
      </c>
      <c r="D7098" s="7">
        <v>918</v>
      </c>
      <c r="E7098" s="3">
        <v>11</v>
      </c>
      <c r="F7098" s="3">
        <v>11</v>
      </c>
      <c r="G7098" t="s">
        <v>514</v>
      </c>
    </row>
    <row r="7099" spans="1:7" x14ac:dyDescent="0.25">
      <c r="A7099" s="1" t="str">
        <f>"526062"</f>
        <v>526062</v>
      </c>
      <c r="B7099" s="2" t="str">
        <f>"CONECTOR 1 pólo 16mm² AZUL 8WA2 011-BK11"</f>
        <v>CONECTOR 1 pólo 16mm² AZUL 8WA2 011-BK11</v>
      </c>
      <c r="C7099" s="2" t="str">
        <f t="shared" si="276"/>
        <v>UN</v>
      </c>
      <c r="D7099" s="7">
        <v>811</v>
      </c>
      <c r="E7099" s="3">
        <v>8</v>
      </c>
      <c r="F7099" s="3">
        <v>8</v>
      </c>
      <c r="G7099" t="s">
        <v>513</v>
      </c>
    </row>
    <row r="7100" spans="1:7" x14ac:dyDescent="0.25">
      <c r="A7100" s="1" t="str">
        <f>"526063"</f>
        <v>526063</v>
      </c>
      <c r="B7100" s="2" t="str">
        <f>"CONECTOR 1 pólo 2,5mm² AZUL 8WA2 011-1BF23"</f>
        <v>CONECTOR 1 pólo 2,5mm² AZUL 8WA2 011-1BF23</v>
      </c>
      <c r="C7100" s="2" t="str">
        <f t="shared" si="276"/>
        <v>UN</v>
      </c>
      <c r="D7100" s="7">
        <v>811</v>
      </c>
      <c r="E7100" s="3">
        <v>8</v>
      </c>
      <c r="F7100" s="3">
        <v>8</v>
      </c>
      <c r="G7100" t="s">
        <v>512</v>
      </c>
    </row>
    <row r="7101" spans="1:7" x14ac:dyDescent="0.25">
      <c r="A7101" s="1" t="str">
        <f>"505501"</f>
        <v>505501</v>
      </c>
      <c r="B7101" s="2" t="str">
        <f>"CONECTOR 10MM 2 POLOS"</f>
        <v>CONECTOR 10MM 2 POLOS</v>
      </c>
      <c r="C7101" s="2" t="str">
        <f t="shared" si="276"/>
        <v>UN</v>
      </c>
      <c r="D7101" s="7">
        <v>704</v>
      </c>
      <c r="E7101" s="3">
        <v>9</v>
      </c>
      <c r="F7101" s="3">
        <v>9</v>
      </c>
      <c r="G7101" t="s">
        <v>513</v>
      </c>
    </row>
    <row r="7102" spans="1:7" x14ac:dyDescent="0.25">
      <c r="A7102" s="1" t="str">
        <f>"510893"</f>
        <v>510893</v>
      </c>
      <c r="B7102" s="2" t="str">
        <f>"CONECTOR 140573 CAT. 416E"</f>
        <v>CONECTOR 140573 CAT. 416E</v>
      </c>
      <c r="C7102" s="2" t="str">
        <f t="shared" si="276"/>
        <v>UN</v>
      </c>
      <c r="D7102" s="7">
        <v>704</v>
      </c>
      <c r="E7102" s="3">
        <v>9</v>
      </c>
      <c r="F7102" s="3">
        <v>9</v>
      </c>
      <c r="G7102" t="s">
        <v>514</v>
      </c>
    </row>
    <row r="7103" spans="1:7" x14ac:dyDescent="0.25">
      <c r="A7103" s="1" t="str">
        <f>"526669"</f>
        <v>526669</v>
      </c>
      <c r="B7103" s="2" t="str">
        <f>"CONECTOR 2 ANDARES 8W10112DG11"</f>
        <v>CONECTOR 2 ANDARES 8W10112DG11</v>
      </c>
      <c r="C7103" s="2" t="str">
        <f t="shared" si="276"/>
        <v>UN</v>
      </c>
      <c r="D7103" s="7">
        <v>811</v>
      </c>
      <c r="E7103" s="3">
        <v>8</v>
      </c>
      <c r="F7103" s="3">
        <v>8</v>
      </c>
      <c r="G7103" t="s">
        <v>514</v>
      </c>
    </row>
    <row r="7104" spans="1:7" x14ac:dyDescent="0.25">
      <c r="A7104" s="1" t="str">
        <f>"509962"</f>
        <v>509962</v>
      </c>
      <c r="B7104" s="2" t="str">
        <f>"CONECTOR ALUMINIO POLIWETZEL 1"""</f>
        <v>CONECTOR ALUMINIO POLIWETZEL 1"</v>
      </c>
      <c r="C7104" s="2" t="str">
        <f>"PC"</f>
        <v>PC</v>
      </c>
      <c r="D7104" s="7">
        <v>601</v>
      </c>
      <c r="E7104" s="3">
        <v>8</v>
      </c>
      <c r="F7104" s="3">
        <v>8</v>
      </c>
      <c r="G7104" t="s">
        <v>514</v>
      </c>
    </row>
    <row r="7105" spans="1:7" x14ac:dyDescent="0.25">
      <c r="A7105" s="1" t="str">
        <f>"509964"</f>
        <v>509964</v>
      </c>
      <c r="B7105" s="2" t="str">
        <f>"CONECTOR ALUMINIO POLIWETZEL 3/4""3"</f>
        <v>CONECTOR ALUMINIO POLIWETZEL 3/4"3</v>
      </c>
      <c r="C7105" s="2" t="str">
        <f t="shared" ref="C7105:C7127" si="277">"UN"</f>
        <v>UN</v>
      </c>
      <c r="D7105" s="7">
        <v>601</v>
      </c>
      <c r="E7105" s="3">
        <v>8</v>
      </c>
      <c r="F7105" s="3">
        <v>8</v>
      </c>
      <c r="G7105" t="s">
        <v>513</v>
      </c>
    </row>
    <row r="7106" spans="1:7" x14ac:dyDescent="0.25">
      <c r="A7106" s="1" t="str">
        <f>"526828"</f>
        <v>526828</v>
      </c>
      <c r="B7106" s="8" t="s">
        <v>486</v>
      </c>
      <c r="C7106" s="2" t="str">
        <f t="shared" si="277"/>
        <v>UN</v>
      </c>
      <c r="D7106" s="7">
        <v>811</v>
      </c>
      <c r="E7106" s="3">
        <v>11</v>
      </c>
      <c r="F7106" s="3">
        <v>11</v>
      </c>
      <c r="G7106" t="s">
        <v>513</v>
      </c>
    </row>
    <row r="7107" spans="1:7" x14ac:dyDescent="0.25">
      <c r="A7107" s="1" t="str">
        <f>"502669"</f>
        <v>502669</v>
      </c>
      <c r="B7107" s="2" t="str">
        <f>"CONECTOR BATERIA MP-350 EMPILHADEIRA"</f>
        <v>CONECTOR BATERIA MP-350 EMPILHADEIRA</v>
      </c>
      <c r="C7107" s="2" t="str">
        <f t="shared" si="277"/>
        <v>UN</v>
      </c>
      <c r="D7107" s="7">
        <v>600</v>
      </c>
      <c r="E7107" s="3">
        <v>11</v>
      </c>
      <c r="F7107" s="3">
        <v>11</v>
      </c>
      <c r="G7107" t="s">
        <v>513</v>
      </c>
    </row>
    <row r="7108" spans="1:7" x14ac:dyDescent="0.25">
      <c r="A7108" s="1" t="str">
        <f>"522648"</f>
        <v>522648</v>
      </c>
      <c r="B7108" s="2" t="str">
        <f>"CONECTOR BATERIA REMA 80A EMPILHADEIRA"</f>
        <v>CONECTOR BATERIA REMA 80A EMPILHADEIRA</v>
      </c>
      <c r="C7108" s="2" t="str">
        <f t="shared" si="277"/>
        <v>UN</v>
      </c>
      <c r="D7108" s="7">
        <v>600</v>
      </c>
      <c r="E7108" s="3">
        <v>11</v>
      </c>
      <c r="F7108" s="3">
        <v>11</v>
      </c>
      <c r="G7108" t="s">
        <v>512</v>
      </c>
    </row>
    <row r="7109" spans="1:7" x14ac:dyDescent="0.25">
      <c r="A7109" s="1" t="str">
        <f>"507669"</f>
        <v>507669</v>
      </c>
      <c r="B7109" s="2" t="str">
        <f>"CONECTOR BNC DE SOLDA C/ MOLA"</f>
        <v>CONECTOR BNC DE SOLDA C/ MOLA</v>
      </c>
      <c r="C7109" s="2" t="str">
        <f t="shared" si="277"/>
        <v>UN</v>
      </c>
      <c r="D7109" s="7">
        <v>816</v>
      </c>
      <c r="E7109" s="3">
        <v>10</v>
      </c>
      <c r="F7109" s="3">
        <v>10</v>
      </c>
      <c r="G7109" t="s">
        <v>513</v>
      </c>
    </row>
    <row r="7110" spans="1:7" x14ac:dyDescent="0.25">
      <c r="A7110" s="1" t="str">
        <f>"513415"</f>
        <v>513415</v>
      </c>
      <c r="B7110" s="2" t="str">
        <f>"CONECTOR CABO DE BATERIA DA EMPILHADEIRA"</f>
        <v>CONECTOR CABO DE BATERIA DA EMPILHADEIRA</v>
      </c>
      <c r="C7110" s="2" t="str">
        <f t="shared" si="277"/>
        <v>UN</v>
      </c>
      <c r="D7110" s="7">
        <v>803</v>
      </c>
      <c r="E7110" s="3">
        <v>4</v>
      </c>
      <c r="F7110" s="3">
        <v>4</v>
      </c>
      <c r="G7110" t="s">
        <v>514</v>
      </c>
    </row>
    <row r="7111" spans="1:7" x14ac:dyDescent="0.25">
      <c r="A7111" s="1" t="str">
        <f>"525978"</f>
        <v>525978</v>
      </c>
      <c r="B7111" s="2" t="str">
        <f>"CONECTOR CAT6 BLINDADO FEMEA"</f>
        <v>CONECTOR CAT6 BLINDADO FEMEA</v>
      </c>
      <c r="C7111" s="2" t="str">
        <f t="shared" si="277"/>
        <v>UN</v>
      </c>
      <c r="D7111" s="7">
        <v>811</v>
      </c>
      <c r="E7111" s="3">
        <v>10</v>
      </c>
      <c r="F7111" s="3">
        <v>10</v>
      </c>
      <c r="G7111" t="s">
        <v>515</v>
      </c>
    </row>
    <row r="7112" spans="1:7" x14ac:dyDescent="0.25">
      <c r="A7112" s="1" t="str">
        <f>"524986"</f>
        <v>524986</v>
      </c>
      <c r="B7112" s="2" t="str">
        <f>"CONECTOR DB09 FEMEA"</f>
        <v>CONECTOR DB09 FEMEA</v>
      </c>
      <c r="C7112" s="2" t="str">
        <f t="shared" si="277"/>
        <v>UN</v>
      </c>
      <c r="D7112" s="7">
        <v>811</v>
      </c>
      <c r="E7112" s="3">
        <v>10</v>
      </c>
      <c r="F7112" s="3">
        <v>10</v>
      </c>
      <c r="G7112" t="s">
        <v>512</v>
      </c>
    </row>
    <row r="7113" spans="1:7" x14ac:dyDescent="0.25">
      <c r="A7113" s="1" t="str">
        <f>"524987"</f>
        <v>524987</v>
      </c>
      <c r="B7113" s="2" t="str">
        <f>"CONECTOR DB09 MACHO"</f>
        <v>CONECTOR DB09 MACHO</v>
      </c>
      <c r="C7113" s="2" t="str">
        <f t="shared" si="277"/>
        <v>UN</v>
      </c>
      <c r="D7113" s="7">
        <v>811</v>
      </c>
      <c r="E7113" s="3">
        <v>10</v>
      </c>
      <c r="F7113" s="3">
        <v>10</v>
      </c>
      <c r="G7113" t="s">
        <v>516</v>
      </c>
    </row>
    <row r="7114" spans="1:7" x14ac:dyDescent="0.25">
      <c r="A7114" s="1" t="str">
        <f>"512414"</f>
        <v>512414</v>
      </c>
      <c r="B7114" s="2" t="str">
        <f>"CONECTOR DB15 FEMEA"</f>
        <v>CONECTOR DB15 FEMEA</v>
      </c>
      <c r="C7114" s="2" t="str">
        <f t="shared" si="277"/>
        <v>UN</v>
      </c>
      <c r="D7114" s="7">
        <v>600</v>
      </c>
      <c r="E7114" s="3">
        <v>8</v>
      </c>
      <c r="F7114" s="3">
        <v>8</v>
      </c>
      <c r="G7114" t="s">
        <v>515</v>
      </c>
    </row>
    <row r="7115" spans="1:7" x14ac:dyDescent="0.25">
      <c r="A7115" s="1" t="str">
        <f>"512413"</f>
        <v>512413</v>
      </c>
      <c r="B7115" s="2" t="str">
        <f>"CONECTOR DB15 MACHO"</f>
        <v>CONECTOR DB15 MACHO</v>
      </c>
      <c r="C7115" s="2" t="str">
        <f t="shared" si="277"/>
        <v>UN</v>
      </c>
      <c r="D7115" s="7">
        <v>600</v>
      </c>
      <c r="E7115" s="3">
        <v>8</v>
      </c>
      <c r="F7115" s="3">
        <v>8</v>
      </c>
      <c r="G7115" t="s">
        <v>514</v>
      </c>
    </row>
    <row r="7116" spans="1:7" x14ac:dyDescent="0.25">
      <c r="A7116" s="1" t="str">
        <f>"526208"</f>
        <v>526208</v>
      </c>
      <c r="B7116" s="2" t="str">
        <f>"CONECTOR DE ATERRAMENTO 10MM 8WA1 011-1PF00"</f>
        <v>CONECTOR DE ATERRAMENTO 10MM 8WA1 011-1PF00</v>
      </c>
      <c r="C7116" s="2" t="str">
        <f t="shared" si="277"/>
        <v>UN</v>
      </c>
      <c r="D7116" s="7">
        <v>811</v>
      </c>
      <c r="E7116" s="3">
        <v>10</v>
      </c>
      <c r="F7116" s="3">
        <v>10</v>
      </c>
      <c r="G7116" t="s">
        <v>512</v>
      </c>
    </row>
    <row r="7117" spans="1:7" x14ac:dyDescent="0.25">
      <c r="A7117" s="1" t="str">
        <f>"526209"</f>
        <v>526209</v>
      </c>
      <c r="B7117" s="2" t="str">
        <f>"CONECTOR DE ATERRAMENTO 2,5MM 8WA1 011-1PF00"</f>
        <v>CONECTOR DE ATERRAMENTO 2,5MM 8WA1 011-1PF00</v>
      </c>
      <c r="C7117" s="2" t="str">
        <f t="shared" si="277"/>
        <v>UN</v>
      </c>
      <c r="D7117" s="7">
        <v>811</v>
      </c>
      <c r="E7117" s="3">
        <v>10</v>
      </c>
      <c r="F7117" s="3">
        <v>10</v>
      </c>
      <c r="G7117" t="s">
        <v>513</v>
      </c>
    </row>
    <row r="7118" spans="1:7" x14ac:dyDescent="0.25">
      <c r="A7118" s="1" t="str">
        <f>"516493"</f>
        <v>516493</v>
      </c>
      <c r="B7118" s="2" t="str">
        <f>"CONECTOR DE ATERRAMENTO HIDROSSOL 1/2"" TIPO TH"</f>
        <v>CONECTOR DE ATERRAMENTO HIDROSSOL 1/2" TIPO TH</v>
      </c>
      <c r="C7118" s="2" t="str">
        <f t="shared" si="277"/>
        <v>UN</v>
      </c>
      <c r="D7118" s="7">
        <v>811</v>
      </c>
      <c r="E7118" s="3">
        <v>8</v>
      </c>
      <c r="F7118" s="3">
        <v>8</v>
      </c>
      <c r="G7118" t="s">
        <v>514</v>
      </c>
    </row>
    <row r="7119" spans="1:7" x14ac:dyDescent="0.25">
      <c r="A7119" s="1" t="str">
        <f>"514671"</f>
        <v>514671</v>
      </c>
      <c r="B7119" s="2" t="str">
        <f>"CONECTOR DE ATERRAMENTO TH58-R"</f>
        <v>CONECTOR DE ATERRAMENTO TH58-R</v>
      </c>
      <c r="C7119" s="2" t="str">
        <f t="shared" si="277"/>
        <v>UN</v>
      </c>
      <c r="D7119" s="7">
        <v>601</v>
      </c>
      <c r="E7119" s="3">
        <v>8</v>
      </c>
      <c r="F7119" s="3">
        <v>8</v>
      </c>
      <c r="G7119" t="s">
        <v>514</v>
      </c>
    </row>
    <row r="7120" spans="1:7" x14ac:dyDescent="0.25">
      <c r="A7120" s="1" t="str">
        <f>"522702"</f>
        <v>522702</v>
      </c>
      <c r="B7120" s="2" t="str">
        <f>"CONECTOR DE MANG. ROSCA PISTOLA 1/2 E ¾ (ALUM. COD 5370)"</f>
        <v>CONECTOR DE MANG. ROSCA PISTOLA 1/2 E ¾ (ALUM. COD 5370)</v>
      </c>
      <c r="C7120" s="2" t="str">
        <f t="shared" si="277"/>
        <v>UN</v>
      </c>
      <c r="D7120" s="7">
        <v>400</v>
      </c>
      <c r="E7120" s="3">
        <v>4</v>
      </c>
      <c r="F7120" s="3">
        <v>4</v>
      </c>
      <c r="G7120" t="s">
        <v>512</v>
      </c>
    </row>
    <row r="7121" spans="1:7" x14ac:dyDescent="0.25">
      <c r="A7121" s="1" t="str">
        <f>"526210"</f>
        <v>526210</v>
      </c>
      <c r="B7121" s="2" t="str">
        <f>"CONECTOR DE PASSAGEM 1 POLO 16MM 8WA1 204"</f>
        <v>CONECTOR DE PASSAGEM 1 POLO 16MM 8WA1 204</v>
      </c>
      <c r="C7121" s="2" t="str">
        <f t="shared" si="277"/>
        <v>UN</v>
      </c>
      <c r="D7121" s="7">
        <v>811</v>
      </c>
      <c r="E7121" s="3">
        <v>10</v>
      </c>
      <c r="F7121" s="3">
        <v>10</v>
      </c>
      <c r="G7121" t="s">
        <v>513</v>
      </c>
    </row>
    <row r="7122" spans="1:7" x14ac:dyDescent="0.25">
      <c r="A7122" s="1" t="str">
        <f>"526207"</f>
        <v>526207</v>
      </c>
      <c r="B7122" s="2" t="str">
        <f>"CONECTOR DE PASSAGEM 1POLO 2,5MM"</f>
        <v>CONECTOR DE PASSAGEM 1POLO 2,5MM</v>
      </c>
      <c r="C7122" s="2" t="str">
        <f t="shared" si="277"/>
        <v>UN</v>
      </c>
      <c r="D7122" s="7">
        <v>811</v>
      </c>
      <c r="E7122" s="3">
        <v>10</v>
      </c>
      <c r="F7122" s="3">
        <v>10</v>
      </c>
      <c r="G7122" t="s">
        <v>514</v>
      </c>
    </row>
    <row r="7123" spans="1:7" x14ac:dyDescent="0.25">
      <c r="A7123" s="1" t="str">
        <f>"508837"</f>
        <v>508837</v>
      </c>
      <c r="B7123" s="2" t="str">
        <f>"CONECTOR DE PASSAGEM 8WA1011-1DF11 2,5MM"</f>
        <v>CONECTOR DE PASSAGEM 8WA1011-1DF11 2,5MM</v>
      </c>
      <c r="C7123" s="2" t="str">
        <f t="shared" si="277"/>
        <v>UN</v>
      </c>
      <c r="D7123" s="7">
        <v>600</v>
      </c>
      <c r="E7123" s="3">
        <v>8</v>
      </c>
      <c r="F7123" s="3">
        <v>8</v>
      </c>
      <c r="G7123" t="s">
        <v>514</v>
      </c>
    </row>
    <row r="7124" spans="1:7" x14ac:dyDescent="0.25">
      <c r="A7124" s="1" t="str">
        <f>"517296"</f>
        <v>517296</v>
      </c>
      <c r="B7124" s="2" t="str">
        <f>"CONECTOR DERIVACAO PERFURANTE CDP-70"</f>
        <v>CONECTOR DERIVACAO PERFURANTE CDP-70</v>
      </c>
      <c r="C7124" s="2" t="str">
        <f t="shared" si="277"/>
        <v>UN</v>
      </c>
      <c r="D7124" s="7">
        <v>811</v>
      </c>
      <c r="E7124" s="3">
        <v>8</v>
      </c>
      <c r="F7124" s="3">
        <v>8</v>
      </c>
      <c r="G7124" t="s">
        <v>514</v>
      </c>
    </row>
    <row r="7125" spans="1:7" x14ac:dyDescent="0.25">
      <c r="A7125" s="1" t="str">
        <f>"520389"</f>
        <v>520389</v>
      </c>
      <c r="B7125" s="2" t="str">
        <f>"CONECTOR DERIVACAO PERFURANTE CDP-95"</f>
        <v>CONECTOR DERIVACAO PERFURANTE CDP-95</v>
      </c>
      <c r="C7125" s="2" t="str">
        <f t="shared" si="277"/>
        <v>UN</v>
      </c>
      <c r="D7125" s="7">
        <v>811</v>
      </c>
      <c r="E7125" s="3">
        <v>8</v>
      </c>
      <c r="F7125" s="3">
        <v>8</v>
      </c>
      <c r="G7125" t="s">
        <v>513</v>
      </c>
    </row>
    <row r="7126" spans="1:7" x14ac:dyDescent="0.25">
      <c r="A7126" s="1" t="str">
        <f>"502555"</f>
        <v>502555</v>
      </c>
      <c r="B7126" s="2" t="str">
        <f>"CONECTOR DERIVADOR 35MM (SPLIT BOLD)"</f>
        <v>CONECTOR DERIVADOR 35MM (SPLIT BOLD)</v>
      </c>
      <c r="C7126" s="2" t="str">
        <f t="shared" si="277"/>
        <v>UN</v>
      </c>
      <c r="D7126" s="7">
        <v>601</v>
      </c>
      <c r="E7126" s="3">
        <v>8</v>
      </c>
      <c r="F7126" s="3">
        <v>8</v>
      </c>
      <c r="G7126" t="s">
        <v>512</v>
      </c>
    </row>
    <row r="7127" spans="1:7" x14ac:dyDescent="0.25">
      <c r="A7127" s="1" t="str">
        <f>"502554"</f>
        <v>502554</v>
      </c>
      <c r="B7127" s="2" t="str">
        <f>"CONECTOR DERIVADOR 50MM (SPLIT BOLD)"</f>
        <v>CONECTOR DERIVADOR 50MM (SPLIT BOLD)</v>
      </c>
      <c r="C7127" s="2" t="str">
        <f t="shared" si="277"/>
        <v>UN</v>
      </c>
      <c r="D7127" s="7">
        <v>601</v>
      </c>
      <c r="E7127" s="3">
        <v>8</v>
      </c>
      <c r="F7127" s="3">
        <v>8</v>
      </c>
      <c r="G7127" t="s">
        <v>513</v>
      </c>
    </row>
    <row r="7128" spans="1:7" x14ac:dyDescent="0.25">
      <c r="A7128" s="1" t="str">
        <f>"508121"</f>
        <v>508121</v>
      </c>
      <c r="B7128" s="2" t="str">
        <f>"CONECTOR DIN 3 POS. MACHO SENSOR CIJ-400"</f>
        <v>CONECTOR DIN 3 POS. MACHO SENSOR CIJ-400</v>
      </c>
      <c r="C7128" s="2" t="str">
        <f>"PC"</f>
        <v>PC</v>
      </c>
      <c r="D7128" s="7">
        <v>908</v>
      </c>
      <c r="E7128" s="3">
        <v>11</v>
      </c>
      <c r="F7128" s="3">
        <v>11</v>
      </c>
      <c r="G7128" t="s">
        <v>514</v>
      </c>
    </row>
    <row r="7129" spans="1:7" x14ac:dyDescent="0.25">
      <c r="A7129" s="1" t="str">
        <f>"510570"</f>
        <v>510570</v>
      </c>
      <c r="B7129" s="2" t="str">
        <f>"CONECTOR DIN 3 POSIÇOES 500.0036.578"</f>
        <v>CONECTOR DIN 3 POSIÇOES 500.0036.578</v>
      </c>
      <c r="C7129" s="2" t="str">
        <f>"PC"</f>
        <v>PC</v>
      </c>
      <c r="D7129" s="7">
        <v>908</v>
      </c>
      <c r="E7129" s="3">
        <v>11</v>
      </c>
      <c r="F7129" s="3">
        <v>11</v>
      </c>
      <c r="G7129" t="s">
        <v>514</v>
      </c>
    </row>
    <row r="7130" spans="1:7" x14ac:dyDescent="0.25">
      <c r="A7130" s="1" t="str">
        <f>"522605"</f>
        <v>522605</v>
      </c>
      <c r="B7130" s="2" t="str">
        <f>"CONECTOR DINI 550MM POS5/1433/82 CO-040338"</f>
        <v>CONECTOR DINI 550MM POS5/1433/82 CO-040338</v>
      </c>
      <c r="C7130" s="2" t="str">
        <f t="shared" ref="C7130:C7142" si="278">"UN"</f>
        <v>UN</v>
      </c>
      <c r="D7130" s="7">
        <v>811</v>
      </c>
      <c r="E7130" s="3">
        <v>11</v>
      </c>
      <c r="F7130" s="3">
        <v>11</v>
      </c>
      <c r="G7130" t="s">
        <v>514</v>
      </c>
    </row>
    <row r="7131" spans="1:7" x14ac:dyDescent="0.25">
      <c r="A7131" s="1" t="str">
        <f>"522606"</f>
        <v>522606</v>
      </c>
      <c r="B7131" s="2" t="str">
        <f>"CONECTOR DINI 550MM POS5/1433/83 CO-040339"</f>
        <v>CONECTOR DINI 550MM POS5/1433/83 CO-040339</v>
      </c>
      <c r="C7131" s="2" t="str">
        <f t="shared" si="278"/>
        <v>UN</v>
      </c>
      <c r="D7131" s="7">
        <v>811</v>
      </c>
      <c r="E7131" s="3">
        <v>11</v>
      </c>
      <c r="F7131" s="3">
        <v>11</v>
      </c>
      <c r="G7131" t="s">
        <v>513</v>
      </c>
    </row>
    <row r="7132" spans="1:7" x14ac:dyDescent="0.25">
      <c r="A7132" s="1" t="str">
        <f>"517800"</f>
        <v>517800</v>
      </c>
      <c r="B7132" s="2" t="str">
        <f>"CONECTOR DLA 2,5 1783560000 CONEXTEL"</f>
        <v>CONECTOR DLA 2,5 1783560000 CONEXTEL</v>
      </c>
      <c r="C7132" s="2" t="str">
        <f t="shared" si="278"/>
        <v>UN</v>
      </c>
      <c r="D7132" s="7">
        <v>811</v>
      </c>
      <c r="E7132" s="3">
        <v>8</v>
      </c>
      <c r="F7132" s="3">
        <v>8</v>
      </c>
      <c r="G7132" t="s">
        <v>513</v>
      </c>
    </row>
    <row r="7133" spans="1:7" x14ac:dyDescent="0.25">
      <c r="A7133" s="1" t="str">
        <f>"517794"</f>
        <v>517794</v>
      </c>
      <c r="B7133" s="2" t="str">
        <f>"CONECTOR DLD 2,5 DB 1784180000 CONEXTEL"</f>
        <v>CONECTOR DLD 2,5 DB 1784180000 CONEXTEL</v>
      </c>
      <c r="C7133" s="2" t="str">
        <f t="shared" si="278"/>
        <v>UN</v>
      </c>
      <c r="D7133" s="7">
        <v>811</v>
      </c>
      <c r="E7133" s="3">
        <v>8</v>
      </c>
      <c r="F7133" s="3">
        <v>8</v>
      </c>
      <c r="G7133" t="s">
        <v>513</v>
      </c>
    </row>
    <row r="7134" spans="1:7" x14ac:dyDescent="0.25">
      <c r="A7134" s="1" t="str">
        <f>"517772"</f>
        <v>517772</v>
      </c>
      <c r="B7134" s="2" t="str">
        <f>"CONECTOR ELETR. VAVE-L1-1H3-LR"</f>
        <v>CONECTOR ELETR. VAVE-L1-1H3-LR</v>
      </c>
      <c r="C7134" s="2" t="str">
        <f t="shared" si="278"/>
        <v>UN</v>
      </c>
      <c r="D7134" s="7">
        <v>913</v>
      </c>
      <c r="E7134" s="3">
        <v>11</v>
      </c>
      <c r="F7134" s="3">
        <v>11</v>
      </c>
      <c r="G7134" t="s">
        <v>512</v>
      </c>
    </row>
    <row r="7135" spans="1:7" x14ac:dyDescent="0.25">
      <c r="A7135" s="1" t="str">
        <f>"504103"</f>
        <v>504103</v>
      </c>
      <c r="B7135" s="2" t="str">
        <f>"CONECTOR EM BARRAS 30MM REF.TBS301BF"</f>
        <v>CONECTOR EM BARRAS 30MM REF.TBS301BF</v>
      </c>
      <c r="C7135" s="2" t="str">
        <f t="shared" si="278"/>
        <v>UN</v>
      </c>
      <c r="D7135" s="7">
        <v>601</v>
      </c>
      <c r="E7135" s="3">
        <v>8</v>
      </c>
      <c r="F7135" s="3">
        <v>8</v>
      </c>
      <c r="G7135" t="s">
        <v>513</v>
      </c>
    </row>
    <row r="7136" spans="1:7" x14ac:dyDescent="0.25">
      <c r="A7136" s="1" t="str">
        <f>"509915"</f>
        <v>509915</v>
      </c>
      <c r="B7136" s="2" t="str">
        <f>"CONECTOR ENGATE RAPIDO 1/4"""</f>
        <v>CONECTOR ENGATE RAPIDO 1/4"</v>
      </c>
      <c r="C7136" s="2" t="str">
        <f t="shared" si="278"/>
        <v>UN</v>
      </c>
      <c r="D7136" s="7">
        <v>402</v>
      </c>
      <c r="E7136" s="3">
        <v>4</v>
      </c>
      <c r="F7136" s="3">
        <v>4</v>
      </c>
      <c r="G7136" t="s">
        <v>514</v>
      </c>
    </row>
    <row r="7137" spans="1:7" x14ac:dyDescent="0.25">
      <c r="A7137" s="1" t="str">
        <f>"518432"</f>
        <v>518432</v>
      </c>
      <c r="B7137" s="2" t="str">
        <f>"CONECTOR F COMPRESSÃO RG-6"</f>
        <v>CONECTOR F COMPRESSÃO RG-6</v>
      </c>
      <c r="C7137" s="2" t="str">
        <f t="shared" si="278"/>
        <v>UN</v>
      </c>
      <c r="D7137" s="7">
        <v>811</v>
      </c>
      <c r="E7137" s="3">
        <v>8</v>
      </c>
      <c r="F7137" s="3">
        <v>8</v>
      </c>
      <c r="G7137" t="s">
        <v>515</v>
      </c>
    </row>
    <row r="7138" spans="1:7" x14ac:dyDescent="0.25">
      <c r="A7138" s="1" t="str">
        <f>"512775"</f>
        <v>512775</v>
      </c>
      <c r="B7138" s="2" t="str">
        <f>"CONECTOR FEMEA  CAT.5 RJ45 FURUKAWA COD. 6420"</f>
        <v>CONECTOR FEMEA  CAT.5 RJ45 FURUKAWA COD. 6420</v>
      </c>
      <c r="C7138" s="2" t="str">
        <f t="shared" si="278"/>
        <v>UN</v>
      </c>
      <c r="D7138" s="7">
        <v>811</v>
      </c>
      <c r="E7138" s="3">
        <v>8</v>
      </c>
      <c r="F7138" s="3">
        <v>8</v>
      </c>
      <c r="G7138" t="s">
        <v>512</v>
      </c>
    </row>
    <row r="7139" spans="1:7" x14ac:dyDescent="0.25">
      <c r="A7139" s="1" t="str">
        <f>"514475"</f>
        <v>514475</v>
      </c>
      <c r="B7139" s="2" t="str">
        <f>"CONECTOR FEMEA 9PRENSAVEL"</f>
        <v>CONECTOR FEMEA 9PRENSAVEL</v>
      </c>
      <c r="C7139" s="2" t="str">
        <f t="shared" si="278"/>
        <v>UN</v>
      </c>
      <c r="D7139" s="7">
        <v>811</v>
      </c>
      <c r="E7139" s="3">
        <v>11</v>
      </c>
      <c r="F7139" s="3">
        <v>11</v>
      </c>
      <c r="G7139" t="s">
        <v>516</v>
      </c>
    </row>
    <row r="7140" spans="1:7" x14ac:dyDescent="0.25">
      <c r="A7140" s="1" t="str">
        <f>"513976"</f>
        <v>513976</v>
      </c>
      <c r="B7140" s="2" t="str">
        <f>"CONECTOR FEMEA DB 9P"</f>
        <v>CONECTOR FEMEA DB 9P</v>
      </c>
      <c r="C7140" s="2" t="str">
        <f t="shared" si="278"/>
        <v>UN</v>
      </c>
      <c r="D7140" s="7">
        <v>811</v>
      </c>
      <c r="E7140" s="3">
        <v>11</v>
      </c>
      <c r="F7140" s="3">
        <v>11</v>
      </c>
      <c r="G7140" t="s">
        <v>515</v>
      </c>
    </row>
    <row r="7141" spans="1:7" x14ac:dyDescent="0.25">
      <c r="A7141" s="1" t="str">
        <f>"518057"</f>
        <v>518057</v>
      </c>
      <c r="B7141" s="2" t="str">
        <f>"CONECTOR FEMEA GIGALAN CAT.6 T568A/B - BRANCO"</f>
        <v>CONECTOR FEMEA GIGALAN CAT.6 T568A/B - BRANCO</v>
      </c>
      <c r="C7141" s="2" t="str">
        <f t="shared" si="278"/>
        <v>UN</v>
      </c>
      <c r="D7141" s="7">
        <v>811</v>
      </c>
      <c r="E7141" s="3">
        <v>8</v>
      </c>
      <c r="F7141" s="3">
        <v>8</v>
      </c>
      <c r="G7141" t="s">
        <v>514</v>
      </c>
    </row>
    <row r="7142" spans="1:7" x14ac:dyDescent="0.25">
      <c r="A7142" s="1" t="str">
        <f>"518055"</f>
        <v>518055</v>
      </c>
      <c r="B7142" s="2" t="str">
        <f>"CONECTOR FEMEA M8V CAT6 FURUKAWA"</f>
        <v>CONECTOR FEMEA M8V CAT6 FURUKAWA</v>
      </c>
      <c r="C7142" s="2" t="str">
        <f t="shared" si="278"/>
        <v>UN</v>
      </c>
      <c r="D7142" s="7">
        <v>811</v>
      </c>
      <c r="E7142" s="3">
        <v>8</v>
      </c>
      <c r="F7142" s="3">
        <v>8</v>
      </c>
      <c r="G7142" t="s">
        <v>512</v>
      </c>
    </row>
    <row r="7143" spans="1:7" x14ac:dyDescent="0.25">
      <c r="A7143" s="1" t="str">
        <f>"526762"</f>
        <v>526762</v>
      </c>
      <c r="B7143" s="2" t="str">
        <f>"CONECTOR FEMEA MSSD-EB"</f>
        <v>CONECTOR FEMEA MSSD-EB</v>
      </c>
      <c r="C7143" s="2" t="str">
        <f>"PÇ"</f>
        <v>PÇ</v>
      </c>
      <c r="D7143" s="7">
        <v>808</v>
      </c>
      <c r="E7143" s="3">
        <v>11</v>
      </c>
      <c r="F7143" s="3">
        <v>11</v>
      </c>
      <c r="G7143" t="s">
        <v>513</v>
      </c>
    </row>
    <row r="7144" spans="1:7" x14ac:dyDescent="0.25">
      <c r="A7144" s="1" t="str">
        <f>"526457"</f>
        <v>526457</v>
      </c>
      <c r="B7144" s="2" t="str">
        <f>"CONECTOR FÊMEA MSSD-F"</f>
        <v>CONECTOR FÊMEA MSSD-F</v>
      </c>
      <c r="C7144" s="2" t="str">
        <f>"UN"</f>
        <v>UN</v>
      </c>
      <c r="D7144" s="7">
        <v>913</v>
      </c>
      <c r="E7144" s="3">
        <v>11</v>
      </c>
      <c r="F7144" s="3">
        <v>11</v>
      </c>
      <c r="G7144" t="s">
        <v>514</v>
      </c>
    </row>
    <row r="7145" spans="1:7" x14ac:dyDescent="0.25">
      <c r="A7145" s="1" t="str">
        <f>"523891"</f>
        <v>523891</v>
      </c>
      <c r="B7145" s="2" t="str">
        <f>"CONECTOR FEMEA MULTLAN CAT 5E BLINDADO 350605 FURUKAWA"</f>
        <v>CONECTOR FEMEA MULTLAN CAT 5E BLINDADO 350605 FURUKAWA</v>
      </c>
      <c r="C7145" s="2" t="str">
        <f>"UN"</f>
        <v>UN</v>
      </c>
      <c r="D7145" s="7">
        <v>99999</v>
      </c>
      <c r="E7145" s="3">
        <v>99</v>
      </c>
      <c r="F7145" s="3">
        <v>99</v>
      </c>
      <c r="G7145" t="s">
        <v>514</v>
      </c>
    </row>
    <row r="7146" spans="1:7" x14ac:dyDescent="0.25">
      <c r="A7146" s="1" t="str">
        <f>"507412"</f>
        <v>507412</v>
      </c>
      <c r="B7146" s="2" t="str">
        <f>"CONECTOR FEMEA P/ MAQUINA BANDEJA"</f>
        <v>CONECTOR FEMEA P/ MAQUINA BANDEJA</v>
      </c>
      <c r="C7146" s="2" t="str">
        <f>"UN"</f>
        <v>UN</v>
      </c>
      <c r="D7146" s="7">
        <v>918</v>
      </c>
      <c r="E7146" s="3">
        <v>99</v>
      </c>
      <c r="F7146" s="3">
        <v>99</v>
      </c>
      <c r="G7146" t="s">
        <v>512</v>
      </c>
    </row>
    <row r="7147" spans="1:7" x14ac:dyDescent="0.25">
      <c r="A7147" s="1" t="str">
        <f>"520348"</f>
        <v>520348</v>
      </c>
      <c r="B7147" s="2" t="str">
        <f>"CONECTOR FEMEA P/ SENSOR 4 FIOS COM CABO 099120201"</f>
        <v>CONECTOR FEMEA P/ SENSOR 4 FIOS COM CABO 099120201</v>
      </c>
      <c r="C7147" s="2" t="str">
        <f>"UN"</f>
        <v>UN</v>
      </c>
      <c r="D7147" s="7">
        <v>600</v>
      </c>
      <c r="E7147" s="3">
        <v>8</v>
      </c>
      <c r="F7147" s="3">
        <v>8</v>
      </c>
      <c r="G7147" t="s">
        <v>513</v>
      </c>
    </row>
    <row r="7148" spans="1:7" x14ac:dyDescent="0.25">
      <c r="A7148" s="1" t="str">
        <f>"526759"</f>
        <v>526759</v>
      </c>
      <c r="B7148" s="2" t="str">
        <f>"CONECTOR FEMEA SD-SUB-D-BU25"</f>
        <v>CONECTOR FEMEA SD-SUB-D-BU25</v>
      </c>
      <c r="C7148" s="2" t="str">
        <f>"PÇ"</f>
        <v>PÇ</v>
      </c>
      <c r="D7148" s="7">
        <v>808</v>
      </c>
      <c r="E7148" s="3">
        <v>11</v>
      </c>
      <c r="F7148" s="3">
        <v>11</v>
      </c>
      <c r="G7148" t="s">
        <v>514</v>
      </c>
    </row>
    <row r="7149" spans="1:7" x14ac:dyDescent="0.25">
      <c r="A7149" s="1" t="str">
        <f>"526758"</f>
        <v>526758</v>
      </c>
      <c r="B7149" s="2" t="str">
        <f>"CONECTOR FEMEA SD-SUB-DBU9"</f>
        <v>CONECTOR FEMEA SD-SUB-DBU9</v>
      </c>
      <c r="C7149" s="2" t="str">
        <f>"PÇ"</f>
        <v>PÇ</v>
      </c>
      <c r="D7149" s="7">
        <v>808</v>
      </c>
      <c r="E7149" s="3">
        <v>11</v>
      </c>
      <c r="F7149" s="3">
        <v>11</v>
      </c>
      <c r="G7149" t="s">
        <v>514</v>
      </c>
    </row>
    <row r="7150" spans="1:7" x14ac:dyDescent="0.25">
      <c r="A7150" s="1" t="str">
        <f>"505274"</f>
        <v>505274</v>
      </c>
      <c r="B7150" s="2" t="str">
        <f>"CONECTOR FEMEA SENSOR M12 CDL12F/5S-0C 90112302"</f>
        <v>CONECTOR FEMEA SENSOR M12 CDL12F/5S-0C 90112302</v>
      </c>
      <c r="C7150" s="2" t="str">
        <f t="shared" ref="C7150:C7162" si="279">"UN"</f>
        <v>UN</v>
      </c>
      <c r="D7150" s="7">
        <v>600</v>
      </c>
      <c r="E7150" s="3">
        <v>8</v>
      </c>
      <c r="F7150" s="3">
        <v>8</v>
      </c>
      <c r="G7150" t="s">
        <v>514</v>
      </c>
    </row>
    <row r="7151" spans="1:7" x14ac:dyDescent="0.25">
      <c r="A7151" s="1" t="str">
        <f>"504507"</f>
        <v>504507</v>
      </c>
      <c r="B7151" s="2" t="str">
        <f>"CONECTOR GIRATORIO 90º G1/8 8"</f>
        <v>CONECTOR GIRATORIO 90º G1/8 8</v>
      </c>
      <c r="C7151" s="2" t="str">
        <f t="shared" si="279"/>
        <v>UN</v>
      </c>
      <c r="D7151" s="7">
        <v>913</v>
      </c>
      <c r="E7151" s="3">
        <v>11</v>
      </c>
      <c r="F7151" s="3">
        <v>11</v>
      </c>
      <c r="G7151" t="s">
        <v>513</v>
      </c>
    </row>
    <row r="7152" spans="1:7" x14ac:dyDescent="0.25">
      <c r="A7152" s="1" t="str">
        <f>"506457"</f>
        <v>506457</v>
      </c>
      <c r="B7152" s="2" t="str">
        <f>"CONECTOR GRAMPO P/ HASTE 5/8 REFORÇADO"</f>
        <v>CONECTOR GRAMPO P/ HASTE 5/8 REFORÇADO</v>
      </c>
      <c r="C7152" s="2" t="str">
        <f t="shared" si="279"/>
        <v>UN</v>
      </c>
      <c r="D7152" s="7">
        <v>918</v>
      </c>
      <c r="E7152" s="3">
        <v>11</v>
      </c>
      <c r="F7152" s="3">
        <v>11</v>
      </c>
      <c r="G7152" t="s">
        <v>512</v>
      </c>
    </row>
    <row r="7153" spans="1:7" x14ac:dyDescent="0.25">
      <c r="A7153" s="1" t="str">
        <f>"510542"</f>
        <v>510542</v>
      </c>
      <c r="B7153" s="2" t="str">
        <f>"CONECTOR JACARE"</f>
        <v>CONECTOR JACARE</v>
      </c>
      <c r="C7153" s="2" t="str">
        <f t="shared" si="279"/>
        <v>UN</v>
      </c>
      <c r="D7153" s="7">
        <v>601</v>
      </c>
      <c r="E7153" s="3">
        <v>8</v>
      </c>
      <c r="F7153" s="3">
        <v>8</v>
      </c>
      <c r="G7153" t="s">
        <v>513</v>
      </c>
    </row>
    <row r="7154" spans="1:7" x14ac:dyDescent="0.25">
      <c r="A7154" s="1" t="str">
        <f>"526827"</f>
        <v>526827</v>
      </c>
      <c r="B7154" s="8" t="s">
        <v>485</v>
      </c>
      <c r="C7154" s="2" t="str">
        <f t="shared" si="279"/>
        <v>UN</v>
      </c>
      <c r="D7154" s="7">
        <v>811</v>
      </c>
      <c r="E7154" s="3">
        <v>11</v>
      </c>
      <c r="F7154" s="3">
        <v>11</v>
      </c>
      <c r="G7154" t="s">
        <v>514</v>
      </c>
    </row>
    <row r="7155" spans="1:7" x14ac:dyDescent="0.25">
      <c r="A7155" s="1" t="str">
        <f>"505310"</f>
        <v>505310</v>
      </c>
      <c r="B7155" s="2" t="str">
        <f>"CONECTOR KRE 2VIAS PLACA SAQUINHO"</f>
        <v>CONECTOR KRE 2VIAS PLACA SAQUINHO</v>
      </c>
      <c r="C7155" s="2" t="str">
        <f t="shared" si="279"/>
        <v>UN</v>
      </c>
      <c r="D7155" s="7">
        <v>900</v>
      </c>
      <c r="E7155" s="3">
        <v>11</v>
      </c>
      <c r="F7155" s="3">
        <v>11</v>
      </c>
      <c r="G7155" t="s">
        <v>514</v>
      </c>
    </row>
    <row r="7156" spans="1:7" x14ac:dyDescent="0.25">
      <c r="A7156" s="1" t="str">
        <f>"505309"</f>
        <v>505309</v>
      </c>
      <c r="B7156" s="2" t="str">
        <f>"CONECTOR KRE 4VIAS CINZA PLACA SAQUINHO"</f>
        <v>CONECTOR KRE 4VIAS CINZA PLACA SAQUINHO</v>
      </c>
      <c r="C7156" s="2" t="str">
        <f t="shared" si="279"/>
        <v>UN</v>
      </c>
      <c r="D7156" s="7">
        <v>900</v>
      </c>
      <c r="E7156" s="3">
        <v>11</v>
      </c>
      <c r="F7156" s="3">
        <v>11</v>
      </c>
      <c r="G7156" t="s">
        <v>514</v>
      </c>
    </row>
    <row r="7157" spans="1:7" x14ac:dyDescent="0.25">
      <c r="A7157" s="1" t="str">
        <f>"521772"</f>
        <v>521772</v>
      </c>
      <c r="B7157" s="2" t="str">
        <f>"CONECTOR MACHO ALUMINIO CMRA 1 BSO SPTF"</f>
        <v>CONECTOR MACHO ALUMINIO CMRA 1 BSO SPTF</v>
      </c>
      <c r="C7157" s="2" t="str">
        <f t="shared" si="279"/>
        <v>UN</v>
      </c>
      <c r="D7157" s="7">
        <v>811</v>
      </c>
      <c r="E7157" s="3">
        <v>11</v>
      </c>
      <c r="F7157" s="3">
        <v>11</v>
      </c>
      <c r="G7157" t="s">
        <v>513</v>
      </c>
    </row>
    <row r="7158" spans="1:7" x14ac:dyDescent="0.25">
      <c r="A7158" s="1" t="str">
        <f>"513977"</f>
        <v>513977</v>
      </c>
      <c r="B7158" s="2" t="str">
        <f>"CONECTOR MACHO DB 25P"</f>
        <v>CONECTOR MACHO DB 25P</v>
      </c>
      <c r="C7158" s="2" t="str">
        <f t="shared" si="279"/>
        <v>UN</v>
      </c>
      <c r="D7158" s="7">
        <v>811</v>
      </c>
      <c r="E7158" s="3">
        <v>11</v>
      </c>
      <c r="F7158" s="3">
        <v>11</v>
      </c>
      <c r="G7158" t="s">
        <v>513</v>
      </c>
    </row>
    <row r="7159" spans="1:7" x14ac:dyDescent="0.25">
      <c r="A7159" s="1" t="str">
        <f>"514538"</f>
        <v>514538</v>
      </c>
      <c r="B7159" s="2" t="str">
        <f>"CONECTOR MACHO DB9P SOLDA FIO"</f>
        <v>CONECTOR MACHO DB9P SOLDA FIO</v>
      </c>
      <c r="C7159" s="2" t="str">
        <f t="shared" si="279"/>
        <v>UN</v>
      </c>
      <c r="D7159" s="7">
        <v>811</v>
      </c>
      <c r="E7159" s="3">
        <v>11</v>
      </c>
      <c r="F7159" s="3">
        <v>11</v>
      </c>
      <c r="G7159" t="s">
        <v>513</v>
      </c>
    </row>
    <row r="7160" spans="1:7" x14ac:dyDescent="0.25">
      <c r="A7160" s="1" t="str">
        <f>"525138"</f>
        <v>525138</v>
      </c>
      <c r="B7160" s="2" t="str">
        <f>"CONECTOR MACHO FIXO 2"" ALUMINIO-SPTF"</f>
        <v>CONECTOR MACHO FIXO 2" ALUMINIO-SPTF</v>
      </c>
      <c r="C7160" s="2" t="str">
        <f t="shared" si="279"/>
        <v>UN</v>
      </c>
      <c r="D7160" s="7">
        <v>601</v>
      </c>
      <c r="E7160" s="3">
        <v>8</v>
      </c>
      <c r="F7160" s="3">
        <v>8</v>
      </c>
      <c r="G7160" t="s">
        <v>512</v>
      </c>
    </row>
    <row r="7161" spans="1:7" x14ac:dyDescent="0.25">
      <c r="A7161" s="1" t="str">
        <f>"505903"</f>
        <v>505903</v>
      </c>
      <c r="B7161" s="2" t="str">
        <f>"CONECTOR MACHO GIRATORIO 1BSP"</f>
        <v>CONECTOR MACHO GIRATORIO 1BSP</v>
      </c>
      <c r="C7161" s="2" t="str">
        <f t="shared" si="279"/>
        <v>UN</v>
      </c>
      <c r="D7161" s="7">
        <v>704</v>
      </c>
      <c r="E7161" s="3">
        <v>9</v>
      </c>
      <c r="F7161" s="3">
        <v>9</v>
      </c>
      <c r="G7161" t="s">
        <v>513</v>
      </c>
    </row>
    <row r="7162" spans="1:7" x14ac:dyDescent="0.25">
      <c r="A7162" s="1" t="str">
        <f>"505900"</f>
        <v>505900</v>
      </c>
      <c r="B7162" s="2" t="str">
        <f>"CONECTOR MACHO GIRATORIO 2BSP"</f>
        <v>CONECTOR MACHO GIRATORIO 2BSP</v>
      </c>
      <c r="C7162" s="2" t="str">
        <f t="shared" si="279"/>
        <v>UN</v>
      </c>
      <c r="D7162" s="7">
        <v>704</v>
      </c>
      <c r="E7162" s="3">
        <v>9</v>
      </c>
      <c r="F7162" s="3">
        <v>9</v>
      </c>
      <c r="G7162" t="s">
        <v>514</v>
      </c>
    </row>
    <row r="7163" spans="1:7" x14ac:dyDescent="0.25">
      <c r="A7163" s="1" t="str">
        <f>"527003"</f>
        <v>527003</v>
      </c>
      <c r="B7163" s="2" t="str">
        <f>"CONECTOR MACHO NECU-M-S-D12G4-C2-ET"</f>
        <v>CONECTOR MACHO NECU-M-S-D12G4-C2-ET</v>
      </c>
      <c r="C7163" s="2" t="str">
        <f>"PC"</f>
        <v>PC</v>
      </c>
      <c r="D7163" s="7">
        <v>808</v>
      </c>
      <c r="E7163" s="3">
        <v>10</v>
      </c>
      <c r="F7163" s="3">
        <v>10</v>
      </c>
      <c r="G7163" t="s">
        <v>515</v>
      </c>
    </row>
    <row r="7164" spans="1:7" x14ac:dyDescent="0.25">
      <c r="A7164" s="1" t="str">
        <f>"507411"</f>
        <v>507411</v>
      </c>
      <c r="B7164" s="2" t="str">
        <f>"CONECTOR MACHO P/ MAQUINA BANDEJA"</f>
        <v>CONECTOR MACHO P/ MAQUINA BANDEJA</v>
      </c>
      <c r="C7164" s="2" t="str">
        <f>"UN"</f>
        <v>UN</v>
      </c>
      <c r="D7164" s="7">
        <v>918</v>
      </c>
      <c r="E7164" s="3">
        <v>99</v>
      </c>
      <c r="F7164" s="3">
        <v>99</v>
      </c>
      <c r="G7164" t="s">
        <v>512</v>
      </c>
    </row>
    <row r="7165" spans="1:7" x14ac:dyDescent="0.25">
      <c r="A7165" s="1" t="str">
        <f>"505794"</f>
        <v>505794</v>
      </c>
      <c r="B7165" s="2" t="str">
        <f>"CONECTOR MACHO PVC 22MM X 3/4"""</f>
        <v>CONECTOR MACHO PVC 22MM X 3/4"</v>
      </c>
      <c r="C7165" s="2" t="str">
        <f>"BR"</f>
        <v>BR</v>
      </c>
      <c r="D7165" s="7">
        <v>808</v>
      </c>
      <c r="E7165" s="3">
        <v>10</v>
      </c>
      <c r="F7165" s="3">
        <v>10</v>
      </c>
      <c r="G7165" t="s">
        <v>516</v>
      </c>
    </row>
    <row r="7166" spans="1:7" x14ac:dyDescent="0.25">
      <c r="A7166" s="1" t="str">
        <f>"511435"</f>
        <v>511435</v>
      </c>
      <c r="B7166" s="2" t="str">
        <f>"CONECTOR MACHO TUBO 3/4 X 1/4"""</f>
        <v>CONECTOR MACHO TUBO 3/4 X 1/4"</v>
      </c>
      <c r="C7166" s="2" t="str">
        <f t="shared" ref="C7166:C7173" si="280">"UN"</f>
        <v>UN</v>
      </c>
      <c r="D7166" s="7">
        <v>601</v>
      </c>
      <c r="E7166" s="3">
        <v>8</v>
      </c>
      <c r="F7166" s="3">
        <v>8</v>
      </c>
      <c r="G7166" t="s">
        <v>515</v>
      </c>
    </row>
    <row r="7167" spans="1:7" x14ac:dyDescent="0.25">
      <c r="A7167" s="1" t="str">
        <f>"527648"</f>
        <v>527648</v>
      </c>
      <c r="B7167" s="2" t="str">
        <f>"CONECTOR MB 175"</f>
        <v>CONECTOR MB 175</v>
      </c>
      <c r="C7167" s="2" t="str">
        <f t="shared" si="280"/>
        <v>UN</v>
      </c>
      <c r="D7167" s="7">
        <v>811</v>
      </c>
      <c r="E7167" s="3">
        <v>8</v>
      </c>
      <c r="F7167" s="3">
        <v>8</v>
      </c>
      <c r="G7167" t="s">
        <v>514</v>
      </c>
    </row>
    <row r="7168" spans="1:7" x14ac:dyDescent="0.25">
      <c r="A7168" s="1" t="str">
        <f>"511325"</f>
        <v>511325</v>
      </c>
      <c r="B7168" s="2" t="str">
        <f>"CONECTOR O/ SEALTUBO GIRATORIO MACHO 1"</f>
        <v>CONECTOR O/ SEALTUBO GIRATORIO MACHO 1</v>
      </c>
      <c r="C7168" s="2" t="str">
        <f t="shared" si="280"/>
        <v>UN</v>
      </c>
      <c r="D7168" s="7">
        <v>601</v>
      </c>
      <c r="E7168" s="3">
        <v>8</v>
      </c>
      <c r="F7168" s="3">
        <v>8</v>
      </c>
      <c r="G7168" t="s">
        <v>512</v>
      </c>
    </row>
    <row r="7169" spans="1:7" x14ac:dyDescent="0.25">
      <c r="A7169" s="1" t="str">
        <f>"500891"</f>
        <v>500891</v>
      </c>
      <c r="B7169" s="2" t="str">
        <f>"CONECTOR P/ HASTE 5/8"" P/ATERRAMENTO"</f>
        <v>CONECTOR P/ HASTE 5/8" P/ATERRAMENTO</v>
      </c>
      <c r="C7169" s="2" t="str">
        <f t="shared" si="280"/>
        <v>UN</v>
      </c>
      <c r="D7169" s="7">
        <v>601</v>
      </c>
      <c r="E7169" s="3">
        <v>8</v>
      </c>
      <c r="F7169" s="3">
        <v>8</v>
      </c>
      <c r="G7169" t="s">
        <v>513</v>
      </c>
    </row>
    <row r="7170" spans="1:7" x14ac:dyDescent="0.25">
      <c r="A7170" s="1" t="str">
        <f>"517351"</f>
        <v>517351</v>
      </c>
      <c r="B7170" s="2" t="str">
        <f>"CONECTOR P/ SEALTUBO GIRATORIO MACHO 1"""</f>
        <v>CONECTOR P/ SEALTUBO GIRATORIO MACHO 1"</v>
      </c>
      <c r="C7170" s="2" t="str">
        <f t="shared" si="280"/>
        <v>UN</v>
      </c>
      <c r="D7170" s="7">
        <v>811</v>
      </c>
      <c r="E7170" s="3">
        <v>8</v>
      </c>
      <c r="F7170" s="3">
        <v>8</v>
      </c>
      <c r="G7170" t="s">
        <v>514</v>
      </c>
    </row>
    <row r="7171" spans="1:7" x14ac:dyDescent="0.25">
      <c r="A7171" s="1" t="str">
        <f>"511323"</f>
        <v>511323</v>
      </c>
      <c r="B7171" s="2" t="str">
        <f>"CONECTOR P/ SEALTUBO GIRATORIO MACHO 1/2"</f>
        <v>CONECTOR P/ SEALTUBO GIRATORIO MACHO 1/2</v>
      </c>
      <c r="C7171" s="2" t="str">
        <f t="shared" si="280"/>
        <v>UN</v>
      </c>
      <c r="D7171" s="7">
        <v>601</v>
      </c>
      <c r="E7171" s="3">
        <v>8</v>
      </c>
      <c r="F7171" s="3">
        <v>8</v>
      </c>
      <c r="G7171" t="s">
        <v>514</v>
      </c>
    </row>
    <row r="7172" spans="1:7" x14ac:dyDescent="0.25">
      <c r="A7172" s="1" t="str">
        <f>"511324"</f>
        <v>511324</v>
      </c>
      <c r="B7172" s="2" t="str">
        <f>"CONECTOR P/ SEALTUBO GIRATORIO MACHO 3/4"</f>
        <v>CONECTOR P/ SEALTUBO GIRATORIO MACHO 3/4</v>
      </c>
      <c r="C7172" s="2" t="str">
        <f t="shared" si="280"/>
        <v>UN</v>
      </c>
      <c r="D7172" s="7">
        <v>601</v>
      </c>
      <c r="E7172" s="3">
        <v>8</v>
      </c>
      <c r="F7172" s="3">
        <v>8</v>
      </c>
      <c r="G7172" t="s">
        <v>512</v>
      </c>
    </row>
    <row r="7173" spans="1:7" x14ac:dyDescent="0.25">
      <c r="A7173" s="1" t="str">
        <f>"523613"</f>
        <v>523613</v>
      </c>
      <c r="B7173" s="2" t="str">
        <f>"CONECTOR PARA MANGUEIRA RÁPIDO (CÓD. 5350)"</f>
        <v>CONECTOR PARA MANGUEIRA RÁPIDO (CÓD. 5350)</v>
      </c>
      <c r="C7173" s="2" t="str">
        <f t="shared" si="280"/>
        <v>UN</v>
      </c>
      <c r="D7173" s="7">
        <v>400</v>
      </c>
      <c r="E7173" s="3">
        <v>4</v>
      </c>
      <c r="F7173" s="3">
        <v>4</v>
      </c>
      <c r="G7173" t="s">
        <v>513</v>
      </c>
    </row>
    <row r="7174" spans="1:7" x14ac:dyDescent="0.25">
      <c r="A7174" s="1" t="str">
        <f>"503338"</f>
        <v>503338</v>
      </c>
      <c r="B7174" s="2" t="str">
        <f>"CONECTOR PARA SENSOR BALLUFF"</f>
        <v>CONECTOR PARA SENSOR BALLUFF</v>
      </c>
      <c r="C7174" s="2" t="str">
        <f>"PC"</f>
        <v>PC</v>
      </c>
      <c r="D7174" s="7">
        <v>908</v>
      </c>
      <c r="E7174" s="3">
        <v>11</v>
      </c>
      <c r="F7174" s="3">
        <v>11</v>
      </c>
      <c r="G7174" t="s">
        <v>514</v>
      </c>
    </row>
    <row r="7175" spans="1:7" x14ac:dyDescent="0.25">
      <c r="A7175" s="1" t="str">
        <f>"503523"</f>
        <v>503523</v>
      </c>
      <c r="B7175" s="2" t="str">
        <f>"CONECTOR PONTE SINDA PORCELANA 4MM"</f>
        <v>CONECTOR PONTE SINDA PORCELANA 4MM</v>
      </c>
      <c r="C7175" s="2" t="str">
        <f t="shared" ref="C7175:C7183" si="281">"UN"</f>
        <v>UN</v>
      </c>
      <c r="D7175" s="7">
        <v>601</v>
      </c>
      <c r="E7175" s="3">
        <v>8</v>
      </c>
      <c r="F7175" s="3">
        <v>8</v>
      </c>
      <c r="G7175" t="s">
        <v>514</v>
      </c>
    </row>
    <row r="7176" spans="1:7" x14ac:dyDescent="0.25">
      <c r="A7176" s="1" t="str">
        <f>"507703"</f>
        <v>507703</v>
      </c>
      <c r="B7176" s="2" t="str">
        <f>"CONECTOR PONTE SINDAL 1,5/2,5 MM"</f>
        <v>CONECTOR PONTE SINDAL 1,5/2,5 MM</v>
      </c>
      <c r="C7176" s="2" t="str">
        <f t="shared" si="281"/>
        <v>UN</v>
      </c>
      <c r="D7176" s="7">
        <v>601</v>
      </c>
      <c r="E7176" s="3">
        <v>8</v>
      </c>
      <c r="F7176" s="3">
        <v>8</v>
      </c>
      <c r="G7176" t="s">
        <v>514</v>
      </c>
    </row>
    <row r="7177" spans="1:7" x14ac:dyDescent="0.25">
      <c r="A7177" s="1" t="str">
        <f>"500238"</f>
        <v>500238</v>
      </c>
      <c r="B7177" s="2" t="str">
        <f>"CONECTOR PONTE SINDAL 2,5 MM"</f>
        <v>CONECTOR PONTE SINDAL 2,5 MM</v>
      </c>
      <c r="C7177" s="2" t="str">
        <f t="shared" si="281"/>
        <v>UN</v>
      </c>
      <c r="D7177" s="7">
        <v>601</v>
      </c>
      <c r="E7177" s="3">
        <v>8</v>
      </c>
      <c r="F7177" s="3">
        <v>8</v>
      </c>
      <c r="G7177" t="s">
        <v>513</v>
      </c>
    </row>
    <row r="7178" spans="1:7" x14ac:dyDescent="0.25">
      <c r="A7178" s="1" t="str">
        <f>"501637"</f>
        <v>501637</v>
      </c>
      <c r="B7178" s="2" t="str">
        <f>"CONECTOR PONTE SINDAL 4MM REF02314"</f>
        <v>CONECTOR PONTE SINDAL 4MM REF02314</v>
      </c>
      <c r="C7178" s="2" t="str">
        <f t="shared" si="281"/>
        <v>UN</v>
      </c>
      <c r="D7178" s="7">
        <v>601</v>
      </c>
      <c r="E7178" s="3">
        <v>8</v>
      </c>
      <c r="F7178" s="3">
        <v>8</v>
      </c>
      <c r="G7178" t="s">
        <v>512</v>
      </c>
    </row>
    <row r="7179" spans="1:7" x14ac:dyDescent="0.25">
      <c r="A7179" s="1" t="str">
        <f>"500220"</f>
        <v>500220</v>
      </c>
      <c r="B7179" s="2" t="str">
        <f>"CONECTOR PONTE SINDAL 6MM REF.02321"</f>
        <v>CONECTOR PONTE SINDAL 6MM REF.02321</v>
      </c>
      <c r="C7179" s="2" t="str">
        <f t="shared" si="281"/>
        <v>UN</v>
      </c>
      <c r="D7179" s="7">
        <v>601</v>
      </c>
      <c r="E7179" s="3">
        <v>8</v>
      </c>
      <c r="F7179" s="3">
        <v>8</v>
      </c>
      <c r="G7179" t="s">
        <v>513</v>
      </c>
    </row>
    <row r="7180" spans="1:7" x14ac:dyDescent="0.25">
      <c r="A7180" s="1" t="str">
        <f>"510161"</f>
        <v>510161</v>
      </c>
      <c r="B7180" s="2" t="str">
        <f>"CONECTOR PORCELANA"</f>
        <v>CONECTOR PORCELANA</v>
      </c>
      <c r="C7180" s="2" t="str">
        <f t="shared" si="281"/>
        <v>UN</v>
      </c>
      <c r="D7180" s="7">
        <v>900</v>
      </c>
      <c r="E7180" s="3">
        <v>11</v>
      </c>
      <c r="F7180" s="3">
        <v>11</v>
      </c>
      <c r="G7180" t="s">
        <v>514</v>
      </c>
    </row>
    <row r="7181" spans="1:7" x14ac:dyDescent="0.25">
      <c r="A7181" s="1" t="str">
        <f>"527111"</f>
        <v>527111</v>
      </c>
      <c r="B7181" s="2" t="str">
        <f>"CONECTOR PORCELANA 2 POLOS 10MM"</f>
        <v>CONECTOR PORCELANA 2 POLOS 10MM</v>
      </c>
      <c r="C7181" s="2" t="str">
        <f t="shared" si="281"/>
        <v>UN</v>
      </c>
      <c r="D7181" s="7">
        <v>900</v>
      </c>
      <c r="E7181" s="3">
        <v>11</v>
      </c>
      <c r="F7181" s="3">
        <v>11</v>
      </c>
      <c r="G7181" t="s">
        <v>514</v>
      </c>
    </row>
    <row r="7182" spans="1:7" x14ac:dyDescent="0.25">
      <c r="A7182" s="1" t="str">
        <f>"527110"</f>
        <v>527110</v>
      </c>
      <c r="B7182" s="2" t="str">
        <f>"CONECTOR PORCELANA 3 POLOS 16MM"</f>
        <v>CONECTOR PORCELANA 3 POLOS 16MM</v>
      </c>
      <c r="C7182" s="2" t="str">
        <f t="shared" si="281"/>
        <v>UN</v>
      </c>
      <c r="D7182" s="7">
        <v>900</v>
      </c>
      <c r="E7182" s="3">
        <v>11</v>
      </c>
      <c r="F7182" s="3">
        <v>11</v>
      </c>
      <c r="G7182" t="s">
        <v>514</v>
      </c>
    </row>
    <row r="7183" spans="1:7" x14ac:dyDescent="0.25">
      <c r="A7183" s="1" t="str">
        <f>"504370"</f>
        <v>504370</v>
      </c>
      <c r="B7183" s="2" t="str">
        <f>"CONECTOR PORTA-FUZIVEL ASK1 LD C02228600"</f>
        <v>CONECTOR PORTA-FUZIVEL ASK1 LD C02228600</v>
      </c>
      <c r="C7183" s="2" t="str">
        <f t="shared" si="281"/>
        <v>UN</v>
      </c>
      <c r="D7183" s="7">
        <v>600</v>
      </c>
      <c r="E7183" s="3">
        <v>8</v>
      </c>
      <c r="F7183" s="3">
        <v>8</v>
      </c>
      <c r="G7183" t="s">
        <v>513</v>
      </c>
    </row>
    <row r="7184" spans="1:7" x14ac:dyDescent="0.25">
      <c r="A7184" s="1" t="str">
        <f>"505795"</f>
        <v>505795</v>
      </c>
      <c r="B7184" s="2" t="str">
        <f>"CONECTOR PVC 22MM X 1/2"""</f>
        <v>CONECTOR PVC 22MM X 1/2"</v>
      </c>
      <c r="C7184" s="2" t="str">
        <f>"BR"</f>
        <v>BR</v>
      </c>
      <c r="D7184" s="7">
        <v>808</v>
      </c>
      <c r="E7184" s="3">
        <v>10</v>
      </c>
      <c r="F7184" s="3">
        <v>10</v>
      </c>
      <c r="G7184" t="s">
        <v>513</v>
      </c>
    </row>
    <row r="7185" spans="1:7" x14ac:dyDescent="0.25">
      <c r="A7185" s="1" t="str">
        <f>"522157"</f>
        <v>522157</v>
      </c>
      <c r="B7185" s="2" t="str">
        <f>"CONECTOR REF. BRONZE CONEX. 2 CABOS A HASTE ATERRAMENTO"</f>
        <v>CONECTOR REF. BRONZE CONEX. 2 CABOS A HASTE ATERRAMENTO</v>
      </c>
      <c r="C7185" s="2" t="str">
        <f t="shared" ref="C7185:C7216" si="282">"UN"</f>
        <v>UN</v>
      </c>
      <c r="D7185" s="7">
        <v>918</v>
      </c>
      <c r="E7185" s="3">
        <v>11</v>
      </c>
      <c r="F7185" s="3">
        <v>11</v>
      </c>
      <c r="G7185" t="s">
        <v>513</v>
      </c>
    </row>
    <row r="7186" spans="1:7" x14ac:dyDescent="0.25">
      <c r="A7186" s="1" t="str">
        <f>"503927"</f>
        <v>503927</v>
      </c>
      <c r="B7186" s="2" t="str">
        <f>"CONECTOR RELE SAK VDC 24-420 2NA+2NF 10A"</f>
        <v>CONECTOR RELE SAK VDC 24-420 2NA+2NF 10A</v>
      </c>
      <c r="C7186" s="2" t="str">
        <f t="shared" si="282"/>
        <v>UN</v>
      </c>
      <c r="D7186" s="7">
        <v>600</v>
      </c>
      <c r="E7186" s="3">
        <v>8</v>
      </c>
      <c r="F7186" s="3">
        <v>8</v>
      </c>
      <c r="G7186" t="s">
        <v>512</v>
      </c>
    </row>
    <row r="7187" spans="1:7" x14ac:dyDescent="0.25">
      <c r="A7187" s="1" t="str">
        <f>"513809"</f>
        <v>513809</v>
      </c>
      <c r="B7187" s="2" t="str">
        <f>"CONECTOR RJ 45 FEMEA"</f>
        <v>CONECTOR RJ 45 FEMEA</v>
      </c>
      <c r="C7187" s="2" t="str">
        <f t="shared" si="282"/>
        <v>UN</v>
      </c>
      <c r="D7187" s="7">
        <v>99999</v>
      </c>
      <c r="E7187" s="3">
        <v>99</v>
      </c>
      <c r="F7187" s="3">
        <v>99</v>
      </c>
      <c r="G7187" t="s">
        <v>513</v>
      </c>
    </row>
    <row r="7188" spans="1:7" x14ac:dyDescent="0.25">
      <c r="A7188" s="1" t="str">
        <f>"513810"</f>
        <v>513810</v>
      </c>
      <c r="B7188" s="2" t="str">
        <f>"CONECTOR RJ 45 MACHO CAT 6"</f>
        <v>CONECTOR RJ 45 MACHO CAT 6</v>
      </c>
      <c r="C7188" s="2" t="str">
        <f t="shared" si="282"/>
        <v>UN</v>
      </c>
      <c r="D7188" s="7">
        <v>99999</v>
      </c>
      <c r="E7188" s="3">
        <v>99</v>
      </c>
      <c r="F7188" s="3">
        <v>99</v>
      </c>
      <c r="G7188" t="s">
        <v>514</v>
      </c>
    </row>
    <row r="7189" spans="1:7" x14ac:dyDescent="0.25">
      <c r="A7189" s="1" t="str">
        <f>"512855"</f>
        <v>512855</v>
      </c>
      <c r="B7189" s="2" t="str">
        <f>"CONECTOR ROTATIVO 2X4A-4X30A TIPO 630"</f>
        <v>CONECTOR ROTATIVO 2X4A-4X30A TIPO 630</v>
      </c>
      <c r="C7189" s="2" t="str">
        <f t="shared" si="282"/>
        <v>UN</v>
      </c>
      <c r="D7189" s="7">
        <v>918</v>
      </c>
      <c r="E7189" s="3">
        <v>11</v>
      </c>
      <c r="F7189" s="3">
        <v>11</v>
      </c>
      <c r="G7189" t="s">
        <v>515</v>
      </c>
    </row>
    <row r="7190" spans="1:7" x14ac:dyDescent="0.25">
      <c r="A7190" s="1" t="str">
        <f>"520494"</f>
        <v>520494</v>
      </c>
      <c r="B7190" s="8" t="s">
        <v>154</v>
      </c>
      <c r="C7190" s="2" t="str">
        <f t="shared" si="282"/>
        <v>UN</v>
      </c>
      <c r="D7190" s="7">
        <v>811</v>
      </c>
      <c r="E7190" s="3">
        <v>8</v>
      </c>
      <c r="F7190" s="3">
        <v>8</v>
      </c>
      <c r="G7190" t="s">
        <v>512</v>
      </c>
    </row>
    <row r="7191" spans="1:7" x14ac:dyDescent="0.25">
      <c r="A7191" s="1" t="str">
        <f>"511449"</f>
        <v>511449</v>
      </c>
      <c r="B7191" s="2" t="str">
        <f>"CONECTOR SAK 01MM"</f>
        <v>CONECTOR SAK 01MM</v>
      </c>
      <c r="C7191" s="2" t="str">
        <f t="shared" si="282"/>
        <v>UN</v>
      </c>
      <c r="D7191" s="7">
        <v>600</v>
      </c>
      <c r="E7191" s="3">
        <v>8</v>
      </c>
      <c r="F7191" s="3">
        <v>8</v>
      </c>
      <c r="G7191" t="s">
        <v>516</v>
      </c>
    </row>
    <row r="7192" spans="1:7" x14ac:dyDescent="0.25">
      <c r="A7192" s="1" t="str">
        <f>"504009"</f>
        <v>504009</v>
      </c>
      <c r="B7192" s="2" t="str">
        <f>"CONECTOR SAK 04MM SIEMENS"</f>
        <v>CONECTOR SAK 04MM SIEMENS</v>
      </c>
      <c r="C7192" s="2" t="str">
        <f t="shared" si="282"/>
        <v>UN</v>
      </c>
      <c r="D7192" s="7">
        <v>600</v>
      </c>
      <c r="E7192" s="3">
        <v>8</v>
      </c>
      <c r="F7192" s="3">
        <v>8</v>
      </c>
      <c r="G7192" t="s">
        <v>515</v>
      </c>
    </row>
    <row r="7193" spans="1:7" x14ac:dyDescent="0.25">
      <c r="A7193" s="1" t="str">
        <f>"509539"</f>
        <v>509539</v>
      </c>
      <c r="B7193" s="2" t="str">
        <f>"CONECTOR SAK 06MM"</f>
        <v>CONECTOR SAK 06MM</v>
      </c>
      <c r="C7193" s="2" t="str">
        <f t="shared" si="282"/>
        <v>UN</v>
      </c>
      <c r="D7193" s="7">
        <v>600</v>
      </c>
      <c r="E7193" s="3">
        <v>8</v>
      </c>
      <c r="F7193" s="3">
        <v>8</v>
      </c>
      <c r="G7193" t="s">
        <v>514</v>
      </c>
    </row>
    <row r="7194" spans="1:7" x14ac:dyDescent="0.25">
      <c r="A7194" s="1" t="str">
        <f>"510097"</f>
        <v>510097</v>
      </c>
      <c r="B7194" s="2" t="str">
        <f>"CONECTOR SAK 1,5MM"</f>
        <v>CONECTOR SAK 1,5MM</v>
      </c>
      <c r="C7194" s="2" t="str">
        <f t="shared" si="282"/>
        <v>UN</v>
      </c>
      <c r="D7194" s="7">
        <v>900</v>
      </c>
      <c r="E7194" s="3">
        <v>11</v>
      </c>
      <c r="F7194" s="3">
        <v>11</v>
      </c>
      <c r="G7194" t="s">
        <v>512</v>
      </c>
    </row>
    <row r="7195" spans="1:7" x14ac:dyDescent="0.25">
      <c r="A7195" s="1" t="str">
        <f>"505947"</f>
        <v>505947</v>
      </c>
      <c r="B7195" s="2" t="str">
        <f>"CONECTOR SAK 10MM"</f>
        <v>CONECTOR SAK 10MM</v>
      </c>
      <c r="C7195" s="2" t="str">
        <f t="shared" si="282"/>
        <v>UN</v>
      </c>
      <c r="D7195" s="7">
        <v>600</v>
      </c>
      <c r="E7195" s="3">
        <v>8</v>
      </c>
      <c r="F7195" s="3">
        <v>8</v>
      </c>
      <c r="G7195" t="s">
        <v>513</v>
      </c>
    </row>
    <row r="7196" spans="1:7" x14ac:dyDescent="0.25">
      <c r="A7196" s="1" t="str">
        <f>"510710"</f>
        <v>510710</v>
      </c>
      <c r="B7196" s="2" t="str">
        <f>"CONECTOR SAK 120MM"</f>
        <v>CONECTOR SAK 120MM</v>
      </c>
      <c r="C7196" s="2" t="str">
        <f t="shared" si="282"/>
        <v>UN</v>
      </c>
      <c r="D7196" s="7">
        <v>600</v>
      </c>
      <c r="E7196" s="3">
        <v>8</v>
      </c>
      <c r="F7196" s="3">
        <v>8</v>
      </c>
      <c r="G7196" t="s">
        <v>514</v>
      </c>
    </row>
    <row r="7197" spans="1:7" x14ac:dyDescent="0.25">
      <c r="A7197" s="1" t="str">
        <f>"514806"</f>
        <v>514806</v>
      </c>
      <c r="B7197" s="2" t="str">
        <f>"CONECTOR SAK 12VDC 1NA+1NF PLC-RSC-12DC/2966906 PHOENIX"</f>
        <v>CONECTOR SAK 12VDC 1NA+1NF PLC-RSC-12DC/2966906 PHOENIX</v>
      </c>
      <c r="C7197" s="2" t="str">
        <f t="shared" si="282"/>
        <v>UN</v>
      </c>
      <c r="D7197" s="7">
        <v>811</v>
      </c>
      <c r="E7197" s="3">
        <v>8</v>
      </c>
      <c r="F7197" s="3">
        <v>8</v>
      </c>
      <c r="G7197" t="s">
        <v>514</v>
      </c>
    </row>
    <row r="7198" spans="1:7" x14ac:dyDescent="0.25">
      <c r="A7198" s="1" t="str">
        <f>"502222"</f>
        <v>502222</v>
      </c>
      <c r="B7198" s="2" t="str">
        <f>"CONECTOR SAK 150MM"</f>
        <v>CONECTOR SAK 150MM</v>
      </c>
      <c r="C7198" s="2" t="str">
        <f t="shared" si="282"/>
        <v>UN</v>
      </c>
      <c r="D7198" s="7">
        <v>811</v>
      </c>
      <c r="E7198" s="3">
        <v>8</v>
      </c>
      <c r="F7198" s="3">
        <v>8</v>
      </c>
      <c r="G7198" t="s">
        <v>512</v>
      </c>
    </row>
    <row r="7199" spans="1:7" x14ac:dyDescent="0.25">
      <c r="A7199" s="1" t="str">
        <f>"519482"</f>
        <v>519482</v>
      </c>
      <c r="B7199" s="2" t="str">
        <f>"CONECTOR SAK 16MM 8WA1011-1BK11 AZUL"</f>
        <v>CONECTOR SAK 16MM 8WA1011-1BK11 AZUL</v>
      </c>
      <c r="C7199" s="2" t="str">
        <f t="shared" si="282"/>
        <v>UN</v>
      </c>
      <c r="D7199" s="7">
        <v>811</v>
      </c>
      <c r="E7199" s="3">
        <v>8</v>
      </c>
      <c r="F7199" s="3">
        <v>8</v>
      </c>
      <c r="G7199" t="s">
        <v>513</v>
      </c>
    </row>
    <row r="7200" spans="1:7" x14ac:dyDescent="0.25">
      <c r="A7200" s="1" t="str">
        <f>"507970"</f>
        <v>507970</v>
      </c>
      <c r="B7200" s="2" t="str">
        <f>"CONECTOR SAK 16MM SIEMENS"</f>
        <v>CONECTOR SAK 16MM SIEMENS</v>
      </c>
      <c r="C7200" s="2" t="str">
        <f t="shared" si="282"/>
        <v>UN</v>
      </c>
      <c r="D7200" s="7">
        <v>600</v>
      </c>
      <c r="E7200" s="3">
        <v>8</v>
      </c>
      <c r="F7200" s="3">
        <v>8</v>
      </c>
      <c r="G7200" t="s">
        <v>514</v>
      </c>
    </row>
    <row r="7201" spans="1:7" x14ac:dyDescent="0.25">
      <c r="A7201" s="1" t="str">
        <f>"504008"</f>
        <v>504008</v>
      </c>
      <c r="B7201" s="2" t="str">
        <f>"CONECTOR SAK 2,5MM"</f>
        <v>CONECTOR SAK 2,5MM</v>
      </c>
      <c r="C7201" s="2" t="str">
        <f t="shared" si="282"/>
        <v>UN</v>
      </c>
      <c r="D7201" s="7">
        <v>600</v>
      </c>
      <c r="E7201" s="3">
        <v>8</v>
      </c>
      <c r="F7201" s="3">
        <v>8</v>
      </c>
      <c r="G7201" t="s">
        <v>514</v>
      </c>
    </row>
    <row r="7202" spans="1:7" x14ac:dyDescent="0.25">
      <c r="A7202" s="1" t="str">
        <f>"519479"</f>
        <v>519479</v>
      </c>
      <c r="B7202" s="2" t="str">
        <f>"CONECTOR SAK 2,5MM 8WA1011-1BF23 AZUL"</f>
        <v>CONECTOR SAK 2,5MM 8WA1011-1BF23 AZUL</v>
      </c>
      <c r="C7202" s="2" t="str">
        <f t="shared" si="282"/>
        <v>UN</v>
      </c>
      <c r="D7202" s="7">
        <v>811</v>
      </c>
      <c r="E7202" s="3">
        <v>8</v>
      </c>
      <c r="F7202" s="3">
        <v>8</v>
      </c>
      <c r="G7202" t="s">
        <v>514</v>
      </c>
    </row>
    <row r="7203" spans="1:7" x14ac:dyDescent="0.25">
      <c r="A7203" s="1" t="str">
        <f>"510591"</f>
        <v>510591</v>
      </c>
      <c r="B7203" s="2" t="str">
        <f>"CONECTOR SAK 240MM"</f>
        <v>CONECTOR SAK 240MM</v>
      </c>
      <c r="C7203" s="2" t="str">
        <f t="shared" si="282"/>
        <v>UN</v>
      </c>
      <c r="D7203" s="7">
        <v>600</v>
      </c>
      <c r="E7203" s="3">
        <v>8</v>
      </c>
      <c r="F7203" s="3">
        <v>8</v>
      </c>
      <c r="G7203" t="s">
        <v>513</v>
      </c>
    </row>
    <row r="7204" spans="1:7" x14ac:dyDescent="0.25">
      <c r="A7204" s="1" t="str">
        <f>"505989"</f>
        <v>505989</v>
      </c>
      <c r="B7204" s="2" t="str">
        <f>"CONECTOR SAK 25MM"</f>
        <v>CONECTOR SAK 25MM</v>
      </c>
      <c r="C7204" s="2" t="str">
        <f t="shared" si="282"/>
        <v>UN</v>
      </c>
      <c r="D7204" s="7">
        <v>600</v>
      </c>
      <c r="E7204" s="3">
        <v>8</v>
      </c>
      <c r="F7204" s="3">
        <v>8</v>
      </c>
      <c r="G7204" t="s">
        <v>512</v>
      </c>
    </row>
    <row r="7205" spans="1:7" x14ac:dyDescent="0.25">
      <c r="A7205" s="1" t="str">
        <f>"519486"</f>
        <v>519486</v>
      </c>
      <c r="B7205" s="2" t="str">
        <f>"CONECTOR SAK 3 ANDARES 8WH2040-4LF00"</f>
        <v>CONECTOR SAK 3 ANDARES 8WH2040-4LF00</v>
      </c>
      <c r="C7205" s="2" t="str">
        <f t="shared" si="282"/>
        <v>UN</v>
      </c>
      <c r="D7205" s="7">
        <v>811</v>
      </c>
      <c r="E7205" s="3">
        <v>8</v>
      </c>
      <c r="F7205" s="3">
        <v>8</v>
      </c>
      <c r="G7205" t="s">
        <v>513</v>
      </c>
    </row>
    <row r="7206" spans="1:7" x14ac:dyDescent="0.25">
      <c r="A7206" s="1" t="str">
        <f>"509701"</f>
        <v>509701</v>
      </c>
      <c r="B7206" s="2" t="str">
        <f>"CONECTOR SAK 35MM"</f>
        <v>CONECTOR SAK 35MM</v>
      </c>
      <c r="C7206" s="2" t="str">
        <f t="shared" si="282"/>
        <v>UN</v>
      </c>
      <c r="D7206" s="7">
        <v>600</v>
      </c>
      <c r="E7206" s="3">
        <v>8</v>
      </c>
      <c r="F7206" s="3">
        <v>8</v>
      </c>
      <c r="G7206" t="s">
        <v>514</v>
      </c>
    </row>
    <row r="7207" spans="1:7" x14ac:dyDescent="0.25">
      <c r="A7207" s="1" t="str">
        <f>"519480"</f>
        <v>519480</v>
      </c>
      <c r="B7207" s="2" t="str">
        <f>"CONECTOR SAK 4MM 8WA1011-1BG11 AZUL"</f>
        <v>CONECTOR SAK 4MM 8WA1011-1BG11 AZUL</v>
      </c>
      <c r="C7207" s="2" t="str">
        <f t="shared" si="282"/>
        <v>UN</v>
      </c>
      <c r="D7207" s="7">
        <v>811</v>
      </c>
      <c r="E7207" s="3">
        <v>8</v>
      </c>
      <c r="F7207" s="3">
        <v>8</v>
      </c>
      <c r="G7207" t="s">
        <v>514</v>
      </c>
    </row>
    <row r="7208" spans="1:7" x14ac:dyDescent="0.25">
      <c r="A7208" s="1" t="str">
        <f>"519475"</f>
        <v>519475</v>
      </c>
      <c r="B7208" s="2" t="str">
        <f>"CONECTOR SAK 4MM 8WA1011-2DG11 DOIS ANDARES"</f>
        <v>CONECTOR SAK 4MM 8WA1011-2DG11 DOIS ANDARES</v>
      </c>
      <c r="C7208" s="2" t="str">
        <f t="shared" si="282"/>
        <v>UN</v>
      </c>
      <c r="D7208" s="7">
        <v>811</v>
      </c>
      <c r="E7208" s="3">
        <v>8</v>
      </c>
      <c r="F7208" s="3">
        <v>8</v>
      </c>
      <c r="G7208" t="s">
        <v>514</v>
      </c>
    </row>
    <row r="7209" spans="1:7" x14ac:dyDescent="0.25">
      <c r="A7209" s="1" t="str">
        <f>"503930"</f>
        <v>503930</v>
      </c>
      <c r="B7209" s="2" t="str">
        <f>"CONECTOR SAK 50MM"</f>
        <v>CONECTOR SAK 50MM</v>
      </c>
      <c r="C7209" s="2" t="str">
        <f t="shared" si="282"/>
        <v>UN</v>
      </c>
      <c r="D7209" s="7">
        <v>600</v>
      </c>
      <c r="E7209" s="3">
        <v>8</v>
      </c>
      <c r="F7209" s="3">
        <v>8</v>
      </c>
      <c r="G7209" t="s">
        <v>513</v>
      </c>
    </row>
    <row r="7210" spans="1:7" x14ac:dyDescent="0.25">
      <c r="A7210" s="1" t="str">
        <f>"519481"</f>
        <v>519481</v>
      </c>
      <c r="B7210" s="2" t="str">
        <f>"CONECTOR SAK 6MM 8WA1011-1BK11 AZUL"</f>
        <v>CONECTOR SAK 6MM 8WA1011-1BK11 AZUL</v>
      </c>
      <c r="C7210" s="2" t="str">
        <f t="shared" si="282"/>
        <v>UN</v>
      </c>
      <c r="D7210" s="7">
        <v>811</v>
      </c>
      <c r="E7210" s="3">
        <v>8</v>
      </c>
      <c r="F7210" s="3">
        <v>8</v>
      </c>
      <c r="G7210" t="s">
        <v>513</v>
      </c>
    </row>
    <row r="7211" spans="1:7" x14ac:dyDescent="0.25">
      <c r="A7211" s="1" t="str">
        <f>"509927"</f>
        <v>509927</v>
      </c>
      <c r="B7211" s="2" t="str">
        <f>"CONECTOR SAK 70MM"</f>
        <v>CONECTOR SAK 70MM</v>
      </c>
      <c r="C7211" s="2" t="str">
        <f t="shared" si="282"/>
        <v>UN</v>
      </c>
      <c r="D7211" s="7">
        <v>600</v>
      </c>
      <c r="E7211" s="3">
        <v>8</v>
      </c>
      <c r="F7211" s="3">
        <v>8</v>
      </c>
      <c r="G7211" t="s">
        <v>513</v>
      </c>
    </row>
    <row r="7212" spans="1:7" x14ac:dyDescent="0.25">
      <c r="A7212" s="1" t="str">
        <f>"518350"</f>
        <v>518350</v>
      </c>
      <c r="B7212" s="2" t="str">
        <f>"CONECTOR SAK 95MM"</f>
        <v>CONECTOR SAK 95MM</v>
      </c>
      <c r="C7212" s="2" t="str">
        <f t="shared" si="282"/>
        <v>UN</v>
      </c>
      <c r="D7212" s="7">
        <v>811</v>
      </c>
      <c r="E7212" s="3">
        <v>8</v>
      </c>
      <c r="F7212" s="3">
        <v>8</v>
      </c>
      <c r="G7212" t="s">
        <v>512</v>
      </c>
    </row>
    <row r="7213" spans="1:7" x14ac:dyDescent="0.25">
      <c r="A7213" s="1" t="str">
        <f>"519483"</f>
        <v>519483</v>
      </c>
      <c r="B7213" s="2" t="str">
        <f>"CONECTOR SAK IDENT. 1-68 (1X) 8WA8 968-1N1"</f>
        <v>CONECTOR SAK IDENT. 1-68 (1X) 8WA8 968-1N1</v>
      </c>
      <c r="C7213" s="2" t="str">
        <f t="shared" si="282"/>
        <v>UN</v>
      </c>
      <c r="D7213" s="7">
        <v>811</v>
      </c>
      <c r="E7213" s="3">
        <v>8</v>
      </c>
      <c r="F7213" s="3">
        <v>8</v>
      </c>
      <c r="G7213" t="s">
        <v>513</v>
      </c>
    </row>
    <row r="7214" spans="1:7" x14ac:dyDescent="0.25">
      <c r="A7214" s="1" t="str">
        <f>"519484"</f>
        <v>519484</v>
      </c>
      <c r="B7214" s="2" t="str">
        <f>"CONECTOR SAK IDENT. L1/L2/L3/N/PE (13X) 8WA8 968-1S3"</f>
        <v>CONECTOR SAK IDENT. L1/L2/L3/N/PE (13X) 8WA8 968-1S3</v>
      </c>
      <c r="C7214" s="2" t="str">
        <f t="shared" si="282"/>
        <v>UN</v>
      </c>
      <c r="D7214" s="7">
        <v>811</v>
      </c>
      <c r="E7214" s="3">
        <v>8</v>
      </c>
      <c r="F7214" s="3">
        <v>8</v>
      </c>
      <c r="G7214" t="s">
        <v>514</v>
      </c>
    </row>
    <row r="7215" spans="1:7" x14ac:dyDescent="0.25">
      <c r="A7215" s="1" t="str">
        <f>"509973"</f>
        <v>509973</v>
      </c>
      <c r="B7215" s="2" t="str">
        <f>"CONECTOR SAK IDENT. LETRA R"</f>
        <v>CONECTOR SAK IDENT. LETRA R</v>
      </c>
      <c r="C7215" s="2" t="str">
        <f t="shared" si="282"/>
        <v>UN</v>
      </c>
      <c r="D7215" s="7">
        <v>900</v>
      </c>
      <c r="E7215" s="3">
        <v>11</v>
      </c>
      <c r="F7215" s="3">
        <v>11</v>
      </c>
      <c r="G7215" t="s">
        <v>515</v>
      </c>
    </row>
    <row r="7216" spans="1:7" x14ac:dyDescent="0.25">
      <c r="A7216" s="1" t="str">
        <f>"509974"</f>
        <v>509974</v>
      </c>
      <c r="B7216" s="2" t="str">
        <f>"CONECTOR SAK IDENT. LETRA S"</f>
        <v>CONECTOR SAK IDENT. LETRA S</v>
      </c>
      <c r="C7216" s="2" t="str">
        <f t="shared" si="282"/>
        <v>UN</v>
      </c>
      <c r="D7216" s="7">
        <v>900</v>
      </c>
      <c r="E7216" s="3">
        <v>11</v>
      </c>
      <c r="F7216" s="3">
        <v>11</v>
      </c>
      <c r="G7216" t="s">
        <v>512</v>
      </c>
    </row>
    <row r="7217" spans="1:7" x14ac:dyDescent="0.25">
      <c r="A7217" s="1" t="str">
        <f>"510017"</f>
        <v>510017</v>
      </c>
      <c r="B7217" s="2" t="str">
        <f>"CONECTOR SAK IDENT. LETRA T"</f>
        <v>CONECTOR SAK IDENT. LETRA T</v>
      </c>
      <c r="C7217" s="2" t="str">
        <f t="shared" ref="C7217:C7250" si="283">"UN"</f>
        <v>UN</v>
      </c>
      <c r="D7217" s="7">
        <v>600</v>
      </c>
      <c r="E7217" s="3">
        <v>8</v>
      </c>
      <c r="F7217" s="3">
        <v>8</v>
      </c>
      <c r="G7217" t="s">
        <v>516</v>
      </c>
    </row>
    <row r="7218" spans="1:7" x14ac:dyDescent="0.25">
      <c r="A7218" s="1" t="str">
        <f>"513952"</f>
        <v>513952</v>
      </c>
      <c r="B7218" s="2" t="str">
        <f>"CONECTOR SAK PHOENIX 230VC/DC 1NA+1NF"</f>
        <v>CONECTOR SAK PHOENIX 230VC/DC 1NA+1NF</v>
      </c>
      <c r="C7218" s="2" t="str">
        <f t="shared" si="283"/>
        <v>UN</v>
      </c>
      <c r="D7218" s="7">
        <v>811</v>
      </c>
      <c r="E7218" s="3">
        <v>8</v>
      </c>
      <c r="F7218" s="3">
        <v>8</v>
      </c>
      <c r="G7218" t="s">
        <v>515</v>
      </c>
    </row>
    <row r="7219" spans="1:7" x14ac:dyDescent="0.25">
      <c r="A7219" s="1" t="str">
        <f>"526441"</f>
        <v>526441</v>
      </c>
      <c r="B7219" s="2" t="str">
        <f>"CONECTOR SAK PHOENIX TB 2,5MM CZ 3246311"</f>
        <v>CONECTOR SAK PHOENIX TB 2,5MM CZ 3246311</v>
      </c>
      <c r="C7219" s="2" t="str">
        <f t="shared" si="283"/>
        <v>UN</v>
      </c>
      <c r="D7219" s="7">
        <v>811</v>
      </c>
      <c r="E7219" s="3">
        <v>8</v>
      </c>
      <c r="F7219" s="3">
        <v>8</v>
      </c>
      <c r="G7219" t="s">
        <v>514</v>
      </c>
    </row>
    <row r="7220" spans="1:7" x14ac:dyDescent="0.25">
      <c r="A7220" s="1" t="str">
        <f>"519476"</f>
        <v>519476</v>
      </c>
      <c r="B7220" s="2" t="str">
        <f>"CONECTOR SAK PLACA INTER 8WA1820 2,5/4"</f>
        <v>CONECTOR SAK PLACA INTER 8WA1820 2,5/4</v>
      </c>
      <c r="C7220" s="2" t="str">
        <f t="shared" si="283"/>
        <v>UN</v>
      </c>
      <c r="D7220" s="7">
        <v>811</v>
      </c>
      <c r="E7220" s="3">
        <v>8</v>
      </c>
      <c r="F7220" s="3">
        <v>8</v>
      </c>
      <c r="G7220" t="s">
        <v>512</v>
      </c>
    </row>
    <row r="7221" spans="1:7" x14ac:dyDescent="0.25">
      <c r="A7221" s="1" t="str">
        <f>"519477"</f>
        <v>519477</v>
      </c>
      <c r="B7221" s="2" t="str">
        <f>"CONECTOR SAK PLACA INTER 8WA1821 6/16"</f>
        <v>CONECTOR SAK PLACA INTER 8WA1821 6/16</v>
      </c>
      <c r="C7221" s="2" t="str">
        <f t="shared" si="283"/>
        <v>UN</v>
      </c>
      <c r="D7221" s="7">
        <v>811</v>
      </c>
      <c r="E7221" s="3">
        <v>8</v>
      </c>
      <c r="F7221" s="3">
        <v>8</v>
      </c>
      <c r="G7221" t="s">
        <v>513</v>
      </c>
    </row>
    <row r="7222" spans="1:7" x14ac:dyDescent="0.25">
      <c r="A7222" s="1" t="str">
        <f>"519478"</f>
        <v>519478</v>
      </c>
      <c r="B7222" s="2" t="str">
        <f>"CONECTOR SAK PONTE 10P 8WA1898 25MM"</f>
        <v>CONECTOR SAK PONTE 10P 8WA1898 25MM</v>
      </c>
      <c r="C7222" s="2" t="str">
        <f t="shared" si="283"/>
        <v>UN</v>
      </c>
      <c r="D7222" s="7">
        <v>811</v>
      </c>
      <c r="E7222" s="3">
        <v>8</v>
      </c>
      <c r="F7222" s="3">
        <v>8</v>
      </c>
      <c r="G7222" t="s">
        <v>514</v>
      </c>
    </row>
    <row r="7223" spans="1:7" x14ac:dyDescent="0.25">
      <c r="A7223" s="1" t="str">
        <f>"509975"</f>
        <v>509975</v>
      </c>
      <c r="B7223" s="2" t="str">
        <f>"CONECTOR SAK POSTE TRILHO"</f>
        <v>CONECTOR SAK POSTE TRILHO</v>
      </c>
      <c r="C7223" s="2" t="str">
        <f t="shared" si="283"/>
        <v>UN</v>
      </c>
      <c r="D7223" s="7">
        <v>900</v>
      </c>
      <c r="E7223" s="3">
        <v>11</v>
      </c>
      <c r="F7223" s="3">
        <v>11</v>
      </c>
      <c r="G7223" t="s">
        <v>514</v>
      </c>
    </row>
    <row r="7224" spans="1:7" x14ac:dyDescent="0.25">
      <c r="A7224" s="1" t="str">
        <f>"512254"</f>
        <v>512254</v>
      </c>
      <c r="B7224" s="2" t="str">
        <f>"CONECTOR SAK TERRA  04MM SIEMENS"</f>
        <v>CONECTOR SAK TERRA  04MM SIEMENS</v>
      </c>
      <c r="C7224" s="2" t="str">
        <f t="shared" si="283"/>
        <v>UN</v>
      </c>
      <c r="D7224" s="7">
        <v>600</v>
      </c>
      <c r="E7224" s="3">
        <v>8</v>
      </c>
      <c r="F7224" s="3">
        <v>8</v>
      </c>
      <c r="G7224" t="s">
        <v>512</v>
      </c>
    </row>
    <row r="7225" spans="1:7" x14ac:dyDescent="0.25">
      <c r="A7225" s="1" t="str">
        <f>"512255"</f>
        <v>512255</v>
      </c>
      <c r="B7225" s="2" t="str">
        <f>"CONECTOR SAK TERRA  06MM SIEMENS"</f>
        <v>CONECTOR SAK TERRA  06MM SIEMENS</v>
      </c>
      <c r="C7225" s="2" t="str">
        <f t="shared" si="283"/>
        <v>UN</v>
      </c>
      <c r="D7225" s="7">
        <v>600</v>
      </c>
      <c r="E7225" s="3">
        <v>8</v>
      </c>
      <c r="F7225" s="3">
        <v>8</v>
      </c>
      <c r="G7225" t="s">
        <v>513</v>
      </c>
    </row>
    <row r="7226" spans="1:7" x14ac:dyDescent="0.25">
      <c r="A7226" s="1" t="str">
        <f>"518351"</f>
        <v>518351</v>
      </c>
      <c r="B7226" s="2" t="str">
        <f>"CONECTOR SAK TERRA  10MM"</f>
        <v>CONECTOR SAK TERRA  10MM</v>
      </c>
      <c r="C7226" s="2" t="str">
        <f t="shared" si="283"/>
        <v>UN</v>
      </c>
      <c r="D7226" s="7">
        <v>811</v>
      </c>
      <c r="E7226" s="3">
        <v>8</v>
      </c>
      <c r="F7226" s="3">
        <v>8</v>
      </c>
      <c r="G7226" t="s">
        <v>514</v>
      </c>
    </row>
    <row r="7227" spans="1:7" x14ac:dyDescent="0.25">
      <c r="A7227" s="1" t="str">
        <f>"512256"</f>
        <v>512256</v>
      </c>
      <c r="B7227" s="2" t="str">
        <f>"CONECTOR SAK TERRA  16MM"</f>
        <v>CONECTOR SAK TERRA  16MM</v>
      </c>
      <c r="C7227" s="2" t="str">
        <f t="shared" si="283"/>
        <v>UN</v>
      </c>
      <c r="D7227" s="7">
        <v>900</v>
      </c>
      <c r="E7227" s="3">
        <v>8</v>
      </c>
      <c r="F7227" s="3">
        <v>8</v>
      </c>
      <c r="G7227" t="s">
        <v>514</v>
      </c>
    </row>
    <row r="7228" spans="1:7" x14ac:dyDescent="0.25">
      <c r="A7228" s="1" t="str">
        <f>"512257"</f>
        <v>512257</v>
      </c>
      <c r="B7228" s="2" t="str">
        <f>"CONECTOR SAK TERRA  35MM SIEMENS"</f>
        <v>CONECTOR SAK TERRA  35MM SIEMENS</v>
      </c>
      <c r="C7228" s="2" t="str">
        <f t="shared" si="283"/>
        <v>UN</v>
      </c>
      <c r="D7228" s="7">
        <v>600</v>
      </c>
      <c r="E7228" s="3">
        <v>8</v>
      </c>
      <c r="F7228" s="3">
        <v>8</v>
      </c>
      <c r="G7228" t="s">
        <v>514</v>
      </c>
    </row>
    <row r="7229" spans="1:7" x14ac:dyDescent="0.25">
      <c r="A7229" s="1" t="str">
        <f>"512253"</f>
        <v>512253</v>
      </c>
      <c r="B7229" s="2" t="str">
        <f>"CONECTOR SAK TERRA 2,5MM"</f>
        <v>CONECTOR SAK TERRA 2,5MM</v>
      </c>
      <c r="C7229" s="2" t="str">
        <f t="shared" si="283"/>
        <v>UN</v>
      </c>
      <c r="D7229" s="7">
        <v>600</v>
      </c>
      <c r="E7229" s="3">
        <v>8</v>
      </c>
      <c r="F7229" s="3">
        <v>8</v>
      </c>
      <c r="G7229" t="s">
        <v>513</v>
      </c>
    </row>
    <row r="7230" spans="1:7" x14ac:dyDescent="0.25">
      <c r="A7230" s="1" t="str">
        <f>"515834"</f>
        <v>515834</v>
      </c>
      <c r="B7230" s="2" t="str">
        <f>"CONECTOR SAK TERRA 2,5MM"</f>
        <v>CONECTOR SAK TERRA 2,5MM</v>
      </c>
      <c r="C7230" s="2" t="str">
        <f t="shared" si="283"/>
        <v>UN</v>
      </c>
      <c r="D7230" s="7">
        <v>99999</v>
      </c>
      <c r="E7230" s="3">
        <v>99</v>
      </c>
      <c r="F7230" s="3">
        <v>99</v>
      </c>
      <c r="G7230" t="s">
        <v>512</v>
      </c>
    </row>
    <row r="7231" spans="1:7" x14ac:dyDescent="0.25">
      <c r="A7231" s="1" t="str">
        <f>"520170"</f>
        <v>520170</v>
      </c>
      <c r="B7231" s="2" t="str">
        <f>"CONECTOR SPLIT BOLT 150MM²"</f>
        <v>CONECTOR SPLIT BOLT 150MM²</v>
      </c>
      <c r="C7231" s="2" t="str">
        <f t="shared" si="283"/>
        <v>UN</v>
      </c>
      <c r="D7231" s="7">
        <v>811</v>
      </c>
      <c r="E7231" s="3">
        <v>11</v>
      </c>
      <c r="F7231" s="3">
        <v>11</v>
      </c>
      <c r="G7231" t="s">
        <v>513</v>
      </c>
    </row>
    <row r="7232" spans="1:7" x14ac:dyDescent="0.25">
      <c r="A7232" s="1" t="str">
        <f>"508076"</f>
        <v>508076</v>
      </c>
      <c r="B7232" s="2" t="str">
        <f>"CONECTOR SPLIT BOLT 16MM"</f>
        <v>CONECTOR SPLIT BOLT 16MM</v>
      </c>
      <c r="C7232" s="2" t="str">
        <f t="shared" si="283"/>
        <v>UN</v>
      </c>
      <c r="D7232" s="7">
        <v>601</v>
      </c>
      <c r="E7232" s="3">
        <v>8</v>
      </c>
      <c r="F7232" s="3">
        <v>8</v>
      </c>
      <c r="G7232" t="s">
        <v>514</v>
      </c>
    </row>
    <row r="7233" spans="1:7" x14ac:dyDescent="0.25">
      <c r="A7233" s="1" t="str">
        <f>"520171"</f>
        <v>520171</v>
      </c>
      <c r="B7233" s="2" t="str">
        <f>"CONECTOR SPLIT BOLT 185MM²"</f>
        <v>CONECTOR SPLIT BOLT 185MM²</v>
      </c>
      <c r="C7233" s="2" t="str">
        <f t="shared" si="283"/>
        <v>UN</v>
      </c>
      <c r="D7233" s="7">
        <v>811</v>
      </c>
      <c r="E7233" s="3">
        <v>11</v>
      </c>
      <c r="F7233" s="3">
        <v>11</v>
      </c>
      <c r="G7233" t="s">
        <v>514</v>
      </c>
    </row>
    <row r="7234" spans="1:7" x14ac:dyDescent="0.25">
      <c r="A7234" s="1" t="str">
        <f>"509827"</f>
        <v>509827</v>
      </c>
      <c r="B7234" s="2" t="str">
        <f>"CONECTOR SPLIT BOLT 240MM"</f>
        <v>CONECTOR SPLIT BOLT 240MM</v>
      </c>
      <c r="C7234" s="2" t="str">
        <f t="shared" si="283"/>
        <v>UN</v>
      </c>
      <c r="D7234" s="7">
        <v>601</v>
      </c>
      <c r="E7234" s="3">
        <v>8</v>
      </c>
      <c r="F7234" s="3">
        <v>8</v>
      </c>
      <c r="G7234" t="s">
        <v>514</v>
      </c>
    </row>
    <row r="7235" spans="1:7" x14ac:dyDescent="0.25">
      <c r="A7235" s="1" t="str">
        <f>"520169"</f>
        <v>520169</v>
      </c>
      <c r="B7235" s="2" t="str">
        <f>"CONECTOR SPLIT BOLT 240MM²"</f>
        <v>CONECTOR SPLIT BOLT 240MM²</v>
      </c>
      <c r="C7235" s="2" t="str">
        <f t="shared" si="283"/>
        <v>UN</v>
      </c>
      <c r="D7235" s="7">
        <v>811</v>
      </c>
      <c r="E7235" s="3">
        <v>11</v>
      </c>
      <c r="F7235" s="3">
        <v>11</v>
      </c>
      <c r="G7235" t="s">
        <v>513</v>
      </c>
    </row>
    <row r="7236" spans="1:7" x14ac:dyDescent="0.25">
      <c r="A7236" s="1" t="str">
        <f>"508077"</f>
        <v>508077</v>
      </c>
      <c r="B7236" s="2" t="str">
        <f>"CONECTOR SPLIT BOLT 25MM"</f>
        <v>CONECTOR SPLIT BOLT 25MM</v>
      </c>
      <c r="C7236" s="2" t="str">
        <f t="shared" si="283"/>
        <v>UN</v>
      </c>
      <c r="D7236" s="7">
        <v>601</v>
      </c>
      <c r="E7236" s="3">
        <v>8</v>
      </c>
      <c r="F7236" s="3">
        <v>8</v>
      </c>
      <c r="G7236" t="s">
        <v>513</v>
      </c>
    </row>
    <row r="7237" spans="1:7" x14ac:dyDescent="0.25">
      <c r="A7237" s="1" t="str">
        <f>"510976"</f>
        <v>510976</v>
      </c>
      <c r="B7237" s="2" t="str">
        <f>"CONECTOR SPLIT BOLT 35MM"</f>
        <v>CONECTOR SPLIT BOLT 35MM</v>
      </c>
      <c r="C7237" s="2" t="str">
        <f t="shared" si="283"/>
        <v>UN</v>
      </c>
      <c r="D7237" s="7">
        <v>601</v>
      </c>
      <c r="E7237" s="3">
        <v>8</v>
      </c>
      <c r="F7237" s="3">
        <v>8</v>
      </c>
      <c r="G7237" t="s">
        <v>513</v>
      </c>
    </row>
    <row r="7238" spans="1:7" x14ac:dyDescent="0.25">
      <c r="A7238" s="1" t="str">
        <f>"506459"</f>
        <v>506459</v>
      </c>
      <c r="B7238" s="2" t="str">
        <f>"CONECTOR SPLIT BOLT 50MM"</f>
        <v>CONECTOR SPLIT BOLT 50MM</v>
      </c>
      <c r="C7238" s="2" t="str">
        <f t="shared" si="283"/>
        <v>UN</v>
      </c>
      <c r="D7238" s="7">
        <v>601</v>
      </c>
      <c r="E7238" s="3">
        <v>8</v>
      </c>
      <c r="F7238" s="3">
        <v>8</v>
      </c>
      <c r="G7238" t="s">
        <v>512</v>
      </c>
    </row>
    <row r="7239" spans="1:7" x14ac:dyDescent="0.25">
      <c r="A7239" s="1" t="str">
        <f>"508078"</f>
        <v>508078</v>
      </c>
      <c r="B7239" s="2" t="str">
        <f>"CONECTOR SPLIT BOLT 70MM"</f>
        <v>CONECTOR SPLIT BOLT 70MM</v>
      </c>
      <c r="C7239" s="2" t="str">
        <f t="shared" si="283"/>
        <v>UN</v>
      </c>
      <c r="D7239" s="7">
        <v>601</v>
      </c>
      <c r="E7239" s="3">
        <v>8</v>
      </c>
      <c r="F7239" s="3">
        <v>8</v>
      </c>
      <c r="G7239" t="s">
        <v>513</v>
      </c>
    </row>
    <row r="7240" spans="1:7" x14ac:dyDescent="0.25">
      <c r="A7240" s="1" t="str">
        <f>"508079"</f>
        <v>508079</v>
      </c>
      <c r="B7240" s="2" t="str">
        <f>"CONECTOR SPLIT BOLT 95MM"</f>
        <v>CONECTOR SPLIT BOLT 95MM</v>
      </c>
      <c r="C7240" s="2" t="str">
        <f t="shared" si="283"/>
        <v>UN</v>
      </c>
      <c r="D7240" s="7">
        <v>601</v>
      </c>
      <c r="E7240" s="3">
        <v>8</v>
      </c>
      <c r="F7240" s="3">
        <v>8</v>
      </c>
      <c r="G7240" t="s">
        <v>514</v>
      </c>
    </row>
    <row r="7241" spans="1:7" x14ac:dyDescent="0.25">
      <c r="A7241" s="1" t="str">
        <f>"520168"</f>
        <v>520168</v>
      </c>
      <c r="B7241" s="2" t="str">
        <f>"CONECTOR SPLIT BOLT 95MM²"</f>
        <v>CONECTOR SPLIT BOLT 95MM²</v>
      </c>
      <c r="C7241" s="2" t="str">
        <f t="shared" si="283"/>
        <v>UN</v>
      </c>
      <c r="D7241" s="7">
        <v>811</v>
      </c>
      <c r="E7241" s="3">
        <v>11</v>
      </c>
      <c r="F7241" s="3">
        <v>11</v>
      </c>
      <c r="G7241" t="s">
        <v>515</v>
      </c>
    </row>
    <row r="7242" spans="1:7" x14ac:dyDescent="0.25">
      <c r="A7242" s="1" t="str">
        <f>"518839"</f>
        <v>518839</v>
      </c>
      <c r="B7242" s="2" t="str">
        <f>"CONECTOR STECK MULTIPLO 24A 2,5MM S-6136"</f>
        <v>CONECTOR STECK MULTIPLO 24A 2,5MM S-6136</v>
      </c>
      <c r="C7242" s="2" t="str">
        <f t="shared" si="283"/>
        <v>UN</v>
      </c>
      <c r="D7242" s="7">
        <v>811</v>
      </c>
      <c r="E7242" s="3">
        <v>8</v>
      </c>
      <c r="F7242" s="3">
        <v>8</v>
      </c>
      <c r="G7242" t="s">
        <v>512</v>
      </c>
    </row>
    <row r="7243" spans="1:7" x14ac:dyDescent="0.25">
      <c r="A7243" s="1" t="str">
        <f>"519019"</f>
        <v>519019</v>
      </c>
      <c r="B7243" s="2" t="str">
        <f>"CONECTOR TAPIT GRANDE 1/0 - 4/0"</f>
        <v>CONECTOR TAPIT GRANDE 1/0 - 4/0</v>
      </c>
      <c r="C7243" s="2" t="str">
        <f t="shared" si="283"/>
        <v>UN</v>
      </c>
      <c r="D7243" s="7">
        <v>811</v>
      </c>
      <c r="E7243" s="3">
        <v>8</v>
      </c>
      <c r="F7243" s="3">
        <v>8</v>
      </c>
      <c r="G7243" t="s">
        <v>516</v>
      </c>
    </row>
    <row r="7244" spans="1:7" x14ac:dyDescent="0.25">
      <c r="A7244" s="1" t="str">
        <f>"519020"</f>
        <v>519020</v>
      </c>
      <c r="B7244" s="2" t="str">
        <f>"CONECTOR TAPIT PEQUENO 1/0 - 1/0"</f>
        <v>CONECTOR TAPIT PEQUENO 1/0 - 1/0</v>
      </c>
      <c r="C7244" s="2" t="str">
        <f t="shared" si="283"/>
        <v>UN</v>
      </c>
      <c r="D7244" s="7">
        <v>811</v>
      </c>
      <c r="E7244" s="3">
        <v>8</v>
      </c>
      <c r="F7244" s="3">
        <v>8</v>
      </c>
      <c r="G7244" t="s">
        <v>515</v>
      </c>
    </row>
    <row r="7245" spans="1:7" x14ac:dyDescent="0.25">
      <c r="A7245" s="1" t="str">
        <f>"514799"</f>
        <v>514799</v>
      </c>
      <c r="B7245" s="2" t="str">
        <f>"CONECTOR TCC25 CURTO PARA TERMINAL COM PINO LEGRAND"</f>
        <v>CONECTOR TCC25 CURTO PARA TERMINAL COM PINO LEGRAND</v>
      </c>
      <c r="C7245" s="2" t="str">
        <f t="shared" si="283"/>
        <v>UN</v>
      </c>
      <c r="D7245" s="7">
        <v>811</v>
      </c>
      <c r="E7245" s="3">
        <v>8</v>
      </c>
      <c r="F7245" s="3">
        <v>8</v>
      </c>
      <c r="G7245" t="s">
        <v>514</v>
      </c>
    </row>
    <row r="7246" spans="1:7" x14ac:dyDescent="0.25">
      <c r="A7246" s="1" t="str">
        <f>"514798"</f>
        <v>514798</v>
      </c>
      <c r="B7246" s="2" t="str">
        <f>"CONECTOR TCL25 LONGO"</f>
        <v>CONECTOR TCL25 LONGO</v>
      </c>
      <c r="C7246" s="2" t="str">
        <f t="shared" si="283"/>
        <v>UN</v>
      </c>
      <c r="D7246" s="7">
        <v>811</v>
      </c>
      <c r="E7246" s="3">
        <v>8</v>
      </c>
      <c r="F7246" s="3">
        <v>8</v>
      </c>
      <c r="G7246" t="s">
        <v>512</v>
      </c>
    </row>
    <row r="7247" spans="1:7" x14ac:dyDescent="0.25">
      <c r="A7247" s="1" t="str">
        <f>"515531"</f>
        <v>515531</v>
      </c>
      <c r="B7247" s="2" t="str">
        <f>"CONECTOR TERRA EK"</f>
        <v>CONECTOR TERRA EK</v>
      </c>
      <c r="C7247" s="2" t="str">
        <f t="shared" si="283"/>
        <v>UN</v>
      </c>
      <c r="D7247" s="7">
        <v>811</v>
      </c>
      <c r="E7247" s="3">
        <v>8</v>
      </c>
      <c r="F7247" s="3">
        <v>8</v>
      </c>
      <c r="G7247" t="s">
        <v>513</v>
      </c>
    </row>
    <row r="7248" spans="1:7" x14ac:dyDescent="0.25">
      <c r="A7248" s="1" t="str">
        <f>"510118"</f>
        <v>510118</v>
      </c>
      <c r="B7248" s="2" t="str">
        <f>"CONECTOR TIP 120"</f>
        <v>CONECTOR TIP 120</v>
      </c>
      <c r="C7248" s="2" t="str">
        <f t="shared" si="283"/>
        <v>UN</v>
      </c>
      <c r="D7248" s="7">
        <v>900</v>
      </c>
      <c r="E7248" s="3">
        <v>11</v>
      </c>
      <c r="F7248" s="3">
        <v>11</v>
      </c>
      <c r="G7248" t="s">
        <v>514</v>
      </c>
    </row>
    <row r="7249" spans="1:7" x14ac:dyDescent="0.25">
      <c r="A7249" s="1" t="str">
        <f>"526316"</f>
        <v>526316</v>
      </c>
      <c r="B7249" s="2" t="str">
        <f>"CONECTORES EZ-LOC PARA MONTAGEM DE MÓDULOS MAIORES"</f>
        <v>CONECTORES EZ-LOC PARA MONTAGEM DE MÓDULOS MAIORES</v>
      </c>
      <c r="C7249" s="2" t="str">
        <f t="shared" si="283"/>
        <v>UN</v>
      </c>
      <c r="D7249" s="7">
        <v>408</v>
      </c>
      <c r="E7249" s="3">
        <v>4</v>
      </c>
      <c r="F7249" s="3">
        <v>4</v>
      </c>
      <c r="G7249" t="s">
        <v>514</v>
      </c>
    </row>
    <row r="7250" spans="1:7" x14ac:dyDescent="0.25">
      <c r="A7250" s="1" t="str">
        <f>"511434"</f>
        <v>511434</v>
      </c>
      <c r="B7250" s="2" t="str">
        <f>"CONEXAO"</f>
        <v>CONEXAO</v>
      </c>
      <c r="C7250" s="2" t="str">
        <f t="shared" si="283"/>
        <v>UN</v>
      </c>
      <c r="D7250" s="7">
        <v>704</v>
      </c>
      <c r="E7250" s="3">
        <v>9</v>
      </c>
      <c r="F7250" s="3">
        <v>9</v>
      </c>
      <c r="G7250" t="s">
        <v>512</v>
      </c>
    </row>
    <row r="7251" spans="1:7" x14ac:dyDescent="0.25">
      <c r="A7251" s="1" t="str">
        <f>"503702"</f>
        <v>503702</v>
      </c>
      <c r="B7251" s="2" t="str">
        <f>"CONEXAO 0.001 - COD.343416"</f>
        <v>CONEXAO 0.001 - COD.343416</v>
      </c>
      <c r="C7251" s="2" t="str">
        <f>"BR"</f>
        <v>BR</v>
      </c>
      <c r="D7251" s="7">
        <v>808</v>
      </c>
      <c r="E7251" s="3">
        <v>10</v>
      </c>
      <c r="F7251" s="3">
        <v>10</v>
      </c>
      <c r="G7251" t="s">
        <v>513</v>
      </c>
    </row>
    <row r="7252" spans="1:7" x14ac:dyDescent="0.25">
      <c r="A7252" s="1" t="str">
        <f>"526048"</f>
        <v>526048</v>
      </c>
      <c r="B7252" s="2" t="str">
        <f>"CONEXAO 3RA19 01-1E"</f>
        <v>CONEXAO 3RA19 01-1E</v>
      </c>
      <c r="C7252" s="2" t="str">
        <f t="shared" ref="C7252:C7262" si="284">"UN"</f>
        <v>UN</v>
      </c>
      <c r="D7252" s="7">
        <v>600</v>
      </c>
      <c r="E7252" s="3">
        <v>8</v>
      </c>
      <c r="F7252" s="3">
        <v>8</v>
      </c>
      <c r="G7252" t="s">
        <v>514</v>
      </c>
    </row>
    <row r="7253" spans="1:7" x14ac:dyDescent="0.25">
      <c r="A7253" s="1" t="str">
        <f>"526047"</f>
        <v>526047</v>
      </c>
      <c r="B7253" s="2" t="str">
        <f>"CONEXAO 3RA19 21-1A SIEMENS"</f>
        <v>CONEXAO 3RA19 21-1A SIEMENS</v>
      </c>
      <c r="C7253" s="2" t="str">
        <f t="shared" si="284"/>
        <v>UN</v>
      </c>
      <c r="D7253" s="7">
        <v>600</v>
      </c>
      <c r="E7253" s="3">
        <v>8</v>
      </c>
      <c r="F7253" s="3">
        <v>8</v>
      </c>
      <c r="G7253" t="s">
        <v>514</v>
      </c>
    </row>
    <row r="7254" spans="1:7" x14ac:dyDescent="0.25">
      <c r="A7254" s="1" t="str">
        <f>"512894"</f>
        <v>512894</v>
      </c>
      <c r="B7254" s="2" t="str">
        <f>"CONEXAO 3RA1911-1AA00"</f>
        <v>CONEXAO 3RA1911-1AA00</v>
      </c>
      <c r="C7254" s="2" t="str">
        <f t="shared" si="284"/>
        <v>UN</v>
      </c>
      <c r="D7254" s="7">
        <v>600</v>
      </c>
      <c r="E7254" s="3">
        <v>8</v>
      </c>
      <c r="F7254" s="3">
        <v>8</v>
      </c>
      <c r="G7254" t="s">
        <v>514</v>
      </c>
    </row>
    <row r="7255" spans="1:7" x14ac:dyDescent="0.25">
      <c r="A7255" s="1" t="str">
        <f>"512238"</f>
        <v>512238</v>
      </c>
      <c r="B7255" s="2" t="str">
        <f>"CONEXAO 3RA1921-1AA00"</f>
        <v>CONEXAO 3RA1921-1AA00</v>
      </c>
      <c r="C7255" s="2" t="str">
        <f t="shared" si="284"/>
        <v>UN</v>
      </c>
      <c r="D7255" s="7">
        <v>600</v>
      </c>
      <c r="E7255" s="3">
        <v>8</v>
      </c>
      <c r="F7255" s="3">
        <v>8</v>
      </c>
      <c r="G7255" t="s">
        <v>513</v>
      </c>
    </row>
    <row r="7256" spans="1:7" x14ac:dyDescent="0.25">
      <c r="A7256" s="1" t="str">
        <f>"512237"</f>
        <v>512237</v>
      </c>
      <c r="B7256" s="2" t="str">
        <f>"CONEXAO 3RA1921-1BA00"</f>
        <v>CONEXAO 3RA1921-1BA00</v>
      </c>
      <c r="C7256" s="2" t="str">
        <f t="shared" si="284"/>
        <v>UN</v>
      </c>
      <c r="D7256" s="7">
        <v>600</v>
      </c>
      <c r="E7256" s="3">
        <v>8</v>
      </c>
      <c r="F7256" s="3">
        <v>8</v>
      </c>
      <c r="G7256" t="s">
        <v>512</v>
      </c>
    </row>
    <row r="7257" spans="1:7" x14ac:dyDescent="0.25">
      <c r="A7257" s="1" t="str">
        <f>"518192"</f>
        <v>518192</v>
      </c>
      <c r="B7257" s="2" t="str">
        <f>"CONEXAO 3RA1921-1DA00"</f>
        <v>CONEXAO 3RA1921-1DA00</v>
      </c>
      <c r="C7257" s="2" t="str">
        <f t="shared" si="284"/>
        <v>UN</v>
      </c>
      <c r="D7257" s="7">
        <v>811</v>
      </c>
      <c r="E7257" s="3">
        <v>8</v>
      </c>
      <c r="F7257" s="3">
        <v>8</v>
      </c>
      <c r="G7257" t="s">
        <v>513</v>
      </c>
    </row>
    <row r="7258" spans="1:7" x14ac:dyDescent="0.25">
      <c r="A7258" s="1" t="str">
        <f>"512907"</f>
        <v>512907</v>
      </c>
      <c r="B7258" s="2" t="str">
        <f>"CONEXÃO 3RV C/RT S00 3RA1911-1AA00"</f>
        <v>CONEXÃO 3RV C/RT S00 3RA1911-1AA00</v>
      </c>
      <c r="C7258" s="2" t="str">
        <f t="shared" si="284"/>
        <v>UN</v>
      </c>
      <c r="D7258" s="7">
        <v>811</v>
      </c>
      <c r="E7258" s="3">
        <v>8</v>
      </c>
      <c r="F7258" s="3">
        <v>8</v>
      </c>
      <c r="G7258" t="s">
        <v>514</v>
      </c>
    </row>
    <row r="7259" spans="1:7" x14ac:dyDescent="0.25">
      <c r="A7259" s="1" t="str">
        <f>"524461"</f>
        <v>524461</v>
      </c>
      <c r="B7259" s="2" t="str">
        <f>"CONEXÃO 511 08-08 MF NPTXMF NPT 1/2X1/2"</f>
        <v>CONEXÃO 511 08-08 MF NPTXMF NPT 1/2X1/2</v>
      </c>
      <c r="C7259" s="2" t="str">
        <f t="shared" si="284"/>
        <v>UN</v>
      </c>
      <c r="D7259" s="7">
        <v>810</v>
      </c>
      <c r="E7259" s="3">
        <v>10</v>
      </c>
      <c r="F7259" s="3">
        <v>10</v>
      </c>
      <c r="G7259" t="s">
        <v>514</v>
      </c>
    </row>
    <row r="7260" spans="1:7" x14ac:dyDescent="0.25">
      <c r="A7260" s="1" t="str">
        <f>"524422"</f>
        <v>524422</v>
      </c>
      <c r="B7260" s="2" t="str">
        <f>"CONEXÃO 512 08-06 MF NPTXMF JIC 37º 1/2x9/16"</f>
        <v>CONEXÃO 512 08-06 MF NPTXMF JIC 37º 1/2x9/16</v>
      </c>
      <c r="C7260" s="2" t="str">
        <f t="shared" si="284"/>
        <v>UN</v>
      </c>
      <c r="D7260" s="7">
        <v>810</v>
      </c>
      <c r="E7260" s="3">
        <v>10</v>
      </c>
      <c r="F7260" s="3">
        <v>10</v>
      </c>
      <c r="G7260" t="s">
        <v>514</v>
      </c>
    </row>
    <row r="7261" spans="1:7" x14ac:dyDescent="0.25">
      <c r="A7261" s="1" t="str">
        <f>"524460"</f>
        <v>524460</v>
      </c>
      <c r="B7261" s="2" t="str">
        <f>"CONEXÃO 8070 00-08 CAPA 1/2X2 TRAMAS S/ DESCASQUE"</f>
        <v>CONEXÃO 8070 00-08 CAPA 1/2X2 TRAMAS S/ DESCASQUE</v>
      </c>
      <c r="C7261" s="2" t="str">
        <f t="shared" si="284"/>
        <v>UN</v>
      </c>
      <c r="D7261" s="7">
        <v>810</v>
      </c>
      <c r="E7261" s="3">
        <v>10</v>
      </c>
      <c r="F7261" s="3">
        <v>10</v>
      </c>
      <c r="G7261" t="s">
        <v>513</v>
      </c>
    </row>
    <row r="7262" spans="1:7" x14ac:dyDescent="0.25">
      <c r="A7262" s="1" t="str">
        <f>"524459"</f>
        <v>524459</v>
      </c>
      <c r="B7262" s="2" t="str">
        <f>"CONEXÃO 8075 08-08 FG BSP BOLEADA 1/2X1/2"</f>
        <v>CONEXÃO 8075 08-08 FG BSP BOLEADA 1/2X1/2</v>
      </c>
      <c r="C7262" s="2" t="str">
        <f t="shared" si="284"/>
        <v>UN</v>
      </c>
      <c r="D7262" s="7">
        <v>810</v>
      </c>
      <c r="E7262" s="3">
        <v>10</v>
      </c>
      <c r="F7262" s="3">
        <v>10</v>
      </c>
      <c r="G7262" t="s">
        <v>513</v>
      </c>
    </row>
    <row r="7263" spans="1:7" x14ac:dyDescent="0.25">
      <c r="A7263" s="1" t="str">
        <f>"512263"</f>
        <v>512263</v>
      </c>
      <c r="B7263" s="2" t="str">
        <f>"CONEXAO FEMEA LOGIC SDMF-04/P*"</f>
        <v>CONEXAO FEMEA LOGIC SDMF-04/P*</v>
      </c>
      <c r="C7263" s="2" t="str">
        <f>"PC"</f>
        <v>PC</v>
      </c>
      <c r="D7263" s="7">
        <v>900</v>
      </c>
      <c r="E7263" s="3">
        <v>11</v>
      </c>
      <c r="F7263" s="3">
        <v>11</v>
      </c>
      <c r="G7263" t="s">
        <v>513</v>
      </c>
    </row>
    <row r="7264" spans="1:7" x14ac:dyDescent="0.25">
      <c r="A7264" s="1" t="str">
        <f>"510996"</f>
        <v>510996</v>
      </c>
      <c r="B7264" s="2" t="str">
        <f>"CONEXAO LIGAÇAO FINAL POÇO"</f>
        <v>CONEXAO LIGAÇAO FINAL POÇO</v>
      </c>
      <c r="C7264" s="2" t="str">
        <f>"BR"</f>
        <v>BR</v>
      </c>
      <c r="D7264" s="7">
        <v>808</v>
      </c>
      <c r="E7264" s="3">
        <v>10</v>
      </c>
      <c r="F7264" s="3">
        <v>10</v>
      </c>
      <c r="G7264" t="s">
        <v>512</v>
      </c>
    </row>
    <row r="7265" spans="1:7" x14ac:dyDescent="0.25">
      <c r="A7265" s="1" t="str">
        <f>"512262"</f>
        <v>512262</v>
      </c>
      <c r="B7265" s="2" t="str">
        <f>"CONEXAO MACHO LOGIC SDMM-04/P*"</f>
        <v>CONEXAO MACHO LOGIC SDMM-04/P*</v>
      </c>
      <c r="C7265" s="2" t="str">
        <f>"PC"</f>
        <v>PC</v>
      </c>
      <c r="D7265" s="7">
        <v>900</v>
      </c>
      <c r="E7265" s="3">
        <v>11</v>
      </c>
      <c r="F7265" s="3">
        <v>11</v>
      </c>
      <c r="G7265" t="s">
        <v>513</v>
      </c>
    </row>
    <row r="7266" spans="1:7" x14ac:dyDescent="0.25">
      <c r="A7266" s="1" t="str">
        <f>"501800"</f>
        <v>501800</v>
      </c>
      <c r="B7266" s="2" t="str">
        <f>"CONEXAO MANGUEIRA"</f>
        <v>CONEXAO MANGUEIRA</v>
      </c>
      <c r="C7266" s="2" t="str">
        <f>"UN"</f>
        <v>UN</v>
      </c>
      <c r="D7266" s="7">
        <v>704</v>
      </c>
      <c r="E7266" s="3">
        <v>9</v>
      </c>
      <c r="F7266" s="3">
        <v>9</v>
      </c>
      <c r="G7266" t="s">
        <v>514</v>
      </c>
    </row>
    <row r="7267" spans="1:7" x14ac:dyDescent="0.25">
      <c r="A7267" s="1" t="str">
        <f>"500283"</f>
        <v>500283</v>
      </c>
      <c r="B7267" s="2" t="str">
        <f>"CONEXAO NIPLE 3/8 COMPLETA FEMEA E MACHO"</f>
        <v>CONEXAO NIPLE 3/8 COMPLETA FEMEA E MACHO</v>
      </c>
      <c r="C7267" s="2" t="str">
        <f>"BR"</f>
        <v>BR</v>
      </c>
      <c r="D7267" s="7">
        <v>808</v>
      </c>
      <c r="E7267" s="3">
        <v>10</v>
      </c>
      <c r="F7267" s="3">
        <v>10</v>
      </c>
      <c r="G7267" t="s">
        <v>515</v>
      </c>
    </row>
    <row r="7268" spans="1:7" x14ac:dyDescent="0.25">
      <c r="A7268" s="1" t="str">
        <f>"511001"</f>
        <v>511001</v>
      </c>
      <c r="B7268" s="2" t="str">
        <f>"CONEXAO P/ MESA"</f>
        <v>CONEXAO P/ MESA</v>
      </c>
      <c r="C7268" s="2" t="str">
        <f>"UN"</f>
        <v>UN</v>
      </c>
      <c r="D7268" s="7">
        <v>401</v>
      </c>
      <c r="E7268" s="3">
        <v>4</v>
      </c>
      <c r="F7268" s="3">
        <v>4</v>
      </c>
      <c r="G7268" t="s">
        <v>512</v>
      </c>
    </row>
    <row r="7269" spans="1:7" x14ac:dyDescent="0.25">
      <c r="A7269" s="1" t="str">
        <f>"516583"</f>
        <v>516583</v>
      </c>
      <c r="B7269" s="2" t="str">
        <f>"CONEXÃO PARAFUSADA HOMO J84110179"</f>
        <v>CONEXÃO PARAFUSADA HOMO J84110179</v>
      </c>
      <c r="C7269" s="2" t="str">
        <f>"UN"</f>
        <v>UN</v>
      </c>
      <c r="D7269" s="7">
        <v>918</v>
      </c>
      <c r="E7269" s="3">
        <v>11</v>
      </c>
      <c r="F7269" s="3">
        <v>11</v>
      </c>
      <c r="G7269" t="s">
        <v>516</v>
      </c>
    </row>
    <row r="7270" spans="1:7" x14ac:dyDescent="0.25">
      <c r="A7270" s="1" t="str">
        <f>"516585"</f>
        <v>516585</v>
      </c>
      <c r="B7270" s="2" t="str">
        <f>"CONEXÃO PARAFUSADA HOMO J84110179"</f>
        <v>CONEXÃO PARAFUSADA HOMO J84110179</v>
      </c>
      <c r="C7270" s="2" t="str">
        <f>"UN"</f>
        <v>UN</v>
      </c>
      <c r="D7270" s="7">
        <v>918</v>
      </c>
      <c r="E7270" s="3">
        <v>11</v>
      </c>
      <c r="F7270" s="3">
        <v>11</v>
      </c>
      <c r="G7270" t="s">
        <v>515</v>
      </c>
    </row>
    <row r="7271" spans="1:7" x14ac:dyDescent="0.25">
      <c r="A7271" s="1" t="str">
        <f>"522189"</f>
        <v>522189</v>
      </c>
      <c r="B7271" s="2" t="str">
        <f>"CONEXÃO PROCESSO E37450 38,1MM"</f>
        <v>CONEXÃO PROCESSO E37450 38,1MM</v>
      </c>
      <c r="C7271" s="2" t="str">
        <f>"UN"</f>
        <v>UN</v>
      </c>
      <c r="D7271" s="7">
        <v>915</v>
      </c>
      <c r="E7271" s="3">
        <v>4</v>
      </c>
      <c r="F7271" s="3">
        <v>4</v>
      </c>
      <c r="G7271" t="s">
        <v>514</v>
      </c>
    </row>
    <row r="7272" spans="1:7" x14ac:dyDescent="0.25">
      <c r="A7272" s="1" t="str">
        <f>"523178"</f>
        <v>523178</v>
      </c>
      <c r="B7272" s="2" t="str">
        <f>"CONEXAO RAP RET - QS-1/4-8 153005"</f>
        <v>CONEXAO RAP RET - QS-1/4-8 153005</v>
      </c>
      <c r="C7272" s="2" t="str">
        <f>"UN"</f>
        <v>UN</v>
      </c>
      <c r="D7272" s="7">
        <v>913</v>
      </c>
      <c r="E7272" s="3">
        <v>11</v>
      </c>
      <c r="F7272" s="3">
        <v>11</v>
      </c>
      <c r="G7272" t="s">
        <v>512</v>
      </c>
    </row>
    <row r="7273" spans="1:7" x14ac:dyDescent="0.25">
      <c r="A7273" s="1" t="str">
        <f>"505472"</f>
        <v>505472</v>
      </c>
      <c r="B7273" s="2" t="str">
        <f>"CONEXAO RAPIDA FESTO QS-1/2-16MM"</f>
        <v>CONEXAO RAPIDA FESTO QS-1/2-16MM</v>
      </c>
      <c r="C7273" s="2" t="str">
        <f>"BR"</f>
        <v>BR</v>
      </c>
      <c r="D7273" s="7">
        <v>808</v>
      </c>
      <c r="E7273" s="3">
        <v>10</v>
      </c>
      <c r="F7273" s="3">
        <v>10</v>
      </c>
      <c r="G7273" t="s">
        <v>513</v>
      </c>
    </row>
    <row r="7274" spans="1:7" x14ac:dyDescent="0.25">
      <c r="A7274" s="1" t="str">
        <f>"508103"</f>
        <v>508103</v>
      </c>
      <c r="B7274" s="2" t="str">
        <f>"CONEXAO RAPIDA L 3/8X8MM 360º METALICO"</f>
        <v>CONEXAO RAPIDA L 3/8X8MM 360º METALICO</v>
      </c>
      <c r="C7274" s="2" t="str">
        <f>"UN"</f>
        <v>UN</v>
      </c>
      <c r="D7274" s="7">
        <v>913</v>
      </c>
      <c r="E7274" s="3">
        <v>11</v>
      </c>
      <c r="F7274" s="3">
        <v>11</v>
      </c>
      <c r="G7274" t="s">
        <v>514</v>
      </c>
    </row>
    <row r="7275" spans="1:7" x14ac:dyDescent="0.25">
      <c r="A7275" s="1" t="str">
        <f>"512132"</f>
        <v>512132</v>
      </c>
      <c r="B7275" s="2" t="str">
        <f>"CONEXAO RAPIDA L ROTAÇAO 360º  M5X04MM"</f>
        <v>CONEXAO RAPIDA L ROTAÇAO 360º  M5X04MM</v>
      </c>
      <c r="C7275" s="2" t="str">
        <f>"PC"</f>
        <v>PC</v>
      </c>
      <c r="D7275" s="7">
        <v>704</v>
      </c>
      <c r="E7275" s="3">
        <v>9</v>
      </c>
      <c r="F7275" s="3">
        <v>9</v>
      </c>
      <c r="G7275" t="s">
        <v>514</v>
      </c>
    </row>
    <row r="7276" spans="1:7" x14ac:dyDescent="0.25">
      <c r="A7276" s="1" t="str">
        <f>"507254"</f>
        <v>507254</v>
      </c>
      <c r="B7276" s="2" t="str">
        <f>"CONEXAO RAPIDA L ROTACAO 360º 1/2X10MM"</f>
        <v>CONEXAO RAPIDA L ROTACAO 360º 1/2X10MM</v>
      </c>
      <c r="C7276" s="2" t="str">
        <f>"UN"</f>
        <v>UN</v>
      </c>
      <c r="D7276" s="7">
        <v>913</v>
      </c>
      <c r="E7276" s="3">
        <v>11</v>
      </c>
      <c r="F7276" s="3">
        <v>11</v>
      </c>
      <c r="G7276" t="s">
        <v>512</v>
      </c>
    </row>
    <row r="7277" spans="1:7" x14ac:dyDescent="0.25">
      <c r="A7277" s="1" t="str">
        <f>"508093"</f>
        <v>508093</v>
      </c>
      <c r="B7277" s="2" t="str">
        <f>"CONEXAO RAPIDA L ROTAÇAO 360º 1/2X10MM 190661"</f>
        <v>CONEXAO RAPIDA L ROTAÇAO 360º 1/2X10MM 190661</v>
      </c>
      <c r="C7277" s="2" t="str">
        <f>"PC"</f>
        <v>PC</v>
      </c>
      <c r="D7277" s="7">
        <v>913</v>
      </c>
      <c r="E7277" s="3">
        <v>11</v>
      </c>
      <c r="F7277" s="3">
        <v>11</v>
      </c>
      <c r="G7277" t="s">
        <v>513</v>
      </c>
    </row>
    <row r="7278" spans="1:7" x14ac:dyDescent="0.25">
      <c r="A7278" s="1" t="str">
        <f>"505271"</f>
        <v>505271</v>
      </c>
      <c r="B7278" s="2" t="str">
        <f>"CONEXAO RAPIDA L ROTACAO 360º 1/2X16MM"</f>
        <v>CONEXAO RAPIDA L ROTACAO 360º 1/2X16MM</v>
      </c>
      <c r="C7278" s="2" t="str">
        <f>"BR"</f>
        <v>BR</v>
      </c>
      <c r="D7278" s="7">
        <v>808</v>
      </c>
      <c r="E7278" s="3">
        <v>10</v>
      </c>
      <c r="F7278" s="3">
        <v>10</v>
      </c>
      <c r="G7278" t="s">
        <v>514</v>
      </c>
    </row>
    <row r="7279" spans="1:7" x14ac:dyDescent="0.25">
      <c r="A7279" s="1" t="str">
        <f>"503136"</f>
        <v>503136</v>
      </c>
      <c r="B7279" s="2" t="str">
        <f>"CONEXAO RAPIDA L ROTACAO 360º 1/4X06MM"</f>
        <v>CONEXAO RAPIDA L ROTACAO 360º 1/4X06MM</v>
      </c>
      <c r="C7279" s="2" t="str">
        <f>"UN"</f>
        <v>UN</v>
      </c>
      <c r="D7279" s="7">
        <v>808</v>
      </c>
      <c r="E7279" s="3">
        <v>10</v>
      </c>
      <c r="F7279" s="3">
        <v>10</v>
      </c>
      <c r="G7279" t="s">
        <v>514</v>
      </c>
    </row>
    <row r="7280" spans="1:7" x14ac:dyDescent="0.25">
      <c r="A7280" s="1" t="str">
        <f>"500921"</f>
        <v>500921</v>
      </c>
      <c r="B7280" s="2" t="str">
        <f>"CONEXAO RAPIDA L ROTACAO 360º 1/4X08MM 153049"</f>
        <v>CONEXAO RAPIDA L ROTACAO 360º 1/4X08MM 153049</v>
      </c>
      <c r="C7280" s="2" t="str">
        <f>"UN"</f>
        <v>UN</v>
      </c>
      <c r="D7280" s="7">
        <v>808</v>
      </c>
      <c r="E7280" s="3">
        <v>10</v>
      </c>
      <c r="F7280" s="3">
        <v>10</v>
      </c>
      <c r="G7280" t="s">
        <v>514</v>
      </c>
    </row>
    <row r="7281" spans="1:7" x14ac:dyDescent="0.25">
      <c r="A7281" s="1" t="str">
        <f>"502552"</f>
        <v>502552</v>
      </c>
      <c r="B7281" s="2" t="str">
        <f>"CONEXAO RAPIDA L ROTACAO 360º 1/4X10MM 153051"</f>
        <v>CONEXAO RAPIDA L ROTACAO 360º 1/4X10MM 153051</v>
      </c>
      <c r="C7281" s="2" t="str">
        <f>"UN"</f>
        <v>UN</v>
      </c>
      <c r="D7281" s="7">
        <v>808</v>
      </c>
      <c r="E7281" s="3">
        <v>10</v>
      </c>
      <c r="F7281" s="3">
        <v>10</v>
      </c>
      <c r="G7281" t="s">
        <v>513</v>
      </c>
    </row>
    <row r="7282" spans="1:7" x14ac:dyDescent="0.25">
      <c r="A7282" s="1" t="str">
        <f>"502566"</f>
        <v>502566</v>
      </c>
      <c r="B7282" s="2" t="str">
        <f>"CONEXAO RAPIDA L ROTACAO 360º 1/4X12MM"</f>
        <v>CONEXAO RAPIDA L ROTACAO 360º 1/4X12MM</v>
      </c>
      <c r="C7282" s="2" t="str">
        <f>"UN"</f>
        <v>UN</v>
      </c>
      <c r="D7282" s="7">
        <v>913</v>
      </c>
      <c r="E7282" s="3">
        <v>11</v>
      </c>
      <c r="F7282" s="3">
        <v>11</v>
      </c>
      <c r="G7282" t="s">
        <v>512</v>
      </c>
    </row>
    <row r="7283" spans="1:7" x14ac:dyDescent="0.25">
      <c r="A7283" s="1" t="str">
        <f>"507701"</f>
        <v>507701</v>
      </c>
      <c r="B7283" s="2" t="str">
        <f>"CONEXAO RAPIDA L ROTACAO 360º 1/8X04MM"</f>
        <v>CONEXAO RAPIDA L ROTACAO 360º 1/8X04MM</v>
      </c>
      <c r="C7283" s="2" t="str">
        <f>"PC"</f>
        <v>PC</v>
      </c>
      <c r="D7283" s="7">
        <v>808</v>
      </c>
      <c r="E7283" s="3">
        <v>10</v>
      </c>
      <c r="F7283" s="3">
        <v>10</v>
      </c>
      <c r="G7283" t="s">
        <v>513</v>
      </c>
    </row>
    <row r="7284" spans="1:7" x14ac:dyDescent="0.25">
      <c r="A7284" s="1" t="str">
        <f>"503138"</f>
        <v>503138</v>
      </c>
      <c r="B7284" s="2" t="str">
        <f>"CONEXAO RAPIDA L ROTACAO 360º 1/8X06MM"</f>
        <v>CONEXAO RAPIDA L ROTACAO 360º 1/8X06MM</v>
      </c>
      <c r="C7284" s="2" t="str">
        <f>"UN"</f>
        <v>UN</v>
      </c>
      <c r="D7284" s="7">
        <v>808</v>
      </c>
      <c r="E7284" s="3">
        <v>10</v>
      </c>
      <c r="F7284" s="3">
        <v>10</v>
      </c>
      <c r="G7284" t="s">
        <v>514</v>
      </c>
    </row>
    <row r="7285" spans="1:7" x14ac:dyDescent="0.25">
      <c r="A7285" s="1" t="str">
        <f>"503137"</f>
        <v>503137</v>
      </c>
      <c r="B7285" s="2" t="str">
        <f>"CONEXAO RAPIDA L ROTACAO 360º 1/8X08MM 153048"</f>
        <v>CONEXAO RAPIDA L ROTACAO 360º 1/8X08MM 153048</v>
      </c>
      <c r="C7285" s="2" t="str">
        <f>"UN"</f>
        <v>UN</v>
      </c>
      <c r="D7285" s="7">
        <v>808</v>
      </c>
      <c r="E7285" s="3">
        <v>10</v>
      </c>
      <c r="F7285" s="3">
        <v>10</v>
      </c>
      <c r="G7285" t="s">
        <v>514</v>
      </c>
    </row>
    <row r="7286" spans="1:7" x14ac:dyDescent="0.25">
      <c r="A7286" s="1" t="str">
        <f>"511478"</f>
        <v>511478</v>
      </c>
      <c r="B7286" s="2" t="str">
        <f>"CONEXAO RAPIDA L ROTAÇAO 360º 3/8X08MM"</f>
        <v>CONEXAO RAPIDA L ROTAÇAO 360º 3/8X08MM</v>
      </c>
      <c r="C7286" s="2" t="str">
        <f>"UN"</f>
        <v>UN</v>
      </c>
      <c r="D7286" s="7">
        <v>913</v>
      </c>
      <c r="E7286" s="3">
        <v>11</v>
      </c>
      <c r="F7286" s="3">
        <v>11</v>
      </c>
      <c r="G7286" t="s">
        <v>514</v>
      </c>
    </row>
    <row r="7287" spans="1:7" x14ac:dyDescent="0.25">
      <c r="A7287" s="1" t="str">
        <f>"511416"</f>
        <v>511416</v>
      </c>
      <c r="B7287" s="2" t="str">
        <f>"CONEXAO RAPIDA L ROTAÇAO 360º 3/8X10MM 153052"</f>
        <v>CONEXAO RAPIDA L ROTAÇAO 360º 3/8X10MM 153052</v>
      </c>
      <c r="C7287" s="2" t="str">
        <f>"PC"</f>
        <v>PC</v>
      </c>
      <c r="D7287" s="7">
        <v>913</v>
      </c>
      <c r="E7287" s="3">
        <v>11</v>
      </c>
      <c r="F7287" s="3">
        <v>11</v>
      </c>
      <c r="G7287" t="s">
        <v>513</v>
      </c>
    </row>
    <row r="7288" spans="1:7" x14ac:dyDescent="0.25">
      <c r="A7288" s="1" t="str">
        <f>"518110"</f>
        <v>518110</v>
      </c>
      <c r="B7288" s="2" t="str">
        <f>"CONEXAO RAPIDA L ROTACAO 360º 3/8X16MM"</f>
        <v>CONEXAO RAPIDA L ROTACAO 360º 3/8X16MM</v>
      </c>
      <c r="C7288" s="2" t="str">
        <f>"UN"</f>
        <v>UN</v>
      </c>
      <c r="D7288" s="7">
        <v>913</v>
      </c>
      <c r="E7288" s="3">
        <v>11</v>
      </c>
      <c r="F7288" s="3">
        <v>11</v>
      </c>
      <c r="G7288" t="s">
        <v>513</v>
      </c>
    </row>
    <row r="7289" spans="1:7" x14ac:dyDescent="0.25">
      <c r="A7289" s="1" t="str">
        <f>"524682"</f>
        <v>524682</v>
      </c>
      <c r="B7289" s="8" t="s">
        <v>412</v>
      </c>
      <c r="C7289" s="2" t="str">
        <f>"UN"</f>
        <v>UN</v>
      </c>
      <c r="D7289" s="7">
        <v>901</v>
      </c>
      <c r="E7289" s="3">
        <v>11</v>
      </c>
      <c r="F7289" s="3">
        <v>11</v>
      </c>
      <c r="G7289" t="s">
        <v>513</v>
      </c>
    </row>
    <row r="7290" spans="1:7" x14ac:dyDescent="0.25">
      <c r="A7290" s="1" t="str">
        <f>"520276"</f>
        <v>520276</v>
      </c>
      <c r="B7290" s="2" t="str">
        <f>"CONEXAO RAPIDA ROSCADA EM TEE C/ ROSCA 1/4 8030252"</f>
        <v>CONEXAO RAPIDA ROSCADA EM TEE C/ ROSCA 1/4 8030252</v>
      </c>
      <c r="C7290" s="2" t="str">
        <f>"UN"</f>
        <v>UN</v>
      </c>
      <c r="D7290" s="7">
        <v>808</v>
      </c>
      <c r="E7290" s="3">
        <v>10</v>
      </c>
      <c r="F7290" s="3">
        <v>10</v>
      </c>
      <c r="G7290" t="s">
        <v>512</v>
      </c>
    </row>
    <row r="7291" spans="1:7" x14ac:dyDescent="0.25">
      <c r="A7291" s="1" t="str">
        <f>"512475"</f>
        <v>512475</v>
      </c>
      <c r="B7291" s="2" t="str">
        <f>"CONEXAO RAPIDA UNIAO T 04MM"</f>
        <v>CONEXAO RAPIDA UNIAO T 04MM</v>
      </c>
      <c r="C7291" s="2" t="str">
        <f>"PC"</f>
        <v>PC</v>
      </c>
      <c r="D7291" s="7">
        <v>913</v>
      </c>
      <c r="E7291" s="3">
        <v>11</v>
      </c>
      <c r="F7291" s="3">
        <v>11</v>
      </c>
      <c r="G7291" t="s">
        <v>513</v>
      </c>
    </row>
    <row r="7292" spans="1:7" x14ac:dyDescent="0.25">
      <c r="A7292" s="1" t="str">
        <f>"507255"</f>
        <v>507255</v>
      </c>
      <c r="B7292" s="2" t="str">
        <f>"CONEXAO RAPIDA UNIAO T 06MM"</f>
        <v>CONEXAO RAPIDA UNIAO T 06MM</v>
      </c>
      <c r="C7292" s="2" t="str">
        <f>"PC"</f>
        <v>PC</v>
      </c>
      <c r="D7292" s="7">
        <v>913</v>
      </c>
      <c r="E7292" s="3">
        <v>11</v>
      </c>
      <c r="F7292" s="3">
        <v>11</v>
      </c>
      <c r="G7292" t="s">
        <v>514</v>
      </c>
    </row>
    <row r="7293" spans="1:7" x14ac:dyDescent="0.25">
      <c r="A7293" s="1" t="str">
        <f>"502646"</f>
        <v>502646</v>
      </c>
      <c r="B7293" s="2" t="str">
        <f>"CONEXAO RAPIDA UNIAO T 08MM 153130"</f>
        <v>CONEXAO RAPIDA UNIAO T 08MM 153130</v>
      </c>
      <c r="C7293" s="2" t="str">
        <f>"UN"</f>
        <v>UN</v>
      </c>
      <c r="D7293" s="7">
        <v>808</v>
      </c>
      <c r="E7293" s="3">
        <v>10</v>
      </c>
      <c r="F7293" s="3">
        <v>10</v>
      </c>
      <c r="G7293" t="s">
        <v>515</v>
      </c>
    </row>
    <row r="7294" spans="1:7" x14ac:dyDescent="0.25">
      <c r="A7294" s="1" t="str">
        <f>"512328"</f>
        <v>512328</v>
      </c>
      <c r="B7294" s="2" t="str">
        <f>"CONEXAO RAPIDA UNIAO T 08X06MM 153135"</f>
        <v>CONEXAO RAPIDA UNIAO T 08X06MM 153135</v>
      </c>
      <c r="C7294" s="2" t="str">
        <f>"PC"</f>
        <v>PC</v>
      </c>
      <c r="D7294" s="7">
        <v>913</v>
      </c>
      <c r="E7294" s="3">
        <v>11</v>
      </c>
      <c r="F7294" s="3">
        <v>11</v>
      </c>
      <c r="G7294" t="s">
        <v>512</v>
      </c>
    </row>
    <row r="7295" spans="1:7" x14ac:dyDescent="0.25">
      <c r="A7295" s="1" t="str">
        <f>"503855"</f>
        <v>503855</v>
      </c>
      <c r="B7295" s="2" t="str">
        <f>"CONEXAO RAPIDA UNIAO T 10MM"</f>
        <v>CONEXAO RAPIDA UNIAO T 10MM</v>
      </c>
      <c r="C7295" s="2" t="str">
        <f>"UN"</f>
        <v>UN</v>
      </c>
      <c r="D7295" s="7">
        <v>913</v>
      </c>
      <c r="E7295" s="3">
        <v>11</v>
      </c>
      <c r="F7295" s="3">
        <v>11</v>
      </c>
      <c r="G7295" t="s">
        <v>516</v>
      </c>
    </row>
    <row r="7296" spans="1:7" x14ac:dyDescent="0.25">
      <c r="A7296" s="1" t="str">
        <f>"500778"</f>
        <v>500778</v>
      </c>
      <c r="B7296" s="2" t="str">
        <f>"CONEXAO RAPIDA UNIAO T 10MM 153131"</f>
        <v>CONEXAO RAPIDA UNIAO T 10MM 153131</v>
      </c>
      <c r="C7296" s="2" t="str">
        <f>"PC"</f>
        <v>PC</v>
      </c>
      <c r="D7296" s="7">
        <v>808</v>
      </c>
      <c r="E7296" s="3">
        <v>10</v>
      </c>
      <c r="F7296" s="3">
        <v>10</v>
      </c>
      <c r="G7296" t="s">
        <v>515</v>
      </c>
    </row>
    <row r="7297" spans="1:7" x14ac:dyDescent="0.25">
      <c r="A7297" s="1" t="str">
        <f>"516244"</f>
        <v>516244</v>
      </c>
      <c r="B7297" s="2" t="str">
        <f>"CONEXAO RAPIDA UNIAO T 12MM"</f>
        <v>CONEXAO RAPIDA UNIAO T 12MM</v>
      </c>
      <c r="C7297" s="2" t="str">
        <f>"UN"</f>
        <v>UN</v>
      </c>
      <c r="D7297" s="7">
        <v>913</v>
      </c>
      <c r="E7297" s="3">
        <v>11</v>
      </c>
      <c r="F7297" s="3">
        <v>11</v>
      </c>
      <c r="G7297" t="s">
        <v>514</v>
      </c>
    </row>
    <row r="7298" spans="1:7" x14ac:dyDescent="0.25">
      <c r="A7298" s="1" t="str">
        <f>"516245"</f>
        <v>516245</v>
      </c>
      <c r="B7298" s="2" t="str">
        <f>"CONEXAO RAPIDA UNIAO T 16MM"</f>
        <v>CONEXAO RAPIDA UNIAO T 16MM</v>
      </c>
      <c r="C7298" s="2" t="str">
        <f>"UN"</f>
        <v>UN</v>
      </c>
      <c r="D7298" s="7">
        <v>913</v>
      </c>
      <c r="E7298" s="3">
        <v>11</v>
      </c>
      <c r="F7298" s="3">
        <v>11</v>
      </c>
      <c r="G7298" t="s">
        <v>512</v>
      </c>
    </row>
    <row r="7299" spans="1:7" x14ac:dyDescent="0.25">
      <c r="A7299" s="1" t="str">
        <f>"509929"</f>
        <v>509929</v>
      </c>
      <c r="B7299" s="2" t="str">
        <f>"CONEXAO RETA G1/2 08MM"</f>
        <v>CONEXAO RETA G1/2 08MM</v>
      </c>
      <c r="C7299" s="2" t="str">
        <f>"PC"</f>
        <v>PC</v>
      </c>
      <c r="D7299" s="7">
        <v>913</v>
      </c>
      <c r="E7299" s="3">
        <v>11</v>
      </c>
      <c r="F7299" s="3">
        <v>11</v>
      </c>
      <c r="G7299" t="s">
        <v>513</v>
      </c>
    </row>
    <row r="7300" spans="1:7" x14ac:dyDescent="0.25">
      <c r="A7300" s="1" t="str">
        <f>"509240"</f>
        <v>509240</v>
      </c>
      <c r="B7300" s="2" t="str">
        <f>"CONEXAO RETA G1/2 10MM 190646"</f>
        <v>CONEXAO RETA G1/2 10MM 190646</v>
      </c>
      <c r="C7300" s="2" t="str">
        <f>"PC"</f>
        <v>PC</v>
      </c>
      <c r="D7300" s="7">
        <v>913</v>
      </c>
      <c r="E7300" s="3">
        <v>11</v>
      </c>
      <c r="F7300" s="3">
        <v>11</v>
      </c>
      <c r="G7300" t="s">
        <v>514</v>
      </c>
    </row>
    <row r="7301" spans="1:7" x14ac:dyDescent="0.25">
      <c r="A7301" s="1" t="str">
        <f>"526081"</f>
        <v>526081</v>
      </c>
      <c r="B7301" s="2" t="str">
        <f>"CONEXAO RETA G1/2 12MM 153010"</f>
        <v>CONEXAO RETA G1/2 12MM 153010</v>
      </c>
      <c r="C7301" s="2" t="str">
        <f>"PC"</f>
        <v>PC</v>
      </c>
      <c r="D7301" s="7">
        <v>913</v>
      </c>
      <c r="E7301" s="3">
        <v>11</v>
      </c>
      <c r="F7301" s="3">
        <v>11</v>
      </c>
      <c r="G7301" t="s">
        <v>514</v>
      </c>
    </row>
    <row r="7302" spans="1:7" x14ac:dyDescent="0.25">
      <c r="A7302" s="1" t="str">
        <f>"516040"</f>
        <v>516040</v>
      </c>
      <c r="B7302" s="2" t="str">
        <f>"CONEXAO RETA G1/2 16MM 153011"</f>
        <v>CONEXAO RETA G1/2 16MM 153011</v>
      </c>
      <c r="C7302" s="2" t="str">
        <f>"UN"</f>
        <v>UN</v>
      </c>
      <c r="D7302" s="7">
        <v>913</v>
      </c>
      <c r="E7302" s="3">
        <v>11</v>
      </c>
      <c r="F7302" s="3">
        <v>11</v>
      </c>
      <c r="G7302" t="s">
        <v>512</v>
      </c>
    </row>
    <row r="7303" spans="1:7" x14ac:dyDescent="0.25">
      <c r="A7303" s="1" t="str">
        <f>"512470"</f>
        <v>512470</v>
      </c>
      <c r="B7303" s="2" t="str">
        <f>"CONEXAO RETA G1/4 04MM"</f>
        <v>CONEXAO RETA G1/4 04MM</v>
      </c>
      <c r="C7303" s="2" t="str">
        <f>"PC"</f>
        <v>PC</v>
      </c>
      <c r="D7303" s="7">
        <v>913</v>
      </c>
      <c r="E7303" s="3">
        <v>11</v>
      </c>
      <c r="F7303" s="3">
        <v>11</v>
      </c>
      <c r="G7303" t="s">
        <v>513</v>
      </c>
    </row>
    <row r="7304" spans="1:7" x14ac:dyDescent="0.25">
      <c r="A7304" s="1" t="str">
        <f>"502420"</f>
        <v>502420</v>
      </c>
      <c r="B7304" s="2" t="str">
        <f>"CONEXAO RETA G1/4 06MM 153003"</f>
        <v>CONEXAO RETA G1/4 06MM 153003</v>
      </c>
      <c r="C7304" s="2" t="str">
        <f>"UN"</f>
        <v>UN</v>
      </c>
      <c r="D7304" s="7">
        <v>808</v>
      </c>
      <c r="E7304" s="3">
        <v>10</v>
      </c>
      <c r="F7304" s="3">
        <v>10</v>
      </c>
      <c r="G7304" t="s">
        <v>514</v>
      </c>
    </row>
    <row r="7305" spans="1:7" x14ac:dyDescent="0.25">
      <c r="A7305" s="1" t="str">
        <f>"500716"</f>
        <v>500716</v>
      </c>
      <c r="B7305" s="2" t="str">
        <f>"CONEXAO RETA G1/4 08MM 153005"</f>
        <v>CONEXAO RETA G1/4 08MM 153005</v>
      </c>
      <c r="C7305" s="2" t="str">
        <f>"UN"</f>
        <v>UN</v>
      </c>
      <c r="D7305" s="7">
        <v>808</v>
      </c>
      <c r="E7305" s="3">
        <v>10</v>
      </c>
      <c r="F7305" s="3">
        <v>10</v>
      </c>
      <c r="G7305" t="s">
        <v>514</v>
      </c>
    </row>
    <row r="7306" spans="1:7" x14ac:dyDescent="0.25">
      <c r="A7306" s="1" t="str">
        <f>"501067"</f>
        <v>501067</v>
      </c>
      <c r="B7306" s="2" t="str">
        <f>"CONEXAO RETA G1/4 10MM 153007"</f>
        <v>CONEXAO RETA G1/4 10MM 153007</v>
      </c>
      <c r="C7306" s="2" t="str">
        <f>"UN"</f>
        <v>UN</v>
      </c>
      <c r="D7306" s="7">
        <v>808</v>
      </c>
      <c r="E7306" s="3">
        <v>10</v>
      </c>
      <c r="F7306" s="3">
        <v>10</v>
      </c>
      <c r="G7306" t="s">
        <v>514</v>
      </c>
    </row>
    <row r="7307" spans="1:7" x14ac:dyDescent="0.25">
      <c r="A7307" s="1" t="str">
        <f>"502553"</f>
        <v>502553</v>
      </c>
      <c r="B7307" s="2" t="str">
        <f>"CONEXAO RETA G1/4 12MM 164980"</f>
        <v>CONEXAO RETA G1/4 12MM 164980</v>
      </c>
      <c r="C7307" s="2" t="str">
        <f>"BR"</f>
        <v>BR</v>
      </c>
      <c r="D7307" s="7">
        <v>808</v>
      </c>
      <c r="E7307" s="3">
        <v>10</v>
      </c>
      <c r="F7307" s="3">
        <v>10</v>
      </c>
      <c r="G7307" t="s">
        <v>513</v>
      </c>
    </row>
    <row r="7308" spans="1:7" x14ac:dyDescent="0.25">
      <c r="A7308" s="1" t="str">
        <f>"505558"</f>
        <v>505558</v>
      </c>
      <c r="B7308" s="2" t="str">
        <f>"CONEXAO RETA G1/8 04MM"</f>
        <v>CONEXAO RETA G1/8 04MM</v>
      </c>
      <c r="C7308" s="2" t="str">
        <f>"UN"</f>
        <v>UN</v>
      </c>
      <c r="D7308" s="7">
        <v>913</v>
      </c>
      <c r="E7308" s="3">
        <v>11</v>
      </c>
      <c r="F7308" s="3">
        <v>11</v>
      </c>
      <c r="G7308" t="s">
        <v>512</v>
      </c>
    </row>
    <row r="7309" spans="1:7" x14ac:dyDescent="0.25">
      <c r="A7309" s="1" t="str">
        <f>"502421"</f>
        <v>502421</v>
      </c>
      <c r="B7309" s="2" t="str">
        <f>"CONEXAO RETA G1/8 06MM 153002"</f>
        <v>CONEXAO RETA G1/8 06MM 153002</v>
      </c>
      <c r="C7309" s="2" t="str">
        <f>"UN"</f>
        <v>UN</v>
      </c>
      <c r="D7309" s="7">
        <v>808</v>
      </c>
      <c r="E7309" s="3">
        <v>10</v>
      </c>
      <c r="F7309" s="3">
        <v>10</v>
      </c>
      <c r="G7309" t="s">
        <v>513</v>
      </c>
    </row>
    <row r="7310" spans="1:7" x14ac:dyDescent="0.25">
      <c r="A7310" s="1" t="str">
        <f>"500873"</f>
        <v>500873</v>
      </c>
      <c r="B7310" s="2" t="str">
        <f>"CONEXAO RETA G1/8 08MM 153004"</f>
        <v>CONEXAO RETA G1/8 08MM 153004</v>
      </c>
      <c r="C7310" s="2" t="str">
        <f>"UN"</f>
        <v>UN</v>
      </c>
      <c r="D7310" s="7">
        <v>808</v>
      </c>
      <c r="E7310" s="3">
        <v>10</v>
      </c>
      <c r="F7310" s="3">
        <v>10</v>
      </c>
      <c r="G7310" t="s">
        <v>514</v>
      </c>
    </row>
    <row r="7311" spans="1:7" x14ac:dyDescent="0.25">
      <c r="A7311" s="1" t="str">
        <f>"500779"</f>
        <v>500779</v>
      </c>
      <c r="B7311" s="2" t="str">
        <f>"CONEXAO RETA G1/8 10MM"</f>
        <v>CONEXAO RETA G1/8 10MM</v>
      </c>
      <c r="C7311" s="2" t="str">
        <f>"BR"</f>
        <v>BR</v>
      </c>
      <c r="D7311" s="7">
        <v>808</v>
      </c>
      <c r="E7311" s="3">
        <v>10</v>
      </c>
      <c r="F7311" s="3">
        <v>10</v>
      </c>
      <c r="G7311" t="s">
        <v>514</v>
      </c>
    </row>
    <row r="7312" spans="1:7" x14ac:dyDescent="0.25">
      <c r="A7312" s="1" t="str">
        <f>"504890"</f>
        <v>504890</v>
      </c>
      <c r="B7312" s="2" t="str">
        <f>"CONEXAO RETA G3/4 08MM"</f>
        <v>CONEXAO RETA G3/4 08MM</v>
      </c>
      <c r="C7312" s="2" t="str">
        <f>"BR"</f>
        <v>BR</v>
      </c>
      <c r="D7312" s="7">
        <v>808</v>
      </c>
      <c r="E7312" s="3">
        <v>10</v>
      </c>
      <c r="F7312" s="3">
        <v>10</v>
      </c>
      <c r="G7312" t="s">
        <v>514</v>
      </c>
    </row>
    <row r="7313" spans="1:7" x14ac:dyDescent="0.25">
      <c r="A7313" s="1" t="str">
        <f>"509223"</f>
        <v>509223</v>
      </c>
      <c r="B7313" s="2" t="str">
        <f>"CONEXAO RETA G3/4 10MM"</f>
        <v>CONEXAO RETA G3/4 10MM</v>
      </c>
      <c r="C7313" s="2" t="str">
        <f>"PC"</f>
        <v>PC</v>
      </c>
      <c r="D7313" s="7">
        <v>913</v>
      </c>
      <c r="E7313" s="3">
        <v>11</v>
      </c>
      <c r="F7313" s="3">
        <v>11</v>
      </c>
      <c r="G7313" t="s">
        <v>513</v>
      </c>
    </row>
    <row r="7314" spans="1:7" x14ac:dyDescent="0.25">
      <c r="A7314" s="1" t="str">
        <f>"502644"</f>
        <v>502644</v>
      </c>
      <c r="B7314" s="2" t="str">
        <f>"CONEXAO RETA G3/8 08MM 153006"</f>
        <v>CONEXAO RETA G3/8 08MM 153006</v>
      </c>
      <c r="C7314" s="2" t="str">
        <f>"UN"</f>
        <v>UN</v>
      </c>
      <c r="D7314" s="7">
        <v>808</v>
      </c>
      <c r="E7314" s="3">
        <v>10</v>
      </c>
      <c r="F7314" s="3">
        <v>10</v>
      </c>
      <c r="G7314" t="s">
        <v>513</v>
      </c>
    </row>
    <row r="7315" spans="1:7" x14ac:dyDescent="0.25">
      <c r="A7315" s="1" t="str">
        <f>"508023"</f>
        <v>508023</v>
      </c>
      <c r="B7315" s="2" t="str">
        <f>"CONEXAO RETA G3/8 10MM 153008"</f>
        <v>CONEXAO RETA G3/8 10MM 153008</v>
      </c>
      <c r="C7315" s="2" t="str">
        <f>"PC"</f>
        <v>PC</v>
      </c>
      <c r="D7315" s="7">
        <v>913</v>
      </c>
      <c r="E7315" s="3">
        <v>11</v>
      </c>
      <c r="F7315" s="3">
        <v>11</v>
      </c>
      <c r="G7315" t="s">
        <v>513</v>
      </c>
    </row>
    <row r="7316" spans="1:7" x14ac:dyDescent="0.25">
      <c r="A7316" s="1" t="str">
        <f>"502563"</f>
        <v>502563</v>
      </c>
      <c r="B7316" s="2" t="str">
        <f>"CONEXAO RETA G3/8 12MM 153009"</f>
        <v>CONEXAO RETA G3/8 12MM 153009</v>
      </c>
      <c r="C7316" s="2" t="str">
        <f>"UN"</f>
        <v>UN</v>
      </c>
      <c r="D7316" s="7">
        <v>913</v>
      </c>
      <c r="E7316" s="3">
        <v>11</v>
      </c>
      <c r="F7316" s="3">
        <v>11</v>
      </c>
      <c r="G7316" t="s">
        <v>512</v>
      </c>
    </row>
    <row r="7317" spans="1:7" x14ac:dyDescent="0.25">
      <c r="A7317" s="1" t="str">
        <f>"525073"</f>
        <v>525073</v>
      </c>
      <c r="B7317" s="2" t="str">
        <f>"CONEXÃO RETA G5/8 10MM"</f>
        <v>CONEXÃO RETA G5/8 10MM</v>
      </c>
      <c r="C7317" s="2" t="str">
        <f>"UN"</f>
        <v>UN</v>
      </c>
      <c r="D7317" s="7">
        <v>901</v>
      </c>
      <c r="E7317" s="3">
        <v>11</v>
      </c>
      <c r="F7317" s="3">
        <v>11</v>
      </c>
      <c r="G7317" t="s">
        <v>513</v>
      </c>
    </row>
    <row r="7318" spans="1:7" x14ac:dyDescent="0.25">
      <c r="A7318" s="1" t="str">
        <f>"525074"</f>
        <v>525074</v>
      </c>
      <c r="B7318" s="2" t="str">
        <f>"CONEXÃO RETA G7/8 10MM"</f>
        <v>CONEXÃO RETA G7/8 10MM</v>
      </c>
      <c r="C7318" s="2" t="str">
        <f>"UN"</f>
        <v>UN</v>
      </c>
      <c r="D7318" s="7">
        <v>901</v>
      </c>
      <c r="E7318" s="3">
        <v>11</v>
      </c>
      <c r="F7318" s="3">
        <v>11</v>
      </c>
      <c r="G7318" t="s">
        <v>514</v>
      </c>
    </row>
    <row r="7319" spans="1:7" x14ac:dyDescent="0.25">
      <c r="A7319" s="1" t="str">
        <f>"503391"</f>
        <v>503391</v>
      </c>
      <c r="B7319" s="2" t="str">
        <f>"CONEXAO RETA M5 COD.E105048"</f>
        <v>CONEXAO RETA M5 COD.E105048</v>
      </c>
      <c r="C7319" s="2" t="str">
        <f>"BR"</f>
        <v>BR</v>
      </c>
      <c r="D7319" s="7">
        <v>808</v>
      </c>
      <c r="E7319" s="3">
        <v>10</v>
      </c>
      <c r="F7319" s="3">
        <v>10</v>
      </c>
      <c r="G7319" t="s">
        <v>515</v>
      </c>
    </row>
    <row r="7320" spans="1:7" x14ac:dyDescent="0.25">
      <c r="A7320" s="1" t="str">
        <f>"503732"</f>
        <v>503732</v>
      </c>
      <c r="B7320" s="2" t="str">
        <f>"CONEXAO UNIAO MACHO 4XG1/8"</f>
        <v>CONEXAO UNIAO MACHO 4XG1/8</v>
      </c>
      <c r="C7320" s="2" t="str">
        <f>"BR"</f>
        <v>BR</v>
      </c>
      <c r="D7320" s="7">
        <v>808</v>
      </c>
      <c r="E7320" s="3">
        <v>10</v>
      </c>
      <c r="F7320" s="3">
        <v>10</v>
      </c>
      <c r="G7320" t="s">
        <v>512</v>
      </c>
    </row>
    <row r="7321" spans="1:7" x14ac:dyDescent="0.25">
      <c r="A7321" s="1" t="str">
        <f>"502645"</f>
        <v>502645</v>
      </c>
      <c r="B7321" s="2" t="str">
        <f>"CONEXAO UNIAO RETA 8MM COD.E500080"</f>
        <v>CONEXAO UNIAO RETA 8MM COD.E500080</v>
      </c>
      <c r="C7321" s="2" t="str">
        <f>"BR"</f>
        <v>BR</v>
      </c>
      <c r="D7321" s="7">
        <v>808</v>
      </c>
      <c r="E7321" s="3">
        <v>10</v>
      </c>
      <c r="F7321" s="3">
        <v>10</v>
      </c>
      <c r="G7321" t="s">
        <v>516</v>
      </c>
    </row>
    <row r="7322" spans="1:7" x14ac:dyDescent="0.25">
      <c r="A7322" s="1" t="str">
        <f>"504947"</f>
        <v>504947</v>
      </c>
      <c r="B7322" s="2" t="str">
        <f>"CONEXAO Y 10MM"</f>
        <v>CONEXAO Y 10MM</v>
      </c>
      <c r="C7322" s="2" t="str">
        <f>"UN"</f>
        <v>UN</v>
      </c>
      <c r="D7322" s="7">
        <v>808</v>
      </c>
      <c r="E7322" s="3">
        <v>10</v>
      </c>
      <c r="F7322" s="3">
        <v>10</v>
      </c>
      <c r="G7322" t="s">
        <v>515</v>
      </c>
    </row>
    <row r="7323" spans="1:7" x14ac:dyDescent="0.25">
      <c r="A7323" s="1" t="str">
        <f>"516185"</f>
        <v>516185</v>
      </c>
      <c r="B7323" s="2" t="str">
        <f>"CONEXAO Y 4MM"</f>
        <v>CONEXAO Y 4MM</v>
      </c>
      <c r="C7323" s="2" t="str">
        <f>"UN"</f>
        <v>UN</v>
      </c>
      <c r="D7323" s="7">
        <v>913</v>
      </c>
      <c r="E7323" s="3">
        <v>11</v>
      </c>
      <c r="F7323" s="3">
        <v>11</v>
      </c>
      <c r="G7323" t="s">
        <v>514</v>
      </c>
    </row>
    <row r="7324" spans="1:7" x14ac:dyDescent="0.25">
      <c r="A7324" s="1" t="str">
        <f>"516184"</f>
        <v>516184</v>
      </c>
      <c r="B7324" s="2" t="str">
        <f>"CONEXAO Y 6 X 4MM"</f>
        <v>CONEXAO Y 6 X 4MM</v>
      </c>
      <c r="C7324" s="2" t="str">
        <f>"UN"</f>
        <v>UN</v>
      </c>
      <c r="D7324" s="7">
        <v>913</v>
      </c>
      <c r="E7324" s="3">
        <v>11</v>
      </c>
      <c r="F7324" s="3">
        <v>11</v>
      </c>
      <c r="G7324" t="s">
        <v>512</v>
      </c>
    </row>
    <row r="7325" spans="1:7" x14ac:dyDescent="0.25">
      <c r="A7325" s="1" t="str">
        <f>"516182"</f>
        <v>516182</v>
      </c>
      <c r="B7325" s="2" t="str">
        <f>"CONEXAO Y 6MM"</f>
        <v>CONEXAO Y 6MM</v>
      </c>
      <c r="C7325" s="2" t="str">
        <f>"UN"</f>
        <v>UN</v>
      </c>
      <c r="D7325" s="7">
        <v>913</v>
      </c>
      <c r="E7325" s="3">
        <v>11</v>
      </c>
      <c r="F7325" s="3">
        <v>11</v>
      </c>
      <c r="G7325" t="s">
        <v>513</v>
      </c>
    </row>
    <row r="7326" spans="1:7" x14ac:dyDescent="0.25">
      <c r="A7326" s="1" t="str">
        <f>"504948"</f>
        <v>504948</v>
      </c>
      <c r="B7326" s="2" t="str">
        <f>"CONEXAO Y 8MM 153150"</f>
        <v>CONEXAO Y 8MM 153150</v>
      </c>
      <c r="C7326" s="2" t="str">
        <f>"UN"</f>
        <v>UN</v>
      </c>
      <c r="D7326" s="7">
        <v>808</v>
      </c>
      <c r="E7326" s="3">
        <v>10</v>
      </c>
      <c r="F7326" s="3">
        <v>10</v>
      </c>
      <c r="G7326" t="s">
        <v>514</v>
      </c>
    </row>
    <row r="7327" spans="1:7" x14ac:dyDescent="0.25">
      <c r="A7327" s="1" t="str">
        <f>"523396"</f>
        <v>523396</v>
      </c>
      <c r="B7327" s="2" t="str">
        <f>"CONEXÃO Y C/C INOX 304 SOLDA PI/PE 76,20MM"</f>
        <v>CONEXÃO Y C/C INOX 304 SOLDA PI/PE 76,20MM</v>
      </c>
      <c r="C7327" s="2" t="str">
        <f>"BR"</f>
        <v>BR</v>
      </c>
      <c r="D7327" s="7">
        <v>807</v>
      </c>
      <c r="E7327" s="3">
        <v>10</v>
      </c>
      <c r="F7327" s="3">
        <v>10</v>
      </c>
      <c r="G7327" t="s">
        <v>514</v>
      </c>
    </row>
    <row r="7328" spans="1:7" x14ac:dyDescent="0.25">
      <c r="A7328" s="1" t="str">
        <f>"516133"</f>
        <v>516133</v>
      </c>
      <c r="B7328" s="2" t="str">
        <f>"CONEXAO Y P/ ARGONIO"</f>
        <v>CONEXAO Y P/ ARGONIO</v>
      </c>
      <c r="C7328" s="2" t="str">
        <f t="shared" ref="C7328:C7334" si="285">"UN"</f>
        <v>UN</v>
      </c>
      <c r="D7328" s="7">
        <v>918</v>
      </c>
      <c r="E7328" s="3">
        <v>4</v>
      </c>
      <c r="F7328" s="3">
        <v>4</v>
      </c>
      <c r="G7328" t="s">
        <v>512</v>
      </c>
    </row>
    <row r="7329" spans="1:7" x14ac:dyDescent="0.25">
      <c r="A7329" s="1" t="str">
        <f>"508671"</f>
        <v>508671</v>
      </c>
      <c r="B7329" s="2" t="str">
        <f>"CONFECÇAO DE PAINEIS PARA CAPACITORES"</f>
        <v>CONFECÇAO DE PAINEIS PARA CAPACITORES</v>
      </c>
      <c r="C7329" s="2" t="str">
        <f t="shared" si="285"/>
        <v>UN</v>
      </c>
      <c r="D7329" s="7">
        <v>900</v>
      </c>
      <c r="E7329" s="3">
        <v>11</v>
      </c>
      <c r="F7329" s="3">
        <v>11</v>
      </c>
      <c r="G7329" t="s">
        <v>513</v>
      </c>
    </row>
    <row r="7330" spans="1:7" x14ac:dyDescent="0.25">
      <c r="A7330" s="1" t="str">
        <f>"523898"</f>
        <v>523898</v>
      </c>
      <c r="B7330" s="2" t="str">
        <f>"CONFETE"</f>
        <v>CONFETE</v>
      </c>
      <c r="C7330" s="2" t="str">
        <f t="shared" si="285"/>
        <v>UN</v>
      </c>
      <c r="D7330" s="7">
        <v>401</v>
      </c>
      <c r="E7330" s="3">
        <v>4</v>
      </c>
      <c r="F7330" s="3">
        <v>4</v>
      </c>
      <c r="G7330" t="s">
        <v>514</v>
      </c>
    </row>
    <row r="7331" spans="1:7" x14ac:dyDescent="0.25">
      <c r="A7331" s="1" t="str">
        <f>"521186"</f>
        <v>521186</v>
      </c>
      <c r="B7331" s="2" t="str">
        <f>"CONFEXAO DE COROA E PINHÃO DA DESNATADEIRA REDA"</f>
        <v>CONFEXAO DE COROA E PINHÃO DA DESNATADEIRA REDA</v>
      </c>
      <c r="C7331" s="2" t="str">
        <f t="shared" si="285"/>
        <v>UN</v>
      </c>
      <c r="D7331" s="7">
        <v>918</v>
      </c>
      <c r="E7331" s="3">
        <v>11</v>
      </c>
      <c r="F7331" s="3">
        <v>11</v>
      </c>
      <c r="G7331" t="s">
        <v>514</v>
      </c>
    </row>
    <row r="7332" spans="1:7" x14ac:dyDescent="0.25">
      <c r="A7332" s="1" t="str">
        <f>"513805"</f>
        <v>513805</v>
      </c>
      <c r="B7332" s="2" t="str">
        <f>"CONHECIMENTO DE TRANSPORTE"</f>
        <v>CONHECIMENTO DE TRANSPORTE</v>
      </c>
      <c r="C7332" s="2" t="str">
        <f t="shared" si="285"/>
        <v>UN</v>
      </c>
      <c r="D7332" s="7">
        <v>99999</v>
      </c>
      <c r="E7332" s="3">
        <v>4</v>
      </c>
      <c r="F7332" s="3">
        <v>4</v>
      </c>
      <c r="G7332" t="s">
        <v>514</v>
      </c>
    </row>
    <row r="7333" spans="1:7" x14ac:dyDescent="0.25">
      <c r="A7333" s="1" t="str">
        <f>"501812"</f>
        <v>501812</v>
      </c>
      <c r="B7333" s="2" t="str">
        <f>"CONICO DE GRAMPO"</f>
        <v>CONICO DE GRAMPO</v>
      </c>
      <c r="C7333" s="2" t="str">
        <f t="shared" si="285"/>
        <v>UN</v>
      </c>
      <c r="D7333" s="7">
        <v>704</v>
      </c>
      <c r="E7333" s="3">
        <v>9</v>
      </c>
      <c r="F7333" s="3">
        <v>9</v>
      </c>
      <c r="G7333" t="s">
        <v>513</v>
      </c>
    </row>
    <row r="7334" spans="1:7" x14ac:dyDescent="0.25">
      <c r="A7334" s="1" t="str">
        <f>"514479"</f>
        <v>514479</v>
      </c>
      <c r="B7334" s="2" t="str">
        <f>"CONICO PARAFUSO"</f>
        <v>CONICO PARAFUSO</v>
      </c>
      <c r="C7334" s="2" t="str">
        <f t="shared" si="285"/>
        <v>UN</v>
      </c>
      <c r="D7334" s="7">
        <v>704</v>
      </c>
      <c r="E7334" s="3">
        <v>9</v>
      </c>
      <c r="F7334" s="3">
        <v>9</v>
      </c>
      <c r="G7334" t="s">
        <v>512</v>
      </c>
    </row>
    <row r="7335" spans="1:7" x14ac:dyDescent="0.25">
      <c r="A7335" s="1" t="str">
        <f>"526672"</f>
        <v>526672</v>
      </c>
      <c r="B7335" s="2" t="str">
        <f>"CONJ AJUSTE MOLA PILOTO P 000322"</f>
        <v>CONJ AJUSTE MOLA PILOTO P 000322</v>
      </c>
      <c r="C7335" s="2" t="str">
        <f>"BR"</f>
        <v>BR</v>
      </c>
      <c r="D7335" s="7">
        <v>808</v>
      </c>
      <c r="E7335" s="3">
        <v>10</v>
      </c>
      <c r="F7335" s="3">
        <v>10</v>
      </c>
      <c r="G7335" t="s">
        <v>513</v>
      </c>
    </row>
    <row r="7336" spans="1:7" x14ac:dyDescent="0.25">
      <c r="A7336" s="1" t="str">
        <f>"511438"</f>
        <v>511438</v>
      </c>
      <c r="B7336" s="2" t="str">
        <f>"CONJ AR ELITE HWCF 30000BTUS 220V MIDEA"</f>
        <v>CONJ AR ELITE HWCF 30000BTUS 220V MIDEA</v>
      </c>
      <c r="C7336" s="2" t="str">
        <f>"UN"</f>
        <v>UN</v>
      </c>
      <c r="D7336" s="7">
        <v>818</v>
      </c>
      <c r="E7336" s="3">
        <v>10</v>
      </c>
      <c r="F7336" s="3">
        <v>10</v>
      </c>
      <c r="G7336" t="s">
        <v>514</v>
      </c>
    </row>
    <row r="7337" spans="1:7" x14ac:dyDescent="0.25">
      <c r="A7337" s="1" t="str">
        <f>"501638"</f>
        <v>501638</v>
      </c>
      <c r="B7337" s="2" t="str">
        <f>"CONJ CHAVE ALEN HEX 13Pç 0.50 A 3/8"""</f>
        <v>CONJ CHAVE ALEN HEX 13Pç 0.50 A 3/8"</v>
      </c>
      <c r="C7337" s="2" t="str">
        <f>"UN"</f>
        <v>UN</v>
      </c>
      <c r="D7337" s="7">
        <v>402</v>
      </c>
      <c r="E7337" s="3">
        <v>4</v>
      </c>
      <c r="F7337" s="3">
        <v>4</v>
      </c>
      <c r="G7337" t="s">
        <v>514</v>
      </c>
    </row>
    <row r="7338" spans="1:7" x14ac:dyDescent="0.25">
      <c r="A7338" s="1" t="str">
        <f>"500188"</f>
        <v>500188</v>
      </c>
      <c r="B7338" s="2" t="str">
        <f>"CONJ COPO E ROLAM RODA BYG Nº7707307"</f>
        <v>CONJ COPO E ROLAM RODA BYG Nº7707307</v>
      </c>
      <c r="C7338" s="2" t="str">
        <f>"UN"</f>
        <v>UN</v>
      </c>
      <c r="D7338" s="7">
        <v>918</v>
      </c>
      <c r="E7338" s="3">
        <v>11</v>
      </c>
      <c r="F7338" s="3">
        <v>11</v>
      </c>
      <c r="G7338" t="s">
        <v>514</v>
      </c>
    </row>
    <row r="7339" spans="1:7" x14ac:dyDescent="0.25">
      <c r="A7339" s="1" t="str">
        <f>"501061"</f>
        <v>501061</v>
      </c>
      <c r="B7339" s="2" t="str">
        <f>"CONJ CORTE E SELAGEM DINI 450P"</f>
        <v>CONJ CORTE E SELAGEM DINI 450P</v>
      </c>
      <c r="C7339" s="2" t="str">
        <f>"UN"</f>
        <v>UN</v>
      </c>
      <c r="D7339" s="7">
        <v>918</v>
      </c>
      <c r="E7339" s="3">
        <v>11</v>
      </c>
      <c r="F7339" s="3">
        <v>11</v>
      </c>
      <c r="G7339" t="s">
        <v>513</v>
      </c>
    </row>
    <row r="7340" spans="1:7" x14ac:dyDescent="0.25">
      <c r="A7340" s="1" t="str">
        <f>"502991"</f>
        <v>502991</v>
      </c>
      <c r="B7340" s="2" t="str">
        <f>"CONJ DE CLP DINIEPER"</f>
        <v>CONJ DE CLP DINIEPER</v>
      </c>
      <c r="C7340" s="2" t="str">
        <f>"UN"</f>
        <v>UN</v>
      </c>
      <c r="D7340" s="7">
        <v>918</v>
      </c>
      <c r="E7340" s="3">
        <v>11</v>
      </c>
      <c r="F7340" s="3">
        <v>11</v>
      </c>
      <c r="G7340" t="s">
        <v>513</v>
      </c>
    </row>
    <row r="7341" spans="1:7" x14ac:dyDescent="0.25">
      <c r="A7341" s="1" t="str">
        <f>"526675"</f>
        <v>526675</v>
      </c>
      <c r="B7341" s="2" t="str">
        <f>"CONJ DIAFRAGMA 25S 2AI *** 71000035"</f>
        <v>CONJ DIAFRAGMA 25S 2AI *** 71000035</v>
      </c>
      <c r="C7341" s="2" t="str">
        <f>"BR"</f>
        <v>BR</v>
      </c>
      <c r="D7341" s="7">
        <v>808</v>
      </c>
      <c r="E7341" s="3">
        <v>10</v>
      </c>
      <c r="F7341" s="3">
        <v>10</v>
      </c>
      <c r="G7341" t="s">
        <v>513</v>
      </c>
    </row>
    <row r="7342" spans="1:7" x14ac:dyDescent="0.25">
      <c r="A7342" s="1" t="str">
        <f>"526671"</f>
        <v>526671</v>
      </c>
      <c r="B7342" s="2" t="str">
        <f>"CONJ DIAFRAGMA PILOTO P PRIM troca 710000040"</f>
        <v>CONJ DIAFRAGMA PILOTO P PRIM troca 710000040</v>
      </c>
      <c r="C7342" s="2" t="str">
        <f>"BR"</f>
        <v>BR</v>
      </c>
      <c r="D7342" s="7">
        <v>808</v>
      </c>
      <c r="E7342" s="3">
        <v>10</v>
      </c>
      <c r="F7342" s="3">
        <v>10</v>
      </c>
      <c r="G7342" t="s">
        <v>512</v>
      </c>
    </row>
    <row r="7343" spans="1:7" x14ac:dyDescent="0.25">
      <c r="A7343" s="1" t="str">
        <f>"522612"</f>
        <v>522612</v>
      </c>
      <c r="B7343" s="2" t="str">
        <f>"CONJ EMB SILENTOQUE BIPOLAR SIMPLES 10A 250V 2105"</f>
        <v>CONJ EMB SILENTOQUE BIPOLAR SIMPLES 10A 250V 2105</v>
      </c>
      <c r="C7343" s="2" t="str">
        <f>"UN"</f>
        <v>UN</v>
      </c>
      <c r="D7343" s="7">
        <v>811</v>
      </c>
      <c r="E7343" s="3">
        <v>10</v>
      </c>
      <c r="F7343" s="3">
        <v>10</v>
      </c>
      <c r="G7343" t="s">
        <v>513</v>
      </c>
    </row>
    <row r="7344" spans="1:7" x14ac:dyDescent="0.25">
      <c r="A7344" s="1" t="str">
        <f>"520967"</f>
        <v>520967</v>
      </c>
      <c r="B7344" s="8" t="s">
        <v>187</v>
      </c>
      <c r="C7344" s="2" t="str">
        <f>"UN"</f>
        <v>UN</v>
      </c>
      <c r="D7344" s="7">
        <v>811</v>
      </c>
      <c r="E7344" s="3">
        <v>8</v>
      </c>
      <c r="F7344" s="3">
        <v>8</v>
      </c>
      <c r="G7344" t="s">
        <v>514</v>
      </c>
    </row>
    <row r="7345" spans="1:7" x14ac:dyDescent="0.25">
      <c r="A7345" s="1" t="str">
        <f>"520968"</f>
        <v>520968</v>
      </c>
      <c r="B7345" s="8" t="s">
        <v>188</v>
      </c>
      <c r="C7345" s="2" t="str">
        <f>"UN"</f>
        <v>UN</v>
      </c>
      <c r="D7345" s="7">
        <v>811</v>
      </c>
      <c r="E7345" s="3">
        <v>8</v>
      </c>
      <c r="F7345" s="3">
        <v>8</v>
      </c>
      <c r="G7345" t="s">
        <v>515</v>
      </c>
    </row>
    <row r="7346" spans="1:7" x14ac:dyDescent="0.25">
      <c r="A7346" s="1" t="str">
        <f>"520969"</f>
        <v>520969</v>
      </c>
      <c r="B7346" s="8" t="s">
        <v>189</v>
      </c>
      <c r="C7346" s="2" t="str">
        <f>"UN"</f>
        <v>UN</v>
      </c>
      <c r="D7346" s="7">
        <v>811</v>
      </c>
      <c r="E7346" s="3">
        <v>8</v>
      </c>
      <c r="F7346" s="3">
        <v>8</v>
      </c>
      <c r="G7346" t="s">
        <v>512</v>
      </c>
    </row>
    <row r="7347" spans="1:7" x14ac:dyDescent="0.25">
      <c r="A7347" s="1" t="str">
        <f>"514259"</f>
        <v>514259</v>
      </c>
      <c r="B7347" s="2" t="str">
        <f>"CONJ EWD 330M 230VAC"</f>
        <v>CONJ EWD 330M 230VAC</v>
      </c>
      <c r="C7347" s="2" t="str">
        <f>"UN"</f>
        <v>UN</v>
      </c>
      <c r="D7347" s="7">
        <v>811</v>
      </c>
      <c r="E7347" s="3">
        <v>8</v>
      </c>
      <c r="F7347" s="3">
        <v>8</v>
      </c>
      <c r="G7347" t="s">
        <v>516</v>
      </c>
    </row>
    <row r="7348" spans="1:7" x14ac:dyDescent="0.25">
      <c r="A7348" s="1" t="str">
        <f>"526677"</f>
        <v>526677</v>
      </c>
      <c r="B7348" s="2" t="str">
        <f>"CONJ HASTE 25S 2*** 710000047"</f>
        <v>CONJ HASTE 25S 2*** 710000047</v>
      </c>
      <c r="C7348" s="2" t="str">
        <f>"BR"</f>
        <v>BR</v>
      </c>
      <c r="D7348" s="7">
        <v>808</v>
      </c>
      <c r="E7348" s="3">
        <v>10</v>
      </c>
      <c r="F7348" s="3">
        <v>10</v>
      </c>
      <c r="G7348" t="s">
        <v>515</v>
      </c>
    </row>
    <row r="7349" spans="1:7" x14ac:dyDescent="0.25">
      <c r="A7349" s="1" t="str">
        <f>"518105"</f>
        <v>518105</v>
      </c>
      <c r="B7349" s="2" t="str">
        <f>"CONJ HW LUNA FR 18.000 BTUS 220V MIDEA"</f>
        <v>CONJ HW LUNA FR 18.000 BTUS 220V MIDEA</v>
      </c>
      <c r="C7349" s="2" t="str">
        <f>"UN"</f>
        <v>UN</v>
      </c>
      <c r="D7349" s="7">
        <v>916</v>
      </c>
      <c r="E7349" s="3">
        <v>13</v>
      </c>
      <c r="F7349" s="3">
        <v>13</v>
      </c>
      <c r="G7349" t="s">
        <v>514</v>
      </c>
    </row>
    <row r="7350" spans="1:7" x14ac:dyDescent="0.25">
      <c r="A7350" s="1" t="str">
        <f>"526674"</f>
        <v>526674</v>
      </c>
      <c r="B7350" s="2" t="str">
        <f>"CONJ JUNTAS 25S2 *** 71000059"</f>
        <v>CONJ JUNTAS 25S2 *** 71000059</v>
      </c>
      <c r="C7350" s="2" t="str">
        <f>"BR"</f>
        <v>BR</v>
      </c>
      <c r="D7350" s="7">
        <v>808</v>
      </c>
      <c r="E7350" s="3">
        <v>10</v>
      </c>
      <c r="F7350" s="3">
        <v>10</v>
      </c>
      <c r="G7350" t="s">
        <v>512</v>
      </c>
    </row>
    <row r="7351" spans="1:7" x14ac:dyDescent="0.25">
      <c r="A7351" s="1" t="str">
        <f>"526676"</f>
        <v>526676</v>
      </c>
      <c r="B7351" s="2" t="str">
        <f>"CONJ MOLA 25S 2. SERIES 710000065"</f>
        <v>CONJ MOLA 25S 2. SERIES 710000065</v>
      </c>
      <c r="C7351" s="2" t="str">
        <f>"BR"</f>
        <v>BR</v>
      </c>
      <c r="D7351" s="7">
        <v>808</v>
      </c>
      <c r="E7351" s="3">
        <v>10</v>
      </c>
      <c r="F7351" s="3">
        <v>10</v>
      </c>
      <c r="G7351" t="s">
        <v>513</v>
      </c>
    </row>
    <row r="7352" spans="1:7" x14ac:dyDescent="0.25">
      <c r="A7352" s="1" t="str">
        <f>"505703"</f>
        <v>505703</v>
      </c>
      <c r="B7352" s="2" t="str">
        <f>"CONJ MOTOREDUTOR 380V COD.05.3330.333.00"</f>
        <v>CONJ MOTOREDUTOR 380V COD.05.3330.333.00</v>
      </c>
      <c r="C7352" s="2" t="str">
        <f t="shared" ref="C7352:C7357" si="286">"UN"</f>
        <v>UN</v>
      </c>
      <c r="D7352" s="7">
        <v>918</v>
      </c>
      <c r="E7352" s="3">
        <v>11</v>
      </c>
      <c r="F7352" s="3">
        <v>11</v>
      </c>
      <c r="G7352" t="s">
        <v>514</v>
      </c>
    </row>
    <row r="7353" spans="1:7" x14ac:dyDescent="0.25">
      <c r="A7353" s="1" t="str">
        <f>"518547"</f>
        <v>518547</v>
      </c>
      <c r="B7353" s="2" t="str">
        <f>"CONJ PARAF/FURAR-FURAD/IMP. LCT204 127V"</f>
        <v>CONJ PARAF/FURAR-FURAD/IMP. LCT204 127V</v>
      </c>
      <c r="C7353" s="2" t="str">
        <f t="shared" si="286"/>
        <v>UN</v>
      </c>
      <c r="D7353" s="7">
        <v>920</v>
      </c>
      <c r="E7353" s="3">
        <v>13</v>
      </c>
      <c r="F7353" s="3">
        <v>13</v>
      </c>
      <c r="G7353" t="s">
        <v>514</v>
      </c>
    </row>
    <row r="7354" spans="1:7" x14ac:dyDescent="0.25">
      <c r="A7354" s="1" t="str">
        <f>"513359"</f>
        <v>513359</v>
      </c>
      <c r="B7354" s="2" t="str">
        <f>"CONJ REAGENTES ANAL DUREZA 100-4000MG/L"</f>
        <v>CONJ REAGENTES ANAL DUREZA 100-4000MG/L</v>
      </c>
      <c r="C7354" s="2" t="str">
        <f t="shared" si="286"/>
        <v>UN</v>
      </c>
      <c r="D7354" s="7">
        <v>406</v>
      </c>
      <c r="E7354" s="3">
        <v>4</v>
      </c>
      <c r="F7354" s="3">
        <v>4</v>
      </c>
      <c r="G7354" t="s">
        <v>512</v>
      </c>
    </row>
    <row r="7355" spans="1:7" x14ac:dyDescent="0.25">
      <c r="A7355" s="1" t="str">
        <f>"509259"</f>
        <v>509259</v>
      </c>
      <c r="B7355" s="2" t="str">
        <f>"CONJ RELOGIO 7D 1318 ELET"</f>
        <v>CONJ RELOGIO 7D 1318 ELET</v>
      </c>
      <c r="C7355" s="2" t="str">
        <f t="shared" si="286"/>
        <v>UN</v>
      </c>
      <c r="D7355" s="7">
        <v>900</v>
      </c>
      <c r="E7355" s="3">
        <v>11</v>
      </c>
      <c r="F7355" s="3">
        <v>11</v>
      </c>
      <c r="G7355" t="s">
        <v>513</v>
      </c>
    </row>
    <row r="7356" spans="1:7" x14ac:dyDescent="0.25">
      <c r="A7356" s="1" t="str">
        <f>"505343"</f>
        <v>505343</v>
      </c>
      <c r="B7356" s="2" t="str">
        <f>"CONJ REPARO HIDRAULICO COD.007707625"</f>
        <v>CONJ REPARO HIDRAULICO COD.007707625</v>
      </c>
      <c r="C7356" s="2" t="str">
        <f t="shared" si="286"/>
        <v>UN</v>
      </c>
      <c r="D7356" s="7">
        <v>914</v>
      </c>
      <c r="E7356" s="3">
        <v>11</v>
      </c>
      <c r="F7356" s="3">
        <v>11</v>
      </c>
      <c r="G7356" t="s">
        <v>514</v>
      </c>
    </row>
    <row r="7357" spans="1:7" x14ac:dyDescent="0.25">
      <c r="A7357" s="1" t="str">
        <f>"514027"</f>
        <v>514027</v>
      </c>
      <c r="B7357" s="2" t="str">
        <f>"CONJ ROLAMENTO CPL"</f>
        <v>CONJ ROLAMENTO CPL</v>
      </c>
      <c r="C7357" s="2" t="str">
        <f t="shared" si="286"/>
        <v>UN</v>
      </c>
      <c r="D7357" s="7">
        <v>918</v>
      </c>
      <c r="E7357" s="3">
        <v>11</v>
      </c>
      <c r="F7357" s="3">
        <v>11</v>
      </c>
      <c r="G7357" t="s">
        <v>514</v>
      </c>
    </row>
    <row r="7358" spans="1:7" x14ac:dyDescent="0.25">
      <c r="A7358" s="1" t="str">
        <f>"526678"</f>
        <v>526678</v>
      </c>
      <c r="B7358" s="2" t="str">
        <f>"CONJ SEDE 25S 2 VAPOR*** 7100000111"</f>
        <v>CONJ SEDE 25S 2 VAPOR*** 7100000111</v>
      </c>
      <c r="C7358" s="2" t="str">
        <f>"BR"</f>
        <v>BR</v>
      </c>
      <c r="D7358" s="7">
        <v>808</v>
      </c>
      <c r="E7358" s="3">
        <v>10</v>
      </c>
      <c r="F7358" s="3">
        <v>10</v>
      </c>
      <c r="G7358" t="s">
        <v>514</v>
      </c>
    </row>
    <row r="7359" spans="1:7" x14ac:dyDescent="0.25">
      <c r="A7359" s="1" t="str">
        <f>"505497"</f>
        <v>505497</v>
      </c>
      <c r="B7359" s="2" t="str">
        <f>"CONJ SERVO EMBREAGEM"</f>
        <v>CONJ SERVO EMBREAGEM</v>
      </c>
      <c r="C7359" s="2" t="str">
        <f>"UN"</f>
        <v>UN</v>
      </c>
      <c r="D7359" s="7">
        <v>704</v>
      </c>
      <c r="E7359" s="3">
        <v>9</v>
      </c>
      <c r="F7359" s="3">
        <v>9</v>
      </c>
      <c r="G7359" t="s">
        <v>513</v>
      </c>
    </row>
    <row r="7360" spans="1:7" x14ac:dyDescent="0.25">
      <c r="A7360" s="1" t="str">
        <f>"525106"</f>
        <v>525106</v>
      </c>
      <c r="B7360" s="2" t="str">
        <f>"CONJ. ADEQUAÇAO DA ENVASADORA"</f>
        <v>CONJ. ADEQUAÇAO DA ENVASADORA</v>
      </c>
      <c r="C7360" s="2" t="str">
        <f>"PC"</f>
        <v>PC</v>
      </c>
      <c r="D7360" s="7">
        <v>908</v>
      </c>
      <c r="E7360" s="3">
        <v>11</v>
      </c>
      <c r="F7360" s="3">
        <v>11</v>
      </c>
      <c r="G7360" t="s">
        <v>512</v>
      </c>
    </row>
    <row r="7361" spans="1:7" x14ac:dyDescent="0.25">
      <c r="A7361" s="1" t="str">
        <f>"513651"</f>
        <v>513651</v>
      </c>
      <c r="B7361" s="2" t="str">
        <f>"CONJ. AR HW INV. CF12000BTUS 220V MIDEA"</f>
        <v>CONJ. AR HW INV. CF12000BTUS 220V MIDEA</v>
      </c>
      <c r="C7361" s="2" t="str">
        <f>"UN"</f>
        <v>UN</v>
      </c>
      <c r="D7361" s="7">
        <v>1200</v>
      </c>
      <c r="E7361" s="3">
        <v>13</v>
      </c>
      <c r="F7361" s="3">
        <v>13</v>
      </c>
      <c r="G7361" t="s">
        <v>513</v>
      </c>
    </row>
    <row r="7362" spans="1:7" x14ac:dyDescent="0.25">
      <c r="A7362" s="1" t="str">
        <f>"512433"</f>
        <v>512433</v>
      </c>
      <c r="B7362" s="2" t="str">
        <f>"CONJ. AR HW INV. CF22000BTUS 220V MIDEA"</f>
        <v>CONJ. AR HW INV. CF22000BTUS 220V MIDEA</v>
      </c>
      <c r="C7362" s="2" t="str">
        <f>"UN"</f>
        <v>UN</v>
      </c>
      <c r="D7362" s="7">
        <v>1200</v>
      </c>
      <c r="E7362" s="3">
        <v>13</v>
      </c>
      <c r="F7362" s="3">
        <v>13</v>
      </c>
      <c r="G7362" t="s">
        <v>514</v>
      </c>
    </row>
    <row r="7363" spans="1:7" x14ac:dyDescent="0.25">
      <c r="A7363" s="1" t="str">
        <f>"511724"</f>
        <v>511724</v>
      </c>
      <c r="B7363" s="2" t="str">
        <f>"CONJ. BARI 1 TOMADA"</f>
        <v>CONJ. BARI 1 TOMADA</v>
      </c>
      <c r="C7363" s="2" t="str">
        <f>"UN"</f>
        <v>UN</v>
      </c>
      <c r="D7363" s="7">
        <v>601</v>
      </c>
      <c r="E7363" s="3">
        <v>8</v>
      </c>
      <c r="F7363" s="3">
        <v>8</v>
      </c>
      <c r="G7363" t="s">
        <v>514</v>
      </c>
    </row>
    <row r="7364" spans="1:7" x14ac:dyDescent="0.25">
      <c r="A7364" s="1" t="str">
        <f>"511723"</f>
        <v>511723</v>
      </c>
      <c r="B7364" s="2" t="str">
        <f>"CONJ. BARI 2 INTERRUPTOR 1 TOMADA"</f>
        <v>CONJ. BARI 2 INTERRUPTOR 1 TOMADA</v>
      </c>
      <c r="C7364" s="2" t="str">
        <f>"UN"</f>
        <v>UN</v>
      </c>
      <c r="D7364" s="7">
        <v>601</v>
      </c>
      <c r="E7364" s="3">
        <v>8</v>
      </c>
      <c r="F7364" s="3">
        <v>8</v>
      </c>
      <c r="G7364" t="s">
        <v>514</v>
      </c>
    </row>
    <row r="7365" spans="1:7" x14ac:dyDescent="0.25">
      <c r="A7365" s="1" t="str">
        <f>"514507"</f>
        <v>514507</v>
      </c>
      <c r="B7365" s="2" t="str">
        <f>"CONJ. CANIVETE CH TOKX"</f>
        <v>CONJ. CANIVETE CH TOKX</v>
      </c>
      <c r="C7365" s="2" t="str">
        <f>"UN"</f>
        <v>UN</v>
      </c>
      <c r="D7365" s="7">
        <v>920</v>
      </c>
      <c r="E7365" s="3">
        <v>4</v>
      </c>
      <c r="F7365" s="3">
        <v>4</v>
      </c>
      <c r="G7365" t="s">
        <v>513</v>
      </c>
    </row>
    <row r="7366" spans="1:7" x14ac:dyDescent="0.25">
      <c r="A7366" s="1" t="str">
        <f>"519724"</f>
        <v>519724</v>
      </c>
      <c r="B7366" s="2" t="str">
        <f>"CONJ. CONEXÃO INOX 2"" SMS (NIPLE+PORCA+LUVA)"</f>
        <v>CONJ. CONEXÃO INOX 2" SMS (NIPLE+PORCA+LUVA)</v>
      </c>
      <c r="C7366" s="2" t="str">
        <f>"PÇ"</f>
        <v>PÇ</v>
      </c>
      <c r="D7366" s="7">
        <v>810</v>
      </c>
      <c r="E7366" s="3">
        <v>10</v>
      </c>
      <c r="F7366" s="3">
        <v>10</v>
      </c>
      <c r="G7366" t="s">
        <v>513</v>
      </c>
    </row>
    <row r="7367" spans="1:7" x14ac:dyDescent="0.25">
      <c r="A7367" s="1" t="str">
        <f>"501399"</f>
        <v>501399</v>
      </c>
      <c r="B7367" s="2" t="str">
        <f>"CONJ. DE ANEIS CHEVRON"</f>
        <v>CONJ. DE ANEIS CHEVRON</v>
      </c>
      <c r="C7367" s="2" t="str">
        <f t="shared" ref="C7367:C7398" si="287">"UN"</f>
        <v>UN</v>
      </c>
      <c r="D7367" s="7">
        <v>918</v>
      </c>
      <c r="E7367" s="3">
        <v>11</v>
      </c>
      <c r="F7367" s="3">
        <v>11</v>
      </c>
      <c r="G7367" t="s">
        <v>513</v>
      </c>
    </row>
    <row r="7368" spans="1:7" x14ac:dyDescent="0.25">
      <c r="A7368" s="1" t="str">
        <f>"515724"</f>
        <v>515724</v>
      </c>
      <c r="B7368" s="2" t="str">
        <f>"CONJ. DE CORTE TRIMCUT 41-2"</f>
        <v>CONJ. DE CORTE TRIMCUT 41-2</v>
      </c>
      <c r="C7368" s="2" t="str">
        <f t="shared" si="287"/>
        <v>UN</v>
      </c>
      <c r="D7368" s="7">
        <v>812</v>
      </c>
      <c r="E7368" s="3">
        <v>4</v>
      </c>
      <c r="F7368" s="3">
        <v>4</v>
      </c>
      <c r="G7368" t="s">
        <v>512</v>
      </c>
    </row>
    <row r="7369" spans="1:7" x14ac:dyDescent="0.25">
      <c r="A7369" s="1" t="str">
        <f>"519612"</f>
        <v>519612</v>
      </c>
      <c r="B7369" s="2" t="str">
        <f>"CONJ. DUPLO MOTB DOSAGEM"</f>
        <v>CONJ. DUPLO MOTB DOSAGEM</v>
      </c>
      <c r="C7369" s="2" t="str">
        <f t="shared" si="287"/>
        <v>UN</v>
      </c>
      <c r="D7369" s="7">
        <v>918</v>
      </c>
      <c r="E7369" s="3">
        <v>11</v>
      </c>
      <c r="F7369" s="3">
        <v>11</v>
      </c>
      <c r="G7369" t="s">
        <v>513</v>
      </c>
    </row>
    <row r="7370" spans="1:7" x14ac:dyDescent="0.25">
      <c r="A7370" s="1" t="str">
        <f>"510692"</f>
        <v>510692</v>
      </c>
      <c r="B7370" s="2" t="str">
        <f>"CONJ. EIXO 5"" ROL.218/218-SR R.DUP"</f>
        <v>CONJ. EIXO 5" ROL.218/218-SR R.DUP</v>
      </c>
      <c r="C7370" s="2" t="str">
        <f t="shared" si="287"/>
        <v>UN</v>
      </c>
      <c r="D7370" s="7">
        <v>704</v>
      </c>
      <c r="E7370" s="3">
        <v>9</v>
      </c>
      <c r="F7370" s="3">
        <v>9</v>
      </c>
      <c r="G7370" t="s">
        <v>514</v>
      </c>
    </row>
    <row r="7371" spans="1:7" x14ac:dyDescent="0.25">
      <c r="A7371" s="1" t="str">
        <f>"523039"</f>
        <v>523039</v>
      </c>
      <c r="B7371" s="8" t="s">
        <v>355</v>
      </c>
      <c r="C7371" s="2" t="str">
        <f t="shared" si="287"/>
        <v>UN</v>
      </c>
      <c r="D7371" s="7">
        <v>811</v>
      </c>
      <c r="E7371" s="3">
        <v>10</v>
      </c>
      <c r="F7371" s="3">
        <v>10</v>
      </c>
      <c r="G7371" t="s">
        <v>515</v>
      </c>
    </row>
    <row r="7372" spans="1:7" x14ac:dyDescent="0.25">
      <c r="A7372" s="1" t="str">
        <f>"523040"</f>
        <v>523040</v>
      </c>
      <c r="B7372" s="8" t="s">
        <v>356</v>
      </c>
      <c r="C7372" s="2" t="str">
        <f t="shared" si="287"/>
        <v>UN</v>
      </c>
      <c r="D7372" s="7">
        <v>811</v>
      </c>
      <c r="E7372" s="3">
        <v>10</v>
      </c>
      <c r="F7372" s="3">
        <v>10</v>
      </c>
      <c r="G7372" t="s">
        <v>512</v>
      </c>
    </row>
    <row r="7373" spans="1:7" x14ac:dyDescent="0.25">
      <c r="A7373" s="1" t="str">
        <f>"523037"</f>
        <v>523037</v>
      </c>
      <c r="B7373" s="2" t="str">
        <f>"CONJ. EMB. S/PLACA PRIME 2 TOM. 2P+T 10 NBR14136 PRM625B BR"</f>
        <v>CONJ. EMB. S/PLACA PRIME 2 TOM. 2P+T 10 NBR14136 PRM625B BR</v>
      </c>
      <c r="C7373" s="2" t="str">
        <f t="shared" si="287"/>
        <v>UN</v>
      </c>
      <c r="D7373" s="7">
        <v>811</v>
      </c>
      <c r="E7373" s="3">
        <v>10</v>
      </c>
      <c r="F7373" s="3">
        <v>10</v>
      </c>
      <c r="G7373" t="s">
        <v>516</v>
      </c>
    </row>
    <row r="7374" spans="1:7" x14ac:dyDescent="0.25">
      <c r="A7374" s="1" t="str">
        <f>"523038"</f>
        <v>523038</v>
      </c>
      <c r="B7374" s="2" t="str">
        <f>"CONJ. EMB. S/PLACA PRIME 2P+T 10 NBR14136 PRM610B BR 3MOD"</f>
        <v>CONJ. EMB. S/PLACA PRIME 2P+T 10 NBR14136 PRM610B BR 3MOD</v>
      </c>
      <c r="C7374" s="2" t="str">
        <f t="shared" si="287"/>
        <v>UN</v>
      </c>
      <c r="D7374" s="7">
        <v>811</v>
      </c>
      <c r="E7374" s="3">
        <v>10</v>
      </c>
      <c r="F7374" s="3">
        <v>10</v>
      </c>
      <c r="G7374" t="s">
        <v>515</v>
      </c>
    </row>
    <row r="7375" spans="1:7" x14ac:dyDescent="0.25">
      <c r="A7375" s="1" t="str">
        <f>"513510"</f>
        <v>513510</v>
      </c>
      <c r="B7375" s="2" t="str">
        <f>"CONJ. ESTAMPO MAQUINA DE BANDEJA"</f>
        <v>CONJ. ESTAMPO MAQUINA DE BANDEJA</v>
      </c>
      <c r="C7375" s="2" t="str">
        <f t="shared" si="287"/>
        <v>UN</v>
      </c>
      <c r="D7375" s="7">
        <v>918</v>
      </c>
      <c r="E7375" s="3">
        <v>11</v>
      </c>
      <c r="F7375" s="3">
        <v>11</v>
      </c>
      <c r="G7375" t="s">
        <v>514</v>
      </c>
    </row>
    <row r="7376" spans="1:7" x14ac:dyDescent="0.25">
      <c r="A7376" s="1" t="str">
        <f>"517599"</f>
        <v>517599</v>
      </c>
      <c r="B7376" s="2" t="str">
        <f>"CONJ. GUIA P/ MOLDE SP 16MM"</f>
        <v>CONJ. GUIA P/ MOLDE SP 16MM</v>
      </c>
      <c r="C7376" s="2" t="str">
        <f t="shared" si="287"/>
        <v>UN</v>
      </c>
      <c r="D7376" s="7">
        <v>918</v>
      </c>
      <c r="E7376" s="3">
        <v>11</v>
      </c>
      <c r="F7376" s="3">
        <v>11</v>
      </c>
      <c r="G7376" t="s">
        <v>512</v>
      </c>
    </row>
    <row r="7377" spans="1:7" x14ac:dyDescent="0.25">
      <c r="A7377" s="1" t="str">
        <f>"508336"</f>
        <v>508336</v>
      </c>
      <c r="B7377" s="2" t="str">
        <f>"CONJ. LUBREFIL NORGREN B73G2GKQT3RMG"</f>
        <v>CONJ. LUBREFIL NORGREN B73G2GKQT3RMG</v>
      </c>
      <c r="C7377" s="2" t="str">
        <f t="shared" si="287"/>
        <v>UN</v>
      </c>
      <c r="D7377" s="7">
        <v>913</v>
      </c>
      <c r="E7377" s="3">
        <v>11</v>
      </c>
      <c r="F7377" s="3">
        <v>11</v>
      </c>
      <c r="G7377" t="s">
        <v>513</v>
      </c>
    </row>
    <row r="7378" spans="1:7" x14ac:dyDescent="0.25">
      <c r="A7378" s="1" t="str">
        <f>"515059"</f>
        <v>515059</v>
      </c>
      <c r="B7378" s="2" t="str">
        <f>"CONJ. PE DA CARRETA"</f>
        <v>CONJ. PE DA CARRETA</v>
      </c>
      <c r="C7378" s="2" t="str">
        <f t="shared" si="287"/>
        <v>UN</v>
      </c>
      <c r="D7378" s="7">
        <v>704</v>
      </c>
      <c r="E7378" s="3">
        <v>9</v>
      </c>
      <c r="F7378" s="3">
        <v>9</v>
      </c>
      <c r="G7378" t="s">
        <v>514</v>
      </c>
    </row>
    <row r="7379" spans="1:7" x14ac:dyDescent="0.25">
      <c r="A7379" s="1" t="str">
        <f>"526502"</f>
        <v>526502</v>
      </c>
      <c r="B7379" s="2" t="str">
        <f>"CONJ. SELO MECANICO M50P - 207818000001"</f>
        <v>CONJ. SELO MECANICO M50P - 207818000001</v>
      </c>
      <c r="C7379" s="2" t="str">
        <f t="shared" si="287"/>
        <v>UN</v>
      </c>
      <c r="D7379" s="7">
        <v>918</v>
      </c>
      <c r="E7379" s="3">
        <v>11</v>
      </c>
      <c r="F7379" s="3">
        <v>11</v>
      </c>
      <c r="G7379" t="s">
        <v>514</v>
      </c>
    </row>
    <row r="7380" spans="1:7" x14ac:dyDescent="0.25">
      <c r="A7380" s="1" t="str">
        <f>"524940"</f>
        <v>524940</v>
      </c>
      <c r="B7380" s="2" t="str">
        <f>"CONJ.DE ALIMENTACAO P/CABOS A9XPCM04 SCHNEIDE"</f>
        <v>CONJ.DE ALIMENTACAO P/CABOS A9XPCM04 SCHNEIDE</v>
      </c>
      <c r="C7380" s="2" t="str">
        <f t="shared" si="287"/>
        <v>UN</v>
      </c>
      <c r="D7380" s="7">
        <v>811</v>
      </c>
      <c r="E7380" s="3">
        <v>8</v>
      </c>
      <c r="F7380" s="3">
        <v>8</v>
      </c>
      <c r="G7380" t="s">
        <v>512</v>
      </c>
    </row>
    <row r="7381" spans="1:7" x14ac:dyDescent="0.25">
      <c r="A7381" s="1" t="str">
        <f>"501400"</f>
        <v>501400</v>
      </c>
      <c r="B7381" s="2" t="str">
        <f>"CONJ.DE ANEIS VEDACAO NYLON"</f>
        <v>CONJ.DE ANEIS VEDACAO NYLON</v>
      </c>
      <c r="C7381" s="2" t="str">
        <f t="shared" si="287"/>
        <v>UN</v>
      </c>
      <c r="D7381" s="7">
        <v>918</v>
      </c>
      <c r="E7381" s="3">
        <v>11</v>
      </c>
      <c r="F7381" s="3">
        <v>11</v>
      </c>
      <c r="G7381" t="s">
        <v>513</v>
      </c>
    </row>
    <row r="7382" spans="1:7" x14ac:dyDescent="0.25">
      <c r="A7382" s="1" t="str">
        <f>"522857"</f>
        <v>522857</v>
      </c>
      <c r="B7382" s="2" t="str">
        <f>"CONJ.MVEAI100+VMR AI +SIFAO AI 1/2""NPT 0-4 kgf/cm2 SIFAO ?T?"</f>
        <v>CONJ.MVEAI100+VMR AI +SIFAO AI 1/2"NPT 0-4 kgf/cm2 SIFAO ?T?</v>
      </c>
      <c r="C7382" s="2" t="str">
        <f t="shared" si="287"/>
        <v>UN</v>
      </c>
      <c r="D7382" s="7">
        <v>600</v>
      </c>
      <c r="E7382" s="3">
        <v>8</v>
      </c>
      <c r="F7382" s="3">
        <v>8</v>
      </c>
      <c r="G7382" t="s">
        <v>514</v>
      </c>
    </row>
    <row r="7383" spans="1:7" x14ac:dyDescent="0.25">
      <c r="A7383" s="1" t="str">
        <f>"514499"</f>
        <v>514499</v>
      </c>
      <c r="B7383" s="2" t="str">
        <f>"CONJUNTO"</f>
        <v>CONJUNTO</v>
      </c>
      <c r="C7383" s="2" t="str">
        <f t="shared" si="287"/>
        <v>UN</v>
      </c>
      <c r="D7383" s="7">
        <v>500</v>
      </c>
      <c r="E7383" s="3">
        <v>5</v>
      </c>
      <c r="F7383" s="3">
        <v>5</v>
      </c>
      <c r="G7383" t="s">
        <v>514</v>
      </c>
    </row>
    <row r="7384" spans="1:7" x14ac:dyDescent="0.25">
      <c r="A7384" s="1" t="str">
        <f>"523693"</f>
        <v>523693</v>
      </c>
      <c r="B7384" s="2" t="str">
        <f>"CONJUNTO 1 COLETOR FIBERGLASS FIX. ESTRUTURA MET. 1069 75L"</f>
        <v>CONJUNTO 1 COLETOR FIBERGLASS FIX. ESTRUTURA MET. 1069 75L</v>
      </c>
      <c r="C7384" s="2" t="str">
        <f t="shared" si="287"/>
        <v>UN</v>
      </c>
      <c r="D7384" s="7">
        <v>400</v>
      </c>
      <c r="E7384" s="3">
        <v>4</v>
      </c>
      <c r="F7384" s="3">
        <v>4</v>
      </c>
      <c r="G7384" t="s">
        <v>514</v>
      </c>
    </row>
    <row r="7385" spans="1:7" x14ac:dyDescent="0.25">
      <c r="A7385" s="1" t="str">
        <f>"523603"</f>
        <v>523603</v>
      </c>
      <c r="B7385" s="2" t="str">
        <f>"CONJUNTO 2 COLETORES FIBERGLASS FIX. ESTRUTURA MET. 1069 75L"</f>
        <v>CONJUNTO 2 COLETORES FIBERGLASS FIX. ESTRUTURA MET. 1069 75L</v>
      </c>
      <c r="C7385" s="2" t="str">
        <f t="shared" si="287"/>
        <v>UN</v>
      </c>
      <c r="D7385" s="7">
        <v>400</v>
      </c>
      <c r="E7385" s="3">
        <v>4</v>
      </c>
      <c r="F7385" s="3">
        <v>4</v>
      </c>
      <c r="G7385" t="s">
        <v>513</v>
      </c>
    </row>
    <row r="7386" spans="1:7" x14ac:dyDescent="0.25">
      <c r="A7386" s="1" t="str">
        <f>"523952"</f>
        <v>523952</v>
      </c>
      <c r="B7386" s="2" t="str">
        <f>"CONJUNTO 2 COLETORES FIBERGLASS FIX. LONGARINA 1013C/2 50 LT"</f>
        <v>CONJUNTO 2 COLETORES FIBERGLASS FIX. LONGARINA 1013C/2 50 LT</v>
      </c>
      <c r="C7386" s="2" t="str">
        <f t="shared" si="287"/>
        <v>UN</v>
      </c>
      <c r="D7386" s="7">
        <v>400</v>
      </c>
      <c r="E7386" s="3">
        <v>4</v>
      </c>
      <c r="F7386" s="3">
        <v>4</v>
      </c>
      <c r="G7386" t="s">
        <v>512</v>
      </c>
    </row>
    <row r="7387" spans="1:7" x14ac:dyDescent="0.25">
      <c r="A7387" s="1" t="str">
        <f>"523602"</f>
        <v>523602</v>
      </c>
      <c r="B7387" s="2" t="str">
        <f>"CONJUNTO 2 COLETORES POLIET. FILTRO UV FIX ESTR MET 1068 25L"</f>
        <v>CONJUNTO 2 COLETORES POLIET. FILTRO UV FIX ESTR MET 1068 25L</v>
      </c>
      <c r="C7387" s="2" t="str">
        <f t="shared" si="287"/>
        <v>UN</v>
      </c>
      <c r="D7387" s="7">
        <v>400</v>
      </c>
      <c r="E7387" s="3">
        <v>4</v>
      </c>
      <c r="F7387" s="3">
        <v>4</v>
      </c>
      <c r="G7387" t="s">
        <v>513</v>
      </c>
    </row>
    <row r="7388" spans="1:7" x14ac:dyDescent="0.25">
      <c r="A7388" s="1" t="str">
        <f>"523601"</f>
        <v>523601</v>
      </c>
      <c r="B7388" s="2" t="str">
        <f>"CONJUNTO 3 COLETORES FIBERGLASS FIX. ESTRUTURA MET. 1069 75L"</f>
        <v>CONJUNTO 3 COLETORES FIBERGLASS FIX. ESTRUTURA MET. 1069 75L</v>
      </c>
      <c r="C7388" s="2" t="str">
        <f t="shared" si="287"/>
        <v>UN</v>
      </c>
      <c r="D7388" s="7">
        <v>400</v>
      </c>
      <c r="E7388" s="3">
        <v>4</v>
      </c>
      <c r="F7388" s="3">
        <v>4</v>
      </c>
      <c r="G7388" t="s">
        <v>514</v>
      </c>
    </row>
    <row r="7389" spans="1:7" x14ac:dyDescent="0.25">
      <c r="A7389" s="1" t="str">
        <f>"523691"</f>
        <v>523691</v>
      </c>
      <c r="B7389" s="2" t="str">
        <f>"CONJUNTO 4 COLETORES FIBERGLASS FIX. ESTRUTURA MET. 1069 75L"</f>
        <v>CONJUNTO 4 COLETORES FIBERGLASS FIX. ESTRUTURA MET. 1069 75L</v>
      </c>
      <c r="C7389" s="2" t="str">
        <f t="shared" si="287"/>
        <v>UN</v>
      </c>
      <c r="D7389" s="7">
        <v>400</v>
      </c>
      <c r="E7389" s="3">
        <v>4</v>
      </c>
      <c r="F7389" s="3">
        <v>4</v>
      </c>
      <c r="G7389" t="s">
        <v>514</v>
      </c>
    </row>
    <row r="7390" spans="1:7" x14ac:dyDescent="0.25">
      <c r="A7390" s="1" t="str">
        <f>"523949"</f>
        <v>523949</v>
      </c>
      <c r="B7390" s="2" t="str">
        <f>"CONJUNTO 4 COLETORES FIBERGLASS FIX. LONGARINA 1013C/4 50 LT"</f>
        <v>CONJUNTO 4 COLETORES FIBERGLASS FIX. LONGARINA 1013C/4 50 LT</v>
      </c>
      <c r="C7390" s="2" t="str">
        <f t="shared" si="287"/>
        <v>UN</v>
      </c>
      <c r="D7390" s="7">
        <v>400</v>
      </c>
      <c r="E7390" s="3">
        <v>4</v>
      </c>
      <c r="F7390" s="3">
        <v>4</v>
      </c>
      <c r="G7390" t="s">
        <v>514</v>
      </c>
    </row>
    <row r="7391" spans="1:7" x14ac:dyDescent="0.25">
      <c r="A7391" s="1" t="str">
        <f>"515326"</f>
        <v>515326</v>
      </c>
      <c r="B7391" s="2" t="str">
        <f>"CONJUNTO 4"" 2 COM 3 INTERRUPTOR SIMPLES PIAL PLUS"</f>
        <v>CONJUNTO 4" 2 COM 3 INTERRUPTOR SIMPLES PIAL PLUS</v>
      </c>
      <c r="C7391" s="2" t="str">
        <f t="shared" si="287"/>
        <v>UN</v>
      </c>
      <c r="D7391" s="7">
        <v>1300</v>
      </c>
      <c r="E7391" s="3">
        <v>13</v>
      </c>
      <c r="F7391" s="3">
        <v>13</v>
      </c>
      <c r="G7391" t="s">
        <v>513</v>
      </c>
    </row>
    <row r="7392" spans="1:7" x14ac:dyDescent="0.25">
      <c r="A7392" s="1" t="str">
        <f>"521118"</f>
        <v>521118</v>
      </c>
      <c r="B7392" s="2" t="str">
        <f>"CONJUNTO 4X2 ILUS/IRIEL IMPERIA COM 2 MODULOS RJ45 CAT.6"</f>
        <v>CONJUNTO 4X2 ILUS/IRIEL IMPERIA COM 2 MODULOS RJ45 CAT.6</v>
      </c>
      <c r="C7392" s="2" t="str">
        <f t="shared" si="287"/>
        <v>UN</v>
      </c>
      <c r="D7392" s="7">
        <v>811</v>
      </c>
      <c r="E7392" s="3">
        <v>8</v>
      </c>
      <c r="F7392" s="3">
        <v>8</v>
      </c>
      <c r="G7392" t="s">
        <v>513</v>
      </c>
    </row>
    <row r="7393" spans="1:7" x14ac:dyDescent="0.25">
      <c r="A7393" s="1" t="str">
        <f>"521119"</f>
        <v>521119</v>
      </c>
      <c r="B7393" s="2" t="str">
        <f>"CONJUNTO 4X2 ILUS/IRIEL IMPERIA COM 2 MODULOS TOMADA 2P+T10A"</f>
        <v>CONJUNTO 4X2 ILUS/IRIEL IMPERIA COM 2 MODULOS TOMADA 2P+T10A</v>
      </c>
      <c r="C7393" s="2" t="str">
        <f t="shared" si="287"/>
        <v>UN</v>
      </c>
      <c r="D7393" s="7">
        <v>811</v>
      </c>
      <c r="E7393" s="3">
        <v>8</v>
      </c>
      <c r="F7393" s="3">
        <v>8</v>
      </c>
      <c r="G7393" t="s">
        <v>513</v>
      </c>
    </row>
    <row r="7394" spans="1:7" x14ac:dyDescent="0.25">
      <c r="A7394" s="1" t="str">
        <f>"521120"</f>
        <v>521120</v>
      </c>
      <c r="B7394" s="2" t="str">
        <f>"CONJUNTO 4X4 ILUS/IRIEL IMPERIA COM 2 MODULOS RJ45 CAT.6"</f>
        <v>CONJUNTO 4X4 ILUS/IRIEL IMPERIA COM 2 MODULOS RJ45 CAT.6</v>
      </c>
      <c r="C7394" s="2" t="str">
        <f t="shared" si="287"/>
        <v>UN</v>
      </c>
      <c r="D7394" s="7">
        <v>811</v>
      </c>
      <c r="E7394" s="3">
        <v>8</v>
      </c>
      <c r="F7394" s="3">
        <v>8</v>
      </c>
      <c r="G7394" t="s">
        <v>512</v>
      </c>
    </row>
    <row r="7395" spans="1:7" x14ac:dyDescent="0.25">
      <c r="A7395" s="1" t="str">
        <f>"523692"</f>
        <v>523692</v>
      </c>
      <c r="B7395" s="2" t="str">
        <f>"CONJUNTO 5 COLETORES FIBERGLASS FIX. ESTRUTURA MET. 1069 75L"</f>
        <v>CONJUNTO 5 COLETORES FIBERGLASS FIX. ESTRUTURA MET. 1069 75L</v>
      </c>
      <c r="C7395" s="2" t="str">
        <f t="shared" si="287"/>
        <v>UN</v>
      </c>
      <c r="D7395" s="7">
        <v>400</v>
      </c>
      <c r="E7395" s="3">
        <v>4</v>
      </c>
      <c r="F7395" s="3">
        <v>4</v>
      </c>
      <c r="G7395" t="s">
        <v>513</v>
      </c>
    </row>
    <row r="7396" spans="1:7" x14ac:dyDescent="0.25">
      <c r="A7396" s="1" t="str">
        <f>"523600"</f>
        <v>523600</v>
      </c>
      <c r="B7396" s="2" t="str">
        <f>"CONJUNTO 6 COLETORES FIBERGLASS FIX. ESTRUTURA MET. 1069 75L"</f>
        <v>CONJUNTO 6 COLETORES FIBERGLASS FIX. ESTRUTURA MET. 1069 75L</v>
      </c>
      <c r="C7396" s="2" t="str">
        <f t="shared" si="287"/>
        <v>UN</v>
      </c>
      <c r="D7396" s="7">
        <v>400</v>
      </c>
      <c r="E7396" s="3">
        <v>4</v>
      </c>
      <c r="F7396" s="3">
        <v>4</v>
      </c>
      <c r="G7396" t="s">
        <v>514</v>
      </c>
    </row>
    <row r="7397" spans="1:7" x14ac:dyDescent="0.25">
      <c r="A7397" s="1" t="str">
        <f>"516596"</f>
        <v>516596</v>
      </c>
      <c r="B7397" s="2" t="str">
        <f>"CONJUNTO ACIONAMENTO HOMOGENIZADOR TM-3"</f>
        <v>CONJUNTO ACIONAMENTO HOMOGENIZADOR TM-3</v>
      </c>
      <c r="C7397" s="2" t="str">
        <f t="shared" si="287"/>
        <v>UN</v>
      </c>
      <c r="D7397" s="7">
        <v>918</v>
      </c>
      <c r="E7397" s="3">
        <v>11</v>
      </c>
      <c r="F7397" s="3">
        <v>11</v>
      </c>
      <c r="G7397" t="s">
        <v>515</v>
      </c>
    </row>
    <row r="7398" spans="1:7" x14ac:dyDescent="0.25">
      <c r="A7398" s="1" t="str">
        <f>"515323"</f>
        <v>515323</v>
      </c>
      <c r="B7398" s="2" t="str">
        <f>"CONJUNTO AGUA GELADA INCOMAR"</f>
        <v>CONJUNTO AGUA GELADA INCOMAR</v>
      </c>
      <c r="C7398" s="2" t="str">
        <f t="shared" si="287"/>
        <v>UN</v>
      </c>
      <c r="D7398" s="7">
        <v>1300</v>
      </c>
      <c r="E7398" s="3">
        <v>13</v>
      </c>
      <c r="F7398" s="3">
        <v>13</v>
      </c>
      <c r="G7398" t="s">
        <v>512</v>
      </c>
    </row>
    <row r="7399" spans="1:7" x14ac:dyDescent="0.25">
      <c r="A7399" s="1" t="str">
        <f>"509989"</f>
        <v>509989</v>
      </c>
      <c r="B7399" s="2" t="str">
        <f>"CONJUNTO AGUA SELADA C/ ADITIVO"</f>
        <v>CONJUNTO AGUA SELADA C/ ADITIVO</v>
      </c>
      <c r="C7399" s="2" t="str">
        <f t="shared" ref="C7399:C7424" si="288">"UN"</f>
        <v>UN</v>
      </c>
      <c r="D7399" s="7">
        <v>704</v>
      </c>
      <c r="E7399" s="3">
        <v>9</v>
      </c>
      <c r="F7399" s="3">
        <v>9</v>
      </c>
      <c r="G7399" t="s">
        <v>516</v>
      </c>
    </row>
    <row r="7400" spans="1:7" x14ac:dyDescent="0.25">
      <c r="A7400" s="1" t="str">
        <f>"525234"</f>
        <v>525234</v>
      </c>
      <c r="B7400" s="2" t="str">
        <f>"CONJUNTO BASE INTELLI-FILTER 4 SAIDA ZEPPELIN"</f>
        <v>CONJUNTO BASE INTELLI-FILTER 4 SAIDA ZEPPELIN</v>
      </c>
      <c r="C7400" s="2" t="str">
        <f t="shared" si="288"/>
        <v>UN</v>
      </c>
      <c r="D7400" s="7">
        <v>811</v>
      </c>
      <c r="E7400" s="3">
        <v>11</v>
      </c>
      <c r="F7400" s="3">
        <v>11</v>
      </c>
      <c r="G7400" t="s">
        <v>515</v>
      </c>
    </row>
    <row r="7401" spans="1:7" x14ac:dyDescent="0.25">
      <c r="A7401" s="1" t="str">
        <f>"517377"</f>
        <v>517377</v>
      </c>
      <c r="B7401" s="2" t="str">
        <f>"CONJUNTO BIELA A"</f>
        <v>CONJUNTO BIELA A</v>
      </c>
      <c r="C7401" s="2" t="str">
        <f t="shared" si="288"/>
        <v>UN</v>
      </c>
      <c r="D7401" s="7">
        <v>918</v>
      </c>
      <c r="E7401" s="3">
        <v>11</v>
      </c>
      <c r="F7401" s="3">
        <v>11</v>
      </c>
      <c r="G7401" t="s">
        <v>514</v>
      </c>
    </row>
    <row r="7402" spans="1:7" x14ac:dyDescent="0.25">
      <c r="A7402" s="1" t="str">
        <f>"526016"</f>
        <v>526016</v>
      </c>
      <c r="B7402" s="2" t="str">
        <f>"CONJUNTO BOLSA DO AIR BAG"</f>
        <v>CONJUNTO BOLSA DO AIR BAG</v>
      </c>
      <c r="C7402" s="2" t="str">
        <f t="shared" si="288"/>
        <v>UN</v>
      </c>
      <c r="D7402" s="7">
        <v>704</v>
      </c>
      <c r="E7402" s="3">
        <v>9</v>
      </c>
      <c r="F7402" s="3">
        <v>9</v>
      </c>
      <c r="G7402" t="s">
        <v>512</v>
      </c>
    </row>
    <row r="7403" spans="1:7" x14ac:dyDescent="0.25">
      <c r="A7403" s="1" t="str">
        <f>"517379"</f>
        <v>517379</v>
      </c>
      <c r="B7403" s="2" t="str">
        <f>"CONJUNTO BOMBA OLEO A CR0569-AV-EX"</f>
        <v>CONJUNTO BOMBA OLEO A CR0569-AV-EX</v>
      </c>
      <c r="C7403" s="2" t="str">
        <f t="shared" si="288"/>
        <v>UN</v>
      </c>
      <c r="D7403" s="7">
        <v>918</v>
      </c>
      <c r="E7403" s="3">
        <v>11</v>
      </c>
      <c r="F7403" s="3">
        <v>11</v>
      </c>
      <c r="G7403" t="s">
        <v>513</v>
      </c>
    </row>
    <row r="7404" spans="1:7" x14ac:dyDescent="0.25">
      <c r="A7404" s="1" t="str">
        <f>"509160"</f>
        <v>509160</v>
      </c>
      <c r="B7404" s="2" t="str">
        <f>"CONJUNTO BOMBA PNEUMATICA"</f>
        <v>CONJUNTO BOMBA PNEUMATICA</v>
      </c>
      <c r="C7404" s="2" t="str">
        <f t="shared" si="288"/>
        <v>UN</v>
      </c>
      <c r="D7404" s="7">
        <v>704</v>
      </c>
      <c r="E7404" s="3">
        <v>9</v>
      </c>
      <c r="F7404" s="3">
        <v>9</v>
      </c>
      <c r="G7404" t="s">
        <v>514</v>
      </c>
    </row>
    <row r="7405" spans="1:7" x14ac:dyDescent="0.25">
      <c r="A7405" s="1" t="str">
        <f>"509161"</f>
        <v>509161</v>
      </c>
      <c r="B7405" s="2" t="str">
        <f>"CONJUNTO CAIXA DE COMANDO DE VALVULAS"</f>
        <v>CONJUNTO CAIXA DE COMANDO DE VALVULAS</v>
      </c>
      <c r="C7405" s="2" t="str">
        <f t="shared" si="288"/>
        <v>UN</v>
      </c>
      <c r="D7405" s="7">
        <v>704</v>
      </c>
      <c r="E7405" s="3">
        <v>9</v>
      </c>
      <c r="F7405" s="3">
        <v>9</v>
      </c>
      <c r="G7405" t="s">
        <v>514</v>
      </c>
    </row>
    <row r="7406" spans="1:7" x14ac:dyDescent="0.25">
      <c r="A7406" s="1" t="str">
        <f>"521530"</f>
        <v>521530</v>
      </c>
      <c r="B7406" s="2" t="str">
        <f>"CONJUNTO CALÇA/BLUSA/BLUSA FRIO DEGUSTAÇÃO CAROLINA"</f>
        <v>CONJUNTO CALÇA/BLUSA/BLUSA FRIO DEGUSTAÇÃO CAROLINA</v>
      </c>
      <c r="C7406" s="2" t="str">
        <f t="shared" si="288"/>
        <v>UN</v>
      </c>
      <c r="D7406" s="7">
        <v>99999</v>
      </c>
      <c r="E7406" s="3">
        <v>99</v>
      </c>
      <c r="F7406" s="3">
        <v>99</v>
      </c>
      <c r="G7406" t="s">
        <v>512</v>
      </c>
    </row>
    <row r="7407" spans="1:7" x14ac:dyDescent="0.25">
      <c r="A7407" s="1" t="str">
        <f>"516057"</f>
        <v>516057</v>
      </c>
      <c r="B7407" s="2" t="str">
        <f>"CONJUNTO CANIVETE CH TORX T9 A T40 8PÇS"</f>
        <v>CONJUNTO CANIVETE CH TORX T9 A T40 8PÇS</v>
      </c>
      <c r="C7407" s="2" t="str">
        <f t="shared" si="288"/>
        <v>UN</v>
      </c>
      <c r="D7407" s="7">
        <v>600</v>
      </c>
      <c r="E7407" s="3">
        <v>8</v>
      </c>
      <c r="F7407" s="3">
        <v>8</v>
      </c>
      <c r="G7407" t="s">
        <v>513</v>
      </c>
    </row>
    <row r="7408" spans="1:7" x14ac:dyDescent="0.25">
      <c r="A7408" s="1" t="str">
        <f>"526123"</f>
        <v>526123</v>
      </c>
      <c r="B7408" s="2" t="str">
        <f>"CONJUNTO CAPACITOR ELETROLITICO 4,7mF 400V"</f>
        <v>CONJUNTO CAPACITOR ELETROLITICO 4,7mF 400V</v>
      </c>
      <c r="C7408" s="2" t="str">
        <f t="shared" si="288"/>
        <v>UN</v>
      </c>
      <c r="D7408" s="7">
        <v>99999</v>
      </c>
      <c r="E7408" s="3">
        <v>99</v>
      </c>
      <c r="F7408" s="3">
        <v>99</v>
      </c>
      <c r="G7408" t="s">
        <v>514</v>
      </c>
    </row>
    <row r="7409" spans="1:7" x14ac:dyDescent="0.25">
      <c r="A7409" s="1" t="str">
        <f>"522265"</f>
        <v>522265</v>
      </c>
      <c r="B7409" s="2" t="str">
        <f>"CONJUNTO CAPÔS INOX 430 (COLUNAS CILINDRO E MOTOR)"</f>
        <v>CONJUNTO CAPÔS INOX 430 (COLUNAS CILINDRO E MOTOR)</v>
      </c>
      <c r="C7409" s="2" t="str">
        <f t="shared" si="288"/>
        <v>UN</v>
      </c>
      <c r="D7409" s="7">
        <v>99999</v>
      </c>
      <c r="E7409" s="3">
        <v>99</v>
      </c>
      <c r="F7409" s="3">
        <v>99</v>
      </c>
      <c r="G7409" t="s">
        <v>514</v>
      </c>
    </row>
    <row r="7410" spans="1:7" x14ac:dyDescent="0.25">
      <c r="A7410" s="1" t="str">
        <f>"526127"</f>
        <v>526127</v>
      </c>
      <c r="B7410" s="2" t="str">
        <f>"CONJUNTO CARTAO INTERFACE CIP2A.52"</f>
        <v>CONJUNTO CARTAO INTERFACE CIP2A.52</v>
      </c>
      <c r="C7410" s="2" t="str">
        <f t="shared" si="288"/>
        <v>UN</v>
      </c>
      <c r="D7410" s="7">
        <v>99999</v>
      </c>
      <c r="E7410" s="3">
        <v>99</v>
      </c>
      <c r="F7410" s="3">
        <v>99</v>
      </c>
      <c r="G7410" t="s">
        <v>514</v>
      </c>
    </row>
    <row r="7411" spans="1:7" x14ac:dyDescent="0.25">
      <c r="A7411" s="1" t="str">
        <f>"520645"</f>
        <v>520645</v>
      </c>
      <c r="B7411" s="2" t="str">
        <f>"CONJUNTO CARTÃO INTERFACE CIP2A.52 CIRC IMP P/ INVERSOR"</f>
        <v>CONJUNTO CARTÃO INTERFACE CIP2A.52 CIRC IMP P/ INVERSOR</v>
      </c>
      <c r="C7411" s="2" t="str">
        <f t="shared" si="288"/>
        <v>UN</v>
      </c>
      <c r="D7411" s="7">
        <v>811</v>
      </c>
      <c r="E7411" s="3">
        <v>11</v>
      </c>
      <c r="F7411" s="3">
        <v>11</v>
      </c>
      <c r="G7411" t="s">
        <v>513</v>
      </c>
    </row>
    <row r="7412" spans="1:7" x14ac:dyDescent="0.25">
      <c r="A7412" s="1" t="str">
        <f>"526126"</f>
        <v>526126</v>
      </c>
      <c r="B7412" s="2" t="str">
        <f>"CONJUNTO CARTAO RESISTORES GATE CRG2X.00"</f>
        <v>CONJUNTO CARTAO RESISTORES GATE CRG2X.00</v>
      </c>
      <c r="C7412" s="2" t="str">
        <f t="shared" si="288"/>
        <v>UN</v>
      </c>
      <c r="D7412" s="7">
        <v>99999</v>
      </c>
      <c r="E7412" s="3">
        <v>99</v>
      </c>
      <c r="F7412" s="3">
        <v>99</v>
      </c>
      <c r="G7412" t="s">
        <v>512</v>
      </c>
    </row>
    <row r="7413" spans="1:7" x14ac:dyDescent="0.25">
      <c r="A7413" s="1" t="str">
        <f>"511863"</f>
        <v>511863</v>
      </c>
      <c r="B7413" s="2" t="str">
        <f>"CONJUNTO CARVAO MOD.ZM220.2 AMONIA"</f>
        <v>CONJUNTO CARVAO MOD.ZM220.2 AMONIA</v>
      </c>
      <c r="C7413" s="2" t="str">
        <f t="shared" si="288"/>
        <v>UN</v>
      </c>
      <c r="D7413" s="7">
        <v>918</v>
      </c>
      <c r="E7413" s="3">
        <v>11</v>
      </c>
      <c r="F7413" s="3">
        <v>11</v>
      </c>
      <c r="G7413" t="s">
        <v>513</v>
      </c>
    </row>
    <row r="7414" spans="1:7" x14ac:dyDescent="0.25">
      <c r="A7414" s="1" t="str">
        <f>"523536"</f>
        <v>523536</v>
      </c>
      <c r="B7414" s="2" t="str">
        <f>"CONJUNTO CASTANHA NOVO MODELO TAMPA"</f>
        <v>CONJUNTO CASTANHA NOVO MODELO TAMPA</v>
      </c>
      <c r="C7414" s="2" t="str">
        <f t="shared" si="288"/>
        <v>UN</v>
      </c>
      <c r="D7414" s="7">
        <v>99999</v>
      </c>
      <c r="E7414" s="3">
        <v>99</v>
      </c>
      <c r="F7414" s="3">
        <v>99</v>
      </c>
      <c r="G7414" t="s">
        <v>514</v>
      </c>
    </row>
    <row r="7415" spans="1:7" x14ac:dyDescent="0.25">
      <c r="A7415" s="1" t="str">
        <f>"506076"</f>
        <v>506076</v>
      </c>
      <c r="B7415" s="2" t="str">
        <f>"CONJUNTO CILINDRO IGNICAO"</f>
        <v>CONJUNTO CILINDRO IGNICAO</v>
      </c>
      <c r="C7415" s="2" t="str">
        <f t="shared" si="288"/>
        <v>UN</v>
      </c>
      <c r="D7415" s="7">
        <v>704</v>
      </c>
      <c r="E7415" s="3">
        <v>9</v>
      </c>
      <c r="F7415" s="3">
        <v>9</v>
      </c>
      <c r="G7415" t="s">
        <v>514</v>
      </c>
    </row>
    <row r="7416" spans="1:7" x14ac:dyDescent="0.25">
      <c r="A7416" s="1" t="str">
        <f>"6250"</f>
        <v>6250</v>
      </c>
      <c r="B7416" s="2" t="str">
        <f>"CONJUNTO COLETA SELETIVA 50L SUP. METAL"</f>
        <v>CONJUNTO COLETA SELETIVA 50L SUP. METAL</v>
      </c>
      <c r="C7416" s="2" t="str">
        <f t="shared" si="288"/>
        <v>UN</v>
      </c>
      <c r="D7416" s="7">
        <v>400</v>
      </c>
      <c r="E7416" s="3">
        <v>4</v>
      </c>
      <c r="F7416" s="3">
        <v>4</v>
      </c>
      <c r="G7416" t="s">
        <v>514</v>
      </c>
    </row>
    <row r="7417" spans="1:7" x14ac:dyDescent="0.25">
      <c r="A7417" s="1" t="str">
        <f>"525293"</f>
        <v>525293</v>
      </c>
      <c r="B7417" s="2" t="str">
        <f>"CONJUNTO COMPLETO MEMBRANAS P/ ARLA MLP-9152-01"</f>
        <v>CONJUNTO COMPLETO MEMBRANAS P/ ARLA MLP-9152-01</v>
      </c>
      <c r="C7417" s="2" t="str">
        <f t="shared" si="288"/>
        <v>UN</v>
      </c>
      <c r="D7417" s="7">
        <v>918</v>
      </c>
      <c r="E7417" s="3">
        <v>11</v>
      </c>
      <c r="F7417" s="3">
        <v>11</v>
      </c>
      <c r="G7417" t="s">
        <v>513</v>
      </c>
    </row>
    <row r="7418" spans="1:7" x14ac:dyDescent="0.25">
      <c r="A7418" s="1" t="str">
        <f>"510772"</f>
        <v>510772</v>
      </c>
      <c r="B7418" s="2" t="str">
        <f>"CONJUNTO CONEXOES DAS MANGUEIRAS"</f>
        <v>CONJUNTO CONEXOES DAS MANGUEIRAS</v>
      </c>
      <c r="C7418" s="2" t="str">
        <f t="shared" si="288"/>
        <v>UN</v>
      </c>
      <c r="D7418" s="7">
        <v>402</v>
      </c>
      <c r="E7418" s="3">
        <v>4</v>
      </c>
      <c r="F7418" s="3">
        <v>4</v>
      </c>
      <c r="G7418" t="s">
        <v>513</v>
      </c>
    </row>
    <row r="7419" spans="1:7" x14ac:dyDescent="0.25">
      <c r="A7419" s="1" t="str">
        <f>"510225"</f>
        <v>510225</v>
      </c>
      <c r="B7419" s="2" t="str">
        <f>"CONJUNTO CONTRA SELAGEM/CONTRA-SELAGEM PETIT"</f>
        <v>CONJUNTO CONTRA SELAGEM/CONTRA-SELAGEM PETIT</v>
      </c>
      <c r="C7419" s="2" t="str">
        <f t="shared" si="288"/>
        <v>UN</v>
      </c>
      <c r="D7419" s="7">
        <v>918</v>
      </c>
      <c r="E7419" s="3">
        <v>11</v>
      </c>
      <c r="F7419" s="3">
        <v>11</v>
      </c>
      <c r="G7419" t="s">
        <v>513</v>
      </c>
    </row>
    <row r="7420" spans="1:7" x14ac:dyDescent="0.25">
      <c r="A7420" s="1" t="str">
        <f>"509563"</f>
        <v>509563</v>
      </c>
      <c r="B7420" s="2" t="str">
        <f>"CONJUNTO COROA E PINHAO"</f>
        <v>CONJUNTO COROA E PINHAO</v>
      </c>
      <c r="C7420" s="2" t="str">
        <f t="shared" si="288"/>
        <v>UN</v>
      </c>
      <c r="D7420" s="7">
        <v>704</v>
      </c>
      <c r="E7420" s="3">
        <v>9</v>
      </c>
      <c r="F7420" s="3">
        <v>9</v>
      </c>
      <c r="G7420" t="s">
        <v>512</v>
      </c>
    </row>
    <row r="7421" spans="1:7" x14ac:dyDescent="0.25">
      <c r="A7421" s="1" t="str">
        <f>"509837"</f>
        <v>509837</v>
      </c>
      <c r="B7421" s="2" t="str">
        <f>"CONJUNTO CORTE TRIMCUT 41-2"</f>
        <v>CONJUNTO CORTE TRIMCUT 41-2</v>
      </c>
      <c r="C7421" s="2" t="str">
        <f t="shared" si="288"/>
        <v>UN</v>
      </c>
      <c r="D7421" s="7">
        <v>402</v>
      </c>
      <c r="E7421" s="3">
        <v>4</v>
      </c>
      <c r="F7421" s="3">
        <v>4</v>
      </c>
      <c r="G7421" t="s">
        <v>513</v>
      </c>
    </row>
    <row r="7422" spans="1:7" x14ac:dyDescent="0.25">
      <c r="A7422" s="1" t="str">
        <f>"523537"</f>
        <v>523537</v>
      </c>
      <c r="B7422" s="2" t="str">
        <f>"CONJUNTO CURVA NOVO MODELO TAMPA"</f>
        <v>CONJUNTO CURVA NOVO MODELO TAMPA</v>
      </c>
      <c r="C7422" s="2" t="str">
        <f t="shared" si="288"/>
        <v>UN</v>
      </c>
      <c r="D7422" s="7">
        <v>99999</v>
      </c>
      <c r="E7422" s="3">
        <v>99</v>
      </c>
      <c r="F7422" s="3">
        <v>99</v>
      </c>
      <c r="G7422" t="s">
        <v>514</v>
      </c>
    </row>
    <row r="7423" spans="1:7" x14ac:dyDescent="0.25">
      <c r="A7423" s="1" t="str">
        <f>"509567"</f>
        <v>509567</v>
      </c>
      <c r="B7423" s="2" t="str">
        <f>"CONJUNTO DA PRENSA HORIZONTAL"</f>
        <v>CONJUNTO DA PRENSA HORIZONTAL</v>
      </c>
      <c r="C7423" s="2" t="str">
        <f t="shared" si="288"/>
        <v>UN</v>
      </c>
      <c r="D7423" s="7">
        <v>918</v>
      </c>
      <c r="E7423" s="3">
        <v>11</v>
      </c>
      <c r="F7423" s="3">
        <v>11</v>
      </c>
      <c r="G7423" t="s">
        <v>515</v>
      </c>
    </row>
    <row r="7424" spans="1:7" x14ac:dyDescent="0.25">
      <c r="A7424" s="1" t="str">
        <f>"509568"</f>
        <v>509568</v>
      </c>
      <c r="B7424" s="2" t="str">
        <f>"CONJUNTO DA PRENSA VERTICAL"</f>
        <v>CONJUNTO DA PRENSA VERTICAL</v>
      </c>
      <c r="C7424" s="2" t="str">
        <f t="shared" si="288"/>
        <v>UN</v>
      </c>
      <c r="D7424" s="7">
        <v>918</v>
      </c>
      <c r="E7424" s="3">
        <v>11</v>
      </c>
      <c r="F7424" s="3">
        <v>11</v>
      </c>
      <c r="G7424" t="s">
        <v>512</v>
      </c>
    </row>
    <row r="7425" spans="1:7" x14ac:dyDescent="0.25">
      <c r="A7425" s="1" t="str">
        <f>"524445"</f>
        <v>524445</v>
      </c>
      <c r="B7425" s="2" t="str">
        <f>"CONJUNTO DE AGULHAS DE FIXAÇÃO DO FORRO ISOPAINEL"</f>
        <v>CONJUNTO DE AGULHAS DE FIXAÇÃO DO FORRO ISOPAINEL</v>
      </c>
      <c r="C7425" s="2" t="str">
        <f>"PC"</f>
        <v>PC</v>
      </c>
      <c r="D7425" s="7">
        <v>806</v>
      </c>
      <c r="E7425" s="3">
        <v>10</v>
      </c>
      <c r="F7425" s="3">
        <v>10</v>
      </c>
      <c r="G7425" t="s">
        <v>516</v>
      </c>
    </row>
    <row r="7426" spans="1:7" x14ac:dyDescent="0.25">
      <c r="A7426" s="1" t="str">
        <f>"521264"</f>
        <v>521264</v>
      </c>
      <c r="B7426" s="2" t="str">
        <f>"CONJUNTO DE ATUALIZAÇAO PARA DINI 550M"</f>
        <v>CONJUNTO DE ATUALIZAÇAO PARA DINI 550M</v>
      </c>
      <c r="C7426" s="2" t="str">
        <f t="shared" ref="C7426:C7453" si="289">"UN"</f>
        <v>UN</v>
      </c>
      <c r="D7426" s="7">
        <v>1300</v>
      </c>
      <c r="E7426" s="3">
        <v>11</v>
      </c>
      <c r="F7426" s="3">
        <v>11</v>
      </c>
      <c r="G7426" t="s">
        <v>515</v>
      </c>
    </row>
    <row r="7427" spans="1:7" x14ac:dyDescent="0.25">
      <c r="A7427" s="1" t="str">
        <f>"502562"</f>
        <v>502562</v>
      </c>
      <c r="B7427" s="2" t="str">
        <f>"CONJUNTO DE CANO E CALOTA"</f>
        <v>CONJUNTO DE CANO E CALOTA</v>
      </c>
      <c r="C7427" s="2" t="str">
        <f t="shared" si="289"/>
        <v>UN</v>
      </c>
      <c r="D7427" s="7">
        <v>704</v>
      </c>
      <c r="E7427" s="3">
        <v>9</v>
      </c>
      <c r="F7427" s="3">
        <v>9</v>
      </c>
      <c r="G7427" t="s">
        <v>514</v>
      </c>
    </row>
    <row r="7428" spans="1:7" x14ac:dyDescent="0.25">
      <c r="A7428" s="1" t="str">
        <f>"525231"</f>
        <v>525231</v>
      </c>
      <c r="B7428" s="2" t="str">
        <f>"CONJUNTO DE CORTE"</f>
        <v>CONJUNTO DE CORTE</v>
      </c>
      <c r="C7428" s="2" t="str">
        <f t="shared" si="289"/>
        <v>UN</v>
      </c>
      <c r="D7428" s="7">
        <v>99999</v>
      </c>
      <c r="E7428" s="3">
        <v>99</v>
      </c>
      <c r="F7428" s="3">
        <v>99</v>
      </c>
      <c r="G7428" t="s">
        <v>512</v>
      </c>
    </row>
    <row r="7429" spans="1:7" x14ac:dyDescent="0.25">
      <c r="A7429" s="1" t="str">
        <f>"520869"</f>
        <v>520869</v>
      </c>
      <c r="B7429" s="2" t="str">
        <f>"CONJUNTO DE DISTRIBUIDORES P DOSADOR DE MASSA GREGO DINI 350"</f>
        <v>CONJUNTO DE DISTRIBUIDORES P DOSADOR DE MASSA GREGO DINI 350</v>
      </c>
      <c r="C7429" s="2" t="str">
        <f t="shared" si="289"/>
        <v>UN</v>
      </c>
      <c r="D7429" s="7">
        <v>1300</v>
      </c>
      <c r="E7429" s="3">
        <v>11</v>
      </c>
      <c r="F7429" s="3">
        <v>11</v>
      </c>
      <c r="G7429" t="s">
        <v>513</v>
      </c>
    </row>
    <row r="7430" spans="1:7" x14ac:dyDescent="0.25">
      <c r="A7430" s="1" t="str">
        <f>"520867"</f>
        <v>520867</v>
      </c>
      <c r="B7430" s="2" t="str">
        <f>"CONJUNTO DE DISTRIBUIDORES P DOSADOR DE MASSA PETIT DINI 350"</f>
        <v>CONJUNTO DE DISTRIBUIDORES P DOSADOR DE MASSA PETIT DINI 350</v>
      </c>
      <c r="C7430" s="2" t="str">
        <f t="shared" si="289"/>
        <v>UN</v>
      </c>
      <c r="D7430" s="7">
        <v>1300</v>
      </c>
      <c r="E7430" s="3">
        <v>11</v>
      </c>
      <c r="F7430" s="3">
        <v>11</v>
      </c>
      <c r="G7430" t="s">
        <v>514</v>
      </c>
    </row>
    <row r="7431" spans="1:7" x14ac:dyDescent="0.25">
      <c r="A7431" s="1" t="str">
        <f>"520870"</f>
        <v>520870</v>
      </c>
      <c r="B7431" s="2" t="str">
        <f>"CONJUNTO DE DISTRIBUIDORES P DOSADOR GELÉIA GREGO DINI 350"</f>
        <v>CONJUNTO DE DISTRIBUIDORES P DOSADOR GELÉIA GREGO DINI 350</v>
      </c>
      <c r="C7431" s="2" t="str">
        <f t="shared" si="289"/>
        <v>UN</v>
      </c>
      <c r="D7431" s="7">
        <v>1300</v>
      </c>
      <c r="E7431" s="3">
        <v>11</v>
      </c>
      <c r="F7431" s="3">
        <v>11</v>
      </c>
      <c r="G7431" t="s">
        <v>514</v>
      </c>
    </row>
    <row r="7432" spans="1:7" x14ac:dyDescent="0.25">
      <c r="A7432" s="1" t="str">
        <f>"520868"</f>
        <v>520868</v>
      </c>
      <c r="B7432" s="2" t="str">
        <f>"CONJUNTO DE DISTRIBUIDORES P DOSADOR GELÉIA PETIT DINI 350"</f>
        <v>CONJUNTO DE DISTRIBUIDORES P DOSADOR GELÉIA PETIT DINI 350</v>
      </c>
      <c r="C7432" s="2" t="str">
        <f t="shared" si="289"/>
        <v>UN</v>
      </c>
      <c r="D7432" s="7">
        <v>1300</v>
      </c>
      <c r="E7432" s="3">
        <v>11</v>
      </c>
      <c r="F7432" s="3">
        <v>11</v>
      </c>
      <c r="G7432" t="s">
        <v>512</v>
      </c>
    </row>
    <row r="7433" spans="1:7" x14ac:dyDescent="0.25">
      <c r="A7433" s="1" t="str">
        <f>"526714"</f>
        <v>526714</v>
      </c>
      <c r="B7433" s="2" t="str">
        <f>"CONJUNTO DE EXTRAÇÃO DE AR"</f>
        <v>CONJUNTO DE EXTRAÇÃO DE AR</v>
      </c>
      <c r="C7433" s="2" t="str">
        <f t="shared" si="289"/>
        <v>UN</v>
      </c>
      <c r="D7433" s="7">
        <v>918</v>
      </c>
      <c r="E7433" s="3">
        <v>11</v>
      </c>
      <c r="F7433" s="3">
        <v>11</v>
      </c>
      <c r="G7433" t="s">
        <v>513</v>
      </c>
    </row>
    <row r="7434" spans="1:7" x14ac:dyDescent="0.25">
      <c r="A7434" s="1" t="str">
        <f>"526715"</f>
        <v>526715</v>
      </c>
      <c r="B7434" s="2" t="str">
        <f>"CONJUNTO DE EXTRAÇÃO DE AR INTERNO"</f>
        <v>CONJUNTO DE EXTRAÇÃO DE AR INTERNO</v>
      </c>
      <c r="C7434" s="2" t="str">
        <f t="shared" si="289"/>
        <v>UN</v>
      </c>
      <c r="D7434" s="7">
        <v>918</v>
      </c>
      <c r="E7434" s="3">
        <v>11</v>
      </c>
      <c r="F7434" s="3">
        <v>11</v>
      </c>
      <c r="G7434" t="s">
        <v>514</v>
      </c>
    </row>
    <row r="7435" spans="1:7" x14ac:dyDescent="0.25">
      <c r="A7435" s="1" t="str">
        <f>"505980"</f>
        <v>505980</v>
      </c>
      <c r="B7435" s="2" t="str">
        <f>"CONJUNTO DE FACAS E PLACAS DEGOLADORA PA"</f>
        <v>CONJUNTO DE FACAS E PLACAS DEGOLADORA PA</v>
      </c>
      <c r="C7435" s="2" t="str">
        <f t="shared" si="289"/>
        <v>UN</v>
      </c>
      <c r="D7435" s="7">
        <v>918</v>
      </c>
      <c r="E7435" s="3">
        <v>11</v>
      </c>
      <c r="F7435" s="3">
        <v>11</v>
      </c>
      <c r="G7435" t="s">
        <v>514</v>
      </c>
    </row>
    <row r="7436" spans="1:7" x14ac:dyDescent="0.25">
      <c r="A7436" s="1" t="str">
        <f>"514706"</f>
        <v>514706</v>
      </c>
      <c r="B7436" s="2" t="str">
        <f>"CONJUNTO DE FERRAMENTAS 41 PÇS"</f>
        <v>CONJUNTO DE FERRAMENTAS 41 PÇS</v>
      </c>
      <c r="C7436" s="2" t="str">
        <f t="shared" si="289"/>
        <v>UN</v>
      </c>
      <c r="D7436" s="7">
        <v>401</v>
      </c>
      <c r="E7436" s="3">
        <v>4</v>
      </c>
      <c r="F7436" s="3">
        <v>4</v>
      </c>
      <c r="G7436" t="s">
        <v>514</v>
      </c>
    </row>
    <row r="7437" spans="1:7" x14ac:dyDescent="0.25">
      <c r="A7437" s="1" t="str">
        <f>"526978"</f>
        <v>526978</v>
      </c>
      <c r="B7437" s="2" t="str">
        <f>"CONJUNTO DE FLANGE E TAMPA DA INSPEÇÃO"</f>
        <v>CONJUNTO DE FLANGE E TAMPA DA INSPEÇÃO</v>
      </c>
      <c r="C7437" s="2" t="str">
        <f t="shared" si="289"/>
        <v>UN</v>
      </c>
      <c r="D7437" s="7">
        <v>807</v>
      </c>
      <c r="E7437" s="3">
        <v>10</v>
      </c>
      <c r="F7437" s="3">
        <v>10</v>
      </c>
      <c r="G7437" t="s">
        <v>513</v>
      </c>
    </row>
    <row r="7438" spans="1:7" x14ac:dyDescent="0.25">
      <c r="A7438" s="1" t="str">
        <f>"521590"</f>
        <v>521590</v>
      </c>
      <c r="B7438" s="2" t="str">
        <f>"CONJUNTO DE PÇS HOMOGENIZADOR APV BRHOMOKIT0"</f>
        <v>CONJUNTO DE PÇS HOMOGENIZADOR APV BRHOMOKIT0</v>
      </c>
      <c r="C7438" s="2" t="str">
        <f t="shared" si="289"/>
        <v>UN</v>
      </c>
      <c r="D7438" s="7">
        <v>99999</v>
      </c>
      <c r="E7438" s="3">
        <v>99</v>
      </c>
      <c r="F7438" s="3">
        <v>99</v>
      </c>
      <c r="G7438" t="s">
        <v>512</v>
      </c>
    </row>
    <row r="7439" spans="1:7" x14ac:dyDescent="0.25">
      <c r="A7439" s="1" t="str">
        <f>"521593"</f>
        <v>521593</v>
      </c>
      <c r="B7439" s="2" t="str">
        <f>"CONJUNTO DE PÇS HOMOGENIZADOR APV BRHOMOKIT10"</f>
        <v>CONJUNTO DE PÇS HOMOGENIZADOR APV BRHOMOKIT10</v>
      </c>
      <c r="C7439" s="2" t="str">
        <f t="shared" si="289"/>
        <v>UN</v>
      </c>
      <c r="D7439" s="7">
        <v>99999</v>
      </c>
      <c r="E7439" s="3">
        <v>99</v>
      </c>
      <c r="F7439" s="3">
        <v>99</v>
      </c>
      <c r="G7439" t="s">
        <v>513</v>
      </c>
    </row>
    <row r="7440" spans="1:7" x14ac:dyDescent="0.25">
      <c r="A7440" s="1" t="str">
        <f>"521594"</f>
        <v>521594</v>
      </c>
      <c r="B7440" s="2" t="str">
        <f>"CONJUNTO DE PÇS HOMOGENIZADOR APV BRHOMOKIT15"</f>
        <v>CONJUNTO DE PÇS HOMOGENIZADOR APV BRHOMOKIT15</v>
      </c>
      <c r="C7440" s="2" t="str">
        <f t="shared" si="289"/>
        <v>UN</v>
      </c>
      <c r="D7440" s="7">
        <v>99999</v>
      </c>
      <c r="E7440" s="3">
        <v>99</v>
      </c>
      <c r="F7440" s="3">
        <v>99</v>
      </c>
      <c r="G7440" t="s">
        <v>514</v>
      </c>
    </row>
    <row r="7441" spans="1:7" x14ac:dyDescent="0.25">
      <c r="A7441" s="1" t="str">
        <f>"521591"</f>
        <v>521591</v>
      </c>
      <c r="B7441" s="2" t="str">
        <f>"CONJUNTO DE PÇS HOMOGENIZADOR APV BRHOMOKIT5"</f>
        <v>CONJUNTO DE PÇS HOMOGENIZADOR APV BRHOMOKIT5</v>
      </c>
      <c r="C7441" s="2" t="str">
        <f t="shared" si="289"/>
        <v>UN</v>
      </c>
      <c r="D7441" s="7">
        <v>99999</v>
      </c>
      <c r="E7441" s="3">
        <v>99</v>
      </c>
      <c r="F7441" s="3">
        <v>99</v>
      </c>
      <c r="G7441" t="s">
        <v>514</v>
      </c>
    </row>
    <row r="7442" spans="1:7" x14ac:dyDescent="0.25">
      <c r="A7442" s="1" t="str">
        <f>"521592"</f>
        <v>521592</v>
      </c>
      <c r="B7442" s="2" t="str">
        <f>"CONJUNTO DE PÇS HOMOGENIZADOR APV BRHOMOKIT8"</f>
        <v>CONJUNTO DE PÇS HOMOGENIZADOR APV BRHOMOKIT8</v>
      </c>
      <c r="C7442" s="2" t="str">
        <f t="shared" si="289"/>
        <v>UN</v>
      </c>
      <c r="D7442" s="7">
        <v>99999</v>
      </c>
      <c r="E7442" s="3">
        <v>99</v>
      </c>
      <c r="F7442" s="3">
        <v>99</v>
      </c>
      <c r="G7442" t="s">
        <v>514</v>
      </c>
    </row>
    <row r="7443" spans="1:7" x14ac:dyDescent="0.25">
      <c r="A7443" s="1" t="str">
        <f>"524680"</f>
        <v>524680</v>
      </c>
      <c r="B7443" s="2" t="str">
        <f>"CONJUNTO DE PENDURAIS P/ CORTINA PVC"</f>
        <v>CONJUNTO DE PENDURAIS P/ CORTINA PVC</v>
      </c>
      <c r="C7443" s="2" t="str">
        <f t="shared" si="289"/>
        <v>UN</v>
      </c>
      <c r="D7443" s="7">
        <v>99999</v>
      </c>
      <c r="E7443" s="3">
        <v>99</v>
      </c>
      <c r="F7443" s="3">
        <v>99</v>
      </c>
      <c r="G7443" t="s">
        <v>513</v>
      </c>
    </row>
    <row r="7444" spans="1:7" x14ac:dyDescent="0.25">
      <c r="A7444" s="1" t="str">
        <f>"520853"</f>
        <v>520853</v>
      </c>
      <c r="B7444" s="2" t="str">
        <f>"CONJUNTO DE PRESSURIZAÇÃO DOS TANQUES DE EQUILIBRIO"</f>
        <v>CONJUNTO DE PRESSURIZAÇÃO DOS TANQUES DE EQUILIBRIO</v>
      </c>
      <c r="C7444" s="2" t="str">
        <f t="shared" si="289"/>
        <v>UN</v>
      </c>
      <c r="D7444" s="7">
        <v>1300</v>
      </c>
      <c r="E7444" s="3">
        <v>11</v>
      </c>
      <c r="F7444" s="3">
        <v>11</v>
      </c>
      <c r="G7444" t="s">
        <v>513</v>
      </c>
    </row>
    <row r="7445" spans="1:7" x14ac:dyDescent="0.25">
      <c r="A7445" s="1" t="str">
        <f>"520866"</f>
        <v>520866</v>
      </c>
      <c r="B7445" s="2" t="str">
        <f>"CONJUNTO DE PRESSURIZAÇÃO DOS TANQUES DE EQUILIBRIO DINI 350"</f>
        <v>CONJUNTO DE PRESSURIZAÇÃO DOS TANQUES DE EQUILIBRIO DINI 350</v>
      </c>
      <c r="C7445" s="2" t="str">
        <f t="shared" si="289"/>
        <v>UN</v>
      </c>
      <c r="D7445" s="7">
        <v>1300</v>
      </c>
      <c r="E7445" s="3">
        <v>11</v>
      </c>
      <c r="F7445" s="3">
        <v>11</v>
      </c>
      <c r="G7445" t="s">
        <v>513</v>
      </c>
    </row>
    <row r="7446" spans="1:7" x14ac:dyDescent="0.25">
      <c r="A7446" s="1" t="str">
        <f>"521192"</f>
        <v>521192</v>
      </c>
      <c r="B7446" s="2" t="str">
        <f>"CONJUNTO DE ROLINHO DATADOR"</f>
        <v>CONJUNTO DE ROLINHO DATADOR</v>
      </c>
      <c r="C7446" s="2" t="str">
        <f t="shared" si="289"/>
        <v>UN</v>
      </c>
      <c r="D7446" s="7">
        <v>918</v>
      </c>
      <c r="E7446" s="3">
        <v>11</v>
      </c>
      <c r="F7446" s="3">
        <v>11</v>
      </c>
      <c r="G7446" t="s">
        <v>512</v>
      </c>
    </row>
    <row r="7447" spans="1:7" x14ac:dyDescent="0.25">
      <c r="A7447" s="1" t="str">
        <f>"525043"</f>
        <v>525043</v>
      </c>
      <c r="B7447" s="2" t="str">
        <f>"CONJUNTO DE SERVIÇO PARA VAL. CPMI 40169990"</f>
        <v>CONJUNTO DE SERVIÇO PARA VAL. CPMI 40169990</v>
      </c>
      <c r="C7447" s="2" t="str">
        <f t="shared" si="289"/>
        <v>UN</v>
      </c>
      <c r="D7447" s="7">
        <v>913</v>
      </c>
      <c r="E7447" s="3">
        <v>10</v>
      </c>
      <c r="F7447" s="3">
        <v>10</v>
      </c>
      <c r="G7447" t="s">
        <v>513</v>
      </c>
    </row>
    <row r="7448" spans="1:7" x14ac:dyDescent="0.25">
      <c r="A7448" s="1" t="str">
        <f>"523075"</f>
        <v>523075</v>
      </c>
      <c r="B7448" s="2" t="str">
        <f>"CONJUNTO DE SOLDAOR E PORTA COPO AÇO INOX BRASKOP 8.000"</f>
        <v>CONJUNTO DE SOLDAOR E PORTA COPO AÇO INOX BRASKOP 8.000</v>
      </c>
      <c r="C7448" s="2" t="str">
        <f t="shared" si="289"/>
        <v>UN</v>
      </c>
      <c r="D7448" s="7">
        <v>918</v>
      </c>
      <c r="E7448" s="3">
        <v>10</v>
      </c>
      <c r="F7448" s="3">
        <v>10</v>
      </c>
      <c r="G7448" t="s">
        <v>514</v>
      </c>
    </row>
    <row r="7449" spans="1:7" x14ac:dyDescent="0.25">
      <c r="A7449" s="1" t="str">
        <f>"526017"</f>
        <v>526017</v>
      </c>
      <c r="B7449" s="2" t="str">
        <f>"CONJUNTO DE TOMADA 2P+T LEGRAND"</f>
        <v>CONJUNTO DE TOMADA 2P+T LEGRAND</v>
      </c>
      <c r="C7449" s="2" t="str">
        <f t="shared" si="289"/>
        <v>UN</v>
      </c>
      <c r="D7449" s="7">
        <v>811</v>
      </c>
      <c r="E7449" s="3">
        <v>8</v>
      </c>
      <c r="F7449" s="3">
        <v>8</v>
      </c>
      <c r="G7449" t="s">
        <v>515</v>
      </c>
    </row>
    <row r="7450" spans="1:7" x14ac:dyDescent="0.25">
      <c r="A7450" s="1" t="str">
        <f>"518602"</f>
        <v>518602</v>
      </c>
      <c r="B7450" s="2" t="str">
        <f>"CONJUNTO DE TOMADA RJ45 PIAL PLUS"</f>
        <v>CONJUNTO DE TOMADA RJ45 PIAL PLUS</v>
      </c>
      <c r="C7450" s="2" t="str">
        <f t="shared" si="289"/>
        <v>UN</v>
      </c>
      <c r="D7450" s="7">
        <v>811</v>
      </c>
      <c r="E7450" s="3">
        <v>8</v>
      </c>
      <c r="F7450" s="3">
        <v>8</v>
      </c>
      <c r="G7450" t="s">
        <v>512</v>
      </c>
    </row>
    <row r="7451" spans="1:7" x14ac:dyDescent="0.25">
      <c r="A7451" s="1" t="str">
        <f>"514618"</f>
        <v>514618</v>
      </c>
      <c r="B7451" s="2" t="str">
        <f>"CONJUNTO DE TUBULAÇÃO INTERLIGAÇAO"</f>
        <v>CONJUNTO DE TUBULAÇÃO INTERLIGAÇAO</v>
      </c>
      <c r="C7451" s="2" t="str">
        <f t="shared" si="289"/>
        <v>UN</v>
      </c>
      <c r="D7451" s="7">
        <v>1300</v>
      </c>
      <c r="E7451" s="3">
        <v>13</v>
      </c>
      <c r="F7451" s="3">
        <v>13</v>
      </c>
      <c r="G7451" t="s">
        <v>516</v>
      </c>
    </row>
    <row r="7452" spans="1:7" x14ac:dyDescent="0.25">
      <c r="A7452" s="1" t="str">
        <f>"520865"</f>
        <v>520865</v>
      </c>
      <c r="B7452" s="2" t="str">
        <f>"CONJUNTO DESBOBINADOR DUPLO DE MATERIAL COBERTURA DINI 350"</f>
        <v>CONJUNTO DESBOBINADOR DUPLO DE MATERIAL COBERTURA DINI 350</v>
      </c>
      <c r="C7452" s="2" t="str">
        <f t="shared" si="289"/>
        <v>UN</v>
      </c>
      <c r="D7452" s="7">
        <v>1300</v>
      </c>
      <c r="E7452" s="3">
        <v>11</v>
      </c>
      <c r="F7452" s="3">
        <v>11</v>
      </c>
      <c r="G7452" t="s">
        <v>515</v>
      </c>
    </row>
    <row r="7453" spans="1:7" x14ac:dyDescent="0.25">
      <c r="A7453" s="1" t="str">
        <f>"519371"</f>
        <v>519371</v>
      </c>
      <c r="B7453" s="2" t="str">
        <f>"CONJUNTO DESBOBINADOR ROTULADEIRA"</f>
        <v>CONJUNTO DESBOBINADOR ROTULADEIRA</v>
      </c>
      <c r="C7453" s="2" t="str">
        <f t="shared" si="289"/>
        <v>UN</v>
      </c>
      <c r="D7453" s="7">
        <v>918</v>
      </c>
      <c r="E7453" s="3">
        <v>11</v>
      </c>
      <c r="F7453" s="3">
        <v>11</v>
      </c>
      <c r="G7453" t="s">
        <v>514</v>
      </c>
    </row>
    <row r="7454" spans="1:7" x14ac:dyDescent="0.25">
      <c r="A7454" s="1" t="str">
        <f>"514792"</f>
        <v>514792</v>
      </c>
      <c r="B7454" s="2" t="str">
        <f>"CONJUNTO DIGITO MINI (PACK MILK)"</f>
        <v>CONJUNTO DIGITO MINI (PACK MILK)</v>
      </c>
      <c r="C7454" s="2" t="str">
        <f>"PÇ"</f>
        <v>PÇ</v>
      </c>
      <c r="D7454" s="7">
        <v>305</v>
      </c>
      <c r="E7454" s="3">
        <v>11</v>
      </c>
      <c r="F7454" s="3">
        <v>11</v>
      </c>
      <c r="G7454" t="s">
        <v>512</v>
      </c>
    </row>
    <row r="7455" spans="1:7" x14ac:dyDescent="0.25">
      <c r="A7455" s="1" t="str">
        <f>"507148"</f>
        <v>507148</v>
      </c>
      <c r="B7455" s="2" t="str">
        <f>"CONJUNTO DO ROLO COD. 05.3320.079.51"</f>
        <v>CONJUNTO DO ROLO COD. 05.3320.079.51</v>
      </c>
      <c r="C7455" s="2" t="str">
        <f t="shared" ref="C7455:C7480" si="290">"UN"</f>
        <v>UN</v>
      </c>
      <c r="D7455" s="7">
        <v>918</v>
      </c>
      <c r="E7455" s="3">
        <v>11</v>
      </c>
      <c r="F7455" s="3">
        <v>11</v>
      </c>
      <c r="G7455" t="s">
        <v>513</v>
      </c>
    </row>
    <row r="7456" spans="1:7" x14ac:dyDescent="0.25">
      <c r="A7456" s="1" t="str">
        <f>"515863"</f>
        <v>515863</v>
      </c>
      <c r="B7456" s="2" t="str">
        <f>"CONJUNTO DRENO 1622379883 COMP. GA90VDSFF SERIE BRP069653"</f>
        <v>CONJUNTO DRENO 1622379883 COMP. GA90VDSFF SERIE BRP069653</v>
      </c>
      <c r="C7456" s="2" t="str">
        <f t="shared" si="290"/>
        <v>UN</v>
      </c>
      <c r="D7456" s="7">
        <v>99999</v>
      </c>
      <c r="E7456" s="3">
        <v>99</v>
      </c>
      <c r="F7456" s="3">
        <v>99</v>
      </c>
      <c r="G7456" t="s">
        <v>514</v>
      </c>
    </row>
    <row r="7457" spans="1:7" x14ac:dyDescent="0.25">
      <c r="A7457" s="1" t="str">
        <f>"526186"</f>
        <v>526186</v>
      </c>
      <c r="B7457" s="2" t="str">
        <f>"CONJUNTO DRIVE+SERVO MOTOR SEW KH57/R/T VM71M/BR/TF/RH1L/KK"""</f>
        <v>CONJUNTO DRIVE+SERVO MOTOR SEW KH57/R/T VM71M/BR/TF/RH1L/KK"</v>
      </c>
      <c r="C7457" s="2" t="str">
        <f t="shared" si="290"/>
        <v>UN</v>
      </c>
      <c r="D7457" s="7">
        <v>918</v>
      </c>
      <c r="E7457" s="3">
        <v>11</v>
      </c>
      <c r="F7457" s="3">
        <v>11</v>
      </c>
      <c r="G7457" t="s">
        <v>514</v>
      </c>
    </row>
    <row r="7458" spans="1:7" x14ac:dyDescent="0.25">
      <c r="A7458" s="1" t="str">
        <f>"504980"</f>
        <v>504980</v>
      </c>
      <c r="B7458" s="2" t="str">
        <f>"CONJUNTO EIXO STD PNEUM"</f>
        <v>CONJUNTO EIXO STD PNEUM</v>
      </c>
      <c r="C7458" s="2" t="str">
        <f t="shared" si="290"/>
        <v>UN</v>
      </c>
      <c r="D7458" s="7">
        <v>704</v>
      </c>
      <c r="E7458" s="3">
        <v>9</v>
      </c>
      <c r="F7458" s="3">
        <v>9</v>
      </c>
      <c r="G7458" t="s">
        <v>512</v>
      </c>
    </row>
    <row r="7459" spans="1:7" x14ac:dyDescent="0.25">
      <c r="A7459" s="1" t="str">
        <f>"509573"</f>
        <v>509573</v>
      </c>
      <c r="B7459" s="2" t="str">
        <f>"CONJUNTO ELETRODO HORIZONTAL"</f>
        <v>CONJUNTO ELETRODO HORIZONTAL</v>
      </c>
      <c r="C7459" s="2" t="str">
        <f t="shared" si="290"/>
        <v>UN</v>
      </c>
      <c r="D7459" s="7">
        <v>918</v>
      </c>
      <c r="E7459" s="3">
        <v>11</v>
      </c>
      <c r="F7459" s="3">
        <v>11</v>
      </c>
      <c r="G7459" t="s">
        <v>513</v>
      </c>
    </row>
    <row r="7460" spans="1:7" x14ac:dyDescent="0.25">
      <c r="A7460" s="1" t="str">
        <f>"517724"</f>
        <v>517724</v>
      </c>
      <c r="B7460" s="2" t="str">
        <f>"CONJUNTO ELETRODO VERTICAL"</f>
        <v>CONJUNTO ELETRODO VERTICAL</v>
      </c>
      <c r="C7460" s="2" t="str">
        <f t="shared" si="290"/>
        <v>UN</v>
      </c>
      <c r="D7460" s="7">
        <v>811</v>
      </c>
      <c r="E7460" s="3">
        <v>8</v>
      </c>
      <c r="F7460" s="3">
        <v>8</v>
      </c>
      <c r="G7460" t="s">
        <v>514</v>
      </c>
    </row>
    <row r="7461" spans="1:7" x14ac:dyDescent="0.25">
      <c r="A7461" s="1" t="str">
        <f>"522968"</f>
        <v>522968</v>
      </c>
      <c r="B7461" s="2" t="str">
        <f>"CONJUNTO ESPECIAL 304 CONFORME DESENHO"</f>
        <v>CONJUNTO ESPECIAL 304 CONFORME DESENHO</v>
      </c>
      <c r="C7461" s="2" t="str">
        <f t="shared" si="290"/>
        <v>UN</v>
      </c>
      <c r="D7461" s="7">
        <v>807</v>
      </c>
      <c r="E7461" s="3">
        <v>10</v>
      </c>
      <c r="F7461" s="3">
        <v>10</v>
      </c>
      <c r="G7461" t="s">
        <v>514</v>
      </c>
    </row>
    <row r="7462" spans="1:7" x14ac:dyDescent="0.25">
      <c r="A7462" s="1" t="str">
        <f>"515322"</f>
        <v>515322</v>
      </c>
      <c r="B7462" s="2" t="str">
        <f>"CONJUNTO EVAPORADOR BITZER 4 C/ COMPRESSOR"</f>
        <v>CONJUNTO EVAPORADOR BITZER 4 C/ COMPRESSOR</v>
      </c>
      <c r="C7462" s="2" t="str">
        <f t="shared" si="290"/>
        <v>UN</v>
      </c>
      <c r="D7462" s="7">
        <v>1300</v>
      </c>
      <c r="E7462" s="3">
        <v>13</v>
      </c>
      <c r="F7462" s="3">
        <v>13</v>
      </c>
      <c r="G7462" t="s">
        <v>514</v>
      </c>
    </row>
    <row r="7463" spans="1:7" x14ac:dyDescent="0.25">
      <c r="A7463" s="1" t="str">
        <f>"515933"</f>
        <v>515933</v>
      </c>
      <c r="B7463" s="2" t="str">
        <f>"CONJUNTO EWD330M 230VAC"</f>
        <v>CONJUNTO EWD330M 230VAC</v>
      </c>
      <c r="C7463" s="2" t="str">
        <f t="shared" si="290"/>
        <v>UN</v>
      </c>
      <c r="D7463" s="7">
        <v>913</v>
      </c>
      <c r="E7463" s="3">
        <v>11</v>
      </c>
      <c r="F7463" s="3">
        <v>11</v>
      </c>
      <c r="G7463" t="s">
        <v>513</v>
      </c>
    </row>
    <row r="7464" spans="1:7" x14ac:dyDescent="0.25">
      <c r="A7464" s="1" t="str">
        <f>"525079"</f>
        <v>525079</v>
      </c>
      <c r="B7464" s="2" t="str">
        <f>"CONJUNTO FECHAMENTO DA PORTA COM IMAS"</f>
        <v>CONJUNTO FECHAMENTO DA PORTA COM IMAS</v>
      </c>
      <c r="C7464" s="2" t="str">
        <f t="shared" si="290"/>
        <v>UN</v>
      </c>
      <c r="D7464" s="7">
        <v>918</v>
      </c>
      <c r="E7464" s="3">
        <v>11</v>
      </c>
      <c r="F7464" s="3">
        <v>11</v>
      </c>
      <c r="G7464" t="s">
        <v>512</v>
      </c>
    </row>
    <row r="7465" spans="1:7" x14ac:dyDescent="0.25">
      <c r="A7465" s="1" t="str">
        <f>"516072"</f>
        <v>516072</v>
      </c>
      <c r="B7465" s="2" t="str">
        <f>"CONJUNTO FERRAMENTA CORTE/PRÉ CORTE PETIT"</f>
        <v>CONJUNTO FERRAMENTA CORTE/PRÉ CORTE PETIT</v>
      </c>
      <c r="C7465" s="2" t="str">
        <f t="shared" si="290"/>
        <v>UN</v>
      </c>
      <c r="D7465" s="7">
        <v>918</v>
      </c>
      <c r="E7465" s="3">
        <v>11</v>
      </c>
      <c r="F7465" s="3">
        <v>11</v>
      </c>
      <c r="G7465" t="s">
        <v>513</v>
      </c>
    </row>
    <row r="7466" spans="1:7" x14ac:dyDescent="0.25">
      <c r="A7466" s="1" t="str">
        <f>"516073"</f>
        <v>516073</v>
      </c>
      <c r="B7466" s="2" t="str">
        <f>"CONJUNTO FERRAMENTA PRÉ CORTE"</f>
        <v>CONJUNTO FERRAMENTA PRÉ CORTE</v>
      </c>
      <c r="C7466" s="2" t="str">
        <f t="shared" si="290"/>
        <v>UN</v>
      </c>
      <c r="D7466" s="7">
        <v>918</v>
      </c>
      <c r="E7466" s="3">
        <v>11</v>
      </c>
      <c r="F7466" s="3">
        <v>11</v>
      </c>
      <c r="G7466" t="s">
        <v>514</v>
      </c>
    </row>
    <row r="7467" spans="1:7" x14ac:dyDescent="0.25">
      <c r="A7467" s="1" t="str">
        <f>"523953"</f>
        <v>523953</v>
      </c>
      <c r="B7467" s="2" t="str">
        <f>"CONJUNTO FIBERGLASS 50 LITROS AM 1329"</f>
        <v>CONJUNTO FIBERGLASS 50 LITROS AM 1329</v>
      </c>
      <c r="C7467" s="2" t="str">
        <f t="shared" si="290"/>
        <v>UN</v>
      </c>
      <c r="D7467" s="7">
        <v>400</v>
      </c>
      <c r="E7467" s="3">
        <v>4</v>
      </c>
      <c r="F7467" s="3">
        <v>4</v>
      </c>
      <c r="G7467" t="s">
        <v>514</v>
      </c>
    </row>
    <row r="7468" spans="1:7" x14ac:dyDescent="0.25">
      <c r="A7468" s="1" t="str">
        <f>"524652"</f>
        <v>524652</v>
      </c>
      <c r="B7468" s="2" t="str">
        <f>"CONJUNTO FRIGORIFICO"</f>
        <v>CONJUNTO FRIGORIFICO</v>
      </c>
      <c r="C7468" s="2" t="str">
        <f t="shared" si="290"/>
        <v>UN</v>
      </c>
      <c r="D7468" s="7">
        <v>818</v>
      </c>
      <c r="E7468" s="3">
        <v>10</v>
      </c>
      <c r="F7468" s="3">
        <v>10</v>
      </c>
      <c r="G7468" t="s">
        <v>514</v>
      </c>
    </row>
    <row r="7469" spans="1:7" x14ac:dyDescent="0.25">
      <c r="A7469" s="1" t="str">
        <f>"519372"</f>
        <v>519372</v>
      </c>
      <c r="B7469" s="2" t="str">
        <f>"CONJUNTO GAIOLA COM CENTRALIZADOR ROTULADEIRA"</f>
        <v>CONJUNTO GAIOLA COM CENTRALIZADOR ROTULADEIRA</v>
      </c>
      <c r="C7469" s="2" t="str">
        <f t="shared" si="290"/>
        <v>UN</v>
      </c>
      <c r="D7469" s="7">
        <v>918</v>
      </c>
      <c r="E7469" s="3">
        <v>11</v>
      </c>
      <c r="F7469" s="3">
        <v>11</v>
      </c>
      <c r="G7469" t="s">
        <v>513</v>
      </c>
    </row>
    <row r="7470" spans="1:7" x14ac:dyDescent="0.25">
      <c r="A7470" s="1" t="str">
        <f>"509052"</f>
        <v>509052</v>
      </c>
      <c r="B7470" s="2" t="str">
        <f>"CONJUNTO HASTE CORRENTE CPL 007706009"</f>
        <v>CONJUNTO HASTE CORRENTE CPL 007706009</v>
      </c>
      <c r="C7470" s="2" t="str">
        <f t="shared" si="290"/>
        <v>UN</v>
      </c>
      <c r="D7470" s="7">
        <v>918</v>
      </c>
      <c r="E7470" s="3">
        <v>11</v>
      </c>
      <c r="F7470" s="3">
        <v>11</v>
      </c>
      <c r="G7470" t="s">
        <v>513</v>
      </c>
    </row>
    <row r="7471" spans="1:7" x14ac:dyDescent="0.25">
      <c r="A7471" s="1" t="str">
        <f>"527962"</f>
        <v>527962</v>
      </c>
      <c r="B7471" s="2" t="str">
        <f>"CONJUNTO IMPERM. 100% CONTRA CHUVAS TOUCA CA-35300 TAM G"</f>
        <v>CONJUNTO IMPERM. 100% CONTRA CHUVAS TOUCA CA-35300 TAM G</v>
      </c>
      <c r="C7471" s="2" t="str">
        <f t="shared" si="290"/>
        <v>UN</v>
      </c>
      <c r="D7471" s="7">
        <v>501</v>
      </c>
      <c r="E7471" s="3">
        <v>5</v>
      </c>
      <c r="F7471" s="3">
        <v>5</v>
      </c>
      <c r="G7471" t="s">
        <v>513</v>
      </c>
    </row>
    <row r="7472" spans="1:7" x14ac:dyDescent="0.25">
      <c r="A7472" s="1" t="str">
        <f>"527961"</f>
        <v>527961</v>
      </c>
      <c r="B7472" s="2" t="str">
        <f>"CONJUNTO IMPERM. 100% CONTRA CHUVAS TOUCA CA-35300 TAM M"</f>
        <v>CONJUNTO IMPERM. 100% CONTRA CHUVAS TOUCA CA-35300 TAM M</v>
      </c>
      <c r="C7472" s="2" t="str">
        <f t="shared" si="290"/>
        <v>UN</v>
      </c>
      <c r="D7472" s="7">
        <v>501</v>
      </c>
      <c r="E7472" s="3">
        <v>5</v>
      </c>
      <c r="F7472" s="3">
        <v>5</v>
      </c>
      <c r="G7472" t="s">
        <v>512</v>
      </c>
    </row>
    <row r="7473" spans="1:7" x14ac:dyDescent="0.25">
      <c r="A7473" s="1" t="str">
        <f>"523534"</f>
        <v>523534</v>
      </c>
      <c r="B7473" s="2" t="str">
        <f>"CONJUNTO KIT + PARTE MOVEL BASE BLOCK FRASCO 200GR"</f>
        <v>CONJUNTO KIT + PARTE MOVEL BASE BLOCK FRASCO 200GR</v>
      </c>
      <c r="C7473" s="2" t="str">
        <f t="shared" si="290"/>
        <v>UN</v>
      </c>
      <c r="D7473" s="7">
        <v>99999</v>
      </c>
      <c r="E7473" s="3">
        <v>99</v>
      </c>
      <c r="F7473" s="3">
        <v>99</v>
      </c>
      <c r="G7473" t="s">
        <v>513</v>
      </c>
    </row>
    <row r="7474" spans="1:7" x14ac:dyDescent="0.25">
      <c r="A7474" s="1" t="str">
        <f>"513285"</f>
        <v>513285</v>
      </c>
      <c r="B7474" s="2" t="str">
        <f>"CONJUNTO LITS 51100"</f>
        <v>CONJUNTO LITS 51100</v>
      </c>
      <c r="C7474" s="2" t="str">
        <f t="shared" si="290"/>
        <v>UN</v>
      </c>
      <c r="D7474" s="7">
        <v>918</v>
      </c>
      <c r="E7474" s="3">
        <v>11</v>
      </c>
      <c r="F7474" s="3">
        <v>11</v>
      </c>
      <c r="G7474" t="s">
        <v>514</v>
      </c>
    </row>
    <row r="7475" spans="1:7" x14ac:dyDescent="0.25">
      <c r="A7475" s="1" t="str">
        <f>"511453"</f>
        <v>511453</v>
      </c>
      <c r="B7475" s="2" t="str">
        <f>"CONJUNTO LUBREFIL 1"""</f>
        <v>CONJUNTO LUBREFIL 1"</v>
      </c>
      <c r="C7475" s="2" t="str">
        <f t="shared" si="290"/>
        <v>UN</v>
      </c>
      <c r="D7475" s="7">
        <v>913</v>
      </c>
      <c r="E7475" s="3">
        <v>11</v>
      </c>
      <c r="F7475" s="3">
        <v>11</v>
      </c>
      <c r="G7475" t="s">
        <v>515</v>
      </c>
    </row>
    <row r="7476" spans="1:7" x14ac:dyDescent="0.25">
      <c r="A7476" s="1" t="str">
        <f>"511452"</f>
        <v>511452</v>
      </c>
      <c r="B7476" s="2" t="str">
        <f>"CONJUNTO LUBREFIL 1/2"""</f>
        <v>CONJUNTO LUBREFIL 1/2"</v>
      </c>
      <c r="C7476" s="2" t="str">
        <f t="shared" si="290"/>
        <v>UN</v>
      </c>
      <c r="D7476" s="7">
        <v>913</v>
      </c>
      <c r="E7476" s="3">
        <v>11</v>
      </c>
      <c r="F7476" s="3">
        <v>11</v>
      </c>
      <c r="G7476" t="s">
        <v>512</v>
      </c>
    </row>
    <row r="7477" spans="1:7" x14ac:dyDescent="0.25">
      <c r="A7477" s="1" t="str">
        <f>"509555"</f>
        <v>509555</v>
      </c>
      <c r="B7477" s="2" t="str">
        <f>"CONJUNTO LUBREFIL 3/4"""</f>
        <v>CONJUNTO LUBREFIL 3/4"</v>
      </c>
      <c r="C7477" s="2" t="str">
        <f t="shared" si="290"/>
        <v>UN</v>
      </c>
      <c r="D7477" s="7">
        <v>913</v>
      </c>
      <c r="E7477" s="3">
        <v>11</v>
      </c>
      <c r="F7477" s="3">
        <v>11</v>
      </c>
      <c r="G7477" t="s">
        <v>516</v>
      </c>
    </row>
    <row r="7478" spans="1:7" x14ac:dyDescent="0.25">
      <c r="A7478" s="1" t="str">
        <f>"506564"</f>
        <v>506564</v>
      </c>
      <c r="B7478" s="2" t="str">
        <f>"CONJUNTO LUBREFIL MICRO COD. 0101003465"</f>
        <v>CONJUNTO LUBREFIL MICRO COD. 0101003465</v>
      </c>
      <c r="C7478" s="2" t="str">
        <f t="shared" si="290"/>
        <v>UN</v>
      </c>
      <c r="D7478" s="7">
        <v>913</v>
      </c>
      <c r="E7478" s="3">
        <v>11</v>
      </c>
      <c r="F7478" s="3">
        <v>11</v>
      </c>
      <c r="G7478" t="s">
        <v>515</v>
      </c>
    </row>
    <row r="7479" spans="1:7" x14ac:dyDescent="0.25">
      <c r="A7479" s="1" t="str">
        <f>"510262"</f>
        <v>510262</v>
      </c>
      <c r="B7479" s="2" t="str">
        <f>"CONJUNTO LUBREFIL PARKER A1BA0BC 1/2"""</f>
        <v>CONJUNTO LUBREFIL PARKER A1BA0BC 1/2"</v>
      </c>
      <c r="C7479" s="2" t="str">
        <f t="shared" si="290"/>
        <v>UN</v>
      </c>
      <c r="D7479" s="7">
        <v>913</v>
      </c>
      <c r="E7479" s="3">
        <v>11</v>
      </c>
      <c r="F7479" s="3">
        <v>11</v>
      </c>
      <c r="G7479" t="s">
        <v>514</v>
      </c>
    </row>
    <row r="7480" spans="1:7" x14ac:dyDescent="0.25">
      <c r="A7480" s="1" t="str">
        <f>"512103"</f>
        <v>512103</v>
      </c>
      <c r="B7480" s="2" t="str">
        <f>"CONJUNTO MACHO/FEMEA BATERIA TOYOTA"</f>
        <v>CONJUNTO MACHO/FEMEA BATERIA TOYOTA</v>
      </c>
      <c r="C7480" s="2" t="str">
        <f t="shared" si="290"/>
        <v>UN</v>
      </c>
      <c r="D7480" s="7">
        <v>900</v>
      </c>
      <c r="E7480" s="3">
        <v>11</v>
      </c>
      <c r="F7480" s="3">
        <v>11</v>
      </c>
      <c r="G7480" t="s">
        <v>512</v>
      </c>
    </row>
    <row r="7481" spans="1:7" x14ac:dyDescent="0.25">
      <c r="A7481" s="1" t="str">
        <f>"516459"</f>
        <v>516459</v>
      </c>
      <c r="B7481" s="2" t="str">
        <f>"CONJUNTO METALICO P/ ARMAZEM"</f>
        <v>CONJUNTO METALICO P/ ARMAZEM</v>
      </c>
      <c r="C7481" s="2" t="str">
        <f>"PC"</f>
        <v>PC</v>
      </c>
      <c r="D7481" s="7">
        <v>806</v>
      </c>
      <c r="E7481" s="3">
        <v>10</v>
      </c>
      <c r="F7481" s="3">
        <v>10</v>
      </c>
      <c r="G7481" t="s">
        <v>513</v>
      </c>
    </row>
    <row r="7482" spans="1:7" x14ac:dyDescent="0.25">
      <c r="A7482" s="1" t="str">
        <f>"514680"</f>
        <v>514680</v>
      </c>
      <c r="B7482" s="2" t="str">
        <f>"CONJUNTO METALICO PARA ARMAZEN"</f>
        <v>CONJUNTO METALICO PARA ARMAZEN</v>
      </c>
      <c r="C7482" s="2" t="str">
        <f t="shared" ref="C7482:C7505" si="291">"UN"</f>
        <v>UN</v>
      </c>
      <c r="D7482" s="7">
        <v>917</v>
      </c>
      <c r="E7482" s="3">
        <v>10</v>
      </c>
      <c r="F7482" s="3">
        <v>10</v>
      </c>
      <c r="G7482" t="s">
        <v>514</v>
      </c>
    </row>
    <row r="7483" spans="1:7" x14ac:dyDescent="0.25">
      <c r="A7483" s="1" t="str">
        <f>"509390"</f>
        <v>509390</v>
      </c>
      <c r="B7483" s="2" t="str">
        <f>"CONJUNTO MOLA PRISIONEIRO 05.3320.062.50"</f>
        <v>CONJUNTO MOLA PRISIONEIRO 05.3320.062.50</v>
      </c>
      <c r="C7483" s="2" t="str">
        <f t="shared" si="291"/>
        <v>UN</v>
      </c>
      <c r="D7483" s="7">
        <v>918</v>
      </c>
      <c r="E7483" s="3">
        <v>11</v>
      </c>
      <c r="F7483" s="3">
        <v>11</v>
      </c>
      <c r="G7483" t="s">
        <v>514</v>
      </c>
    </row>
    <row r="7484" spans="1:7" x14ac:dyDescent="0.25">
      <c r="A7484" s="1" t="str">
        <f>"521476"</f>
        <v>521476</v>
      </c>
      <c r="B7484" s="2" t="str">
        <f>"CONJUNTO NR 10 TAMANHO G"</f>
        <v>CONJUNTO NR 10 TAMANHO G</v>
      </c>
      <c r="C7484" s="2" t="str">
        <f t="shared" si="291"/>
        <v>UN</v>
      </c>
      <c r="D7484" s="7">
        <v>501</v>
      </c>
      <c r="E7484" s="3">
        <v>5</v>
      </c>
      <c r="F7484" s="3">
        <v>5</v>
      </c>
      <c r="G7484" t="s">
        <v>512</v>
      </c>
    </row>
    <row r="7485" spans="1:7" x14ac:dyDescent="0.25">
      <c r="A7485" s="1" t="str">
        <f>"515516"</f>
        <v>515516</v>
      </c>
      <c r="B7485" s="2" t="str">
        <f>"CONJUNTO ODOMETRO"</f>
        <v>CONJUNTO ODOMETRO</v>
      </c>
      <c r="C7485" s="2" t="str">
        <f t="shared" si="291"/>
        <v>UN</v>
      </c>
      <c r="D7485" s="7">
        <v>704</v>
      </c>
      <c r="E7485" s="3">
        <v>9</v>
      </c>
      <c r="F7485" s="3">
        <v>9</v>
      </c>
      <c r="G7485" t="s">
        <v>513</v>
      </c>
    </row>
    <row r="7486" spans="1:7" x14ac:dyDescent="0.25">
      <c r="A7486" s="1" t="str">
        <f>"520708"</f>
        <v>520708</v>
      </c>
      <c r="B7486" s="2" t="str">
        <f>"CONJUNTO PARA SISTEMA DE PROTEÇÃO CONTRA INCENDIO"</f>
        <v>CONJUNTO PARA SISTEMA DE PROTEÇÃO CONTRA INCENDIO</v>
      </c>
      <c r="C7486" s="2" t="str">
        <f t="shared" si="291"/>
        <v>UN</v>
      </c>
      <c r="D7486" s="7">
        <v>99999</v>
      </c>
      <c r="E7486" s="3">
        <v>99</v>
      </c>
      <c r="F7486" s="3">
        <v>99</v>
      </c>
      <c r="G7486" t="s">
        <v>514</v>
      </c>
    </row>
    <row r="7487" spans="1:7" x14ac:dyDescent="0.25">
      <c r="A7487" s="1" t="str">
        <f>"511521"</f>
        <v>511521</v>
      </c>
      <c r="B7487" s="2" t="str">
        <f>"CONJUNTO PARA-CHOQUE 2400 TRASEIRO"</f>
        <v>CONJUNTO PARA-CHOQUE 2400 TRASEIRO</v>
      </c>
      <c r="C7487" s="2" t="str">
        <f t="shared" si="291"/>
        <v>UN</v>
      </c>
      <c r="D7487" s="7">
        <v>704</v>
      </c>
      <c r="E7487" s="3">
        <v>9</v>
      </c>
      <c r="F7487" s="3">
        <v>9</v>
      </c>
      <c r="G7487" t="s">
        <v>514</v>
      </c>
    </row>
    <row r="7488" spans="1:7" x14ac:dyDescent="0.25">
      <c r="A7488" s="1" t="str">
        <f>"519701"</f>
        <v>519701</v>
      </c>
      <c r="B7488" s="2" t="str">
        <f>"CONJUNTO PARACHOQUE TOCO/TRUCK"</f>
        <v>CONJUNTO PARACHOQUE TOCO/TRUCK</v>
      </c>
      <c r="C7488" s="2" t="str">
        <f t="shared" si="291"/>
        <v>UN</v>
      </c>
      <c r="D7488" s="7">
        <v>99999</v>
      </c>
      <c r="E7488" s="3">
        <v>99</v>
      </c>
      <c r="F7488" s="3">
        <v>99</v>
      </c>
      <c r="G7488" t="s">
        <v>514</v>
      </c>
    </row>
    <row r="7489" spans="1:7" x14ac:dyDescent="0.25">
      <c r="A7489" s="1" t="str">
        <f>"509575"</f>
        <v>509575</v>
      </c>
      <c r="B7489" s="2" t="str">
        <f>"CONJUNTO PARAFUSO INOX"</f>
        <v>CONJUNTO PARAFUSO INOX</v>
      </c>
      <c r="C7489" s="2" t="str">
        <f t="shared" si="291"/>
        <v>UN</v>
      </c>
      <c r="D7489" s="7">
        <v>918</v>
      </c>
      <c r="E7489" s="3">
        <v>11</v>
      </c>
      <c r="F7489" s="3">
        <v>11</v>
      </c>
      <c r="G7489" t="s">
        <v>513</v>
      </c>
    </row>
    <row r="7490" spans="1:7" x14ac:dyDescent="0.25">
      <c r="A7490" s="1" t="str">
        <f>"520827"</f>
        <v>520827</v>
      </c>
      <c r="B7490" s="2" t="str">
        <f>"CONJUNTO PASTEURIZAÇÃO SPX 250L/H REFERENCIA BR-16030004"</f>
        <v>CONJUNTO PASTEURIZAÇÃO SPX 250L/H REFERENCIA BR-16030004</v>
      </c>
      <c r="C7490" s="2" t="str">
        <f t="shared" si="291"/>
        <v>UN</v>
      </c>
      <c r="D7490" s="7">
        <v>408</v>
      </c>
      <c r="E7490" s="3">
        <v>13</v>
      </c>
      <c r="F7490" s="3">
        <v>13</v>
      </c>
      <c r="G7490" t="s">
        <v>512</v>
      </c>
    </row>
    <row r="7491" spans="1:7" x14ac:dyDescent="0.25">
      <c r="A7491" s="1" t="str">
        <f>"522399"</f>
        <v>522399</v>
      </c>
      <c r="B7491" s="2" t="str">
        <f>"CONJUNTO PEÇAS OP2612"</f>
        <v>CONJUNTO PEÇAS OP2612</v>
      </c>
      <c r="C7491" s="2" t="str">
        <f t="shared" si="291"/>
        <v>UN</v>
      </c>
      <c r="D7491" s="7">
        <v>99999</v>
      </c>
      <c r="E7491" s="3">
        <v>99</v>
      </c>
      <c r="F7491" s="3">
        <v>99</v>
      </c>
      <c r="G7491" t="s">
        <v>513</v>
      </c>
    </row>
    <row r="7492" spans="1:7" x14ac:dyDescent="0.25">
      <c r="A7492" s="1" t="str">
        <f>"522400"</f>
        <v>522400</v>
      </c>
      <c r="B7492" s="2" t="str">
        <f>"CONJUNTO PEÇAS OP2612 E OP2909"</f>
        <v>CONJUNTO PEÇAS OP2612 E OP2909</v>
      </c>
      <c r="C7492" s="2" t="str">
        <f t="shared" si="291"/>
        <v>UN</v>
      </c>
      <c r="D7492" s="7">
        <v>99999</v>
      </c>
      <c r="E7492" s="3">
        <v>99</v>
      </c>
      <c r="F7492" s="3">
        <v>99</v>
      </c>
      <c r="G7492" t="s">
        <v>514</v>
      </c>
    </row>
    <row r="7493" spans="1:7" x14ac:dyDescent="0.25">
      <c r="A7493" s="1" t="str">
        <f>"510643"</f>
        <v>510643</v>
      </c>
      <c r="B7493" s="2" t="str">
        <f>"CONJUNTO PENDURAL EMENDA DE TETO"</f>
        <v>CONJUNTO PENDURAL EMENDA DE TETO</v>
      </c>
      <c r="C7493" s="2" t="str">
        <f t="shared" si="291"/>
        <v>UN</v>
      </c>
      <c r="D7493" s="7">
        <v>803</v>
      </c>
      <c r="E7493" s="3">
        <v>10</v>
      </c>
      <c r="F7493" s="3">
        <v>10</v>
      </c>
      <c r="G7493" t="s">
        <v>514</v>
      </c>
    </row>
    <row r="7494" spans="1:7" x14ac:dyDescent="0.25">
      <c r="A7494" s="1" t="str">
        <f>"510067"</f>
        <v>510067</v>
      </c>
      <c r="B7494" s="2" t="str">
        <f>"CONJUNTO PENDURAL PAINEL"</f>
        <v>CONJUNTO PENDURAL PAINEL</v>
      </c>
      <c r="C7494" s="2" t="str">
        <f t="shared" si="291"/>
        <v>UN</v>
      </c>
      <c r="D7494" s="7">
        <v>803</v>
      </c>
      <c r="E7494" s="3">
        <v>10</v>
      </c>
      <c r="F7494" s="3">
        <v>10</v>
      </c>
      <c r="G7494" t="s">
        <v>514</v>
      </c>
    </row>
    <row r="7495" spans="1:7" x14ac:dyDescent="0.25">
      <c r="A7495" s="1" t="str">
        <f>"510229"</f>
        <v>510229</v>
      </c>
      <c r="B7495" s="2" t="str">
        <f>"CONJUNTO PRENSA VERTICAL"</f>
        <v>CONJUNTO PRENSA VERTICAL</v>
      </c>
      <c r="C7495" s="2" t="str">
        <f t="shared" si="291"/>
        <v>UN</v>
      </c>
      <c r="D7495" s="7">
        <v>918</v>
      </c>
      <c r="E7495" s="3">
        <v>11</v>
      </c>
      <c r="F7495" s="3">
        <v>11</v>
      </c>
      <c r="G7495" t="s">
        <v>513</v>
      </c>
    </row>
    <row r="7496" spans="1:7" x14ac:dyDescent="0.25">
      <c r="A7496" s="1" t="str">
        <f>"509570"</f>
        <v>509570</v>
      </c>
      <c r="B7496" s="2" t="str">
        <f>"CONJUNTO PREPARAÇAO DE AR"</f>
        <v>CONJUNTO PREPARAÇAO DE AR</v>
      </c>
      <c r="C7496" s="2" t="str">
        <f t="shared" si="291"/>
        <v>UN</v>
      </c>
      <c r="D7496" s="7">
        <v>913</v>
      </c>
      <c r="E7496" s="3">
        <v>11</v>
      </c>
      <c r="F7496" s="3">
        <v>11</v>
      </c>
      <c r="G7496" t="s">
        <v>513</v>
      </c>
    </row>
    <row r="7497" spans="1:7" x14ac:dyDescent="0.25">
      <c r="A7497" s="1" t="str">
        <f>"521376"</f>
        <v>521376</v>
      </c>
      <c r="B7497" s="2" t="str">
        <f>"CONJUNTO PROTEÇÃO ENTRADA E SAIDA ESTEIRAS DE FRASCOS"</f>
        <v>CONJUNTO PROTEÇÃO ENTRADA E SAIDA ESTEIRAS DE FRASCOS</v>
      </c>
      <c r="C7497" s="2" t="str">
        <f t="shared" si="291"/>
        <v>UN</v>
      </c>
      <c r="D7497" s="7">
        <v>1300</v>
      </c>
      <c r="E7497" s="3">
        <v>13</v>
      </c>
      <c r="F7497" s="3">
        <v>13</v>
      </c>
      <c r="G7497" t="s">
        <v>513</v>
      </c>
    </row>
    <row r="7498" spans="1:7" x14ac:dyDescent="0.25">
      <c r="A7498" s="1" t="str">
        <f>"513399"</f>
        <v>513399</v>
      </c>
      <c r="B7498" s="2" t="str">
        <f>"CONJUNTO PVC AMARELO PARA CHUVA TAM-G"</f>
        <v>CONJUNTO PVC AMARELO PARA CHUVA TAM-G</v>
      </c>
      <c r="C7498" s="2" t="str">
        <f t="shared" si="291"/>
        <v>UN</v>
      </c>
      <c r="D7498" s="7">
        <v>501</v>
      </c>
      <c r="E7498" s="3">
        <v>5</v>
      </c>
      <c r="F7498" s="3">
        <v>5</v>
      </c>
      <c r="G7498" t="s">
        <v>512</v>
      </c>
    </row>
    <row r="7499" spans="1:7" x14ac:dyDescent="0.25">
      <c r="A7499" s="1" t="str">
        <f>"513181"</f>
        <v>513181</v>
      </c>
      <c r="B7499" s="2" t="str">
        <f>"CONJUNTO QUEIJO EM BAMBU"</f>
        <v>CONJUNTO QUEIJO EM BAMBU</v>
      </c>
      <c r="C7499" s="2" t="str">
        <f t="shared" si="291"/>
        <v>UN</v>
      </c>
      <c r="D7499" s="7">
        <v>401</v>
      </c>
      <c r="E7499" s="3">
        <v>4</v>
      </c>
      <c r="F7499" s="3">
        <v>4</v>
      </c>
      <c r="G7499" t="s">
        <v>513</v>
      </c>
    </row>
    <row r="7500" spans="1:7" x14ac:dyDescent="0.25">
      <c r="A7500" s="1" t="str">
        <f>"502940"</f>
        <v>502940</v>
      </c>
      <c r="B7500" s="2" t="str">
        <f>"CONJUNTO ROLAMENTO 594/592A"</f>
        <v>CONJUNTO ROLAMENTO 594/592A</v>
      </c>
      <c r="C7500" s="2" t="str">
        <f t="shared" si="291"/>
        <v>UN</v>
      </c>
      <c r="D7500" s="7">
        <v>704</v>
      </c>
      <c r="E7500" s="3">
        <v>9</v>
      </c>
      <c r="F7500" s="3">
        <v>9</v>
      </c>
      <c r="G7500" t="s">
        <v>514</v>
      </c>
    </row>
    <row r="7501" spans="1:7" x14ac:dyDescent="0.25">
      <c r="A7501" s="1" t="str">
        <f>"519373"</f>
        <v>519373</v>
      </c>
      <c r="B7501" s="2" t="str">
        <f>"CONJUNTO ROSCA ROTULADEIRA"</f>
        <v>CONJUNTO ROSCA ROTULADEIRA</v>
      </c>
      <c r="C7501" s="2" t="str">
        <f t="shared" si="291"/>
        <v>UN</v>
      </c>
      <c r="D7501" s="7">
        <v>918</v>
      </c>
      <c r="E7501" s="3">
        <v>11</v>
      </c>
      <c r="F7501" s="3">
        <v>11</v>
      </c>
      <c r="G7501" t="s">
        <v>515</v>
      </c>
    </row>
    <row r="7502" spans="1:7" x14ac:dyDescent="0.25">
      <c r="A7502" s="1" t="str">
        <f>"515103"</f>
        <v>515103</v>
      </c>
      <c r="B7502" s="2" t="str">
        <f>"CONJUNTO ROTATIVO H X35 W"</f>
        <v>CONJUNTO ROTATIVO H X35 W</v>
      </c>
      <c r="C7502" s="2" t="str">
        <f t="shared" si="291"/>
        <v>UN</v>
      </c>
      <c r="D7502" s="7">
        <v>704</v>
      </c>
      <c r="E7502" s="3">
        <v>9</v>
      </c>
      <c r="F7502" s="3">
        <v>9</v>
      </c>
      <c r="G7502" t="s">
        <v>512</v>
      </c>
    </row>
    <row r="7503" spans="1:7" x14ac:dyDescent="0.25">
      <c r="A7503" s="1" t="str">
        <f>"526109"</f>
        <v>526109</v>
      </c>
      <c r="B7503" s="2" t="str">
        <f>"CONJUNTO ROTATIVO H X40 W"</f>
        <v>CONJUNTO ROTATIVO H X40 W</v>
      </c>
      <c r="C7503" s="2" t="str">
        <f t="shared" si="291"/>
        <v>UN</v>
      </c>
      <c r="D7503" s="7">
        <v>704</v>
      </c>
      <c r="E7503" s="3">
        <v>9</v>
      </c>
      <c r="F7503" s="3">
        <v>9</v>
      </c>
      <c r="G7503" t="s">
        <v>516</v>
      </c>
    </row>
    <row r="7504" spans="1:7" x14ac:dyDescent="0.25">
      <c r="A7504" s="1" t="str">
        <f>"516071"</f>
        <v>516071</v>
      </c>
      <c r="B7504" s="2" t="str">
        <f>"CONJUNTO SELAGEM COMPLETO"</f>
        <v>CONJUNTO SELAGEM COMPLETO</v>
      </c>
      <c r="C7504" s="2" t="str">
        <f t="shared" si="291"/>
        <v>UN</v>
      </c>
      <c r="D7504" s="7">
        <v>918</v>
      </c>
      <c r="E7504" s="3">
        <v>11</v>
      </c>
      <c r="F7504" s="3">
        <v>11</v>
      </c>
      <c r="G7504" t="s">
        <v>515</v>
      </c>
    </row>
    <row r="7505" spans="1:7" x14ac:dyDescent="0.25">
      <c r="A7505" s="1" t="str">
        <f>"523535"</f>
        <v>523535</v>
      </c>
      <c r="B7505" s="2" t="str">
        <f>"CONJUNTO SELECIONADOR TAMPAS NOVO"</f>
        <v>CONJUNTO SELECIONADOR TAMPAS NOVO</v>
      </c>
      <c r="C7505" s="2" t="str">
        <f t="shared" si="291"/>
        <v>UN</v>
      </c>
      <c r="D7505" s="7">
        <v>99999</v>
      </c>
      <c r="E7505" s="3">
        <v>99</v>
      </c>
      <c r="F7505" s="3">
        <v>99</v>
      </c>
      <c r="G7505" t="s">
        <v>514</v>
      </c>
    </row>
    <row r="7506" spans="1:7" x14ac:dyDescent="0.25">
      <c r="A7506" s="1" t="str">
        <f>"509294"</f>
        <v>509294</v>
      </c>
      <c r="B7506" s="2" t="str">
        <f>"CONJUNTO SELO VEDAÇAO BITZER MODELO-3"</f>
        <v>CONJUNTO SELO VEDAÇAO BITZER MODELO-3</v>
      </c>
      <c r="C7506" s="2" t="str">
        <f>"PC"</f>
        <v>PC</v>
      </c>
      <c r="D7506" s="7">
        <v>918</v>
      </c>
      <c r="E7506" s="3">
        <v>11</v>
      </c>
      <c r="F7506" s="3">
        <v>11</v>
      </c>
      <c r="G7506" t="s">
        <v>512</v>
      </c>
    </row>
    <row r="7507" spans="1:7" x14ac:dyDescent="0.25">
      <c r="A7507" s="1" t="str">
        <f>"523334"</f>
        <v>523334</v>
      </c>
      <c r="B7507" s="2" t="str">
        <f>"CONJUNTO SISTEMA AGITAÇÃO CONTAINER 1000LT"</f>
        <v>CONJUNTO SISTEMA AGITAÇÃO CONTAINER 1000LT</v>
      </c>
      <c r="C7507" s="2" t="str">
        <f t="shared" ref="C7507:C7528" si="292">"UN"</f>
        <v>UN</v>
      </c>
      <c r="D7507" s="7">
        <v>99999</v>
      </c>
      <c r="E7507" s="3">
        <v>99</v>
      </c>
      <c r="F7507" s="3">
        <v>99</v>
      </c>
      <c r="G7507" t="s">
        <v>513</v>
      </c>
    </row>
    <row r="7508" spans="1:7" x14ac:dyDescent="0.25">
      <c r="A7508" s="1" t="str">
        <f>"526964"</f>
        <v>526964</v>
      </c>
      <c r="B7508" s="2" t="str">
        <f>"CONJUNTO SOLDADOR COPAO"</f>
        <v>CONJUNTO SOLDADOR COPAO</v>
      </c>
      <c r="C7508" s="2" t="str">
        <f t="shared" si="292"/>
        <v>UN</v>
      </c>
      <c r="D7508" s="7">
        <v>917</v>
      </c>
      <c r="E7508" s="3">
        <v>11</v>
      </c>
      <c r="F7508" s="3">
        <v>11</v>
      </c>
      <c r="G7508" t="s">
        <v>514</v>
      </c>
    </row>
    <row r="7509" spans="1:7" x14ac:dyDescent="0.25">
      <c r="A7509" s="1" t="str">
        <f>"525080"</f>
        <v>525080</v>
      </c>
      <c r="B7509" s="2" t="str">
        <f>"CONJUNTO SUPORTE DOS IMAS FIXO INOX 02"</f>
        <v>CONJUNTO SUPORTE DOS IMAS FIXO INOX 02</v>
      </c>
      <c r="C7509" s="2" t="str">
        <f t="shared" si="292"/>
        <v>UN</v>
      </c>
      <c r="D7509" s="7">
        <v>918</v>
      </c>
      <c r="E7509" s="3">
        <v>11</v>
      </c>
      <c r="F7509" s="3">
        <v>11</v>
      </c>
      <c r="G7509" t="s">
        <v>514</v>
      </c>
    </row>
    <row r="7510" spans="1:7" x14ac:dyDescent="0.25">
      <c r="A7510" s="1" t="str">
        <f>"519780"</f>
        <v>519780</v>
      </c>
      <c r="B7510" s="2" t="str">
        <f>"CONJUNTO TECLADO/MOUSE WIRELESS DESKTOP 800 - MICROSOFT"</f>
        <v>CONJUNTO TECLADO/MOUSE WIRELESS DESKTOP 800 - MICROSOFT</v>
      </c>
      <c r="C7510" s="2" t="str">
        <f t="shared" si="292"/>
        <v>UN</v>
      </c>
      <c r="D7510" s="7">
        <v>401</v>
      </c>
      <c r="E7510" s="3">
        <v>4</v>
      </c>
      <c r="F7510" s="3">
        <v>4</v>
      </c>
      <c r="G7510" t="s">
        <v>512</v>
      </c>
    </row>
    <row r="7511" spans="1:7" x14ac:dyDescent="0.25">
      <c r="A7511" s="1" t="str">
        <f>"517328"</f>
        <v>517328</v>
      </c>
      <c r="B7511" s="2" t="str">
        <f>"CONJUNTO TERMO-ENCOLHODOR MITRI"</f>
        <v>CONJUNTO TERMO-ENCOLHODOR MITRI</v>
      </c>
      <c r="C7511" s="2" t="str">
        <f t="shared" si="292"/>
        <v>UN</v>
      </c>
      <c r="D7511" s="7">
        <v>1300</v>
      </c>
      <c r="E7511" s="3">
        <v>13</v>
      </c>
      <c r="F7511" s="3">
        <v>13</v>
      </c>
      <c r="G7511" t="s">
        <v>513</v>
      </c>
    </row>
    <row r="7512" spans="1:7" x14ac:dyDescent="0.25">
      <c r="A7512" s="1" t="str">
        <f>"517739"</f>
        <v>517739</v>
      </c>
      <c r="B7512" s="2" t="str">
        <f>"CONJUNTO VALVULA E BOBINA MAC 45A-SC2-DDFJ-4KJ 24VDC"</f>
        <v>CONJUNTO VALVULA E BOBINA MAC 45A-SC2-DDFJ-4KJ 24VDC</v>
      </c>
      <c r="C7512" s="2" t="str">
        <f t="shared" si="292"/>
        <v>UN</v>
      </c>
      <c r="D7512" s="7">
        <v>811</v>
      </c>
      <c r="E7512" s="3">
        <v>8</v>
      </c>
      <c r="F7512" s="3">
        <v>8</v>
      </c>
      <c r="G7512" t="s">
        <v>514</v>
      </c>
    </row>
    <row r="7513" spans="1:7" x14ac:dyDescent="0.25">
      <c r="A7513" s="1" t="str">
        <f>"512984"</f>
        <v>512984</v>
      </c>
      <c r="B7513" s="2" t="str">
        <f>"CONJUNTO VALVULA INJETORA VAPOR GUMSK 130"</f>
        <v>CONJUNTO VALVULA INJETORA VAPOR GUMSK 130</v>
      </c>
      <c r="C7513" s="2" t="str">
        <f t="shared" si="292"/>
        <v>UN</v>
      </c>
      <c r="D7513" s="7">
        <v>918</v>
      </c>
      <c r="E7513" s="3">
        <v>10</v>
      </c>
      <c r="F7513" s="3">
        <v>10</v>
      </c>
      <c r="G7513" t="s">
        <v>514</v>
      </c>
    </row>
    <row r="7514" spans="1:7" x14ac:dyDescent="0.25">
      <c r="A7514" s="1" t="str">
        <f>"518777"</f>
        <v>518777</v>
      </c>
      <c r="B7514" s="2" t="str">
        <f>"CONJUNTO VARETA/SEDE DOSADOR UNIVERSAL 160/180GR"</f>
        <v>CONJUNTO VARETA/SEDE DOSADOR UNIVERSAL 160/180GR</v>
      </c>
      <c r="C7514" s="2" t="str">
        <f t="shared" si="292"/>
        <v>UN</v>
      </c>
      <c r="D7514" s="7">
        <v>918</v>
      </c>
      <c r="E7514" s="3">
        <v>11</v>
      </c>
      <c r="F7514" s="3">
        <v>11</v>
      </c>
      <c r="G7514" t="s">
        <v>514</v>
      </c>
    </row>
    <row r="7515" spans="1:7" x14ac:dyDescent="0.25">
      <c r="A7515" s="1" t="str">
        <f>"516494"</f>
        <v>516494</v>
      </c>
      <c r="B7515" s="2" t="str">
        <f>"CONJUNTO VEDAÇÃO 5 X 2"" - ARRUELA E BUCHA"</f>
        <v>CONJUNTO VEDAÇÃO 5 X 2" - ARRUELA E BUCHA</v>
      </c>
      <c r="C7515" s="2" t="str">
        <f t="shared" si="292"/>
        <v>UN</v>
      </c>
      <c r="D7515" s="7">
        <v>811</v>
      </c>
      <c r="E7515" s="3">
        <v>8</v>
      </c>
      <c r="F7515" s="3">
        <v>8</v>
      </c>
      <c r="G7515" t="s">
        <v>513</v>
      </c>
    </row>
    <row r="7516" spans="1:7" x14ac:dyDescent="0.25">
      <c r="A7516" s="1" t="str">
        <f>"510599"</f>
        <v>510599</v>
      </c>
      <c r="B7516" s="2" t="str">
        <f>"CONJUNTO VENTILADOR"</f>
        <v>CONJUNTO VENTILADOR</v>
      </c>
      <c r="C7516" s="2" t="str">
        <f t="shared" si="292"/>
        <v>UN</v>
      </c>
      <c r="D7516" s="7">
        <v>704</v>
      </c>
      <c r="E7516" s="3">
        <v>9</v>
      </c>
      <c r="F7516" s="3">
        <v>9</v>
      </c>
      <c r="G7516" t="s">
        <v>512</v>
      </c>
    </row>
    <row r="7517" spans="1:7" x14ac:dyDescent="0.25">
      <c r="A7517" s="1" t="str">
        <f>"520631"</f>
        <v>520631</v>
      </c>
      <c r="B7517" s="2" t="str">
        <f>"CONSERTINA GALVANIZADA 30CM 8MT"</f>
        <v>CONSERTINA GALVANIZADA 30CM 8MT</v>
      </c>
      <c r="C7517" s="2" t="str">
        <f t="shared" si="292"/>
        <v>UN</v>
      </c>
      <c r="D7517" s="7">
        <v>803</v>
      </c>
      <c r="E7517" s="3">
        <v>10</v>
      </c>
      <c r="F7517" s="3">
        <v>10</v>
      </c>
      <c r="G7517" t="s">
        <v>513</v>
      </c>
    </row>
    <row r="7518" spans="1:7" x14ac:dyDescent="0.25">
      <c r="A7518" s="1" t="str">
        <f>"517149"</f>
        <v>517149</v>
      </c>
      <c r="B7518" s="2" t="str">
        <f>"CONSERVADORA DE PISO 410MM AUTO VOLT - CERTEC"</f>
        <v>CONSERVADORA DE PISO 410MM AUTO VOLT - CERTEC</v>
      </c>
      <c r="C7518" s="2" t="str">
        <f t="shared" si="292"/>
        <v>UN</v>
      </c>
      <c r="D7518" s="7">
        <v>1200</v>
      </c>
      <c r="E7518" s="3">
        <v>4</v>
      </c>
      <c r="F7518" s="3">
        <v>4</v>
      </c>
      <c r="G7518" t="s">
        <v>514</v>
      </c>
    </row>
    <row r="7519" spans="1:7" x14ac:dyDescent="0.25">
      <c r="A7519" s="1" t="str">
        <f>"520892"</f>
        <v>520892</v>
      </c>
      <c r="B7519" s="2" t="str">
        <f>"CONSISTOMETRO TIPO BOSTWICK COM TIMER REF.MA441"</f>
        <v>CONSISTOMETRO TIPO BOSTWICK COM TIMER REF.MA441</v>
      </c>
      <c r="C7519" s="2" t="str">
        <f t="shared" si="292"/>
        <v>UN</v>
      </c>
      <c r="D7519" s="7">
        <v>1300</v>
      </c>
      <c r="E7519" s="3">
        <v>11</v>
      </c>
      <c r="F7519" s="3">
        <v>11</v>
      </c>
      <c r="G7519" t="s">
        <v>514</v>
      </c>
    </row>
    <row r="7520" spans="1:7" x14ac:dyDescent="0.25">
      <c r="A7520" s="1" t="str">
        <f>"511760"</f>
        <v>511760</v>
      </c>
      <c r="B7520" s="2" t="str">
        <f>"CONSOLE ALAVANCA CAMBIO"</f>
        <v>CONSOLE ALAVANCA CAMBIO</v>
      </c>
      <c r="C7520" s="2" t="str">
        <f t="shared" si="292"/>
        <v>UN</v>
      </c>
      <c r="D7520" s="7">
        <v>704</v>
      </c>
      <c r="E7520" s="3">
        <v>9</v>
      </c>
      <c r="F7520" s="3">
        <v>9</v>
      </c>
      <c r="G7520" t="s">
        <v>514</v>
      </c>
    </row>
    <row r="7521" spans="1:7" x14ac:dyDescent="0.25">
      <c r="A7521" s="1" t="str">
        <f>"514232"</f>
        <v>514232</v>
      </c>
      <c r="B7521" s="2" t="str">
        <f>"CONSOLE DIREITO / ESQUERDO"</f>
        <v>CONSOLE DIREITO / ESQUERDO</v>
      </c>
      <c r="C7521" s="2" t="str">
        <f t="shared" si="292"/>
        <v>UN</v>
      </c>
      <c r="D7521" s="7">
        <v>704</v>
      </c>
      <c r="E7521" s="3">
        <v>9</v>
      </c>
      <c r="F7521" s="3">
        <v>9</v>
      </c>
      <c r="G7521" t="s">
        <v>513</v>
      </c>
    </row>
    <row r="7522" spans="1:7" x14ac:dyDescent="0.25">
      <c r="A7522" s="1" t="str">
        <f>"511978"</f>
        <v>511978</v>
      </c>
      <c r="B7522" s="2" t="str">
        <f>"CONSOLE TETO"</f>
        <v>CONSOLE TETO</v>
      </c>
      <c r="C7522" s="2" t="str">
        <f t="shared" si="292"/>
        <v>UN</v>
      </c>
      <c r="D7522" s="7">
        <v>704</v>
      </c>
      <c r="E7522" s="3">
        <v>9</v>
      </c>
      <c r="F7522" s="3">
        <v>9</v>
      </c>
      <c r="G7522" t="s">
        <v>513</v>
      </c>
    </row>
    <row r="7523" spans="1:7" x14ac:dyDescent="0.25">
      <c r="A7523" s="1" t="str">
        <f>"518309"</f>
        <v>518309</v>
      </c>
      <c r="B7523" s="2" t="str">
        <f>"CONSORCIO"</f>
        <v>CONSORCIO</v>
      </c>
      <c r="C7523" s="2" t="str">
        <f t="shared" si="292"/>
        <v>UN</v>
      </c>
      <c r="D7523" s="7">
        <v>99999</v>
      </c>
      <c r="E7523" s="3">
        <v>99</v>
      </c>
      <c r="F7523" s="3">
        <v>99</v>
      </c>
      <c r="G7523" t="s">
        <v>513</v>
      </c>
    </row>
    <row r="7524" spans="1:7" x14ac:dyDescent="0.25">
      <c r="A7524" s="1" t="str">
        <f>"515667"</f>
        <v>515667</v>
      </c>
      <c r="B7524" s="2" t="str">
        <f>"CONT FG MT512RI"</f>
        <v>CONT FG MT512RI</v>
      </c>
      <c r="C7524" s="2" t="str">
        <f t="shared" si="292"/>
        <v>UN</v>
      </c>
      <c r="D7524" s="7">
        <v>401</v>
      </c>
      <c r="E7524" s="3">
        <v>4</v>
      </c>
      <c r="F7524" s="3">
        <v>4</v>
      </c>
      <c r="G7524" t="s">
        <v>512</v>
      </c>
    </row>
    <row r="7525" spans="1:7" x14ac:dyDescent="0.25">
      <c r="A7525" s="1" t="str">
        <f>"510528"</f>
        <v>510528</v>
      </c>
      <c r="B7525" s="2" t="str">
        <f>"CONT. TEMP. THOLZ MDH001-N-220Vca 12Vcc"</f>
        <v>CONT. TEMP. THOLZ MDH001-N-220Vca 12Vcc</v>
      </c>
      <c r="C7525" s="2" t="str">
        <f t="shared" si="292"/>
        <v>UN</v>
      </c>
      <c r="D7525" s="7">
        <v>600</v>
      </c>
      <c r="E7525" s="3">
        <v>8</v>
      </c>
      <c r="F7525" s="3">
        <v>8</v>
      </c>
      <c r="G7525" t="s">
        <v>513</v>
      </c>
    </row>
    <row r="7526" spans="1:7" x14ac:dyDescent="0.25">
      <c r="A7526" s="1" t="str">
        <f>"517951"</f>
        <v>517951</v>
      </c>
      <c r="B7526" s="2" t="str">
        <f>"CONT. TEMPERATURA DIXELL XR30CX-551C1 POWER 3,5VA MAX 220V"</f>
        <v>CONT. TEMPERATURA DIXELL XR30CX-551C1 POWER 3,5VA MAX 220V</v>
      </c>
      <c r="C7526" s="2" t="str">
        <f t="shared" si="292"/>
        <v>UN</v>
      </c>
      <c r="D7526" s="7">
        <v>811</v>
      </c>
      <c r="E7526" s="3">
        <v>8</v>
      </c>
      <c r="F7526" s="3">
        <v>8</v>
      </c>
      <c r="G7526" t="s">
        <v>514</v>
      </c>
    </row>
    <row r="7527" spans="1:7" x14ac:dyDescent="0.25">
      <c r="A7527" s="1" t="str">
        <f>"510605"</f>
        <v>510605</v>
      </c>
      <c r="B7527" s="2" t="str">
        <f>"CONT.TEMP. INV06 110-220VAC NDB1552294"</f>
        <v>CONT.TEMP. INV06 110-220VAC NDB1552294</v>
      </c>
      <c r="C7527" s="2" t="str">
        <f t="shared" si="292"/>
        <v>UN</v>
      </c>
      <c r="D7527" s="7">
        <v>600</v>
      </c>
      <c r="E7527" s="3">
        <v>8</v>
      </c>
      <c r="F7527" s="3">
        <v>8</v>
      </c>
      <c r="G7527" t="s">
        <v>515</v>
      </c>
    </row>
    <row r="7528" spans="1:7" x14ac:dyDescent="0.25">
      <c r="A7528" s="1" t="str">
        <f>"510260"</f>
        <v>510260</v>
      </c>
      <c r="B7528" s="2" t="str">
        <f>"CONT.TEMPO RCA 10A RCB-RCC-RCN-5A 220V"</f>
        <v>CONT.TEMPO RCA 10A RCB-RCC-RCN-5A 220V</v>
      </c>
      <c r="C7528" s="2" t="str">
        <f t="shared" si="292"/>
        <v>UN</v>
      </c>
      <c r="D7528" s="7">
        <v>600</v>
      </c>
      <c r="E7528" s="3">
        <v>8</v>
      </c>
      <c r="F7528" s="3">
        <v>8</v>
      </c>
      <c r="G7528" t="s">
        <v>512</v>
      </c>
    </row>
    <row r="7529" spans="1:7" x14ac:dyDescent="0.25">
      <c r="A7529" s="1" t="str">
        <f>"526985"</f>
        <v>526985</v>
      </c>
      <c r="B7529" s="2" t="str">
        <f>"CONTACTORA"</f>
        <v>CONTACTORA</v>
      </c>
      <c r="C7529" s="2" t="str">
        <f>"MT"</f>
        <v>MT</v>
      </c>
      <c r="D7529" s="7">
        <v>602</v>
      </c>
      <c r="E7529" s="3">
        <v>8</v>
      </c>
      <c r="F7529" s="3">
        <v>8</v>
      </c>
      <c r="G7529" t="s">
        <v>516</v>
      </c>
    </row>
    <row r="7530" spans="1:7" x14ac:dyDescent="0.25">
      <c r="A7530" s="1" t="str">
        <f>"514763"</f>
        <v>514763</v>
      </c>
      <c r="B7530" s="2" t="str">
        <f>"CONTACTORA SW180"</f>
        <v>CONTACTORA SW180</v>
      </c>
      <c r="C7530" s="2" t="str">
        <f>"UN"</f>
        <v>UN</v>
      </c>
      <c r="D7530" s="7">
        <v>900</v>
      </c>
      <c r="E7530" s="3">
        <v>8</v>
      </c>
      <c r="F7530" s="3">
        <v>8</v>
      </c>
      <c r="G7530" t="s">
        <v>515</v>
      </c>
    </row>
    <row r="7531" spans="1:7" x14ac:dyDescent="0.25">
      <c r="A7531" s="1" t="str">
        <f>"521311"</f>
        <v>521311</v>
      </c>
      <c r="B7531" s="2" t="str">
        <f>"CONTADOR DE COLON. DIG L235XP360XA80MM 110/220V SP/SP1505-27"</f>
        <v>CONTADOR DE COLON. DIG L235XP360XA80MM 110/220V SP/SP1505-27</v>
      </c>
      <c r="C7531" s="2" t="str">
        <f>"UN"</f>
        <v>UN</v>
      </c>
      <c r="D7531" s="7">
        <v>1300</v>
      </c>
      <c r="E7531" s="3">
        <v>13</v>
      </c>
      <c r="F7531" s="3">
        <v>13</v>
      </c>
      <c r="G7531" t="s">
        <v>514</v>
      </c>
    </row>
    <row r="7532" spans="1:7" x14ac:dyDescent="0.25">
      <c r="A7532" s="1" t="str">
        <f>"527064"</f>
        <v>527064</v>
      </c>
      <c r="B7532" s="2" t="str">
        <f>"CONTADOR DE COLONIAS (MEC.) CP602 C/ LUPA E LAPISEIRA"</f>
        <v>CONTADOR DE COLONIAS (MEC.) CP602 C/ LUPA E LAPISEIRA</v>
      </c>
      <c r="C7532" s="2" t="str">
        <f>"UN"</f>
        <v>UN</v>
      </c>
      <c r="D7532" s="7">
        <v>1500</v>
      </c>
      <c r="E7532" s="3">
        <v>13</v>
      </c>
      <c r="F7532" s="3">
        <v>13</v>
      </c>
      <c r="G7532" t="s">
        <v>512</v>
      </c>
    </row>
    <row r="7533" spans="1:7" x14ac:dyDescent="0.25">
      <c r="A7533" s="1" t="str">
        <f>"501518"</f>
        <v>501518</v>
      </c>
      <c r="B7533" s="2" t="str">
        <f>"CONTADOR DIG H7CX AW N AC100 240 BANDEJA"</f>
        <v>CONTADOR DIG H7CX AW N AC100 240 BANDEJA</v>
      </c>
      <c r="C7533" s="2" t="str">
        <f>"PC"</f>
        <v>PC</v>
      </c>
      <c r="D7533" s="7">
        <v>900</v>
      </c>
      <c r="E7533" s="3">
        <v>11</v>
      </c>
      <c r="F7533" s="3">
        <v>11</v>
      </c>
      <c r="G7533" t="s">
        <v>513</v>
      </c>
    </row>
    <row r="7534" spans="1:7" x14ac:dyDescent="0.25">
      <c r="A7534" s="1" t="str">
        <f>"511099"</f>
        <v>511099</v>
      </c>
      <c r="B7534" s="2" t="str">
        <f>"CONTADOR DIGITAL THOLZ CDH336-N-220V"</f>
        <v>CONTADOR DIGITAL THOLZ CDH336-N-220V</v>
      </c>
      <c r="C7534" s="2" t="str">
        <f>"PC"</f>
        <v>PC</v>
      </c>
      <c r="D7534" s="7">
        <v>600</v>
      </c>
      <c r="E7534" s="3">
        <v>8</v>
      </c>
      <c r="F7534" s="3">
        <v>8</v>
      </c>
      <c r="G7534" t="s">
        <v>514</v>
      </c>
    </row>
    <row r="7535" spans="1:7" x14ac:dyDescent="0.25">
      <c r="A7535" s="1" t="str">
        <f>"517954"</f>
        <v>517954</v>
      </c>
      <c r="B7535" s="2" t="str">
        <f>"CONTADOR PREDETERMINADODOR ELETRICO SQC22UOO (DINI 550)"</f>
        <v>CONTADOR PREDETERMINADODOR ELETRICO SQC22UOO (DINI 550)</v>
      </c>
      <c r="C7535" s="2" t="str">
        <f t="shared" ref="C7535:C7566" si="293">"UN"</f>
        <v>UN</v>
      </c>
      <c r="D7535" s="7">
        <v>811</v>
      </c>
      <c r="E7535" s="3">
        <v>8</v>
      </c>
      <c r="F7535" s="3">
        <v>8</v>
      </c>
      <c r="G7535" t="s">
        <v>514</v>
      </c>
    </row>
    <row r="7536" spans="1:7" x14ac:dyDescent="0.25">
      <c r="A7536" s="1" t="str">
        <f>"517784"</f>
        <v>517784</v>
      </c>
      <c r="B7536" s="2" t="str">
        <f>"CONTAINER 1000LT (USADO)"</f>
        <v>CONTAINER 1000LT (USADO)</v>
      </c>
      <c r="C7536" s="2" t="str">
        <f t="shared" si="293"/>
        <v>UN</v>
      </c>
      <c r="D7536" s="7">
        <v>1700</v>
      </c>
      <c r="E7536" s="3">
        <v>4</v>
      </c>
      <c r="F7536" s="3">
        <v>4</v>
      </c>
      <c r="G7536" t="s">
        <v>512</v>
      </c>
    </row>
    <row r="7537" spans="1:7" x14ac:dyDescent="0.25">
      <c r="A7537" s="1" t="str">
        <f>"522980"</f>
        <v>522980</v>
      </c>
      <c r="B7537" s="2" t="str">
        <f>"CONTAINER EXP. 6,00 X 2,30 X 2,40MT"</f>
        <v>CONTAINER EXP. 6,00 X 2,30 X 2,40MT</v>
      </c>
      <c r="C7537" s="2" t="str">
        <f t="shared" si="293"/>
        <v>UN</v>
      </c>
      <c r="D7537" s="7">
        <v>99999</v>
      </c>
      <c r="E7537" s="3">
        <v>99</v>
      </c>
      <c r="F7537" s="3">
        <v>99</v>
      </c>
      <c r="G7537" t="s">
        <v>513</v>
      </c>
    </row>
    <row r="7538" spans="1:7" x14ac:dyDescent="0.25">
      <c r="A7538" s="1" t="str">
        <f>"515219"</f>
        <v>515219</v>
      </c>
      <c r="B7538" s="2" t="str">
        <f>"CONTAINER FLEXIVEL"</f>
        <v>CONTAINER FLEXIVEL</v>
      </c>
      <c r="C7538" s="2" t="str">
        <f t="shared" si="293"/>
        <v>UN</v>
      </c>
      <c r="D7538" s="7">
        <v>408</v>
      </c>
      <c r="E7538" s="3">
        <v>4</v>
      </c>
      <c r="F7538" s="3">
        <v>4</v>
      </c>
      <c r="G7538" t="s">
        <v>514</v>
      </c>
    </row>
    <row r="7539" spans="1:7" x14ac:dyDescent="0.25">
      <c r="A7539" s="1" t="str">
        <f>"521506"</f>
        <v>521506</v>
      </c>
      <c r="B7539" s="2" t="str">
        <f>"CONTAINER PLASTICO 1100LT CINZA"</f>
        <v>CONTAINER PLASTICO 1100LT CINZA</v>
      </c>
      <c r="C7539" s="2" t="str">
        <f t="shared" si="293"/>
        <v>UN</v>
      </c>
      <c r="D7539" s="7">
        <v>405</v>
      </c>
      <c r="E7539" s="3">
        <v>4</v>
      </c>
      <c r="F7539" s="3">
        <v>4</v>
      </c>
      <c r="G7539" t="s">
        <v>514</v>
      </c>
    </row>
    <row r="7540" spans="1:7" x14ac:dyDescent="0.25">
      <c r="A7540" s="1" t="str">
        <f>"521378"</f>
        <v>521378</v>
      </c>
      <c r="B7540" s="2" t="str">
        <f>"CONTAINER PLASTICO 1100LT VERMELHO"</f>
        <v>CONTAINER PLASTICO 1100LT VERMELHO</v>
      </c>
      <c r="C7540" s="2" t="str">
        <f t="shared" si="293"/>
        <v>UN</v>
      </c>
      <c r="D7540" s="7">
        <v>405</v>
      </c>
      <c r="E7540" s="3">
        <v>4</v>
      </c>
      <c r="F7540" s="3">
        <v>4</v>
      </c>
      <c r="G7540" t="s">
        <v>514</v>
      </c>
    </row>
    <row r="7541" spans="1:7" x14ac:dyDescent="0.25">
      <c r="A7541" s="1" t="str">
        <f>"504896"</f>
        <v>504896</v>
      </c>
      <c r="B7541" s="2" t="str">
        <f>"CONTATO"</f>
        <v>CONTATO</v>
      </c>
      <c r="C7541" s="2" t="str">
        <f t="shared" si="293"/>
        <v>UN</v>
      </c>
      <c r="D7541" s="7">
        <v>900</v>
      </c>
      <c r="E7541" s="3">
        <v>11</v>
      </c>
      <c r="F7541" s="3">
        <v>11</v>
      </c>
      <c r="G7541" t="s">
        <v>513</v>
      </c>
    </row>
    <row r="7542" spans="1:7" x14ac:dyDescent="0.25">
      <c r="A7542" s="1" t="str">
        <f>"502550"</f>
        <v>502550</v>
      </c>
      <c r="B7542" s="2" t="str">
        <f>"CONTATO ""S"" BOMBA HIDRAULICA  FBRE 15"</f>
        <v>CONTATO "S" BOMBA HIDRAULICA  FBRE 15</v>
      </c>
      <c r="C7542" s="2" t="str">
        <f t="shared" si="293"/>
        <v>UN</v>
      </c>
      <c r="D7542" s="7">
        <v>600</v>
      </c>
      <c r="E7542" s="3">
        <v>8</v>
      </c>
      <c r="F7542" s="3">
        <v>8</v>
      </c>
      <c r="G7542" t="s">
        <v>512</v>
      </c>
    </row>
    <row r="7543" spans="1:7" x14ac:dyDescent="0.25">
      <c r="A7543" s="1" t="str">
        <f>"517641"</f>
        <v>517641</v>
      </c>
      <c r="B7543" s="2" t="str">
        <f>"CONTATO AMEISE 0861523/2301131"</f>
        <v>CONTATO AMEISE 0861523/2301131</v>
      </c>
      <c r="C7543" s="2" t="str">
        <f t="shared" si="293"/>
        <v>UN</v>
      </c>
      <c r="D7543" s="7">
        <v>811</v>
      </c>
      <c r="E7543" s="3">
        <v>8</v>
      </c>
      <c r="F7543" s="3">
        <v>8</v>
      </c>
      <c r="G7543" t="s">
        <v>513</v>
      </c>
    </row>
    <row r="7544" spans="1:7" x14ac:dyDescent="0.25">
      <c r="A7544" s="1" t="str">
        <f>"501000"</f>
        <v>501000</v>
      </c>
      <c r="B7544" s="2" t="str">
        <f>"CONTATO AUX BLOCO SIEMENS 3RH1911-1FA22"</f>
        <v>CONTATO AUX BLOCO SIEMENS 3RH1911-1FA22</v>
      </c>
      <c r="C7544" s="2" t="str">
        <f t="shared" si="293"/>
        <v>UN</v>
      </c>
      <c r="D7544" s="7">
        <v>600</v>
      </c>
      <c r="E7544" s="3">
        <v>8</v>
      </c>
      <c r="F7544" s="3">
        <v>8</v>
      </c>
      <c r="G7544" t="s">
        <v>514</v>
      </c>
    </row>
    <row r="7545" spans="1:7" x14ac:dyDescent="0.25">
      <c r="A7545" s="1" t="str">
        <f>"505946"</f>
        <v>505946</v>
      </c>
      <c r="B7545" s="2" t="str">
        <f>"CONTATO AUX BLOCO SIEMENS 3RH1911-1FA40"</f>
        <v>CONTATO AUX BLOCO SIEMENS 3RH1911-1FA40</v>
      </c>
      <c r="C7545" s="2" t="str">
        <f t="shared" si="293"/>
        <v>UN</v>
      </c>
      <c r="D7545" s="7">
        <v>600</v>
      </c>
      <c r="E7545" s="3">
        <v>8</v>
      </c>
      <c r="F7545" s="3">
        <v>8</v>
      </c>
      <c r="G7545" t="s">
        <v>514</v>
      </c>
    </row>
    <row r="7546" spans="1:7" x14ac:dyDescent="0.25">
      <c r="A7546" s="1" t="str">
        <f>"506147"</f>
        <v>506147</v>
      </c>
      <c r="B7546" s="2" t="str">
        <f>"CONTATO AUX BLOCO SIEMENS 3RH1911-1FA40"</f>
        <v>CONTATO AUX BLOCO SIEMENS 3RH1911-1FA40</v>
      </c>
      <c r="C7546" s="2" t="str">
        <f t="shared" si="293"/>
        <v>UN</v>
      </c>
      <c r="D7546" s="7">
        <v>600</v>
      </c>
      <c r="E7546" s="3">
        <v>8</v>
      </c>
      <c r="F7546" s="3">
        <v>8</v>
      </c>
      <c r="G7546" t="s">
        <v>514</v>
      </c>
    </row>
    <row r="7547" spans="1:7" x14ac:dyDescent="0.25">
      <c r="A7547" s="1" t="str">
        <f>"501339"</f>
        <v>501339</v>
      </c>
      <c r="B7547" s="2" t="str">
        <f>"CONTATO AUX BLOCO SIEMENS 3RH1911-1GA40"</f>
        <v>CONTATO AUX BLOCO SIEMENS 3RH1911-1GA40</v>
      </c>
      <c r="C7547" s="2" t="str">
        <f t="shared" si="293"/>
        <v>UN</v>
      </c>
      <c r="D7547" s="7">
        <v>811</v>
      </c>
      <c r="E7547" s="3">
        <v>8</v>
      </c>
      <c r="F7547" s="3">
        <v>8</v>
      </c>
      <c r="G7547" t="s">
        <v>513</v>
      </c>
    </row>
    <row r="7548" spans="1:7" x14ac:dyDescent="0.25">
      <c r="A7548" s="1" t="str">
        <f>"508472"</f>
        <v>508472</v>
      </c>
      <c r="B7548" s="2" t="str">
        <f>"CONTATO AUX BLOCO SIEMENS 3RH1921-1FA22"</f>
        <v>CONTATO AUX BLOCO SIEMENS 3RH1921-1FA22</v>
      </c>
      <c r="C7548" s="2" t="str">
        <f t="shared" si="293"/>
        <v>UN</v>
      </c>
      <c r="D7548" s="7">
        <v>600</v>
      </c>
      <c r="E7548" s="3">
        <v>8</v>
      </c>
      <c r="F7548" s="3">
        <v>8</v>
      </c>
      <c r="G7548" t="s">
        <v>513</v>
      </c>
    </row>
    <row r="7549" spans="1:7" x14ac:dyDescent="0.25">
      <c r="A7549" s="1" t="str">
        <f>"505945"</f>
        <v>505945</v>
      </c>
      <c r="B7549" s="2" t="str">
        <f>"CONTATO AUX BLOCO SIEMENS 3RH1921-1FA40"</f>
        <v>CONTATO AUX BLOCO SIEMENS 3RH1921-1FA40</v>
      </c>
      <c r="C7549" s="2" t="str">
        <f t="shared" si="293"/>
        <v>UN</v>
      </c>
      <c r="D7549" s="7">
        <v>600</v>
      </c>
      <c r="E7549" s="3">
        <v>8</v>
      </c>
      <c r="F7549" s="3">
        <v>8</v>
      </c>
      <c r="G7549" t="s">
        <v>513</v>
      </c>
    </row>
    <row r="7550" spans="1:7" x14ac:dyDescent="0.25">
      <c r="A7550" s="1" t="str">
        <f>"526590"</f>
        <v>526590</v>
      </c>
      <c r="B7550" s="2" t="str">
        <f>"CONTATO AUX FRONTAL 3RV1901-1E"</f>
        <v>CONTATO AUX FRONTAL 3RV1901-1E</v>
      </c>
      <c r="C7550" s="2" t="str">
        <f t="shared" si="293"/>
        <v>UN</v>
      </c>
      <c r="D7550" s="7">
        <v>811</v>
      </c>
      <c r="E7550" s="3">
        <v>8</v>
      </c>
      <c r="F7550" s="3">
        <v>8</v>
      </c>
      <c r="G7550" t="s">
        <v>512</v>
      </c>
    </row>
    <row r="7551" spans="1:7" x14ac:dyDescent="0.25">
      <c r="A7551" s="1" t="str">
        <f>"526243"</f>
        <v>526243</v>
      </c>
      <c r="B7551" s="2" t="str">
        <f>"CONTATO AUX. 5ST3010"</f>
        <v>CONTATO AUX. 5ST3010</v>
      </c>
      <c r="C7551" s="2" t="str">
        <f t="shared" si="293"/>
        <v>UN</v>
      </c>
      <c r="D7551" s="7">
        <v>600</v>
      </c>
      <c r="E7551" s="3">
        <v>8</v>
      </c>
      <c r="F7551" s="3">
        <v>8</v>
      </c>
      <c r="G7551" t="s">
        <v>513</v>
      </c>
    </row>
    <row r="7552" spans="1:7" x14ac:dyDescent="0.25">
      <c r="A7552" s="1" t="str">
        <f>"527108"</f>
        <v>527108</v>
      </c>
      <c r="B7552" s="2" t="str">
        <f>"CONTATO AUXILIXAR 1NA/NF 5TW00483 - 5TWOO483 SIEMENS"</f>
        <v>CONTATO AUXILIXAR 1NA/NF 5TW00483 - 5TWOO483 SIEMENS</v>
      </c>
      <c r="C7552" s="2" t="str">
        <f t="shared" si="293"/>
        <v>UN</v>
      </c>
      <c r="D7552" s="7">
        <v>811</v>
      </c>
      <c r="E7552" s="3">
        <v>8</v>
      </c>
      <c r="F7552" s="3">
        <v>8</v>
      </c>
      <c r="G7552" t="s">
        <v>514</v>
      </c>
    </row>
    <row r="7553" spans="1:7" x14ac:dyDescent="0.25">
      <c r="A7553" s="1" t="str">
        <f>"516552"</f>
        <v>516552</v>
      </c>
      <c r="B7553" s="2" t="str">
        <f>"CONTATO FRONTAL 3RV1901-1D"</f>
        <v>CONTATO FRONTAL 3RV1901-1D</v>
      </c>
      <c r="C7553" s="2" t="str">
        <f t="shared" si="293"/>
        <v>UN</v>
      </c>
      <c r="D7553" s="7">
        <v>811</v>
      </c>
      <c r="E7553" s="3">
        <v>8</v>
      </c>
      <c r="F7553" s="3">
        <v>8</v>
      </c>
      <c r="G7553" t="s">
        <v>515</v>
      </c>
    </row>
    <row r="7554" spans="1:7" x14ac:dyDescent="0.25">
      <c r="A7554" s="1" t="str">
        <f>"512179"</f>
        <v>512179</v>
      </c>
      <c r="B7554" s="2" t="str">
        <f>"CONTATO NF 5-PL41"</f>
        <v>CONTATO NF 5-PL41</v>
      </c>
      <c r="C7554" s="2" t="str">
        <f t="shared" si="293"/>
        <v>UN</v>
      </c>
      <c r="D7554" s="7">
        <v>900</v>
      </c>
      <c r="E7554" s="3">
        <v>11</v>
      </c>
      <c r="F7554" s="3">
        <v>11</v>
      </c>
      <c r="G7554" t="s">
        <v>512</v>
      </c>
    </row>
    <row r="7555" spans="1:7" x14ac:dyDescent="0.25">
      <c r="A7555" s="1" t="str">
        <f>"520949"</f>
        <v>520949</v>
      </c>
      <c r="B7555" s="2" t="str">
        <f>"CONTATO P/ BOTÃO 3SB6400-1AA10-1BA0"</f>
        <v>CONTATO P/ BOTÃO 3SB6400-1AA10-1BA0</v>
      </c>
      <c r="C7555" s="2" t="str">
        <f t="shared" si="293"/>
        <v>UN</v>
      </c>
      <c r="D7555" s="7">
        <v>811</v>
      </c>
      <c r="E7555" s="3">
        <v>8</v>
      </c>
      <c r="F7555" s="3">
        <v>8</v>
      </c>
      <c r="G7555" t="s">
        <v>516</v>
      </c>
    </row>
    <row r="7556" spans="1:7" x14ac:dyDescent="0.25">
      <c r="A7556" s="1" t="str">
        <f>"527530"</f>
        <v>527530</v>
      </c>
      <c r="B7556" s="2" t="str">
        <f>"CONTATO P/ BOTÃO 3SB6400-1AA10-1CA0"</f>
        <v>CONTATO P/ BOTÃO 3SB6400-1AA10-1CA0</v>
      </c>
      <c r="C7556" s="2" t="str">
        <f t="shared" si="293"/>
        <v>UN</v>
      </c>
      <c r="D7556" s="7">
        <v>811</v>
      </c>
      <c r="E7556" s="3">
        <v>8</v>
      </c>
      <c r="F7556" s="3">
        <v>8</v>
      </c>
      <c r="G7556" t="s">
        <v>515</v>
      </c>
    </row>
    <row r="7557" spans="1:7" x14ac:dyDescent="0.25">
      <c r="A7557" s="1" t="str">
        <f>"505840"</f>
        <v>505840</v>
      </c>
      <c r="B7557" s="2" t="str">
        <f>"CONTATO P/CONTACTORA DA BOMBA (TOYOTA)"</f>
        <v>CONTATO P/CONTACTORA DA BOMBA (TOYOTA)</v>
      </c>
      <c r="C7557" s="2" t="str">
        <f t="shared" si="293"/>
        <v>UN</v>
      </c>
      <c r="D7557" s="7">
        <v>900</v>
      </c>
      <c r="E7557" s="3">
        <v>11</v>
      </c>
      <c r="F7557" s="3">
        <v>11</v>
      </c>
      <c r="G7557" t="s">
        <v>514</v>
      </c>
    </row>
    <row r="7558" spans="1:7" x14ac:dyDescent="0.25">
      <c r="A7558" s="1" t="str">
        <f>"504025"</f>
        <v>504025</v>
      </c>
      <c r="B7558" s="2" t="str">
        <f>"CONTATO SIEMENS 3RT10 34-1AN10/20 220"</f>
        <v>CONTATO SIEMENS 3RT10 34-1AN10/20 220</v>
      </c>
      <c r="C7558" s="2" t="str">
        <f t="shared" si="293"/>
        <v>UN</v>
      </c>
      <c r="D7558" s="7">
        <v>600</v>
      </c>
      <c r="E7558" s="3">
        <v>8</v>
      </c>
      <c r="F7558" s="3">
        <v>8</v>
      </c>
      <c r="G7558" t="s">
        <v>512</v>
      </c>
    </row>
    <row r="7559" spans="1:7" x14ac:dyDescent="0.25">
      <c r="A7559" s="1" t="str">
        <f>"526528"</f>
        <v>526528</v>
      </c>
      <c r="B7559" s="2" t="str">
        <f>"CONTATO SIEMENS 3SU1400-1AA10 3BA0 N.A"</f>
        <v>CONTATO SIEMENS 3SU1400-1AA10 3BA0 N.A</v>
      </c>
      <c r="C7559" s="2" t="str">
        <f t="shared" si="293"/>
        <v>UN</v>
      </c>
      <c r="D7559" s="7">
        <v>811</v>
      </c>
      <c r="E7559" s="3">
        <v>11</v>
      </c>
      <c r="F7559" s="3">
        <v>11</v>
      </c>
      <c r="G7559" t="s">
        <v>513</v>
      </c>
    </row>
    <row r="7560" spans="1:7" x14ac:dyDescent="0.25">
      <c r="A7560" s="1" t="str">
        <f>"511298"</f>
        <v>511298</v>
      </c>
      <c r="B7560" s="2" t="str">
        <f>"CONTATO STECK NA VERDE"</f>
        <v>CONTATO STECK NA VERDE</v>
      </c>
      <c r="C7560" s="2" t="str">
        <f t="shared" si="293"/>
        <v>UN</v>
      </c>
      <c r="D7560" s="7">
        <v>600</v>
      </c>
      <c r="E7560" s="3">
        <v>8</v>
      </c>
      <c r="F7560" s="3">
        <v>8</v>
      </c>
      <c r="G7560" t="s">
        <v>514</v>
      </c>
    </row>
    <row r="7561" spans="1:7" x14ac:dyDescent="0.25">
      <c r="A7561" s="1" t="str">
        <f>"517714"</f>
        <v>517714</v>
      </c>
      <c r="B7561" s="2" t="str">
        <f>"CONTATO STECK NF VERMELHO"</f>
        <v>CONTATO STECK NF VERMELHO</v>
      </c>
      <c r="C7561" s="2" t="str">
        <f t="shared" si="293"/>
        <v>UN</v>
      </c>
      <c r="D7561" s="7">
        <v>811</v>
      </c>
      <c r="E7561" s="3">
        <v>8</v>
      </c>
      <c r="F7561" s="3">
        <v>8</v>
      </c>
      <c r="G7561" t="s">
        <v>514</v>
      </c>
    </row>
    <row r="7562" spans="1:7" x14ac:dyDescent="0.25">
      <c r="A7562" s="1" t="str">
        <f>"512108"</f>
        <v>512108</v>
      </c>
      <c r="B7562" s="2" t="str">
        <f>"CONTATOR 220V 23A 1NA 1NF"</f>
        <v>CONTATOR 220V 23A 1NA 1NF</v>
      </c>
      <c r="C7562" s="2" t="str">
        <f t="shared" si="293"/>
        <v>UN</v>
      </c>
      <c r="D7562" s="7">
        <v>600</v>
      </c>
      <c r="E7562" s="3">
        <v>8</v>
      </c>
      <c r="F7562" s="3">
        <v>8</v>
      </c>
      <c r="G7562" t="s">
        <v>512</v>
      </c>
    </row>
    <row r="7563" spans="1:7" x14ac:dyDescent="0.25">
      <c r="A7563" s="1" t="str">
        <f>"526033"</f>
        <v>526033</v>
      </c>
      <c r="B7563" s="2" t="str">
        <f>"CONTATOR 24VDC 1NF 3RT15-1AB41 09A TAMANHO S00"</f>
        <v>CONTATOR 24VDC 1NF 3RT15-1AB41 09A TAMANHO S00</v>
      </c>
      <c r="C7563" s="2" t="str">
        <f t="shared" si="293"/>
        <v>UN</v>
      </c>
      <c r="D7563" s="7">
        <v>600</v>
      </c>
      <c r="E7563" s="3">
        <v>8</v>
      </c>
      <c r="F7563" s="3">
        <v>8</v>
      </c>
      <c r="G7563" t="s">
        <v>513</v>
      </c>
    </row>
    <row r="7564" spans="1:7" x14ac:dyDescent="0.25">
      <c r="A7564" s="1" t="str">
        <f>"504185"</f>
        <v>504185</v>
      </c>
      <c r="B7564" s="2" t="str">
        <f>"CONTATOR 3CV REF.LC1-K0610M7"</f>
        <v>CONTATOR 3CV REF.LC1-K0610M7</v>
      </c>
      <c r="C7564" s="2" t="str">
        <f t="shared" si="293"/>
        <v>UN</v>
      </c>
      <c r="D7564" s="7">
        <v>600</v>
      </c>
      <c r="E7564" s="3">
        <v>8</v>
      </c>
      <c r="F7564" s="3">
        <v>8</v>
      </c>
      <c r="G7564" t="s">
        <v>514</v>
      </c>
    </row>
    <row r="7565" spans="1:7" x14ac:dyDescent="0.25">
      <c r="A7565" s="1" t="str">
        <f>"525168"</f>
        <v>525168</v>
      </c>
      <c r="B7565" s="2" t="str">
        <f>"CONTATOR 3P 9A (1NA + 1NF) 48V 50/60HZ"</f>
        <v>CONTATOR 3P 9A (1NA + 1NF) 48V 50/60HZ</v>
      </c>
      <c r="C7565" s="2" t="str">
        <f t="shared" si="293"/>
        <v>UN</v>
      </c>
      <c r="D7565" s="7">
        <v>811</v>
      </c>
      <c r="E7565" s="3">
        <v>10</v>
      </c>
      <c r="F7565" s="3">
        <v>10</v>
      </c>
      <c r="G7565" t="s">
        <v>514</v>
      </c>
    </row>
    <row r="7566" spans="1:7" x14ac:dyDescent="0.25">
      <c r="A7566" s="1" t="str">
        <f>"525310"</f>
        <v>525310</v>
      </c>
      <c r="B7566" s="2" t="str">
        <f>"CONTATOR 3P 9A NA+NF 48VCA 50/60HZ SCHENEIDER"</f>
        <v>CONTATOR 3P 9A NA+NF 48VCA 50/60HZ SCHENEIDER</v>
      </c>
      <c r="C7566" s="2" t="str">
        <f t="shared" si="293"/>
        <v>UN</v>
      </c>
      <c r="D7566" s="7">
        <v>811</v>
      </c>
      <c r="E7566" s="3">
        <v>10</v>
      </c>
      <c r="F7566" s="3">
        <v>10</v>
      </c>
      <c r="G7566" t="s">
        <v>514</v>
      </c>
    </row>
    <row r="7567" spans="1:7" x14ac:dyDescent="0.25">
      <c r="A7567" s="1" t="str">
        <f>"526032"</f>
        <v>526032</v>
      </c>
      <c r="B7567" s="2" t="str">
        <f>"CONTATOR 3RH11 40-1HB40 SIEMENS"</f>
        <v>CONTATOR 3RH11 40-1HB40 SIEMENS</v>
      </c>
      <c r="C7567" s="2" t="str">
        <f t="shared" ref="C7567:C7598" si="294">"UN"</f>
        <v>UN</v>
      </c>
      <c r="D7567" s="7">
        <v>811</v>
      </c>
      <c r="E7567" s="3">
        <v>8</v>
      </c>
      <c r="F7567" s="3">
        <v>8</v>
      </c>
      <c r="G7567" t="s">
        <v>513</v>
      </c>
    </row>
    <row r="7568" spans="1:7" x14ac:dyDescent="0.25">
      <c r="A7568" s="1" t="str">
        <f>"520964"</f>
        <v>520964</v>
      </c>
      <c r="B7568" s="2" t="str">
        <f>"CONTATOR 3RT10 24-1AN10"</f>
        <v>CONTATOR 3RT10 24-1AN10</v>
      </c>
      <c r="C7568" s="2" t="str">
        <f t="shared" si="294"/>
        <v>UN</v>
      </c>
      <c r="D7568" s="7">
        <v>811</v>
      </c>
      <c r="E7568" s="3">
        <v>8</v>
      </c>
      <c r="F7568" s="3">
        <v>8</v>
      </c>
      <c r="G7568" t="s">
        <v>512</v>
      </c>
    </row>
    <row r="7569" spans="1:7" x14ac:dyDescent="0.25">
      <c r="A7569" s="1" t="str">
        <f>"504186"</f>
        <v>504186</v>
      </c>
      <c r="B7569" s="2" t="str">
        <f>"CONTATOR 5CV REF.LC1-K0910M7"</f>
        <v>CONTATOR 5CV REF.LC1-K0910M7</v>
      </c>
      <c r="C7569" s="2" t="str">
        <f t="shared" si="294"/>
        <v>UN</v>
      </c>
      <c r="D7569" s="7">
        <v>600</v>
      </c>
      <c r="E7569" s="3">
        <v>8</v>
      </c>
      <c r="F7569" s="3">
        <v>8</v>
      </c>
      <c r="G7569" t="s">
        <v>513</v>
      </c>
    </row>
    <row r="7570" spans="1:7" x14ac:dyDescent="0.25">
      <c r="A7570" s="1" t="str">
        <f>"504187"</f>
        <v>504187</v>
      </c>
      <c r="B7570" s="2" t="str">
        <f>"CONTATOR 7,5CV REF.LC1-K1210M7"</f>
        <v>CONTATOR 7,5CV REF.LC1-K1210M7</v>
      </c>
      <c r="C7570" s="2" t="str">
        <f t="shared" si="294"/>
        <v>UN</v>
      </c>
      <c r="D7570" s="7">
        <v>600</v>
      </c>
      <c r="E7570" s="3">
        <v>8</v>
      </c>
      <c r="F7570" s="3">
        <v>8</v>
      </c>
      <c r="G7570" t="s">
        <v>514</v>
      </c>
    </row>
    <row r="7571" spans="1:7" x14ac:dyDescent="0.25">
      <c r="A7571" s="1" t="str">
        <f>"527952"</f>
        <v>527952</v>
      </c>
      <c r="B7571" s="8" t="s">
        <v>507</v>
      </c>
      <c r="C7571" s="2" t="str">
        <f t="shared" si="294"/>
        <v>UN</v>
      </c>
      <c r="D7571" s="7">
        <v>600</v>
      </c>
      <c r="E7571" s="3">
        <v>8</v>
      </c>
      <c r="F7571" s="3">
        <v>8</v>
      </c>
      <c r="G7571" t="s">
        <v>514</v>
      </c>
    </row>
    <row r="7572" spans="1:7" x14ac:dyDescent="0.25">
      <c r="A7572" s="1" t="str">
        <f>"521295"</f>
        <v>521295</v>
      </c>
      <c r="B7572" s="2" t="str">
        <f>"CONTATOR AUX 4 CONTATOS ABERTOS 24VDC"</f>
        <v>CONTATOR AUX 4 CONTATOS ABERTOS 24VDC</v>
      </c>
      <c r="C7572" s="2" t="str">
        <f t="shared" si="294"/>
        <v>UN</v>
      </c>
      <c r="D7572" s="7">
        <v>811</v>
      </c>
      <c r="E7572" s="3">
        <v>8</v>
      </c>
      <c r="F7572" s="3">
        <v>8</v>
      </c>
      <c r="G7572" t="s">
        <v>514</v>
      </c>
    </row>
    <row r="7573" spans="1:7" x14ac:dyDescent="0.25">
      <c r="A7573" s="1" t="str">
        <f>"512333"</f>
        <v>512333</v>
      </c>
      <c r="B7573" s="2" t="str">
        <f>"CONTATOR AUX BLOCO SIEMENS 3RH1911-1FA20"</f>
        <v>CONTATOR AUX BLOCO SIEMENS 3RH1911-1FA20</v>
      </c>
      <c r="C7573" s="2" t="str">
        <f t="shared" si="294"/>
        <v>UN</v>
      </c>
      <c r="D7573" s="7">
        <v>600</v>
      </c>
      <c r="E7573" s="3">
        <v>8</v>
      </c>
      <c r="F7573" s="3">
        <v>8</v>
      </c>
      <c r="G7573" t="s">
        <v>513</v>
      </c>
    </row>
    <row r="7574" spans="1:7" x14ac:dyDescent="0.25">
      <c r="A7574" s="1" t="str">
        <f>"518129"</f>
        <v>518129</v>
      </c>
      <c r="B7574" s="2" t="str">
        <f>"CONTATOR AUX BLOCO SIEMENS 3RH1911-1FA40"</f>
        <v>CONTATOR AUX BLOCO SIEMENS 3RH1911-1FA40</v>
      </c>
      <c r="C7574" s="2" t="str">
        <f t="shared" si="294"/>
        <v>UN</v>
      </c>
      <c r="D7574" s="7">
        <v>811</v>
      </c>
      <c r="E7574" s="3">
        <v>8</v>
      </c>
      <c r="F7574" s="3">
        <v>8</v>
      </c>
      <c r="G7574" t="s">
        <v>513</v>
      </c>
    </row>
    <row r="7575" spans="1:7" x14ac:dyDescent="0.25">
      <c r="A7575" s="1" t="str">
        <f>"510927"</f>
        <v>510927</v>
      </c>
      <c r="B7575" s="2" t="str">
        <f>"CONTATOR AUX BLOCO SISMENS 3RH1921-1DA11"</f>
        <v>CONTATOR AUX BLOCO SISMENS 3RH1921-1DA11</v>
      </c>
      <c r="C7575" s="2" t="str">
        <f t="shared" si="294"/>
        <v>UN</v>
      </c>
      <c r="D7575" s="7">
        <v>600</v>
      </c>
      <c r="E7575" s="3">
        <v>8</v>
      </c>
      <c r="F7575" s="3">
        <v>8</v>
      </c>
      <c r="G7575" t="s">
        <v>513</v>
      </c>
    </row>
    <row r="7576" spans="1:7" x14ac:dyDescent="0.25">
      <c r="A7576" s="1" t="str">
        <f>"504188"</f>
        <v>504188</v>
      </c>
      <c r="B7576" s="2" t="str">
        <f>"CONTATOR AUX REF.CA2-KN22M7"</f>
        <v>CONTATOR AUX REF.CA2-KN22M7</v>
      </c>
      <c r="C7576" s="2" t="str">
        <f t="shared" si="294"/>
        <v>UN</v>
      </c>
      <c r="D7576" s="7">
        <v>600</v>
      </c>
      <c r="E7576" s="3">
        <v>8</v>
      </c>
      <c r="F7576" s="3">
        <v>8</v>
      </c>
      <c r="G7576" t="s">
        <v>512</v>
      </c>
    </row>
    <row r="7577" spans="1:7" x14ac:dyDescent="0.25">
      <c r="A7577" s="1" t="str">
        <f>"510042"</f>
        <v>510042</v>
      </c>
      <c r="B7577" s="2" t="str">
        <f>"CONTATOR AUX SIEMENS 3RH1122-1A"</f>
        <v>CONTATOR AUX SIEMENS 3RH1122-1A</v>
      </c>
      <c r="C7577" s="2" t="str">
        <f t="shared" si="294"/>
        <v>UN</v>
      </c>
      <c r="D7577" s="7">
        <v>600</v>
      </c>
      <c r="E7577" s="3">
        <v>8</v>
      </c>
      <c r="F7577" s="3">
        <v>8</v>
      </c>
      <c r="G7577" t="s">
        <v>513</v>
      </c>
    </row>
    <row r="7578" spans="1:7" x14ac:dyDescent="0.25">
      <c r="A7578" s="1" t="str">
        <f>"500750"</f>
        <v>500750</v>
      </c>
      <c r="B7578" s="2" t="str">
        <f>"CONTATOR AUX SIEMENS 3RH1122-1AN1 220V"</f>
        <v>CONTATOR AUX SIEMENS 3RH1122-1AN1 220V</v>
      </c>
      <c r="C7578" s="2" t="str">
        <f t="shared" si="294"/>
        <v>UN</v>
      </c>
      <c r="D7578" s="7">
        <v>600</v>
      </c>
      <c r="E7578" s="3">
        <v>8</v>
      </c>
      <c r="F7578" s="3">
        <v>8</v>
      </c>
      <c r="G7578" t="s">
        <v>514</v>
      </c>
    </row>
    <row r="7579" spans="1:7" x14ac:dyDescent="0.25">
      <c r="A7579" s="1" t="str">
        <f>"507884"</f>
        <v>507884</v>
      </c>
      <c r="B7579" s="2" t="str">
        <f>"CONTATOR AUX SIEMENS 3RH1122-1AN20"</f>
        <v>CONTATOR AUX SIEMENS 3RH1122-1AN20</v>
      </c>
      <c r="C7579" s="2" t="str">
        <f t="shared" si="294"/>
        <v>UN</v>
      </c>
      <c r="D7579" s="7">
        <v>600</v>
      </c>
      <c r="E7579" s="3">
        <v>8</v>
      </c>
      <c r="F7579" s="3">
        <v>8</v>
      </c>
      <c r="G7579" t="s">
        <v>515</v>
      </c>
    </row>
    <row r="7580" spans="1:7" x14ac:dyDescent="0.25">
      <c r="A7580" s="1" t="str">
        <f>"517950"</f>
        <v>517950</v>
      </c>
      <c r="B7580" s="2" t="str">
        <f>"CONTATOR AUX SIEMENS 3RH1122-1BB40"</f>
        <v>CONTATOR AUX SIEMENS 3RH1122-1BB40</v>
      </c>
      <c r="C7580" s="2" t="str">
        <f t="shared" si="294"/>
        <v>UN</v>
      </c>
      <c r="D7580" s="7">
        <v>811</v>
      </c>
      <c r="E7580" s="3">
        <v>8</v>
      </c>
      <c r="F7580" s="3">
        <v>8</v>
      </c>
      <c r="G7580" t="s">
        <v>512</v>
      </c>
    </row>
    <row r="7581" spans="1:7" x14ac:dyDescent="0.25">
      <c r="A7581" s="1" t="str">
        <f>"506148"</f>
        <v>506148</v>
      </c>
      <c r="B7581" s="2" t="str">
        <f>"CONTATOR AUX SIEMENS 3RH401AB40"</f>
        <v>CONTATOR AUX SIEMENS 3RH401AB40</v>
      </c>
      <c r="C7581" s="2" t="str">
        <f t="shared" si="294"/>
        <v>UN</v>
      </c>
      <c r="D7581" s="7">
        <v>600</v>
      </c>
      <c r="E7581" s="3">
        <v>8</v>
      </c>
      <c r="F7581" s="3">
        <v>8</v>
      </c>
      <c r="G7581" t="s">
        <v>516</v>
      </c>
    </row>
    <row r="7582" spans="1:7" x14ac:dyDescent="0.25">
      <c r="A7582" s="1" t="str">
        <f>"520981"</f>
        <v>520981</v>
      </c>
      <c r="B7582" s="2" t="str">
        <f>"CONTATOR AUXILIAR 2 CONTATOS ABERTOS 24VDC"</f>
        <v>CONTATOR AUXILIAR 2 CONTATOS ABERTOS 24VDC</v>
      </c>
      <c r="C7582" s="2" t="str">
        <f t="shared" si="294"/>
        <v>UN</v>
      </c>
      <c r="D7582" s="7">
        <v>900</v>
      </c>
      <c r="E7582" s="3">
        <v>8</v>
      </c>
      <c r="F7582" s="3">
        <v>8</v>
      </c>
      <c r="G7582" t="s">
        <v>515</v>
      </c>
    </row>
    <row r="7583" spans="1:7" x14ac:dyDescent="0.25">
      <c r="A7583" s="1" t="str">
        <f>"524958"</f>
        <v>524958</v>
      </c>
      <c r="B7583" s="2" t="str">
        <f>"CONTATOR AUXILIAR 3RH11 40-1BB40/4NA-24VCC"</f>
        <v>CONTATOR AUXILIAR 3RH11 40-1BB40/4NA-24VCC</v>
      </c>
      <c r="C7583" s="2" t="str">
        <f t="shared" si="294"/>
        <v>UN</v>
      </c>
      <c r="D7583" s="7">
        <v>811</v>
      </c>
      <c r="E7583" s="3">
        <v>8</v>
      </c>
      <c r="F7583" s="3">
        <v>8</v>
      </c>
      <c r="G7583" t="s">
        <v>514</v>
      </c>
    </row>
    <row r="7584" spans="1:7" x14ac:dyDescent="0.25">
      <c r="A7584" s="1" t="str">
        <f>"511293"</f>
        <v>511293</v>
      </c>
      <c r="B7584" s="2" t="str">
        <f>"CONTATOR CWC09-01E BOBINA 24VDC"</f>
        <v>CONTATOR CWC09-01E BOBINA 24VDC</v>
      </c>
      <c r="C7584" s="2" t="str">
        <f t="shared" si="294"/>
        <v>UN</v>
      </c>
      <c r="D7584" s="7">
        <v>600</v>
      </c>
      <c r="E7584" s="3">
        <v>8</v>
      </c>
      <c r="F7584" s="3">
        <v>8</v>
      </c>
      <c r="G7584" t="s">
        <v>512</v>
      </c>
    </row>
    <row r="7585" spans="1:7" x14ac:dyDescent="0.25">
      <c r="A7585" s="1" t="str">
        <f>"517199"</f>
        <v>517199</v>
      </c>
      <c r="B7585" s="2" t="str">
        <f>"CONTATOR CWM 180 2.22 220V/60HZ"</f>
        <v>CONTATOR CWM 180 2.22 220V/60HZ</v>
      </c>
      <c r="C7585" s="2" t="str">
        <f t="shared" si="294"/>
        <v>UN</v>
      </c>
      <c r="D7585" s="7">
        <v>811</v>
      </c>
      <c r="E7585" s="3">
        <v>8</v>
      </c>
      <c r="F7585" s="3">
        <v>8</v>
      </c>
      <c r="G7585" t="s">
        <v>513</v>
      </c>
    </row>
    <row r="7586" spans="1:7" x14ac:dyDescent="0.25">
      <c r="A7586" s="1" t="str">
        <f>"510678"</f>
        <v>510678</v>
      </c>
      <c r="B7586" s="2" t="str">
        <f>"CONTATOR CWM 18-10-30V 26 220V - WEG"</f>
        <v>CONTATOR CWM 18-10-30V 26 220V - WEG</v>
      </c>
      <c r="C7586" s="2" t="str">
        <f t="shared" si="294"/>
        <v>UN</v>
      </c>
      <c r="D7586" s="7">
        <v>600</v>
      </c>
      <c r="E7586" s="3">
        <v>8</v>
      </c>
      <c r="F7586" s="3">
        <v>8</v>
      </c>
      <c r="G7586" t="s">
        <v>514</v>
      </c>
    </row>
    <row r="7587" spans="1:7" x14ac:dyDescent="0.25">
      <c r="A7587" s="1" t="str">
        <f>"513626"</f>
        <v>513626</v>
      </c>
      <c r="B7587" s="2" t="str">
        <f>"CONTATOR CWM 25-00-30V 26 220V - WEG"</f>
        <v>CONTATOR CWM 25-00-30V 26 220V - WEG</v>
      </c>
      <c r="C7587" s="2" t="str">
        <f t="shared" si="294"/>
        <v>UN</v>
      </c>
      <c r="D7587" s="7">
        <v>600</v>
      </c>
      <c r="E7587" s="3">
        <v>8</v>
      </c>
      <c r="F7587" s="3">
        <v>8</v>
      </c>
      <c r="G7587" t="s">
        <v>514</v>
      </c>
    </row>
    <row r="7588" spans="1:7" x14ac:dyDescent="0.25">
      <c r="A7588" s="1" t="str">
        <f>"510005"</f>
        <v>510005</v>
      </c>
      <c r="B7588" s="2" t="str">
        <f>"CONTATOR CWM 95.111"</f>
        <v>CONTATOR CWM 95.111</v>
      </c>
      <c r="C7588" s="2" t="str">
        <f t="shared" si="294"/>
        <v>UN</v>
      </c>
      <c r="D7588" s="7">
        <v>600</v>
      </c>
      <c r="E7588" s="3">
        <v>8</v>
      </c>
      <c r="F7588" s="3">
        <v>8</v>
      </c>
      <c r="G7588" t="s">
        <v>512</v>
      </c>
    </row>
    <row r="7589" spans="1:7" x14ac:dyDescent="0.25">
      <c r="A7589" s="1" t="str">
        <f>"508007"</f>
        <v>508007</v>
      </c>
      <c r="B7589" s="2" t="str">
        <f>"CONTATOR CWM 95-00 220V 60HZ - WEG"</f>
        <v>CONTATOR CWM 95-00 220V 60HZ - WEG</v>
      </c>
      <c r="C7589" s="2" t="str">
        <f t="shared" si="294"/>
        <v>UN</v>
      </c>
      <c r="D7589" s="7">
        <v>900</v>
      </c>
      <c r="E7589" s="3">
        <v>11</v>
      </c>
      <c r="F7589" s="3">
        <v>11</v>
      </c>
      <c r="G7589" t="s">
        <v>513</v>
      </c>
    </row>
    <row r="7590" spans="1:7" x14ac:dyDescent="0.25">
      <c r="A7590" s="1" t="str">
        <f>"508025"</f>
        <v>508025</v>
      </c>
      <c r="B7590" s="2" t="str">
        <f>"CONTATOR CWM40 380V 18,5KW 25HP 110V"</f>
        <v>CONTATOR CWM40 380V 18,5KW 25HP 110V</v>
      </c>
      <c r="C7590" s="2" t="str">
        <f t="shared" si="294"/>
        <v>UN</v>
      </c>
      <c r="D7590" s="7">
        <v>900</v>
      </c>
      <c r="E7590" s="3">
        <v>11</v>
      </c>
      <c r="F7590" s="3">
        <v>11</v>
      </c>
      <c r="G7590" t="s">
        <v>514</v>
      </c>
    </row>
    <row r="7591" spans="1:7" x14ac:dyDescent="0.25">
      <c r="A7591" s="1" t="str">
        <f>"527487"</f>
        <v>527487</v>
      </c>
      <c r="B7591" s="2" t="str">
        <f>"CONTATOR LC1D18 SCHNEIDER"</f>
        <v>CONTATOR LC1D18 SCHNEIDER</v>
      </c>
      <c r="C7591" s="2" t="str">
        <f t="shared" si="294"/>
        <v>UN</v>
      </c>
      <c r="D7591" s="7">
        <v>600</v>
      </c>
      <c r="E7591" s="3">
        <v>8</v>
      </c>
      <c r="F7591" s="3">
        <v>8</v>
      </c>
      <c r="G7591" t="s">
        <v>514</v>
      </c>
    </row>
    <row r="7592" spans="1:7" x14ac:dyDescent="0.25">
      <c r="A7592" s="1" t="str">
        <f>"517020"</f>
        <v>517020</v>
      </c>
      <c r="B7592" s="2" t="str">
        <f>"CONTATOR MILLER DIL12-11 220VAC"</f>
        <v>CONTATOR MILLER DIL12-11 220VAC</v>
      </c>
      <c r="C7592" s="2" t="str">
        <f t="shared" si="294"/>
        <v>UN</v>
      </c>
      <c r="D7592" s="7">
        <v>811</v>
      </c>
      <c r="E7592" s="3">
        <v>8</v>
      </c>
      <c r="F7592" s="3">
        <v>8</v>
      </c>
      <c r="G7592" t="s">
        <v>514</v>
      </c>
    </row>
    <row r="7593" spans="1:7" x14ac:dyDescent="0.25">
      <c r="A7593" s="1" t="str">
        <f>"517133"</f>
        <v>517133</v>
      </c>
      <c r="B7593" s="2" t="str">
        <f>"CONTATOR MOELLER DIIL00MK-11/DILK 12-11 220V 60HZ ATÉ 12,5KV"</f>
        <v>CONTATOR MOELLER DIIL00MK-11/DILK 12-11 220V 60HZ ATÉ 12,5KV</v>
      </c>
      <c r="C7593" s="2" t="str">
        <f t="shared" si="294"/>
        <v>UN</v>
      </c>
      <c r="D7593" s="7">
        <v>811</v>
      </c>
      <c r="E7593" s="3">
        <v>8</v>
      </c>
      <c r="F7593" s="3">
        <v>8</v>
      </c>
      <c r="G7593" t="s">
        <v>513</v>
      </c>
    </row>
    <row r="7594" spans="1:7" x14ac:dyDescent="0.25">
      <c r="A7594" s="1" t="str">
        <f>"511802"</f>
        <v>511802</v>
      </c>
      <c r="B7594" s="2" t="str">
        <f>"CONTATOR MOELLER DIL1MK-10/DILK25-11 220"</f>
        <v>CONTATOR MOELLER DIL1MK-10/DILK25-11 220</v>
      </c>
      <c r="C7594" s="2" t="str">
        <f t="shared" si="294"/>
        <v>UN</v>
      </c>
      <c r="D7594" s="7">
        <v>600</v>
      </c>
      <c r="E7594" s="3">
        <v>8</v>
      </c>
      <c r="F7594" s="3">
        <v>8</v>
      </c>
      <c r="G7594" t="s">
        <v>512</v>
      </c>
    </row>
    <row r="7595" spans="1:7" x14ac:dyDescent="0.25">
      <c r="A7595" s="1" t="str">
        <f>"517021"</f>
        <v>517021</v>
      </c>
      <c r="B7595" s="2" t="str">
        <f>"CONTATOR MOELLER DILK25-11 220V P/ BANCO DE CAPACITORES"</f>
        <v>CONTATOR MOELLER DILK25-11 220V P/ BANCO DE CAPACITORES</v>
      </c>
      <c r="C7595" s="2" t="str">
        <f t="shared" si="294"/>
        <v>UN</v>
      </c>
      <c r="D7595" s="7">
        <v>811</v>
      </c>
      <c r="E7595" s="3">
        <v>8</v>
      </c>
      <c r="F7595" s="3">
        <v>8</v>
      </c>
      <c r="G7595" t="s">
        <v>513</v>
      </c>
    </row>
    <row r="7596" spans="1:7" x14ac:dyDescent="0.25">
      <c r="A7596" s="1" t="str">
        <f>"508166"</f>
        <v>508166</v>
      </c>
      <c r="B7596" s="2" t="str">
        <f>"CONTATOR P/ FATOR DE POTENCIA 3RT16 17-1AN23"</f>
        <v>CONTATOR P/ FATOR DE POTENCIA 3RT16 17-1AN23</v>
      </c>
      <c r="C7596" s="2" t="str">
        <f t="shared" si="294"/>
        <v>UN</v>
      </c>
      <c r="D7596" s="7">
        <v>600</v>
      </c>
      <c r="E7596" s="3">
        <v>8</v>
      </c>
      <c r="F7596" s="3">
        <v>8</v>
      </c>
      <c r="G7596" t="s">
        <v>514</v>
      </c>
    </row>
    <row r="7597" spans="1:7" x14ac:dyDescent="0.25">
      <c r="A7597" s="1" t="str">
        <f>"510723"</f>
        <v>510723</v>
      </c>
      <c r="B7597" s="2" t="str">
        <f>"CONTATOR P/ FATOR DE POTENCIA 3RT16 47-1AN21"</f>
        <v>CONTATOR P/ FATOR DE POTENCIA 3RT16 47-1AN21</v>
      </c>
      <c r="C7597" s="2" t="str">
        <f t="shared" si="294"/>
        <v>UN</v>
      </c>
      <c r="D7597" s="7">
        <v>600</v>
      </c>
      <c r="E7597" s="3">
        <v>8</v>
      </c>
      <c r="F7597" s="3">
        <v>8</v>
      </c>
      <c r="G7597" t="s">
        <v>514</v>
      </c>
    </row>
    <row r="7598" spans="1:7" x14ac:dyDescent="0.25">
      <c r="A7598" s="1" t="str">
        <f>"514548"</f>
        <v>514548</v>
      </c>
      <c r="B7598" s="2" t="str">
        <f>"CONTATOR PRINC. 3TF4322 22AMP 0XNI220V"</f>
        <v>CONTATOR PRINC. 3TF4322 22AMP 0XNI220V</v>
      </c>
      <c r="C7598" s="2" t="str">
        <f t="shared" si="294"/>
        <v>UN</v>
      </c>
      <c r="D7598" s="7">
        <v>811</v>
      </c>
      <c r="E7598" s="3">
        <v>8</v>
      </c>
      <c r="F7598" s="3">
        <v>8</v>
      </c>
      <c r="G7598" t="s">
        <v>514</v>
      </c>
    </row>
    <row r="7599" spans="1:7" x14ac:dyDescent="0.25">
      <c r="A7599" s="1" t="str">
        <f>"519489"</f>
        <v>519489</v>
      </c>
      <c r="B7599" s="2" t="str">
        <f>"CONTATOR REVERSOR LC2K 1210E7 48V 50/60V"</f>
        <v>CONTATOR REVERSOR LC2K 1210E7 48V 50/60V</v>
      </c>
      <c r="C7599" s="2" t="str">
        <f t="shared" ref="C7599:C7606" si="295">"UN"</f>
        <v>UN</v>
      </c>
      <c r="D7599" s="7">
        <v>811</v>
      </c>
      <c r="E7599" s="3">
        <v>8</v>
      </c>
      <c r="F7599" s="3">
        <v>8</v>
      </c>
      <c r="G7599" t="s">
        <v>513</v>
      </c>
    </row>
    <row r="7600" spans="1:7" x14ac:dyDescent="0.25">
      <c r="A7600" s="1" t="str">
        <f>"520984"</f>
        <v>520984</v>
      </c>
      <c r="B7600" s="2" t="str">
        <f>"CONTATOR RT1517-1BB40"</f>
        <v>CONTATOR RT1517-1BB40</v>
      </c>
      <c r="C7600" s="2" t="str">
        <f t="shared" si="295"/>
        <v>UN</v>
      </c>
      <c r="D7600" s="7">
        <v>900</v>
      </c>
      <c r="E7600" s="3">
        <v>8</v>
      </c>
      <c r="F7600" s="3">
        <v>8</v>
      </c>
      <c r="G7600" t="s">
        <v>513</v>
      </c>
    </row>
    <row r="7601" spans="1:7" x14ac:dyDescent="0.25">
      <c r="A7601" s="1" t="str">
        <f>"524994"</f>
        <v>524994</v>
      </c>
      <c r="B7601" s="8" t="s">
        <v>423</v>
      </c>
      <c r="C7601" s="2" t="str">
        <f t="shared" si="295"/>
        <v>UN</v>
      </c>
      <c r="D7601" s="7">
        <v>811</v>
      </c>
      <c r="E7601" s="3">
        <v>11</v>
      </c>
      <c r="F7601" s="3">
        <v>11</v>
      </c>
      <c r="G7601" t="s">
        <v>513</v>
      </c>
    </row>
    <row r="7602" spans="1:7" x14ac:dyDescent="0.25">
      <c r="A7602" s="1" t="str">
        <f>"526935"</f>
        <v>526935</v>
      </c>
      <c r="B7602" s="8" t="s">
        <v>487</v>
      </c>
      <c r="C7602" s="2" t="str">
        <f t="shared" si="295"/>
        <v>UN</v>
      </c>
      <c r="D7602" s="7">
        <v>811</v>
      </c>
      <c r="E7602" s="3">
        <v>11</v>
      </c>
      <c r="F7602" s="3">
        <v>11</v>
      </c>
      <c r="G7602" t="s">
        <v>512</v>
      </c>
    </row>
    <row r="7603" spans="1:7" x14ac:dyDescent="0.25">
      <c r="A7603" s="1" t="str">
        <f>"519141"</f>
        <v>519141</v>
      </c>
      <c r="B7603" s="2" t="str">
        <f>"CONTATOR SIEMENS 3RS33 11-0AN2 25A 220V"</f>
        <v>CONTATOR SIEMENS 3RS33 11-0AN2 25A 220V</v>
      </c>
      <c r="C7603" s="2" t="str">
        <f t="shared" si="295"/>
        <v>UN</v>
      </c>
      <c r="D7603" s="7">
        <v>600</v>
      </c>
      <c r="E7603" s="3">
        <v>8</v>
      </c>
      <c r="F7603" s="3">
        <v>8</v>
      </c>
      <c r="G7603" t="s">
        <v>513</v>
      </c>
    </row>
    <row r="7604" spans="1:7" x14ac:dyDescent="0.25">
      <c r="A7604" s="1" t="str">
        <f>"516505"</f>
        <v>516505</v>
      </c>
      <c r="B7604" s="2" t="str">
        <f>"CONTATOR SIEMENS 3RT10 34- 1AN10"</f>
        <v>CONTATOR SIEMENS 3RT10 34- 1AN10</v>
      </c>
      <c r="C7604" s="2" t="str">
        <f t="shared" si="295"/>
        <v>UN</v>
      </c>
      <c r="D7604" s="7">
        <v>811</v>
      </c>
      <c r="E7604" s="3">
        <v>8</v>
      </c>
      <c r="F7604" s="3">
        <v>8</v>
      </c>
      <c r="G7604" t="s">
        <v>514</v>
      </c>
    </row>
    <row r="7605" spans="1:7" x14ac:dyDescent="0.25">
      <c r="A7605" s="1" t="str">
        <f>"526996"</f>
        <v>526996</v>
      </c>
      <c r="B7605" s="2" t="str">
        <f>"CONTATOR SIEMENS 3RT10 36-1 a B4"</f>
        <v>CONTATOR SIEMENS 3RT10 36-1 a B4</v>
      </c>
      <c r="C7605" s="2" t="str">
        <f t="shared" si="295"/>
        <v>UN</v>
      </c>
      <c r="D7605" s="7">
        <v>811</v>
      </c>
      <c r="E7605" s="3">
        <v>8</v>
      </c>
      <c r="F7605" s="3">
        <v>8</v>
      </c>
      <c r="G7605" t="s">
        <v>515</v>
      </c>
    </row>
    <row r="7606" spans="1:7" x14ac:dyDescent="0.25">
      <c r="A7606" s="1" t="str">
        <f>"526665"</f>
        <v>526665</v>
      </c>
      <c r="B7606" s="2" t="str">
        <f>"CONTATOR SIEMENS 3RT1015 1BB41 24VCC"</f>
        <v>CONTATOR SIEMENS 3RT1015 1BB41 24VCC</v>
      </c>
      <c r="C7606" s="2" t="str">
        <f t="shared" si="295"/>
        <v>UN</v>
      </c>
      <c r="D7606" s="7">
        <v>811</v>
      </c>
      <c r="E7606" s="3">
        <v>8</v>
      </c>
      <c r="F7606" s="3">
        <v>8</v>
      </c>
      <c r="G7606" t="s">
        <v>512</v>
      </c>
    </row>
    <row r="7607" spans="1:7" x14ac:dyDescent="0.25">
      <c r="A7607" s="1" t="str">
        <f>"507656"</f>
        <v>507656</v>
      </c>
      <c r="B7607" s="2" t="str">
        <f>"CONTATOR SIEMENS 3RT1015-1AF01 110V"</f>
        <v>CONTATOR SIEMENS 3RT1015-1AF01 110V</v>
      </c>
      <c r="C7607" s="2" t="str">
        <f>"PC"</f>
        <v>PC</v>
      </c>
      <c r="D7607" s="7">
        <v>600</v>
      </c>
      <c r="E7607" s="3">
        <v>8</v>
      </c>
      <c r="F7607" s="3">
        <v>8</v>
      </c>
      <c r="G7607" t="s">
        <v>516</v>
      </c>
    </row>
    <row r="7608" spans="1:7" x14ac:dyDescent="0.25">
      <c r="A7608" s="1" t="str">
        <f>"502708"</f>
        <v>502708</v>
      </c>
      <c r="B7608" s="2" t="str">
        <f>"CONTATOR SIEMENS 3RT1015-1AH1 127V/60HZ"</f>
        <v>CONTATOR SIEMENS 3RT1015-1AH1 127V/60HZ</v>
      </c>
      <c r="C7608" s="2" t="str">
        <f>"UN"</f>
        <v>UN</v>
      </c>
      <c r="D7608" s="7">
        <v>600</v>
      </c>
      <c r="E7608" s="3">
        <v>8</v>
      </c>
      <c r="F7608" s="3">
        <v>8</v>
      </c>
      <c r="G7608" t="s">
        <v>515</v>
      </c>
    </row>
    <row r="7609" spans="1:7" x14ac:dyDescent="0.25">
      <c r="A7609" s="1" t="str">
        <f>"517197"</f>
        <v>517197</v>
      </c>
      <c r="B7609" s="2" t="str">
        <f>"CONTATOR SIEMENS 3RT1015-1AN11"</f>
        <v>CONTATOR SIEMENS 3RT1015-1AN11</v>
      </c>
      <c r="C7609" s="2" t="str">
        <f>"UN"</f>
        <v>UN</v>
      </c>
      <c r="D7609" s="7">
        <v>811</v>
      </c>
      <c r="E7609" s="3">
        <v>8</v>
      </c>
      <c r="F7609" s="3">
        <v>8</v>
      </c>
      <c r="G7609" t="s">
        <v>514</v>
      </c>
    </row>
    <row r="7610" spans="1:7" x14ac:dyDescent="0.25">
      <c r="A7610" s="1" t="str">
        <f>"526034"</f>
        <v>526034</v>
      </c>
      <c r="B7610" s="2" t="str">
        <f>"CONTATOR SIEMENS 3RT1015-1AN21"</f>
        <v>CONTATOR SIEMENS 3RT1015-1AN21</v>
      </c>
      <c r="C7610" s="2" t="str">
        <f>"UN"</f>
        <v>UN</v>
      </c>
      <c r="D7610" s="7">
        <v>811</v>
      </c>
      <c r="E7610" s="3">
        <v>8</v>
      </c>
      <c r="F7610" s="3">
        <v>8</v>
      </c>
      <c r="G7610" t="s">
        <v>512</v>
      </c>
    </row>
    <row r="7611" spans="1:7" x14ac:dyDescent="0.25">
      <c r="A7611" s="1" t="str">
        <f>"500516"</f>
        <v>500516</v>
      </c>
      <c r="B7611" s="2" t="str">
        <f>"CONTATOR SIEMENS 3RT1015-1BB41"</f>
        <v>CONTATOR SIEMENS 3RT1015-1BB41</v>
      </c>
      <c r="C7611" s="2" t="str">
        <f>"UN"</f>
        <v>UN</v>
      </c>
      <c r="D7611" s="7">
        <v>600</v>
      </c>
      <c r="E7611" s="3">
        <v>8</v>
      </c>
      <c r="F7611" s="3">
        <v>8</v>
      </c>
      <c r="G7611" t="s">
        <v>513</v>
      </c>
    </row>
    <row r="7612" spans="1:7" x14ac:dyDescent="0.25">
      <c r="A7612" s="1" t="str">
        <f>"511929"</f>
        <v>511929</v>
      </c>
      <c r="B7612" s="2" t="str">
        <f>"CONTATOR SIEMENS 3RT1016-1AB41"</f>
        <v>CONTATOR SIEMENS 3RT1016-1AB41</v>
      </c>
      <c r="C7612" s="2" t="str">
        <f>"UN"</f>
        <v>UN</v>
      </c>
      <c r="D7612" s="7">
        <v>600</v>
      </c>
      <c r="E7612" s="3">
        <v>8</v>
      </c>
      <c r="F7612" s="3">
        <v>8</v>
      </c>
      <c r="G7612" t="s">
        <v>514</v>
      </c>
    </row>
    <row r="7613" spans="1:7" x14ac:dyDescent="0.25">
      <c r="A7613" s="1" t="str">
        <f>"508523"</f>
        <v>508523</v>
      </c>
      <c r="B7613" s="2" t="str">
        <f>"CONTATOR SIEMENS 3RT1016-1AN21 - 220V"</f>
        <v>CONTATOR SIEMENS 3RT1016-1AN21 - 220V</v>
      </c>
      <c r="C7613" s="2" t="str">
        <f>"PC"</f>
        <v>PC</v>
      </c>
      <c r="D7613" s="7">
        <v>600</v>
      </c>
      <c r="E7613" s="3">
        <v>8</v>
      </c>
      <c r="F7613" s="3">
        <v>8</v>
      </c>
      <c r="G7613" t="s">
        <v>514</v>
      </c>
    </row>
    <row r="7614" spans="1:7" x14ac:dyDescent="0.25">
      <c r="A7614" s="1" t="str">
        <f>"510717"</f>
        <v>510717</v>
      </c>
      <c r="B7614" s="2" t="str">
        <f>"CONTATOR SIEMENS 3RT1017-1A"</f>
        <v>CONTATOR SIEMENS 3RT1017-1A</v>
      </c>
      <c r="C7614" s="2" t="str">
        <f t="shared" ref="C7614:C7625" si="296">"UN"</f>
        <v>UN</v>
      </c>
      <c r="D7614" s="7">
        <v>600</v>
      </c>
      <c r="E7614" s="3">
        <v>8</v>
      </c>
      <c r="F7614" s="3">
        <v>8</v>
      </c>
      <c r="G7614" t="s">
        <v>512</v>
      </c>
    </row>
    <row r="7615" spans="1:7" x14ac:dyDescent="0.25">
      <c r="A7615" s="1" t="str">
        <f>"516559"</f>
        <v>516559</v>
      </c>
      <c r="B7615" s="2" t="str">
        <f>"CONTATOR SIEMENS 3RT1017-1AN11"</f>
        <v>CONTATOR SIEMENS 3RT1017-1AN11</v>
      </c>
      <c r="C7615" s="2" t="str">
        <f t="shared" si="296"/>
        <v>UN</v>
      </c>
      <c r="D7615" s="7">
        <v>811</v>
      </c>
      <c r="E7615" s="3">
        <v>8</v>
      </c>
      <c r="F7615" s="3">
        <v>8</v>
      </c>
      <c r="G7615" t="s">
        <v>513</v>
      </c>
    </row>
    <row r="7616" spans="1:7" x14ac:dyDescent="0.25">
      <c r="A7616" s="1" t="str">
        <f>"516503"</f>
        <v>516503</v>
      </c>
      <c r="B7616" s="2" t="str">
        <f>"CONTATOR SIEMENS 3RT1017-1AN21"</f>
        <v>CONTATOR SIEMENS 3RT1017-1AN21</v>
      </c>
      <c r="C7616" s="2" t="str">
        <f t="shared" si="296"/>
        <v>UN</v>
      </c>
      <c r="D7616" s="7">
        <v>811</v>
      </c>
      <c r="E7616" s="3">
        <v>8</v>
      </c>
      <c r="F7616" s="3">
        <v>8</v>
      </c>
      <c r="G7616" t="s">
        <v>514</v>
      </c>
    </row>
    <row r="7617" spans="1:7" x14ac:dyDescent="0.25">
      <c r="A7617" s="1" t="str">
        <f>"522293"</f>
        <v>522293</v>
      </c>
      <c r="B7617" s="2" t="str">
        <f>"CONTATOR SIEMENS 3RT1017-1BB41"</f>
        <v>CONTATOR SIEMENS 3RT1017-1BB41</v>
      </c>
      <c r="C7617" s="2" t="str">
        <f t="shared" si="296"/>
        <v>UN</v>
      </c>
      <c r="D7617" s="7">
        <v>811</v>
      </c>
      <c r="E7617" s="3">
        <v>8</v>
      </c>
      <c r="F7617" s="3">
        <v>8</v>
      </c>
      <c r="G7617" t="s">
        <v>514</v>
      </c>
    </row>
    <row r="7618" spans="1:7" x14ac:dyDescent="0.25">
      <c r="A7618" s="1" t="str">
        <f>"507073"</f>
        <v>507073</v>
      </c>
      <c r="B7618" s="2" t="str">
        <f>"CONTATOR SIEMENS 3RT1018-1AN11"</f>
        <v>CONTATOR SIEMENS 3RT1018-1AN11</v>
      </c>
      <c r="C7618" s="2" t="str">
        <f t="shared" si="296"/>
        <v>UN</v>
      </c>
      <c r="D7618" s="7">
        <v>811</v>
      </c>
      <c r="E7618" s="3">
        <v>8</v>
      </c>
      <c r="F7618" s="3">
        <v>8</v>
      </c>
      <c r="G7618" t="s">
        <v>514</v>
      </c>
    </row>
    <row r="7619" spans="1:7" x14ac:dyDescent="0.25">
      <c r="A7619" s="1" t="str">
        <f>"519087"</f>
        <v>519087</v>
      </c>
      <c r="B7619" s="2" t="str">
        <f>"CONTATOR SIEMENS 3RT1023-1AN10"</f>
        <v>CONTATOR SIEMENS 3RT1023-1AN10</v>
      </c>
      <c r="C7619" s="2" t="str">
        <f t="shared" si="296"/>
        <v>UN</v>
      </c>
      <c r="D7619" s="7">
        <v>811</v>
      </c>
      <c r="E7619" s="3">
        <v>8</v>
      </c>
      <c r="F7619" s="3">
        <v>8</v>
      </c>
      <c r="G7619" t="s">
        <v>513</v>
      </c>
    </row>
    <row r="7620" spans="1:7" x14ac:dyDescent="0.25">
      <c r="A7620" s="1" t="str">
        <f>"517198"</f>
        <v>517198</v>
      </c>
      <c r="B7620" s="2" t="str">
        <f>"CONTATOR SIEMENS 3RT1023-1AN11"</f>
        <v>CONTATOR SIEMENS 3RT1023-1AN11</v>
      </c>
      <c r="C7620" s="2" t="str">
        <f t="shared" si="296"/>
        <v>UN</v>
      </c>
      <c r="D7620" s="7">
        <v>811</v>
      </c>
      <c r="E7620" s="3">
        <v>8</v>
      </c>
      <c r="F7620" s="3">
        <v>8</v>
      </c>
      <c r="G7620" t="s">
        <v>512</v>
      </c>
    </row>
    <row r="7621" spans="1:7" x14ac:dyDescent="0.25">
      <c r="A7621" s="1" t="str">
        <f>"521389"</f>
        <v>521389</v>
      </c>
      <c r="B7621" s="2" t="str">
        <f>"CONTATOR SIEMENS 3RT1024-1AN10"</f>
        <v>CONTATOR SIEMENS 3RT1024-1AN10</v>
      </c>
      <c r="C7621" s="2" t="str">
        <f t="shared" si="296"/>
        <v>UN</v>
      </c>
      <c r="D7621" s="7">
        <v>811</v>
      </c>
      <c r="E7621" s="3">
        <v>8</v>
      </c>
      <c r="F7621" s="3">
        <v>8</v>
      </c>
      <c r="G7621" t="s">
        <v>513</v>
      </c>
    </row>
    <row r="7622" spans="1:7" x14ac:dyDescent="0.25">
      <c r="A7622" s="1" t="str">
        <f>"510573"</f>
        <v>510573</v>
      </c>
      <c r="B7622" s="2" t="str">
        <f>"CONTATOR SIEMENS 3RT1025-1A"</f>
        <v>CONTATOR SIEMENS 3RT1025-1A</v>
      </c>
      <c r="C7622" s="2" t="str">
        <f t="shared" si="296"/>
        <v>UN</v>
      </c>
      <c r="D7622" s="7">
        <v>600</v>
      </c>
      <c r="E7622" s="3">
        <v>8</v>
      </c>
      <c r="F7622" s="3">
        <v>8</v>
      </c>
      <c r="G7622" t="s">
        <v>514</v>
      </c>
    </row>
    <row r="7623" spans="1:7" x14ac:dyDescent="0.25">
      <c r="A7623" s="1" t="str">
        <f>"516338"</f>
        <v>516338</v>
      </c>
      <c r="B7623" s="2" t="str">
        <f>"CONTATOR SIEMENS 3RT1025-1A 220V"</f>
        <v>CONTATOR SIEMENS 3RT1025-1A 220V</v>
      </c>
      <c r="C7623" s="2" t="str">
        <f t="shared" si="296"/>
        <v>UN</v>
      </c>
      <c r="D7623" s="7">
        <v>600</v>
      </c>
      <c r="E7623" s="3">
        <v>8</v>
      </c>
      <c r="F7623" s="3">
        <v>8</v>
      </c>
      <c r="G7623" t="s">
        <v>514</v>
      </c>
    </row>
    <row r="7624" spans="1:7" x14ac:dyDescent="0.25">
      <c r="A7624" s="1" t="str">
        <f>"516554"</f>
        <v>516554</v>
      </c>
      <c r="B7624" s="2" t="str">
        <f>"CONTATOR SIEMENS 3RT1025-1AN10"</f>
        <v>CONTATOR SIEMENS 3RT1025-1AN10</v>
      </c>
      <c r="C7624" s="2" t="str">
        <f t="shared" si="296"/>
        <v>UN</v>
      </c>
      <c r="D7624" s="7">
        <v>811</v>
      </c>
      <c r="E7624" s="3">
        <v>8</v>
      </c>
      <c r="F7624" s="3">
        <v>8</v>
      </c>
      <c r="G7624" t="s">
        <v>514</v>
      </c>
    </row>
    <row r="7625" spans="1:7" x14ac:dyDescent="0.25">
      <c r="A7625" s="1" t="str">
        <f>"507018"</f>
        <v>507018</v>
      </c>
      <c r="B7625" s="2" t="str">
        <f>"CONTATOR SIEMENS 3RT1025-1AN11"</f>
        <v>CONTATOR SIEMENS 3RT1025-1AN11</v>
      </c>
      <c r="C7625" s="2" t="str">
        <f t="shared" si="296"/>
        <v>UN</v>
      </c>
      <c r="D7625" s="7">
        <v>600</v>
      </c>
      <c r="E7625" s="3">
        <v>8</v>
      </c>
      <c r="F7625" s="3">
        <v>8</v>
      </c>
      <c r="G7625" t="s">
        <v>513</v>
      </c>
    </row>
    <row r="7626" spans="1:7" x14ac:dyDescent="0.25">
      <c r="A7626" s="1" t="str">
        <f>"501087"</f>
        <v>501087</v>
      </c>
      <c r="B7626" s="2" t="str">
        <f>"CONTATOR SIEMENS 3RT1025-1AN20"</f>
        <v>CONTATOR SIEMENS 3RT1025-1AN20</v>
      </c>
      <c r="C7626" s="2" t="str">
        <f>"PC"</f>
        <v>PC</v>
      </c>
      <c r="D7626" s="7">
        <v>600</v>
      </c>
      <c r="E7626" s="3">
        <v>8</v>
      </c>
      <c r="F7626" s="3">
        <v>8</v>
      </c>
      <c r="G7626" t="s">
        <v>513</v>
      </c>
    </row>
    <row r="7627" spans="1:7" x14ac:dyDescent="0.25">
      <c r="A7627" s="1" t="str">
        <f>"526035"</f>
        <v>526035</v>
      </c>
      <c r="B7627" s="2" t="str">
        <f>"CONTATOR SIEMENS 3RT1025-1BB40"</f>
        <v>CONTATOR SIEMENS 3RT1025-1BB40</v>
      </c>
      <c r="C7627" s="2" t="str">
        <f>"PC"</f>
        <v>PC</v>
      </c>
      <c r="D7627" s="7">
        <v>600</v>
      </c>
      <c r="E7627" s="3">
        <v>8</v>
      </c>
      <c r="F7627" s="3">
        <v>8</v>
      </c>
      <c r="G7627" t="s">
        <v>513</v>
      </c>
    </row>
    <row r="7628" spans="1:7" x14ac:dyDescent="0.25">
      <c r="A7628" s="1" t="str">
        <f>"502998"</f>
        <v>502998</v>
      </c>
      <c r="B7628" s="2" t="str">
        <f>"CONTATOR SIEMENS 3RT1026-1AC10 (12,5CV/380V/BOBINA24VCA)"</f>
        <v>CONTATOR SIEMENS 3RT1026-1AC10 (12,5CV/380V/BOBINA24VCA)</v>
      </c>
      <c r="C7628" s="2" t="str">
        <f t="shared" ref="C7628:C7659" si="297">"UN"</f>
        <v>UN</v>
      </c>
      <c r="D7628" s="7">
        <v>600</v>
      </c>
      <c r="E7628" s="3">
        <v>8</v>
      </c>
      <c r="F7628" s="3">
        <v>8</v>
      </c>
      <c r="G7628" t="s">
        <v>512</v>
      </c>
    </row>
    <row r="7629" spans="1:7" x14ac:dyDescent="0.25">
      <c r="A7629" s="1" t="str">
        <f>"516553"</f>
        <v>516553</v>
      </c>
      <c r="B7629" s="2" t="str">
        <f>"CONTATOR SIEMENS 3RT1026-1AN10"</f>
        <v>CONTATOR SIEMENS 3RT1026-1AN10</v>
      </c>
      <c r="C7629" s="2" t="str">
        <f t="shared" si="297"/>
        <v>UN</v>
      </c>
      <c r="D7629" s="7">
        <v>811</v>
      </c>
      <c r="E7629" s="3">
        <v>8</v>
      </c>
      <c r="F7629" s="3">
        <v>8</v>
      </c>
      <c r="G7629" t="s">
        <v>513</v>
      </c>
    </row>
    <row r="7630" spans="1:7" x14ac:dyDescent="0.25">
      <c r="A7630" s="1" t="str">
        <f>"516504"</f>
        <v>516504</v>
      </c>
      <c r="B7630" s="2" t="str">
        <f>"CONTATOR SIEMENS 3RT1026-1AN20"</f>
        <v>CONTATOR SIEMENS 3RT1026-1AN20</v>
      </c>
      <c r="C7630" s="2" t="str">
        <f t="shared" si="297"/>
        <v>UN</v>
      </c>
      <c r="D7630" s="7">
        <v>811</v>
      </c>
      <c r="E7630" s="3">
        <v>8</v>
      </c>
      <c r="F7630" s="3">
        <v>8</v>
      </c>
      <c r="G7630" t="s">
        <v>514</v>
      </c>
    </row>
    <row r="7631" spans="1:7" x14ac:dyDescent="0.25">
      <c r="A7631" s="1" t="str">
        <f>"515904"</f>
        <v>515904</v>
      </c>
      <c r="B7631" s="2" t="str">
        <f>"CONTATOR SIEMENS 3RT1034-1AN20"</f>
        <v>CONTATOR SIEMENS 3RT1034-1AN20</v>
      </c>
      <c r="C7631" s="2" t="str">
        <f t="shared" si="297"/>
        <v>UN</v>
      </c>
      <c r="D7631" s="7">
        <v>99999</v>
      </c>
      <c r="E7631" s="3">
        <v>99</v>
      </c>
      <c r="F7631" s="3">
        <v>99</v>
      </c>
      <c r="G7631" t="s">
        <v>515</v>
      </c>
    </row>
    <row r="7632" spans="1:7" x14ac:dyDescent="0.25">
      <c r="A7632" s="1" t="str">
        <f>"526042"</f>
        <v>526042</v>
      </c>
      <c r="B7632" s="2" t="str">
        <f>"CONTATOR SIEMENS 3RT1034-1BB40"</f>
        <v>CONTATOR SIEMENS 3RT1034-1BB40</v>
      </c>
      <c r="C7632" s="2" t="str">
        <f t="shared" si="297"/>
        <v>UN</v>
      </c>
      <c r="D7632" s="7">
        <v>99999</v>
      </c>
      <c r="E7632" s="3">
        <v>99</v>
      </c>
      <c r="F7632" s="3">
        <v>99</v>
      </c>
      <c r="G7632" t="s">
        <v>512</v>
      </c>
    </row>
    <row r="7633" spans="1:7" x14ac:dyDescent="0.25">
      <c r="A7633" s="1" t="str">
        <f>"510050"</f>
        <v>510050</v>
      </c>
      <c r="B7633" s="2" t="str">
        <f>"CONTATOR SIEMENS 3RT1035-1A"</f>
        <v>CONTATOR SIEMENS 3RT1035-1A</v>
      </c>
      <c r="C7633" s="2" t="str">
        <f t="shared" si="297"/>
        <v>UN</v>
      </c>
      <c r="D7633" s="7">
        <v>600</v>
      </c>
      <c r="E7633" s="3">
        <v>8</v>
      </c>
      <c r="F7633" s="3">
        <v>8</v>
      </c>
      <c r="G7633" t="s">
        <v>516</v>
      </c>
    </row>
    <row r="7634" spans="1:7" x14ac:dyDescent="0.25">
      <c r="A7634" s="1" t="str">
        <f>"507968"</f>
        <v>507968</v>
      </c>
      <c r="B7634" s="2" t="str">
        <f>"CONTATOR SIEMENS 3RT1036-1A - 220V"</f>
        <v>CONTATOR SIEMENS 3RT1036-1A - 220V</v>
      </c>
      <c r="C7634" s="2" t="str">
        <f t="shared" si="297"/>
        <v>UN</v>
      </c>
      <c r="D7634" s="7">
        <v>600</v>
      </c>
      <c r="E7634" s="3">
        <v>8</v>
      </c>
      <c r="F7634" s="3">
        <v>8</v>
      </c>
      <c r="G7634" t="s">
        <v>515</v>
      </c>
    </row>
    <row r="7635" spans="1:7" x14ac:dyDescent="0.25">
      <c r="A7635" s="1" t="str">
        <f>"508834"</f>
        <v>508834</v>
      </c>
      <c r="B7635" s="2" t="str">
        <f>"CONTATOR SIEMENS 3RT1036-1AN20"</f>
        <v>CONTATOR SIEMENS 3RT1036-1AN20</v>
      </c>
      <c r="C7635" s="2" t="str">
        <f t="shared" si="297"/>
        <v>UN</v>
      </c>
      <c r="D7635" s="7">
        <v>600</v>
      </c>
      <c r="E7635" s="3">
        <v>8</v>
      </c>
      <c r="F7635" s="3">
        <v>8</v>
      </c>
      <c r="G7635" t="s">
        <v>514</v>
      </c>
    </row>
    <row r="7636" spans="1:7" x14ac:dyDescent="0.25">
      <c r="A7636" s="1" t="str">
        <f>"507967"</f>
        <v>507967</v>
      </c>
      <c r="B7636" s="2" t="str">
        <f>"CONTATOR SIEMENS 3RT1044-1AG20"</f>
        <v>CONTATOR SIEMENS 3RT1044-1AG20</v>
      </c>
      <c r="C7636" s="2" t="str">
        <f t="shared" si="297"/>
        <v>UN</v>
      </c>
      <c r="D7636" s="7">
        <v>600</v>
      </c>
      <c r="E7636" s="3">
        <v>8</v>
      </c>
      <c r="F7636" s="3">
        <v>8</v>
      </c>
      <c r="G7636" t="s">
        <v>512</v>
      </c>
    </row>
    <row r="7637" spans="1:7" x14ac:dyDescent="0.25">
      <c r="A7637" s="1" t="str">
        <f>"517863"</f>
        <v>517863</v>
      </c>
      <c r="B7637" s="2" t="str">
        <f>"CONTATOR SIEMENS 3RT1045-1AN20 220V 75A"</f>
        <v>CONTATOR SIEMENS 3RT1045-1AN20 220V 75A</v>
      </c>
      <c r="C7637" s="2" t="str">
        <f t="shared" si="297"/>
        <v>UN</v>
      </c>
      <c r="D7637" s="7">
        <v>811</v>
      </c>
      <c r="E7637" s="3">
        <v>8</v>
      </c>
      <c r="F7637" s="3">
        <v>8</v>
      </c>
      <c r="G7637" t="s">
        <v>513</v>
      </c>
    </row>
    <row r="7638" spans="1:7" x14ac:dyDescent="0.25">
      <c r="A7638" s="1" t="str">
        <f>"508833"</f>
        <v>508833</v>
      </c>
      <c r="B7638" s="2" t="str">
        <f>"CONTATOR SIEMENS 3RT1046-1AN20"</f>
        <v>CONTATOR SIEMENS 3RT1046-1AN20</v>
      </c>
      <c r="C7638" s="2" t="str">
        <f t="shared" si="297"/>
        <v>UN</v>
      </c>
      <c r="D7638" s="7">
        <v>600</v>
      </c>
      <c r="E7638" s="3">
        <v>8</v>
      </c>
      <c r="F7638" s="3">
        <v>8</v>
      </c>
      <c r="G7638" t="s">
        <v>514</v>
      </c>
    </row>
    <row r="7639" spans="1:7" x14ac:dyDescent="0.25">
      <c r="A7639" s="1" t="str">
        <f>"517983"</f>
        <v>517983</v>
      </c>
      <c r="B7639" s="2" t="str">
        <f>"CONTATOR SIEMENS 3RT1054-1 AN26"</f>
        <v>CONTATOR SIEMENS 3RT1054-1 AN26</v>
      </c>
      <c r="C7639" s="2" t="str">
        <f t="shared" si="297"/>
        <v>UN</v>
      </c>
      <c r="D7639" s="7">
        <v>811</v>
      </c>
      <c r="E7639" s="3">
        <v>8</v>
      </c>
      <c r="F7639" s="3">
        <v>8</v>
      </c>
      <c r="G7639" t="s">
        <v>514</v>
      </c>
    </row>
    <row r="7640" spans="1:7" x14ac:dyDescent="0.25">
      <c r="A7640" s="1" t="str">
        <f>"504199"</f>
        <v>504199</v>
      </c>
      <c r="B7640" s="2" t="str">
        <f>"CONTATOR SIEMENS 3RT1054-6N136 220V"</f>
        <v>CONTATOR SIEMENS 3RT1054-6N136 220V</v>
      </c>
      <c r="C7640" s="2" t="str">
        <f t="shared" si="297"/>
        <v>UN</v>
      </c>
      <c r="D7640" s="7">
        <v>600</v>
      </c>
      <c r="E7640" s="3">
        <v>8</v>
      </c>
      <c r="F7640" s="3">
        <v>8</v>
      </c>
      <c r="G7640" t="s">
        <v>512</v>
      </c>
    </row>
    <row r="7641" spans="1:7" x14ac:dyDescent="0.25">
      <c r="A7641" s="1" t="str">
        <f>"503105"</f>
        <v>503105</v>
      </c>
      <c r="B7641" s="2" t="str">
        <f>"CONTATOR SIEMENS 3RT1055-6N136 220V"</f>
        <v>CONTATOR SIEMENS 3RT1055-6N136 220V</v>
      </c>
      <c r="C7641" s="2" t="str">
        <f t="shared" si="297"/>
        <v>UN</v>
      </c>
      <c r="D7641" s="7">
        <v>600</v>
      </c>
      <c r="E7641" s="3">
        <v>8</v>
      </c>
      <c r="F7641" s="3">
        <v>8</v>
      </c>
      <c r="G7641" t="s">
        <v>513</v>
      </c>
    </row>
    <row r="7642" spans="1:7" x14ac:dyDescent="0.25">
      <c r="A7642" s="1" t="str">
        <f>"523367"</f>
        <v>523367</v>
      </c>
      <c r="B7642" s="2" t="str">
        <f>"CONTATOR SIEMENS 3RT1617 1AP63"</f>
        <v>CONTATOR SIEMENS 3RT1617 1AP63</v>
      </c>
      <c r="C7642" s="2" t="str">
        <f t="shared" si="297"/>
        <v>UN</v>
      </c>
      <c r="D7642" s="7">
        <v>811</v>
      </c>
      <c r="E7642" s="3">
        <v>10</v>
      </c>
      <c r="F7642" s="3">
        <v>10</v>
      </c>
      <c r="G7642" t="s">
        <v>514</v>
      </c>
    </row>
    <row r="7643" spans="1:7" x14ac:dyDescent="0.25">
      <c r="A7643" s="1" t="str">
        <f>"522243"</f>
        <v>522243</v>
      </c>
      <c r="B7643" s="2" t="str">
        <f>"CONTATOR SIEMENS 3RT16171AN23"</f>
        <v>CONTATOR SIEMENS 3RT16171AN23</v>
      </c>
      <c r="C7643" s="2" t="str">
        <f t="shared" si="297"/>
        <v>UN</v>
      </c>
      <c r="D7643" s="7">
        <v>811</v>
      </c>
      <c r="E7643" s="3">
        <v>10</v>
      </c>
      <c r="F7643" s="3">
        <v>10</v>
      </c>
      <c r="G7643" t="s">
        <v>514</v>
      </c>
    </row>
    <row r="7644" spans="1:7" x14ac:dyDescent="0.25">
      <c r="A7644" s="1" t="str">
        <f>"527528"</f>
        <v>527528</v>
      </c>
      <c r="B7644" s="2" t="str">
        <f>"CONTATOR SIEMENS 3RT2017-1AN21 220V 50-60HZ"</f>
        <v>CONTATOR SIEMENS 3RT2017-1AN21 220V 50-60HZ</v>
      </c>
      <c r="C7644" s="2" t="str">
        <f t="shared" si="297"/>
        <v>UN</v>
      </c>
      <c r="D7644" s="7">
        <v>600</v>
      </c>
      <c r="E7644" s="3">
        <v>8</v>
      </c>
      <c r="F7644" s="3">
        <v>8</v>
      </c>
      <c r="G7644" t="s">
        <v>514</v>
      </c>
    </row>
    <row r="7645" spans="1:7" x14ac:dyDescent="0.25">
      <c r="A7645" s="1" t="str">
        <f>"526589"</f>
        <v>526589</v>
      </c>
      <c r="B7645" s="2" t="str">
        <f>"CONTATOR SIEMENS 3RT2026-1BB40 TRIF."</f>
        <v>CONTATOR SIEMENS 3RT2026-1BB40 TRIF.</v>
      </c>
      <c r="C7645" s="2" t="str">
        <f t="shared" si="297"/>
        <v>UN</v>
      </c>
      <c r="D7645" s="7">
        <v>811</v>
      </c>
      <c r="E7645" s="3">
        <v>8</v>
      </c>
      <c r="F7645" s="3">
        <v>8</v>
      </c>
      <c r="G7645" t="s">
        <v>513</v>
      </c>
    </row>
    <row r="7646" spans="1:7" x14ac:dyDescent="0.25">
      <c r="A7646" s="1" t="str">
        <f>"505582"</f>
        <v>505582</v>
      </c>
      <c r="B7646" s="2" t="str">
        <f>"CONTATOR SIEMENS 3TB40 10-OA"</f>
        <v>CONTATOR SIEMENS 3TB40 10-OA</v>
      </c>
      <c r="C7646" s="2" t="str">
        <f t="shared" si="297"/>
        <v>UN</v>
      </c>
      <c r="D7646" s="7">
        <v>600</v>
      </c>
      <c r="E7646" s="3">
        <v>8</v>
      </c>
      <c r="F7646" s="3">
        <v>8</v>
      </c>
      <c r="G7646" t="s">
        <v>512</v>
      </c>
    </row>
    <row r="7647" spans="1:7" x14ac:dyDescent="0.25">
      <c r="A7647" s="1" t="str">
        <f>"503691"</f>
        <v>503691</v>
      </c>
      <c r="B7647" s="2" t="str">
        <f>"CONTATOR SIEMENS 3TF41 22-0AN1 220V"</f>
        <v>CONTATOR SIEMENS 3TF41 22-0AN1 220V</v>
      </c>
      <c r="C7647" s="2" t="str">
        <f t="shared" si="297"/>
        <v>UN</v>
      </c>
      <c r="D7647" s="7">
        <v>600</v>
      </c>
      <c r="E7647" s="3">
        <v>8</v>
      </c>
      <c r="F7647" s="3">
        <v>8</v>
      </c>
      <c r="G7647" t="s">
        <v>513</v>
      </c>
    </row>
    <row r="7648" spans="1:7" x14ac:dyDescent="0.25">
      <c r="A7648" s="1" t="str">
        <f>"503692"</f>
        <v>503692</v>
      </c>
      <c r="B7648" s="2" t="str">
        <f>"CONTATOR SIEMENS 3TF42 220V"</f>
        <v>CONTATOR SIEMENS 3TF42 220V</v>
      </c>
      <c r="C7648" s="2" t="str">
        <f t="shared" si="297"/>
        <v>UN</v>
      </c>
      <c r="D7648" s="7">
        <v>600</v>
      </c>
      <c r="E7648" s="3">
        <v>8</v>
      </c>
      <c r="F7648" s="3">
        <v>8</v>
      </c>
      <c r="G7648" t="s">
        <v>514</v>
      </c>
    </row>
    <row r="7649" spans="1:7" x14ac:dyDescent="0.25">
      <c r="A7649" s="1" t="str">
        <f>"501088"</f>
        <v>501088</v>
      </c>
      <c r="B7649" s="2" t="str">
        <f>"CONTATOR SIEMENS 3TF43 11-OAN1"</f>
        <v>CONTATOR SIEMENS 3TF43 11-OAN1</v>
      </c>
      <c r="C7649" s="2" t="str">
        <f t="shared" si="297"/>
        <v>UN</v>
      </c>
      <c r="D7649" s="7">
        <v>600</v>
      </c>
      <c r="E7649" s="3">
        <v>8</v>
      </c>
      <c r="F7649" s="3">
        <v>8</v>
      </c>
      <c r="G7649" t="s">
        <v>514</v>
      </c>
    </row>
    <row r="7650" spans="1:7" x14ac:dyDescent="0.25">
      <c r="A7650" s="1" t="str">
        <f>"506149"</f>
        <v>506149</v>
      </c>
      <c r="B7650" s="2" t="str">
        <f>"CONTATOR SIEMENS 3TF44 220V"</f>
        <v>CONTATOR SIEMENS 3TF44 220V</v>
      </c>
      <c r="C7650" s="2" t="str">
        <f t="shared" si="297"/>
        <v>UN</v>
      </c>
      <c r="D7650" s="7">
        <v>600</v>
      </c>
      <c r="E7650" s="3">
        <v>8</v>
      </c>
      <c r="F7650" s="3">
        <v>8</v>
      </c>
      <c r="G7650" t="s">
        <v>514</v>
      </c>
    </row>
    <row r="7651" spans="1:7" x14ac:dyDescent="0.25">
      <c r="A7651" s="1" t="str">
        <f>"503183"</f>
        <v>503183</v>
      </c>
      <c r="B7651" s="2" t="str">
        <f>"CONTATOR SIEMENS 3TF46 220V"</f>
        <v>CONTATOR SIEMENS 3TF46 220V</v>
      </c>
      <c r="C7651" s="2" t="str">
        <f t="shared" si="297"/>
        <v>UN</v>
      </c>
      <c r="D7651" s="7">
        <v>600</v>
      </c>
      <c r="E7651" s="3">
        <v>8</v>
      </c>
      <c r="F7651" s="3">
        <v>8</v>
      </c>
      <c r="G7651" t="s">
        <v>513</v>
      </c>
    </row>
    <row r="7652" spans="1:7" x14ac:dyDescent="0.25">
      <c r="A7652" s="1" t="str">
        <f>"503182"</f>
        <v>503182</v>
      </c>
      <c r="B7652" s="2" t="str">
        <f>"CONTATOR SIEMENS 3TF48 220V"</f>
        <v>CONTATOR SIEMENS 3TF48 220V</v>
      </c>
      <c r="C7652" s="2" t="str">
        <f t="shared" si="297"/>
        <v>UN</v>
      </c>
      <c r="D7652" s="7">
        <v>600</v>
      </c>
      <c r="E7652" s="3">
        <v>8</v>
      </c>
      <c r="F7652" s="3">
        <v>8</v>
      </c>
      <c r="G7652" t="s">
        <v>513</v>
      </c>
    </row>
    <row r="7653" spans="1:7" x14ac:dyDescent="0.25">
      <c r="A7653" s="1" t="str">
        <f>"503308"</f>
        <v>503308</v>
      </c>
      <c r="B7653" s="2" t="str">
        <f>"CONTATOR SIEMENS 3TF50 22-OAN1 220V"</f>
        <v>CONTATOR SIEMENS 3TF50 22-OAN1 220V</v>
      </c>
      <c r="C7653" s="2" t="str">
        <f t="shared" si="297"/>
        <v>UN</v>
      </c>
      <c r="D7653" s="7">
        <v>600</v>
      </c>
      <c r="E7653" s="3">
        <v>8</v>
      </c>
      <c r="F7653" s="3">
        <v>8</v>
      </c>
      <c r="G7653" t="s">
        <v>513</v>
      </c>
    </row>
    <row r="7654" spans="1:7" x14ac:dyDescent="0.25">
      <c r="A7654" s="1" t="str">
        <f>"503309"</f>
        <v>503309</v>
      </c>
      <c r="B7654" s="2" t="str">
        <f>"CONTATOR SIEMENS 3TF52 22-OAN1 220V"</f>
        <v>CONTATOR SIEMENS 3TF52 22-OAN1 220V</v>
      </c>
      <c r="C7654" s="2" t="str">
        <f t="shared" si="297"/>
        <v>UN</v>
      </c>
      <c r="D7654" s="7">
        <v>600</v>
      </c>
      <c r="E7654" s="3">
        <v>8</v>
      </c>
      <c r="F7654" s="3">
        <v>8</v>
      </c>
      <c r="G7654" t="s">
        <v>512</v>
      </c>
    </row>
    <row r="7655" spans="1:7" x14ac:dyDescent="0.25">
      <c r="A7655" s="1" t="str">
        <f>"508522"</f>
        <v>508522</v>
      </c>
      <c r="B7655" s="2" t="str">
        <f>"CONTATOR SIEMENS 3TR1026-1A - 220V"</f>
        <v>CONTATOR SIEMENS 3TR1026-1A - 220V</v>
      </c>
      <c r="C7655" s="2" t="str">
        <f t="shared" si="297"/>
        <v>UN</v>
      </c>
      <c r="D7655" s="7">
        <v>600</v>
      </c>
      <c r="E7655" s="3">
        <v>8</v>
      </c>
      <c r="F7655" s="3">
        <v>8</v>
      </c>
      <c r="G7655" t="s">
        <v>513</v>
      </c>
    </row>
    <row r="7656" spans="1:7" x14ac:dyDescent="0.25">
      <c r="A7656" s="1" t="str">
        <f>"500886"</f>
        <v>500886</v>
      </c>
      <c r="B7656" s="2" t="str">
        <f>"CONTATOR SIEMENS INNOV 3RT2016-1AN21 220V 50-60HZ"</f>
        <v>CONTATOR SIEMENS INNOV 3RT2016-1AN21 220V 50-60HZ</v>
      </c>
      <c r="C7656" s="2" t="str">
        <f t="shared" si="297"/>
        <v>UN</v>
      </c>
      <c r="D7656" s="7">
        <v>600</v>
      </c>
      <c r="E7656" s="3">
        <v>8</v>
      </c>
      <c r="F7656" s="3">
        <v>8</v>
      </c>
      <c r="G7656" t="s">
        <v>514</v>
      </c>
    </row>
    <row r="7657" spans="1:7" x14ac:dyDescent="0.25">
      <c r="A7657" s="1" t="str">
        <f>"514133"</f>
        <v>514133</v>
      </c>
      <c r="B7657" s="2" t="str">
        <f>"CONTATOR SIEMENS INTERTRAVAMENTO 3RA19 24-2B"</f>
        <v>CONTATOR SIEMENS INTERTRAVAMENTO 3RA19 24-2B</v>
      </c>
      <c r="C7657" s="2" t="str">
        <f t="shared" si="297"/>
        <v>UN</v>
      </c>
      <c r="D7657" s="7">
        <v>600</v>
      </c>
      <c r="E7657" s="3">
        <v>8</v>
      </c>
      <c r="F7657" s="3">
        <v>8</v>
      </c>
      <c r="G7657" t="s">
        <v>515</v>
      </c>
    </row>
    <row r="7658" spans="1:7" x14ac:dyDescent="0.25">
      <c r="A7658" s="1" t="str">
        <f>"510267"</f>
        <v>510267</v>
      </c>
      <c r="B7658" s="2" t="str">
        <f>"CONTATOR TELEMEC. LC1D09 M7 1NA 1NF 220V"</f>
        <v>CONTATOR TELEMEC. LC1D09 M7 1NA 1NF 220V</v>
      </c>
      <c r="C7658" s="2" t="str">
        <f t="shared" si="297"/>
        <v>UN</v>
      </c>
      <c r="D7658" s="7">
        <v>600</v>
      </c>
      <c r="E7658" s="3">
        <v>8</v>
      </c>
      <c r="F7658" s="3">
        <v>8</v>
      </c>
      <c r="G7658" t="s">
        <v>512</v>
      </c>
    </row>
    <row r="7659" spans="1:7" x14ac:dyDescent="0.25">
      <c r="A7659" s="1" t="str">
        <f>"510548"</f>
        <v>510548</v>
      </c>
      <c r="B7659" s="2" t="str">
        <f>"CONTATOR TELEMECANIQUE LA 1KN22 2NA+2NF"</f>
        <v>CONTATOR TELEMECANIQUE LA 1KN22 2NA+2NF</v>
      </c>
      <c r="C7659" s="2" t="str">
        <f t="shared" si="297"/>
        <v>UN</v>
      </c>
      <c r="D7659" s="7">
        <v>900</v>
      </c>
      <c r="E7659" s="3">
        <v>11</v>
      </c>
      <c r="F7659" s="3">
        <v>11</v>
      </c>
      <c r="G7659" t="s">
        <v>516</v>
      </c>
    </row>
    <row r="7660" spans="1:7" x14ac:dyDescent="0.25">
      <c r="A7660" s="1" t="str">
        <f>"520468"</f>
        <v>520468</v>
      </c>
      <c r="B7660" s="2" t="str">
        <f>"CONTATOR WEG CWM9-10-3026 110V"</f>
        <v>CONTATOR WEG CWM9-10-3026 110V</v>
      </c>
      <c r="C7660" s="2" t="str">
        <f t="shared" ref="C7660:C7691" si="298">"UN"</f>
        <v>UN</v>
      </c>
      <c r="D7660" s="7">
        <v>600</v>
      </c>
      <c r="E7660" s="3">
        <v>8</v>
      </c>
      <c r="F7660" s="3">
        <v>8</v>
      </c>
      <c r="G7660" t="s">
        <v>515</v>
      </c>
    </row>
    <row r="7661" spans="1:7" x14ac:dyDescent="0.25">
      <c r="A7661" s="1" t="str">
        <f>"502574"</f>
        <v>502574</v>
      </c>
      <c r="B7661" s="2" t="str">
        <f>"CONTATOS"</f>
        <v>CONTATOS</v>
      </c>
      <c r="C7661" s="2" t="str">
        <f t="shared" si="298"/>
        <v>UN</v>
      </c>
      <c r="D7661" s="7">
        <v>900</v>
      </c>
      <c r="E7661" s="3">
        <v>11</v>
      </c>
      <c r="F7661" s="3">
        <v>11</v>
      </c>
      <c r="G7661" t="s">
        <v>514</v>
      </c>
    </row>
    <row r="7662" spans="1:7" x14ac:dyDescent="0.25">
      <c r="A7662" s="1" t="str">
        <f>"523960"</f>
        <v>523960</v>
      </c>
      <c r="B7662" s="2" t="str">
        <f>"CONTENTOR 1000L AZ UBL 7897072145509"</f>
        <v>CONTENTOR 1000L AZ UBL 7897072145509</v>
      </c>
      <c r="C7662" s="2" t="str">
        <f t="shared" si="298"/>
        <v>UN</v>
      </c>
      <c r="D7662" s="7">
        <v>400</v>
      </c>
      <c r="E7662" s="3">
        <v>4</v>
      </c>
      <c r="F7662" s="3">
        <v>4</v>
      </c>
      <c r="G7662" t="s">
        <v>512</v>
      </c>
    </row>
    <row r="7663" spans="1:7" x14ac:dyDescent="0.25">
      <c r="A7663" s="1" t="str">
        <f>"523963"</f>
        <v>523963</v>
      </c>
      <c r="B7663" s="2" t="str">
        <f>"CONTENTOR 1000L VM UBL 7897072145806"</f>
        <v>CONTENTOR 1000L VM UBL 7897072145806</v>
      </c>
      <c r="C7663" s="2" t="str">
        <f t="shared" si="298"/>
        <v>UN</v>
      </c>
      <c r="D7663" s="7">
        <v>400</v>
      </c>
      <c r="E7663" s="3">
        <v>4</v>
      </c>
      <c r="F7663" s="3">
        <v>4</v>
      </c>
      <c r="G7663" t="s">
        <v>513</v>
      </c>
    </row>
    <row r="7664" spans="1:7" x14ac:dyDescent="0.25">
      <c r="A7664" s="1" t="str">
        <f>"523961"</f>
        <v>523961</v>
      </c>
      <c r="B7664" s="2" t="str">
        <f>"CONTENTOR 700LT PRETO UBL 285"</f>
        <v>CONTENTOR 700LT PRETO UBL 285</v>
      </c>
      <c r="C7664" s="2" t="str">
        <f t="shared" si="298"/>
        <v>UN</v>
      </c>
      <c r="D7664" s="7">
        <v>400</v>
      </c>
      <c r="E7664" s="3">
        <v>4</v>
      </c>
      <c r="F7664" s="3">
        <v>4</v>
      </c>
      <c r="G7664" t="s">
        <v>514</v>
      </c>
    </row>
    <row r="7665" spans="1:7" x14ac:dyDescent="0.25">
      <c r="A7665" s="1" t="str">
        <f>"523472"</f>
        <v>523472</v>
      </c>
      <c r="B7665" s="2" t="str">
        <f>"CONTRA CAPA PRETA PARA ENCADERNAÇAO"</f>
        <v>CONTRA CAPA PRETA PARA ENCADERNAÇAO</v>
      </c>
      <c r="C7665" s="2" t="str">
        <f t="shared" si="298"/>
        <v>UN</v>
      </c>
      <c r="D7665" s="7">
        <v>99999</v>
      </c>
      <c r="E7665" s="3">
        <v>99</v>
      </c>
      <c r="F7665" s="3">
        <v>99</v>
      </c>
      <c r="G7665" t="s">
        <v>514</v>
      </c>
    </row>
    <row r="7666" spans="1:7" x14ac:dyDescent="0.25">
      <c r="A7666" s="1" t="str">
        <f>"509638"</f>
        <v>509638</v>
      </c>
      <c r="B7666" s="2" t="str">
        <f>"CONTRA ELETRODO 12 CAVIDADES"</f>
        <v>CONTRA ELETRODO 12 CAVIDADES</v>
      </c>
      <c r="C7666" s="2" t="str">
        <f t="shared" si="298"/>
        <v>UN</v>
      </c>
      <c r="D7666" s="7">
        <v>918</v>
      </c>
      <c r="E7666" s="3">
        <v>11</v>
      </c>
      <c r="F7666" s="3">
        <v>11</v>
      </c>
      <c r="G7666" t="s">
        <v>512</v>
      </c>
    </row>
    <row r="7667" spans="1:7" x14ac:dyDescent="0.25">
      <c r="A7667" s="1" t="str">
        <f>"517536"</f>
        <v>517536</v>
      </c>
      <c r="B7667" s="2" t="str">
        <f>"CONTRA ELETRODO SELAGEM DINI 550M POS5/1433/20B4399-54642"</f>
        <v>CONTRA ELETRODO SELAGEM DINI 550M POS5/1433/20B4399-54642</v>
      </c>
      <c r="C7667" s="2" t="str">
        <f t="shared" si="298"/>
        <v>UN</v>
      </c>
      <c r="D7667" s="7">
        <v>918</v>
      </c>
      <c r="E7667" s="3">
        <v>11</v>
      </c>
      <c r="F7667" s="3">
        <v>11</v>
      </c>
      <c r="G7667" t="s">
        <v>513</v>
      </c>
    </row>
    <row r="7668" spans="1:7" x14ac:dyDescent="0.25">
      <c r="A7668" s="1" t="str">
        <f>"512417"</f>
        <v>512417</v>
      </c>
      <c r="B7668" s="2" t="str">
        <f>"CONTRA FACA ABRE AQUI IMAR 10,5MM"</f>
        <v>CONTRA FACA ABRE AQUI IMAR 10,5MM</v>
      </c>
      <c r="C7668" s="2" t="str">
        <f t="shared" si="298"/>
        <v>UN</v>
      </c>
      <c r="D7668" s="7">
        <v>918</v>
      </c>
      <c r="E7668" s="3">
        <v>11</v>
      </c>
      <c r="F7668" s="3">
        <v>11</v>
      </c>
      <c r="G7668" t="s">
        <v>514</v>
      </c>
    </row>
    <row r="7669" spans="1:7" x14ac:dyDescent="0.25">
      <c r="A7669" s="1" t="str">
        <f>"512416"</f>
        <v>512416</v>
      </c>
      <c r="B7669" s="2" t="str">
        <f>"CONTRA FACA ABRE AQUI IMAR 10MM"</f>
        <v>CONTRA FACA ABRE AQUI IMAR 10MM</v>
      </c>
      <c r="C7669" s="2" t="str">
        <f t="shared" si="298"/>
        <v>UN</v>
      </c>
      <c r="D7669" s="7">
        <v>918</v>
      </c>
      <c r="E7669" s="3">
        <v>11</v>
      </c>
      <c r="F7669" s="3">
        <v>11</v>
      </c>
      <c r="G7669" t="s">
        <v>514</v>
      </c>
    </row>
    <row r="7670" spans="1:7" x14ac:dyDescent="0.25">
      <c r="A7670" s="1" t="str">
        <f>"526648"</f>
        <v>526648</v>
      </c>
      <c r="B7670" s="2" t="str">
        <f>"CONTRA FACA MAIOR"</f>
        <v>CONTRA FACA MAIOR</v>
      </c>
      <c r="C7670" s="2" t="str">
        <f t="shared" si="298"/>
        <v>UN</v>
      </c>
      <c r="D7670" s="7">
        <v>918</v>
      </c>
      <c r="E7670" s="3">
        <v>11</v>
      </c>
      <c r="F7670" s="3">
        <v>11</v>
      </c>
      <c r="G7670" t="s">
        <v>514</v>
      </c>
    </row>
    <row r="7671" spans="1:7" x14ac:dyDescent="0.25">
      <c r="A7671" s="1" t="str">
        <f>"526649"</f>
        <v>526649</v>
      </c>
      <c r="B7671" s="2" t="str">
        <f>"CONTRA FACA MEDIANA"</f>
        <v>CONTRA FACA MEDIANA</v>
      </c>
      <c r="C7671" s="2" t="str">
        <f t="shared" si="298"/>
        <v>UN</v>
      </c>
      <c r="D7671" s="7">
        <v>918</v>
      </c>
      <c r="E7671" s="3">
        <v>11</v>
      </c>
      <c r="F7671" s="3">
        <v>11</v>
      </c>
      <c r="G7671" t="s">
        <v>513</v>
      </c>
    </row>
    <row r="7672" spans="1:7" x14ac:dyDescent="0.25">
      <c r="A7672" s="1" t="str">
        <f>"526650"</f>
        <v>526650</v>
      </c>
      <c r="B7672" s="2" t="str">
        <f>"CONTRA FACA MENOR"</f>
        <v>CONTRA FACA MENOR</v>
      </c>
      <c r="C7672" s="2" t="str">
        <f t="shared" si="298"/>
        <v>UN</v>
      </c>
      <c r="D7672" s="7">
        <v>918</v>
      </c>
      <c r="E7672" s="3">
        <v>11</v>
      </c>
      <c r="F7672" s="3">
        <v>11</v>
      </c>
      <c r="G7672" t="s">
        <v>512</v>
      </c>
    </row>
    <row r="7673" spans="1:7" x14ac:dyDescent="0.25">
      <c r="A7673" s="1" t="str">
        <f>"511956"</f>
        <v>511956</v>
      </c>
      <c r="B7673" s="2" t="str">
        <f>"CONTRA FACA RETANGULAR IMAR 470MM GLOBAL"</f>
        <v>CONTRA FACA RETANGULAR IMAR 470MM GLOBAL</v>
      </c>
      <c r="C7673" s="2" t="str">
        <f t="shared" si="298"/>
        <v>UN</v>
      </c>
      <c r="D7673" s="7">
        <v>918</v>
      </c>
      <c r="E7673" s="3">
        <v>11</v>
      </c>
      <c r="F7673" s="3">
        <v>11</v>
      </c>
      <c r="G7673" t="s">
        <v>513</v>
      </c>
    </row>
    <row r="7674" spans="1:7" x14ac:dyDescent="0.25">
      <c r="A7674" s="1" t="str">
        <f>"517611"</f>
        <v>517611</v>
      </c>
      <c r="B7674" s="2" t="str">
        <f>"CONTRA MOLDE MAQUINA PETIT DINI450P"</f>
        <v>CONTRA MOLDE MAQUINA PETIT DINI450P</v>
      </c>
      <c r="C7674" s="2" t="str">
        <f t="shared" si="298"/>
        <v>UN</v>
      </c>
      <c r="D7674" s="7">
        <v>918</v>
      </c>
      <c r="E7674" s="3">
        <v>11</v>
      </c>
      <c r="F7674" s="3">
        <v>11</v>
      </c>
      <c r="G7674" t="s">
        <v>514</v>
      </c>
    </row>
    <row r="7675" spans="1:7" x14ac:dyDescent="0.25">
      <c r="A7675" s="1" t="str">
        <f>"522029"</f>
        <v>522029</v>
      </c>
      <c r="B7675" s="2" t="str">
        <f>"CONTRA PINO"</f>
        <v>CONTRA PINO</v>
      </c>
      <c r="C7675" s="2" t="str">
        <f t="shared" si="298"/>
        <v>UN</v>
      </c>
      <c r="D7675" s="7">
        <v>704</v>
      </c>
      <c r="E7675" s="3">
        <v>9</v>
      </c>
      <c r="F7675" s="3">
        <v>9</v>
      </c>
      <c r="G7675" t="s">
        <v>514</v>
      </c>
    </row>
    <row r="7676" spans="1:7" x14ac:dyDescent="0.25">
      <c r="A7676" s="1" t="str">
        <f>"505491"</f>
        <v>505491</v>
      </c>
      <c r="B7676" s="2" t="str">
        <f>"CONTRA PINO 3/16 X 3"</f>
        <v>CONTRA PINO 3/16 X 3</v>
      </c>
      <c r="C7676" s="2" t="str">
        <f t="shared" si="298"/>
        <v>UN</v>
      </c>
      <c r="D7676" s="7">
        <v>704</v>
      </c>
      <c r="E7676" s="3">
        <v>9</v>
      </c>
      <c r="F7676" s="3">
        <v>9</v>
      </c>
      <c r="G7676" t="s">
        <v>514</v>
      </c>
    </row>
    <row r="7677" spans="1:7" x14ac:dyDescent="0.25">
      <c r="A7677" s="1" t="str">
        <f>"519710"</f>
        <v>519710</v>
      </c>
      <c r="B7677" s="2" t="str">
        <f>"CONTRA PINO 3X60"</f>
        <v>CONTRA PINO 3X60</v>
      </c>
      <c r="C7677" s="2" t="str">
        <f t="shared" si="298"/>
        <v>UN</v>
      </c>
      <c r="D7677" s="7">
        <v>704</v>
      </c>
      <c r="E7677" s="3">
        <v>9</v>
      </c>
      <c r="F7677" s="3">
        <v>9</v>
      </c>
      <c r="G7677" t="s">
        <v>513</v>
      </c>
    </row>
    <row r="7678" spans="1:7" x14ac:dyDescent="0.25">
      <c r="A7678" s="1" t="str">
        <f>"506067"</f>
        <v>506067</v>
      </c>
      <c r="B7678" s="2" t="str">
        <f>"CONTRA PINO 4X50"</f>
        <v>CONTRA PINO 4X50</v>
      </c>
      <c r="C7678" s="2" t="str">
        <f t="shared" si="298"/>
        <v>UN</v>
      </c>
      <c r="D7678" s="7">
        <v>704</v>
      </c>
      <c r="E7678" s="3">
        <v>9</v>
      </c>
      <c r="F7678" s="3">
        <v>9</v>
      </c>
      <c r="G7678" t="s">
        <v>513</v>
      </c>
    </row>
    <row r="7679" spans="1:7" x14ac:dyDescent="0.25">
      <c r="A7679" s="1" t="str">
        <f>"518565"</f>
        <v>518565</v>
      </c>
      <c r="B7679" s="2" t="str">
        <f>"CONTRA PINO 5/16 X 2 1/2"</f>
        <v>CONTRA PINO 5/16 X 2 1/2</v>
      </c>
      <c r="C7679" s="2" t="str">
        <f t="shared" si="298"/>
        <v>UN</v>
      </c>
      <c r="D7679" s="7">
        <v>704</v>
      </c>
      <c r="E7679" s="3">
        <v>9</v>
      </c>
      <c r="F7679" s="3">
        <v>9</v>
      </c>
      <c r="G7679" t="s">
        <v>513</v>
      </c>
    </row>
    <row r="7680" spans="1:7" x14ac:dyDescent="0.25">
      <c r="A7680" s="1" t="str">
        <f>"519456"</f>
        <v>519456</v>
      </c>
      <c r="B7680" s="2" t="str">
        <f>"CONTRA PINO 5X40"</f>
        <v>CONTRA PINO 5X40</v>
      </c>
      <c r="C7680" s="2" t="str">
        <f t="shared" si="298"/>
        <v>UN</v>
      </c>
      <c r="D7680" s="7">
        <v>704</v>
      </c>
      <c r="E7680" s="3">
        <v>9</v>
      </c>
      <c r="F7680" s="3">
        <v>9</v>
      </c>
      <c r="G7680" t="s">
        <v>512</v>
      </c>
    </row>
    <row r="7681" spans="1:7" x14ac:dyDescent="0.25">
      <c r="A7681" s="1" t="str">
        <f>"506066"</f>
        <v>506066</v>
      </c>
      <c r="B7681" s="2" t="str">
        <f>"CONTRA PINO 5X50"</f>
        <v>CONTRA PINO 5X50</v>
      </c>
      <c r="C7681" s="2" t="str">
        <f t="shared" si="298"/>
        <v>UN</v>
      </c>
      <c r="D7681" s="7">
        <v>704</v>
      </c>
      <c r="E7681" s="3">
        <v>9</v>
      </c>
      <c r="F7681" s="3">
        <v>9</v>
      </c>
      <c r="G7681" t="s">
        <v>513</v>
      </c>
    </row>
    <row r="7682" spans="1:7" x14ac:dyDescent="0.25">
      <c r="A7682" s="1" t="str">
        <f>"507899"</f>
        <v>507899</v>
      </c>
      <c r="B7682" s="2" t="str">
        <f>"CONTRA PINO 5X60"</f>
        <v>CONTRA PINO 5X60</v>
      </c>
      <c r="C7682" s="2" t="str">
        <f t="shared" si="298"/>
        <v>UN</v>
      </c>
      <c r="D7682" s="7">
        <v>704</v>
      </c>
      <c r="E7682" s="3">
        <v>9</v>
      </c>
      <c r="F7682" s="3">
        <v>9</v>
      </c>
      <c r="G7682" t="s">
        <v>514</v>
      </c>
    </row>
    <row r="7683" spans="1:7" x14ac:dyDescent="0.25">
      <c r="A7683" s="1" t="str">
        <f>"519457"</f>
        <v>519457</v>
      </c>
      <c r="B7683" s="2" t="str">
        <f>"CONTRA PINO 6X50"</f>
        <v>CONTRA PINO 6X50</v>
      </c>
      <c r="C7683" s="2" t="str">
        <f t="shared" si="298"/>
        <v>UN</v>
      </c>
      <c r="D7683" s="7">
        <v>704</v>
      </c>
      <c r="E7683" s="3">
        <v>9</v>
      </c>
      <c r="F7683" s="3">
        <v>9</v>
      </c>
      <c r="G7683" t="s">
        <v>515</v>
      </c>
    </row>
    <row r="7684" spans="1:7" x14ac:dyDescent="0.25">
      <c r="A7684" s="1" t="str">
        <f>"519458"</f>
        <v>519458</v>
      </c>
      <c r="B7684" s="2" t="str">
        <f>"CONTRA PINO 6X60"</f>
        <v>CONTRA PINO 6X60</v>
      </c>
      <c r="C7684" s="2" t="str">
        <f t="shared" si="298"/>
        <v>UN</v>
      </c>
      <c r="D7684" s="7">
        <v>704</v>
      </c>
      <c r="E7684" s="3">
        <v>9</v>
      </c>
      <c r="F7684" s="3">
        <v>9</v>
      </c>
      <c r="G7684" t="s">
        <v>512</v>
      </c>
    </row>
    <row r="7685" spans="1:7" x14ac:dyDescent="0.25">
      <c r="A7685" s="1" t="str">
        <f>"501976"</f>
        <v>501976</v>
      </c>
      <c r="B7685" s="2" t="str">
        <f>"CONTRA PINO BALANCA (EMPILHADEIRA)"</f>
        <v>CONTRA PINO BALANCA (EMPILHADEIRA)</v>
      </c>
      <c r="C7685" s="2" t="str">
        <f t="shared" si="298"/>
        <v>UN</v>
      </c>
      <c r="D7685" s="7">
        <v>918</v>
      </c>
      <c r="E7685" s="3">
        <v>11</v>
      </c>
      <c r="F7685" s="3">
        <v>11</v>
      </c>
      <c r="G7685" t="s">
        <v>516</v>
      </c>
    </row>
    <row r="7686" spans="1:7" x14ac:dyDescent="0.25">
      <c r="A7686" s="1" t="str">
        <f>"518158"</f>
        <v>518158</v>
      </c>
      <c r="B7686" s="2" t="str">
        <f>"CONTRA PINO FE ZN 10 X 100MM"</f>
        <v>CONTRA PINO FE ZN 10 X 100MM</v>
      </c>
      <c r="C7686" s="2" t="str">
        <f t="shared" si="298"/>
        <v>UN</v>
      </c>
      <c r="D7686" s="7">
        <v>918</v>
      </c>
      <c r="E7686" s="3">
        <v>11</v>
      </c>
      <c r="F7686" s="3">
        <v>11</v>
      </c>
      <c r="G7686" t="s">
        <v>515</v>
      </c>
    </row>
    <row r="7687" spans="1:7" x14ac:dyDescent="0.25">
      <c r="A7687" s="1" t="str">
        <f>"518153"</f>
        <v>518153</v>
      </c>
      <c r="B7687" s="2" t="str">
        <f>"CONTRA PINO FE ZN 10 X 50MM"</f>
        <v>CONTRA PINO FE ZN 10 X 50MM</v>
      </c>
      <c r="C7687" s="2" t="str">
        <f t="shared" si="298"/>
        <v>UN</v>
      </c>
      <c r="D7687" s="7">
        <v>918</v>
      </c>
      <c r="E7687" s="3">
        <v>11</v>
      </c>
      <c r="F7687" s="3">
        <v>11</v>
      </c>
      <c r="G7687" t="s">
        <v>514</v>
      </c>
    </row>
    <row r="7688" spans="1:7" x14ac:dyDescent="0.25">
      <c r="A7688" s="1" t="str">
        <f>"518154"</f>
        <v>518154</v>
      </c>
      <c r="B7688" s="2" t="str">
        <f>"CONTRA PINO FE ZN 10 X 60MM"</f>
        <v>CONTRA PINO FE ZN 10 X 60MM</v>
      </c>
      <c r="C7688" s="2" t="str">
        <f t="shared" si="298"/>
        <v>UN</v>
      </c>
      <c r="D7688" s="7">
        <v>918</v>
      </c>
      <c r="E7688" s="3">
        <v>11</v>
      </c>
      <c r="F7688" s="3">
        <v>11</v>
      </c>
      <c r="G7688" t="s">
        <v>512</v>
      </c>
    </row>
    <row r="7689" spans="1:7" x14ac:dyDescent="0.25">
      <c r="A7689" s="1" t="str">
        <f>"518155"</f>
        <v>518155</v>
      </c>
      <c r="B7689" s="2" t="str">
        <f>"CONTRA PINO FE ZN 10 X 70MM"</f>
        <v>CONTRA PINO FE ZN 10 X 70MM</v>
      </c>
      <c r="C7689" s="2" t="str">
        <f t="shared" si="298"/>
        <v>UN</v>
      </c>
      <c r="D7689" s="7">
        <v>918</v>
      </c>
      <c r="E7689" s="3">
        <v>11</v>
      </c>
      <c r="F7689" s="3">
        <v>11</v>
      </c>
      <c r="G7689" t="s">
        <v>513</v>
      </c>
    </row>
    <row r="7690" spans="1:7" x14ac:dyDescent="0.25">
      <c r="A7690" s="1" t="str">
        <f>"518156"</f>
        <v>518156</v>
      </c>
      <c r="B7690" s="2" t="str">
        <f>"CONTRA PINO FE ZN 10 X 80MM"</f>
        <v>CONTRA PINO FE ZN 10 X 80MM</v>
      </c>
      <c r="C7690" s="2" t="str">
        <f t="shared" si="298"/>
        <v>UN</v>
      </c>
      <c r="D7690" s="7">
        <v>918</v>
      </c>
      <c r="E7690" s="3">
        <v>11</v>
      </c>
      <c r="F7690" s="3">
        <v>11</v>
      </c>
      <c r="G7690" t="s">
        <v>514</v>
      </c>
    </row>
    <row r="7691" spans="1:7" x14ac:dyDescent="0.25">
      <c r="A7691" s="1" t="str">
        <f>"518157"</f>
        <v>518157</v>
      </c>
      <c r="B7691" s="2" t="str">
        <f>"CONTRA PINO FE ZN 10 X 90MM"</f>
        <v>CONTRA PINO FE ZN 10 X 90MM</v>
      </c>
      <c r="C7691" s="2" t="str">
        <f t="shared" si="298"/>
        <v>UN</v>
      </c>
      <c r="D7691" s="7">
        <v>918</v>
      </c>
      <c r="E7691" s="3">
        <v>11</v>
      </c>
      <c r="F7691" s="3">
        <v>11</v>
      </c>
      <c r="G7691" t="s">
        <v>514</v>
      </c>
    </row>
    <row r="7692" spans="1:7" x14ac:dyDescent="0.25">
      <c r="A7692" s="1" t="str">
        <f>"518147"</f>
        <v>518147</v>
      </c>
      <c r="B7692" s="2" t="str">
        <f>"CONTRA PINO FE ZN 8 X 40MM"</f>
        <v>CONTRA PINO FE ZN 8 X 40MM</v>
      </c>
      <c r="C7692" s="2" t="str">
        <f t="shared" ref="C7692:C7725" si="299">"UN"</f>
        <v>UN</v>
      </c>
      <c r="D7692" s="7">
        <v>918</v>
      </c>
      <c r="E7692" s="3">
        <v>11</v>
      </c>
      <c r="F7692" s="3">
        <v>11</v>
      </c>
      <c r="G7692" t="s">
        <v>512</v>
      </c>
    </row>
    <row r="7693" spans="1:7" x14ac:dyDescent="0.25">
      <c r="A7693" s="1" t="str">
        <f>"518148"</f>
        <v>518148</v>
      </c>
      <c r="B7693" s="2" t="str">
        <f>"CONTRA PINO FE ZN 8 X 50MM"</f>
        <v>CONTRA PINO FE ZN 8 X 50MM</v>
      </c>
      <c r="C7693" s="2" t="str">
        <f t="shared" si="299"/>
        <v>UN</v>
      </c>
      <c r="D7693" s="7">
        <v>918</v>
      </c>
      <c r="E7693" s="3">
        <v>11</v>
      </c>
      <c r="F7693" s="3">
        <v>11</v>
      </c>
      <c r="G7693" t="s">
        <v>513</v>
      </c>
    </row>
    <row r="7694" spans="1:7" x14ac:dyDescent="0.25">
      <c r="A7694" s="1" t="str">
        <f>"518149"</f>
        <v>518149</v>
      </c>
      <c r="B7694" s="2" t="str">
        <f>"CONTRA PINO FE ZN 8 X 60MM"</f>
        <v>CONTRA PINO FE ZN 8 X 60MM</v>
      </c>
      <c r="C7694" s="2" t="str">
        <f t="shared" si="299"/>
        <v>UN</v>
      </c>
      <c r="D7694" s="7">
        <v>918</v>
      </c>
      <c r="E7694" s="3">
        <v>11</v>
      </c>
      <c r="F7694" s="3">
        <v>11</v>
      </c>
      <c r="G7694" t="s">
        <v>514</v>
      </c>
    </row>
    <row r="7695" spans="1:7" x14ac:dyDescent="0.25">
      <c r="A7695" s="1" t="str">
        <f>"518150"</f>
        <v>518150</v>
      </c>
      <c r="B7695" s="2" t="str">
        <f>"CONTRA PINO FE ZN 8 X 70MM"</f>
        <v>CONTRA PINO FE ZN 8 X 70MM</v>
      </c>
      <c r="C7695" s="2" t="str">
        <f t="shared" si="299"/>
        <v>UN</v>
      </c>
      <c r="D7695" s="7">
        <v>918</v>
      </c>
      <c r="E7695" s="3">
        <v>11</v>
      </c>
      <c r="F7695" s="3">
        <v>11</v>
      </c>
      <c r="G7695" t="s">
        <v>514</v>
      </c>
    </row>
    <row r="7696" spans="1:7" x14ac:dyDescent="0.25">
      <c r="A7696" s="1" t="str">
        <f>"518151"</f>
        <v>518151</v>
      </c>
      <c r="B7696" s="2" t="str">
        <f>"CONTRA PINO FE ZN 8 X 80MM"</f>
        <v>CONTRA PINO FE ZN 8 X 80MM</v>
      </c>
      <c r="C7696" s="2" t="str">
        <f t="shared" si="299"/>
        <v>UN</v>
      </c>
      <c r="D7696" s="7">
        <v>918</v>
      </c>
      <c r="E7696" s="3">
        <v>11</v>
      </c>
      <c r="F7696" s="3">
        <v>11</v>
      </c>
      <c r="G7696" t="s">
        <v>514</v>
      </c>
    </row>
    <row r="7697" spans="1:7" x14ac:dyDescent="0.25">
      <c r="A7697" s="1" t="str">
        <f>"518152"</f>
        <v>518152</v>
      </c>
      <c r="B7697" s="2" t="str">
        <f>"CONTRA PINO FE ZN 8 X 90MM"</f>
        <v>CONTRA PINO FE ZN 8 X 90MM</v>
      </c>
      <c r="C7697" s="2" t="str">
        <f t="shared" si="299"/>
        <v>UN</v>
      </c>
      <c r="D7697" s="7">
        <v>918</v>
      </c>
      <c r="E7697" s="3">
        <v>11</v>
      </c>
      <c r="F7697" s="3">
        <v>11</v>
      </c>
      <c r="G7697" t="s">
        <v>513</v>
      </c>
    </row>
    <row r="7698" spans="1:7" x14ac:dyDescent="0.25">
      <c r="A7698" s="1" t="str">
        <f>"510082"</f>
        <v>510082</v>
      </c>
      <c r="B7698" s="2" t="str">
        <f>"CONTRAPESO"</f>
        <v>CONTRAPESO</v>
      </c>
      <c r="C7698" s="2" t="str">
        <f t="shared" si="299"/>
        <v>UN</v>
      </c>
      <c r="D7698" s="7">
        <v>402</v>
      </c>
      <c r="E7698" s="3">
        <v>4</v>
      </c>
      <c r="F7698" s="3">
        <v>4</v>
      </c>
      <c r="G7698" t="s">
        <v>512</v>
      </c>
    </row>
    <row r="7699" spans="1:7" x14ac:dyDescent="0.25">
      <c r="A7699" s="1" t="str">
        <f>"510081"</f>
        <v>510081</v>
      </c>
      <c r="B7699" s="2" t="str">
        <f>"CONTRAPESO 1 TONELADA"</f>
        <v>CONTRAPESO 1 TONELADA</v>
      </c>
      <c r="C7699" s="2" t="str">
        <f t="shared" si="299"/>
        <v>UN</v>
      </c>
      <c r="D7699" s="7">
        <v>402</v>
      </c>
      <c r="E7699" s="3">
        <v>4</v>
      </c>
      <c r="F7699" s="3">
        <v>4</v>
      </c>
      <c r="G7699" t="s">
        <v>513</v>
      </c>
    </row>
    <row r="7700" spans="1:7" x14ac:dyDescent="0.25">
      <c r="A7700" s="1" t="str">
        <f>"510080"</f>
        <v>510080</v>
      </c>
      <c r="B7700" s="2" t="str">
        <f>"CONTRAPESO 2 TONELADAS"</f>
        <v>CONTRAPESO 2 TONELADAS</v>
      </c>
      <c r="C7700" s="2" t="str">
        <f t="shared" si="299"/>
        <v>UN</v>
      </c>
      <c r="D7700" s="7">
        <v>402</v>
      </c>
      <c r="E7700" s="3">
        <v>4</v>
      </c>
      <c r="F7700" s="3">
        <v>4</v>
      </c>
      <c r="G7700" t="s">
        <v>514</v>
      </c>
    </row>
    <row r="7701" spans="1:7" x14ac:dyDescent="0.25">
      <c r="A7701" s="1" t="str">
        <f>"510083"</f>
        <v>510083</v>
      </c>
      <c r="B7701" s="2" t="str">
        <f>"CONTRAPESO 4,7 TONELADAS"</f>
        <v>CONTRAPESO 4,7 TONELADAS</v>
      </c>
      <c r="C7701" s="2" t="str">
        <f t="shared" si="299"/>
        <v>UN</v>
      </c>
      <c r="D7701" s="7">
        <v>402</v>
      </c>
      <c r="E7701" s="3">
        <v>4</v>
      </c>
      <c r="F7701" s="3">
        <v>4</v>
      </c>
      <c r="G7701" t="s">
        <v>514</v>
      </c>
    </row>
    <row r="7702" spans="1:7" x14ac:dyDescent="0.25">
      <c r="A7702" s="1" t="str">
        <f>"523266"</f>
        <v>523266</v>
      </c>
      <c r="B7702" s="2" t="str">
        <f>"CONTRASTE"</f>
        <v>CONTRASTE</v>
      </c>
      <c r="C7702" s="2" t="str">
        <f t="shared" si="299"/>
        <v>UN</v>
      </c>
      <c r="D7702" s="7">
        <v>99999</v>
      </c>
      <c r="E7702" s="3">
        <v>99</v>
      </c>
      <c r="F7702" s="3">
        <v>99</v>
      </c>
      <c r="G7702" t="s">
        <v>514</v>
      </c>
    </row>
    <row r="7703" spans="1:7" x14ac:dyDescent="0.25">
      <c r="A7703" s="1" t="str">
        <f>"507223"</f>
        <v>507223</v>
      </c>
      <c r="B7703" s="2" t="str">
        <f>"CONTRAVENTO DE PILAR CVP 1"</f>
        <v>CONTRAVENTO DE PILAR CVP 1</v>
      </c>
      <c r="C7703" s="2" t="str">
        <f t="shared" si="299"/>
        <v>UN</v>
      </c>
      <c r="D7703" s="7">
        <v>1700</v>
      </c>
      <c r="E7703" s="3">
        <v>13</v>
      </c>
      <c r="F7703" s="3">
        <v>13</v>
      </c>
      <c r="G7703" t="s">
        <v>513</v>
      </c>
    </row>
    <row r="7704" spans="1:7" x14ac:dyDescent="0.25">
      <c r="A7704" s="1" t="str">
        <f>"507225"</f>
        <v>507225</v>
      </c>
      <c r="B7704" s="2" t="str">
        <f>"CONTRAVENTO DE PILAR CVP 3"</f>
        <v>CONTRAVENTO DE PILAR CVP 3</v>
      </c>
      <c r="C7704" s="2" t="str">
        <f t="shared" si="299"/>
        <v>UN</v>
      </c>
      <c r="D7704" s="7">
        <v>1700</v>
      </c>
      <c r="E7704" s="3">
        <v>13</v>
      </c>
      <c r="F7704" s="3">
        <v>13</v>
      </c>
      <c r="G7704" t="s">
        <v>513</v>
      </c>
    </row>
    <row r="7705" spans="1:7" x14ac:dyDescent="0.25">
      <c r="A7705" s="1" t="str">
        <f>"519383"</f>
        <v>519383</v>
      </c>
      <c r="B7705" s="2" t="str">
        <f>"CONTROLADO FULL GAUGE MT512E 2HP"</f>
        <v>CONTROLADO FULL GAUGE MT512E 2HP</v>
      </c>
      <c r="C7705" s="2" t="str">
        <f t="shared" si="299"/>
        <v>UN</v>
      </c>
      <c r="D7705" s="7">
        <v>600</v>
      </c>
      <c r="E7705" s="3">
        <v>8</v>
      </c>
      <c r="F7705" s="3">
        <v>8</v>
      </c>
      <c r="G7705" t="s">
        <v>513</v>
      </c>
    </row>
    <row r="7706" spans="1:7" x14ac:dyDescent="0.25">
      <c r="A7706" s="1" t="str">
        <f>"516178"</f>
        <v>516178</v>
      </c>
      <c r="B7706" s="2" t="str">
        <f>"CONTROLADO FULL GAUGE MT543 RI PLUS"</f>
        <v>CONTROLADO FULL GAUGE MT543 RI PLUS</v>
      </c>
      <c r="C7706" s="2" t="str">
        <f t="shared" si="299"/>
        <v>UN</v>
      </c>
      <c r="D7706" s="7">
        <v>600</v>
      </c>
      <c r="E7706" s="3">
        <v>8</v>
      </c>
      <c r="F7706" s="3">
        <v>8</v>
      </c>
      <c r="G7706" t="s">
        <v>512</v>
      </c>
    </row>
    <row r="7707" spans="1:7" x14ac:dyDescent="0.25">
      <c r="A7707" s="1" t="str">
        <f>"516177"</f>
        <v>516177</v>
      </c>
      <c r="B7707" s="2" t="str">
        <f>"CONTROLADO FULL GAUGE TC-900RI CLOCK"</f>
        <v>CONTROLADO FULL GAUGE TC-900RI CLOCK</v>
      </c>
      <c r="C7707" s="2" t="str">
        <f t="shared" si="299"/>
        <v>UN</v>
      </c>
      <c r="D7707" s="7">
        <v>600</v>
      </c>
      <c r="E7707" s="3">
        <v>8</v>
      </c>
      <c r="F7707" s="3">
        <v>8</v>
      </c>
      <c r="G7707" t="s">
        <v>513</v>
      </c>
    </row>
    <row r="7708" spans="1:7" x14ac:dyDescent="0.25">
      <c r="A7708" s="1" t="str">
        <f>"521281"</f>
        <v>521281</v>
      </c>
      <c r="B7708" s="2" t="str">
        <f>"CONTROLADOR"</f>
        <v>CONTROLADOR</v>
      </c>
      <c r="C7708" s="2" t="str">
        <f t="shared" si="299"/>
        <v>UN</v>
      </c>
      <c r="D7708" s="7">
        <v>99999</v>
      </c>
      <c r="E7708" s="3">
        <v>99</v>
      </c>
      <c r="F7708" s="3">
        <v>99</v>
      </c>
      <c r="G7708" t="s">
        <v>514</v>
      </c>
    </row>
    <row r="7709" spans="1:7" x14ac:dyDescent="0.25">
      <c r="A7709" s="1" t="str">
        <f>"520762"</f>
        <v>520762</v>
      </c>
      <c r="B7709" s="8" t="s">
        <v>181</v>
      </c>
      <c r="C7709" s="2" t="str">
        <f t="shared" si="299"/>
        <v>UN</v>
      </c>
      <c r="D7709" s="7">
        <v>916</v>
      </c>
      <c r="E7709" s="3">
        <v>10</v>
      </c>
      <c r="F7709" s="3">
        <v>10</v>
      </c>
      <c r="G7709" t="s">
        <v>515</v>
      </c>
    </row>
    <row r="7710" spans="1:7" x14ac:dyDescent="0.25">
      <c r="A7710" s="1" t="str">
        <f>"515672"</f>
        <v>515672</v>
      </c>
      <c r="B7710" s="2" t="str">
        <f>"CONTROLADOR DE NIVEL PARKER 109348 LLSS"</f>
        <v>CONTROLADOR DE NIVEL PARKER 109348 LLSS</v>
      </c>
      <c r="C7710" s="2" t="str">
        <f t="shared" si="299"/>
        <v>UN</v>
      </c>
      <c r="D7710" s="7">
        <v>600</v>
      </c>
      <c r="E7710" s="3">
        <v>10</v>
      </c>
      <c r="F7710" s="3">
        <v>10</v>
      </c>
      <c r="G7710" t="s">
        <v>512</v>
      </c>
    </row>
    <row r="7711" spans="1:7" x14ac:dyDescent="0.25">
      <c r="A7711" s="1" t="str">
        <f>"519333"</f>
        <v>519333</v>
      </c>
      <c r="B7711" s="2" t="str">
        <f>"CONTROLADOR DE NIVEL PNPNS 220VCA COEL"</f>
        <v>CONTROLADOR DE NIVEL PNPNS 220VCA COEL</v>
      </c>
      <c r="C7711" s="2" t="str">
        <f t="shared" si="299"/>
        <v>UN</v>
      </c>
      <c r="D7711" s="7">
        <v>600</v>
      </c>
      <c r="E7711" s="3">
        <v>10</v>
      </c>
      <c r="F7711" s="3">
        <v>10</v>
      </c>
      <c r="G7711" t="s">
        <v>516</v>
      </c>
    </row>
    <row r="7712" spans="1:7" x14ac:dyDescent="0.25">
      <c r="A7712" s="1" t="str">
        <f>"507290"</f>
        <v>507290</v>
      </c>
      <c r="B7712" s="2" t="str">
        <f>"CONTROLADOR DE TEMP. MOD IDPT SER 1607"</f>
        <v>CONTROLADOR DE TEMP. MOD IDPT SER 1607</v>
      </c>
      <c r="C7712" s="2" t="str">
        <f t="shared" si="299"/>
        <v>UN</v>
      </c>
      <c r="D7712" s="7">
        <v>900</v>
      </c>
      <c r="E7712" s="3">
        <v>11</v>
      </c>
      <c r="F7712" s="3">
        <v>11</v>
      </c>
      <c r="G7712" t="s">
        <v>515</v>
      </c>
    </row>
    <row r="7713" spans="1:7" x14ac:dyDescent="0.25">
      <c r="A7713" s="1" t="str">
        <f>"520165"</f>
        <v>520165</v>
      </c>
      <c r="B7713" s="2" t="str">
        <f>"CONTROLADOR DE TEMPERATURA -55,5 A +99,9 °C 220VAC"</f>
        <v>CONTROLADOR DE TEMPERATURA -55,5 A +99,9 °C 220VAC</v>
      </c>
      <c r="C7713" s="2" t="str">
        <f t="shared" si="299"/>
        <v>UN</v>
      </c>
      <c r="D7713" s="7">
        <v>900</v>
      </c>
      <c r="E7713" s="3">
        <v>11</v>
      </c>
      <c r="F7713" s="3">
        <v>11</v>
      </c>
      <c r="G7713" t="s">
        <v>514</v>
      </c>
    </row>
    <row r="7714" spans="1:7" x14ac:dyDescent="0.25">
      <c r="A7714" s="1" t="str">
        <f>"508915"</f>
        <v>508915</v>
      </c>
      <c r="B7714" s="2" t="str">
        <f>"CONTROLADOR DE TEMPERATURA DIXELL SMC311"</f>
        <v>CONTROLADOR DE TEMPERATURA DIXELL SMC311</v>
      </c>
      <c r="C7714" s="2" t="str">
        <f t="shared" si="299"/>
        <v>UN</v>
      </c>
      <c r="D7714" s="7">
        <v>600</v>
      </c>
      <c r="E7714" s="3">
        <v>8</v>
      </c>
      <c r="F7714" s="3">
        <v>8</v>
      </c>
      <c r="G7714" t="s">
        <v>512</v>
      </c>
    </row>
    <row r="7715" spans="1:7" x14ac:dyDescent="0.25">
      <c r="A7715" s="1" t="str">
        <f>"509825"</f>
        <v>509825</v>
      </c>
      <c r="B7715" s="2" t="str">
        <f>"CONTROLADOR DIG CMJ 440"</f>
        <v>CONTROLADOR DIG CMJ 440</v>
      </c>
      <c r="C7715" s="2" t="str">
        <f t="shared" si="299"/>
        <v>UN</v>
      </c>
      <c r="D7715" s="7">
        <v>900</v>
      </c>
      <c r="E7715" s="3">
        <v>11</v>
      </c>
      <c r="F7715" s="3">
        <v>11</v>
      </c>
      <c r="G7715" t="s">
        <v>513</v>
      </c>
    </row>
    <row r="7716" spans="1:7" x14ac:dyDescent="0.25">
      <c r="A7716" s="1" t="str">
        <f>"504499"</f>
        <v>504499</v>
      </c>
      <c r="B7716" s="2" t="str">
        <f>"CONTROLADOR DIGITAL 1S/96X96MM CDJ-10"</f>
        <v>CONTROLADOR DIGITAL 1S/96X96MM CDJ-10</v>
      </c>
      <c r="C7716" s="2" t="str">
        <f t="shared" si="299"/>
        <v>UN</v>
      </c>
      <c r="D7716" s="7">
        <v>900</v>
      </c>
      <c r="E7716" s="3">
        <v>11</v>
      </c>
      <c r="F7716" s="3">
        <v>11</v>
      </c>
      <c r="G7716" t="s">
        <v>514</v>
      </c>
    </row>
    <row r="7717" spans="1:7" x14ac:dyDescent="0.25">
      <c r="A7717" s="1" t="str">
        <f>"503783"</f>
        <v>503783</v>
      </c>
      <c r="B7717" s="2" t="str">
        <f>"CONTROLADOR DIGITAL CDJ-10 96X96MM 220V"</f>
        <v>CONTROLADOR DIGITAL CDJ-10 96X96MM 220V</v>
      </c>
      <c r="C7717" s="2" t="str">
        <f t="shared" si="299"/>
        <v>UN</v>
      </c>
      <c r="D7717" s="7">
        <v>900</v>
      </c>
      <c r="E7717" s="3">
        <v>11</v>
      </c>
      <c r="F7717" s="3">
        <v>11</v>
      </c>
      <c r="G7717" t="s">
        <v>514</v>
      </c>
    </row>
    <row r="7718" spans="1:7" x14ac:dyDescent="0.25">
      <c r="A7718" s="1" t="str">
        <f>"501625"</f>
        <v>501625</v>
      </c>
      <c r="B7718" s="2" t="str">
        <f>"CONTROLADOR DIGITAL CDJ-12  0 A 150º 220V"</f>
        <v>CONTROLADOR DIGITAL CDJ-12  0 A 150º 220V</v>
      </c>
      <c r="C7718" s="2" t="str">
        <f t="shared" si="299"/>
        <v>UN</v>
      </c>
      <c r="D7718" s="7">
        <v>900</v>
      </c>
      <c r="E7718" s="3">
        <v>11</v>
      </c>
      <c r="F7718" s="3">
        <v>11</v>
      </c>
      <c r="G7718" t="s">
        <v>512</v>
      </c>
    </row>
    <row r="7719" spans="1:7" x14ac:dyDescent="0.25">
      <c r="A7719" s="1" t="str">
        <f>"517583"</f>
        <v>517583</v>
      </c>
      <c r="B7719" s="2" t="str">
        <f>"CONTROLADOR FATOR POTENCIA FULL GAUGE PWR 3200 - PLUS"</f>
        <v>CONTROLADOR FATOR POTENCIA FULL GAUGE PWR 3200 - PLUS</v>
      </c>
      <c r="C7719" s="2" t="str">
        <f t="shared" si="299"/>
        <v>UN</v>
      </c>
      <c r="D7719" s="7">
        <v>811</v>
      </c>
      <c r="E7719" s="3">
        <v>8</v>
      </c>
      <c r="F7719" s="3">
        <v>8</v>
      </c>
      <c r="G7719" t="s">
        <v>513</v>
      </c>
    </row>
    <row r="7720" spans="1:7" x14ac:dyDescent="0.25">
      <c r="A7720" s="1" t="str">
        <f>"517574"</f>
        <v>517574</v>
      </c>
      <c r="B7720" s="2" t="str">
        <f>"CONTROLADOR FATOR POTENCIA SIEMENS COMPUTER 12M"</f>
        <v>CONTROLADOR FATOR POTENCIA SIEMENS COMPUTER 12M</v>
      </c>
      <c r="C7720" s="2" t="str">
        <f t="shared" si="299"/>
        <v>UN</v>
      </c>
      <c r="D7720" s="7">
        <v>811</v>
      </c>
      <c r="E7720" s="3">
        <v>8</v>
      </c>
      <c r="F7720" s="3">
        <v>8</v>
      </c>
      <c r="G7720" t="s">
        <v>514</v>
      </c>
    </row>
    <row r="7721" spans="1:7" x14ac:dyDescent="0.25">
      <c r="A7721" s="1" t="str">
        <f>"509227"</f>
        <v>509227</v>
      </c>
      <c r="B7721" s="2" t="str">
        <f>"CONTROLADOR FLUXO T1000 1/4"""</f>
        <v>CONTROLADOR FLUXO T1000 1/4"</v>
      </c>
      <c r="C7721" s="2" t="str">
        <f t="shared" si="299"/>
        <v>UN</v>
      </c>
      <c r="D7721" s="7">
        <v>912</v>
      </c>
      <c r="E7721" s="3">
        <v>10</v>
      </c>
      <c r="F7721" s="3">
        <v>10</v>
      </c>
      <c r="G7721" t="s">
        <v>514</v>
      </c>
    </row>
    <row r="7722" spans="1:7" x14ac:dyDescent="0.25">
      <c r="A7722" s="1" t="str">
        <f>"506778"</f>
        <v>506778</v>
      </c>
      <c r="B7722" s="2" t="str">
        <f>"CONTROLADOR KONTATEK 24V"</f>
        <v>CONTROLADOR KONTATEK 24V</v>
      </c>
      <c r="C7722" s="2" t="str">
        <f t="shared" si="299"/>
        <v>UN</v>
      </c>
      <c r="D7722" s="7">
        <v>811</v>
      </c>
      <c r="E7722" s="3">
        <v>8</v>
      </c>
      <c r="F7722" s="3">
        <v>8</v>
      </c>
      <c r="G7722" t="s">
        <v>514</v>
      </c>
    </row>
    <row r="7723" spans="1:7" x14ac:dyDescent="0.25">
      <c r="A7723" s="1" t="str">
        <f>"525013"</f>
        <v>525013</v>
      </c>
      <c r="B7723" s="8" t="s">
        <v>425</v>
      </c>
      <c r="C7723" s="2" t="str">
        <f t="shared" si="299"/>
        <v>UN</v>
      </c>
      <c r="D7723" s="7">
        <v>811</v>
      </c>
      <c r="E7723" s="3">
        <v>11</v>
      </c>
      <c r="F7723" s="3">
        <v>11</v>
      </c>
      <c r="G7723" t="s">
        <v>513</v>
      </c>
    </row>
    <row r="7724" spans="1:7" x14ac:dyDescent="0.25">
      <c r="A7724" s="1" t="str">
        <f>"517297"</f>
        <v>517297</v>
      </c>
      <c r="B7724" s="2" t="str">
        <f>"CONTROLADOR LOGICO PROGRAMAVEL"</f>
        <v>CONTROLADOR LOGICO PROGRAMAVEL</v>
      </c>
      <c r="C7724" s="2" t="str">
        <f t="shared" si="299"/>
        <v>UN</v>
      </c>
      <c r="D7724" s="7">
        <v>811</v>
      </c>
      <c r="E7724" s="3">
        <v>8</v>
      </c>
      <c r="F7724" s="3">
        <v>8</v>
      </c>
      <c r="G7724" t="s">
        <v>512</v>
      </c>
    </row>
    <row r="7725" spans="1:7" x14ac:dyDescent="0.25">
      <c r="A7725" s="1" t="str">
        <f>"521999"</f>
        <v>521999</v>
      </c>
      <c r="B7725" s="8" t="s">
        <v>271</v>
      </c>
      <c r="C7725" s="2" t="str">
        <f t="shared" si="299"/>
        <v>UN</v>
      </c>
      <c r="D7725" s="7">
        <v>900</v>
      </c>
      <c r="E7725" s="3">
        <v>11</v>
      </c>
      <c r="F7725" s="3">
        <v>11</v>
      </c>
      <c r="G7725" t="s">
        <v>513</v>
      </c>
    </row>
    <row r="7726" spans="1:7" x14ac:dyDescent="0.25">
      <c r="A7726" s="1" t="str">
        <f>"519284"</f>
        <v>519284</v>
      </c>
      <c r="B7726" s="2" t="str">
        <f>"CONTROLADOR NIVEL CNM-FR - 1 C/ QUEBRA"</f>
        <v>CONTROLADOR NIVEL CNM-FR - 1 C/ QUEBRA</v>
      </c>
      <c r="C7726" s="2" t="str">
        <f>"BR"</f>
        <v>BR</v>
      </c>
      <c r="D7726" s="7">
        <v>807</v>
      </c>
      <c r="E7726" s="3">
        <v>10</v>
      </c>
      <c r="F7726" s="3">
        <v>10</v>
      </c>
      <c r="G7726" t="s">
        <v>514</v>
      </c>
    </row>
    <row r="7727" spans="1:7" x14ac:dyDescent="0.25">
      <c r="A7727" s="1" t="str">
        <f>"524355"</f>
        <v>524355</v>
      </c>
      <c r="B7727" s="2" t="str">
        <f>"CONTROLADOR P/ ANALISADOR DE GASES MOD. PN 301C-DLC"</f>
        <v>CONTROLADOR P/ ANALISADOR DE GASES MOD. PN 301C-DLC</v>
      </c>
      <c r="C7727" s="2" t="str">
        <f t="shared" ref="C7727:C7740" si="300">"UN"</f>
        <v>UN</v>
      </c>
      <c r="D7727" s="7">
        <v>900</v>
      </c>
      <c r="E7727" s="3">
        <v>11</v>
      </c>
      <c r="F7727" s="3">
        <v>11</v>
      </c>
      <c r="G7727" t="s">
        <v>514</v>
      </c>
    </row>
    <row r="7728" spans="1:7" x14ac:dyDescent="0.25">
      <c r="A7728" s="1" t="str">
        <f>"507423"</f>
        <v>507423</v>
      </c>
      <c r="B7728" s="2" t="str">
        <f>"CONTROLADOR PEXTRON DTS4C TIPO J 110V"</f>
        <v>CONTROLADOR PEXTRON DTS4C TIPO J 110V</v>
      </c>
      <c r="C7728" s="2" t="str">
        <f t="shared" si="300"/>
        <v>UN</v>
      </c>
      <c r="D7728" s="7">
        <v>900</v>
      </c>
      <c r="E7728" s="3">
        <v>11</v>
      </c>
      <c r="F7728" s="3">
        <v>11</v>
      </c>
      <c r="G7728" t="s">
        <v>514</v>
      </c>
    </row>
    <row r="7729" spans="1:7" x14ac:dyDescent="0.25">
      <c r="A7729" s="1" t="str">
        <f>"517768"</f>
        <v>517768</v>
      </c>
      <c r="B7729" s="2" t="str">
        <f>"CONTROLADOR PROGRAMAVEL 4004 ATOS MPC4004"</f>
        <v>CONTROLADOR PROGRAMAVEL 4004 ATOS MPC4004</v>
      </c>
      <c r="C7729" s="2" t="str">
        <f t="shared" si="300"/>
        <v>UN</v>
      </c>
      <c r="D7729" s="7">
        <v>811</v>
      </c>
      <c r="E7729" s="3">
        <v>8</v>
      </c>
      <c r="F7729" s="3">
        <v>8</v>
      </c>
      <c r="G7729" t="s">
        <v>513</v>
      </c>
    </row>
    <row r="7730" spans="1:7" x14ac:dyDescent="0.25">
      <c r="A7730" s="1" t="str">
        <f>"516895"</f>
        <v>516895</v>
      </c>
      <c r="B7730" s="2" t="str">
        <f>"CONTROLADOR QUIMIS MULTICONFIGURADO C/ TIMER QA23211C2"</f>
        <v>CONTROLADOR QUIMIS MULTICONFIGURADO C/ TIMER QA23211C2</v>
      </c>
      <c r="C7730" s="2" t="str">
        <f t="shared" si="300"/>
        <v>UN</v>
      </c>
      <c r="D7730" s="7">
        <v>811</v>
      </c>
      <c r="E7730" s="3">
        <v>8</v>
      </c>
      <c r="F7730" s="3">
        <v>8</v>
      </c>
      <c r="G7730" t="s">
        <v>513</v>
      </c>
    </row>
    <row r="7731" spans="1:7" x14ac:dyDescent="0.25">
      <c r="A7731" s="1" t="str">
        <f>"527936"</f>
        <v>527936</v>
      </c>
      <c r="B7731" s="2" t="str">
        <f>"CONTROLADOR SISTEMA MEDICAO DE CLORO E PH"</f>
        <v>CONTROLADOR SISTEMA MEDICAO DE CLORO E PH</v>
      </c>
      <c r="C7731" s="2" t="str">
        <f t="shared" si="300"/>
        <v>UN</v>
      </c>
      <c r="D7731" s="7">
        <v>1500</v>
      </c>
      <c r="E7731" s="3">
        <v>13</v>
      </c>
      <c r="F7731" s="3">
        <v>13</v>
      </c>
      <c r="G7731" t="s">
        <v>513</v>
      </c>
    </row>
    <row r="7732" spans="1:7" x14ac:dyDescent="0.25">
      <c r="A7732" s="1" t="str">
        <f>"523272"</f>
        <v>523272</v>
      </c>
      <c r="B7732" s="2" t="str">
        <f>"CONTROLADOR SX-UNI 100/240VAC 50/60Hz 4/20MA RS485"</f>
        <v>CONTROLADOR SX-UNI 100/240VAC 50/60Hz 4/20MA RS485</v>
      </c>
      <c r="C7732" s="2" t="str">
        <f t="shared" si="300"/>
        <v>UN</v>
      </c>
      <c r="D7732" s="7">
        <v>811</v>
      </c>
      <c r="E7732" s="3">
        <v>8</v>
      </c>
      <c r="F7732" s="3">
        <v>8</v>
      </c>
      <c r="G7732" t="s">
        <v>512</v>
      </c>
    </row>
    <row r="7733" spans="1:7" x14ac:dyDescent="0.25">
      <c r="A7733" s="1" t="str">
        <f>"528149"</f>
        <v>528149</v>
      </c>
      <c r="B7733" s="2" t="str">
        <f>"CONTROLADOR SX-UNI SPIRAX SARCO"</f>
        <v>CONTROLADOR SX-UNI SPIRAX SARCO</v>
      </c>
      <c r="C7733" s="2" t="str">
        <f t="shared" si="300"/>
        <v>UN</v>
      </c>
      <c r="D7733" s="7">
        <v>900</v>
      </c>
      <c r="E7733" s="3">
        <v>11</v>
      </c>
      <c r="F7733" s="3">
        <v>11</v>
      </c>
      <c r="G7733" t="s">
        <v>513</v>
      </c>
    </row>
    <row r="7734" spans="1:7" x14ac:dyDescent="0.25">
      <c r="A7734" s="1" t="str">
        <f>"513271"</f>
        <v>513271</v>
      </c>
      <c r="B7734" s="2" t="str">
        <f>"CONTROLADOR TC 900 12V 24V"</f>
        <v>CONTROLADOR TC 900 12V 24V</v>
      </c>
      <c r="C7734" s="2" t="str">
        <f t="shared" si="300"/>
        <v>UN</v>
      </c>
      <c r="D7734" s="7">
        <v>704</v>
      </c>
      <c r="E7734" s="3">
        <v>9</v>
      </c>
      <c r="F7734" s="3">
        <v>9</v>
      </c>
      <c r="G7734" t="s">
        <v>514</v>
      </c>
    </row>
    <row r="7735" spans="1:7" x14ac:dyDescent="0.25">
      <c r="A7735" s="1" t="str">
        <f>"517592"</f>
        <v>517592</v>
      </c>
      <c r="B7735" s="2" t="str">
        <f>"CONTROLADOR TEMP DIG. THOLZ MDH370N-90-240VCA J/K/PT100"</f>
        <v>CONTROLADOR TEMP DIG. THOLZ MDH370N-90-240VCA J/K/PT100</v>
      </c>
      <c r="C7735" s="2" t="str">
        <f t="shared" si="300"/>
        <v>UN</v>
      </c>
      <c r="D7735" s="7">
        <v>811</v>
      </c>
      <c r="E7735" s="3">
        <v>8</v>
      </c>
      <c r="F7735" s="3">
        <v>8</v>
      </c>
      <c r="G7735" t="s">
        <v>515</v>
      </c>
    </row>
    <row r="7736" spans="1:7" x14ac:dyDescent="0.25">
      <c r="A7736" s="1" t="str">
        <f>"511048"</f>
        <v>511048</v>
      </c>
      <c r="B7736" s="2" t="str">
        <f>"CONTROLADOR TEMP. HW500 J 350Cº 220VCA - COEL"</f>
        <v>CONTROLADOR TEMP. HW500 J 350Cº 220VCA - COEL</v>
      </c>
      <c r="C7736" s="2" t="str">
        <f t="shared" si="300"/>
        <v>UN</v>
      </c>
      <c r="D7736" s="7">
        <v>600</v>
      </c>
      <c r="E7736" s="3">
        <v>8</v>
      </c>
      <c r="F7736" s="3">
        <v>8</v>
      </c>
      <c r="G7736" t="s">
        <v>512</v>
      </c>
    </row>
    <row r="7737" spans="1:7" x14ac:dyDescent="0.25">
      <c r="A7737" s="1" t="str">
        <f>"506946"</f>
        <v>506946</v>
      </c>
      <c r="B7737" s="2" t="str">
        <f>"CONTROLADOR TEMP. K48E-HCRR 100A 240VCA 48X48MM COEL"</f>
        <v>CONTROLADOR TEMP. K48E-HCRR 100A 240VCA 48X48MM COEL</v>
      </c>
      <c r="C7737" s="2" t="str">
        <f t="shared" si="300"/>
        <v>UN</v>
      </c>
      <c r="D7737" s="7">
        <v>900</v>
      </c>
      <c r="E7737" s="3">
        <v>11</v>
      </c>
      <c r="F7737" s="3">
        <v>11</v>
      </c>
      <c r="G7737" t="s">
        <v>516</v>
      </c>
    </row>
    <row r="7738" spans="1:7" x14ac:dyDescent="0.25">
      <c r="A7738" s="1" t="str">
        <f>"511045"</f>
        <v>511045</v>
      </c>
      <c r="B7738" s="2" t="str">
        <f>"CONTROLADOR TEMP. K48E-HCRR J 220VCA - COEL"</f>
        <v>CONTROLADOR TEMP. K48E-HCRR J 220VCA - COEL</v>
      </c>
      <c r="C7738" s="2" t="str">
        <f t="shared" si="300"/>
        <v>UN</v>
      </c>
      <c r="D7738" s="7">
        <v>811</v>
      </c>
      <c r="E7738" s="3">
        <v>8</v>
      </c>
      <c r="F7738" s="3">
        <v>8</v>
      </c>
      <c r="G7738" t="s">
        <v>515</v>
      </c>
    </row>
    <row r="7739" spans="1:7" x14ac:dyDescent="0.25">
      <c r="A7739" s="1" t="str">
        <f>"516180"</f>
        <v>516180</v>
      </c>
      <c r="B7739" s="2" t="str">
        <f>"CONTROLADOR TEMP. NOVUS N1100 110 X 220V"</f>
        <v>CONTROLADOR TEMP. NOVUS N1100 110 X 220V</v>
      </c>
      <c r="C7739" s="2" t="str">
        <f t="shared" si="300"/>
        <v>UN</v>
      </c>
      <c r="D7739" s="7">
        <v>600</v>
      </c>
      <c r="E7739" s="3">
        <v>8</v>
      </c>
      <c r="F7739" s="3">
        <v>8</v>
      </c>
      <c r="G7739" t="s">
        <v>514</v>
      </c>
    </row>
    <row r="7740" spans="1:7" x14ac:dyDescent="0.25">
      <c r="A7740" s="1" t="str">
        <f>"508739"</f>
        <v>508739</v>
      </c>
      <c r="B7740" s="2" t="str">
        <f>"CONTROLADOR TEMP. NOVUS N480D-RAR 220V"</f>
        <v>CONTROLADOR TEMP. NOVUS N480D-RAR 220V</v>
      </c>
      <c r="C7740" s="2" t="str">
        <f t="shared" si="300"/>
        <v>UN</v>
      </c>
      <c r="D7740" s="7">
        <v>900</v>
      </c>
      <c r="E7740" s="3">
        <v>8</v>
      </c>
      <c r="F7740" s="3">
        <v>8</v>
      </c>
      <c r="G7740" t="s">
        <v>512</v>
      </c>
    </row>
    <row r="7741" spans="1:7" x14ac:dyDescent="0.25">
      <c r="A7741" s="1" t="str">
        <f>"512049"</f>
        <v>512049</v>
      </c>
      <c r="B7741" s="2" t="str">
        <f>"CONTROLADOR TEMP. NOVUS N480D-RP   24V"</f>
        <v>CONTROLADOR TEMP. NOVUS N480D-RP   24V</v>
      </c>
      <c r="C7741" s="2" t="str">
        <f t="shared" ref="C7741:C7748" si="301">"PC"</f>
        <v>PC</v>
      </c>
      <c r="D7741" s="7">
        <v>600</v>
      </c>
      <c r="E7741" s="3">
        <v>8</v>
      </c>
      <c r="F7741" s="3">
        <v>8</v>
      </c>
      <c r="G7741" t="s">
        <v>513</v>
      </c>
    </row>
    <row r="7742" spans="1:7" x14ac:dyDescent="0.25">
      <c r="A7742" s="1" t="str">
        <f>"507836"</f>
        <v>507836</v>
      </c>
      <c r="B7742" s="2" t="str">
        <f>"CONTROLADOR TEMP. NOVUS N480D-RP  220V"</f>
        <v>CONTROLADOR TEMP. NOVUS N480D-RP  220V</v>
      </c>
      <c r="C7742" s="2" t="str">
        <f t="shared" si="301"/>
        <v>PC</v>
      </c>
      <c r="D7742" s="7">
        <v>900</v>
      </c>
      <c r="E7742" s="3">
        <v>11</v>
      </c>
      <c r="F7742" s="3">
        <v>11</v>
      </c>
      <c r="G7742" t="s">
        <v>514</v>
      </c>
    </row>
    <row r="7743" spans="1:7" x14ac:dyDescent="0.25">
      <c r="A7743" s="1" t="str">
        <f>"509341"</f>
        <v>509341</v>
      </c>
      <c r="B7743" s="2" t="str">
        <f>"CONTROLADOR TEMP. NOVUS N480D-RPR  24V"</f>
        <v>CONTROLADOR TEMP. NOVUS N480D-RPR  24V</v>
      </c>
      <c r="C7743" s="2" t="str">
        <f t="shared" si="301"/>
        <v>PC</v>
      </c>
      <c r="D7743" s="7">
        <v>600</v>
      </c>
      <c r="E7743" s="3">
        <v>8</v>
      </c>
      <c r="F7743" s="3">
        <v>8</v>
      </c>
      <c r="G7743" t="s">
        <v>514</v>
      </c>
    </row>
    <row r="7744" spans="1:7" x14ac:dyDescent="0.25">
      <c r="A7744" s="1" t="str">
        <f>"508737"</f>
        <v>508737</v>
      </c>
      <c r="B7744" s="2" t="str">
        <f>"CONTROLADOR TEMP. NOVUS N480D-RPR 220V"</f>
        <v>CONTROLADOR TEMP. NOVUS N480D-RPR 220V</v>
      </c>
      <c r="C7744" s="2" t="str">
        <f t="shared" si="301"/>
        <v>PC</v>
      </c>
      <c r="D7744" s="7">
        <v>900</v>
      </c>
      <c r="E7744" s="3">
        <v>11</v>
      </c>
      <c r="F7744" s="3">
        <v>11</v>
      </c>
      <c r="G7744" t="s">
        <v>512</v>
      </c>
    </row>
    <row r="7745" spans="1:7" x14ac:dyDescent="0.25">
      <c r="A7745" s="1" t="str">
        <f>"510259"</f>
        <v>510259</v>
      </c>
      <c r="B7745" s="2" t="str">
        <f>"CONTROLADOR TEMP. NOVUS N480I PT100 220V"</f>
        <v>CONTROLADOR TEMP. NOVUS N480I PT100 220V</v>
      </c>
      <c r="C7745" s="2" t="str">
        <f t="shared" si="301"/>
        <v>PC</v>
      </c>
      <c r="D7745" s="7">
        <v>600</v>
      </c>
      <c r="E7745" s="3">
        <v>8</v>
      </c>
      <c r="F7745" s="3">
        <v>8</v>
      </c>
      <c r="G7745" t="s">
        <v>513</v>
      </c>
    </row>
    <row r="7746" spans="1:7" x14ac:dyDescent="0.25">
      <c r="A7746" s="1" t="str">
        <f>"511415"</f>
        <v>511415</v>
      </c>
      <c r="B7746" s="2" t="str">
        <f>"CONTROLADOR TEMP. NOVUS N480I-RR 220V"</f>
        <v>CONTROLADOR TEMP. NOVUS N480I-RR 220V</v>
      </c>
      <c r="C7746" s="2" t="str">
        <f t="shared" si="301"/>
        <v>PC</v>
      </c>
      <c r="D7746" s="7">
        <v>600</v>
      </c>
      <c r="E7746" s="3">
        <v>8</v>
      </c>
      <c r="F7746" s="3">
        <v>8</v>
      </c>
      <c r="G7746" t="s">
        <v>514</v>
      </c>
    </row>
    <row r="7747" spans="1:7" x14ac:dyDescent="0.25">
      <c r="A7747" s="1" t="str">
        <f>"512151"</f>
        <v>512151</v>
      </c>
      <c r="B7747" s="2" t="str">
        <f>"CONTROLADOR TEMP. OMRON E5CN-Q2MT-500"</f>
        <v>CONTROLADOR TEMP. OMRON E5CN-Q2MT-500</v>
      </c>
      <c r="C7747" s="2" t="str">
        <f t="shared" si="301"/>
        <v>PC</v>
      </c>
      <c r="D7747" s="7">
        <v>900</v>
      </c>
      <c r="E7747" s="3">
        <v>11</v>
      </c>
      <c r="F7747" s="3">
        <v>11</v>
      </c>
      <c r="G7747" t="s">
        <v>514</v>
      </c>
    </row>
    <row r="7748" spans="1:7" x14ac:dyDescent="0.25">
      <c r="A7748" s="1" t="str">
        <f>"512340"</f>
        <v>512340</v>
      </c>
      <c r="B7748" s="2" t="str">
        <f>"CONTROLADOR TEMP. OMRON E5EK COM RELE SAIDA"</f>
        <v>CONTROLADOR TEMP. OMRON E5EK COM RELE SAIDA</v>
      </c>
      <c r="C7748" s="2" t="str">
        <f t="shared" si="301"/>
        <v>PC</v>
      </c>
      <c r="D7748" s="7">
        <v>900</v>
      </c>
      <c r="E7748" s="3">
        <v>11</v>
      </c>
      <c r="F7748" s="3">
        <v>11</v>
      </c>
      <c r="G7748" t="s">
        <v>514</v>
      </c>
    </row>
    <row r="7749" spans="1:7" x14ac:dyDescent="0.25">
      <c r="A7749" s="1" t="str">
        <f>"513865"</f>
        <v>513865</v>
      </c>
      <c r="B7749" s="2" t="str">
        <f>"CONTROLADOR TEMP. TIC17RGTI 127/220V"</f>
        <v>CONTROLADOR TEMP. TIC17RGTI 127/220V</v>
      </c>
      <c r="C7749" s="2" t="str">
        <f t="shared" ref="C7749:C7773" si="302">"UN"</f>
        <v>UN</v>
      </c>
      <c r="D7749" s="7">
        <v>99999</v>
      </c>
      <c r="E7749" s="3">
        <v>99</v>
      </c>
      <c r="F7749" s="3">
        <v>99</v>
      </c>
      <c r="G7749" t="s">
        <v>513</v>
      </c>
    </row>
    <row r="7750" spans="1:7" x14ac:dyDescent="0.25">
      <c r="A7750" s="1" t="str">
        <f>"501092"</f>
        <v>501092</v>
      </c>
      <c r="B7750" s="2" t="str">
        <f>"CONTROLADOR TEMPERATURA FH-1 450C-J"</f>
        <v>CONTROLADOR TEMPERATURA FH-1 450C-J</v>
      </c>
      <c r="C7750" s="2" t="str">
        <f t="shared" si="302"/>
        <v>UN</v>
      </c>
      <c r="D7750" s="7">
        <v>600</v>
      </c>
      <c r="E7750" s="3">
        <v>8</v>
      </c>
      <c r="F7750" s="3">
        <v>8</v>
      </c>
      <c r="G7750" t="s">
        <v>512</v>
      </c>
    </row>
    <row r="7751" spans="1:7" x14ac:dyDescent="0.25">
      <c r="A7751" s="1" t="str">
        <f>"503486"</f>
        <v>503486</v>
      </c>
      <c r="B7751" s="2" t="str">
        <f>"CONTROLADOR TEMPERATURA HM 220V 0-200ºC"</f>
        <v>CONTROLADOR TEMPERATURA HM 220V 0-200ºC</v>
      </c>
      <c r="C7751" s="2" t="str">
        <f t="shared" si="302"/>
        <v>UN</v>
      </c>
      <c r="D7751" s="7">
        <v>600</v>
      </c>
      <c r="E7751" s="3">
        <v>8</v>
      </c>
      <c r="F7751" s="3">
        <v>8</v>
      </c>
      <c r="G7751" t="s">
        <v>513</v>
      </c>
    </row>
    <row r="7752" spans="1:7" x14ac:dyDescent="0.25">
      <c r="A7752" s="1" t="str">
        <f>"517615"</f>
        <v>517615</v>
      </c>
      <c r="B7752" s="2" t="str">
        <f>"CONTROLADOR TEMPERATURA MC-2438-201-000 85-264VAC 0 A 400º"</f>
        <v>CONTROLADOR TEMPERATURA MC-2438-201-000 85-264VAC 0 A 400º</v>
      </c>
      <c r="C7752" s="2" t="str">
        <f t="shared" si="302"/>
        <v>UN</v>
      </c>
      <c r="D7752" s="7">
        <v>811</v>
      </c>
      <c r="E7752" s="3">
        <v>8</v>
      </c>
      <c r="F7752" s="3">
        <v>8</v>
      </c>
      <c r="G7752" t="s">
        <v>514</v>
      </c>
    </row>
    <row r="7753" spans="1:7" x14ac:dyDescent="0.25">
      <c r="A7753" s="1" t="str">
        <f>"512084"</f>
        <v>512084</v>
      </c>
      <c r="B7753" s="2" t="str">
        <f>"CONTROLADOR TEMPERATURA MT-511R"</f>
        <v>CONTROLADOR TEMPERATURA MT-511R</v>
      </c>
      <c r="C7753" s="2" t="str">
        <f t="shared" si="302"/>
        <v>UN</v>
      </c>
      <c r="D7753" s="7">
        <v>600</v>
      </c>
      <c r="E7753" s="3">
        <v>8</v>
      </c>
      <c r="F7753" s="3">
        <v>8</v>
      </c>
      <c r="G7753" t="s">
        <v>514</v>
      </c>
    </row>
    <row r="7754" spans="1:7" x14ac:dyDescent="0.25">
      <c r="A7754" s="1" t="str">
        <f>"518672"</f>
        <v>518672</v>
      </c>
      <c r="B7754" s="2" t="str">
        <f>"CONTROLADOR TEMPERATURA MT-512E"</f>
        <v>CONTROLADOR TEMPERATURA MT-512E</v>
      </c>
      <c r="C7754" s="2" t="str">
        <f t="shared" si="302"/>
        <v>UN</v>
      </c>
      <c r="D7754" s="7">
        <v>600</v>
      </c>
      <c r="E7754" s="3">
        <v>8</v>
      </c>
      <c r="F7754" s="3">
        <v>8</v>
      </c>
      <c r="G7754" t="s">
        <v>514</v>
      </c>
    </row>
    <row r="7755" spans="1:7" x14ac:dyDescent="0.25">
      <c r="A7755" s="1" t="str">
        <f>"518081"</f>
        <v>518081</v>
      </c>
      <c r="B7755" s="2" t="str">
        <f>"CONTROLADOR TEMPERATURA MT-516 E"</f>
        <v>CONTROLADOR TEMPERATURA MT-516 E</v>
      </c>
      <c r="C7755" s="2" t="str">
        <f t="shared" si="302"/>
        <v>UN</v>
      </c>
      <c r="D7755" s="7">
        <v>811</v>
      </c>
      <c r="E7755" s="3">
        <v>8</v>
      </c>
      <c r="F7755" s="3">
        <v>8</v>
      </c>
      <c r="G7755" t="s">
        <v>513</v>
      </c>
    </row>
    <row r="7756" spans="1:7" x14ac:dyDescent="0.25">
      <c r="A7756" s="1" t="str">
        <f>"511381"</f>
        <v>511381</v>
      </c>
      <c r="B7756" s="2" t="str">
        <f>"CONTROLADOR TEMPERATURA MT-516CVT/09"</f>
        <v>CONTROLADOR TEMPERATURA MT-516CVT/09</v>
      </c>
      <c r="C7756" s="2" t="str">
        <f t="shared" si="302"/>
        <v>UN</v>
      </c>
      <c r="D7756" s="7">
        <v>600</v>
      </c>
      <c r="E7756" s="3">
        <v>8</v>
      </c>
      <c r="F7756" s="3">
        <v>8</v>
      </c>
      <c r="G7756" t="s">
        <v>513</v>
      </c>
    </row>
    <row r="7757" spans="1:7" x14ac:dyDescent="0.25">
      <c r="A7757" s="1" t="str">
        <f>"510338"</f>
        <v>510338</v>
      </c>
      <c r="B7757" s="2" t="str">
        <f>"CONTROLADOR TEMPERATURA MT-516R 2 RELES"</f>
        <v>CONTROLADOR TEMPERATURA MT-516R 2 RELES</v>
      </c>
      <c r="C7757" s="2" t="str">
        <f t="shared" si="302"/>
        <v>UN</v>
      </c>
      <c r="D7757" s="7">
        <v>600</v>
      </c>
      <c r="E7757" s="3">
        <v>8</v>
      </c>
      <c r="F7757" s="3">
        <v>8</v>
      </c>
      <c r="G7757" t="s">
        <v>513</v>
      </c>
    </row>
    <row r="7758" spans="1:7" x14ac:dyDescent="0.25">
      <c r="A7758" s="1" t="str">
        <f>"516148"</f>
        <v>516148</v>
      </c>
      <c r="B7758" s="2" t="str">
        <f>"CONTROLADOR TEMPERATURA MT-543 RI PLUS FULL GAUGE"</f>
        <v>CONTROLADOR TEMPERATURA MT-543 RI PLUS FULL GAUGE</v>
      </c>
      <c r="C7758" s="2" t="str">
        <f t="shared" si="302"/>
        <v>UN</v>
      </c>
      <c r="D7758" s="7">
        <v>900</v>
      </c>
      <c r="E7758" s="3">
        <v>11</v>
      </c>
      <c r="F7758" s="3">
        <v>11</v>
      </c>
      <c r="G7758" t="s">
        <v>512</v>
      </c>
    </row>
    <row r="7759" spans="1:7" x14ac:dyDescent="0.25">
      <c r="A7759" s="1" t="str">
        <f>"517568"</f>
        <v>517568</v>
      </c>
      <c r="B7759" s="2" t="str">
        <f>"CONTROLADOR TEMPERATURA PWR-3200 PLUS"</f>
        <v>CONTROLADOR TEMPERATURA PWR-3200 PLUS</v>
      </c>
      <c r="C7759" s="2" t="str">
        <f t="shared" si="302"/>
        <v>UN</v>
      </c>
      <c r="D7759" s="7">
        <v>900</v>
      </c>
      <c r="E7759" s="3">
        <v>11</v>
      </c>
      <c r="F7759" s="3">
        <v>11</v>
      </c>
      <c r="G7759" t="s">
        <v>513</v>
      </c>
    </row>
    <row r="7760" spans="1:7" x14ac:dyDescent="0.25">
      <c r="A7760" s="1" t="str">
        <f>"517333"</f>
        <v>517333</v>
      </c>
      <c r="B7760" s="2" t="str">
        <f>"CONTROLADOR TEMPERATURA TC900 RI CLOCK"</f>
        <v>CONTROLADOR TEMPERATURA TC900 RI CLOCK</v>
      </c>
      <c r="C7760" s="2" t="str">
        <f t="shared" si="302"/>
        <v>UN</v>
      </c>
      <c r="D7760" s="7">
        <v>811</v>
      </c>
      <c r="E7760" s="3">
        <v>8</v>
      </c>
      <c r="F7760" s="3">
        <v>8</v>
      </c>
      <c r="G7760" t="s">
        <v>514</v>
      </c>
    </row>
    <row r="7761" spans="1:7" x14ac:dyDescent="0.25">
      <c r="A7761" s="1" t="str">
        <f>"517959"</f>
        <v>517959</v>
      </c>
      <c r="B7761" s="2" t="str">
        <f>"CONTROLADOR TEMPERATURA TC900 RI POWER 110/220V"</f>
        <v>CONTROLADOR TEMPERATURA TC900 RI POWER 110/220V</v>
      </c>
      <c r="C7761" s="2" t="str">
        <f t="shared" si="302"/>
        <v>UN</v>
      </c>
      <c r="D7761" s="7">
        <v>811</v>
      </c>
      <c r="E7761" s="3">
        <v>8</v>
      </c>
      <c r="F7761" s="3">
        <v>8</v>
      </c>
      <c r="G7761" t="s">
        <v>515</v>
      </c>
    </row>
    <row r="7762" spans="1:7" x14ac:dyDescent="0.25">
      <c r="A7762" s="1" t="str">
        <f>"511292"</f>
        <v>511292</v>
      </c>
      <c r="B7762" s="2" t="str">
        <f>"CONTROLADOR TEMPERATURA TC940RIL"</f>
        <v>CONTROLADOR TEMPERATURA TC940RIL</v>
      </c>
      <c r="C7762" s="2" t="str">
        <f t="shared" si="302"/>
        <v>UN</v>
      </c>
      <c r="D7762" s="7">
        <v>600</v>
      </c>
      <c r="E7762" s="3">
        <v>8</v>
      </c>
      <c r="F7762" s="3">
        <v>8</v>
      </c>
      <c r="G7762" t="s">
        <v>512</v>
      </c>
    </row>
    <row r="7763" spans="1:7" x14ac:dyDescent="0.25">
      <c r="A7763" s="1" t="str">
        <f>"502142"</f>
        <v>502142</v>
      </c>
      <c r="B7763" s="2" t="str">
        <f>"CONTROLADOR TEMPERATURA TLJ-29 + SONDA"</f>
        <v>CONTROLADOR TEMPERATURA TLJ-29 + SONDA</v>
      </c>
      <c r="C7763" s="2" t="str">
        <f t="shared" si="302"/>
        <v>UN</v>
      </c>
      <c r="D7763" s="7">
        <v>600</v>
      </c>
      <c r="E7763" s="3">
        <v>8</v>
      </c>
      <c r="F7763" s="3">
        <v>8</v>
      </c>
      <c r="G7763" t="s">
        <v>516</v>
      </c>
    </row>
    <row r="7764" spans="1:7" x14ac:dyDescent="0.25">
      <c r="A7764" s="1" t="str">
        <f>"510971"</f>
        <v>510971</v>
      </c>
      <c r="B7764" s="2" t="str">
        <f>"CONTROLADOR TEMPERATURA TLK38HCRR 220V"</f>
        <v>CONTROLADOR TEMPERATURA TLK38HCRR 220V</v>
      </c>
      <c r="C7764" s="2" t="str">
        <f t="shared" si="302"/>
        <v>UN</v>
      </c>
      <c r="D7764" s="7">
        <v>900</v>
      </c>
      <c r="E7764" s="3">
        <v>11</v>
      </c>
      <c r="F7764" s="3">
        <v>11</v>
      </c>
      <c r="G7764" t="s">
        <v>515</v>
      </c>
    </row>
    <row r="7765" spans="1:7" x14ac:dyDescent="0.25">
      <c r="A7765" s="1" t="str">
        <f>"503536"</f>
        <v>503536</v>
      </c>
      <c r="B7765" s="2" t="str">
        <f>"CONTROLADOR TEMPERATURA UWH 2000 220V"</f>
        <v>CONTROLADOR TEMPERATURA UWH 2000 220V</v>
      </c>
      <c r="C7765" s="2" t="str">
        <f t="shared" si="302"/>
        <v>UN</v>
      </c>
      <c r="D7765" s="7">
        <v>900</v>
      </c>
      <c r="E7765" s="3">
        <v>11</v>
      </c>
      <c r="F7765" s="3">
        <v>11</v>
      </c>
      <c r="G7765" t="s">
        <v>514</v>
      </c>
    </row>
    <row r="7766" spans="1:7" x14ac:dyDescent="0.25">
      <c r="A7766" s="1" t="str">
        <f>"516915"</f>
        <v>516915</v>
      </c>
      <c r="B7766" s="2" t="str">
        <f>"CONTROLADOR TEMPERTURA DIGI MEC FHMB-2215 20-60VCC/18-48VCA"</f>
        <v>CONTROLADOR TEMPERTURA DIGI MEC FHMB-2215 20-60VCC/18-48VCA</v>
      </c>
      <c r="C7766" s="2" t="str">
        <f t="shared" si="302"/>
        <v>UN</v>
      </c>
      <c r="D7766" s="7">
        <v>900</v>
      </c>
      <c r="E7766" s="3">
        <v>8</v>
      </c>
      <c r="F7766" s="3">
        <v>8</v>
      </c>
      <c r="G7766" t="s">
        <v>512</v>
      </c>
    </row>
    <row r="7767" spans="1:7" x14ac:dyDescent="0.25">
      <c r="A7767" s="1" t="str">
        <f>"524373"</f>
        <v>524373</v>
      </c>
      <c r="B7767" s="2" t="str">
        <f>"CONTROLADOR TEMPERTURA DIGI MEC FHME-102 220V"</f>
        <v>CONTROLADOR TEMPERTURA DIGI MEC FHME-102 220V</v>
      </c>
      <c r="C7767" s="2" t="str">
        <f t="shared" si="302"/>
        <v>UN</v>
      </c>
      <c r="D7767" s="7">
        <v>900</v>
      </c>
      <c r="E7767" s="3">
        <v>11</v>
      </c>
      <c r="F7767" s="3">
        <v>11</v>
      </c>
      <c r="G7767" t="s">
        <v>513</v>
      </c>
    </row>
    <row r="7768" spans="1:7" x14ac:dyDescent="0.25">
      <c r="A7768" s="1" t="str">
        <f>"520527"</f>
        <v>520527</v>
      </c>
      <c r="B7768" s="2" t="str">
        <f>"CONTROLADOR WEG CLW - 02/20HR - D 3"</f>
        <v>CONTROLADOR WEG CLW - 02/20HR - D 3</v>
      </c>
      <c r="C7768" s="2" t="str">
        <f t="shared" si="302"/>
        <v>UN</v>
      </c>
      <c r="D7768" s="7">
        <v>600</v>
      </c>
      <c r="E7768" s="3">
        <v>10</v>
      </c>
      <c r="F7768" s="3">
        <v>10</v>
      </c>
      <c r="G7768" t="s">
        <v>514</v>
      </c>
    </row>
    <row r="7769" spans="1:7" x14ac:dyDescent="0.25">
      <c r="A7769" s="1" t="str">
        <f>"517844"</f>
        <v>517844</v>
      </c>
      <c r="B7769" s="2" t="str">
        <f>"CONTROLADOR WEST MOD. P6100+3117 002"</f>
        <v>CONTROLADOR WEST MOD. P6100+3117 002</v>
      </c>
      <c r="C7769" s="2" t="str">
        <f t="shared" si="302"/>
        <v>UN</v>
      </c>
      <c r="D7769" s="7">
        <v>811</v>
      </c>
      <c r="E7769" s="3">
        <v>8</v>
      </c>
      <c r="F7769" s="3">
        <v>8</v>
      </c>
      <c r="G7769" t="s">
        <v>514</v>
      </c>
    </row>
    <row r="7770" spans="1:7" x14ac:dyDescent="0.25">
      <c r="A7770" s="1" t="str">
        <f>"516091"</f>
        <v>516091</v>
      </c>
      <c r="B7770" s="2" t="str">
        <f>"CONTROLADOR WEST MOD. P6100+31179+002"</f>
        <v>CONTROLADOR WEST MOD. P6100+31179+002</v>
      </c>
      <c r="C7770" s="2" t="str">
        <f t="shared" si="302"/>
        <v>UN</v>
      </c>
      <c r="D7770" s="7">
        <v>812</v>
      </c>
      <c r="E7770" s="3">
        <v>11</v>
      </c>
      <c r="F7770" s="3">
        <v>11</v>
      </c>
      <c r="G7770" t="s">
        <v>512</v>
      </c>
    </row>
    <row r="7771" spans="1:7" x14ac:dyDescent="0.25">
      <c r="A7771" s="1" t="str">
        <f>"509339"</f>
        <v>509339</v>
      </c>
      <c r="B7771" s="2" t="str">
        <f>"CONTROLE AS433 JFL"</f>
        <v>CONTROLE AS433 JFL</v>
      </c>
      <c r="C7771" s="2" t="str">
        <f t="shared" si="302"/>
        <v>UN</v>
      </c>
      <c r="D7771" s="7">
        <v>600</v>
      </c>
      <c r="E7771" s="3">
        <v>8</v>
      </c>
      <c r="F7771" s="3">
        <v>8</v>
      </c>
      <c r="G7771" t="s">
        <v>513</v>
      </c>
    </row>
    <row r="7772" spans="1:7" x14ac:dyDescent="0.25">
      <c r="A7772" s="1" t="str">
        <f>"506135"</f>
        <v>506135</v>
      </c>
      <c r="B7772" s="2" t="str">
        <f>"CONTROLE CABINE"</f>
        <v>CONTROLE CABINE</v>
      </c>
      <c r="C7772" s="2" t="str">
        <f t="shared" si="302"/>
        <v>UN</v>
      </c>
      <c r="D7772" s="7">
        <v>704</v>
      </c>
      <c r="E7772" s="3">
        <v>9</v>
      </c>
      <c r="F7772" s="3">
        <v>9</v>
      </c>
      <c r="G7772" t="s">
        <v>514</v>
      </c>
    </row>
    <row r="7773" spans="1:7" x14ac:dyDescent="0.25">
      <c r="A7773" s="1" t="str">
        <f>"514982"</f>
        <v>514982</v>
      </c>
      <c r="B7773" s="2" t="str">
        <f>"CONTROLE CHECK LIST BIBI BITIS"</f>
        <v>CONTROLE CHECK LIST BIBI BITIS</v>
      </c>
      <c r="C7773" s="2" t="str">
        <f t="shared" si="302"/>
        <v>UN</v>
      </c>
      <c r="D7773" s="7">
        <v>401</v>
      </c>
      <c r="E7773" s="3">
        <v>4</v>
      </c>
      <c r="F7773" s="3">
        <v>4</v>
      </c>
      <c r="G7773" t="s">
        <v>514</v>
      </c>
    </row>
    <row r="7774" spans="1:7" x14ac:dyDescent="0.25">
      <c r="A7774" s="1" t="str">
        <f>"3516"</f>
        <v>3516</v>
      </c>
      <c r="B7774" s="2" t="str">
        <f>"CONTROLE CHECK-LIST BANDEJA E PETIT 1X0"</f>
        <v>CONTROLE CHECK-LIST BANDEJA E PETIT 1X0</v>
      </c>
      <c r="C7774" s="2" t="str">
        <f t="shared" ref="C7774:C7783" si="303">"PC"</f>
        <v>PC</v>
      </c>
      <c r="D7774" s="7">
        <v>401</v>
      </c>
      <c r="E7774" s="3">
        <v>4</v>
      </c>
      <c r="F7774" s="3">
        <v>4</v>
      </c>
      <c r="G7774" t="s">
        <v>514</v>
      </c>
    </row>
    <row r="7775" spans="1:7" x14ac:dyDescent="0.25">
      <c r="A7775" s="1" t="str">
        <f>"3515"</f>
        <v>3515</v>
      </c>
      <c r="B7775" s="2" t="str">
        <f>"CONTROLE CHECK-LIST DE COPO 1X0"</f>
        <v>CONTROLE CHECK-LIST DE COPO 1X0</v>
      </c>
      <c r="C7775" s="2" t="str">
        <f t="shared" si="303"/>
        <v>PC</v>
      </c>
      <c r="D7775" s="7">
        <v>401</v>
      </c>
      <c r="E7775" s="3">
        <v>4</v>
      </c>
      <c r="F7775" s="3">
        <v>4</v>
      </c>
      <c r="G7775" t="s">
        <v>513</v>
      </c>
    </row>
    <row r="7776" spans="1:7" x14ac:dyDescent="0.25">
      <c r="A7776" s="1" t="str">
        <f>"6611"</f>
        <v>6611</v>
      </c>
      <c r="B7776" s="2" t="str">
        <f>"CONTROLE CHECK-LIST DIARIO"</f>
        <v>CONTROLE CHECK-LIST DIARIO</v>
      </c>
      <c r="C7776" s="2" t="str">
        <f t="shared" si="303"/>
        <v>PC</v>
      </c>
      <c r="D7776" s="7">
        <v>401</v>
      </c>
      <c r="E7776" s="3">
        <v>4</v>
      </c>
      <c r="F7776" s="3">
        <v>4</v>
      </c>
      <c r="G7776" t="s">
        <v>512</v>
      </c>
    </row>
    <row r="7777" spans="1:7" x14ac:dyDescent="0.25">
      <c r="A7777" s="1" t="str">
        <f>"515129"</f>
        <v>515129</v>
      </c>
      <c r="B7777" s="2" t="str">
        <f>"CONTROLE CHECK-LIST FERMENTADO 1X0"</f>
        <v>CONTROLE CHECK-LIST FERMENTADO 1X0</v>
      </c>
      <c r="C7777" s="2" t="str">
        <f t="shared" si="303"/>
        <v>PC</v>
      </c>
      <c r="D7777" s="7">
        <v>401</v>
      </c>
      <c r="E7777" s="3">
        <v>4</v>
      </c>
      <c r="F7777" s="3">
        <v>4</v>
      </c>
      <c r="G7777" t="s">
        <v>513</v>
      </c>
    </row>
    <row r="7778" spans="1:7" x14ac:dyDescent="0.25">
      <c r="A7778" s="1" t="str">
        <f>"3519"</f>
        <v>3519</v>
      </c>
      <c r="B7778" s="2" t="str">
        <f>"CONTROLE CHECK-LIST FRASCO GRANDE 1X0"</f>
        <v>CONTROLE CHECK-LIST FRASCO GRANDE 1X0</v>
      </c>
      <c r="C7778" s="2" t="str">
        <f t="shared" si="303"/>
        <v>PC</v>
      </c>
      <c r="D7778" s="7">
        <v>401</v>
      </c>
      <c r="E7778" s="3">
        <v>4</v>
      </c>
      <c r="F7778" s="3">
        <v>4</v>
      </c>
      <c r="G7778" t="s">
        <v>514</v>
      </c>
    </row>
    <row r="7779" spans="1:7" x14ac:dyDescent="0.25">
      <c r="A7779" s="1" t="str">
        <f>"3518"</f>
        <v>3518</v>
      </c>
      <c r="B7779" s="2" t="str">
        <f>"CONTROLE CHECK-LIST FRASCO PEQUENO 1X0"</f>
        <v>CONTROLE CHECK-LIST FRASCO PEQUENO 1X0</v>
      </c>
      <c r="C7779" s="2" t="str">
        <f t="shared" si="303"/>
        <v>PC</v>
      </c>
      <c r="D7779" s="7">
        <v>401</v>
      </c>
      <c r="E7779" s="3">
        <v>4</v>
      </c>
      <c r="F7779" s="3">
        <v>4</v>
      </c>
      <c r="G7779" t="s">
        <v>514</v>
      </c>
    </row>
    <row r="7780" spans="1:7" x14ac:dyDescent="0.25">
      <c r="A7780" s="1" t="str">
        <f>"6046"</f>
        <v>6046</v>
      </c>
      <c r="B7780" s="2" t="str">
        <f>"CONTROLE CHECK-LIST OCORRENCIA ENTREGA"</f>
        <v>CONTROLE CHECK-LIST OCORRENCIA ENTREGA</v>
      </c>
      <c r="C7780" s="2" t="str">
        <f t="shared" si="303"/>
        <v>PC</v>
      </c>
      <c r="D7780" s="7">
        <v>401</v>
      </c>
      <c r="E7780" s="3">
        <v>4</v>
      </c>
      <c r="F7780" s="3">
        <v>4</v>
      </c>
      <c r="G7780" t="s">
        <v>514</v>
      </c>
    </row>
    <row r="7781" spans="1:7" x14ac:dyDescent="0.25">
      <c r="A7781" s="1" t="str">
        <f>"3521"</f>
        <v>3521</v>
      </c>
      <c r="B7781" s="2" t="str">
        <f>"CONTROLE CHECK-LIST ORDEM DE SERVIÇO"</f>
        <v>CONTROLE CHECK-LIST ORDEM DE SERVIÇO</v>
      </c>
      <c r="C7781" s="2" t="str">
        <f t="shared" si="303"/>
        <v>PC</v>
      </c>
      <c r="D7781" s="7">
        <v>401</v>
      </c>
      <c r="E7781" s="3">
        <v>4</v>
      </c>
      <c r="F7781" s="3">
        <v>4</v>
      </c>
      <c r="G7781" t="s">
        <v>513</v>
      </c>
    </row>
    <row r="7782" spans="1:7" x14ac:dyDescent="0.25">
      <c r="A7782" s="1" t="str">
        <f>"3517"</f>
        <v>3517</v>
      </c>
      <c r="B7782" s="2" t="str">
        <f>"CONTROLE CHECK-LIST SAQUINHO 1X0"</f>
        <v>CONTROLE CHECK-LIST SAQUINHO 1X0</v>
      </c>
      <c r="C7782" s="2" t="str">
        <f t="shared" si="303"/>
        <v>PC</v>
      </c>
      <c r="D7782" s="7">
        <v>401</v>
      </c>
      <c r="E7782" s="3">
        <v>4</v>
      </c>
      <c r="F7782" s="3">
        <v>4</v>
      </c>
      <c r="G7782" t="s">
        <v>513</v>
      </c>
    </row>
    <row r="7783" spans="1:7" x14ac:dyDescent="0.25">
      <c r="A7783" s="1" t="str">
        <f>"6381"</f>
        <v>6381</v>
      </c>
      <c r="B7783" s="2" t="str">
        <f>"CONTROLE CHECK-LIST VEICULOS"</f>
        <v>CONTROLE CHECK-LIST VEICULOS</v>
      </c>
      <c r="C7783" s="2" t="str">
        <f t="shared" si="303"/>
        <v>PC</v>
      </c>
      <c r="D7783" s="7">
        <v>401</v>
      </c>
      <c r="E7783" s="3">
        <v>4</v>
      </c>
      <c r="F7783" s="3">
        <v>4</v>
      </c>
      <c r="G7783" t="s">
        <v>513</v>
      </c>
    </row>
    <row r="7784" spans="1:7" x14ac:dyDescent="0.25">
      <c r="A7784" s="1" t="str">
        <f>"513397"</f>
        <v>513397</v>
      </c>
      <c r="B7784" s="2" t="str">
        <f>"CONTROLE DE AR"</f>
        <v>CONTROLE DE AR</v>
      </c>
      <c r="C7784" s="2" t="str">
        <f>"UN"</f>
        <v>UN</v>
      </c>
      <c r="D7784" s="7">
        <v>704</v>
      </c>
      <c r="E7784" s="3">
        <v>9</v>
      </c>
      <c r="F7784" s="3">
        <v>9</v>
      </c>
      <c r="G7784" t="s">
        <v>512</v>
      </c>
    </row>
    <row r="7785" spans="1:7" x14ac:dyDescent="0.25">
      <c r="A7785" s="1" t="str">
        <f>"501089"</f>
        <v>501089</v>
      </c>
      <c r="B7785" s="2" t="str">
        <f>"CONTROLE DE NIVEL 3UG09 40-0AM071 220V"</f>
        <v>CONTROLE DE NIVEL 3UG09 40-0AM071 220V</v>
      </c>
      <c r="C7785" s="2" t="str">
        <f>"UN"</f>
        <v>UN</v>
      </c>
      <c r="D7785" s="7">
        <v>600</v>
      </c>
      <c r="E7785" s="3">
        <v>8</v>
      </c>
      <c r="F7785" s="3">
        <v>8</v>
      </c>
      <c r="G7785" t="s">
        <v>513</v>
      </c>
    </row>
    <row r="7786" spans="1:7" x14ac:dyDescent="0.25">
      <c r="A7786" s="1" t="str">
        <f>"2490"</f>
        <v>2490</v>
      </c>
      <c r="B7786" s="2" t="str">
        <f>"CONTROLE DE PERDAS DE LEITE"</f>
        <v>CONTROLE DE PERDAS DE LEITE</v>
      </c>
      <c r="C7786" s="2" t="str">
        <f>"PC"</f>
        <v>PC</v>
      </c>
      <c r="D7786" s="7">
        <v>401</v>
      </c>
      <c r="E7786" s="3">
        <v>4</v>
      </c>
      <c r="F7786" s="3">
        <v>4</v>
      </c>
      <c r="G7786" t="s">
        <v>514</v>
      </c>
    </row>
    <row r="7787" spans="1:7" x14ac:dyDescent="0.25">
      <c r="A7787" s="1" t="str">
        <f>"5977"</f>
        <v>5977</v>
      </c>
      <c r="B7787" s="2" t="str">
        <f>"CONTROLE DE PRODUÇAO 50X2"</f>
        <v>CONTROLE DE PRODUÇAO 50X2</v>
      </c>
      <c r="C7787" s="2" t="str">
        <f>"UN"</f>
        <v>UN</v>
      </c>
      <c r="D7787" s="7">
        <v>401</v>
      </c>
      <c r="E7787" s="3">
        <v>4</v>
      </c>
      <c r="F7787" s="3">
        <v>4</v>
      </c>
      <c r="G7787" t="s">
        <v>515</v>
      </c>
    </row>
    <row r="7788" spans="1:7" x14ac:dyDescent="0.25">
      <c r="A7788" s="1" t="str">
        <f>"528000"</f>
        <v>528000</v>
      </c>
      <c r="B7788" s="2" t="str">
        <f>"CONTROLE INVERSOR SINAMICS CU240E-2PN  6SL3244-0BB12-1FA0"</f>
        <v>CONTROLE INVERSOR SINAMICS CU240E-2PN  6SL3244-0BB12-1FA0</v>
      </c>
      <c r="C7788" s="2" t="str">
        <f>"UN"</f>
        <v>UN</v>
      </c>
      <c r="D7788" s="7">
        <v>600</v>
      </c>
      <c r="E7788" s="3">
        <v>8</v>
      </c>
      <c r="F7788" s="3">
        <v>8</v>
      </c>
      <c r="G7788" t="s">
        <v>512</v>
      </c>
    </row>
    <row r="7789" spans="1:7" x14ac:dyDescent="0.25">
      <c r="A7789" s="1" t="str">
        <f>"510624"</f>
        <v>510624</v>
      </c>
      <c r="B7789" s="2" t="str">
        <f>"CONTROLE LEITE F 1-6 FXV"</f>
        <v>CONTROLE LEITE F 1-6 FXV</v>
      </c>
      <c r="C7789" s="2" t="str">
        <f>"UN"</f>
        <v>UN</v>
      </c>
      <c r="D7789" s="7">
        <v>401</v>
      </c>
      <c r="E7789" s="3">
        <v>4</v>
      </c>
      <c r="F7789" s="3">
        <v>4</v>
      </c>
      <c r="G7789" t="s">
        <v>516</v>
      </c>
    </row>
    <row r="7790" spans="1:7" x14ac:dyDescent="0.25">
      <c r="A7790" s="1" t="str">
        <f>"514269"</f>
        <v>514269</v>
      </c>
      <c r="B7790" s="2" t="str">
        <f>"CONTROLE PECCININ"</f>
        <v>CONTROLE PECCININ</v>
      </c>
      <c r="C7790" s="2" t="str">
        <f>"UN"</f>
        <v>UN</v>
      </c>
      <c r="D7790" s="7">
        <v>811</v>
      </c>
      <c r="E7790" s="3">
        <v>8</v>
      </c>
      <c r="F7790" s="3">
        <v>8</v>
      </c>
      <c r="G7790" t="s">
        <v>515</v>
      </c>
    </row>
    <row r="7791" spans="1:7" x14ac:dyDescent="0.25">
      <c r="A7791" s="1" t="str">
        <f>"3213"</f>
        <v>3213</v>
      </c>
      <c r="B7791" s="2" t="str">
        <f>"CONTROLE PROC. ABASTECIMENTO"</f>
        <v>CONTROLE PROC. ABASTECIMENTO</v>
      </c>
      <c r="C7791" s="2" t="str">
        <f>"PC"</f>
        <v>PC</v>
      </c>
      <c r="D7791" s="7">
        <v>401</v>
      </c>
      <c r="E7791" s="3">
        <v>4</v>
      </c>
      <c r="F7791" s="3">
        <v>4</v>
      </c>
      <c r="G7791" t="s">
        <v>514</v>
      </c>
    </row>
    <row r="7792" spans="1:7" x14ac:dyDescent="0.25">
      <c r="A7792" s="1" t="str">
        <f>"3417"</f>
        <v>3417</v>
      </c>
      <c r="B7792" s="2" t="str">
        <f>"CONTROLE PROC.CHECK LIST LEITE PLATAF."</f>
        <v>CONTROLE PROC.CHECK LIST LEITE PLATAF.</v>
      </c>
      <c r="C7792" s="2" t="str">
        <f t="shared" ref="C7792:C7797" si="304">"UN"</f>
        <v>UN</v>
      </c>
      <c r="D7792" s="7">
        <v>401</v>
      </c>
      <c r="E7792" s="3">
        <v>4</v>
      </c>
      <c r="F7792" s="3">
        <v>4</v>
      </c>
      <c r="G7792" t="s">
        <v>512</v>
      </c>
    </row>
    <row r="7793" spans="1:7" x14ac:dyDescent="0.25">
      <c r="A7793" s="1" t="str">
        <f>"2791"</f>
        <v>2791</v>
      </c>
      <c r="B7793" s="2" t="str">
        <f>"CONTROLE PROC.CHECK LIST PROD. GARRAFAS"</f>
        <v>CONTROLE PROC.CHECK LIST PROD. GARRAFAS</v>
      </c>
      <c r="C7793" s="2" t="str">
        <f t="shared" si="304"/>
        <v>UN</v>
      </c>
      <c r="D7793" s="7">
        <v>401</v>
      </c>
      <c r="E7793" s="3">
        <v>4</v>
      </c>
      <c r="F7793" s="3">
        <v>4</v>
      </c>
      <c r="G7793" t="s">
        <v>513</v>
      </c>
    </row>
    <row r="7794" spans="1:7" x14ac:dyDescent="0.25">
      <c r="A7794" s="1" t="str">
        <f>"3404"</f>
        <v>3404</v>
      </c>
      <c r="B7794" s="2" t="str">
        <f>"CONTROLE PROC.CHECK-LIST DADOS ESTOCAGEM"</f>
        <v>CONTROLE PROC.CHECK-LIST DADOS ESTOCAGEM</v>
      </c>
      <c r="C7794" s="2" t="str">
        <f t="shared" si="304"/>
        <v>UN</v>
      </c>
      <c r="D7794" s="7">
        <v>401</v>
      </c>
      <c r="E7794" s="3">
        <v>4</v>
      </c>
      <c r="F7794" s="3">
        <v>4</v>
      </c>
      <c r="G7794" t="s">
        <v>514</v>
      </c>
    </row>
    <row r="7795" spans="1:7" x14ac:dyDescent="0.25">
      <c r="A7795" s="1" t="str">
        <f>"2803"</f>
        <v>2803</v>
      </c>
      <c r="B7795" s="2" t="str">
        <f>"CONTROLE PROC.LEITE A GRANEL(CLG)"</f>
        <v>CONTROLE PROC.LEITE A GRANEL(CLG)</v>
      </c>
      <c r="C7795" s="2" t="str">
        <f t="shared" si="304"/>
        <v>UN</v>
      </c>
      <c r="D7795" s="7">
        <v>401</v>
      </c>
      <c r="E7795" s="3">
        <v>4</v>
      </c>
      <c r="F7795" s="3">
        <v>4</v>
      </c>
      <c r="G7795" t="s">
        <v>514</v>
      </c>
    </row>
    <row r="7796" spans="1:7" x14ac:dyDescent="0.25">
      <c r="A7796" s="1" t="str">
        <f>"3324"</f>
        <v>3324</v>
      </c>
      <c r="B7796" s="2" t="str">
        <f>"CONTROLE PROC.SAIDA (REQUISICOES EPI) 50X2 VIAS 17X10CM"</f>
        <v>CONTROLE PROC.SAIDA (REQUISICOES EPI) 50X2 VIAS 17X10CM</v>
      </c>
      <c r="C7796" s="2" t="str">
        <f t="shared" si="304"/>
        <v>UN</v>
      </c>
      <c r="D7796" s="7">
        <v>401</v>
      </c>
      <c r="E7796" s="3">
        <v>4</v>
      </c>
      <c r="F7796" s="3">
        <v>4</v>
      </c>
      <c r="G7796" t="s">
        <v>512</v>
      </c>
    </row>
    <row r="7797" spans="1:7" x14ac:dyDescent="0.25">
      <c r="A7797" s="1" t="str">
        <f>"3323"</f>
        <v>3323</v>
      </c>
      <c r="B7797" s="2" t="str">
        <f>"CONTROLE PROC.SAIDA (REQUISICOES)"</f>
        <v>CONTROLE PROC.SAIDA (REQUISICOES)</v>
      </c>
      <c r="C7797" s="2" t="str">
        <f t="shared" si="304"/>
        <v>UN</v>
      </c>
      <c r="D7797" s="7">
        <v>401</v>
      </c>
      <c r="E7797" s="3">
        <v>4</v>
      </c>
      <c r="F7797" s="3">
        <v>4</v>
      </c>
      <c r="G7797" t="s">
        <v>513</v>
      </c>
    </row>
    <row r="7798" spans="1:7" x14ac:dyDescent="0.25">
      <c r="A7798" s="1" t="str">
        <f>"512820"</f>
        <v>512820</v>
      </c>
      <c r="B7798" s="2" t="str">
        <f>"CONTROLE RECADOS RECEPÇÃO"</f>
        <v>CONTROLE RECADOS RECEPÇÃO</v>
      </c>
      <c r="C7798" s="2" t="str">
        <f>"PC"</f>
        <v>PC</v>
      </c>
      <c r="D7798" s="7">
        <v>401</v>
      </c>
      <c r="E7798" s="3">
        <v>4</v>
      </c>
      <c r="F7798" s="3">
        <v>4</v>
      </c>
      <c r="G7798" t="s">
        <v>514</v>
      </c>
    </row>
    <row r="7799" spans="1:7" x14ac:dyDescent="0.25">
      <c r="A7799" s="1" t="str">
        <f>"513390"</f>
        <v>513390</v>
      </c>
      <c r="B7799" s="2" t="str">
        <f>"CONTROLE REMOTO - SENSOR"</f>
        <v>CONTROLE REMOTO - SENSOR</v>
      </c>
      <c r="C7799" s="2" t="str">
        <f t="shared" ref="C7799:C7830" si="305">"UN"</f>
        <v>UN</v>
      </c>
      <c r="D7799" s="7">
        <v>811</v>
      </c>
      <c r="E7799" s="3">
        <v>8</v>
      </c>
      <c r="F7799" s="3">
        <v>8</v>
      </c>
      <c r="G7799" t="s">
        <v>514</v>
      </c>
    </row>
    <row r="7800" spans="1:7" x14ac:dyDescent="0.25">
      <c r="A7800" s="1" t="str">
        <f>"518614"</f>
        <v>518614</v>
      </c>
      <c r="B7800" s="2" t="str">
        <f>"CONTROLE REMOTO UNIVERSAL P/ AR CONDICIONADO"</f>
        <v>CONTROLE REMOTO UNIVERSAL P/ AR CONDICIONADO</v>
      </c>
      <c r="C7800" s="2" t="str">
        <f t="shared" si="305"/>
        <v>UN</v>
      </c>
      <c r="D7800" s="7">
        <v>811</v>
      </c>
      <c r="E7800" s="3">
        <v>8</v>
      </c>
      <c r="F7800" s="3">
        <v>8</v>
      </c>
      <c r="G7800" t="s">
        <v>514</v>
      </c>
    </row>
    <row r="7801" spans="1:7" x14ac:dyDescent="0.25">
      <c r="A7801" s="1" t="str">
        <f>"518330"</f>
        <v>518330</v>
      </c>
      <c r="B7801" s="2" t="str">
        <f>"CONVENIO PRODUTOR RURAL"</f>
        <v>CONVENIO PRODUTOR RURAL</v>
      </c>
      <c r="C7801" s="2" t="str">
        <f t="shared" si="305"/>
        <v>UN</v>
      </c>
      <c r="D7801" s="7">
        <v>99999</v>
      </c>
      <c r="E7801" s="3">
        <v>99</v>
      </c>
      <c r="F7801" s="3">
        <v>99</v>
      </c>
      <c r="G7801" t="s">
        <v>513</v>
      </c>
    </row>
    <row r="7802" spans="1:7" x14ac:dyDescent="0.25">
      <c r="A7802" s="1" t="str">
        <f>"506401"</f>
        <v>506401</v>
      </c>
      <c r="B7802" s="2" t="str">
        <f>"CONVERSOR"</f>
        <v>CONVERSOR</v>
      </c>
      <c r="C7802" s="2" t="str">
        <f t="shared" si="305"/>
        <v>UN</v>
      </c>
      <c r="D7802" s="7">
        <v>600</v>
      </c>
      <c r="E7802" s="3">
        <v>8</v>
      </c>
      <c r="F7802" s="3">
        <v>8</v>
      </c>
      <c r="G7802" t="s">
        <v>512</v>
      </c>
    </row>
    <row r="7803" spans="1:7" x14ac:dyDescent="0.25">
      <c r="A7803" s="1" t="str">
        <f>"526979"</f>
        <v>526979</v>
      </c>
      <c r="B7803" s="2" t="str">
        <f>"CONVERSOR CORRENTE 24VDC 50/60HZ-10°C A 60C°IP40 7SEG 3DIGI"</f>
        <v>CONVERSOR CORRENTE 24VDC 50/60HZ-10°C A 60C°IP40 7SEG 3DIGI</v>
      </c>
      <c r="C7803" s="2" t="str">
        <f t="shared" si="305"/>
        <v>UN</v>
      </c>
      <c r="D7803" s="7">
        <v>600</v>
      </c>
      <c r="E7803" s="3">
        <v>8</v>
      </c>
      <c r="F7803" s="3">
        <v>8</v>
      </c>
      <c r="G7803" t="s">
        <v>513</v>
      </c>
    </row>
    <row r="7804" spans="1:7" x14ac:dyDescent="0.25">
      <c r="A7804" s="1" t="str">
        <f>"526139"</f>
        <v>526139</v>
      </c>
      <c r="B7804" s="2" t="str">
        <f>"CONVERSOR DE MIDIA PLANET 802S"</f>
        <v>CONVERSOR DE MIDIA PLANET 802S</v>
      </c>
      <c r="C7804" s="2" t="str">
        <f t="shared" si="305"/>
        <v>UN</v>
      </c>
      <c r="D7804" s="7">
        <v>601</v>
      </c>
      <c r="E7804" s="3">
        <v>8</v>
      </c>
      <c r="F7804" s="3">
        <v>8</v>
      </c>
      <c r="G7804" t="s">
        <v>514</v>
      </c>
    </row>
    <row r="7805" spans="1:7" x14ac:dyDescent="0.25">
      <c r="A7805" s="1" t="str">
        <f>"525171"</f>
        <v>525171</v>
      </c>
      <c r="B7805" s="2" t="str">
        <f>"CONVERSOR DE SINAL DE CELULA DE CARGA WT420"</f>
        <v>CONVERSOR DE SINAL DE CELULA DE CARGA WT420</v>
      </c>
      <c r="C7805" s="2" t="str">
        <f t="shared" si="305"/>
        <v>UN</v>
      </c>
      <c r="D7805" s="7">
        <v>811</v>
      </c>
      <c r="E7805" s="3">
        <v>11</v>
      </c>
      <c r="F7805" s="3">
        <v>11</v>
      </c>
      <c r="G7805" t="s">
        <v>514</v>
      </c>
    </row>
    <row r="7806" spans="1:7" x14ac:dyDescent="0.25">
      <c r="A7806" s="1" t="str">
        <f>"524962"</f>
        <v>524962</v>
      </c>
      <c r="B7806" s="2" t="str">
        <f>"CONVERSOR FREQUENCIA MDX61B0040-5A3-4-00, 6,50 NM,"</f>
        <v>CONVERSOR FREQUENCIA MDX61B0040-5A3-4-00, 6,50 NM,</v>
      </c>
      <c r="C7806" s="2" t="str">
        <f t="shared" si="305"/>
        <v>UN</v>
      </c>
      <c r="D7806" s="7">
        <v>811</v>
      </c>
      <c r="E7806" s="3">
        <v>11</v>
      </c>
      <c r="F7806" s="3">
        <v>11</v>
      </c>
      <c r="G7806" t="s">
        <v>514</v>
      </c>
    </row>
    <row r="7807" spans="1:7" x14ac:dyDescent="0.25">
      <c r="A7807" s="1" t="str">
        <f>"525223"</f>
        <v>525223</v>
      </c>
      <c r="B7807" s="2" t="str">
        <f>"CONVERSOR MDX61B0008-5A3-4-00/DER11B"</f>
        <v>CONVERSOR MDX61B0008-5A3-4-00/DER11B</v>
      </c>
      <c r="C7807" s="2" t="str">
        <f t="shared" si="305"/>
        <v>UN</v>
      </c>
      <c r="D7807" s="7">
        <v>811</v>
      </c>
      <c r="E7807" s="3">
        <v>10</v>
      </c>
      <c r="F7807" s="3">
        <v>10</v>
      </c>
      <c r="G7807" t="s">
        <v>513</v>
      </c>
    </row>
    <row r="7808" spans="1:7" x14ac:dyDescent="0.25">
      <c r="A7808" s="1" t="str">
        <f>"512397"</f>
        <v>512397</v>
      </c>
      <c r="B7808" s="2" t="str">
        <f>"CONVERSOR MIDIA OPTICA 5FP-92 GBIC LCSY"</f>
        <v>CONVERSOR MIDIA OPTICA 5FP-92 GBIC LCSY</v>
      </c>
      <c r="C7808" s="2" t="str">
        <f t="shared" si="305"/>
        <v>UN</v>
      </c>
      <c r="D7808" s="7">
        <v>401</v>
      </c>
      <c r="E7808" s="3">
        <v>4</v>
      </c>
      <c r="F7808" s="3">
        <v>4</v>
      </c>
      <c r="G7808" t="s">
        <v>513</v>
      </c>
    </row>
    <row r="7809" spans="1:7" x14ac:dyDescent="0.25">
      <c r="A7809" s="1" t="str">
        <f>"523466"</f>
        <v>523466</v>
      </c>
      <c r="B7809" s="2" t="str">
        <f>"CONVERSOR MIDIA PLANET 10/100/1000T 1000LXMM 0,55KM SC GT802"</f>
        <v>CONVERSOR MIDIA PLANET 10/100/1000T 1000LXMM 0,55KM SC GT802</v>
      </c>
      <c r="C7809" s="2" t="str">
        <f t="shared" si="305"/>
        <v>UN</v>
      </c>
      <c r="D7809" s="7">
        <v>601</v>
      </c>
      <c r="E7809" s="3">
        <v>8</v>
      </c>
      <c r="F7809" s="3">
        <v>8</v>
      </c>
      <c r="G7809" t="s">
        <v>513</v>
      </c>
    </row>
    <row r="7810" spans="1:7" x14ac:dyDescent="0.25">
      <c r="A7810" s="1" t="str">
        <f>"524595"</f>
        <v>524595</v>
      </c>
      <c r="B7810" s="2" t="str">
        <f>"CONVERSOR SERVOPACK S5 1,5KW 200V - ANALOG./PULSE"</f>
        <v>CONVERSOR SERVOPACK S5 1,5KW 200V - ANALOG./PULSE</v>
      </c>
      <c r="C7810" s="2" t="str">
        <f t="shared" si="305"/>
        <v>UN</v>
      </c>
      <c r="D7810" s="7">
        <v>811</v>
      </c>
      <c r="E7810" s="3">
        <v>10</v>
      </c>
      <c r="F7810" s="3">
        <v>10</v>
      </c>
      <c r="G7810" t="s">
        <v>512</v>
      </c>
    </row>
    <row r="7811" spans="1:7" x14ac:dyDescent="0.25">
      <c r="A7811" s="1" t="str">
        <f>"518674"</f>
        <v>518674</v>
      </c>
      <c r="B7811" s="2" t="str">
        <f>"CONVERTEDOR DE FERRUGEM TF7 500ML"</f>
        <v>CONVERTEDOR DE FERRUGEM TF7 500ML</v>
      </c>
      <c r="C7811" s="2" t="str">
        <f t="shared" si="305"/>
        <v>UN</v>
      </c>
      <c r="D7811" s="7">
        <v>918</v>
      </c>
      <c r="E7811" s="3">
        <v>10</v>
      </c>
      <c r="F7811" s="3">
        <v>10</v>
      </c>
      <c r="G7811" t="s">
        <v>513</v>
      </c>
    </row>
    <row r="7812" spans="1:7" x14ac:dyDescent="0.25">
      <c r="A7812" s="1" t="str">
        <f>"514512"</f>
        <v>514512</v>
      </c>
      <c r="B7812" s="2" t="str">
        <f>"CONVITES"</f>
        <v>CONVITES</v>
      </c>
      <c r="C7812" s="2" t="str">
        <f t="shared" si="305"/>
        <v>UN</v>
      </c>
      <c r="D7812" s="7">
        <v>401</v>
      </c>
      <c r="E7812" s="3">
        <v>4</v>
      </c>
      <c r="F7812" s="3">
        <v>4</v>
      </c>
      <c r="G7812" t="s">
        <v>514</v>
      </c>
    </row>
    <row r="7813" spans="1:7" x14ac:dyDescent="0.25">
      <c r="A7813" s="1" t="str">
        <f>"509492"</f>
        <v>509492</v>
      </c>
      <c r="B7813" s="2" t="str">
        <f>"CONX RT QS 1/4 6 14479803"</f>
        <v>CONX RT QS 1/4 6 14479803</v>
      </c>
      <c r="C7813" s="2" t="str">
        <f t="shared" si="305"/>
        <v>UN</v>
      </c>
      <c r="D7813" s="7">
        <v>913</v>
      </c>
      <c r="E7813" s="3">
        <v>11</v>
      </c>
      <c r="F7813" s="3">
        <v>11</v>
      </c>
      <c r="G7813" t="s">
        <v>515</v>
      </c>
    </row>
    <row r="7814" spans="1:7" x14ac:dyDescent="0.25">
      <c r="A7814" s="1" t="str">
        <f>"517842"</f>
        <v>517842</v>
      </c>
      <c r="B7814" s="2" t="str">
        <f>"COOK 5B GAS 16426985 MESA VIDRO PRETO BIV FISCHER"</f>
        <v>COOK 5B GAS 16426985 MESA VIDRO PRETO BIV FISCHER</v>
      </c>
      <c r="C7814" s="2" t="str">
        <f t="shared" si="305"/>
        <v>UN</v>
      </c>
      <c r="D7814" s="7">
        <v>1500</v>
      </c>
      <c r="E7814" s="3">
        <v>13</v>
      </c>
      <c r="F7814" s="3">
        <v>13</v>
      </c>
      <c r="G7814" t="s">
        <v>512</v>
      </c>
    </row>
    <row r="7815" spans="1:7" x14ac:dyDescent="0.25">
      <c r="A7815" s="1" t="str">
        <f>"515709"</f>
        <v>515709</v>
      </c>
      <c r="B7815" s="2" t="str">
        <f>"COOKIE SENSE"</f>
        <v>COOKIE SENSE</v>
      </c>
      <c r="C7815" s="2" t="str">
        <f t="shared" si="305"/>
        <v>UN</v>
      </c>
      <c r="D7815" s="7">
        <v>401</v>
      </c>
      <c r="E7815" s="3">
        <v>4</v>
      </c>
      <c r="F7815" s="3">
        <v>4</v>
      </c>
      <c r="G7815" t="s">
        <v>516</v>
      </c>
    </row>
    <row r="7816" spans="1:7" x14ac:dyDescent="0.25">
      <c r="A7816" s="1" t="str">
        <f>"523799"</f>
        <v>523799</v>
      </c>
      <c r="B7816" s="2" t="str">
        <f>"COOLER"</f>
        <v>COOLER</v>
      </c>
      <c r="C7816" s="2" t="str">
        <f t="shared" si="305"/>
        <v>UN</v>
      </c>
      <c r="D7816" s="7">
        <v>99999</v>
      </c>
      <c r="E7816" s="3">
        <v>99</v>
      </c>
      <c r="F7816" s="3">
        <v>99</v>
      </c>
      <c r="G7816" t="s">
        <v>515</v>
      </c>
    </row>
    <row r="7817" spans="1:7" x14ac:dyDescent="0.25">
      <c r="A7817" s="1" t="str">
        <f>"519487"</f>
        <v>519487</v>
      </c>
      <c r="B7817" s="2" t="str">
        <f>"COOLER 120MM"</f>
        <v>COOLER 120MM</v>
      </c>
      <c r="C7817" s="2" t="str">
        <f t="shared" si="305"/>
        <v>UN</v>
      </c>
      <c r="D7817" s="7">
        <v>811</v>
      </c>
      <c r="E7817" s="3">
        <v>8</v>
      </c>
      <c r="F7817" s="3">
        <v>8</v>
      </c>
      <c r="G7817" t="s">
        <v>514</v>
      </c>
    </row>
    <row r="7818" spans="1:7" x14ac:dyDescent="0.25">
      <c r="A7818" s="1" t="str">
        <f>"520829"</f>
        <v>520829</v>
      </c>
      <c r="B7818" s="2" t="str">
        <f>"COOLER SPX 250L/H BR-16030004"</f>
        <v>COOLER SPX 250L/H BR-16030004</v>
      </c>
      <c r="C7818" s="2" t="str">
        <f t="shared" si="305"/>
        <v>UN</v>
      </c>
      <c r="D7818" s="7">
        <v>1200</v>
      </c>
      <c r="E7818" s="3">
        <v>13</v>
      </c>
      <c r="F7818" s="3">
        <v>13</v>
      </c>
      <c r="G7818" t="s">
        <v>512</v>
      </c>
    </row>
    <row r="7819" spans="1:7" x14ac:dyDescent="0.25">
      <c r="A7819" s="1" t="str">
        <f>"521265"</f>
        <v>521265</v>
      </c>
      <c r="B7819" s="2" t="str">
        <f>"COPIA DE CHAVE"</f>
        <v>COPIA DE CHAVE</v>
      </c>
      <c r="C7819" s="2" t="str">
        <f t="shared" si="305"/>
        <v>UN</v>
      </c>
      <c r="D7819" s="7">
        <v>99999</v>
      </c>
      <c r="E7819" s="3">
        <v>99</v>
      </c>
      <c r="F7819" s="3">
        <v>99</v>
      </c>
      <c r="G7819" t="s">
        <v>513</v>
      </c>
    </row>
    <row r="7820" spans="1:7" x14ac:dyDescent="0.25">
      <c r="A7820" s="1" t="str">
        <f>"524980"</f>
        <v>524980</v>
      </c>
      <c r="B7820" s="2" t="str">
        <f>"COPILHA B2-04005"</f>
        <v>COPILHA B2-04005</v>
      </c>
      <c r="C7820" s="2" t="str">
        <f t="shared" si="305"/>
        <v>UN</v>
      </c>
      <c r="D7820" s="7">
        <v>811</v>
      </c>
      <c r="E7820" s="3">
        <v>11</v>
      </c>
      <c r="F7820" s="3">
        <v>11</v>
      </c>
      <c r="G7820" t="s">
        <v>514</v>
      </c>
    </row>
    <row r="7821" spans="1:7" x14ac:dyDescent="0.25">
      <c r="A7821" s="1" t="str">
        <f>"6616"</f>
        <v>6616</v>
      </c>
      <c r="B7821" s="2" t="str">
        <f>"COPO 100GR  ROT. PED.FR. VERM (CAROLINA)"</f>
        <v>COPO 100GR  ROT. PED.FR. VERM (CAROLINA)</v>
      </c>
      <c r="C7821" s="2" t="str">
        <f t="shared" si="305"/>
        <v>UN</v>
      </c>
      <c r="D7821" s="7">
        <v>103</v>
      </c>
      <c r="E7821" s="3">
        <v>1</v>
      </c>
      <c r="F7821" s="3">
        <v>1</v>
      </c>
      <c r="G7821" t="s">
        <v>514</v>
      </c>
    </row>
    <row r="7822" spans="1:7" x14ac:dyDescent="0.25">
      <c r="A7822" s="1" t="str">
        <f>"6629"</f>
        <v>6629</v>
      </c>
      <c r="B7822" s="2" t="str">
        <f>"COPO 100GR  ROT. PED.FR. VERM (DIA%)"</f>
        <v>COPO 100GR  ROT. PED.FR. VERM (DIA%)</v>
      </c>
      <c r="C7822" s="2" t="str">
        <f t="shared" si="305"/>
        <v>UN</v>
      </c>
      <c r="D7822" s="7">
        <v>103</v>
      </c>
      <c r="E7822" s="3">
        <v>1</v>
      </c>
      <c r="F7822" s="3">
        <v>1</v>
      </c>
      <c r="G7822" t="s">
        <v>512</v>
      </c>
    </row>
    <row r="7823" spans="1:7" x14ac:dyDescent="0.25">
      <c r="A7823" s="1" t="str">
        <f>"4184"</f>
        <v>4184</v>
      </c>
      <c r="B7823" s="2" t="str">
        <f>"COPO 100GR ROT. PED. ACAI C/MORANGO (CAROLINA)"</f>
        <v>COPO 100GR ROT. PED. ACAI C/MORANGO (CAROLINA)</v>
      </c>
      <c r="C7823" s="2" t="str">
        <f t="shared" si="305"/>
        <v>UN</v>
      </c>
      <c r="D7823" s="7">
        <v>103</v>
      </c>
      <c r="E7823" s="3">
        <v>1</v>
      </c>
      <c r="F7823" s="3">
        <v>1</v>
      </c>
      <c r="G7823" t="s">
        <v>513</v>
      </c>
    </row>
    <row r="7824" spans="1:7" x14ac:dyDescent="0.25">
      <c r="A7824" s="1" t="str">
        <f>"4183"</f>
        <v>4183</v>
      </c>
      <c r="B7824" s="2" t="str">
        <f>"COPO 100GR ROT. PED.BLUEBERRY C/AMORA (CAROLINA)"</f>
        <v>COPO 100GR ROT. PED.BLUEBERRY C/AMORA (CAROLINA)</v>
      </c>
      <c r="C7824" s="2" t="str">
        <f t="shared" si="305"/>
        <v>UN</v>
      </c>
      <c r="D7824" s="7">
        <v>103</v>
      </c>
      <c r="E7824" s="3">
        <v>1</v>
      </c>
      <c r="F7824" s="3">
        <v>1</v>
      </c>
      <c r="G7824" t="s">
        <v>514</v>
      </c>
    </row>
    <row r="7825" spans="1:7" x14ac:dyDescent="0.25">
      <c r="A7825" s="1" t="str">
        <f>"6627"</f>
        <v>6627</v>
      </c>
      <c r="B7825" s="2" t="str">
        <f>"COPO 100GR ROT. PED.FRUTAS ABA/COCO (CAROLINA)"</f>
        <v>COPO 100GR ROT. PED.FRUTAS ABA/COCO (CAROLINA)</v>
      </c>
      <c r="C7825" s="2" t="str">
        <f t="shared" si="305"/>
        <v>UN</v>
      </c>
      <c r="D7825" s="7">
        <v>103</v>
      </c>
      <c r="E7825" s="3">
        <v>1</v>
      </c>
      <c r="F7825" s="3">
        <v>1</v>
      </c>
      <c r="G7825" t="s">
        <v>514</v>
      </c>
    </row>
    <row r="7826" spans="1:7" x14ac:dyDescent="0.25">
      <c r="A7826" s="1" t="str">
        <f>"6617"</f>
        <v>6617</v>
      </c>
      <c r="B7826" s="2" t="str">
        <f>"COPO 100GR ROT. PED.FRUTAS COCO (CAROLINIA)"</f>
        <v>COPO 100GR ROT. PED.FRUTAS COCO (CAROLINIA)</v>
      </c>
      <c r="C7826" s="2" t="str">
        <f t="shared" si="305"/>
        <v>UN</v>
      </c>
      <c r="D7826" s="7">
        <v>103</v>
      </c>
      <c r="E7826" s="3">
        <v>1</v>
      </c>
      <c r="F7826" s="3">
        <v>1</v>
      </c>
      <c r="G7826" t="s">
        <v>514</v>
      </c>
    </row>
    <row r="7827" spans="1:7" x14ac:dyDescent="0.25">
      <c r="A7827" s="1" t="str">
        <f>"6630"</f>
        <v>6630</v>
      </c>
      <c r="B7827" s="2" t="str">
        <f>"COPO 100GR ROT. PED.FRUTAS COCO (DIA%)"</f>
        <v>COPO 100GR ROT. PED.FRUTAS COCO (DIA%)</v>
      </c>
      <c r="C7827" s="2" t="str">
        <f t="shared" si="305"/>
        <v>UN</v>
      </c>
      <c r="D7827" s="7">
        <v>103</v>
      </c>
      <c r="E7827" s="3">
        <v>1</v>
      </c>
      <c r="F7827" s="3">
        <v>1</v>
      </c>
      <c r="G7827" t="s">
        <v>513</v>
      </c>
    </row>
    <row r="7828" spans="1:7" x14ac:dyDescent="0.25">
      <c r="A7828" s="1" t="str">
        <f>"6615"</f>
        <v>6615</v>
      </c>
      <c r="B7828" s="2" t="str">
        <f>"COPO 100GR ROT. PED.FRUTAS MOR (CAROLINA)"</f>
        <v>COPO 100GR ROT. PED.FRUTAS MOR (CAROLINA)</v>
      </c>
      <c r="C7828" s="2" t="str">
        <f t="shared" si="305"/>
        <v>UN</v>
      </c>
      <c r="D7828" s="7">
        <v>103</v>
      </c>
      <c r="E7828" s="3">
        <v>1</v>
      </c>
      <c r="F7828" s="3">
        <v>1</v>
      </c>
      <c r="G7828" t="s">
        <v>512</v>
      </c>
    </row>
    <row r="7829" spans="1:7" x14ac:dyDescent="0.25">
      <c r="A7829" s="1" t="str">
        <f>"6628"</f>
        <v>6628</v>
      </c>
      <c r="B7829" s="2" t="str">
        <f>"COPO 100GR ROT. PED.FRUTAS MOR (DIA%)"</f>
        <v>COPO 100GR ROT. PED.FRUTAS MOR (DIA%)</v>
      </c>
      <c r="C7829" s="2" t="str">
        <f t="shared" si="305"/>
        <v>UN</v>
      </c>
      <c r="D7829" s="7">
        <v>103</v>
      </c>
      <c r="E7829" s="3">
        <v>1</v>
      </c>
      <c r="F7829" s="3">
        <v>1</v>
      </c>
      <c r="G7829" t="s">
        <v>513</v>
      </c>
    </row>
    <row r="7830" spans="1:7" x14ac:dyDescent="0.25">
      <c r="A7830" s="1" t="str">
        <f>"4170"</f>
        <v>4170</v>
      </c>
      <c r="B7830" s="2" t="str">
        <f>"COPO 101 X 111 CRISTAL SEM IMPRESSAO- 450GR COM PEDACOS"</f>
        <v>COPO 101 X 111 CRISTAL SEM IMPRESSAO- 450GR COM PEDACOS</v>
      </c>
      <c r="C7830" s="2" t="str">
        <f t="shared" si="305"/>
        <v>UN</v>
      </c>
      <c r="D7830" s="7">
        <v>103</v>
      </c>
      <c r="E7830" s="3">
        <v>1</v>
      </c>
      <c r="F7830" s="3">
        <v>1</v>
      </c>
      <c r="G7830" t="s">
        <v>514</v>
      </c>
    </row>
    <row r="7831" spans="1:7" x14ac:dyDescent="0.25">
      <c r="A7831" s="1" t="str">
        <f>"642"</f>
        <v>642</v>
      </c>
      <c r="B7831" s="2" t="str">
        <f>"COPO 101 X 111 CRISTAL SEM IMPRESSAO-500GR COM PEDACOS"</f>
        <v>COPO 101 X 111 CRISTAL SEM IMPRESSAO-500GR COM PEDACOS</v>
      </c>
      <c r="C7831" s="2" t="str">
        <f t="shared" ref="C7831:C7862" si="306">"UN"</f>
        <v>UN</v>
      </c>
      <c r="D7831" s="7">
        <v>103</v>
      </c>
      <c r="E7831" s="3">
        <v>1</v>
      </c>
      <c r="F7831" s="3">
        <v>1</v>
      </c>
      <c r="G7831" t="s">
        <v>514</v>
      </c>
    </row>
    <row r="7832" spans="1:7" x14ac:dyDescent="0.25">
      <c r="A7832" s="1" t="str">
        <f>"4116"</f>
        <v>4116</v>
      </c>
      <c r="B7832" s="2" t="str">
        <f>"COPO 110GR FRUTAS VERMELHAS DUET (CAROLINA)"</f>
        <v>COPO 110GR FRUTAS VERMELHAS DUET (CAROLINA)</v>
      </c>
      <c r="C7832" s="2" t="str">
        <f t="shared" si="306"/>
        <v>UN</v>
      </c>
      <c r="D7832" s="7">
        <v>103</v>
      </c>
      <c r="E7832" s="3">
        <v>1</v>
      </c>
      <c r="F7832" s="3">
        <v>1</v>
      </c>
      <c r="G7832" t="s">
        <v>514</v>
      </c>
    </row>
    <row r="7833" spans="1:7" x14ac:dyDescent="0.25">
      <c r="A7833" s="1" t="str">
        <f>"4115"</f>
        <v>4115</v>
      </c>
      <c r="B7833" s="2" t="str">
        <f>"COPO 110GR MORANGO DUET (CAROLINA)"</f>
        <v>COPO 110GR MORANGO DUET (CAROLINA)</v>
      </c>
      <c r="C7833" s="2" t="str">
        <f t="shared" si="306"/>
        <v>UN</v>
      </c>
      <c r="D7833" s="7">
        <v>103</v>
      </c>
      <c r="E7833" s="3">
        <v>1</v>
      </c>
      <c r="F7833" s="3">
        <v>1</v>
      </c>
      <c r="G7833" t="s">
        <v>513</v>
      </c>
    </row>
    <row r="7834" spans="1:7" x14ac:dyDescent="0.25">
      <c r="A7834" s="1" t="str">
        <f>"3157"</f>
        <v>3157</v>
      </c>
      <c r="B7834" s="2" t="str">
        <f>"COPO 120GR MORANGO COOP"</f>
        <v>COPO 120GR MORANGO COOP</v>
      </c>
      <c r="C7834" s="2" t="str">
        <f t="shared" si="306"/>
        <v>UN</v>
      </c>
      <c r="D7834" s="7">
        <v>103</v>
      </c>
      <c r="E7834" s="3">
        <v>1</v>
      </c>
      <c r="F7834" s="3">
        <v>1</v>
      </c>
      <c r="G7834" t="s">
        <v>513</v>
      </c>
    </row>
    <row r="7835" spans="1:7" x14ac:dyDescent="0.25">
      <c r="A7835" s="1" t="str">
        <f>"982"</f>
        <v>982</v>
      </c>
      <c r="B7835" s="2" t="str">
        <f>"COPO 130GR AMEIXA DUET (CAROLINA)"</f>
        <v>COPO 130GR AMEIXA DUET (CAROLINA)</v>
      </c>
      <c r="C7835" s="2" t="str">
        <f t="shared" si="306"/>
        <v>UN</v>
      </c>
      <c r="D7835" s="7">
        <v>103</v>
      </c>
      <c r="E7835" s="3">
        <v>1</v>
      </c>
      <c r="F7835" s="3">
        <v>1</v>
      </c>
      <c r="G7835" t="s">
        <v>513</v>
      </c>
    </row>
    <row r="7836" spans="1:7" x14ac:dyDescent="0.25">
      <c r="A7836" s="1" t="str">
        <f>"5995"</f>
        <v>5995</v>
      </c>
      <c r="B7836" s="2" t="str">
        <f>"COPO 130GR FRUTAS AMARELAS DUET (CAROLIN"</f>
        <v>COPO 130GR FRUTAS AMARELAS DUET (CAROLIN</v>
      </c>
      <c r="C7836" s="2" t="str">
        <f t="shared" si="306"/>
        <v>UN</v>
      </c>
      <c r="D7836" s="7">
        <v>103</v>
      </c>
      <c r="E7836" s="3">
        <v>1</v>
      </c>
      <c r="F7836" s="3">
        <v>1</v>
      </c>
      <c r="G7836" t="s">
        <v>512</v>
      </c>
    </row>
    <row r="7837" spans="1:7" x14ac:dyDescent="0.25">
      <c r="A7837" s="1" t="str">
        <f>"5994"</f>
        <v>5994</v>
      </c>
      <c r="B7837" s="2" t="str">
        <f>"COPO 130GR FRUTAS VERMELHAS DUET (CAROLINA)"</f>
        <v>COPO 130GR FRUTAS VERMELHAS DUET (CAROLINA)</v>
      </c>
      <c r="C7837" s="2" t="str">
        <f t="shared" si="306"/>
        <v>UN</v>
      </c>
      <c r="D7837" s="7">
        <v>103</v>
      </c>
      <c r="E7837" s="3">
        <v>1</v>
      </c>
      <c r="F7837" s="3">
        <v>1</v>
      </c>
      <c r="G7837" t="s">
        <v>513</v>
      </c>
    </row>
    <row r="7838" spans="1:7" x14ac:dyDescent="0.25">
      <c r="A7838" s="1" t="str">
        <f>"7158"</f>
        <v>7158</v>
      </c>
      <c r="B7838" s="2" t="str">
        <f>"COPO 130GR MARACUJA DUET (CAROLINA)"</f>
        <v>COPO 130GR MARACUJA DUET (CAROLINA)</v>
      </c>
      <c r="C7838" s="2" t="str">
        <f t="shared" si="306"/>
        <v>UN</v>
      </c>
      <c r="D7838" s="7">
        <v>103</v>
      </c>
      <c r="E7838" s="3">
        <v>1</v>
      </c>
      <c r="F7838" s="3">
        <v>1</v>
      </c>
      <c r="G7838" t="s">
        <v>514</v>
      </c>
    </row>
    <row r="7839" spans="1:7" x14ac:dyDescent="0.25">
      <c r="A7839" s="1" t="str">
        <f>"6579"</f>
        <v>6579</v>
      </c>
      <c r="B7839" s="2" t="str">
        <f>"COPO 130GR MORANGO BIBI BITS (AMARELO)"</f>
        <v>COPO 130GR MORANGO BIBI BITS (AMARELO)</v>
      </c>
      <c r="C7839" s="2" t="str">
        <f t="shared" si="306"/>
        <v>UN</v>
      </c>
      <c r="D7839" s="7">
        <v>103</v>
      </c>
      <c r="E7839" s="3">
        <v>1</v>
      </c>
      <c r="F7839" s="3">
        <v>1</v>
      </c>
      <c r="G7839" t="s">
        <v>515</v>
      </c>
    </row>
    <row r="7840" spans="1:7" x14ac:dyDescent="0.25">
      <c r="A7840" s="1" t="str">
        <f>"6016"</f>
        <v>6016</v>
      </c>
      <c r="B7840" s="2" t="str">
        <f>"COPO 130GR MORANGO BIBI BITS (ROSA)"</f>
        <v>COPO 130GR MORANGO BIBI BITS (ROSA)</v>
      </c>
      <c r="C7840" s="2" t="str">
        <f t="shared" si="306"/>
        <v>UN</v>
      </c>
      <c r="D7840" s="7">
        <v>103</v>
      </c>
      <c r="E7840" s="3">
        <v>1</v>
      </c>
      <c r="F7840" s="3">
        <v>1</v>
      </c>
      <c r="G7840" t="s">
        <v>512</v>
      </c>
    </row>
    <row r="7841" spans="1:7" x14ac:dyDescent="0.25">
      <c r="A7841" s="1" t="str">
        <f>"6420"</f>
        <v>6420</v>
      </c>
      <c r="B7841" s="2" t="str">
        <f>"COPO 130GR MORANGO BOLITAS (DIA%)"</f>
        <v>COPO 130GR MORANGO BOLITAS (DIA%)</v>
      </c>
      <c r="C7841" s="2" t="str">
        <f t="shared" si="306"/>
        <v>UN</v>
      </c>
      <c r="D7841" s="7">
        <v>103</v>
      </c>
      <c r="E7841" s="3">
        <v>1</v>
      </c>
      <c r="F7841" s="3">
        <v>1</v>
      </c>
      <c r="G7841" t="s">
        <v>516</v>
      </c>
    </row>
    <row r="7842" spans="1:7" x14ac:dyDescent="0.25">
      <c r="A7842" s="1" t="str">
        <f>"6422"</f>
        <v>6422</v>
      </c>
      <c r="B7842" s="2" t="str">
        <f>"COPO 130GR MORANGO C/ CONFEITOS CHOC (DIA%)"</f>
        <v>COPO 130GR MORANGO C/ CONFEITOS CHOC (DIA%)</v>
      </c>
      <c r="C7842" s="2" t="str">
        <f t="shared" si="306"/>
        <v>UN</v>
      </c>
      <c r="D7842" s="7">
        <v>103</v>
      </c>
      <c r="E7842" s="3">
        <v>1</v>
      </c>
      <c r="F7842" s="3">
        <v>1</v>
      </c>
      <c r="G7842" t="s">
        <v>515</v>
      </c>
    </row>
    <row r="7843" spans="1:7" x14ac:dyDescent="0.25">
      <c r="A7843" s="1" t="str">
        <f>"5937"</f>
        <v>5937</v>
      </c>
      <c r="B7843" s="2" t="str">
        <f>"COPO 130GR MORANGO DUET (CAROLINA)"</f>
        <v>COPO 130GR MORANGO DUET (CAROLINA)</v>
      </c>
      <c r="C7843" s="2" t="str">
        <f t="shared" si="306"/>
        <v>UN</v>
      </c>
      <c r="D7843" s="7">
        <v>103</v>
      </c>
      <c r="E7843" s="3">
        <v>1</v>
      </c>
      <c r="F7843" s="3">
        <v>1</v>
      </c>
      <c r="G7843" t="s">
        <v>514</v>
      </c>
    </row>
    <row r="7844" spans="1:7" x14ac:dyDescent="0.25">
      <c r="A7844" s="1" t="str">
        <f>"7159"</f>
        <v>7159</v>
      </c>
      <c r="B7844" s="2" t="str">
        <f>"COPO 130GR PERA/FRAMBOESA DUET (CAROLINA)"</f>
        <v>COPO 130GR PERA/FRAMBOESA DUET (CAROLINA)</v>
      </c>
      <c r="C7844" s="2" t="str">
        <f t="shared" si="306"/>
        <v>UN</v>
      </c>
      <c r="D7844" s="7">
        <v>103</v>
      </c>
      <c r="E7844" s="3">
        <v>1</v>
      </c>
      <c r="F7844" s="3">
        <v>1</v>
      </c>
      <c r="G7844" t="s">
        <v>512</v>
      </c>
    </row>
    <row r="7845" spans="1:7" x14ac:dyDescent="0.25">
      <c r="A7845" s="1" t="str">
        <f>"2725"</f>
        <v>2725</v>
      </c>
      <c r="B7845" s="2" t="str">
        <f>"COPO 160GR COALHADA (CAROLINA)"</f>
        <v>COPO 160GR COALHADA (CAROLINA)</v>
      </c>
      <c r="C7845" s="2" t="str">
        <f t="shared" si="306"/>
        <v>UN</v>
      </c>
      <c r="D7845" s="7">
        <v>103</v>
      </c>
      <c r="E7845" s="3">
        <v>1</v>
      </c>
      <c r="F7845" s="3">
        <v>1</v>
      </c>
      <c r="G7845" t="s">
        <v>513</v>
      </c>
    </row>
    <row r="7846" spans="1:7" x14ac:dyDescent="0.25">
      <c r="A7846" s="1" t="str">
        <f>"3704"</f>
        <v>3704</v>
      </c>
      <c r="B7846" s="2" t="str">
        <f>"COPO 160GR COALHADA CAROLINA"</f>
        <v>COPO 160GR COALHADA CAROLINA</v>
      </c>
      <c r="C7846" s="2" t="str">
        <f t="shared" si="306"/>
        <v>UN</v>
      </c>
      <c r="D7846" s="7">
        <v>103</v>
      </c>
      <c r="E7846" s="3">
        <v>1</v>
      </c>
      <c r="F7846" s="3">
        <v>1</v>
      </c>
      <c r="G7846" t="s">
        <v>514</v>
      </c>
    </row>
    <row r="7847" spans="1:7" x14ac:dyDescent="0.25">
      <c r="A7847" s="1" t="str">
        <f>"6130"</f>
        <v>6130</v>
      </c>
      <c r="B7847" s="2" t="str">
        <f>"COPO 160GR COALHADA INTEGRAL (TAEQ)"</f>
        <v>COPO 160GR COALHADA INTEGRAL (TAEQ)</v>
      </c>
      <c r="C7847" s="2" t="str">
        <f t="shared" si="306"/>
        <v>UN</v>
      </c>
      <c r="D7847" s="7">
        <v>103</v>
      </c>
      <c r="E7847" s="3">
        <v>1</v>
      </c>
      <c r="F7847" s="3">
        <v>1</v>
      </c>
      <c r="G7847" t="s">
        <v>514</v>
      </c>
    </row>
    <row r="7848" spans="1:7" x14ac:dyDescent="0.25">
      <c r="A7848" s="1" t="str">
        <f>"6102"</f>
        <v>6102</v>
      </c>
      <c r="B7848" s="2" t="str">
        <f>"COPO 160GR DESN. LARANJA, CENOURA, MEL QUALITA"</f>
        <v>COPO 160GR DESN. LARANJA, CENOURA, MEL QUALITA</v>
      </c>
      <c r="C7848" s="2" t="str">
        <f t="shared" si="306"/>
        <v>UN</v>
      </c>
      <c r="D7848" s="7">
        <v>103</v>
      </c>
      <c r="E7848" s="3">
        <v>1</v>
      </c>
      <c r="F7848" s="3">
        <v>1</v>
      </c>
      <c r="G7848" t="s">
        <v>512</v>
      </c>
    </row>
    <row r="7849" spans="1:7" x14ac:dyDescent="0.25">
      <c r="A7849" s="1" t="str">
        <f>"6090"</f>
        <v>6090</v>
      </c>
      <c r="B7849" s="2" t="str">
        <f>"COPO 160GR DESN. MAÇÃ COM FLOCOS QUALITA"</f>
        <v>COPO 160GR DESN. MAÇÃ COM FLOCOS QUALITA</v>
      </c>
      <c r="C7849" s="2" t="str">
        <f t="shared" si="306"/>
        <v>UN</v>
      </c>
      <c r="D7849" s="7">
        <v>103</v>
      </c>
      <c r="E7849" s="3">
        <v>1</v>
      </c>
      <c r="F7849" s="3">
        <v>1</v>
      </c>
      <c r="G7849" t="s">
        <v>513</v>
      </c>
    </row>
    <row r="7850" spans="1:7" x14ac:dyDescent="0.25">
      <c r="A7850" s="1" t="str">
        <f>"6114"</f>
        <v>6114</v>
      </c>
      <c r="B7850" s="2" t="str">
        <f>"COPO 160GR DESN. MEL QUALITA"</f>
        <v>COPO 160GR DESN. MEL QUALITA</v>
      </c>
      <c r="C7850" s="2" t="str">
        <f t="shared" si="306"/>
        <v>UN</v>
      </c>
      <c r="D7850" s="7">
        <v>103</v>
      </c>
      <c r="E7850" s="3">
        <v>1</v>
      </c>
      <c r="F7850" s="3">
        <v>1</v>
      </c>
      <c r="G7850" t="s">
        <v>514</v>
      </c>
    </row>
    <row r="7851" spans="1:7" x14ac:dyDescent="0.25">
      <c r="A7851" s="1" t="str">
        <f>"2771"</f>
        <v>2771</v>
      </c>
      <c r="B7851" s="2" t="str">
        <f>"COPO 160GR DESNATADO (CAROLINA)"</f>
        <v>COPO 160GR DESNATADO (CAROLINA)</v>
      </c>
      <c r="C7851" s="2" t="str">
        <f t="shared" si="306"/>
        <v>UN</v>
      </c>
      <c r="D7851" s="7">
        <v>103</v>
      </c>
      <c r="E7851" s="3">
        <v>1</v>
      </c>
      <c r="F7851" s="3">
        <v>1</v>
      </c>
      <c r="G7851" t="s">
        <v>514</v>
      </c>
    </row>
    <row r="7852" spans="1:7" x14ac:dyDescent="0.25">
      <c r="A7852" s="1" t="str">
        <f>"3155"</f>
        <v>3155</v>
      </c>
      <c r="B7852" s="2" t="str">
        <f>"COPO 160GR DESNATADO (COOP)"</f>
        <v>COPO 160GR DESNATADO (COOP)</v>
      </c>
      <c r="C7852" s="2" t="str">
        <f t="shared" si="306"/>
        <v>UN</v>
      </c>
      <c r="D7852" s="7">
        <v>103</v>
      </c>
      <c r="E7852" s="3">
        <v>1</v>
      </c>
      <c r="F7852" s="3">
        <v>1</v>
      </c>
      <c r="G7852" t="s">
        <v>514</v>
      </c>
    </row>
    <row r="7853" spans="1:7" x14ac:dyDescent="0.25">
      <c r="A7853" s="1" t="str">
        <f>"6286"</f>
        <v>6286</v>
      </c>
      <c r="B7853" s="2" t="str">
        <f>"COPO 160GR IOG. DESNATADO MEL (TAEQ)"</f>
        <v>COPO 160GR IOG. DESNATADO MEL (TAEQ)</v>
      </c>
      <c r="C7853" s="2" t="str">
        <f t="shared" si="306"/>
        <v>UN</v>
      </c>
      <c r="D7853" s="7">
        <v>103</v>
      </c>
      <c r="E7853" s="3">
        <v>1</v>
      </c>
      <c r="F7853" s="3">
        <v>1</v>
      </c>
      <c r="G7853" t="s">
        <v>513</v>
      </c>
    </row>
    <row r="7854" spans="1:7" x14ac:dyDescent="0.25">
      <c r="A7854" s="1" t="str">
        <f>"6316"</f>
        <v>6316</v>
      </c>
      <c r="B7854" s="2" t="str">
        <f>"COPO 160GR IOG. NATURAL DESNATADO (QUALITA)"</f>
        <v>COPO 160GR IOG. NATURAL DESNATADO (QUALITA)</v>
      </c>
      <c r="C7854" s="2" t="str">
        <f t="shared" si="306"/>
        <v>UN</v>
      </c>
      <c r="D7854" s="7">
        <v>103</v>
      </c>
      <c r="E7854" s="3">
        <v>1</v>
      </c>
      <c r="F7854" s="3">
        <v>1</v>
      </c>
      <c r="G7854" t="s">
        <v>512</v>
      </c>
    </row>
    <row r="7855" spans="1:7" x14ac:dyDescent="0.25">
      <c r="A7855" s="1" t="str">
        <f>"6288"</f>
        <v>6288</v>
      </c>
      <c r="B7855" s="2" t="str">
        <f>"COPO 160GR IOG. NATURAL DESNATADO (TAEQ)"</f>
        <v>COPO 160GR IOG. NATURAL DESNATADO (TAEQ)</v>
      </c>
      <c r="C7855" s="2" t="str">
        <f t="shared" si="306"/>
        <v>UN</v>
      </c>
      <c r="D7855" s="7">
        <v>103</v>
      </c>
      <c r="E7855" s="3">
        <v>1</v>
      </c>
      <c r="F7855" s="3">
        <v>1</v>
      </c>
      <c r="G7855" t="s">
        <v>513</v>
      </c>
    </row>
    <row r="7856" spans="1:7" x14ac:dyDescent="0.25">
      <c r="A7856" s="1" t="str">
        <f>"6315"</f>
        <v>6315</v>
      </c>
      <c r="B7856" s="2" t="str">
        <f>"COPO 160GR IOG. NATURAL INTEGRAL (QUALITA)"</f>
        <v>COPO 160GR IOG. NATURAL INTEGRAL (QUALITA)</v>
      </c>
      <c r="C7856" s="2" t="str">
        <f t="shared" si="306"/>
        <v>UN</v>
      </c>
      <c r="D7856" s="7">
        <v>103</v>
      </c>
      <c r="E7856" s="3">
        <v>1</v>
      </c>
      <c r="F7856" s="3">
        <v>1</v>
      </c>
      <c r="G7856" t="s">
        <v>514</v>
      </c>
    </row>
    <row r="7857" spans="1:7" x14ac:dyDescent="0.25">
      <c r="A7857" s="1" t="str">
        <f>"6287"</f>
        <v>6287</v>
      </c>
      <c r="B7857" s="2" t="str">
        <f>"COPO 160GR IOG. NATURAL INTEGRAL (TAEQ)"</f>
        <v>COPO 160GR IOG. NATURAL INTEGRAL (TAEQ)</v>
      </c>
      <c r="C7857" s="2" t="str">
        <f t="shared" si="306"/>
        <v>UN</v>
      </c>
      <c r="D7857" s="7">
        <v>103</v>
      </c>
      <c r="E7857" s="3">
        <v>1</v>
      </c>
      <c r="F7857" s="3">
        <v>1</v>
      </c>
      <c r="G7857" t="s">
        <v>514</v>
      </c>
    </row>
    <row r="7858" spans="1:7" x14ac:dyDescent="0.25">
      <c r="A7858" s="1" t="str">
        <f>"3703"</f>
        <v>3703</v>
      </c>
      <c r="B7858" s="2" t="str">
        <f>"COPO 160GR IOGURTE DESNATADO CAROLINA"</f>
        <v>COPO 160GR IOGURTE DESNATADO CAROLINA</v>
      </c>
      <c r="C7858" s="2" t="str">
        <f t="shared" si="306"/>
        <v>UN</v>
      </c>
      <c r="D7858" s="7">
        <v>103</v>
      </c>
      <c r="E7858" s="3">
        <v>1</v>
      </c>
      <c r="F7858" s="3">
        <v>1</v>
      </c>
      <c r="G7858" t="s">
        <v>514</v>
      </c>
    </row>
    <row r="7859" spans="1:7" x14ac:dyDescent="0.25">
      <c r="A7859" s="1" t="str">
        <f>"3702"</f>
        <v>3702</v>
      </c>
      <c r="B7859" s="2" t="str">
        <f>"COPO 160GR IOGURTE INTEGRAL CAROLINA"</f>
        <v>COPO 160GR IOGURTE INTEGRAL CAROLINA</v>
      </c>
      <c r="C7859" s="2" t="str">
        <f t="shared" si="306"/>
        <v>UN</v>
      </c>
      <c r="D7859" s="7">
        <v>103</v>
      </c>
      <c r="E7859" s="3">
        <v>1</v>
      </c>
      <c r="F7859" s="3">
        <v>1</v>
      </c>
      <c r="G7859" t="s">
        <v>513</v>
      </c>
    </row>
    <row r="7860" spans="1:7" x14ac:dyDescent="0.25">
      <c r="A7860" s="1" t="str">
        <f>"3705"</f>
        <v>3705</v>
      </c>
      <c r="B7860" s="2" t="str">
        <f>"COPO 160GR IOGURTE LCM CAROLINA"</f>
        <v>COPO 160GR IOGURTE LCM CAROLINA</v>
      </c>
      <c r="C7860" s="2" t="str">
        <f t="shared" si="306"/>
        <v>UN</v>
      </c>
      <c r="D7860" s="7">
        <v>103</v>
      </c>
      <c r="E7860" s="3">
        <v>1</v>
      </c>
      <c r="F7860" s="3">
        <v>1</v>
      </c>
      <c r="G7860" t="s">
        <v>513</v>
      </c>
    </row>
    <row r="7861" spans="1:7" x14ac:dyDescent="0.25">
      <c r="A7861" s="1" t="str">
        <f>"3706"</f>
        <v>3706</v>
      </c>
      <c r="B7861" s="2" t="str">
        <f>"COPO 160GR IOGURTE MEL CAROLINA"</f>
        <v>COPO 160GR IOGURTE MEL CAROLINA</v>
      </c>
      <c r="C7861" s="2" t="str">
        <f t="shared" si="306"/>
        <v>UN</v>
      </c>
      <c r="D7861" s="7">
        <v>103</v>
      </c>
      <c r="E7861" s="3">
        <v>1</v>
      </c>
      <c r="F7861" s="3">
        <v>1</v>
      </c>
      <c r="G7861" t="s">
        <v>513</v>
      </c>
    </row>
    <row r="7862" spans="1:7" x14ac:dyDescent="0.25">
      <c r="A7862" s="1" t="str">
        <f>"5932"</f>
        <v>5932</v>
      </c>
      <c r="B7862" s="2" t="str">
        <f>"COPO 160GR LAR/CEN/MEL (CAROLINA)"</f>
        <v>COPO 160GR LAR/CEN/MEL (CAROLINA)</v>
      </c>
      <c r="C7862" s="2" t="str">
        <f t="shared" si="306"/>
        <v>UN</v>
      </c>
      <c r="D7862" s="7">
        <v>103</v>
      </c>
      <c r="E7862" s="3">
        <v>1</v>
      </c>
      <c r="F7862" s="3">
        <v>1</v>
      </c>
      <c r="G7862" t="s">
        <v>512</v>
      </c>
    </row>
    <row r="7863" spans="1:7" x14ac:dyDescent="0.25">
      <c r="A7863" s="1" t="str">
        <f>"2772"</f>
        <v>2772</v>
      </c>
      <c r="B7863" s="2" t="str">
        <f>"COPO 160GR MEL  (CAROLINA)"</f>
        <v>COPO 160GR MEL  (CAROLINA)</v>
      </c>
      <c r="C7863" s="2" t="str">
        <f t="shared" ref="C7863:C7894" si="307">"UN"</f>
        <v>UN</v>
      </c>
      <c r="D7863" s="7">
        <v>103</v>
      </c>
      <c r="E7863" s="3">
        <v>1</v>
      </c>
      <c r="F7863" s="3">
        <v>1</v>
      </c>
      <c r="G7863" t="s">
        <v>513</v>
      </c>
    </row>
    <row r="7864" spans="1:7" x14ac:dyDescent="0.25">
      <c r="A7864" s="1" t="str">
        <f>"3156"</f>
        <v>3156</v>
      </c>
      <c r="B7864" s="2" t="str">
        <f>"COPO 160GR MEL (COOP)"</f>
        <v>COPO 160GR MEL (COOP)</v>
      </c>
      <c r="C7864" s="2" t="str">
        <f t="shared" si="307"/>
        <v>UN</v>
      </c>
      <c r="D7864" s="7">
        <v>103</v>
      </c>
      <c r="E7864" s="3">
        <v>1</v>
      </c>
      <c r="F7864" s="3">
        <v>1</v>
      </c>
      <c r="G7864" t="s">
        <v>514</v>
      </c>
    </row>
    <row r="7865" spans="1:7" x14ac:dyDescent="0.25">
      <c r="A7865" s="1" t="str">
        <f>"2732"</f>
        <v>2732</v>
      </c>
      <c r="B7865" s="2" t="str">
        <f>"COPO 160GR NATURAL (CAROLINA)"</f>
        <v>COPO 160GR NATURAL (CAROLINA)</v>
      </c>
      <c r="C7865" s="2" t="str">
        <f t="shared" si="307"/>
        <v>UN</v>
      </c>
      <c r="D7865" s="7">
        <v>103</v>
      </c>
      <c r="E7865" s="3">
        <v>1</v>
      </c>
      <c r="F7865" s="3">
        <v>1</v>
      </c>
      <c r="G7865" t="s">
        <v>515</v>
      </c>
    </row>
    <row r="7866" spans="1:7" x14ac:dyDescent="0.25">
      <c r="A7866" s="1" t="str">
        <f>"3152"</f>
        <v>3152</v>
      </c>
      <c r="B7866" s="2" t="str">
        <f>"COPO 160GR NATURAL (COOP)"</f>
        <v>COPO 160GR NATURAL (COOP)</v>
      </c>
      <c r="C7866" s="2" t="str">
        <f t="shared" si="307"/>
        <v>UN</v>
      </c>
      <c r="D7866" s="7">
        <v>103</v>
      </c>
      <c r="E7866" s="3">
        <v>1</v>
      </c>
      <c r="F7866" s="3">
        <v>1</v>
      </c>
      <c r="G7866" t="s">
        <v>512</v>
      </c>
    </row>
    <row r="7867" spans="1:7" x14ac:dyDescent="0.25">
      <c r="A7867" s="1" t="str">
        <f>"6766"</f>
        <v>6766</v>
      </c>
      <c r="B7867" s="2" t="str">
        <f>"COPO 170GR COALHADA INTEGRAL (CARREFOUR)"</f>
        <v>COPO 170GR COALHADA INTEGRAL (CARREFOUR)</v>
      </c>
      <c r="C7867" s="2" t="str">
        <f t="shared" si="307"/>
        <v>UN</v>
      </c>
      <c r="D7867" s="7">
        <v>103</v>
      </c>
      <c r="E7867" s="3">
        <v>1</v>
      </c>
      <c r="F7867" s="3">
        <v>1</v>
      </c>
      <c r="G7867" t="s">
        <v>516</v>
      </c>
    </row>
    <row r="7868" spans="1:7" x14ac:dyDescent="0.25">
      <c r="A7868" s="1" t="str">
        <f>"6108"</f>
        <v>6108</v>
      </c>
      <c r="B7868" s="2" t="str">
        <f>"COPO 170GR COALHADA INTEGRAL QUALITA"</f>
        <v>COPO 170GR COALHADA INTEGRAL QUALITA</v>
      </c>
      <c r="C7868" s="2" t="str">
        <f t="shared" si="307"/>
        <v>UN</v>
      </c>
      <c r="D7868" s="7">
        <v>103</v>
      </c>
      <c r="E7868" s="3">
        <v>1</v>
      </c>
      <c r="F7868" s="3">
        <v>1</v>
      </c>
      <c r="G7868" t="s">
        <v>515</v>
      </c>
    </row>
    <row r="7869" spans="1:7" x14ac:dyDescent="0.25">
      <c r="A7869" s="1" t="str">
        <f>"6089"</f>
        <v>6089</v>
      </c>
      <c r="B7869" s="2" t="str">
        <f>"COPO 170GR DESN. BANANA E AVEIA QUALITA"</f>
        <v>COPO 170GR DESN. BANANA E AVEIA QUALITA</v>
      </c>
      <c r="C7869" s="2" t="str">
        <f t="shared" si="307"/>
        <v>UN</v>
      </c>
      <c r="D7869" s="7">
        <v>103</v>
      </c>
      <c r="E7869" s="3">
        <v>1</v>
      </c>
      <c r="F7869" s="3">
        <v>1</v>
      </c>
      <c r="G7869" t="s">
        <v>514</v>
      </c>
    </row>
    <row r="7870" spans="1:7" x14ac:dyDescent="0.25">
      <c r="A7870" s="1" t="str">
        <f>"6096"</f>
        <v>6096</v>
      </c>
      <c r="B7870" s="2" t="str">
        <f>"COPO 170GR DESN. LARANJA, CENOURA E MEL QUALITA"</f>
        <v>COPO 170GR DESN. LARANJA, CENOURA E MEL QUALITA</v>
      </c>
      <c r="C7870" s="2" t="str">
        <f t="shared" si="307"/>
        <v>UN</v>
      </c>
      <c r="D7870" s="7">
        <v>103</v>
      </c>
      <c r="E7870" s="3">
        <v>1</v>
      </c>
      <c r="F7870" s="3">
        <v>1</v>
      </c>
      <c r="G7870" t="s">
        <v>512</v>
      </c>
    </row>
    <row r="7871" spans="1:7" x14ac:dyDescent="0.25">
      <c r="A7871" s="1" t="str">
        <f>"6765"</f>
        <v>6765</v>
      </c>
      <c r="B7871" s="2" t="str">
        <f>"COPO 170GR DESN.CENOURA/LAR/MEL (CARREFOUR)"</f>
        <v>COPO 170GR DESN.CENOURA/LAR/MEL (CARREFOUR)</v>
      </c>
      <c r="C7871" s="2" t="str">
        <f t="shared" si="307"/>
        <v>UN</v>
      </c>
      <c r="D7871" s="7">
        <v>103</v>
      </c>
      <c r="E7871" s="3">
        <v>1</v>
      </c>
      <c r="F7871" s="3">
        <v>1</v>
      </c>
      <c r="G7871" t="s">
        <v>513</v>
      </c>
    </row>
    <row r="7872" spans="1:7" x14ac:dyDescent="0.25">
      <c r="A7872" s="1" t="str">
        <f>"6081"</f>
        <v>6081</v>
      </c>
      <c r="B7872" s="2" t="str">
        <f>"COPO 170GR DESNAT. DIA 6.407.047/6"</f>
        <v>COPO 170GR DESNAT. DIA 6.407.047/6</v>
      </c>
      <c r="C7872" s="2" t="str">
        <f t="shared" si="307"/>
        <v>UN</v>
      </c>
      <c r="D7872" s="7">
        <v>103</v>
      </c>
      <c r="E7872" s="3">
        <v>1</v>
      </c>
      <c r="F7872" s="3">
        <v>1</v>
      </c>
      <c r="G7872" t="s">
        <v>514</v>
      </c>
    </row>
    <row r="7873" spans="1:7" x14ac:dyDescent="0.25">
      <c r="A7873" s="1" t="str">
        <f>"6319"</f>
        <v>6319</v>
      </c>
      <c r="B7873" s="2" t="str">
        <f>"COPO 170GR DESNAT. DIA% YO GURTE"</f>
        <v>COPO 170GR DESNAT. DIA% YO GURTE</v>
      </c>
      <c r="C7873" s="2" t="str">
        <f t="shared" si="307"/>
        <v>UN</v>
      </c>
      <c r="D7873" s="7">
        <v>103</v>
      </c>
      <c r="E7873" s="3">
        <v>1</v>
      </c>
      <c r="F7873" s="3">
        <v>1</v>
      </c>
      <c r="G7873" t="s">
        <v>514</v>
      </c>
    </row>
    <row r="7874" spans="1:7" x14ac:dyDescent="0.25">
      <c r="A7874" s="1" t="str">
        <f>"6745"</f>
        <v>6745</v>
      </c>
      <c r="B7874" s="2" t="str">
        <f>"COPO 170GR DESNATADO (CARREFOUR)"</f>
        <v>COPO 170GR DESNATADO (CARREFOUR)</v>
      </c>
      <c r="C7874" s="2" t="str">
        <f t="shared" si="307"/>
        <v>UN</v>
      </c>
      <c r="D7874" s="7">
        <v>103</v>
      </c>
      <c r="E7874" s="3">
        <v>1</v>
      </c>
      <c r="F7874" s="3">
        <v>1</v>
      </c>
      <c r="G7874" t="s">
        <v>512</v>
      </c>
    </row>
    <row r="7875" spans="1:7" x14ac:dyDescent="0.25">
      <c r="A7875" s="1" t="str">
        <f>"6746"</f>
        <v>6746</v>
      </c>
      <c r="B7875" s="2" t="str">
        <f>"COPO 170GR DESNATADO COM MEL (CARREFOUR)"</f>
        <v>COPO 170GR DESNATADO COM MEL (CARREFOUR)</v>
      </c>
      <c r="C7875" s="2" t="str">
        <f t="shared" si="307"/>
        <v>UN</v>
      </c>
      <c r="D7875" s="7">
        <v>103</v>
      </c>
      <c r="E7875" s="3">
        <v>1</v>
      </c>
      <c r="F7875" s="3">
        <v>1</v>
      </c>
      <c r="G7875" t="s">
        <v>513</v>
      </c>
    </row>
    <row r="7876" spans="1:7" x14ac:dyDescent="0.25">
      <c r="A7876" s="1" t="str">
        <f>"6744"</f>
        <v>6744</v>
      </c>
      <c r="B7876" s="2" t="str">
        <f>"COPO 170GR INTEGRAL (CARREFOUR)"</f>
        <v>COPO 170GR INTEGRAL (CARREFOUR)</v>
      </c>
      <c r="C7876" s="2" t="str">
        <f t="shared" si="307"/>
        <v>UN</v>
      </c>
      <c r="D7876" s="7">
        <v>103</v>
      </c>
      <c r="E7876" s="3">
        <v>1</v>
      </c>
      <c r="F7876" s="3">
        <v>1</v>
      </c>
      <c r="G7876" t="s">
        <v>514</v>
      </c>
    </row>
    <row r="7877" spans="1:7" x14ac:dyDescent="0.25">
      <c r="A7877" s="1" t="str">
        <f>"6082"</f>
        <v>6082</v>
      </c>
      <c r="B7877" s="2" t="str">
        <f>"COPO 170GR LAR/CEN/MEL (DIA%)"</f>
        <v>COPO 170GR LAR/CEN/MEL (DIA%)</v>
      </c>
      <c r="C7877" s="2" t="str">
        <f t="shared" si="307"/>
        <v>UN</v>
      </c>
      <c r="D7877" s="7">
        <v>103</v>
      </c>
      <c r="E7877" s="3">
        <v>1</v>
      </c>
      <c r="F7877" s="3">
        <v>1</v>
      </c>
      <c r="G7877" t="s">
        <v>514</v>
      </c>
    </row>
    <row r="7878" spans="1:7" x14ac:dyDescent="0.25">
      <c r="A7878" s="1" t="str">
        <f>"6320"</f>
        <v>6320</v>
      </c>
      <c r="B7878" s="2" t="str">
        <f>"COPO 170GR LAR/CEN/MEL (DIA%) YO GURTE"</f>
        <v>COPO 170GR LAR/CEN/MEL (DIA%) YO GURTE</v>
      </c>
      <c r="C7878" s="2" t="str">
        <f t="shared" si="307"/>
        <v>UN</v>
      </c>
      <c r="D7878" s="7">
        <v>103</v>
      </c>
      <c r="E7878" s="3">
        <v>1</v>
      </c>
      <c r="F7878" s="3">
        <v>1</v>
      </c>
      <c r="G7878" t="s">
        <v>514</v>
      </c>
    </row>
    <row r="7879" spans="1:7" x14ac:dyDescent="0.25">
      <c r="A7879" s="1" t="str">
        <f>"6083"</f>
        <v>6083</v>
      </c>
      <c r="B7879" s="2" t="str">
        <f>"COPO 170GR MEL DIA 6.407.048/4"</f>
        <v>COPO 170GR MEL DIA 6.407.048/4</v>
      </c>
      <c r="C7879" s="2" t="str">
        <f t="shared" si="307"/>
        <v>UN</v>
      </c>
      <c r="D7879" s="7">
        <v>103</v>
      </c>
      <c r="E7879" s="3">
        <v>1</v>
      </c>
      <c r="F7879" s="3">
        <v>1</v>
      </c>
      <c r="G7879" t="s">
        <v>513</v>
      </c>
    </row>
    <row r="7880" spans="1:7" x14ac:dyDescent="0.25">
      <c r="A7880" s="1" t="str">
        <f>"6321"</f>
        <v>6321</v>
      </c>
      <c r="B7880" s="2" t="str">
        <f>"COPO 170GR MEL DIA% YO GURTE"</f>
        <v>COPO 170GR MEL DIA% YO GURTE</v>
      </c>
      <c r="C7880" s="2" t="str">
        <f t="shared" si="307"/>
        <v>UN</v>
      </c>
      <c r="D7880" s="7">
        <v>103</v>
      </c>
      <c r="E7880" s="3">
        <v>1</v>
      </c>
      <c r="F7880" s="3">
        <v>1</v>
      </c>
      <c r="G7880" t="s">
        <v>512</v>
      </c>
    </row>
    <row r="7881" spans="1:7" x14ac:dyDescent="0.25">
      <c r="A7881" s="1" t="str">
        <f>"6084"</f>
        <v>6084</v>
      </c>
      <c r="B7881" s="2" t="str">
        <f>"COPO 170GR NATURAL DIA 6.407.049/2"</f>
        <v>COPO 170GR NATURAL DIA 6.407.049/2</v>
      </c>
      <c r="C7881" s="2" t="str">
        <f t="shared" si="307"/>
        <v>UN</v>
      </c>
      <c r="D7881" s="7">
        <v>103</v>
      </c>
      <c r="E7881" s="3">
        <v>1</v>
      </c>
      <c r="F7881" s="3">
        <v>1</v>
      </c>
      <c r="G7881" t="s">
        <v>513</v>
      </c>
    </row>
    <row r="7882" spans="1:7" x14ac:dyDescent="0.25">
      <c r="A7882" s="1" t="str">
        <f>"6326"</f>
        <v>6326</v>
      </c>
      <c r="B7882" s="2" t="str">
        <f>"COPO 170GR NATURAL DIA% YO GURTE"</f>
        <v>COPO 170GR NATURAL DIA% YO GURTE</v>
      </c>
      <c r="C7882" s="2" t="str">
        <f t="shared" si="307"/>
        <v>UN</v>
      </c>
      <c r="D7882" s="7">
        <v>103</v>
      </c>
      <c r="E7882" s="3">
        <v>1</v>
      </c>
      <c r="F7882" s="3">
        <v>1</v>
      </c>
      <c r="G7882" t="s">
        <v>514</v>
      </c>
    </row>
    <row r="7883" spans="1:7" x14ac:dyDescent="0.25">
      <c r="A7883" s="1" t="str">
        <f>"6085"</f>
        <v>6085</v>
      </c>
      <c r="B7883" s="2" t="str">
        <f>"COPO 185GR COALHADA (CARREFOUR)"</f>
        <v>COPO 185GR COALHADA (CARREFOUR)</v>
      </c>
      <c r="C7883" s="2" t="str">
        <f t="shared" si="307"/>
        <v>UN</v>
      </c>
      <c r="D7883" s="7">
        <v>103</v>
      </c>
      <c r="E7883" s="3">
        <v>1</v>
      </c>
      <c r="F7883" s="3">
        <v>1</v>
      </c>
      <c r="G7883" t="s">
        <v>514</v>
      </c>
    </row>
    <row r="7884" spans="1:7" x14ac:dyDescent="0.25">
      <c r="A7884" s="1" t="str">
        <f>"1357"</f>
        <v>1357</v>
      </c>
      <c r="B7884" s="2" t="str">
        <f>"COPO 185GR DESNATADO DIA"</f>
        <v>COPO 185GR DESNATADO DIA</v>
      </c>
      <c r="C7884" s="2" t="str">
        <f t="shared" si="307"/>
        <v>UN</v>
      </c>
      <c r="D7884" s="7">
        <v>103</v>
      </c>
      <c r="E7884" s="3">
        <v>1</v>
      </c>
      <c r="F7884" s="3">
        <v>1</v>
      </c>
      <c r="G7884" t="s">
        <v>514</v>
      </c>
    </row>
    <row r="7885" spans="1:7" x14ac:dyDescent="0.25">
      <c r="A7885" s="1" t="str">
        <f>"1356"</f>
        <v>1356</v>
      </c>
      <c r="B7885" s="2" t="str">
        <f>"COPO 185GR INTEGRAL DIA"</f>
        <v>COPO 185GR INTEGRAL DIA</v>
      </c>
      <c r="C7885" s="2" t="str">
        <f t="shared" si="307"/>
        <v>UN</v>
      </c>
      <c r="D7885" s="7">
        <v>103</v>
      </c>
      <c r="E7885" s="3">
        <v>1</v>
      </c>
      <c r="F7885" s="3">
        <v>1</v>
      </c>
      <c r="G7885" t="s">
        <v>513</v>
      </c>
    </row>
    <row r="7886" spans="1:7" x14ac:dyDescent="0.25">
      <c r="A7886" s="1" t="str">
        <f>"6241"</f>
        <v>6241</v>
      </c>
      <c r="B7886" s="2" t="str">
        <f>"COPO 185GR IOG. COALHADA QUALITA"</f>
        <v>COPO 185GR IOG. COALHADA QUALITA</v>
      </c>
      <c r="C7886" s="2" t="str">
        <f t="shared" si="307"/>
        <v>UN</v>
      </c>
      <c r="D7886" s="7">
        <v>103</v>
      </c>
      <c r="E7886" s="3">
        <v>1</v>
      </c>
      <c r="F7886" s="3">
        <v>1</v>
      </c>
      <c r="G7886" t="s">
        <v>513</v>
      </c>
    </row>
    <row r="7887" spans="1:7" x14ac:dyDescent="0.25">
      <c r="A7887" s="1" t="str">
        <f>"5788"</f>
        <v>5788</v>
      </c>
      <c r="B7887" s="2" t="str">
        <f>"COPO 185GR LAR/CEN/MEL (DIA%)"</f>
        <v>COPO 185GR LAR/CEN/MEL (DIA%)</v>
      </c>
      <c r="C7887" s="2" t="str">
        <f t="shared" si="307"/>
        <v>UN</v>
      </c>
      <c r="D7887" s="7">
        <v>103</v>
      </c>
      <c r="E7887" s="3">
        <v>1</v>
      </c>
      <c r="F7887" s="3">
        <v>1</v>
      </c>
      <c r="G7887" t="s">
        <v>513</v>
      </c>
    </row>
    <row r="7888" spans="1:7" x14ac:dyDescent="0.25">
      <c r="A7888" s="1" t="str">
        <f>"1358"</f>
        <v>1358</v>
      </c>
      <c r="B7888" s="2" t="str">
        <f>"COPO 185GR MEL DIA"</f>
        <v>COPO 185GR MEL DIA</v>
      </c>
      <c r="C7888" s="2" t="str">
        <f t="shared" si="307"/>
        <v>UN</v>
      </c>
      <c r="D7888" s="7">
        <v>103</v>
      </c>
      <c r="E7888" s="3">
        <v>1</v>
      </c>
      <c r="F7888" s="3">
        <v>1</v>
      </c>
      <c r="G7888" t="s">
        <v>512</v>
      </c>
    </row>
    <row r="7889" spans="1:7" x14ac:dyDescent="0.25">
      <c r="A7889" s="1" t="str">
        <f>"1359"</f>
        <v>1359</v>
      </c>
      <c r="B7889" s="2" t="str">
        <f>"COPO 185GR MEL ECON"</f>
        <v>COPO 185GR MEL ECON</v>
      </c>
      <c r="C7889" s="2" t="str">
        <f t="shared" si="307"/>
        <v>UN</v>
      </c>
      <c r="D7889" s="7">
        <v>103</v>
      </c>
      <c r="E7889" s="3">
        <v>1</v>
      </c>
      <c r="F7889" s="3">
        <v>1</v>
      </c>
      <c r="G7889" t="s">
        <v>513</v>
      </c>
    </row>
    <row r="7890" spans="1:7" x14ac:dyDescent="0.25">
      <c r="A7890" s="1" t="str">
        <f>"983"</f>
        <v>983</v>
      </c>
      <c r="B7890" s="2" t="str">
        <f>"COPO 270GR CREME DE LEITE NATA 101 X 65 - CAROLINA"</f>
        <v>COPO 270GR CREME DE LEITE NATA 101 X 65 - CAROLINA</v>
      </c>
      <c r="C7890" s="2" t="str">
        <f t="shared" si="307"/>
        <v>UN</v>
      </c>
      <c r="D7890" s="7">
        <v>103</v>
      </c>
      <c r="E7890" s="3">
        <v>1</v>
      </c>
      <c r="F7890" s="3">
        <v>1</v>
      </c>
      <c r="G7890" t="s">
        <v>514</v>
      </c>
    </row>
    <row r="7891" spans="1:7" x14ac:dyDescent="0.25">
      <c r="A7891" s="1" t="str">
        <f>"784"</f>
        <v>784</v>
      </c>
      <c r="B7891" s="2" t="str">
        <f>"COPO 67 X 71 BRANCO SEM IMPRESSÃO  - BIBI BITS"</f>
        <v>COPO 67 X 71 BRANCO SEM IMPRESSÃO  - BIBI BITS</v>
      </c>
      <c r="C7891" s="2" t="str">
        <f t="shared" si="307"/>
        <v>UN</v>
      </c>
      <c r="D7891" s="7">
        <v>103</v>
      </c>
      <c r="E7891" s="3">
        <v>1</v>
      </c>
      <c r="F7891" s="3">
        <v>1</v>
      </c>
      <c r="G7891" t="s">
        <v>515</v>
      </c>
    </row>
    <row r="7892" spans="1:7" x14ac:dyDescent="0.25">
      <c r="A7892" s="1" t="str">
        <f>"789"</f>
        <v>789</v>
      </c>
      <c r="B7892" s="2" t="str">
        <f>"COPO 67 X 71 CRISTAL SEM IMPRESSAO - FRUTAS"</f>
        <v>COPO 67 X 71 CRISTAL SEM IMPRESSAO - FRUTAS</v>
      </c>
      <c r="C7892" s="2" t="str">
        <f t="shared" si="307"/>
        <v>UN</v>
      </c>
      <c r="D7892" s="7">
        <v>103</v>
      </c>
      <c r="E7892" s="3">
        <v>1</v>
      </c>
      <c r="F7892" s="3">
        <v>1</v>
      </c>
      <c r="G7892" t="s">
        <v>512</v>
      </c>
    </row>
    <row r="7893" spans="1:7" x14ac:dyDescent="0.25">
      <c r="A7893" s="1" t="str">
        <f>"790"</f>
        <v>790</v>
      </c>
      <c r="B7893" s="2" t="str">
        <f>"COPO 67 X 73 CRISTAL SEM IMPRESSAO - FRUTAS (RIOPLASTIC)"</f>
        <v>COPO 67 X 73 CRISTAL SEM IMPRESSAO - FRUTAS (RIOPLASTIC)</v>
      </c>
      <c r="C7893" s="2" t="str">
        <f t="shared" si="307"/>
        <v>UN</v>
      </c>
      <c r="D7893" s="7">
        <v>103</v>
      </c>
      <c r="E7893" s="3">
        <v>1</v>
      </c>
      <c r="F7893" s="3">
        <v>1</v>
      </c>
      <c r="G7893" t="s">
        <v>516</v>
      </c>
    </row>
    <row r="7894" spans="1:7" x14ac:dyDescent="0.25">
      <c r="A7894" s="1" t="str">
        <f>"641"</f>
        <v>641</v>
      </c>
      <c r="B7894" s="2" t="str">
        <f>"COPO 67 X 83 BRANCO SEM IMPRESSAO  - SEM LACTOSE"</f>
        <v>COPO 67 X 83 BRANCO SEM IMPRESSAO  - SEM LACTOSE</v>
      </c>
      <c r="C7894" s="2" t="str">
        <f t="shared" si="307"/>
        <v>UN</v>
      </c>
      <c r="D7894" s="7">
        <v>103</v>
      </c>
      <c r="E7894" s="3">
        <v>1</v>
      </c>
      <c r="F7894" s="3">
        <v>1</v>
      </c>
      <c r="G7894" t="s">
        <v>515</v>
      </c>
    </row>
    <row r="7895" spans="1:7" x14ac:dyDescent="0.25">
      <c r="A7895" s="1" t="str">
        <f>"640"</f>
        <v>640</v>
      </c>
      <c r="B7895" s="2" t="str">
        <f>"COPO 67 X 83 CRISTAL SEM IMPRESSAO - SEM LACTOSE"</f>
        <v>COPO 67 X 83 CRISTAL SEM IMPRESSAO - SEM LACTOSE</v>
      </c>
      <c r="C7895" s="2" t="str">
        <f t="shared" ref="C7895:C7926" si="308">"UN"</f>
        <v>UN</v>
      </c>
      <c r="D7895" s="7">
        <v>103</v>
      </c>
      <c r="E7895" s="3">
        <v>1</v>
      </c>
      <c r="F7895" s="3">
        <v>1</v>
      </c>
      <c r="G7895" t="s">
        <v>514</v>
      </c>
    </row>
    <row r="7896" spans="1:7" x14ac:dyDescent="0.25">
      <c r="A7896" s="1" t="str">
        <f>"788"</f>
        <v>788</v>
      </c>
      <c r="B7896" s="2" t="str">
        <f>"COPO 67 X 88 CRISTAL SEM IMPRESSAO - FRUTAS"</f>
        <v>COPO 67 X 88 CRISTAL SEM IMPRESSAO - FRUTAS</v>
      </c>
      <c r="C7896" s="2" t="str">
        <f t="shared" si="308"/>
        <v>UN</v>
      </c>
      <c r="D7896" s="7">
        <v>103</v>
      </c>
      <c r="E7896" s="3">
        <v>1</v>
      </c>
      <c r="F7896" s="3">
        <v>1</v>
      </c>
      <c r="G7896" t="s">
        <v>512</v>
      </c>
    </row>
    <row r="7897" spans="1:7" x14ac:dyDescent="0.25">
      <c r="A7897" s="1" t="str">
        <f>"787"</f>
        <v>787</v>
      </c>
      <c r="B7897" s="2" t="str">
        <f>"COPO 75 X 51 BRANCO SEM IMPRESSAO - GREGO/FLAN"</f>
        <v>COPO 75 X 51 BRANCO SEM IMPRESSAO - GREGO/FLAN</v>
      </c>
      <c r="C7897" s="2" t="str">
        <f t="shared" si="308"/>
        <v>UN</v>
      </c>
      <c r="D7897" s="7">
        <v>103</v>
      </c>
      <c r="E7897" s="3">
        <v>1</v>
      </c>
      <c r="F7897" s="3">
        <v>1</v>
      </c>
      <c r="G7897" t="s">
        <v>513</v>
      </c>
    </row>
    <row r="7898" spans="1:7" x14ac:dyDescent="0.25">
      <c r="A7898" s="1" t="str">
        <f>"782"</f>
        <v>782</v>
      </c>
      <c r="B7898" s="2" t="str">
        <f>"COPO 75 X 61 BRANCO SEM IMPRESSÃO - LA VITA"</f>
        <v>COPO 75 X 61 BRANCO SEM IMPRESSÃO - LA VITA</v>
      </c>
      <c r="C7898" s="2" t="str">
        <f t="shared" si="308"/>
        <v>UN</v>
      </c>
      <c r="D7898" s="7">
        <v>103</v>
      </c>
      <c r="E7898" s="3">
        <v>1</v>
      </c>
      <c r="F7898" s="3">
        <v>1</v>
      </c>
      <c r="G7898" t="s">
        <v>514</v>
      </c>
    </row>
    <row r="7899" spans="1:7" x14ac:dyDescent="0.25">
      <c r="A7899" s="1" t="str">
        <f>"521896"</f>
        <v>521896</v>
      </c>
      <c r="B7899" s="2" t="str">
        <f>"COPO BECKER PLASTICO 1000ML"</f>
        <v>COPO BECKER PLASTICO 1000ML</v>
      </c>
      <c r="C7899" s="2" t="str">
        <f t="shared" si="308"/>
        <v>UN</v>
      </c>
      <c r="D7899" s="7">
        <v>817</v>
      </c>
      <c r="E7899" s="3">
        <v>10</v>
      </c>
      <c r="F7899" s="3">
        <v>10</v>
      </c>
      <c r="G7899" t="s">
        <v>514</v>
      </c>
    </row>
    <row r="7900" spans="1:7" x14ac:dyDescent="0.25">
      <c r="A7900" s="1" t="str">
        <f>"511131"</f>
        <v>511131</v>
      </c>
      <c r="B7900" s="2" t="str">
        <f>"COPO BECKER PLASTICO 100ML CAP-LAB"</f>
        <v>COPO BECKER PLASTICO 100ML CAP-LAB</v>
      </c>
      <c r="C7900" s="2" t="str">
        <f t="shared" si="308"/>
        <v>UN</v>
      </c>
      <c r="D7900" s="7">
        <v>817</v>
      </c>
      <c r="E7900" s="3">
        <v>10</v>
      </c>
      <c r="F7900" s="3">
        <v>10</v>
      </c>
      <c r="G7900" t="s">
        <v>512</v>
      </c>
    </row>
    <row r="7901" spans="1:7" x14ac:dyDescent="0.25">
      <c r="A7901" s="1" t="str">
        <f>"523267"</f>
        <v>523267</v>
      </c>
      <c r="B7901" s="2" t="str">
        <f>"COPO BECKER PLÁSTICO 2.000ML"</f>
        <v>COPO BECKER PLÁSTICO 2.000ML</v>
      </c>
      <c r="C7901" s="2" t="str">
        <f t="shared" si="308"/>
        <v>UN</v>
      </c>
      <c r="D7901" s="7">
        <v>817</v>
      </c>
      <c r="E7901" s="3">
        <v>10</v>
      </c>
      <c r="F7901" s="3">
        <v>10</v>
      </c>
      <c r="G7901" t="s">
        <v>513</v>
      </c>
    </row>
    <row r="7902" spans="1:7" x14ac:dyDescent="0.25">
      <c r="A7902" s="1" t="str">
        <f>"511132"</f>
        <v>511132</v>
      </c>
      <c r="B7902" s="2" t="str">
        <f>"COPO BECKER PLASTICO 250ML CAP-LAB"</f>
        <v>COPO BECKER PLASTICO 250ML CAP-LAB</v>
      </c>
      <c r="C7902" s="2" t="str">
        <f t="shared" si="308"/>
        <v>UN</v>
      </c>
      <c r="D7902" s="7">
        <v>817</v>
      </c>
      <c r="E7902" s="3">
        <v>10</v>
      </c>
      <c r="F7902" s="3">
        <v>10</v>
      </c>
      <c r="G7902" t="s">
        <v>514</v>
      </c>
    </row>
    <row r="7903" spans="1:7" x14ac:dyDescent="0.25">
      <c r="A7903" s="1" t="str">
        <f>"518623"</f>
        <v>518623</v>
      </c>
      <c r="B7903" s="2" t="str">
        <f>"COPO BECKER PLASTICO 50ML"</f>
        <v>COPO BECKER PLASTICO 50ML</v>
      </c>
      <c r="C7903" s="2" t="str">
        <f t="shared" si="308"/>
        <v>UN</v>
      </c>
      <c r="D7903" s="7">
        <v>406</v>
      </c>
      <c r="E7903" s="3">
        <v>4</v>
      </c>
      <c r="F7903" s="3">
        <v>4</v>
      </c>
      <c r="G7903" t="s">
        <v>514</v>
      </c>
    </row>
    <row r="7904" spans="1:7" x14ac:dyDescent="0.25">
      <c r="A7904" s="1" t="str">
        <f>"513132"</f>
        <v>513132</v>
      </c>
      <c r="B7904" s="2" t="str">
        <f>"COPO BECKER PLÁSTICO 600ML"</f>
        <v>COPO BECKER PLÁSTICO 600ML</v>
      </c>
      <c r="C7904" s="2" t="str">
        <f t="shared" si="308"/>
        <v>UN</v>
      </c>
      <c r="D7904" s="7">
        <v>817</v>
      </c>
      <c r="E7904" s="3">
        <v>10</v>
      </c>
      <c r="F7904" s="3">
        <v>10</v>
      </c>
      <c r="G7904" t="s">
        <v>514</v>
      </c>
    </row>
    <row r="7905" spans="1:7" x14ac:dyDescent="0.25">
      <c r="A7905" s="1" t="str">
        <f>"519840"</f>
        <v>519840</v>
      </c>
      <c r="B7905" s="2" t="str">
        <f>"COPO BECKER VIDRO 1000ML"</f>
        <v>COPO BECKER VIDRO 1000ML</v>
      </c>
      <c r="C7905" s="2" t="str">
        <f t="shared" si="308"/>
        <v>UN</v>
      </c>
      <c r="D7905" s="7">
        <v>406</v>
      </c>
      <c r="E7905" s="3">
        <v>4</v>
      </c>
      <c r="F7905" s="3">
        <v>4</v>
      </c>
      <c r="G7905" t="s">
        <v>513</v>
      </c>
    </row>
    <row r="7906" spans="1:7" x14ac:dyDescent="0.25">
      <c r="A7906" s="1" t="str">
        <f>"513877"</f>
        <v>513877</v>
      </c>
      <c r="B7906" s="2" t="str">
        <f>"COPO BECKER VIDRO 100ML"</f>
        <v>COPO BECKER VIDRO 100ML</v>
      </c>
      <c r="C7906" s="2" t="str">
        <f t="shared" si="308"/>
        <v>UN</v>
      </c>
      <c r="D7906" s="7">
        <v>406</v>
      </c>
      <c r="E7906" s="3">
        <v>4</v>
      </c>
      <c r="F7906" s="3">
        <v>4</v>
      </c>
      <c r="G7906" t="s">
        <v>512</v>
      </c>
    </row>
    <row r="7907" spans="1:7" x14ac:dyDescent="0.25">
      <c r="A7907" s="1" t="str">
        <f>"520932"</f>
        <v>520932</v>
      </c>
      <c r="B7907" s="2" t="str">
        <f>"COPO BECKER VIDRO 250ML"</f>
        <v>COPO BECKER VIDRO 250ML</v>
      </c>
      <c r="C7907" s="2" t="str">
        <f t="shared" si="308"/>
        <v>UN</v>
      </c>
      <c r="D7907" s="7">
        <v>406</v>
      </c>
      <c r="E7907" s="3">
        <v>4</v>
      </c>
      <c r="F7907" s="3">
        <v>4</v>
      </c>
      <c r="G7907" t="s">
        <v>513</v>
      </c>
    </row>
    <row r="7908" spans="1:7" x14ac:dyDescent="0.25">
      <c r="A7908" s="1" t="str">
        <f>"522900"</f>
        <v>522900</v>
      </c>
      <c r="B7908" s="2" t="str">
        <f>"COPO BECKER VIDRO 500ML"</f>
        <v>COPO BECKER VIDRO 500ML</v>
      </c>
      <c r="C7908" s="2" t="str">
        <f t="shared" si="308"/>
        <v>UN</v>
      </c>
      <c r="D7908" s="7">
        <v>406</v>
      </c>
      <c r="E7908" s="3">
        <v>4</v>
      </c>
      <c r="F7908" s="3">
        <v>4</v>
      </c>
      <c r="G7908" t="s">
        <v>514</v>
      </c>
    </row>
    <row r="7909" spans="1:7" x14ac:dyDescent="0.25">
      <c r="A7909" s="1" t="str">
        <f>"518143"</f>
        <v>518143</v>
      </c>
      <c r="B7909" s="2" t="str">
        <f>"COPO BECKER VIDRO 50ML"</f>
        <v>COPO BECKER VIDRO 50ML</v>
      </c>
      <c r="C7909" s="2" t="str">
        <f t="shared" si="308"/>
        <v>UN</v>
      </c>
      <c r="D7909" s="7">
        <v>406</v>
      </c>
      <c r="E7909" s="3">
        <v>4</v>
      </c>
      <c r="F7909" s="3">
        <v>4</v>
      </c>
      <c r="G7909" t="s">
        <v>514</v>
      </c>
    </row>
    <row r="7910" spans="1:7" x14ac:dyDescent="0.25">
      <c r="A7910" s="1" t="str">
        <f>"519146"</f>
        <v>519146</v>
      </c>
      <c r="B7910" s="2" t="str">
        <f>"COPO BECKER VIDRO 600ML"</f>
        <v>COPO BECKER VIDRO 600ML</v>
      </c>
      <c r="C7910" s="2" t="str">
        <f t="shared" si="308"/>
        <v>UN</v>
      </c>
      <c r="D7910" s="7">
        <v>406</v>
      </c>
      <c r="E7910" s="3">
        <v>4</v>
      </c>
      <c r="F7910" s="3">
        <v>4</v>
      </c>
      <c r="G7910" t="s">
        <v>514</v>
      </c>
    </row>
    <row r="7911" spans="1:7" x14ac:dyDescent="0.25">
      <c r="A7911" s="1" t="str">
        <f>"8402"</f>
        <v>8402</v>
      </c>
      <c r="B7911" s="2" t="str">
        <f>"COPO BIBI BITS  ROTULADO MOR/CEREAL 125G (MARROM)"</f>
        <v>COPO BIBI BITS  ROTULADO MOR/CEREAL 125G (MARROM)</v>
      </c>
      <c r="C7911" s="2" t="str">
        <f t="shared" si="308"/>
        <v>UN</v>
      </c>
      <c r="D7911" s="7">
        <v>103</v>
      </c>
      <c r="E7911" s="3">
        <v>1</v>
      </c>
      <c r="F7911" s="3">
        <v>1</v>
      </c>
      <c r="G7911" t="s">
        <v>513</v>
      </c>
    </row>
    <row r="7912" spans="1:7" x14ac:dyDescent="0.25">
      <c r="A7912" s="1" t="str">
        <f>"8400"</f>
        <v>8400</v>
      </c>
      <c r="B7912" s="2" t="str">
        <f>"COPO BIBI BITS CHOCOLATE E CEREAL 125G (MARROM)"</f>
        <v>COPO BIBI BITS CHOCOLATE E CEREAL 125G (MARROM)</v>
      </c>
      <c r="C7912" s="2" t="str">
        <f t="shared" si="308"/>
        <v>UN</v>
      </c>
      <c r="D7912" s="7">
        <v>103</v>
      </c>
      <c r="E7912" s="3">
        <v>1</v>
      </c>
      <c r="F7912" s="3">
        <v>1</v>
      </c>
      <c r="G7912" t="s">
        <v>513</v>
      </c>
    </row>
    <row r="7913" spans="1:7" x14ac:dyDescent="0.25">
      <c r="A7913" s="1" t="str">
        <f>"8398"</f>
        <v>8398</v>
      </c>
      <c r="B7913" s="2" t="str">
        <f>"COPO BIBI BITS MORANGO E CEREAL 125G (MARROM)PV6.212.044-1"</f>
        <v>COPO BIBI BITS MORANGO E CEREAL 125G (MARROM)PV6.212.044-1</v>
      </c>
      <c r="C7913" s="2" t="str">
        <f t="shared" si="308"/>
        <v>UN</v>
      </c>
      <c r="D7913" s="7">
        <v>103</v>
      </c>
      <c r="E7913" s="3">
        <v>1</v>
      </c>
      <c r="F7913" s="3">
        <v>1</v>
      </c>
      <c r="G7913" t="s">
        <v>513</v>
      </c>
    </row>
    <row r="7914" spans="1:7" x14ac:dyDescent="0.25">
      <c r="A7914" s="1" t="str">
        <f>"6017"</f>
        <v>6017</v>
      </c>
      <c r="B7914" s="2" t="str">
        <f>"COPO BIBI BITS MORANGO E CHOCOLATE 125G (AZUL)PV6.212.040-9"</f>
        <v>COPO BIBI BITS MORANGO E CHOCOLATE 125G (AZUL)PV6.212.040-9</v>
      </c>
      <c r="C7914" s="2" t="str">
        <f t="shared" si="308"/>
        <v>UN</v>
      </c>
      <c r="D7914" s="7">
        <v>103</v>
      </c>
      <c r="E7914" s="3">
        <v>1</v>
      </c>
      <c r="F7914" s="3">
        <v>1</v>
      </c>
      <c r="G7914" t="s">
        <v>512</v>
      </c>
    </row>
    <row r="7915" spans="1:7" x14ac:dyDescent="0.25">
      <c r="A7915" s="1" t="str">
        <f>"8399"</f>
        <v>8399</v>
      </c>
      <c r="B7915" s="2" t="str">
        <f>"COPO BIBI BITS MORANGO E CONFEITO 125G (VERMEL)PV6.212.041-7"</f>
        <v>COPO BIBI BITS MORANGO E CONFEITO 125G (VERMEL)PV6.212.041-7</v>
      </c>
      <c r="C7915" s="2" t="str">
        <f t="shared" si="308"/>
        <v>UN</v>
      </c>
      <c r="D7915" s="7">
        <v>103</v>
      </c>
      <c r="E7915" s="3">
        <v>1</v>
      </c>
      <c r="F7915" s="3">
        <v>1</v>
      </c>
      <c r="G7915" t="s">
        <v>513</v>
      </c>
    </row>
    <row r="7916" spans="1:7" x14ac:dyDescent="0.25">
      <c r="A7916" s="1" t="str">
        <f>"8401"</f>
        <v>8401</v>
      </c>
      <c r="B7916" s="2" t="str">
        <f>"COPO BIBI BITS MORANGO E FLOCOS 125G (ROSA)PV6.212.057-3"</f>
        <v>COPO BIBI BITS MORANGO E FLOCOS 125G (ROSA)PV6.212.057-3</v>
      </c>
      <c r="C7916" s="2" t="str">
        <f t="shared" si="308"/>
        <v>UN</v>
      </c>
      <c r="D7916" s="7">
        <v>103</v>
      </c>
      <c r="E7916" s="3">
        <v>1</v>
      </c>
      <c r="F7916" s="3">
        <v>1</v>
      </c>
      <c r="G7916" t="s">
        <v>514</v>
      </c>
    </row>
    <row r="7917" spans="1:7" x14ac:dyDescent="0.25">
      <c r="A7917" s="1" t="str">
        <f>"4153"</f>
        <v>4153</v>
      </c>
      <c r="B7917" s="2" t="str">
        <f>"COPO BIBI BITS ROTULADO MOR/CEREAL 125G (MARROM)"</f>
        <v>COPO BIBI BITS ROTULADO MOR/CEREAL 125G (MARROM)</v>
      </c>
      <c r="C7917" s="2" t="str">
        <f t="shared" si="308"/>
        <v>UN</v>
      </c>
      <c r="D7917" s="7">
        <v>103</v>
      </c>
      <c r="E7917" s="3">
        <v>1</v>
      </c>
      <c r="F7917" s="3">
        <v>1</v>
      </c>
      <c r="G7917" t="s">
        <v>515</v>
      </c>
    </row>
    <row r="7918" spans="1:7" x14ac:dyDescent="0.25">
      <c r="A7918" s="1" t="str">
        <f>"4151"</f>
        <v>4151</v>
      </c>
      <c r="B7918" s="2" t="str">
        <f>"COPO BIBI BITS ROTULADO MOR/CONFEITO 125G (VERMEL)"</f>
        <v>COPO BIBI BITS ROTULADO MOR/CONFEITO 125G (VERMEL)</v>
      </c>
      <c r="C7918" s="2" t="str">
        <f t="shared" si="308"/>
        <v>UN</v>
      </c>
      <c r="D7918" s="7">
        <v>103</v>
      </c>
      <c r="E7918" s="3">
        <v>1</v>
      </c>
      <c r="F7918" s="3">
        <v>1</v>
      </c>
      <c r="G7918" t="s">
        <v>512</v>
      </c>
    </row>
    <row r="7919" spans="1:7" x14ac:dyDescent="0.25">
      <c r="A7919" s="1" t="str">
        <f>"8403"</f>
        <v>8403</v>
      </c>
      <c r="B7919" s="2" t="str">
        <f>"COPO BIBI BITS ROTULADO MOR/CONFEITO 125G (VERMEL)"</f>
        <v>COPO BIBI BITS ROTULADO MOR/CONFEITO 125G (VERMEL)</v>
      </c>
      <c r="C7919" s="2" t="str">
        <f t="shared" si="308"/>
        <v>UN</v>
      </c>
      <c r="D7919" s="7">
        <v>103</v>
      </c>
      <c r="E7919" s="3">
        <v>1</v>
      </c>
      <c r="F7919" s="3">
        <v>1</v>
      </c>
      <c r="G7919" t="s">
        <v>516</v>
      </c>
    </row>
    <row r="7920" spans="1:7" x14ac:dyDescent="0.25">
      <c r="A7920" s="1" t="str">
        <f>"4152"</f>
        <v>4152</v>
      </c>
      <c r="B7920" s="2" t="str">
        <f>"COPO BIBI BITS ROTULADO MOR/FLOCOS 125G (ROSA)"</f>
        <v>COPO BIBI BITS ROTULADO MOR/FLOCOS 125G (ROSA)</v>
      </c>
      <c r="C7920" s="2" t="str">
        <f t="shared" si="308"/>
        <v>UN</v>
      </c>
      <c r="D7920" s="7">
        <v>103</v>
      </c>
      <c r="E7920" s="3">
        <v>1</v>
      </c>
      <c r="F7920" s="3">
        <v>1</v>
      </c>
      <c r="G7920" t="s">
        <v>515</v>
      </c>
    </row>
    <row r="7921" spans="1:7" x14ac:dyDescent="0.25">
      <c r="A7921" s="1" t="str">
        <f>"8404"</f>
        <v>8404</v>
      </c>
      <c r="B7921" s="2" t="str">
        <f>"COPO BIBI BITS ROTULADO MOR/FLOCOS 125G (ROSA)"</f>
        <v>COPO BIBI BITS ROTULADO MOR/FLOCOS 125G (ROSA)</v>
      </c>
      <c r="C7921" s="2" t="str">
        <f t="shared" si="308"/>
        <v>UN</v>
      </c>
      <c r="D7921" s="7">
        <v>103</v>
      </c>
      <c r="E7921" s="3">
        <v>1</v>
      </c>
      <c r="F7921" s="3">
        <v>1</v>
      </c>
      <c r="G7921" t="s">
        <v>514</v>
      </c>
    </row>
    <row r="7922" spans="1:7" x14ac:dyDescent="0.25">
      <c r="A7922" s="1" t="str">
        <f>"513114"</f>
        <v>513114</v>
      </c>
      <c r="B7922" s="2" t="str">
        <f>"COPO CILINDRO RODA"</f>
        <v>COPO CILINDRO RODA</v>
      </c>
      <c r="C7922" s="2" t="str">
        <f t="shared" si="308"/>
        <v>UN</v>
      </c>
      <c r="D7922" s="7">
        <v>918</v>
      </c>
      <c r="E7922" s="3">
        <v>11</v>
      </c>
      <c r="F7922" s="3">
        <v>11</v>
      </c>
      <c r="G7922" t="s">
        <v>512</v>
      </c>
    </row>
    <row r="7923" spans="1:7" x14ac:dyDescent="0.25">
      <c r="A7923" s="1" t="str">
        <f>"528148"</f>
        <v>528148</v>
      </c>
      <c r="B7923" s="2" t="str">
        <f>"COPO DE BOMBA ELETRICA"</f>
        <v>COPO DE BOMBA ELETRICA</v>
      </c>
      <c r="C7923" s="2" t="str">
        <f t="shared" si="308"/>
        <v>UN</v>
      </c>
      <c r="D7923" s="7">
        <v>704</v>
      </c>
      <c r="E7923" s="3">
        <v>9</v>
      </c>
      <c r="F7923" s="3">
        <v>9</v>
      </c>
      <c r="G7923" t="s">
        <v>513</v>
      </c>
    </row>
    <row r="7924" spans="1:7" x14ac:dyDescent="0.25">
      <c r="A7924" s="1" t="str">
        <f>"513580"</f>
        <v>513580</v>
      </c>
      <c r="B7924" s="2" t="str">
        <f>"COPO DEGUSTAÇÃO 80ML IMPRESSO CAROLINA C/ 3000"</f>
        <v>COPO DEGUSTAÇÃO 80ML IMPRESSO CAROLINA C/ 3000</v>
      </c>
      <c r="C7924" s="2" t="str">
        <f t="shared" si="308"/>
        <v>UN</v>
      </c>
      <c r="D7924" s="7">
        <v>99999</v>
      </c>
      <c r="E7924" s="3">
        <v>99</v>
      </c>
      <c r="F7924" s="3">
        <v>99</v>
      </c>
      <c r="G7924" t="s">
        <v>514</v>
      </c>
    </row>
    <row r="7925" spans="1:7" x14ac:dyDescent="0.25">
      <c r="A7925" s="1" t="str">
        <f>"511775"</f>
        <v>511775</v>
      </c>
      <c r="B7925" s="2" t="str">
        <f>"COPO DESCARGA IGE 00141/00203"</f>
        <v>COPO DESCARGA IGE 00141/00203</v>
      </c>
      <c r="C7925" s="2" t="str">
        <f t="shared" si="308"/>
        <v>UN</v>
      </c>
      <c r="D7925" s="7">
        <v>918</v>
      </c>
      <c r="E7925" s="3">
        <v>11</v>
      </c>
      <c r="F7925" s="3">
        <v>11</v>
      </c>
      <c r="G7925" t="s">
        <v>514</v>
      </c>
    </row>
    <row r="7926" spans="1:7" x14ac:dyDescent="0.25">
      <c r="A7926" s="1" t="str">
        <f>"520486"</f>
        <v>520486</v>
      </c>
      <c r="B7926" s="8" t="s">
        <v>149</v>
      </c>
      <c r="C7926" s="2" t="str">
        <f t="shared" si="308"/>
        <v>UN</v>
      </c>
      <c r="D7926" s="7">
        <v>901</v>
      </c>
      <c r="E7926" s="3">
        <v>11</v>
      </c>
      <c r="F7926" s="3">
        <v>11</v>
      </c>
      <c r="G7926" t="s">
        <v>512</v>
      </c>
    </row>
    <row r="7927" spans="1:7" x14ac:dyDescent="0.25">
      <c r="A7927" s="1" t="str">
        <f>"526111"</f>
        <v>526111</v>
      </c>
      <c r="B7927" s="2" t="str">
        <f>"COPO DO FILTRO DO DIESEL"</f>
        <v>COPO DO FILTRO DO DIESEL</v>
      </c>
      <c r="C7927" s="2" t="str">
        <f t="shared" ref="C7927:C7958" si="309">"UN"</f>
        <v>UN</v>
      </c>
      <c r="D7927" s="7">
        <v>704</v>
      </c>
      <c r="E7927" s="3">
        <v>9</v>
      </c>
      <c r="F7927" s="3">
        <v>9</v>
      </c>
      <c r="G7927" t="s">
        <v>513</v>
      </c>
    </row>
    <row r="7928" spans="1:7" x14ac:dyDescent="0.25">
      <c r="A7928" s="1" t="str">
        <f>"512031"</f>
        <v>512031</v>
      </c>
      <c r="B7928" s="2" t="str">
        <f>"COPO DRINK"</f>
        <v>COPO DRINK</v>
      </c>
      <c r="C7928" s="2" t="str">
        <f t="shared" si="309"/>
        <v>UN</v>
      </c>
      <c r="D7928" s="7">
        <v>402</v>
      </c>
      <c r="E7928" s="3">
        <v>4</v>
      </c>
      <c r="F7928" s="3">
        <v>4</v>
      </c>
      <c r="G7928" t="s">
        <v>514</v>
      </c>
    </row>
    <row r="7929" spans="1:7" x14ac:dyDescent="0.25">
      <c r="A7929" s="1" t="str">
        <f>"522833"</f>
        <v>522833</v>
      </c>
      <c r="B7929" s="2" t="str">
        <f>"COPO E PORTA COPO DE ALUM. HASTE 12MM"</f>
        <v>COPO E PORTA COPO DE ALUM. HASTE 12MM</v>
      </c>
      <c r="C7929" s="2" t="str">
        <f t="shared" si="309"/>
        <v>UN</v>
      </c>
      <c r="D7929" s="7">
        <v>1300</v>
      </c>
      <c r="E7929" s="3">
        <v>10</v>
      </c>
      <c r="F7929" s="3">
        <v>10</v>
      </c>
      <c r="G7929" t="s">
        <v>514</v>
      </c>
    </row>
    <row r="7930" spans="1:7" x14ac:dyDescent="0.25">
      <c r="A7930" s="1" t="str">
        <f>"512246"</f>
        <v>512246</v>
      </c>
      <c r="B7930" s="2" t="str">
        <f>"COPO FILTRO 0741A13AC P10A10 P20.14A8.5"</f>
        <v>COPO FILTRO 0741A13AC P10A10 P20.14A8.5</v>
      </c>
      <c r="C7930" s="2" t="str">
        <f t="shared" si="309"/>
        <v>UN</v>
      </c>
      <c r="D7930" s="7">
        <v>918</v>
      </c>
      <c r="E7930" s="3">
        <v>11</v>
      </c>
      <c r="F7930" s="3">
        <v>11</v>
      </c>
      <c r="G7930" t="s">
        <v>514</v>
      </c>
    </row>
    <row r="7931" spans="1:7" x14ac:dyDescent="0.25">
      <c r="A7931" s="1" t="str">
        <f>"509913"</f>
        <v>509913</v>
      </c>
      <c r="B7931" s="2" t="str">
        <f>"COPO FILTRO S/ DRENO"</f>
        <v>COPO FILTRO S/ DRENO</v>
      </c>
      <c r="C7931" s="2" t="str">
        <f t="shared" si="309"/>
        <v>UN</v>
      </c>
      <c r="D7931" s="7">
        <v>402</v>
      </c>
      <c r="E7931" s="3">
        <v>4</v>
      </c>
      <c r="F7931" s="3">
        <v>4</v>
      </c>
      <c r="G7931" t="s">
        <v>513</v>
      </c>
    </row>
    <row r="7932" spans="1:7" x14ac:dyDescent="0.25">
      <c r="A7932" s="1" t="str">
        <f>"519173"</f>
        <v>519173</v>
      </c>
      <c r="B7932" s="2" t="str">
        <f>"COPO MEDIDOR 500ML"</f>
        <v>COPO MEDIDOR 500ML</v>
      </c>
      <c r="C7932" s="2" t="str">
        <f t="shared" si="309"/>
        <v>UN</v>
      </c>
      <c r="D7932" s="7">
        <v>400</v>
      </c>
      <c r="E7932" s="3">
        <v>4</v>
      </c>
      <c r="F7932" s="3">
        <v>4</v>
      </c>
      <c r="G7932" t="s">
        <v>512</v>
      </c>
    </row>
    <row r="7933" spans="1:7" x14ac:dyDescent="0.25">
      <c r="A7933" s="1" t="str">
        <f>"514988"</f>
        <v>514988</v>
      </c>
      <c r="B7933" s="2" t="str">
        <f>"COPO PARA ACIDIMETRO SALUT"</f>
        <v>COPO PARA ACIDIMETRO SALUT</v>
      </c>
      <c r="C7933" s="2" t="str">
        <f t="shared" si="309"/>
        <v>UN</v>
      </c>
      <c r="D7933" s="7">
        <v>303</v>
      </c>
      <c r="E7933" s="3">
        <v>3</v>
      </c>
      <c r="F7933" s="3">
        <v>3</v>
      </c>
      <c r="G7933" t="s">
        <v>513</v>
      </c>
    </row>
    <row r="7934" spans="1:7" x14ac:dyDescent="0.25">
      <c r="A7934" s="1" t="str">
        <f>"6679"</f>
        <v>6679</v>
      </c>
      <c r="B7934" s="2" t="str">
        <f>"COPO PARA DEGUSTACAO"</f>
        <v>COPO PARA DEGUSTACAO</v>
      </c>
      <c r="C7934" s="2" t="str">
        <f t="shared" si="309"/>
        <v>UN</v>
      </c>
      <c r="D7934" s="7">
        <v>401</v>
      </c>
      <c r="E7934" s="3">
        <v>4</v>
      </c>
      <c r="F7934" s="3">
        <v>4</v>
      </c>
      <c r="G7934" t="s">
        <v>514</v>
      </c>
    </row>
    <row r="7935" spans="1:7" x14ac:dyDescent="0.25">
      <c r="A7935" s="1" t="str">
        <f>"518221"</f>
        <v>518221</v>
      </c>
      <c r="B7935" s="2" t="str">
        <f>"COPO PIC-060 70X10GGR"</f>
        <v>COPO PIC-060 70X10GGR</v>
      </c>
      <c r="C7935" s="2" t="str">
        <f t="shared" si="309"/>
        <v>UN</v>
      </c>
      <c r="D7935" s="7">
        <v>920</v>
      </c>
      <c r="E7935" s="3">
        <v>4</v>
      </c>
      <c r="F7935" s="3">
        <v>4</v>
      </c>
      <c r="G7935" t="s">
        <v>514</v>
      </c>
    </row>
    <row r="7936" spans="1:7" x14ac:dyDescent="0.25">
      <c r="A7936" s="1" t="str">
        <f>"520773"</f>
        <v>520773</v>
      </c>
      <c r="B7936" s="2" t="str">
        <f>"COPO PLASTICO MEDIDOR"</f>
        <v>COPO PLASTICO MEDIDOR</v>
      </c>
      <c r="C7936" s="2" t="str">
        <f t="shared" si="309"/>
        <v>UN</v>
      </c>
      <c r="D7936" s="7">
        <v>99999</v>
      </c>
      <c r="E7936" s="3">
        <v>99</v>
      </c>
      <c r="F7936" s="3">
        <v>99</v>
      </c>
      <c r="G7936" t="s">
        <v>514</v>
      </c>
    </row>
    <row r="7937" spans="1:7" x14ac:dyDescent="0.25">
      <c r="A7937" s="1" t="str">
        <f>"8904"</f>
        <v>8904</v>
      </c>
      <c r="B7937" s="2" t="str">
        <f>"COPO ROTULADO BIOBALANCE F. VERM COM CHIA"</f>
        <v>COPO ROTULADO BIOBALANCE F. VERM COM CHIA</v>
      </c>
      <c r="C7937" s="2" t="str">
        <f t="shared" si="309"/>
        <v>UN</v>
      </c>
      <c r="D7937" s="7">
        <v>103</v>
      </c>
      <c r="E7937" s="3">
        <v>1</v>
      </c>
      <c r="F7937" s="3">
        <v>1</v>
      </c>
      <c r="G7937" t="s">
        <v>513</v>
      </c>
    </row>
    <row r="7938" spans="1:7" x14ac:dyDescent="0.25">
      <c r="A7938" s="1" t="str">
        <f>"8903"</f>
        <v>8903</v>
      </c>
      <c r="B7938" s="2" t="str">
        <f>"COPO ROTULADO BIOBALANCE MORANGO COM CHIA"</f>
        <v>COPO ROTULADO BIOBALANCE MORANGO COM CHIA</v>
      </c>
      <c r="C7938" s="2" t="str">
        <f t="shared" si="309"/>
        <v>UN</v>
      </c>
      <c r="D7938" s="7">
        <v>103</v>
      </c>
      <c r="E7938" s="3">
        <v>1</v>
      </c>
      <c r="F7938" s="3">
        <v>1</v>
      </c>
      <c r="G7938" t="s">
        <v>513</v>
      </c>
    </row>
    <row r="7939" spans="1:7" x14ac:dyDescent="0.25">
      <c r="A7939" s="1" t="str">
        <f>"6625"</f>
        <v>6625</v>
      </c>
      <c r="B7939" s="2" t="str">
        <f>"COPO ROTULADO IOG.FLAN AMEIXA"</f>
        <v>COPO ROTULADO IOG.FLAN AMEIXA</v>
      </c>
      <c r="C7939" s="2" t="str">
        <f t="shared" si="309"/>
        <v>UN</v>
      </c>
      <c r="D7939" s="7">
        <v>103</v>
      </c>
      <c r="E7939" s="3">
        <v>1</v>
      </c>
      <c r="F7939" s="3">
        <v>1</v>
      </c>
      <c r="G7939" t="s">
        <v>513</v>
      </c>
    </row>
    <row r="7940" spans="1:7" x14ac:dyDescent="0.25">
      <c r="A7940" s="1" t="str">
        <f>"6623"</f>
        <v>6623</v>
      </c>
      <c r="B7940" s="2" t="str">
        <f>"COPO ROTULADO IOG.FLAN CARAMELO"</f>
        <v>COPO ROTULADO IOG.FLAN CARAMELO</v>
      </c>
      <c r="C7940" s="2" t="str">
        <f t="shared" si="309"/>
        <v>UN</v>
      </c>
      <c r="D7940" s="7">
        <v>103</v>
      </c>
      <c r="E7940" s="3">
        <v>1</v>
      </c>
      <c r="F7940" s="3">
        <v>1</v>
      </c>
      <c r="G7940" t="s">
        <v>512</v>
      </c>
    </row>
    <row r="7941" spans="1:7" x14ac:dyDescent="0.25">
      <c r="A7941" s="1" t="str">
        <f>"6624"</f>
        <v>6624</v>
      </c>
      <c r="B7941" s="2" t="str">
        <f>"COPO ROTULADO IOG.FLAN GOIABA"</f>
        <v>COPO ROTULADO IOG.FLAN GOIABA</v>
      </c>
      <c r="C7941" s="2" t="str">
        <f t="shared" si="309"/>
        <v>UN</v>
      </c>
      <c r="D7941" s="7">
        <v>103</v>
      </c>
      <c r="E7941" s="3">
        <v>1</v>
      </c>
      <c r="F7941" s="3">
        <v>1</v>
      </c>
      <c r="G7941" t="s">
        <v>513</v>
      </c>
    </row>
    <row r="7942" spans="1:7" x14ac:dyDescent="0.25">
      <c r="A7942" s="1" t="str">
        <f>"6621"</f>
        <v>6621</v>
      </c>
      <c r="B7942" s="2" t="str">
        <f>"COPO ROTULADO IOG.GREGO FRUTAS VERMELHAS"</f>
        <v>COPO ROTULADO IOG.GREGO FRUTAS VERMELHAS</v>
      </c>
      <c r="C7942" s="2" t="str">
        <f t="shared" si="309"/>
        <v>UN</v>
      </c>
      <c r="D7942" s="7">
        <v>103</v>
      </c>
      <c r="E7942" s="3">
        <v>1</v>
      </c>
      <c r="F7942" s="3">
        <v>1</v>
      </c>
      <c r="G7942" t="s">
        <v>514</v>
      </c>
    </row>
    <row r="7943" spans="1:7" x14ac:dyDescent="0.25">
      <c r="A7943" s="1" t="str">
        <f>"6618"</f>
        <v>6618</v>
      </c>
      <c r="B7943" s="2" t="str">
        <f>"COPO ROTULADO IOG.GREGO LIGHT"</f>
        <v>COPO ROTULADO IOG.GREGO LIGHT</v>
      </c>
      <c r="C7943" s="2" t="str">
        <f t="shared" si="309"/>
        <v>UN</v>
      </c>
      <c r="D7943" s="7">
        <v>103</v>
      </c>
      <c r="E7943" s="3">
        <v>1</v>
      </c>
      <c r="F7943" s="3">
        <v>1</v>
      </c>
      <c r="G7943" t="s">
        <v>515</v>
      </c>
    </row>
    <row r="7944" spans="1:7" x14ac:dyDescent="0.25">
      <c r="A7944" s="1" t="str">
        <f>"6622"</f>
        <v>6622</v>
      </c>
      <c r="B7944" s="2" t="str">
        <f>"COPO ROTULADO IOG.GREGO MARACUJA"</f>
        <v>COPO ROTULADO IOG.GREGO MARACUJA</v>
      </c>
      <c r="C7944" s="2" t="str">
        <f t="shared" si="309"/>
        <v>UN</v>
      </c>
      <c r="D7944" s="7">
        <v>103</v>
      </c>
      <c r="E7944" s="3">
        <v>1</v>
      </c>
      <c r="F7944" s="3">
        <v>1</v>
      </c>
      <c r="G7944" t="s">
        <v>512</v>
      </c>
    </row>
    <row r="7945" spans="1:7" x14ac:dyDescent="0.25">
      <c r="A7945" s="1" t="str">
        <f>"6620"</f>
        <v>6620</v>
      </c>
      <c r="B7945" s="2" t="str">
        <f>"COPO ROTULADO IOG.GREGO MORANGO"</f>
        <v>COPO ROTULADO IOG.GREGO MORANGO</v>
      </c>
      <c r="C7945" s="2" t="str">
        <f t="shared" si="309"/>
        <v>UN</v>
      </c>
      <c r="D7945" s="7">
        <v>103</v>
      </c>
      <c r="E7945" s="3">
        <v>1</v>
      </c>
      <c r="F7945" s="3">
        <v>1</v>
      </c>
      <c r="G7945" t="s">
        <v>516</v>
      </c>
    </row>
    <row r="7946" spans="1:7" x14ac:dyDescent="0.25">
      <c r="A7946" s="1" t="str">
        <f>"6619"</f>
        <v>6619</v>
      </c>
      <c r="B7946" s="2" t="str">
        <f>"COPO ROTULADO IOG.GREGO NATURAL"</f>
        <v>COPO ROTULADO IOG.GREGO NATURAL</v>
      </c>
      <c r="C7946" s="2" t="str">
        <f t="shared" si="309"/>
        <v>UN</v>
      </c>
      <c r="D7946" s="7">
        <v>103</v>
      </c>
      <c r="E7946" s="3">
        <v>1</v>
      </c>
      <c r="F7946" s="3">
        <v>1</v>
      </c>
      <c r="G7946" t="s">
        <v>515</v>
      </c>
    </row>
    <row r="7947" spans="1:7" x14ac:dyDescent="0.25">
      <c r="A7947" s="1" t="str">
        <f>"6614"</f>
        <v>6614</v>
      </c>
      <c r="B7947" s="2" t="str">
        <f>"COPO ROTULADO LAVITA FLOCOS DE MILHO"</f>
        <v>COPO ROTULADO LAVITA FLOCOS DE MILHO</v>
      </c>
      <c r="C7947" s="2" t="str">
        <f t="shared" si="309"/>
        <v>UN</v>
      </c>
      <c r="D7947" s="7">
        <v>103</v>
      </c>
      <c r="E7947" s="3">
        <v>1</v>
      </c>
      <c r="F7947" s="3">
        <v>1</v>
      </c>
      <c r="G7947" t="s">
        <v>514</v>
      </c>
    </row>
    <row r="7948" spans="1:7" x14ac:dyDescent="0.25">
      <c r="A7948" s="1" t="str">
        <f>"6613"</f>
        <v>6613</v>
      </c>
      <c r="B7948" s="2" t="str">
        <f>"COPO ROTULADO LAVITA GRANOLA"</f>
        <v>COPO ROTULADO LAVITA GRANOLA</v>
      </c>
      <c r="C7948" s="2" t="str">
        <f t="shared" si="309"/>
        <v>UN</v>
      </c>
      <c r="D7948" s="7">
        <v>103</v>
      </c>
      <c r="E7948" s="3">
        <v>1</v>
      </c>
      <c r="F7948" s="3">
        <v>1</v>
      </c>
      <c r="G7948" t="s">
        <v>512</v>
      </c>
    </row>
    <row r="7949" spans="1:7" x14ac:dyDescent="0.25">
      <c r="A7949" s="1" t="str">
        <f>"8902"</f>
        <v>8902</v>
      </c>
      <c r="B7949" s="2" t="str">
        <f>"COPO ROTULADO NAT DESNATADO SEM LACTOSE"</f>
        <v>COPO ROTULADO NAT DESNATADO SEM LACTOSE</v>
      </c>
      <c r="C7949" s="2" t="str">
        <f t="shared" si="309"/>
        <v>UN</v>
      </c>
      <c r="D7949" s="7">
        <v>103</v>
      </c>
      <c r="E7949" s="3">
        <v>1</v>
      </c>
      <c r="F7949" s="3">
        <v>1</v>
      </c>
      <c r="G7949" t="s">
        <v>513</v>
      </c>
    </row>
    <row r="7950" spans="1:7" x14ac:dyDescent="0.25">
      <c r="A7950" s="1" t="str">
        <f>"8901"</f>
        <v>8901</v>
      </c>
      <c r="B7950" s="2" t="str">
        <f>"COPO ROTULADO NAT INTEGRAL SEM LACTOSE"</f>
        <v>COPO ROTULADO NAT INTEGRAL SEM LACTOSE</v>
      </c>
      <c r="C7950" s="2" t="str">
        <f t="shared" si="309"/>
        <v>UN</v>
      </c>
      <c r="D7950" s="7">
        <v>103</v>
      </c>
      <c r="E7950" s="3">
        <v>1</v>
      </c>
      <c r="F7950" s="3">
        <v>1</v>
      </c>
      <c r="G7950" t="s">
        <v>514</v>
      </c>
    </row>
    <row r="7951" spans="1:7" x14ac:dyDescent="0.25">
      <c r="A7951" s="1" t="str">
        <f>"8905"</f>
        <v>8905</v>
      </c>
      <c r="B7951" s="2" t="str">
        <f>"COPO ROTULADO PEDACOS FRUTAS MOR SEM LACTOSE"</f>
        <v>COPO ROTULADO PEDACOS FRUTAS MOR SEM LACTOSE</v>
      </c>
      <c r="C7951" s="2" t="str">
        <f t="shared" si="309"/>
        <v>UN</v>
      </c>
      <c r="D7951" s="7">
        <v>103</v>
      </c>
      <c r="E7951" s="3">
        <v>1</v>
      </c>
      <c r="F7951" s="3">
        <v>1</v>
      </c>
      <c r="G7951" t="s">
        <v>514</v>
      </c>
    </row>
    <row r="7952" spans="1:7" x14ac:dyDescent="0.25">
      <c r="A7952" s="1" t="str">
        <f>"8906"</f>
        <v>8906</v>
      </c>
      <c r="B7952" s="2" t="str">
        <f>"COPO ROTULADO PEDACOS FRUTAS VERM SEM LACTOSE"</f>
        <v>COPO ROTULADO PEDACOS FRUTAS VERM SEM LACTOSE</v>
      </c>
      <c r="C7952" s="2" t="str">
        <f t="shared" si="309"/>
        <v>UN</v>
      </c>
      <c r="D7952" s="7">
        <v>103</v>
      </c>
      <c r="E7952" s="3">
        <v>1</v>
      </c>
      <c r="F7952" s="3">
        <v>1</v>
      </c>
      <c r="G7952" t="s">
        <v>512</v>
      </c>
    </row>
    <row r="7953" spans="1:7" x14ac:dyDescent="0.25">
      <c r="A7953" s="1" t="str">
        <f>"6140"</f>
        <v>6140</v>
      </c>
      <c r="B7953" s="2" t="str">
        <f>"COPO SOBRE COPO 67 x 32mm Bibi Bits e Lavita"</f>
        <v>COPO SOBRE COPO 67 x 32mm Bibi Bits e Lavita</v>
      </c>
      <c r="C7953" s="2" t="str">
        <f t="shared" si="309"/>
        <v>UN</v>
      </c>
      <c r="D7953" s="7">
        <v>103</v>
      </c>
      <c r="E7953" s="3">
        <v>1</v>
      </c>
      <c r="F7953" s="3">
        <v>1</v>
      </c>
      <c r="G7953" t="s">
        <v>513</v>
      </c>
    </row>
    <row r="7954" spans="1:7" x14ac:dyDescent="0.25">
      <c r="A7954" s="1" t="str">
        <f>"6136"</f>
        <v>6136</v>
      </c>
      <c r="B7954" s="2" t="str">
        <f>"COPO SOBRE COPO 67X28  (130GR) BIBI BITS"</f>
        <v>COPO SOBRE COPO 67X28  (130GR) BIBI BITS</v>
      </c>
      <c r="C7954" s="2" t="str">
        <f t="shared" si="309"/>
        <v>UN</v>
      </c>
      <c r="D7954" s="7">
        <v>103</v>
      </c>
      <c r="E7954" s="3">
        <v>1</v>
      </c>
      <c r="F7954" s="3">
        <v>1</v>
      </c>
      <c r="G7954" t="s">
        <v>514</v>
      </c>
    </row>
    <row r="7955" spans="1:7" x14ac:dyDescent="0.25">
      <c r="A7955" s="1" t="str">
        <f>"783"</f>
        <v>783</v>
      </c>
      <c r="B7955" s="2" t="str">
        <f>"COPO SOBRE COPO 75 X 26 - LA VITA"</f>
        <v>COPO SOBRE COPO 75 X 26 - LA VITA</v>
      </c>
      <c r="C7955" s="2" t="str">
        <f t="shared" si="309"/>
        <v>UN</v>
      </c>
      <c r="D7955" s="7">
        <v>103</v>
      </c>
      <c r="E7955" s="3">
        <v>1</v>
      </c>
      <c r="F7955" s="3">
        <v>1</v>
      </c>
      <c r="G7955" t="s">
        <v>514</v>
      </c>
    </row>
    <row r="7956" spans="1:7" x14ac:dyDescent="0.25">
      <c r="A7956" s="1" t="str">
        <f>"6590"</f>
        <v>6590</v>
      </c>
      <c r="B7956" s="2" t="str">
        <f>"COPO SOBRE COPO BANANA LAVITA MONTADO"</f>
        <v>COPO SOBRE COPO BANANA LAVITA MONTADO</v>
      </c>
      <c r="C7956" s="2" t="str">
        <f t="shared" si="309"/>
        <v>UN</v>
      </c>
      <c r="D7956" s="7">
        <v>103</v>
      </c>
      <c r="E7956" s="3">
        <v>1</v>
      </c>
      <c r="F7956" s="3">
        <v>1</v>
      </c>
      <c r="G7956" t="s">
        <v>514</v>
      </c>
    </row>
    <row r="7957" spans="1:7" x14ac:dyDescent="0.25">
      <c r="A7957" s="1" t="str">
        <f>"6592"</f>
        <v>6592</v>
      </c>
      <c r="B7957" s="2" t="str">
        <f>"COPO SOBRE COPO CHOCOPOWER BIBI BITS MONTADO"</f>
        <v>COPO SOBRE COPO CHOCOPOWER BIBI BITS MONTADO</v>
      </c>
      <c r="C7957" s="2" t="str">
        <f t="shared" si="309"/>
        <v>UN</v>
      </c>
      <c r="D7957" s="7">
        <v>103</v>
      </c>
      <c r="E7957" s="3">
        <v>1</v>
      </c>
      <c r="F7957" s="3">
        <v>1</v>
      </c>
      <c r="G7957" t="s">
        <v>513</v>
      </c>
    </row>
    <row r="7958" spans="1:7" x14ac:dyDescent="0.25">
      <c r="A7958" s="1" t="str">
        <f>"6582"</f>
        <v>6582</v>
      </c>
      <c r="B7958" s="2" t="str">
        <f>"COPO SOBRE COPO COLORIDO MONTADO"</f>
        <v>COPO SOBRE COPO COLORIDO MONTADO</v>
      </c>
      <c r="C7958" s="2" t="str">
        <f t="shared" si="309"/>
        <v>UN</v>
      </c>
      <c r="D7958" s="7">
        <v>103</v>
      </c>
      <c r="E7958" s="3">
        <v>1</v>
      </c>
      <c r="F7958" s="3">
        <v>1</v>
      </c>
      <c r="G7958" t="s">
        <v>512</v>
      </c>
    </row>
    <row r="7959" spans="1:7" x14ac:dyDescent="0.25">
      <c r="A7959" s="1" t="str">
        <f>"6591"</f>
        <v>6591</v>
      </c>
      <c r="B7959" s="2" t="str">
        <f>"COPO SOBRE COPO FRUTAS AMARELAS LAVITA MONTADO"</f>
        <v>COPO SOBRE COPO FRUTAS AMARELAS LAVITA MONTADO</v>
      </c>
      <c r="C7959" s="2" t="str">
        <f t="shared" ref="C7959:C7978" si="310">"UN"</f>
        <v>UN</v>
      </c>
      <c r="D7959" s="7">
        <v>103</v>
      </c>
      <c r="E7959" s="3">
        <v>1</v>
      </c>
      <c r="F7959" s="3">
        <v>1</v>
      </c>
      <c r="G7959" t="s">
        <v>513</v>
      </c>
    </row>
    <row r="7960" spans="1:7" x14ac:dyDescent="0.25">
      <c r="A7960" s="1" t="str">
        <f>"6584"</f>
        <v>6584</v>
      </c>
      <c r="B7960" s="2" t="str">
        <f>"COPO SOBRE COPO GRANOLA LAVITA MONTADO"</f>
        <v>COPO SOBRE COPO GRANOLA LAVITA MONTADO</v>
      </c>
      <c r="C7960" s="2" t="str">
        <f t="shared" si="310"/>
        <v>UN</v>
      </c>
      <c r="D7960" s="7">
        <v>103</v>
      </c>
      <c r="E7960" s="3">
        <v>1</v>
      </c>
      <c r="F7960" s="3">
        <v>1</v>
      </c>
      <c r="G7960" t="s">
        <v>514</v>
      </c>
    </row>
    <row r="7961" spans="1:7" x14ac:dyDescent="0.25">
      <c r="A7961" s="1" t="str">
        <f>"6586"</f>
        <v>6586</v>
      </c>
      <c r="B7961" s="2" t="str">
        <f>"COPO SOBRE COPO MINI DISQUETE BIBI BITS MONTADO"</f>
        <v>COPO SOBRE COPO MINI DISQUETE BIBI BITS MONTADO</v>
      </c>
      <c r="C7961" s="2" t="str">
        <f t="shared" si="310"/>
        <v>UN</v>
      </c>
      <c r="D7961" s="7">
        <v>103</v>
      </c>
      <c r="E7961" s="3">
        <v>1</v>
      </c>
      <c r="F7961" s="3">
        <v>1</v>
      </c>
      <c r="G7961" t="s">
        <v>514</v>
      </c>
    </row>
    <row r="7962" spans="1:7" x14ac:dyDescent="0.25">
      <c r="A7962" s="1" t="str">
        <f>"6588"</f>
        <v>6588</v>
      </c>
      <c r="B7962" s="2" t="str">
        <f>"COPO SOBRE COPO MORANGO LAVITA MONTADO"</f>
        <v>COPO SOBRE COPO MORANGO LAVITA MONTADO</v>
      </c>
      <c r="C7962" s="2" t="str">
        <f t="shared" si="310"/>
        <v>UN</v>
      </c>
      <c r="D7962" s="7">
        <v>103</v>
      </c>
      <c r="E7962" s="3">
        <v>1</v>
      </c>
      <c r="F7962" s="3">
        <v>1</v>
      </c>
      <c r="G7962" t="s">
        <v>514</v>
      </c>
    </row>
    <row r="7963" spans="1:7" x14ac:dyDescent="0.25">
      <c r="A7963" s="1" t="str">
        <f>"6589"</f>
        <v>6589</v>
      </c>
      <c r="B7963" s="2" t="str">
        <f>"COPO SOBRE COPO PESSEGO LAVITA MONTADO"</f>
        <v>COPO SOBRE COPO PESSEGO LAVITA MONTADO</v>
      </c>
      <c r="C7963" s="2" t="str">
        <f t="shared" si="310"/>
        <v>UN</v>
      </c>
      <c r="D7963" s="7">
        <v>103</v>
      </c>
      <c r="E7963" s="3">
        <v>1</v>
      </c>
      <c r="F7963" s="3">
        <v>1</v>
      </c>
      <c r="G7963" t="s">
        <v>513</v>
      </c>
    </row>
    <row r="7964" spans="1:7" x14ac:dyDescent="0.25">
      <c r="A7964" s="1" t="str">
        <f>"6672"</f>
        <v>6672</v>
      </c>
      <c r="B7964" s="2" t="str">
        <f>"COPO SOBRE COPO PRETO E BRANCO MONTADO"</f>
        <v>COPO SOBRE COPO PRETO E BRANCO MONTADO</v>
      </c>
      <c r="C7964" s="2" t="str">
        <f t="shared" si="310"/>
        <v>UN</v>
      </c>
      <c r="D7964" s="7">
        <v>103</v>
      </c>
      <c r="E7964" s="3">
        <v>1</v>
      </c>
      <c r="F7964" s="3">
        <v>1</v>
      </c>
      <c r="G7964" t="s">
        <v>513</v>
      </c>
    </row>
    <row r="7965" spans="1:7" x14ac:dyDescent="0.25">
      <c r="A7965" s="1" t="str">
        <f>"6585"</f>
        <v>6585</v>
      </c>
      <c r="B7965" s="2" t="str">
        <f>"COPO SOBRE COPO SUCRILHOS BIBI BITS MONTADO"</f>
        <v>COPO SOBRE COPO SUCRILHOS BIBI BITS MONTADO</v>
      </c>
      <c r="C7965" s="2" t="str">
        <f t="shared" si="310"/>
        <v>UN</v>
      </c>
      <c r="D7965" s="7">
        <v>103</v>
      </c>
      <c r="E7965" s="3">
        <v>1</v>
      </c>
      <c r="F7965" s="3">
        <v>1</v>
      </c>
      <c r="G7965" t="s">
        <v>513</v>
      </c>
    </row>
    <row r="7966" spans="1:7" x14ac:dyDescent="0.25">
      <c r="A7966" s="1" t="str">
        <f>"6583"</f>
        <v>6583</v>
      </c>
      <c r="B7966" s="2" t="str">
        <f>"COPO SOBRE COPO SUCRILHOS LAVITA MONTADO"</f>
        <v>COPO SOBRE COPO SUCRILHOS LAVITA MONTADO</v>
      </c>
      <c r="C7966" s="2" t="str">
        <f t="shared" si="310"/>
        <v>UN</v>
      </c>
      <c r="D7966" s="7">
        <v>103</v>
      </c>
      <c r="E7966" s="3">
        <v>1</v>
      </c>
      <c r="F7966" s="3">
        <v>1</v>
      </c>
      <c r="G7966" t="s">
        <v>512</v>
      </c>
    </row>
    <row r="7967" spans="1:7" x14ac:dyDescent="0.25">
      <c r="A7967" s="1" t="str">
        <f>"513981"</f>
        <v>513981</v>
      </c>
      <c r="B7967" s="2" t="str">
        <f>"COPO TRANSPARENTE 100ML DEGUSTACAO"</f>
        <v>COPO TRANSPARENTE 100ML DEGUSTACAO</v>
      </c>
      <c r="C7967" s="2" t="str">
        <f t="shared" si="310"/>
        <v>UN</v>
      </c>
      <c r="D7967" s="7">
        <v>99999</v>
      </c>
      <c r="E7967" s="3">
        <v>99</v>
      </c>
      <c r="F7967" s="3">
        <v>99</v>
      </c>
      <c r="G7967" t="s">
        <v>513</v>
      </c>
    </row>
    <row r="7968" spans="1:7" x14ac:dyDescent="0.25">
      <c r="A7968" s="1" t="str">
        <f>"513982"</f>
        <v>513982</v>
      </c>
      <c r="B7968" s="2" t="str">
        <f>"COPO TRANSPARENTE 100ML DEGUSTACAO"</f>
        <v>COPO TRANSPARENTE 100ML DEGUSTACAO</v>
      </c>
      <c r="C7968" s="2" t="str">
        <f t="shared" si="310"/>
        <v>UN</v>
      </c>
      <c r="D7968" s="7">
        <v>103</v>
      </c>
      <c r="E7968" s="3">
        <v>1</v>
      </c>
      <c r="F7968" s="3">
        <v>1</v>
      </c>
      <c r="G7968" t="s">
        <v>514</v>
      </c>
    </row>
    <row r="7969" spans="1:7" x14ac:dyDescent="0.25">
      <c r="A7969" s="1" t="str">
        <f>"124"</f>
        <v>124</v>
      </c>
      <c r="B7969" s="2" t="str">
        <f>"COPOS DESCARTAVEIS -  50 ML (CAFE)"</f>
        <v>COPOS DESCARTAVEIS -  50 ML (CAFE)</v>
      </c>
      <c r="C7969" s="2" t="str">
        <f t="shared" si="310"/>
        <v>UN</v>
      </c>
      <c r="D7969" s="7">
        <v>401</v>
      </c>
      <c r="E7969" s="3">
        <v>4</v>
      </c>
      <c r="F7969" s="3">
        <v>4</v>
      </c>
      <c r="G7969" t="s">
        <v>515</v>
      </c>
    </row>
    <row r="7970" spans="1:7" x14ac:dyDescent="0.25">
      <c r="A7970" s="1" t="str">
        <f>"125"</f>
        <v>125</v>
      </c>
      <c r="B7970" s="2" t="str">
        <f>"COPOS DESCARTAVEIS - 180 ML (AGUA)"</f>
        <v>COPOS DESCARTAVEIS - 180 ML (AGUA)</v>
      </c>
      <c r="C7970" s="2" t="str">
        <f t="shared" si="310"/>
        <v>UN</v>
      </c>
      <c r="D7970" s="7">
        <v>401</v>
      </c>
      <c r="E7970" s="3">
        <v>4</v>
      </c>
      <c r="F7970" s="3">
        <v>4</v>
      </c>
      <c r="G7970" t="s">
        <v>512</v>
      </c>
    </row>
    <row r="7971" spans="1:7" x14ac:dyDescent="0.25">
      <c r="A7971" s="1" t="str">
        <f>"6209"</f>
        <v>6209</v>
      </c>
      <c r="B7971" s="2" t="str">
        <f>"COPOS DESCARTAVEIS - 300ML (CAFE)"</f>
        <v>COPOS DESCARTAVEIS - 300ML (CAFE)</v>
      </c>
      <c r="C7971" s="2" t="str">
        <f t="shared" si="310"/>
        <v>UN</v>
      </c>
      <c r="D7971" s="7">
        <v>400</v>
      </c>
      <c r="E7971" s="3">
        <v>4</v>
      </c>
      <c r="F7971" s="3">
        <v>4</v>
      </c>
      <c r="G7971" t="s">
        <v>516</v>
      </c>
    </row>
    <row r="7972" spans="1:7" x14ac:dyDescent="0.25">
      <c r="A7972" s="1" t="str">
        <f>"524279"</f>
        <v>524279</v>
      </c>
      <c r="B7972" s="2" t="str">
        <f>"COQUES 200MG CX C/ 10 COMPRIMIDOS"</f>
        <v>COQUES 200MG CX C/ 10 COMPRIMIDOS</v>
      </c>
      <c r="C7972" s="2" t="str">
        <f t="shared" si="310"/>
        <v>UN</v>
      </c>
      <c r="D7972" s="7">
        <v>99999</v>
      </c>
      <c r="E7972" s="3">
        <v>99</v>
      </c>
      <c r="F7972" s="3">
        <v>99</v>
      </c>
      <c r="G7972" t="s">
        <v>515</v>
      </c>
    </row>
    <row r="7973" spans="1:7" x14ac:dyDescent="0.25">
      <c r="A7973" s="1" t="str">
        <f>"523766"</f>
        <v>523766</v>
      </c>
      <c r="B7973" s="2" t="str">
        <f>"COQUETEL"</f>
        <v>COQUETEL</v>
      </c>
      <c r="C7973" s="2" t="str">
        <f t="shared" si="310"/>
        <v>UN</v>
      </c>
      <c r="D7973" s="7">
        <v>99999</v>
      </c>
      <c r="E7973" s="3">
        <v>99</v>
      </c>
      <c r="F7973" s="3">
        <v>99</v>
      </c>
      <c r="G7973" t="s">
        <v>514</v>
      </c>
    </row>
    <row r="7974" spans="1:7" x14ac:dyDescent="0.25">
      <c r="A7974" s="1" t="str">
        <f>"505961"</f>
        <v>505961</v>
      </c>
      <c r="B7974" s="2" t="str">
        <f>"CORALIT ACET BRANCO"</f>
        <v>CORALIT ACET BRANCO</v>
      </c>
      <c r="C7974" s="2" t="str">
        <f t="shared" si="310"/>
        <v>UN</v>
      </c>
      <c r="D7974" s="7">
        <v>804</v>
      </c>
      <c r="E7974" s="3">
        <v>10</v>
      </c>
      <c r="F7974" s="3">
        <v>10</v>
      </c>
      <c r="G7974" t="s">
        <v>512</v>
      </c>
    </row>
    <row r="7975" spans="1:7" x14ac:dyDescent="0.25">
      <c r="A7975" s="1" t="str">
        <f>"506028"</f>
        <v>506028</v>
      </c>
      <c r="B7975" s="2" t="str">
        <f>"CORALPLUS SL K119 18LT"</f>
        <v>CORALPLUS SL K119 18LT</v>
      </c>
      <c r="C7975" s="2" t="str">
        <f t="shared" si="310"/>
        <v>UN</v>
      </c>
      <c r="D7975" s="7">
        <v>804</v>
      </c>
      <c r="E7975" s="3">
        <v>10</v>
      </c>
      <c r="F7975" s="3">
        <v>10</v>
      </c>
      <c r="G7975" t="s">
        <v>513</v>
      </c>
    </row>
    <row r="7976" spans="1:7" x14ac:dyDescent="0.25">
      <c r="A7976" s="1" t="str">
        <f>"505960"</f>
        <v>505960</v>
      </c>
      <c r="B7976" s="2" t="str">
        <f>"CORALPLUS SL PISTACHE 3X 18LT"</f>
        <v>CORALPLUS SL PISTACHE 3X 18LT</v>
      </c>
      <c r="C7976" s="2" t="str">
        <f t="shared" si="310"/>
        <v>UN</v>
      </c>
      <c r="D7976" s="7">
        <v>804</v>
      </c>
      <c r="E7976" s="3">
        <v>10</v>
      </c>
      <c r="F7976" s="3">
        <v>10</v>
      </c>
      <c r="G7976" t="s">
        <v>514</v>
      </c>
    </row>
    <row r="7977" spans="1:7" x14ac:dyDescent="0.25">
      <c r="A7977" s="1" t="str">
        <f>"505958"</f>
        <v>505958</v>
      </c>
      <c r="B7977" s="2" t="str">
        <f>"CORALPLUS SL Y106 18LT"</f>
        <v>CORALPLUS SL Y106 18LT</v>
      </c>
      <c r="C7977" s="2" t="str">
        <f t="shared" si="310"/>
        <v>UN</v>
      </c>
      <c r="D7977" s="7">
        <v>804</v>
      </c>
      <c r="E7977" s="3">
        <v>10</v>
      </c>
      <c r="F7977" s="3">
        <v>10</v>
      </c>
      <c r="G7977" t="s">
        <v>514</v>
      </c>
    </row>
    <row r="7978" spans="1:7" x14ac:dyDescent="0.25">
      <c r="A7978" s="1" t="str">
        <f>"506026"</f>
        <v>506026</v>
      </c>
      <c r="B7978" s="2" t="str">
        <f>"CORALPLUS SL Y108 18LT"</f>
        <v>CORALPLUS SL Y108 18LT</v>
      </c>
      <c r="C7978" s="2" t="str">
        <f t="shared" si="310"/>
        <v>UN</v>
      </c>
      <c r="D7978" s="7">
        <v>804</v>
      </c>
      <c r="E7978" s="3">
        <v>10</v>
      </c>
      <c r="F7978" s="3">
        <v>10</v>
      </c>
      <c r="G7978" t="s">
        <v>512</v>
      </c>
    </row>
    <row r="7979" spans="1:7" x14ac:dyDescent="0.25">
      <c r="A7979" s="1" t="str">
        <f>"97"</f>
        <v>97</v>
      </c>
      <c r="B7979" s="2" t="str">
        <f>"CORANTE AZUL BILHANTE DILUIDO"</f>
        <v>CORANTE AZUL BILHANTE DILUIDO</v>
      </c>
      <c r="C7979" s="2" t="str">
        <f>"LT"</f>
        <v>LT</v>
      </c>
      <c r="D7979" s="7">
        <v>214</v>
      </c>
      <c r="E7979" s="3">
        <v>2</v>
      </c>
      <c r="F7979" s="3">
        <v>2</v>
      </c>
      <c r="G7979" t="s">
        <v>513</v>
      </c>
    </row>
    <row r="7980" spans="1:7" x14ac:dyDescent="0.25">
      <c r="A7980" s="1" t="str">
        <f>"96"</f>
        <v>96</v>
      </c>
      <c r="B7980" s="2" t="str">
        <f>"CORANTE AZUL BILHANTE PO"</f>
        <v>CORANTE AZUL BILHANTE PO</v>
      </c>
      <c r="C7980" s="2" t="str">
        <f>"KG"</f>
        <v>KG</v>
      </c>
      <c r="D7980" s="7">
        <v>214</v>
      </c>
      <c r="E7980" s="3">
        <v>2</v>
      </c>
      <c r="F7980" s="3">
        <v>2</v>
      </c>
      <c r="G7980" t="s">
        <v>514</v>
      </c>
    </row>
    <row r="7981" spans="1:7" x14ac:dyDescent="0.25">
      <c r="A7981" s="1" t="str">
        <f>"2569"</f>
        <v>2569</v>
      </c>
      <c r="B7981" s="2" t="str">
        <f>"CORANTE CARAMELO DUPLOA COD. DP"</f>
        <v>CORANTE CARAMELO DUPLOA COD. DP</v>
      </c>
      <c r="C7981" s="2" t="str">
        <f>"KG"</f>
        <v>KG</v>
      </c>
      <c r="D7981" s="7">
        <v>214</v>
      </c>
      <c r="E7981" s="3">
        <v>2</v>
      </c>
      <c r="F7981" s="3">
        <v>2</v>
      </c>
      <c r="G7981" t="s">
        <v>514</v>
      </c>
    </row>
    <row r="7982" spans="1:7" x14ac:dyDescent="0.25">
      <c r="A7982" s="1" t="str">
        <f>"207"</f>
        <v>207</v>
      </c>
      <c r="B7982" s="2" t="str">
        <f>"CORANTE CARMIM DE COCHONILHA (3%)"</f>
        <v>CORANTE CARMIM DE COCHONILHA (3%)</v>
      </c>
      <c r="C7982" s="2" t="str">
        <f>"KG"</f>
        <v>KG</v>
      </c>
      <c r="D7982" s="7">
        <v>214</v>
      </c>
      <c r="E7982" s="3">
        <v>2</v>
      </c>
      <c r="F7982" s="3">
        <v>2</v>
      </c>
      <c r="G7982" t="s">
        <v>514</v>
      </c>
    </row>
    <row r="7983" spans="1:7" x14ac:dyDescent="0.25">
      <c r="A7983" s="1" t="str">
        <f>"514762"</f>
        <v>514762</v>
      </c>
      <c r="B7983" s="2" t="str">
        <f>"CORANTE EM PO AMARELO"</f>
        <v>CORANTE EM PO AMARELO</v>
      </c>
      <c r="C7983" s="2" t="str">
        <f>"UN"</f>
        <v>UN</v>
      </c>
      <c r="D7983" s="7">
        <v>403</v>
      </c>
      <c r="E7983" s="3">
        <v>4</v>
      </c>
      <c r="F7983" s="3">
        <v>4</v>
      </c>
      <c r="G7983" t="s">
        <v>513</v>
      </c>
    </row>
    <row r="7984" spans="1:7" x14ac:dyDescent="0.25">
      <c r="A7984" s="1" t="str">
        <f>"208"</f>
        <v>208</v>
      </c>
      <c r="B7984" s="2" t="str">
        <f>"CORANTE MIX VERMELHO DOREMUS CÓD.688."</f>
        <v>CORANTE MIX VERMELHO DOREMUS CÓD.688.</v>
      </c>
      <c r="C7984" s="2" t="str">
        <f>"KG"</f>
        <v>KG</v>
      </c>
      <c r="D7984" s="7">
        <v>214</v>
      </c>
      <c r="E7984" s="3">
        <v>2</v>
      </c>
      <c r="F7984" s="3">
        <v>2</v>
      </c>
      <c r="G7984" t="s">
        <v>512</v>
      </c>
    </row>
    <row r="7985" spans="1:7" x14ac:dyDescent="0.25">
      <c r="A7985" s="1" t="str">
        <f>"244"</f>
        <v>244</v>
      </c>
      <c r="B7985" s="2" t="str">
        <f>"CORANTE NATURAL DE URUCUM A-200 WS"</f>
        <v>CORANTE NATURAL DE URUCUM A-200 WS</v>
      </c>
      <c r="C7985" s="2" t="str">
        <f>"KG"</f>
        <v>KG</v>
      </c>
      <c r="D7985" s="7">
        <v>214</v>
      </c>
      <c r="E7985" s="3">
        <v>2</v>
      </c>
      <c r="F7985" s="3">
        <v>2</v>
      </c>
      <c r="G7985" t="s">
        <v>513</v>
      </c>
    </row>
    <row r="7986" spans="1:7" x14ac:dyDescent="0.25">
      <c r="A7986" s="1" t="str">
        <f>"AG32030019"</f>
        <v>AG32030019</v>
      </c>
      <c r="B7986" s="2" t="str">
        <f>"CORANTE ORIGEM VEGETAL AMOSTRA GRATIS"</f>
        <v>CORANTE ORIGEM VEGETAL AMOSTRA GRATIS</v>
      </c>
      <c r="C7986" s="2" t="str">
        <f>"UN"</f>
        <v>UN</v>
      </c>
      <c r="D7986" s="7">
        <v>99999</v>
      </c>
      <c r="E7986" s="3">
        <v>99</v>
      </c>
      <c r="F7986" s="3">
        <v>99</v>
      </c>
      <c r="G7986" t="s">
        <v>514</v>
      </c>
    </row>
    <row r="7987" spans="1:7" x14ac:dyDescent="0.25">
      <c r="A7987" s="1" t="str">
        <f>"5828"</f>
        <v>5828</v>
      </c>
      <c r="B7987" s="2" t="str">
        <f>"CORANTE PONCEAU MEXICANO DILUIDO"</f>
        <v>CORANTE PONCEAU MEXICANO DILUIDO</v>
      </c>
      <c r="C7987" s="2" t="str">
        <f>"LT"</f>
        <v>LT</v>
      </c>
      <c r="D7987" s="7">
        <v>214</v>
      </c>
      <c r="E7987" s="3">
        <v>2</v>
      </c>
      <c r="F7987" s="3">
        <v>2</v>
      </c>
      <c r="G7987" t="s">
        <v>514</v>
      </c>
    </row>
    <row r="7988" spans="1:7" x14ac:dyDescent="0.25">
      <c r="A7988" s="1" t="str">
        <f>"5827"</f>
        <v>5827</v>
      </c>
      <c r="B7988" s="2" t="str">
        <f>"CORANTE PONCEAU MEXICANO PÓ"</f>
        <v>CORANTE PONCEAU MEXICANO PÓ</v>
      </c>
      <c r="C7988" s="2" t="str">
        <f>"KG"</f>
        <v>KG</v>
      </c>
      <c r="D7988" s="7">
        <v>214</v>
      </c>
      <c r="E7988" s="3">
        <v>2</v>
      </c>
      <c r="F7988" s="3">
        <v>2</v>
      </c>
      <c r="G7988" t="s">
        <v>514</v>
      </c>
    </row>
    <row r="7989" spans="1:7" x14ac:dyDescent="0.25">
      <c r="A7989" s="1" t="str">
        <f>"517667"</f>
        <v>517667</v>
      </c>
      <c r="B7989" s="2" t="str">
        <f>"CORANTE SUVINIL LIQUIDO 50CC"</f>
        <v>CORANTE SUVINIL LIQUIDO 50CC</v>
      </c>
      <c r="C7989" s="2" t="str">
        <f>"UN"</f>
        <v>UN</v>
      </c>
      <c r="D7989" s="7">
        <v>917</v>
      </c>
      <c r="E7989" s="3">
        <v>10</v>
      </c>
      <c r="F7989" s="3">
        <v>10</v>
      </c>
      <c r="G7989" t="s">
        <v>513</v>
      </c>
    </row>
    <row r="7990" spans="1:7" x14ac:dyDescent="0.25">
      <c r="A7990" s="1" t="str">
        <f>"209"</f>
        <v>209</v>
      </c>
      <c r="B7990" s="2" t="str">
        <f>"CORANTE VERMELHO DOREMUS COD. LC 1208"</f>
        <v>CORANTE VERMELHO DOREMUS COD. LC 1208</v>
      </c>
      <c r="C7990" s="2" t="str">
        <f>"KG"</f>
        <v>KG</v>
      </c>
      <c r="D7990" s="7">
        <v>214</v>
      </c>
      <c r="E7990" s="3">
        <v>2</v>
      </c>
      <c r="F7990" s="3">
        <v>2</v>
      </c>
      <c r="G7990" t="s">
        <v>513</v>
      </c>
    </row>
    <row r="7991" spans="1:7" x14ac:dyDescent="0.25">
      <c r="A7991" s="1" t="str">
        <f>"3329"</f>
        <v>3329</v>
      </c>
      <c r="B7991" s="2" t="str">
        <f>"CORANTE VERMELHO PONCEAU LIQ. (VIVARE)"</f>
        <v>CORANTE VERMELHO PONCEAU LIQ. (VIVARE)</v>
      </c>
      <c r="C7991" s="2" t="str">
        <f>"KG"</f>
        <v>KG</v>
      </c>
      <c r="D7991" s="7">
        <v>214</v>
      </c>
      <c r="E7991" s="3">
        <v>2</v>
      </c>
      <c r="F7991" s="3">
        <v>2</v>
      </c>
      <c r="G7991" t="s">
        <v>513</v>
      </c>
    </row>
    <row r="7992" spans="1:7" x14ac:dyDescent="0.25">
      <c r="A7992" s="1" t="str">
        <f>"526075"</f>
        <v>526075</v>
      </c>
      <c r="B7992" s="2" t="str">
        <f>"CORDA"</f>
        <v>CORDA</v>
      </c>
      <c r="C7992" s="2" t="str">
        <f>"UN"</f>
        <v>UN</v>
      </c>
      <c r="D7992" s="7">
        <v>704</v>
      </c>
      <c r="E7992" s="3">
        <v>9</v>
      </c>
      <c r="F7992" s="3">
        <v>9</v>
      </c>
      <c r="G7992" t="s">
        <v>512</v>
      </c>
    </row>
    <row r="7993" spans="1:7" x14ac:dyDescent="0.25">
      <c r="A7993" s="1" t="str">
        <f>"514170"</f>
        <v>514170</v>
      </c>
      <c r="B7993" s="2" t="str">
        <f>"CORDA 12MM"</f>
        <v>CORDA 12MM</v>
      </c>
      <c r="C7993" s="2" t="str">
        <f>"UN"</f>
        <v>UN</v>
      </c>
      <c r="D7993" s="7">
        <v>99999</v>
      </c>
      <c r="E7993" s="3">
        <v>4</v>
      </c>
      <c r="F7993" s="3">
        <v>4</v>
      </c>
      <c r="G7993" t="s">
        <v>513</v>
      </c>
    </row>
    <row r="7994" spans="1:7" x14ac:dyDescent="0.25">
      <c r="A7994" s="1" t="str">
        <f>"523477"</f>
        <v>523477</v>
      </c>
      <c r="B7994" s="2" t="str">
        <f>"CORDA 3MM"</f>
        <v>CORDA 3MM</v>
      </c>
      <c r="C7994" s="2" t="str">
        <f>"MT"</f>
        <v>MT</v>
      </c>
      <c r="D7994" s="7">
        <v>99999</v>
      </c>
      <c r="E7994" s="3">
        <v>4</v>
      </c>
      <c r="F7994" s="3">
        <v>4</v>
      </c>
      <c r="G7994" t="s">
        <v>514</v>
      </c>
    </row>
    <row r="7995" spans="1:7" x14ac:dyDescent="0.25">
      <c r="A7995" s="1" t="str">
        <f>"526775"</f>
        <v>526775</v>
      </c>
      <c r="B7995" s="2" t="str">
        <f>"CORDA 8MM"</f>
        <v>CORDA 8MM</v>
      </c>
      <c r="C7995" s="2" t="str">
        <f>"UN"</f>
        <v>UN</v>
      </c>
      <c r="D7995" s="7">
        <v>99999</v>
      </c>
      <c r="E7995" s="3">
        <v>4</v>
      </c>
      <c r="F7995" s="3">
        <v>4</v>
      </c>
      <c r="G7995" t="s">
        <v>515</v>
      </c>
    </row>
    <row r="7996" spans="1:7" x14ac:dyDescent="0.25">
      <c r="A7996" s="1" t="str">
        <f>"522859"</f>
        <v>522859</v>
      </c>
      <c r="B7996" s="2" t="str">
        <f>"CORDA FLUTUANTE 12MM"</f>
        <v>CORDA FLUTUANTE 12MM</v>
      </c>
      <c r="C7996" s="2" t="str">
        <f>"UN"</f>
        <v>UN</v>
      </c>
      <c r="D7996" s="7">
        <v>501</v>
      </c>
      <c r="E7996" s="3">
        <v>4</v>
      </c>
      <c r="F7996" s="3">
        <v>4</v>
      </c>
      <c r="G7996" t="s">
        <v>512</v>
      </c>
    </row>
    <row r="7997" spans="1:7" x14ac:dyDescent="0.25">
      <c r="A7997" s="1" t="str">
        <f>"525048"</f>
        <v>525048</v>
      </c>
      <c r="B7997" s="2" t="str">
        <f>"CORDA NR 35"</f>
        <v>CORDA NR 35</v>
      </c>
      <c r="C7997" s="2" t="str">
        <f>"UN"</f>
        <v>UN</v>
      </c>
      <c r="D7997" s="7">
        <v>99999</v>
      </c>
      <c r="E7997" s="3">
        <v>99</v>
      </c>
      <c r="F7997" s="3">
        <v>99</v>
      </c>
      <c r="G7997" t="s">
        <v>516</v>
      </c>
    </row>
    <row r="7998" spans="1:7" x14ac:dyDescent="0.25">
      <c r="A7998" s="1" t="str">
        <f>"527288"</f>
        <v>527288</v>
      </c>
      <c r="B7998" s="2" t="str">
        <f>"CORDA SEMI ESTATICA 11MM KERMMANTLE CAPA/ALMA 100% POLIAMIDA"</f>
        <v>CORDA SEMI ESTATICA 11MM KERMMANTLE CAPA/ALMA 100% POLIAMIDA</v>
      </c>
      <c r="C7998" s="2" t="str">
        <f>"PC"</f>
        <v>PC</v>
      </c>
      <c r="D7998" s="7">
        <v>501</v>
      </c>
      <c r="E7998" s="3">
        <v>5</v>
      </c>
      <c r="F7998" s="3">
        <v>5</v>
      </c>
      <c r="G7998" t="s">
        <v>515</v>
      </c>
    </row>
    <row r="7999" spans="1:7" x14ac:dyDescent="0.25">
      <c r="A7999" s="1" t="str">
        <f>"510300"</f>
        <v>510300</v>
      </c>
      <c r="B7999" s="2" t="str">
        <f>"CORDAO"</f>
        <v>CORDAO</v>
      </c>
      <c r="C7999" s="2" t="str">
        <f>"UN"</f>
        <v>UN</v>
      </c>
      <c r="D7999" s="7">
        <v>402</v>
      </c>
      <c r="E7999" s="3">
        <v>4</v>
      </c>
      <c r="F7999" s="3">
        <v>4</v>
      </c>
      <c r="G7999" t="s">
        <v>514</v>
      </c>
    </row>
    <row r="8000" spans="1:7" x14ac:dyDescent="0.25">
      <c r="A8000" s="1" t="str">
        <f>"502246"</f>
        <v>502246</v>
      </c>
      <c r="B8000" s="2" t="str">
        <f>"CORDAO DE LUZ PARA BATERIA"</f>
        <v>CORDAO DE LUZ PARA BATERIA</v>
      </c>
      <c r="C8000" s="2" t="str">
        <f>"UN"</f>
        <v>UN</v>
      </c>
      <c r="D8000" s="7">
        <v>704</v>
      </c>
      <c r="E8000" s="3">
        <v>9</v>
      </c>
      <c r="F8000" s="3">
        <v>9</v>
      </c>
      <c r="G8000" t="s">
        <v>512</v>
      </c>
    </row>
    <row r="8001" spans="1:7" x14ac:dyDescent="0.25">
      <c r="A8001" s="1" t="str">
        <f>"528001"</f>
        <v>528001</v>
      </c>
      <c r="B8001" s="2" t="str">
        <f>"CORDÃO DUPLEX CONECTORIZADO  50 LC-UPC/LC-UPC 1,5M COG AM"</f>
        <v>CORDÃO DUPLEX CONECTORIZADO  50 LC-UPC/LC-UPC 1,5M COG AM</v>
      </c>
      <c r="C8001" s="2" t="str">
        <f>"MT"</f>
        <v>MT</v>
      </c>
      <c r="D8001" s="7">
        <v>602</v>
      </c>
      <c r="E8001" s="3">
        <v>8</v>
      </c>
      <c r="F8001" s="3">
        <v>8</v>
      </c>
      <c r="G8001" t="s">
        <v>513</v>
      </c>
    </row>
    <row r="8002" spans="1:7" x14ac:dyDescent="0.25">
      <c r="A8002" s="1" t="str">
        <f>"509622"</f>
        <v>509622</v>
      </c>
      <c r="B8002" s="2" t="str">
        <f>"CORDAO EM POLIESTER PARA CRACHA"</f>
        <v>CORDAO EM POLIESTER PARA CRACHA</v>
      </c>
      <c r="C8002" s="2" t="str">
        <f>"UN"</f>
        <v>UN</v>
      </c>
      <c r="D8002" s="7">
        <v>401</v>
      </c>
      <c r="E8002" s="3">
        <v>4</v>
      </c>
      <c r="F8002" s="3">
        <v>4</v>
      </c>
      <c r="G8002" t="s">
        <v>514</v>
      </c>
    </row>
    <row r="8003" spans="1:7" x14ac:dyDescent="0.25">
      <c r="A8003" s="1" t="str">
        <f>"527253"</f>
        <v>527253</v>
      </c>
      <c r="B8003" s="2" t="str">
        <f>"CORDAO EPDM RETANGULAR 10MM X 5MM"</f>
        <v>CORDAO EPDM RETANGULAR 10MM X 5MM</v>
      </c>
      <c r="C8003" s="2" t="str">
        <f>"MT"</f>
        <v>MT</v>
      </c>
      <c r="D8003" s="7">
        <v>918</v>
      </c>
      <c r="E8003" s="3">
        <v>11</v>
      </c>
      <c r="F8003" s="3">
        <v>11</v>
      </c>
      <c r="G8003" t="s">
        <v>514</v>
      </c>
    </row>
    <row r="8004" spans="1:7" x14ac:dyDescent="0.25">
      <c r="A8004" s="1" t="str">
        <f>"520886"</f>
        <v>520886</v>
      </c>
      <c r="B8004" s="2" t="str">
        <f>"CORDÃO OPTICO DUPLEX MM 50,0 SC/SC 2,5M"</f>
        <v>CORDÃO OPTICO DUPLEX MM 50,0 SC/SC 2,5M</v>
      </c>
      <c r="C8004" s="2" t="str">
        <f>"MT"</f>
        <v>MT</v>
      </c>
      <c r="D8004" s="7">
        <v>602</v>
      </c>
      <c r="E8004" s="3">
        <v>8</v>
      </c>
      <c r="F8004" s="3">
        <v>8</v>
      </c>
      <c r="G8004" t="s">
        <v>512</v>
      </c>
    </row>
    <row r="8005" spans="1:7" x14ac:dyDescent="0.25">
      <c r="A8005" s="1" t="str">
        <f>"526656"</f>
        <v>526656</v>
      </c>
      <c r="B8005" s="2" t="str">
        <f>"CORDÃO ORING 2MM"</f>
        <v>CORDÃO ORING 2MM</v>
      </c>
      <c r="C8005" s="2" t="str">
        <f t="shared" ref="C8005:C8011" si="311">"UN"</f>
        <v>UN</v>
      </c>
      <c r="D8005" s="7">
        <v>918</v>
      </c>
      <c r="E8005" s="3">
        <v>11</v>
      </c>
      <c r="F8005" s="3">
        <v>11</v>
      </c>
      <c r="G8005" t="s">
        <v>513</v>
      </c>
    </row>
    <row r="8006" spans="1:7" x14ac:dyDescent="0.25">
      <c r="A8006" s="1" t="str">
        <f>"526927"</f>
        <v>526927</v>
      </c>
      <c r="B8006" s="2" t="str">
        <f>"CORDÃO ORING 3,5MM"</f>
        <v>CORDÃO ORING 3,5MM</v>
      </c>
      <c r="C8006" s="2" t="str">
        <f t="shared" si="311"/>
        <v>UN</v>
      </c>
      <c r="D8006" s="7">
        <v>918</v>
      </c>
      <c r="E8006" s="3">
        <v>11</v>
      </c>
      <c r="F8006" s="3">
        <v>11</v>
      </c>
      <c r="G8006" t="s">
        <v>514</v>
      </c>
    </row>
    <row r="8007" spans="1:7" x14ac:dyDescent="0.25">
      <c r="A8007" s="1" t="str">
        <f>"526448"</f>
        <v>526448</v>
      </c>
      <c r="B8007" s="2" t="str">
        <f>"CORDÃO ORING 3MM"</f>
        <v>CORDÃO ORING 3MM</v>
      </c>
      <c r="C8007" s="2" t="str">
        <f t="shared" si="311"/>
        <v>UN</v>
      </c>
      <c r="D8007" s="7">
        <v>918</v>
      </c>
      <c r="E8007" s="3">
        <v>11</v>
      </c>
      <c r="F8007" s="3">
        <v>11</v>
      </c>
      <c r="G8007" t="s">
        <v>514</v>
      </c>
    </row>
    <row r="8008" spans="1:7" x14ac:dyDescent="0.25">
      <c r="A8008" s="1" t="str">
        <f>"526928"</f>
        <v>526928</v>
      </c>
      <c r="B8008" s="2" t="str">
        <f>"CORDÃO ORING 4,5MM"</f>
        <v>CORDÃO ORING 4,5MM</v>
      </c>
      <c r="C8008" s="2" t="str">
        <f t="shared" si="311"/>
        <v>UN</v>
      </c>
      <c r="D8008" s="7">
        <v>918</v>
      </c>
      <c r="E8008" s="3">
        <v>11</v>
      </c>
      <c r="F8008" s="3">
        <v>11</v>
      </c>
      <c r="G8008" t="s">
        <v>514</v>
      </c>
    </row>
    <row r="8009" spans="1:7" x14ac:dyDescent="0.25">
      <c r="A8009" s="1" t="str">
        <f>"526449"</f>
        <v>526449</v>
      </c>
      <c r="B8009" s="2" t="str">
        <f>"CORDÃO ORING 4MM"</f>
        <v>CORDÃO ORING 4MM</v>
      </c>
      <c r="C8009" s="2" t="str">
        <f t="shared" si="311"/>
        <v>UN</v>
      </c>
      <c r="D8009" s="7">
        <v>918</v>
      </c>
      <c r="E8009" s="3">
        <v>11</v>
      </c>
      <c r="F8009" s="3">
        <v>11</v>
      </c>
      <c r="G8009" t="s">
        <v>513</v>
      </c>
    </row>
    <row r="8010" spans="1:7" x14ac:dyDescent="0.25">
      <c r="A8010" s="1" t="str">
        <f>"526847"</f>
        <v>526847</v>
      </c>
      <c r="B8010" s="2" t="str">
        <f>"CORDÃO ORING 5MM"</f>
        <v>CORDÃO ORING 5MM</v>
      </c>
      <c r="C8010" s="2" t="str">
        <f t="shared" si="311"/>
        <v>UN</v>
      </c>
      <c r="D8010" s="7">
        <v>918</v>
      </c>
      <c r="E8010" s="3">
        <v>11</v>
      </c>
      <c r="F8010" s="3">
        <v>11</v>
      </c>
      <c r="G8010" t="s">
        <v>512</v>
      </c>
    </row>
    <row r="8011" spans="1:7" x14ac:dyDescent="0.25">
      <c r="A8011" s="1" t="str">
        <f>"526848"</f>
        <v>526848</v>
      </c>
      <c r="B8011" s="2" t="str">
        <f>"CORDÃO ORING 6MM"</f>
        <v>CORDÃO ORING 6MM</v>
      </c>
      <c r="C8011" s="2" t="str">
        <f t="shared" si="311"/>
        <v>UN</v>
      </c>
      <c r="D8011" s="7">
        <v>918</v>
      </c>
      <c r="E8011" s="3">
        <v>11</v>
      </c>
      <c r="F8011" s="3">
        <v>11</v>
      </c>
      <c r="G8011" t="s">
        <v>513</v>
      </c>
    </row>
    <row r="8012" spans="1:7" x14ac:dyDescent="0.25">
      <c r="A8012" s="1" t="str">
        <f>"509528"</f>
        <v>509528</v>
      </c>
      <c r="B8012" s="2" t="str">
        <f>"CORDAO PARALELO 01MM"</f>
        <v>CORDAO PARALELO 01MM</v>
      </c>
      <c r="C8012" s="2" t="str">
        <f>"MT"</f>
        <v>MT</v>
      </c>
      <c r="D8012" s="7">
        <v>602</v>
      </c>
      <c r="E8012" s="3">
        <v>8</v>
      </c>
      <c r="F8012" s="3">
        <v>8</v>
      </c>
      <c r="G8012" t="s">
        <v>514</v>
      </c>
    </row>
    <row r="8013" spans="1:7" x14ac:dyDescent="0.25">
      <c r="A8013" s="1" t="str">
        <f>"510261"</f>
        <v>510261</v>
      </c>
      <c r="B8013" s="2" t="str">
        <f>"CORDAO PARALELO 1,5MM"</f>
        <v>CORDAO PARALELO 1,5MM</v>
      </c>
      <c r="C8013" s="2" t="str">
        <f t="shared" ref="C8013:C8034" si="312">"UN"</f>
        <v>UN</v>
      </c>
      <c r="D8013" s="7">
        <v>600</v>
      </c>
      <c r="E8013" s="3">
        <v>8</v>
      </c>
      <c r="F8013" s="3">
        <v>8</v>
      </c>
      <c r="G8013" t="s">
        <v>514</v>
      </c>
    </row>
    <row r="8014" spans="1:7" x14ac:dyDescent="0.25">
      <c r="A8014" s="1" t="str">
        <f>"509164"</f>
        <v>509164</v>
      </c>
      <c r="B8014" s="2" t="str">
        <f>"CORDAO PARALELO 2,5MM"</f>
        <v>CORDAO PARALELO 2,5MM</v>
      </c>
      <c r="C8014" s="2" t="str">
        <f t="shared" si="312"/>
        <v>UN</v>
      </c>
      <c r="D8014" s="7">
        <v>600</v>
      </c>
      <c r="E8014" s="3">
        <v>8</v>
      </c>
      <c r="F8014" s="3">
        <v>8</v>
      </c>
      <c r="G8014" t="s">
        <v>514</v>
      </c>
    </row>
    <row r="8015" spans="1:7" x14ac:dyDescent="0.25">
      <c r="A8015" s="1" t="str">
        <f>"511152"</f>
        <v>511152</v>
      </c>
      <c r="B8015" s="2" t="str">
        <f>"CORDAO SILICONE 06MM (FORMAGEM)"</f>
        <v>CORDAO SILICONE 06MM (FORMAGEM)</v>
      </c>
      <c r="C8015" s="2" t="str">
        <f t="shared" si="312"/>
        <v>UN</v>
      </c>
      <c r="D8015" s="7">
        <v>918</v>
      </c>
      <c r="E8015" s="3">
        <v>11</v>
      </c>
      <c r="F8015" s="3">
        <v>11</v>
      </c>
      <c r="G8015" t="s">
        <v>513</v>
      </c>
    </row>
    <row r="8016" spans="1:7" x14ac:dyDescent="0.25">
      <c r="A8016" s="1" t="str">
        <f>"505824"</f>
        <v>505824</v>
      </c>
      <c r="B8016" s="2" t="str">
        <f>"CORDAO TRAVA P/ EXTINTOR"</f>
        <v>CORDAO TRAVA P/ EXTINTOR</v>
      </c>
      <c r="C8016" s="2" t="str">
        <f t="shared" si="312"/>
        <v>UN</v>
      </c>
      <c r="D8016" s="7">
        <v>402</v>
      </c>
      <c r="E8016" s="3">
        <v>4</v>
      </c>
      <c r="F8016" s="3">
        <v>4</v>
      </c>
      <c r="G8016" t="s">
        <v>513</v>
      </c>
    </row>
    <row r="8017" spans="1:7" x14ac:dyDescent="0.25">
      <c r="A8017" s="1" t="str">
        <f>"525387"</f>
        <v>525387</v>
      </c>
      <c r="B8017" s="2" t="str">
        <f>"CORDOALHA"</f>
        <v>CORDOALHA</v>
      </c>
      <c r="C8017" s="2" t="str">
        <f t="shared" si="312"/>
        <v>UN</v>
      </c>
      <c r="D8017" s="7">
        <v>704</v>
      </c>
      <c r="E8017" s="3">
        <v>9</v>
      </c>
      <c r="F8017" s="3">
        <v>9</v>
      </c>
      <c r="G8017" t="s">
        <v>513</v>
      </c>
    </row>
    <row r="8018" spans="1:7" x14ac:dyDescent="0.25">
      <c r="A8018" s="1" t="str">
        <f>"514577"</f>
        <v>514577</v>
      </c>
      <c r="B8018" s="2" t="str">
        <f>"COROA"</f>
        <v>COROA</v>
      </c>
      <c r="C8018" s="2" t="str">
        <f t="shared" si="312"/>
        <v>UN</v>
      </c>
      <c r="D8018" s="7">
        <v>403</v>
      </c>
      <c r="E8018" s="3">
        <v>11</v>
      </c>
      <c r="F8018" s="3">
        <v>11</v>
      </c>
      <c r="G8018" t="s">
        <v>512</v>
      </c>
    </row>
    <row r="8019" spans="1:7" x14ac:dyDescent="0.25">
      <c r="A8019" s="1" t="str">
        <f>"528006"</f>
        <v>528006</v>
      </c>
      <c r="B8019" s="2" t="str">
        <f>"COROA 85 1/49"</f>
        <v>COROA 85 1/49</v>
      </c>
      <c r="C8019" s="2" t="str">
        <f t="shared" si="312"/>
        <v>UN</v>
      </c>
      <c r="D8019" s="7">
        <v>812</v>
      </c>
      <c r="E8019" s="3">
        <v>11</v>
      </c>
      <c r="F8019" s="3">
        <v>11</v>
      </c>
      <c r="G8019" t="s">
        <v>513</v>
      </c>
    </row>
    <row r="8020" spans="1:7" x14ac:dyDescent="0.25">
      <c r="A8020" s="1" t="str">
        <f>"521562"</f>
        <v>521562</v>
      </c>
      <c r="B8020" s="2" t="str">
        <f>"COROA DE FLOR"</f>
        <v>COROA DE FLOR</v>
      </c>
      <c r="C8020" s="2" t="str">
        <f t="shared" si="312"/>
        <v>UN</v>
      </c>
      <c r="D8020" s="7">
        <v>99999</v>
      </c>
      <c r="E8020" s="3">
        <v>99</v>
      </c>
      <c r="F8020" s="3">
        <v>99</v>
      </c>
      <c r="G8020" t="s">
        <v>514</v>
      </c>
    </row>
    <row r="8021" spans="1:7" x14ac:dyDescent="0.25">
      <c r="A8021" s="1" t="str">
        <f>"517374"</f>
        <v>517374</v>
      </c>
      <c r="B8021" s="2" t="str">
        <f>"COROA DENTADA 060630"</f>
        <v>COROA DENTADA 060630</v>
      </c>
      <c r="C8021" s="2" t="str">
        <f t="shared" si="312"/>
        <v>UN</v>
      </c>
      <c r="D8021" s="7">
        <v>918</v>
      </c>
      <c r="E8021" s="3">
        <v>11</v>
      </c>
      <c r="F8021" s="3">
        <v>11</v>
      </c>
      <c r="G8021" t="s">
        <v>515</v>
      </c>
    </row>
    <row r="8022" spans="1:7" x14ac:dyDescent="0.25">
      <c r="A8022" s="1" t="str">
        <f>"524766"</f>
        <v>524766</v>
      </c>
      <c r="B8022" s="8" t="s">
        <v>414</v>
      </c>
      <c r="C8022" s="2" t="str">
        <f t="shared" si="312"/>
        <v>UN</v>
      </c>
      <c r="D8022" s="7">
        <v>918</v>
      </c>
      <c r="E8022" s="3">
        <v>11</v>
      </c>
      <c r="F8022" s="3">
        <v>11</v>
      </c>
      <c r="G8022" t="s">
        <v>512</v>
      </c>
    </row>
    <row r="8023" spans="1:7" x14ac:dyDescent="0.25">
      <c r="A8023" s="1" t="str">
        <f>"513182"</f>
        <v>513182</v>
      </c>
      <c r="B8023" s="8" t="s">
        <v>43</v>
      </c>
      <c r="C8023" s="2" t="str">
        <f t="shared" si="312"/>
        <v>UN</v>
      </c>
      <c r="D8023" s="7">
        <v>918</v>
      </c>
      <c r="E8023" s="3">
        <v>11</v>
      </c>
      <c r="F8023" s="3">
        <v>11</v>
      </c>
      <c r="G8023" t="s">
        <v>516</v>
      </c>
    </row>
    <row r="8024" spans="1:7" x14ac:dyDescent="0.25">
      <c r="A8024" s="1" t="str">
        <f>"508501"</f>
        <v>508501</v>
      </c>
      <c r="B8024" s="2" t="str">
        <f>"COROA Z36 REBAIXADA 60MM"</f>
        <v>COROA Z36 REBAIXADA 60MM</v>
      </c>
      <c r="C8024" s="2" t="str">
        <f t="shared" si="312"/>
        <v>UN</v>
      </c>
      <c r="D8024" s="7">
        <v>812</v>
      </c>
      <c r="E8024" s="3">
        <v>10</v>
      </c>
      <c r="F8024" s="3">
        <v>10</v>
      </c>
      <c r="G8024" t="s">
        <v>515</v>
      </c>
    </row>
    <row r="8025" spans="1:7" x14ac:dyDescent="0.25">
      <c r="A8025" s="1" t="str">
        <f>"504319"</f>
        <v>504319</v>
      </c>
      <c r="B8025" s="2" t="str">
        <f>"COROTE DE AGUA"</f>
        <v>COROTE DE AGUA</v>
      </c>
      <c r="C8025" s="2" t="str">
        <f t="shared" si="312"/>
        <v>UN</v>
      </c>
      <c r="D8025" s="7">
        <v>704</v>
      </c>
      <c r="E8025" s="3">
        <v>9</v>
      </c>
      <c r="F8025" s="3">
        <v>9</v>
      </c>
      <c r="G8025" t="s">
        <v>514</v>
      </c>
    </row>
    <row r="8026" spans="1:7" x14ac:dyDescent="0.25">
      <c r="A8026" s="1" t="str">
        <f>"512989"</f>
        <v>512989</v>
      </c>
      <c r="B8026" s="2" t="str">
        <f>"CORPO BOMBA ALIMENTADORA BOSCH"</f>
        <v>CORPO BOMBA ALIMENTADORA BOSCH</v>
      </c>
      <c r="C8026" s="2" t="str">
        <f t="shared" si="312"/>
        <v>UN</v>
      </c>
      <c r="D8026" s="7">
        <v>704</v>
      </c>
      <c r="E8026" s="3">
        <v>9</v>
      </c>
      <c r="F8026" s="3">
        <v>9</v>
      </c>
      <c r="G8026" t="s">
        <v>512</v>
      </c>
    </row>
    <row r="8027" spans="1:7" x14ac:dyDescent="0.25">
      <c r="A8027" s="1" t="str">
        <f>"513081"</f>
        <v>513081</v>
      </c>
      <c r="B8027" s="2" t="str">
        <f>"CORPO BOMBA CENTRIFUGA DE AMONIA ZM-2"</f>
        <v>CORPO BOMBA CENTRIFUGA DE AMONIA ZM-2</v>
      </c>
      <c r="C8027" s="2" t="str">
        <f t="shared" si="312"/>
        <v>UN</v>
      </c>
      <c r="D8027" s="7">
        <v>900</v>
      </c>
      <c r="E8027" s="3">
        <v>11</v>
      </c>
      <c r="F8027" s="3">
        <v>11</v>
      </c>
      <c r="G8027" t="s">
        <v>513</v>
      </c>
    </row>
    <row r="8028" spans="1:7" x14ac:dyDescent="0.25">
      <c r="A8028" s="1" t="str">
        <f>"509003"</f>
        <v>509003</v>
      </c>
      <c r="B8028" s="2" t="str">
        <f>"CORPO COMPLETO ENGATE IVECO"</f>
        <v>CORPO COMPLETO ENGATE IVECO</v>
      </c>
      <c r="C8028" s="2" t="str">
        <f t="shared" si="312"/>
        <v>UN</v>
      </c>
      <c r="D8028" s="7">
        <v>704</v>
      </c>
      <c r="E8028" s="3">
        <v>9</v>
      </c>
      <c r="F8028" s="3">
        <v>9</v>
      </c>
      <c r="G8028" t="s">
        <v>514</v>
      </c>
    </row>
    <row r="8029" spans="1:7" x14ac:dyDescent="0.25">
      <c r="A8029" s="1" t="str">
        <f>"527544"</f>
        <v>527544</v>
      </c>
      <c r="B8029" s="2" t="str">
        <f>"CORPO DA CONTRA PORCA M50 ESQUERDA"</f>
        <v>CORPO DA CONTRA PORCA M50 ESQUERDA</v>
      </c>
      <c r="C8029" s="2" t="str">
        <f t="shared" si="312"/>
        <v>UN</v>
      </c>
      <c r="D8029" s="7">
        <v>99999</v>
      </c>
      <c r="E8029" s="3">
        <v>99</v>
      </c>
      <c r="F8029" s="3">
        <v>99</v>
      </c>
      <c r="G8029" t="s">
        <v>514</v>
      </c>
    </row>
    <row r="8030" spans="1:7" x14ac:dyDescent="0.25">
      <c r="A8030" s="1" t="str">
        <f>"513449"</f>
        <v>513449</v>
      </c>
      <c r="B8030" s="2" t="str">
        <f>"CORPO DA VALVULA DO TAMBOR"</f>
        <v>CORPO DA VALVULA DO TAMBOR</v>
      </c>
      <c r="C8030" s="2" t="str">
        <f t="shared" si="312"/>
        <v>UN</v>
      </c>
      <c r="D8030" s="7">
        <v>918</v>
      </c>
      <c r="E8030" s="3">
        <v>11</v>
      </c>
      <c r="F8030" s="3">
        <v>11</v>
      </c>
      <c r="G8030" t="s">
        <v>512</v>
      </c>
    </row>
    <row r="8031" spans="1:7" x14ac:dyDescent="0.25">
      <c r="A8031" s="1" t="str">
        <f>"520537"</f>
        <v>520537</v>
      </c>
      <c r="B8031" s="8" t="s">
        <v>158</v>
      </c>
      <c r="C8031" s="2" t="str">
        <f t="shared" si="312"/>
        <v>UN</v>
      </c>
      <c r="D8031" s="7">
        <v>918</v>
      </c>
      <c r="E8031" s="3">
        <v>11</v>
      </c>
      <c r="F8031" s="3">
        <v>11</v>
      </c>
      <c r="G8031" t="s">
        <v>513</v>
      </c>
    </row>
    <row r="8032" spans="1:7" x14ac:dyDescent="0.25">
      <c r="A8032" s="1" t="str">
        <f>"526234"</f>
        <v>526234</v>
      </c>
      <c r="B8032" s="2" t="str">
        <f>"CORPO DE VALV. VSD-13 SER. 48313 CONX 1/2 FPS PRES.18KGF.EDC"</f>
        <v>CORPO DE VALV. VSD-13 SER. 48313 CONX 1/2 FPS PRES.18KGF.EDC</v>
      </c>
      <c r="C8032" s="2" t="str">
        <f t="shared" si="312"/>
        <v>UN</v>
      </c>
      <c r="D8032" s="7">
        <v>918</v>
      </c>
      <c r="E8032" s="3">
        <v>11</v>
      </c>
      <c r="F8032" s="3">
        <v>11</v>
      </c>
      <c r="G8032" t="s">
        <v>514</v>
      </c>
    </row>
    <row r="8033" spans="1:7" x14ac:dyDescent="0.25">
      <c r="A8033" s="1" t="str">
        <f>"513144"</f>
        <v>513144</v>
      </c>
      <c r="B8033" s="2" t="str">
        <f>"CORPO DISTRIBUIDOR"</f>
        <v>CORPO DISTRIBUIDOR</v>
      </c>
      <c r="C8033" s="2" t="str">
        <f t="shared" si="312"/>
        <v>UN</v>
      </c>
      <c r="D8033" s="7">
        <v>918</v>
      </c>
      <c r="E8033" s="3">
        <v>11</v>
      </c>
      <c r="F8033" s="3">
        <v>11</v>
      </c>
      <c r="G8033" t="s">
        <v>514</v>
      </c>
    </row>
    <row r="8034" spans="1:7" x14ac:dyDescent="0.25">
      <c r="A8034" s="1" t="str">
        <f>"525371"</f>
        <v>525371</v>
      </c>
      <c r="B8034" s="2" t="str">
        <f>"CORPO MEGANORM 32-200"</f>
        <v>CORPO MEGANORM 32-200</v>
      </c>
      <c r="C8034" s="2" t="str">
        <f t="shared" si="312"/>
        <v>UN</v>
      </c>
      <c r="D8034" s="7">
        <v>813</v>
      </c>
      <c r="E8034" s="3">
        <v>10</v>
      </c>
      <c r="F8034" s="3">
        <v>10</v>
      </c>
      <c r="G8034" t="s">
        <v>514</v>
      </c>
    </row>
    <row r="8035" spans="1:7" x14ac:dyDescent="0.25">
      <c r="A8035" s="1" t="str">
        <f>"518985"</f>
        <v>518985</v>
      </c>
      <c r="B8035" s="2" t="str">
        <f>"CORPO METALICO FIM DE CURSO TELEMEC. NA+NF CABO 2M ZCMD21L2"</f>
        <v>CORPO METALICO FIM DE CURSO TELEMEC. NA+NF CABO 2M ZCMD21L2</v>
      </c>
      <c r="C8035" s="2" t="str">
        <f>"PC"</f>
        <v>PC</v>
      </c>
      <c r="D8035" s="7">
        <v>908</v>
      </c>
      <c r="E8035" s="3">
        <v>11</v>
      </c>
      <c r="F8035" s="3">
        <v>11</v>
      </c>
      <c r="G8035" t="s">
        <v>513</v>
      </c>
    </row>
    <row r="8036" spans="1:7" x14ac:dyDescent="0.25">
      <c r="A8036" s="1" t="str">
        <f>"517474"</f>
        <v>517474</v>
      </c>
      <c r="B8036" s="2" t="str">
        <f>"CORPO P/ VALV TEX2 R22 ROSCA (P-05)"</f>
        <v>CORPO P/ VALV TEX2 R22 ROSCA (P-05)</v>
      </c>
      <c r="C8036" s="2" t="str">
        <f>"UN"</f>
        <v>UN</v>
      </c>
      <c r="D8036" s="7">
        <v>918</v>
      </c>
      <c r="E8036" s="3">
        <v>10</v>
      </c>
      <c r="F8036" s="3">
        <v>10</v>
      </c>
      <c r="G8036" t="s">
        <v>512</v>
      </c>
    </row>
    <row r="8037" spans="1:7" x14ac:dyDescent="0.25">
      <c r="A8037" s="1" t="str">
        <f>"520692"</f>
        <v>520692</v>
      </c>
      <c r="B8037" s="2" t="str">
        <f>"CORREDIÇA TELESCOPICA"</f>
        <v>CORREDIÇA TELESCOPICA</v>
      </c>
      <c r="C8037" s="2" t="str">
        <f>"UN"</f>
        <v>UN</v>
      </c>
      <c r="D8037" s="7">
        <v>99999</v>
      </c>
      <c r="E8037" s="3">
        <v>99</v>
      </c>
      <c r="F8037" s="3">
        <v>99</v>
      </c>
      <c r="G8037" t="s">
        <v>513</v>
      </c>
    </row>
    <row r="8038" spans="1:7" x14ac:dyDescent="0.25">
      <c r="A8038" s="1" t="str">
        <f>"505280"</f>
        <v>505280</v>
      </c>
      <c r="B8038" s="2" t="str">
        <f>"CORREDIÇAS"</f>
        <v>CORREDIÇAS</v>
      </c>
      <c r="C8038" s="2" t="str">
        <f>"UN"</f>
        <v>UN</v>
      </c>
      <c r="D8038" s="7">
        <v>1200</v>
      </c>
      <c r="E8038" s="3">
        <v>10</v>
      </c>
      <c r="F8038" s="3">
        <v>10</v>
      </c>
      <c r="G8038" t="s">
        <v>514</v>
      </c>
    </row>
    <row r="8039" spans="1:7" x14ac:dyDescent="0.25">
      <c r="A8039" s="1" t="str">
        <f>"514108"</f>
        <v>514108</v>
      </c>
      <c r="B8039" s="2" t="str">
        <f>"CORREIA"</f>
        <v>CORREIA</v>
      </c>
      <c r="C8039" s="2" t="str">
        <f>"UN"</f>
        <v>UN</v>
      </c>
      <c r="D8039" s="7">
        <v>704</v>
      </c>
      <c r="E8039" s="3">
        <v>9</v>
      </c>
      <c r="F8039" s="3">
        <v>9</v>
      </c>
      <c r="G8039" t="s">
        <v>514</v>
      </c>
    </row>
    <row r="8040" spans="1:7" x14ac:dyDescent="0.25">
      <c r="A8040" s="1" t="str">
        <f>"509039"</f>
        <v>509039</v>
      </c>
      <c r="B8040" s="2" t="str">
        <f>"CORREIA 05.3130.001.00 MAQUINA CT3A"</f>
        <v>CORREIA 05.3130.001.00 MAQUINA CT3A</v>
      </c>
      <c r="C8040" s="2" t="str">
        <f>"PC"</f>
        <v>PC</v>
      </c>
      <c r="D8040" s="7">
        <v>911</v>
      </c>
      <c r="E8040" s="3">
        <v>11</v>
      </c>
      <c r="F8040" s="3">
        <v>11</v>
      </c>
      <c r="G8040" t="s">
        <v>514</v>
      </c>
    </row>
    <row r="8041" spans="1:7" x14ac:dyDescent="0.25">
      <c r="A8041" s="1" t="str">
        <f>"507475"</f>
        <v>507475</v>
      </c>
      <c r="B8041" s="2" t="str">
        <f>"CORREIA 1028-8083-36"</f>
        <v>CORREIA 1028-8083-36</v>
      </c>
      <c r="C8041" s="2" t="str">
        <f>"PC"</f>
        <v>PC</v>
      </c>
      <c r="D8041" s="7">
        <v>911</v>
      </c>
      <c r="E8041" s="3">
        <v>11</v>
      </c>
      <c r="F8041" s="3">
        <v>11</v>
      </c>
      <c r="G8041" t="s">
        <v>513</v>
      </c>
    </row>
    <row r="8042" spans="1:7" x14ac:dyDescent="0.25">
      <c r="A8042" s="1" t="str">
        <f>"504902"</f>
        <v>504902</v>
      </c>
      <c r="B8042" s="2" t="str">
        <f>"CORREIA 1070 X 40 (ELEVADOR C.FRIA)"</f>
        <v>CORREIA 1070 X 40 (ELEVADOR C.FRIA)</v>
      </c>
      <c r="C8042" s="2" t="str">
        <f>"UN"</f>
        <v>UN</v>
      </c>
      <c r="D8042" s="7">
        <v>812</v>
      </c>
      <c r="E8042" s="3">
        <v>10</v>
      </c>
      <c r="F8042" s="3">
        <v>10</v>
      </c>
      <c r="G8042" t="s">
        <v>513</v>
      </c>
    </row>
    <row r="8043" spans="1:7" x14ac:dyDescent="0.25">
      <c r="A8043" s="1" t="str">
        <f>"524854"</f>
        <v>524854</v>
      </c>
      <c r="B8043" s="2" t="str">
        <f>"CORREIA 5/3 VX 530 TORQUE TEAM"</f>
        <v>CORREIA 5/3 VX 530 TORQUE TEAM</v>
      </c>
      <c r="C8043" s="2" t="str">
        <f>"UN"</f>
        <v>UN</v>
      </c>
      <c r="D8043" s="7">
        <v>918</v>
      </c>
      <c r="E8043" s="3">
        <v>10</v>
      </c>
      <c r="F8043" s="3">
        <v>10</v>
      </c>
      <c r="G8043" t="s">
        <v>513</v>
      </c>
    </row>
    <row r="8044" spans="1:7" x14ac:dyDescent="0.25">
      <c r="A8044" s="1" t="str">
        <f>"520445"</f>
        <v>520445</v>
      </c>
      <c r="B8044" s="8" t="s">
        <v>141</v>
      </c>
      <c r="C8044" s="2" t="str">
        <f>"PC"</f>
        <v>PC</v>
      </c>
      <c r="D8044" s="7">
        <v>911</v>
      </c>
      <c r="E8044" s="3">
        <v>11</v>
      </c>
      <c r="F8044" s="3">
        <v>11</v>
      </c>
      <c r="G8044" t="s">
        <v>512</v>
      </c>
    </row>
    <row r="8045" spans="1:7" x14ac:dyDescent="0.25">
      <c r="A8045" s="1" t="str">
        <f>"520446"</f>
        <v>520446</v>
      </c>
      <c r="B8045" s="8" t="s">
        <v>142</v>
      </c>
      <c r="C8045" s="2" t="str">
        <f>"PC"</f>
        <v>PC</v>
      </c>
      <c r="D8045" s="7">
        <v>911</v>
      </c>
      <c r="E8045" s="3">
        <v>11</v>
      </c>
      <c r="F8045" s="3">
        <v>11</v>
      </c>
      <c r="G8045" t="s">
        <v>513</v>
      </c>
    </row>
    <row r="8046" spans="1:7" x14ac:dyDescent="0.25">
      <c r="A8046" s="1" t="str">
        <f>"516373"</f>
        <v>516373</v>
      </c>
      <c r="B8046" s="2" t="str">
        <f>"CORREIA 54524343 INGERSOLL HAND"</f>
        <v>CORREIA 54524343 INGERSOLL HAND</v>
      </c>
      <c r="C8046" s="2" t="str">
        <f>"UN"</f>
        <v>UN</v>
      </c>
      <c r="D8046" s="7">
        <v>918</v>
      </c>
      <c r="E8046" s="3">
        <v>11</v>
      </c>
      <c r="F8046" s="3">
        <v>11</v>
      </c>
      <c r="G8046" t="s">
        <v>514</v>
      </c>
    </row>
    <row r="8047" spans="1:7" x14ac:dyDescent="0.25">
      <c r="A8047" s="1" t="str">
        <f>"520314"</f>
        <v>520314</v>
      </c>
      <c r="B8047" s="2" t="str">
        <f>"CORREIA 5V1120"</f>
        <v>CORREIA 5V1120</v>
      </c>
      <c r="C8047" s="2" t="str">
        <f>"UN"</f>
        <v>UN</v>
      </c>
      <c r="D8047" s="7">
        <v>402</v>
      </c>
      <c r="E8047" s="3">
        <v>4</v>
      </c>
      <c r="F8047" s="3">
        <v>4</v>
      </c>
      <c r="G8047" t="s">
        <v>515</v>
      </c>
    </row>
    <row r="8048" spans="1:7" x14ac:dyDescent="0.25">
      <c r="A8048" s="1" t="str">
        <f>"512943"</f>
        <v>512943</v>
      </c>
      <c r="B8048" s="2" t="str">
        <f>"CORREIA 8PK1515"</f>
        <v>CORREIA 8PK1515</v>
      </c>
      <c r="C8048" s="2" t="str">
        <f>"UN"</f>
        <v>UN</v>
      </c>
      <c r="D8048" s="7">
        <v>918</v>
      </c>
      <c r="E8048" s="3">
        <v>11</v>
      </c>
      <c r="F8048" s="3">
        <v>11</v>
      </c>
      <c r="G8048" t="s">
        <v>512</v>
      </c>
    </row>
    <row r="8049" spans="1:7" x14ac:dyDescent="0.25">
      <c r="A8049" s="1" t="str">
        <f>"505162"</f>
        <v>505162</v>
      </c>
      <c r="B8049" s="2" t="str">
        <f>"CORREIA A15"</f>
        <v>CORREIA A15</v>
      </c>
      <c r="C8049" s="2" t="str">
        <f>"UN"</f>
        <v>UN</v>
      </c>
      <c r="D8049" s="7">
        <v>402</v>
      </c>
      <c r="E8049" s="3">
        <v>4</v>
      </c>
      <c r="F8049" s="3">
        <v>4</v>
      </c>
      <c r="G8049" t="s">
        <v>516</v>
      </c>
    </row>
    <row r="8050" spans="1:7" x14ac:dyDescent="0.25">
      <c r="A8050" s="1" t="str">
        <f>"520312"</f>
        <v>520312</v>
      </c>
      <c r="B8050" s="2" t="str">
        <f>"CORREIA A17"</f>
        <v>CORREIA A17</v>
      </c>
      <c r="C8050" s="2" t="str">
        <f>"UN"</f>
        <v>UN</v>
      </c>
      <c r="D8050" s="7">
        <v>402</v>
      </c>
      <c r="E8050" s="3">
        <v>4</v>
      </c>
      <c r="F8050" s="3">
        <v>4</v>
      </c>
      <c r="G8050" t="s">
        <v>515</v>
      </c>
    </row>
    <row r="8051" spans="1:7" x14ac:dyDescent="0.25">
      <c r="A8051" s="1" t="str">
        <f>"518217"</f>
        <v>518217</v>
      </c>
      <c r="B8051" s="2" t="str">
        <f>"CORREIA A22"</f>
        <v>CORREIA A22</v>
      </c>
      <c r="C8051" s="2" t="str">
        <f>"PC"</f>
        <v>PC</v>
      </c>
      <c r="D8051" s="7">
        <v>911</v>
      </c>
      <c r="E8051" s="3">
        <v>11</v>
      </c>
      <c r="F8051" s="3">
        <v>11</v>
      </c>
      <c r="G8051" t="s">
        <v>514</v>
      </c>
    </row>
    <row r="8052" spans="1:7" x14ac:dyDescent="0.25">
      <c r="A8052" s="1" t="str">
        <f>"507104"</f>
        <v>507104</v>
      </c>
      <c r="B8052" s="2" t="str">
        <f>"CORREIA A27"</f>
        <v>CORREIA A27</v>
      </c>
      <c r="C8052" s="2" t="str">
        <f>"PC"</f>
        <v>PC</v>
      </c>
      <c r="D8052" s="7">
        <v>402</v>
      </c>
      <c r="E8052" s="3">
        <v>4</v>
      </c>
      <c r="F8052" s="3">
        <v>4</v>
      </c>
      <c r="G8052" t="s">
        <v>512</v>
      </c>
    </row>
    <row r="8053" spans="1:7" x14ac:dyDescent="0.25">
      <c r="A8053" s="1" t="str">
        <f>"500849"</f>
        <v>500849</v>
      </c>
      <c r="B8053" s="2" t="str">
        <f>"CORREIA A28 - MITRI"</f>
        <v>CORREIA A28 - MITRI</v>
      </c>
      <c r="C8053" s="2" t="str">
        <f t="shared" ref="C8053:C8058" si="313">"UN"</f>
        <v>UN</v>
      </c>
      <c r="D8053" s="7">
        <v>402</v>
      </c>
      <c r="E8053" s="3">
        <v>4</v>
      </c>
      <c r="F8053" s="3">
        <v>4</v>
      </c>
      <c r="G8053" t="s">
        <v>513</v>
      </c>
    </row>
    <row r="8054" spans="1:7" x14ac:dyDescent="0.25">
      <c r="A8054" s="1" t="str">
        <f>"501078"</f>
        <v>501078</v>
      </c>
      <c r="B8054" s="2" t="str">
        <f>"CORREIA A29 - MAQ. 200ml"</f>
        <v>CORREIA A29 - MAQ. 200ml</v>
      </c>
      <c r="C8054" s="2" t="str">
        <f t="shared" si="313"/>
        <v>UN</v>
      </c>
      <c r="D8054" s="7">
        <v>402</v>
      </c>
      <c r="E8054" s="3">
        <v>4</v>
      </c>
      <c r="F8054" s="3">
        <v>4</v>
      </c>
      <c r="G8054" t="s">
        <v>514</v>
      </c>
    </row>
    <row r="8055" spans="1:7" x14ac:dyDescent="0.25">
      <c r="A8055" s="1" t="str">
        <f>"506128"</f>
        <v>506128</v>
      </c>
      <c r="B8055" s="2" t="str">
        <f>"CORREIA A30"</f>
        <v>CORREIA A30</v>
      </c>
      <c r="C8055" s="2" t="str">
        <f t="shared" si="313"/>
        <v>UN</v>
      </c>
      <c r="D8055" s="7">
        <v>402</v>
      </c>
      <c r="E8055" s="3">
        <v>4</v>
      </c>
      <c r="F8055" s="3">
        <v>4</v>
      </c>
      <c r="G8055" t="s">
        <v>514</v>
      </c>
    </row>
    <row r="8056" spans="1:7" x14ac:dyDescent="0.25">
      <c r="A8056" s="1" t="str">
        <f>"503068"</f>
        <v>503068</v>
      </c>
      <c r="B8056" s="2" t="str">
        <f>"CORREIA A32 - MAQ. COPO BRASKOP"</f>
        <v>CORREIA A32 - MAQ. COPO BRASKOP</v>
      </c>
      <c r="C8056" s="2" t="str">
        <f t="shared" si="313"/>
        <v>UN</v>
      </c>
      <c r="D8056" s="7">
        <v>402</v>
      </c>
      <c r="E8056" s="3">
        <v>4</v>
      </c>
      <c r="F8056" s="3">
        <v>4</v>
      </c>
      <c r="G8056" t="s">
        <v>512</v>
      </c>
    </row>
    <row r="8057" spans="1:7" x14ac:dyDescent="0.25">
      <c r="A8057" s="1" t="str">
        <f>"505161"</f>
        <v>505161</v>
      </c>
      <c r="B8057" s="2" t="str">
        <f>"CORREIA A33"</f>
        <v>CORREIA A33</v>
      </c>
      <c r="C8057" s="2" t="str">
        <f t="shared" si="313"/>
        <v>UN</v>
      </c>
      <c r="D8057" s="7">
        <v>402</v>
      </c>
      <c r="E8057" s="3">
        <v>4</v>
      </c>
      <c r="F8057" s="3">
        <v>4</v>
      </c>
      <c r="G8057" t="s">
        <v>513</v>
      </c>
    </row>
    <row r="8058" spans="1:7" x14ac:dyDescent="0.25">
      <c r="A8058" s="1" t="str">
        <f>"505160"</f>
        <v>505160</v>
      </c>
      <c r="B8058" s="2" t="str">
        <f>"CORREIA A35"</f>
        <v>CORREIA A35</v>
      </c>
      <c r="C8058" s="2" t="str">
        <f t="shared" si="313"/>
        <v>UN</v>
      </c>
      <c r="D8058" s="7">
        <v>402</v>
      </c>
      <c r="E8058" s="3">
        <v>4</v>
      </c>
      <c r="F8058" s="3">
        <v>4</v>
      </c>
      <c r="G8058" t="s">
        <v>514</v>
      </c>
    </row>
    <row r="8059" spans="1:7" x14ac:dyDescent="0.25">
      <c r="A8059" s="1" t="str">
        <f>"521193"</f>
        <v>521193</v>
      </c>
      <c r="B8059" s="2" t="str">
        <f>"CORREIA A36"</f>
        <v>CORREIA A36</v>
      </c>
      <c r="C8059" s="2" t="str">
        <f>"PC"</f>
        <v>PC</v>
      </c>
      <c r="D8059" s="7">
        <v>402</v>
      </c>
      <c r="E8059" s="3">
        <v>4</v>
      </c>
      <c r="F8059" s="3">
        <v>4</v>
      </c>
      <c r="G8059" t="s">
        <v>514</v>
      </c>
    </row>
    <row r="8060" spans="1:7" x14ac:dyDescent="0.25">
      <c r="A8060" s="1" t="str">
        <f>"501077"</f>
        <v>501077</v>
      </c>
      <c r="B8060" s="2" t="str">
        <f>"CORREIA A37"</f>
        <v>CORREIA A37</v>
      </c>
      <c r="C8060" s="2" t="str">
        <f>"UN"</f>
        <v>UN</v>
      </c>
      <c r="D8060" s="7">
        <v>402</v>
      </c>
      <c r="E8060" s="3">
        <v>4</v>
      </c>
      <c r="F8060" s="3">
        <v>4</v>
      </c>
      <c r="G8060" t="s">
        <v>514</v>
      </c>
    </row>
    <row r="8061" spans="1:7" x14ac:dyDescent="0.25">
      <c r="A8061" s="1" t="str">
        <f>"501076"</f>
        <v>501076</v>
      </c>
      <c r="B8061" s="2" t="str">
        <f>"CORREIA A38"</f>
        <v>CORREIA A38</v>
      </c>
      <c r="C8061" s="2" t="str">
        <f>"PC"</f>
        <v>PC</v>
      </c>
      <c r="D8061" s="7">
        <v>402</v>
      </c>
      <c r="E8061" s="3">
        <v>4</v>
      </c>
      <c r="F8061" s="3">
        <v>4</v>
      </c>
      <c r="G8061" t="s">
        <v>513</v>
      </c>
    </row>
    <row r="8062" spans="1:7" x14ac:dyDescent="0.25">
      <c r="A8062" s="1" t="str">
        <f>"501075"</f>
        <v>501075</v>
      </c>
      <c r="B8062" s="2" t="str">
        <f>"CORREIA A39"</f>
        <v>CORREIA A39</v>
      </c>
      <c r="C8062" s="2" t="str">
        <f>"PC"</f>
        <v>PC</v>
      </c>
      <c r="D8062" s="7">
        <v>402</v>
      </c>
      <c r="E8062" s="3">
        <v>4</v>
      </c>
      <c r="F8062" s="3">
        <v>4</v>
      </c>
      <c r="G8062" t="s">
        <v>512</v>
      </c>
    </row>
    <row r="8063" spans="1:7" x14ac:dyDescent="0.25">
      <c r="A8063" s="1" t="str">
        <f>"518211"</f>
        <v>518211</v>
      </c>
      <c r="B8063" s="2" t="str">
        <f>"CORREIA A40"</f>
        <v>CORREIA A40</v>
      </c>
      <c r="C8063" s="2" t="str">
        <f>"PC"</f>
        <v>PC</v>
      </c>
      <c r="D8063" s="7">
        <v>911</v>
      </c>
      <c r="E8063" s="3">
        <v>11</v>
      </c>
      <c r="F8063" s="3">
        <v>11</v>
      </c>
      <c r="G8063" t="s">
        <v>513</v>
      </c>
    </row>
    <row r="8064" spans="1:7" x14ac:dyDescent="0.25">
      <c r="A8064" s="1" t="str">
        <f>"502822"</f>
        <v>502822</v>
      </c>
      <c r="B8064" s="2" t="str">
        <f>"CORREIA A41 - FURADEIRA BANCADA"</f>
        <v>CORREIA A41 - FURADEIRA BANCADA</v>
      </c>
      <c r="C8064" s="2" t="str">
        <f>"UN"</f>
        <v>UN</v>
      </c>
      <c r="D8064" s="7">
        <v>911</v>
      </c>
      <c r="E8064" s="3">
        <v>11</v>
      </c>
      <c r="F8064" s="3">
        <v>11</v>
      </c>
      <c r="G8064" t="s">
        <v>514</v>
      </c>
    </row>
    <row r="8065" spans="1:7" x14ac:dyDescent="0.25">
      <c r="A8065" s="1" t="str">
        <f>"501074"</f>
        <v>501074</v>
      </c>
      <c r="B8065" s="2" t="str">
        <f>"CORREIA A42 - MAQ. 200ml"</f>
        <v>CORREIA A42 - MAQ. 200ml</v>
      </c>
      <c r="C8065" s="2" t="str">
        <f>"PC"</f>
        <v>PC</v>
      </c>
      <c r="D8065" s="7">
        <v>402</v>
      </c>
      <c r="E8065" s="3">
        <v>4</v>
      </c>
      <c r="F8065" s="3">
        <v>4</v>
      </c>
      <c r="G8065" t="s">
        <v>514</v>
      </c>
    </row>
    <row r="8066" spans="1:7" x14ac:dyDescent="0.25">
      <c r="A8066" s="1" t="str">
        <f>"502856"</f>
        <v>502856</v>
      </c>
      <c r="B8066" s="2" t="str">
        <f>"CORREIA A43 - BOMBA DAGUA LAVAGEM CAMINH"</f>
        <v>CORREIA A43 - BOMBA DAGUA LAVAGEM CAMINH</v>
      </c>
      <c r="C8066" s="2" t="str">
        <f t="shared" ref="C8066:C8074" si="314">"UN"</f>
        <v>UN</v>
      </c>
      <c r="D8066" s="7">
        <v>402</v>
      </c>
      <c r="E8066" s="3">
        <v>4</v>
      </c>
      <c r="F8066" s="3">
        <v>4</v>
      </c>
      <c r="G8066" t="s">
        <v>514</v>
      </c>
    </row>
    <row r="8067" spans="1:7" x14ac:dyDescent="0.25">
      <c r="A8067" s="1" t="str">
        <f>"502823"</f>
        <v>502823</v>
      </c>
      <c r="B8067" s="2" t="str">
        <f>"CORREIA A44 - BOMBA D'AGUA LAVAGEM"</f>
        <v>CORREIA A44 - BOMBA D'AGUA LAVAGEM</v>
      </c>
      <c r="C8067" s="2" t="str">
        <f t="shared" si="314"/>
        <v>UN</v>
      </c>
      <c r="D8067" s="7">
        <v>402</v>
      </c>
      <c r="E8067" s="3">
        <v>4</v>
      </c>
      <c r="F8067" s="3">
        <v>4</v>
      </c>
      <c r="G8067" t="s">
        <v>513</v>
      </c>
    </row>
    <row r="8068" spans="1:7" x14ac:dyDescent="0.25">
      <c r="A8068" s="1" t="str">
        <f>"505159"</f>
        <v>505159</v>
      </c>
      <c r="B8068" s="2" t="str">
        <f>"CORREIA A45"</f>
        <v>CORREIA A45</v>
      </c>
      <c r="C8068" s="2" t="str">
        <f t="shared" si="314"/>
        <v>UN</v>
      </c>
      <c r="D8068" s="7">
        <v>402</v>
      </c>
      <c r="E8068" s="3">
        <v>4</v>
      </c>
      <c r="F8068" s="3">
        <v>4</v>
      </c>
      <c r="G8068" t="s">
        <v>513</v>
      </c>
    </row>
    <row r="8069" spans="1:7" x14ac:dyDescent="0.25">
      <c r="A8069" s="1" t="str">
        <f>"525441"</f>
        <v>525441</v>
      </c>
      <c r="B8069" s="2" t="str">
        <f>"CORREIA A46"</f>
        <v>CORREIA A46</v>
      </c>
      <c r="C8069" s="2" t="str">
        <f t="shared" si="314"/>
        <v>UN</v>
      </c>
      <c r="D8069" s="7">
        <v>402</v>
      </c>
      <c r="E8069" s="3">
        <v>4</v>
      </c>
      <c r="F8069" s="3">
        <v>4</v>
      </c>
      <c r="G8069" t="s">
        <v>513</v>
      </c>
    </row>
    <row r="8070" spans="1:7" x14ac:dyDescent="0.25">
      <c r="A8070" s="1" t="str">
        <f>"525442"</f>
        <v>525442</v>
      </c>
      <c r="B8070" s="2" t="str">
        <f>"CORREIA A47"</f>
        <v>CORREIA A47</v>
      </c>
      <c r="C8070" s="2" t="str">
        <f t="shared" si="314"/>
        <v>UN</v>
      </c>
      <c r="D8070" s="7">
        <v>402</v>
      </c>
      <c r="E8070" s="3">
        <v>4</v>
      </c>
      <c r="F8070" s="3">
        <v>4</v>
      </c>
      <c r="G8070" t="s">
        <v>512</v>
      </c>
    </row>
    <row r="8071" spans="1:7" x14ac:dyDescent="0.25">
      <c r="A8071" s="1" t="str">
        <f>"502824"</f>
        <v>502824</v>
      </c>
      <c r="B8071" s="2" t="str">
        <f>"CORREIA A48 - POLICORTE"</f>
        <v>CORREIA A48 - POLICORTE</v>
      </c>
      <c r="C8071" s="2" t="str">
        <f t="shared" si="314"/>
        <v>UN</v>
      </c>
      <c r="D8071" s="7">
        <v>402</v>
      </c>
      <c r="E8071" s="3">
        <v>4</v>
      </c>
      <c r="F8071" s="3">
        <v>4</v>
      </c>
      <c r="G8071" t="s">
        <v>513</v>
      </c>
    </row>
    <row r="8072" spans="1:7" x14ac:dyDescent="0.25">
      <c r="A8072" s="1" t="str">
        <f>"501063"</f>
        <v>501063</v>
      </c>
      <c r="B8072" s="2" t="str">
        <f>"CORREIA A50"</f>
        <v>CORREIA A50</v>
      </c>
      <c r="C8072" s="2" t="str">
        <f t="shared" si="314"/>
        <v>UN</v>
      </c>
      <c r="D8072" s="7">
        <v>402</v>
      </c>
      <c r="E8072" s="3">
        <v>4</v>
      </c>
      <c r="F8072" s="3">
        <v>4</v>
      </c>
      <c r="G8072" t="s">
        <v>514</v>
      </c>
    </row>
    <row r="8073" spans="1:7" x14ac:dyDescent="0.25">
      <c r="A8073" s="1" t="str">
        <f>"520015"</f>
        <v>520015</v>
      </c>
      <c r="B8073" s="2" t="str">
        <f>"CORREIA A54"</f>
        <v>CORREIA A54</v>
      </c>
      <c r="C8073" s="2" t="str">
        <f t="shared" si="314"/>
        <v>UN</v>
      </c>
      <c r="D8073" s="7">
        <v>402</v>
      </c>
      <c r="E8073" s="3">
        <v>4</v>
      </c>
      <c r="F8073" s="3">
        <v>4</v>
      </c>
      <c r="G8073" t="s">
        <v>515</v>
      </c>
    </row>
    <row r="8074" spans="1:7" x14ac:dyDescent="0.25">
      <c r="A8074" s="1" t="str">
        <f>"502641"</f>
        <v>502641</v>
      </c>
      <c r="B8074" s="2" t="str">
        <f>"CORREIA A59 - MOEDOR DE GARRAFA"</f>
        <v>CORREIA A59 - MOEDOR DE GARRAFA</v>
      </c>
      <c r="C8074" s="2" t="str">
        <f t="shared" si="314"/>
        <v>UN</v>
      </c>
      <c r="D8074" s="7">
        <v>402</v>
      </c>
      <c r="E8074" s="3">
        <v>4</v>
      </c>
      <c r="F8074" s="3">
        <v>4</v>
      </c>
      <c r="G8074" t="s">
        <v>512</v>
      </c>
    </row>
    <row r="8075" spans="1:7" x14ac:dyDescent="0.25">
      <c r="A8075" s="1" t="str">
        <f>"508917"</f>
        <v>508917</v>
      </c>
      <c r="B8075" s="2" t="str">
        <f>"CORREIA A67 - CIRCULAR"</f>
        <v>CORREIA A67 - CIRCULAR</v>
      </c>
      <c r="C8075" s="2" t="str">
        <f>"PC"</f>
        <v>PC</v>
      </c>
      <c r="D8075" s="7">
        <v>911</v>
      </c>
      <c r="E8075" s="3">
        <v>11</v>
      </c>
      <c r="F8075" s="3">
        <v>11</v>
      </c>
      <c r="G8075" t="s">
        <v>516</v>
      </c>
    </row>
    <row r="8076" spans="1:7" x14ac:dyDescent="0.25">
      <c r="A8076" s="1" t="str">
        <f>"510909"</f>
        <v>510909</v>
      </c>
      <c r="B8076" s="2" t="str">
        <f>"CORREIA A74 - MUNTERS"</f>
        <v>CORREIA A74 - MUNTERS</v>
      </c>
      <c r="C8076" s="2" t="str">
        <f>"PC"</f>
        <v>PC</v>
      </c>
      <c r="D8076" s="7">
        <v>911</v>
      </c>
      <c r="E8076" s="3">
        <v>11</v>
      </c>
      <c r="F8076" s="3">
        <v>11</v>
      </c>
      <c r="G8076" t="s">
        <v>515</v>
      </c>
    </row>
    <row r="8077" spans="1:7" x14ac:dyDescent="0.25">
      <c r="A8077" s="1" t="str">
        <f>"521994"</f>
        <v>521994</v>
      </c>
      <c r="B8077" s="2" t="str">
        <f>"CORREIA A77"</f>
        <v>CORREIA A77</v>
      </c>
      <c r="C8077" s="2" t="str">
        <f>"PC"</f>
        <v>PC</v>
      </c>
      <c r="D8077" s="7">
        <v>911</v>
      </c>
      <c r="E8077" s="3">
        <v>11</v>
      </c>
      <c r="F8077" s="3">
        <v>11</v>
      </c>
      <c r="G8077" t="s">
        <v>514</v>
      </c>
    </row>
    <row r="8078" spans="1:7" x14ac:dyDescent="0.25">
      <c r="A8078" s="1" t="str">
        <f>"506926"</f>
        <v>506926</v>
      </c>
      <c r="B8078" s="2" t="str">
        <f>"CORREIA A88 - MUNTERS"</f>
        <v>CORREIA A88 - MUNTERS</v>
      </c>
      <c r="C8078" s="2" t="str">
        <f>"UN"</f>
        <v>UN</v>
      </c>
      <c r="D8078" s="7">
        <v>402</v>
      </c>
      <c r="E8078" s="3">
        <v>4</v>
      </c>
      <c r="F8078" s="3">
        <v>4</v>
      </c>
      <c r="G8078" t="s">
        <v>512</v>
      </c>
    </row>
    <row r="8079" spans="1:7" x14ac:dyDescent="0.25">
      <c r="A8079" s="1" t="str">
        <f>"505157"</f>
        <v>505157</v>
      </c>
      <c r="B8079" s="2" t="str">
        <f>"CORREIA A90 - RESFRIADOR SIQUEIRA"</f>
        <v>CORREIA A90 - RESFRIADOR SIQUEIRA</v>
      </c>
      <c r="C8079" s="2" t="str">
        <f>"UN"</f>
        <v>UN</v>
      </c>
      <c r="D8079" s="7">
        <v>402</v>
      </c>
      <c r="E8079" s="3">
        <v>4</v>
      </c>
      <c r="F8079" s="3">
        <v>4</v>
      </c>
      <c r="G8079" t="s">
        <v>513</v>
      </c>
    </row>
    <row r="8080" spans="1:7" x14ac:dyDescent="0.25">
      <c r="A8080" s="1" t="str">
        <f>"508537"</f>
        <v>508537</v>
      </c>
      <c r="B8080" s="2" t="str">
        <f>"CORREIA ACESSORIOS K4M F4R"</f>
        <v>CORREIA ACESSORIOS K4M F4R</v>
      </c>
      <c r="C8080" s="2" t="str">
        <f>"UN"</f>
        <v>UN</v>
      </c>
      <c r="D8080" s="7">
        <v>704</v>
      </c>
      <c r="E8080" s="3">
        <v>9</v>
      </c>
      <c r="F8080" s="3">
        <v>9</v>
      </c>
      <c r="G8080" t="s">
        <v>514</v>
      </c>
    </row>
    <row r="8081" spans="1:7" x14ac:dyDescent="0.25">
      <c r="A8081" s="1" t="str">
        <f>"504707"</f>
        <v>504707</v>
      </c>
      <c r="B8081" s="2" t="str">
        <f>"CORREIA ALTERNADOR"</f>
        <v>CORREIA ALTERNADOR</v>
      </c>
      <c r="C8081" s="2" t="str">
        <f>"UN"</f>
        <v>UN</v>
      </c>
      <c r="D8081" s="7">
        <v>704</v>
      </c>
      <c r="E8081" s="3">
        <v>9</v>
      </c>
      <c r="F8081" s="3">
        <v>9</v>
      </c>
      <c r="G8081" t="s">
        <v>514</v>
      </c>
    </row>
    <row r="8082" spans="1:7" x14ac:dyDescent="0.25">
      <c r="A8082" s="1" t="str">
        <f>"504927"</f>
        <v>504927</v>
      </c>
      <c r="B8082" s="2" t="str">
        <f>"CORREIA ALTERNADOR BOMBA D'AGUA (EMPILH)"</f>
        <v>CORREIA ALTERNADOR BOMBA D'AGUA (EMPILH)</v>
      </c>
      <c r="C8082" s="2" t="str">
        <f>"PC"</f>
        <v>PC</v>
      </c>
      <c r="D8082" s="7">
        <v>911</v>
      </c>
      <c r="E8082" s="3">
        <v>11</v>
      </c>
      <c r="F8082" s="3">
        <v>11</v>
      </c>
      <c r="G8082" t="s">
        <v>512</v>
      </c>
    </row>
    <row r="8083" spans="1:7" x14ac:dyDescent="0.25">
      <c r="A8083" s="1" t="str">
        <f>"519059"</f>
        <v>519059</v>
      </c>
      <c r="B8083" s="2" t="str">
        <f>"CORREIA ALTERNADOR TOYOTA 8FGU25"</f>
        <v>CORREIA ALTERNADOR TOYOTA 8FGU25</v>
      </c>
      <c r="C8083" s="2" t="str">
        <f>"UN"</f>
        <v>UN</v>
      </c>
      <c r="D8083" s="7">
        <v>918</v>
      </c>
      <c r="E8083" s="3">
        <v>11</v>
      </c>
      <c r="F8083" s="3">
        <v>11</v>
      </c>
      <c r="G8083" t="s">
        <v>513</v>
      </c>
    </row>
    <row r="8084" spans="1:7" x14ac:dyDescent="0.25">
      <c r="A8084" s="1" t="str">
        <f>"510353"</f>
        <v>510353</v>
      </c>
      <c r="B8084" s="2" t="str">
        <f>"CORREIA B 101"</f>
        <v>CORREIA B 101</v>
      </c>
      <c r="C8084" s="2" t="str">
        <f>"PC"</f>
        <v>PC</v>
      </c>
      <c r="D8084" s="7">
        <v>911</v>
      </c>
      <c r="E8084" s="3">
        <v>11</v>
      </c>
      <c r="F8084" s="3">
        <v>11</v>
      </c>
      <c r="G8084" t="s">
        <v>514</v>
      </c>
    </row>
    <row r="8085" spans="1:7" x14ac:dyDescent="0.25">
      <c r="A8085" s="1" t="str">
        <f>"510352"</f>
        <v>510352</v>
      </c>
      <c r="B8085" s="2" t="str">
        <f>"CORREIA B 99"</f>
        <v>CORREIA B 99</v>
      </c>
      <c r="C8085" s="2" t="str">
        <f>"PC"</f>
        <v>PC</v>
      </c>
      <c r="D8085" s="7">
        <v>911</v>
      </c>
      <c r="E8085" s="3">
        <v>11</v>
      </c>
      <c r="F8085" s="3">
        <v>11</v>
      </c>
      <c r="G8085" t="s">
        <v>514</v>
      </c>
    </row>
    <row r="8086" spans="1:7" x14ac:dyDescent="0.25">
      <c r="A8086" s="1" t="str">
        <f>"520316"</f>
        <v>520316</v>
      </c>
      <c r="B8086" s="2" t="str">
        <f>"CORREIA B102"</f>
        <v>CORREIA B102</v>
      </c>
      <c r="C8086" s="2" t="str">
        <f>"UN"</f>
        <v>UN</v>
      </c>
      <c r="D8086" s="7">
        <v>402</v>
      </c>
      <c r="E8086" s="3">
        <v>4</v>
      </c>
      <c r="F8086" s="3">
        <v>4</v>
      </c>
      <c r="G8086" t="s">
        <v>514</v>
      </c>
    </row>
    <row r="8087" spans="1:7" x14ac:dyDescent="0.25">
      <c r="A8087" s="1" t="str">
        <f>"505155"</f>
        <v>505155</v>
      </c>
      <c r="B8087" s="2" t="str">
        <f>"CORREIA B103"</f>
        <v>CORREIA B103</v>
      </c>
      <c r="C8087" s="2" t="str">
        <f>"UN"</f>
        <v>UN</v>
      </c>
      <c r="D8087" s="7">
        <v>402</v>
      </c>
      <c r="E8087" s="3">
        <v>4</v>
      </c>
      <c r="F8087" s="3">
        <v>4</v>
      </c>
      <c r="G8087" t="s">
        <v>513</v>
      </c>
    </row>
    <row r="8088" spans="1:7" x14ac:dyDescent="0.25">
      <c r="A8088" s="1" t="str">
        <f>"505154"</f>
        <v>505154</v>
      </c>
      <c r="B8088" s="2" t="str">
        <f>"CORREIA B105"</f>
        <v>CORREIA B105</v>
      </c>
      <c r="C8088" s="2" t="str">
        <f>"UN"</f>
        <v>UN</v>
      </c>
      <c r="D8088" s="7">
        <v>402</v>
      </c>
      <c r="E8088" s="3">
        <v>4</v>
      </c>
      <c r="F8088" s="3">
        <v>4</v>
      </c>
      <c r="G8088" t="s">
        <v>512</v>
      </c>
    </row>
    <row r="8089" spans="1:7" x14ac:dyDescent="0.25">
      <c r="A8089" s="1" t="str">
        <f>"505163"</f>
        <v>505163</v>
      </c>
      <c r="B8089" s="2" t="str">
        <f>"CORREIA B107 - COMP. AMONIA"</f>
        <v>CORREIA B107 - COMP. AMONIA</v>
      </c>
      <c r="C8089" s="2" t="str">
        <f>"PC"</f>
        <v>PC</v>
      </c>
      <c r="D8089" s="7">
        <v>911</v>
      </c>
      <c r="E8089" s="3">
        <v>11</v>
      </c>
      <c r="F8089" s="3">
        <v>11</v>
      </c>
      <c r="G8089" t="s">
        <v>513</v>
      </c>
    </row>
    <row r="8090" spans="1:7" x14ac:dyDescent="0.25">
      <c r="A8090" s="1" t="str">
        <f>"505153"</f>
        <v>505153</v>
      </c>
      <c r="B8090" s="2" t="str">
        <f>"CORREIA B108"</f>
        <v>CORREIA B108</v>
      </c>
      <c r="C8090" s="2" t="str">
        <f>"UN"</f>
        <v>UN</v>
      </c>
      <c r="D8090" s="7">
        <v>402</v>
      </c>
      <c r="E8090" s="3">
        <v>4</v>
      </c>
      <c r="F8090" s="3">
        <v>4</v>
      </c>
      <c r="G8090" t="s">
        <v>514</v>
      </c>
    </row>
    <row r="8091" spans="1:7" x14ac:dyDescent="0.25">
      <c r="A8091" s="1" t="str">
        <f>"503594"</f>
        <v>503594</v>
      </c>
      <c r="B8091" s="2" t="str">
        <f>"CORREIA B109 - HOMO ALFA LAVAL"</f>
        <v>CORREIA B109 - HOMO ALFA LAVAL</v>
      </c>
      <c r="C8091" s="2" t="str">
        <f>"UN"</f>
        <v>UN</v>
      </c>
      <c r="D8091" s="7">
        <v>402</v>
      </c>
      <c r="E8091" s="3">
        <v>4</v>
      </c>
      <c r="F8091" s="3">
        <v>4</v>
      </c>
      <c r="G8091" t="s">
        <v>514</v>
      </c>
    </row>
    <row r="8092" spans="1:7" x14ac:dyDescent="0.25">
      <c r="A8092" s="1" t="str">
        <f>"504212"</f>
        <v>504212</v>
      </c>
      <c r="B8092" s="2" t="str">
        <f>"CORREIA B112"</f>
        <v>CORREIA B112</v>
      </c>
      <c r="C8092" s="2" t="str">
        <f>"UN"</f>
        <v>UN</v>
      </c>
      <c r="D8092" s="7">
        <v>402</v>
      </c>
      <c r="E8092" s="3">
        <v>4</v>
      </c>
      <c r="F8092" s="3">
        <v>4</v>
      </c>
      <c r="G8092" t="s">
        <v>514</v>
      </c>
    </row>
    <row r="8093" spans="1:7" x14ac:dyDescent="0.25">
      <c r="A8093" s="1" t="str">
        <f>"503275"</f>
        <v>503275</v>
      </c>
      <c r="B8093" s="2" t="str">
        <f>"CORREIA B114 - CAMINHAO"</f>
        <v>CORREIA B114 - CAMINHAO</v>
      </c>
      <c r="C8093" s="2" t="str">
        <f>"UN"</f>
        <v>UN</v>
      </c>
      <c r="D8093" s="7">
        <v>402</v>
      </c>
      <c r="E8093" s="3">
        <v>4</v>
      </c>
      <c r="F8093" s="3">
        <v>4</v>
      </c>
      <c r="G8093" t="s">
        <v>513</v>
      </c>
    </row>
    <row r="8094" spans="1:7" x14ac:dyDescent="0.25">
      <c r="A8094" s="1" t="str">
        <f>"503279"</f>
        <v>503279</v>
      </c>
      <c r="B8094" s="2" t="str">
        <f>"CORREIA B115 - CALDEIRA"</f>
        <v>CORREIA B115 - CALDEIRA</v>
      </c>
      <c r="C8094" s="2" t="str">
        <f>"PC"</f>
        <v>PC</v>
      </c>
      <c r="D8094" s="7">
        <v>911</v>
      </c>
      <c r="E8094" s="3">
        <v>11</v>
      </c>
      <c r="F8094" s="3">
        <v>11</v>
      </c>
      <c r="G8094" t="s">
        <v>513</v>
      </c>
    </row>
    <row r="8095" spans="1:7" x14ac:dyDescent="0.25">
      <c r="A8095" s="1" t="str">
        <f>"503276"</f>
        <v>503276</v>
      </c>
      <c r="B8095" s="2" t="str">
        <f>"CORREIA B118 - CALDEIRA"</f>
        <v>CORREIA B118 - CALDEIRA</v>
      </c>
      <c r="C8095" s="2" t="str">
        <f>"UN"</f>
        <v>UN</v>
      </c>
      <c r="D8095" s="7">
        <v>402</v>
      </c>
      <c r="E8095" s="3">
        <v>4</v>
      </c>
      <c r="F8095" s="3">
        <v>4</v>
      </c>
      <c r="G8095" t="s">
        <v>513</v>
      </c>
    </row>
    <row r="8096" spans="1:7" x14ac:dyDescent="0.25">
      <c r="A8096" s="1" t="str">
        <f>"503281"</f>
        <v>503281</v>
      </c>
      <c r="B8096" s="2" t="str">
        <f>"CORREIA B118 - CALDEIRA"</f>
        <v>CORREIA B118 - CALDEIRA</v>
      </c>
      <c r="C8096" s="2" t="str">
        <f>"PC"</f>
        <v>PC</v>
      </c>
      <c r="D8096" s="7">
        <v>911</v>
      </c>
      <c r="E8096" s="3">
        <v>11</v>
      </c>
      <c r="F8096" s="3">
        <v>11</v>
      </c>
      <c r="G8096" t="s">
        <v>512</v>
      </c>
    </row>
    <row r="8097" spans="1:7" x14ac:dyDescent="0.25">
      <c r="A8097" s="1" t="str">
        <f>"520315"</f>
        <v>520315</v>
      </c>
      <c r="B8097" s="2" t="str">
        <f>"CORREIA B119"</f>
        <v>CORREIA B119</v>
      </c>
      <c r="C8097" s="2" t="str">
        <f>"UN"</f>
        <v>UN</v>
      </c>
      <c r="D8097" s="7">
        <v>402</v>
      </c>
      <c r="E8097" s="3">
        <v>4</v>
      </c>
      <c r="F8097" s="3">
        <v>4</v>
      </c>
      <c r="G8097" t="s">
        <v>513</v>
      </c>
    </row>
    <row r="8098" spans="1:7" x14ac:dyDescent="0.25">
      <c r="A8098" s="1" t="str">
        <f>"508855"</f>
        <v>508855</v>
      </c>
      <c r="B8098" s="2" t="str">
        <f>"CORREIA B123 - CALDEIRA"</f>
        <v>CORREIA B123 - CALDEIRA</v>
      </c>
      <c r="C8098" s="2" t="str">
        <f>"PC"</f>
        <v>PC</v>
      </c>
      <c r="D8098" s="7">
        <v>911</v>
      </c>
      <c r="E8098" s="3">
        <v>11</v>
      </c>
      <c r="F8098" s="3">
        <v>11</v>
      </c>
      <c r="G8098" t="s">
        <v>514</v>
      </c>
    </row>
    <row r="8099" spans="1:7" x14ac:dyDescent="0.25">
      <c r="A8099" s="1" t="str">
        <f>"518200"</f>
        <v>518200</v>
      </c>
      <c r="B8099" s="2" t="str">
        <f>"CORREIA B26"</f>
        <v>CORREIA B26</v>
      </c>
      <c r="C8099" s="2" t="str">
        <f>"PC"</f>
        <v>PC</v>
      </c>
      <c r="D8099" s="7">
        <v>911</v>
      </c>
      <c r="E8099" s="3">
        <v>11</v>
      </c>
      <c r="F8099" s="3">
        <v>11</v>
      </c>
      <c r="G8099" t="s">
        <v>515</v>
      </c>
    </row>
    <row r="8100" spans="1:7" x14ac:dyDescent="0.25">
      <c r="A8100" s="1" t="str">
        <f>"520313"</f>
        <v>520313</v>
      </c>
      <c r="B8100" s="2" t="str">
        <f>"CORREIA B28"</f>
        <v>CORREIA B28</v>
      </c>
      <c r="C8100" s="2" t="str">
        <f>"UN"</f>
        <v>UN</v>
      </c>
      <c r="D8100" s="7">
        <v>402</v>
      </c>
      <c r="E8100" s="3">
        <v>4</v>
      </c>
      <c r="F8100" s="3">
        <v>4</v>
      </c>
      <c r="G8100" t="s">
        <v>512</v>
      </c>
    </row>
    <row r="8101" spans="1:7" x14ac:dyDescent="0.25">
      <c r="A8101" s="1" t="str">
        <f>"505384"</f>
        <v>505384</v>
      </c>
      <c r="B8101" s="2" t="str">
        <f>"CORREIA B32"</f>
        <v>CORREIA B32</v>
      </c>
      <c r="C8101" s="2" t="str">
        <f>"UN"</f>
        <v>UN</v>
      </c>
      <c r="D8101" s="7">
        <v>402</v>
      </c>
      <c r="E8101" s="3">
        <v>4</v>
      </c>
      <c r="F8101" s="3">
        <v>4</v>
      </c>
      <c r="G8101" t="s">
        <v>516</v>
      </c>
    </row>
    <row r="8102" spans="1:7" x14ac:dyDescent="0.25">
      <c r="A8102" s="1" t="str">
        <f>"505385"</f>
        <v>505385</v>
      </c>
      <c r="B8102" s="2" t="str">
        <f>"CORREIA B33"</f>
        <v>CORREIA B33</v>
      </c>
      <c r="C8102" s="2" t="str">
        <f>"PC"</f>
        <v>PC</v>
      </c>
      <c r="D8102" s="7">
        <v>911</v>
      </c>
      <c r="E8102" s="3">
        <v>10</v>
      </c>
      <c r="F8102" s="3">
        <v>10</v>
      </c>
      <c r="G8102" t="s">
        <v>515</v>
      </c>
    </row>
    <row r="8103" spans="1:7" x14ac:dyDescent="0.25">
      <c r="A8103" s="1" t="str">
        <f>"503332"</f>
        <v>503332</v>
      </c>
      <c r="B8103" s="2" t="str">
        <f>"CORREIA B34"</f>
        <v>CORREIA B34</v>
      </c>
      <c r="C8103" s="2" t="str">
        <f>"UN"</f>
        <v>UN</v>
      </c>
      <c r="D8103" s="7">
        <v>402</v>
      </c>
      <c r="E8103" s="3">
        <v>4</v>
      </c>
      <c r="F8103" s="3">
        <v>4</v>
      </c>
      <c r="G8103" t="s">
        <v>514</v>
      </c>
    </row>
    <row r="8104" spans="1:7" x14ac:dyDescent="0.25">
      <c r="A8104" s="1" t="str">
        <f>"517650"</f>
        <v>517650</v>
      </c>
      <c r="B8104" s="2" t="str">
        <f>"CORREIA B35"</f>
        <v>CORREIA B35</v>
      </c>
      <c r="C8104" s="2" t="str">
        <f>"PC"</f>
        <v>PC</v>
      </c>
      <c r="D8104" s="7">
        <v>911</v>
      </c>
      <c r="E8104" s="3">
        <v>11</v>
      </c>
      <c r="F8104" s="3">
        <v>11</v>
      </c>
      <c r="G8104" t="s">
        <v>512</v>
      </c>
    </row>
    <row r="8105" spans="1:7" x14ac:dyDescent="0.25">
      <c r="A8105" s="1" t="str">
        <f>"501987"</f>
        <v>501987</v>
      </c>
      <c r="B8105" s="2" t="str">
        <f>"CORREIA B37 - BOMBA DE VACUO"</f>
        <v>CORREIA B37 - BOMBA DE VACUO</v>
      </c>
      <c r="C8105" s="2" t="str">
        <f>"UN"</f>
        <v>UN</v>
      </c>
      <c r="D8105" s="7">
        <v>402</v>
      </c>
      <c r="E8105" s="3">
        <v>4</v>
      </c>
      <c r="F8105" s="3">
        <v>4</v>
      </c>
      <c r="G8105" t="s">
        <v>513</v>
      </c>
    </row>
    <row r="8106" spans="1:7" x14ac:dyDescent="0.25">
      <c r="A8106" s="1" t="str">
        <f>"518549"</f>
        <v>518549</v>
      </c>
      <c r="B8106" s="2" t="str">
        <f>"CORREIA B39"</f>
        <v>CORREIA B39</v>
      </c>
      <c r="C8106" s="2" t="str">
        <f>"PC"</f>
        <v>PC</v>
      </c>
      <c r="D8106" s="7">
        <v>911</v>
      </c>
      <c r="E8106" s="3">
        <v>11</v>
      </c>
      <c r="F8106" s="3">
        <v>11</v>
      </c>
      <c r="G8106" t="s">
        <v>514</v>
      </c>
    </row>
    <row r="8107" spans="1:7" x14ac:dyDescent="0.25">
      <c r="A8107" s="1" t="str">
        <f>"518548"</f>
        <v>518548</v>
      </c>
      <c r="B8107" s="2" t="str">
        <f>"CORREIA B40"</f>
        <v>CORREIA B40</v>
      </c>
      <c r="C8107" s="2" t="str">
        <f>"PC"</f>
        <v>PC</v>
      </c>
      <c r="D8107" s="7">
        <v>911</v>
      </c>
      <c r="E8107" s="3">
        <v>11</v>
      </c>
      <c r="F8107" s="3">
        <v>11</v>
      </c>
      <c r="G8107" t="s">
        <v>514</v>
      </c>
    </row>
    <row r="8108" spans="1:7" x14ac:dyDescent="0.25">
      <c r="A8108" s="1" t="str">
        <f>"501567"</f>
        <v>501567</v>
      </c>
      <c r="B8108" s="2" t="str">
        <f>"CORREIA B41"</f>
        <v>CORREIA B41</v>
      </c>
      <c r="C8108" s="2" t="str">
        <f>"UN"</f>
        <v>UN</v>
      </c>
      <c r="D8108" s="7">
        <v>402</v>
      </c>
      <c r="E8108" s="3">
        <v>4</v>
      </c>
      <c r="F8108" s="3">
        <v>4</v>
      </c>
      <c r="G8108" t="s">
        <v>512</v>
      </c>
    </row>
    <row r="8109" spans="1:7" x14ac:dyDescent="0.25">
      <c r="A8109" s="1" t="str">
        <f>"508552"</f>
        <v>508552</v>
      </c>
      <c r="B8109" s="2" t="str">
        <f>"CORREIA B42"</f>
        <v>CORREIA B42</v>
      </c>
      <c r="C8109" s="2" t="str">
        <f>"PC"</f>
        <v>PC</v>
      </c>
      <c r="D8109" s="7">
        <v>812</v>
      </c>
      <c r="E8109" s="3">
        <v>10</v>
      </c>
      <c r="F8109" s="3">
        <v>10</v>
      </c>
      <c r="G8109" t="s">
        <v>513</v>
      </c>
    </row>
    <row r="8110" spans="1:7" x14ac:dyDescent="0.25">
      <c r="A8110" s="1" t="str">
        <f>"503331"</f>
        <v>503331</v>
      </c>
      <c r="B8110" s="2" t="str">
        <f>"CORREIA B43"</f>
        <v>CORREIA B43</v>
      </c>
      <c r="C8110" s="2" t="str">
        <f>"UN"</f>
        <v>UN</v>
      </c>
      <c r="D8110" s="7">
        <v>402</v>
      </c>
      <c r="E8110" s="3">
        <v>4</v>
      </c>
      <c r="F8110" s="3">
        <v>4</v>
      </c>
      <c r="G8110" t="s">
        <v>514</v>
      </c>
    </row>
    <row r="8111" spans="1:7" x14ac:dyDescent="0.25">
      <c r="A8111" s="1" t="str">
        <f>"505158"</f>
        <v>505158</v>
      </c>
      <c r="B8111" s="2" t="str">
        <f>"CORREIA B45"</f>
        <v>CORREIA B45</v>
      </c>
      <c r="C8111" s="2" t="str">
        <f>"UN"</f>
        <v>UN</v>
      </c>
      <c r="D8111" s="7">
        <v>402</v>
      </c>
      <c r="E8111" s="3">
        <v>4</v>
      </c>
      <c r="F8111" s="3">
        <v>4</v>
      </c>
      <c r="G8111" t="s">
        <v>514</v>
      </c>
    </row>
    <row r="8112" spans="1:7" x14ac:dyDescent="0.25">
      <c r="A8112" s="1" t="str">
        <f>"505077"</f>
        <v>505077</v>
      </c>
      <c r="B8112" s="2" t="str">
        <f>"CORREIA B46"</f>
        <v>CORREIA B46</v>
      </c>
      <c r="C8112" s="2" t="str">
        <f>"UN"</f>
        <v>UN</v>
      </c>
      <c r="D8112" s="7">
        <v>402</v>
      </c>
      <c r="E8112" s="3">
        <v>4</v>
      </c>
      <c r="F8112" s="3">
        <v>4</v>
      </c>
      <c r="G8112" t="s">
        <v>514</v>
      </c>
    </row>
    <row r="8113" spans="1:7" x14ac:dyDescent="0.25">
      <c r="A8113" s="1" t="str">
        <f>"507886"</f>
        <v>507886</v>
      </c>
      <c r="B8113" s="2" t="str">
        <f>"CORREIA B47 - BOMBA DUET"</f>
        <v>CORREIA B47 - BOMBA DUET</v>
      </c>
      <c r="C8113" s="2" t="str">
        <f>"PC"</f>
        <v>PC</v>
      </c>
      <c r="D8113" s="7">
        <v>911</v>
      </c>
      <c r="E8113" s="3">
        <v>11</v>
      </c>
      <c r="F8113" s="3">
        <v>11</v>
      </c>
      <c r="G8113" t="s">
        <v>513</v>
      </c>
    </row>
    <row r="8114" spans="1:7" x14ac:dyDescent="0.25">
      <c r="A8114" s="1" t="str">
        <f>"503178"</f>
        <v>503178</v>
      </c>
      <c r="B8114" s="2" t="str">
        <f>"CORREIA B48"</f>
        <v>CORREIA B48</v>
      </c>
      <c r="C8114" s="2" t="str">
        <f>"UN"</f>
        <v>UN</v>
      </c>
      <c r="D8114" s="7">
        <v>402</v>
      </c>
      <c r="E8114" s="3">
        <v>4</v>
      </c>
      <c r="F8114" s="3">
        <v>4</v>
      </c>
      <c r="G8114" t="s">
        <v>512</v>
      </c>
    </row>
    <row r="8115" spans="1:7" x14ac:dyDescent="0.25">
      <c r="A8115" s="1" t="str">
        <f>"505197"</f>
        <v>505197</v>
      </c>
      <c r="B8115" s="2" t="str">
        <f>"CORREIA B49"</f>
        <v>CORREIA B49</v>
      </c>
      <c r="C8115" s="2" t="str">
        <f>"UN"</f>
        <v>UN</v>
      </c>
      <c r="D8115" s="7">
        <v>402</v>
      </c>
      <c r="E8115" s="3">
        <v>4</v>
      </c>
      <c r="F8115" s="3">
        <v>4</v>
      </c>
      <c r="G8115" t="s">
        <v>513</v>
      </c>
    </row>
    <row r="8116" spans="1:7" x14ac:dyDescent="0.25">
      <c r="A8116" s="1" t="str">
        <f>"501727"</f>
        <v>501727</v>
      </c>
      <c r="B8116" s="2" t="str">
        <f>"CORREIA B50 - HOMO. ALFA LAVAL"</f>
        <v>CORREIA B50 - HOMO. ALFA LAVAL</v>
      </c>
      <c r="C8116" s="2" t="str">
        <f>"PC"</f>
        <v>PC</v>
      </c>
      <c r="D8116" s="7">
        <v>402</v>
      </c>
      <c r="E8116" s="3">
        <v>4</v>
      </c>
      <c r="F8116" s="3">
        <v>4</v>
      </c>
      <c r="G8116" t="s">
        <v>514</v>
      </c>
    </row>
    <row r="8117" spans="1:7" x14ac:dyDescent="0.25">
      <c r="A8117" s="1" t="str">
        <f>"517649"</f>
        <v>517649</v>
      </c>
      <c r="B8117" s="2" t="str">
        <f>"CORREIA B55"</f>
        <v>CORREIA B55</v>
      </c>
      <c r="C8117" s="2" t="str">
        <f>"PC"</f>
        <v>PC</v>
      </c>
      <c r="D8117" s="7">
        <v>911</v>
      </c>
      <c r="E8117" s="3">
        <v>11</v>
      </c>
      <c r="F8117" s="3">
        <v>11</v>
      </c>
      <c r="G8117" t="s">
        <v>514</v>
      </c>
    </row>
    <row r="8118" spans="1:7" x14ac:dyDescent="0.25">
      <c r="A8118" s="1" t="str">
        <f>"520317"</f>
        <v>520317</v>
      </c>
      <c r="B8118" s="2" t="str">
        <f>"CORREIA B57"</f>
        <v>CORREIA B57</v>
      </c>
      <c r="C8118" s="2" t="str">
        <f>"UN"</f>
        <v>UN</v>
      </c>
      <c r="D8118" s="7">
        <v>402</v>
      </c>
      <c r="E8118" s="3">
        <v>4</v>
      </c>
      <c r="F8118" s="3">
        <v>4</v>
      </c>
      <c r="G8118" t="s">
        <v>514</v>
      </c>
    </row>
    <row r="8119" spans="1:7" x14ac:dyDescent="0.25">
      <c r="A8119" s="1" t="str">
        <f>"503277"</f>
        <v>503277</v>
      </c>
      <c r="B8119" s="2" t="str">
        <f>"CORREIA B58"</f>
        <v>CORREIA B58</v>
      </c>
      <c r="C8119" s="2" t="str">
        <f>"UN"</f>
        <v>UN</v>
      </c>
      <c r="D8119" s="7">
        <v>402</v>
      </c>
      <c r="E8119" s="3">
        <v>4</v>
      </c>
      <c r="F8119" s="3">
        <v>4</v>
      </c>
      <c r="G8119" t="s">
        <v>513</v>
      </c>
    </row>
    <row r="8120" spans="1:7" x14ac:dyDescent="0.25">
      <c r="A8120" s="1" t="str">
        <f>"503273"</f>
        <v>503273</v>
      </c>
      <c r="B8120" s="2" t="str">
        <f>"CORREIA B59"</f>
        <v>CORREIA B59</v>
      </c>
      <c r="C8120" s="2" t="str">
        <f>"UN"</f>
        <v>UN</v>
      </c>
      <c r="D8120" s="7">
        <v>402</v>
      </c>
      <c r="E8120" s="3">
        <v>4</v>
      </c>
      <c r="F8120" s="3">
        <v>4</v>
      </c>
      <c r="G8120" t="s">
        <v>513</v>
      </c>
    </row>
    <row r="8121" spans="1:7" x14ac:dyDescent="0.25">
      <c r="A8121" s="1" t="str">
        <f>"501072"</f>
        <v>501072</v>
      </c>
      <c r="B8121" s="2" t="str">
        <f>"CORREIA B60 - SOPRO"</f>
        <v>CORREIA B60 - SOPRO</v>
      </c>
      <c r="C8121" s="2" t="str">
        <f>"PC"</f>
        <v>PC</v>
      </c>
      <c r="D8121" s="7">
        <v>402</v>
      </c>
      <c r="E8121" s="3">
        <v>4</v>
      </c>
      <c r="F8121" s="3">
        <v>4</v>
      </c>
      <c r="G8121" t="s">
        <v>513</v>
      </c>
    </row>
    <row r="8122" spans="1:7" x14ac:dyDescent="0.25">
      <c r="A8122" s="1" t="str">
        <f>"501071"</f>
        <v>501071</v>
      </c>
      <c r="B8122" s="2" t="str">
        <f>"CORREIA B65"</f>
        <v>CORREIA B65</v>
      </c>
      <c r="C8122" s="2" t="str">
        <f>"PC"</f>
        <v>PC</v>
      </c>
      <c r="D8122" s="7">
        <v>402</v>
      </c>
      <c r="E8122" s="3">
        <v>4</v>
      </c>
      <c r="F8122" s="3">
        <v>4</v>
      </c>
      <c r="G8122" t="s">
        <v>512</v>
      </c>
    </row>
    <row r="8123" spans="1:7" x14ac:dyDescent="0.25">
      <c r="A8123" s="1" t="str">
        <f>"501070"</f>
        <v>501070</v>
      </c>
      <c r="B8123" s="2" t="str">
        <f>"CORREIA B67"</f>
        <v>CORREIA B67</v>
      </c>
      <c r="C8123" s="2" t="str">
        <f>"PC"</f>
        <v>PC</v>
      </c>
      <c r="D8123" s="7">
        <v>402</v>
      </c>
      <c r="E8123" s="3">
        <v>4</v>
      </c>
      <c r="F8123" s="3">
        <v>4</v>
      </c>
      <c r="G8123" t="s">
        <v>513</v>
      </c>
    </row>
    <row r="8124" spans="1:7" x14ac:dyDescent="0.25">
      <c r="A8124" s="1" t="str">
        <f>"501564"</f>
        <v>501564</v>
      </c>
      <c r="B8124" s="2" t="str">
        <f>"CORREIA B68 - COMP. AMONIA"</f>
        <v>CORREIA B68 - COMP. AMONIA</v>
      </c>
      <c r="C8124" s="2" t="str">
        <f>"UN"</f>
        <v>UN</v>
      </c>
      <c r="D8124" s="7">
        <v>911</v>
      </c>
      <c r="E8124" s="3">
        <v>11</v>
      </c>
      <c r="F8124" s="3">
        <v>11</v>
      </c>
      <c r="G8124" t="s">
        <v>514</v>
      </c>
    </row>
    <row r="8125" spans="1:7" x14ac:dyDescent="0.25">
      <c r="A8125" s="1" t="str">
        <f>"506199"</f>
        <v>506199</v>
      </c>
      <c r="B8125" s="2" t="str">
        <f>"CORREIA B69"</f>
        <v>CORREIA B69</v>
      </c>
      <c r="C8125" s="2" t="str">
        <f>"UN"</f>
        <v>UN</v>
      </c>
      <c r="D8125" s="7">
        <v>402</v>
      </c>
      <c r="E8125" s="3">
        <v>4</v>
      </c>
      <c r="F8125" s="3">
        <v>4</v>
      </c>
      <c r="G8125" t="s">
        <v>515</v>
      </c>
    </row>
    <row r="8126" spans="1:7" x14ac:dyDescent="0.25">
      <c r="A8126" s="1" t="str">
        <f>"525475"</f>
        <v>525475</v>
      </c>
      <c r="B8126" s="2" t="str">
        <f>"CORREIA B72"</f>
        <v>CORREIA B72</v>
      </c>
      <c r="C8126" s="2" t="str">
        <f>"UN"</f>
        <v>UN</v>
      </c>
      <c r="D8126" s="7">
        <v>911</v>
      </c>
      <c r="E8126" s="3">
        <v>10</v>
      </c>
      <c r="F8126" s="3">
        <v>10</v>
      </c>
      <c r="G8126" t="s">
        <v>512</v>
      </c>
    </row>
    <row r="8127" spans="1:7" x14ac:dyDescent="0.25">
      <c r="A8127" s="1" t="str">
        <f>"522551"</f>
        <v>522551</v>
      </c>
      <c r="B8127" s="2" t="str">
        <f>"CORREIA B73"</f>
        <v>CORREIA B73</v>
      </c>
      <c r="C8127" s="2" t="str">
        <f>"UN"</f>
        <v>UN</v>
      </c>
      <c r="D8127" s="7">
        <v>911</v>
      </c>
      <c r="E8127" s="3">
        <v>10</v>
      </c>
      <c r="F8127" s="3">
        <v>10</v>
      </c>
      <c r="G8127" t="s">
        <v>516</v>
      </c>
    </row>
    <row r="8128" spans="1:7" x14ac:dyDescent="0.25">
      <c r="A8128" s="1" t="str">
        <f>"501069"</f>
        <v>501069</v>
      </c>
      <c r="B8128" s="2" t="str">
        <f>"CORREIA B75 - COMP. AMONIA"</f>
        <v>CORREIA B75 - COMP. AMONIA</v>
      </c>
      <c r="C8128" s="2" t="str">
        <f>"PC"</f>
        <v>PC</v>
      </c>
      <c r="D8128" s="7">
        <v>402</v>
      </c>
      <c r="E8128" s="3">
        <v>4</v>
      </c>
      <c r="F8128" s="3">
        <v>4</v>
      </c>
      <c r="G8128" t="s">
        <v>515</v>
      </c>
    </row>
    <row r="8129" spans="1:7" x14ac:dyDescent="0.25">
      <c r="A8129" s="1" t="str">
        <f>"518199"</f>
        <v>518199</v>
      </c>
      <c r="B8129" s="2" t="str">
        <f>"CORREIA B79"</f>
        <v>CORREIA B79</v>
      </c>
      <c r="C8129" s="2" t="str">
        <f>"PC"</f>
        <v>PC</v>
      </c>
      <c r="D8129" s="7">
        <v>911</v>
      </c>
      <c r="E8129" s="3">
        <v>11</v>
      </c>
      <c r="F8129" s="3">
        <v>11</v>
      </c>
      <c r="G8129" t="s">
        <v>514</v>
      </c>
    </row>
    <row r="8130" spans="1:7" x14ac:dyDescent="0.25">
      <c r="A8130" s="1" t="str">
        <f>"503663"</f>
        <v>503663</v>
      </c>
      <c r="B8130" s="2" t="str">
        <f>"CORREIA B81"</f>
        <v>CORREIA B81</v>
      </c>
      <c r="C8130" s="2" t="str">
        <f>"UN"</f>
        <v>UN</v>
      </c>
      <c r="D8130" s="7">
        <v>402</v>
      </c>
      <c r="E8130" s="3">
        <v>4</v>
      </c>
      <c r="F8130" s="3">
        <v>4</v>
      </c>
      <c r="G8130" t="s">
        <v>512</v>
      </c>
    </row>
    <row r="8131" spans="1:7" x14ac:dyDescent="0.25">
      <c r="A8131" s="1" t="str">
        <f>"501068"</f>
        <v>501068</v>
      </c>
      <c r="B8131" s="2" t="str">
        <f>"CORREIA B97"</f>
        <v>CORREIA B97</v>
      </c>
      <c r="C8131" s="2" t="str">
        <f>"UN"</f>
        <v>UN</v>
      </c>
      <c r="D8131" s="7">
        <v>402</v>
      </c>
      <c r="E8131" s="3">
        <v>4</v>
      </c>
      <c r="F8131" s="3">
        <v>4</v>
      </c>
      <c r="G8131" t="s">
        <v>513</v>
      </c>
    </row>
    <row r="8132" spans="1:7" x14ac:dyDescent="0.25">
      <c r="A8132" s="1" t="str">
        <f>"505156"</f>
        <v>505156</v>
      </c>
      <c r="B8132" s="2" t="str">
        <f>"CORREIA B98"</f>
        <v>CORREIA B98</v>
      </c>
      <c r="C8132" s="2" t="str">
        <f>"UN"</f>
        <v>UN</v>
      </c>
      <c r="D8132" s="7">
        <v>402</v>
      </c>
      <c r="E8132" s="3">
        <v>4</v>
      </c>
      <c r="F8132" s="3">
        <v>4</v>
      </c>
      <c r="G8132" t="s">
        <v>514</v>
      </c>
    </row>
    <row r="8133" spans="1:7" x14ac:dyDescent="0.25">
      <c r="A8133" s="1" t="str">
        <f>"511244"</f>
        <v>511244</v>
      </c>
      <c r="B8133" s="2" t="str">
        <f>"CORREIA B99 - HOMOGENIZADOR"</f>
        <v>CORREIA B99 - HOMOGENIZADOR</v>
      </c>
      <c r="C8133" s="2" t="str">
        <f>"PC"</f>
        <v>PC</v>
      </c>
      <c r="D8133" s="7">
        <v>911</v>
      </c>
      <c r="E8133" s="3">
        <v>11</v>
      </c>
      <c r="F8133" s="3">
        <v>11</v>
      </c>
      <c r="G8133" t="s">
        <v>514</v>
      </c>
    </row>
    <row r="8134" spans="1:7" x14ac:dyDescent="0.25">
      <c r="A8134" s="1" t="str">
        <f>"504098"</f>
        <v>504098</v>
      </c>
      <c r="B8134" s="2" t="str">
        <f>"CORREIA BX 045"</f>
        <v>CORREIA BX 045</v>
      </c>
      <c r="C8134" s="2" t="str">
        <f>"UN"</f>
        <v>UN</v>
      </c>
      <c r="D8134" s="7">
        <v>402</v>
      </c>
      <c r="E8134" s="3">
        <v>4</v>
      </c>
      <c r="F8134" s="3">
        <v>4</v>
      </c>
      <c r="G8134" t="s">
        <v>512</v>
      </c>
    </row>
    <row r="8135" spans="1:7" x14ac:dyDescent="0.25">
      <c r="A8135" s="1" t="str">
        <f>"504099"</f>
        <v>504099</v>
      </c>
      <c r="B8135" s="2" t="str">
        <f>"CORREIA BX 060"</f>
        <v>CORREIA BX 060</v>
      </c>
      <c r="C8135" s="2" t="str">
        <f>"UN"</f>
        <v>UN</v>
      </c>
      <c r="D8135" s="7">
        <v>402</v>
      </c>
      <c r="E8135" s="3">
        <v>4</v>
      </c>
      <c r="F8135" s="3">
        <v>4</v>
      </c>
      <c r="G8135" t="s">
        <v>513</v>
      </c>
    </row>
    <row r="8136" spans="1:7" x14ac:dyDescent="0.25">
      <c r="A8136" s="1" t="str">
        <f>"501566"</f>
        <v>501566</v>
      </c>
      <c r="B8136" s="2" t="str">
        <f>"CORREIA C112 - COMPRESSOR DE AMONIA"</f>
        <v>CORREIA C112 - COMPRESSOR DE AMONIA</v>
      </c>
      <c r="C8136" s="2" t="str">
        <f>"UN"</f>
        <v>UN</v>
      </c>
      <c r="D8136" s="7">
        <v>402</v>
      </c>
      <c r="E8136" s="3">
        <v>4</v>
      </c>
      <c r="F8136" s="3">
        <v>4</v>
      </c>
      <c r="G8136" t="s">
        <v>514</v>
      </c>
    </row>
    <row r="8137" spans="1:7" x14ac:dyDescent="0.25">
      <c r="A8137" s="1" t="str">
        <f>"512996"</f>
        <v>512996</v>
      </c>
      <c r="B8137" s="2" t="str">
        <f>"CORREIA C112 - COMPRESSOR DE AMONIA 4 JUNTAS"</f>
        <v>CORREIA C112 - COMPRESSOR DE AMONIA 4 JUNTAS</v>
      </c>
      <c r="C8137" s="2" t="str">
        <f>"UN"</f>
        <v>UN</v>
      </c>
      <c r="D8137" s="7">
        <v>402</v>
      </c>
      <c r="E8137" s="3">
        <v>4</v>
      </c>
      <c r="F8137" s="3">
        <v>4</v>
      </c>
      <c r="G8137" t="s">
        <v>514</v>
      </c>
    </row>
    <row r="8138" spans="1:7" x14ac:dyDescent="0.25">
      <c r="A8138" s="1" t="str">
        <f>"507686"</f>
        <v>507686</v>
      </c>
      <c r="B8138" s="2" t="str">
        <f>"CORREIA C119 - COMPRESSOR DE AMONIA"</f>
        <v>CORREIA C119 - COMPRESSOR DE AMONIA</v>
      </c>
      <c r="C8138" s="2" t="str">
        <f>"PC"</f>
        <v>PC</v>
      </c>
      <c r="D8138" s="7">
        <v>911</v>
      </c>
      <c r="E8138" s="3">
        <v>11</v>
      </c>
      <c r="F8138" s="3">
        <v>11</v>
      </c>
      <c r="G8138" t="s">
        <v>514</v>
      </c>
    </row>
    <row r="8139" spans="1:7" x14ac:dyDescent="0.25">
      <c r="A8139" s="1" t="str">
        <f>"501018"</f>
        <v>501018</v>
      </c>
      <c r="B8139" s="2" t="str">
        <f>"CORREIA C120"</f>
        <v>CORREIA C120</v>
      </c>
      <c r="C8139" s="2" t="str">
        <f>"UN"</f>
        <v>UN</v>
      </c>
      <c r="D8139" s="7">
        <v>402</v>
      </c>
      <c r="E8139" s="3">
        <v>4</v>
      </c>
      <c r="F8139" s="3">
        <v>4</v>
      </c>
      <c r="G8139" t="s">
        <v>513</v>
      </c>
    </row>
    <row r="8140" spans="1:7" x14ac:dyDescent="0.25">
      <c r="A8140" s="1" t="str">
        <f>"502531"</f>
        <v>502531</v>
      </c>
      <c r="B8140" s="2" t="str">
        <f>"CORREIA C59"</f>
        <v>CORREIA C59</v>
      </c>
      <c r="C8140" s="2" t="str">
        <f>"UN"</f>
        <v>UN</v>
      </c>
      <c r="D8140" s="7">
        <v>402</v>
      </c>
      <c r="E8140" s="3">
        <v>4</v>
      </c>
      <c r="F8140" s="3">
        <v>4</v>
      </c>
      <c r="G8140" t="s">
        <v>512</v>
      </c>
    </row>
    <row r="8141" spans="1:7" x14ac:dyDescent="0.25">
      <c r="A8141" s="1" t="str">
        <f>"501565"</f>
        <v>501565</v>
      </c>
      <c r="B8141" s="2" t="str">
        <f>"CORREIA C60"</f>
        <v>CORREIA C60</v>
      </c>
      <c r="C8141" s="2" t="str">
        <f>"UN"</f>
        <v>UN</v>
      </c>
      <c r="D8141" s="7">
        <v>812</v>
      </c>
      <c r="E8141" s="3">
        <v>10</v>
      </c>
      <c r="F8141" s="3">
        <v>10</v>
      </c>
      <c r="G8141" t="s">
        <v>513</v>
      </c>
    </row>
    <row r="8142" spans="1:7" x14ac:dyDescent="0.25">
      <c r="A8142" s="1" t="str">
        <f>"505180"</f>
        <v>505180</v>
      </c>
      <c r="B8142" s="2" t="str">
        <f>"CORREIA C63"</f>
        <v>CORREIA C63</v>
      </c>
      <c r="C8142" s="2" t="str">
        <f>"UN"</f>
        <v>UN</v>
      </c>
      <c r="D8142" s="7">
        <v>402</v>
      </c>
      <c r="E8142" s="3">
        <v>4</v>
      </c>
      <c r="F8142" s="3">
        <v>4</v>
      </c>
      <c r="G8142" t="s">
        <v>514</v>
      </c>
    </row>
    <row r="8143" spans="1:7" x14ac:dyDescent="0.25">
      <c r="A8143" s="1" t="str">
        <f>"505179"</f>
        <v>505179</v>
      </c>
      <c r="B8143" s="2" t="str">
        <f>"CORREIA C65"</f>
        <v>CORREIA C65</v>
      </c>
      <c r="C8143" s="2" t="str">
        <f>"UN"</f>
        <v>UN</v>
      </c>
      <c r="D8143" s="7">
        <v>402</v>
      </c>
      <c r="E8143" s="3">
        <v>4</v>
      </c>
      <c r="F8143" s="3">
        <v>4</v>
      </c>
      <c r="G8143" t="s">
        <v>514</v>
      </c>
    </row>
    <row r="8144" spans="1:7" x14ac:dyDescent="0.25">
      <c r="A8144" s="1" t="str">
        <f>"504451"</f>
        <v>504451</v>
      </c>
      <c r="B8144" s="2" t="str">
        <f>"CORREIA COD.1028 8083 36 30HP"</f>
        <v>CORREIA COD.1028 8083 36 30HP</v>
      </c>
      <c r="C8144" s="2" t="str">
        <f>"PC"</f>
        <v>PC</v>
      </c>
      <c r="D8144" s="7">
        <v>911</v>
      </c>
      <c r="E8144" s="3">
        <v>11</v>
      </c>
      <c r="F8144" s="3">
        <v>11</v>
      </c>
      <c r="G8144" t="s">
        <v>514</v>
      </c>
    </row>
    <row r="8145" spans="1:7" x14ac:dyDescent="0.25">
      <c r="A8145" s="1" t="str">
        <f>"512061"</f>
        <v>512061</v>
      </c>
      <c r="B8145" s="2" t="str">
        <f>"CORREIA CPB 30/8 1028808337"</f>
        <v>CORREIA CPB 30/8 1028808337</v>
      </c>
      <c r="C8145" s="2" t="str">
        <f>"PC"</f>
        <v>PC</v>
      </c>
      <c r="D8145" s="7">
        <v>911</v>
      </c>
      <c r="E8145" s="3">
        <v>11</v>
      </c>
      <c r="F8145" s="3">
        <v>11</v>
      </c>
      <c r="G8145" t="s">
        <v>513</v>
      </c>
    </row>
    <row r="8146" spans="1:7" x14ac:dyDescent="0.25">
      <c r="A8146" s="1" t="str">
        <f>"508790"</f>
        <v>508790</v>
      </c>
      <c r="B8146" s="2" t="str">
        <f>"CORREIA DE TRAÇAO - MITRI"</f>
        <v>CORREIA DE TRAÇAO - MITRI</v>
      </c>
      <c r="C8146" s="2" t="str">
        <f>"PC"</f>
        <v>PC</v>
      </c>
      <c r="D8146" s="7">
        <v>911</v>
      </c>
      <c r="E8146" s="3">
        <v>11</v>
      </c>
      <c r="F8146" s="3">
        <v>11</v>
      </c>
      <c r="G8146" t="s">
        <v>513</v>
      </c>
    </row>
    <row r="8147" spans="1:7" x14ac:dyDescent="0.25">
      <c r="A8147" s="1" t="str">
        <f>"505019"</f>
        <v>505019</v>
      </c>
      <c r="B8147" s="2" t="str">
        <f>"CORREIA DENTADA 10 X 980  MIT. FG25"</f>
        <v>CORREIA DENTADA 10 X 980  MIT. FG25</v>
      </c>
      <c r="C8147" s="2" t="str">
        <f>"PC"</f>
        <v>PC</v>
      </c>
      <c r="D8147" s="7">
        <v>911</v>
      </c>
      <c r="E8147" s="3">
        <v>11</v>
      </c>
      <c r="F8147" s="3">
        <v>11</v>
      </c>
      <c r="G8147" t="s">
        <v>513</v>
      </c>
    </row>
    <row r="8148" spans="1:7" x14ac:dyDescent="0.25">
      <c r="A8148" s="1" t="str">
        <f>"520310"</f>
        <v>520310</v>
      </c>
      <c r="B8148" s="2" t="str">
        <f>"CORREIA DENTADA 1420 X 47 X 14"</f>
        <v>CORREIA DENTADA 1420 X 47 X 14</v>
      </c>
      <c r="C8148" s="2" t="str">
        <f>"UN"</f>
        <v>UN</v>
      </c>
      <c r="D8148" s="7">
        <v>402</v>
      </c>
      <c r="E8148" s="3">
        <v>4</v>
      </c>
      <c r="F8148" s="3">
        <v>4</v>
      </c>
      <c r="G8148" t="s">
        <v>512</v>
      </c>
    </row>
    <row r="8149" spans="1:7" x14ac:dyDescent="0.25">
      <c r="A8149" s="1" t="str">
        <f>"520301"</f>
        <v>520301</v>
      </c>
      <c r="B8149" s="2" t="str">
        <f>"CORREIA DENTADA 150 L 050"</f>
        <v>CORREIA DENTADA 150 L 050</v>
      </c>
      <c r="C8149" s="2" t="str">
        <f>"UN"</f>
        <v>UN</v>
      </c>
      <c r="D8149" s="7">
        <v>402</v>
      </c>
      <c r="E8149" s="3">
        <v>4</v>
      </c>
      <c r="F8149" s="3">
        <v>4</v>
      </c>
      <c r="G8149" t="s">
        <v>513</v>
      </c>
    </row>
    <row r="8150" spans="1:7" x14ac:dyDescent="0.25">
      <c r="A8150" s="1" t="str">
        <f>"521384"</f>
        <v>521384</v>
      </c>
      <c r="B8150" s="2" t="str">
        <f>"CORREIA DENTADA 150 XL P/ ENCODER"</f>
        <v>CORREIA DENTADA 150 XL P/ ENCODER</v>
      </c>
      <c r="C8150" s="2" t="str">
        <f>"PC"</f>
        <v>PC</v>
      </c>
      <c r="D8150" s="7">
        <v>911</v>
      </c>
      <c r="E8150" s="3">
        <v>11</v>
      </c>
      <c r="F8150" s="3">
        <v>11</v>
      </c>
      <c r="G8150" t="s">
        <v>514</v>
      </c>
    </row>
    <row r="8151" spans="1:7" x14ac:dyDescent="0.25">
      <c r="A8151" s="1" t="str">
        <f>"517755"</f>
        <v>517755</v>
      </c>
      <c r="B8151" s="2" t="str">
        <f>"CORREIA DENTADA 1555/60"</f>
        <v>CORREIA DENTADA 1555/60</v>
      </c>
      <c r="C8151" s="2" t="str">
        <f>"PC"</f>
        <v>PC</v>
      </c>
      <c r="D8151" s="7">
        <v>911</v>
      </c>
      <c r="E8151" s="3">
        <v>11</v>
      </c>
      <c r="F8151" s="3">
        <v>11</v>
      </c>
      <c r="G8151" t="s">
        <v>515</v>
      </c>
    </row>
    <row r="8152" spans="1:7" x14ac:dyDescent="0.25">
      <c r="A8152" s="1" t="str">
        <f>"520302"</f>
        <v>520302</v>
      </c>
      <c r="B8152" s="2" t="str">
        <f>"CORREIA DENTADA 210 L"</f>
        <v>CORREIA DENTADA 210 L</v>
      </c>
      <c r="C8152" s="2" t="str">
        <f>"UN"</f>
        <v>UN</v>
      </c>
      <c r="D8152" s="7">
        <v>402</v>
      </c>
      <c r="E8152" s="3">
        <v>4</v>
      </c>
      <c r="F8152" s="3">
        <v>4</v>
      </c>
      <c r="G8152" t="s">
        <v>512</v>
      </c>
    </row>
    <row r="8153" spans="1:7" x14ac:dyDescent="0.25">
      <c r="A8153" s="1" t="str">
        <f>"520300"</f>
        <v>520300</v>
      </c>
      <c r="B8153" s="2" t="str">
        <f>"CORREIA DENTADA 225 L 100"</f>
        <v>CORREIA DENTADA 225 L 100</v>
      </c>
      <c r="C8153" s="2" t="str">
        <f>"UN"</f>
        <v>UN</v>
      </c>
      <c r="D8153" s="7">
        <v>402</v>
      </c>
      <c r="E8153" s="3">
        <v>4</v>
      </c>
      <c r="F8153" s="3">
        <v>4</v>
      </c>
      <c r="G8153" t="s">
        <v>516</v>
      </c>
    </row>
    <row r="8154" spans="1:7" x14ac:dyDescent="0.25">
      <c r="A8154" s="1" t="str">
        <f>"517082"</f>
        <v>517082</v>
      </c>
      <c r="B8154" s="2" t="str">
        <f>"CORREIA DENTADA 260 XL 37 - MAQUINA 180GR"</f>
        <v>CORREIA DENTADA 260 XL 37 - MAQUINA 180GR</v>
      </c>
      <c r="C8154" s="2" t="str">
        <f>"PC"</f>
        <v>PC</v>
      </c>
      <c r="D8154" s="7">
        <v>911</v>
      </c>
      <c r="E8154" s="3">
        <v>11</v>
      </c>
      <c r="F8154" s="3">
        <v>11</v>
      </c>
      <c r="G8154" t="s">
        <v>515</v>
      </c>
    </row>
    <row r="8155" spans="1:7" x14ac:dyDescent="0.25">
      <c r="A8155" s="1" t="str">
        <f>"520305"</f>
        <v>520305</v>
      </c>
      <c r="B8155" s="2" t="str">
        <f>"CORREIA DENTADA 3 L 260"</f>
        <v>CORREIA DENTADA 3 L 260</v>
      </c>
      <c r="C8155" s="2" t="str">
        <f>"UN"</f>
        <v>UN</v>
      </c>
      <c r="D8155" s="7">
        <v>402</v>
      </c>
      <c r="E8155" s="3">
        <v>4</v>
      </c>
      <c r="F8155" s="3">
        <v>4</v>
      </c>
      <c r="G8155" t="s">
        <v>514</v>
      </c>
    </row>
    <row r="8156" spans="1:7" x14ac:dyDescent="0.25">
      <c r="A8156" s="1" t="str">
        <f>"520307"</f>
        <v>520307</v>
      </c>
      <c r="B8156" s="2" t="str">
        <f>"CORREIA DENTADA 7398 GS"</f>
        <v>CORREIA DENTADA 7398 GS</v>
      </c>
      <c r="C8156" s="2" t="str">
        <f>"UN"</f>
        <v>UN</v>
      </c>
      <c r="D8156" s="7">
        <v>402</v>
      </c>
      <c r="E8156" s="3">
        <v>4</v>
      </c>
      <c r="F8156" s="3">
        <v>4</v>
      </c>
      <c r="G8156" t="s">
        <v>512</v>
      </c>
    </row>
    <row r="8157" spans="1:7" x14ac:dyDescent="0.25">
      <c r="A8157" s="1" t="str">
        <f>"513528"</f>
        <v>513528</v>
      </c>
      <c r="B8157" s="2" t="str">
        <f>"CORREIA DENTADA 846 GOL 1000"</f>
        <v>CORREIA DENTADA 846 GOL 1000</v>
      </c>
      <c r="C8157" s="2" t="str">
        <f>"PC"</f>
        <v>PC</v>
      </c>
      <c r="D8157" s="7">
        <v>911</v>
      </c>
      <c r="E8157" s="3">
        <v>11</v>
      </c>
      <c r="F8157" s="3">
        <v>11</v>
      </c>
      <c r="G8157" t="s">
        <v>513</v>
      </c>
    </row>
    <row r="8158" spans="1:7" x14ac:dyDescent="0.25">
      <c r="A8158" s="1" t="str">
        <f>"520304"</f>
        <v>520304</v>
      </c>
      <c r="B8158" s="2" t="str">
        <f>"CORREIA DENTADA 8PK1600"</f>
        <v>CORREIA DENTADA 8PK1600</v>
      </c>
      <c r="C8158" s="2" t="str">
        <f>"UN"</f>
        <v>UN</v>
      </c>
      <c r="D8158" s="7">
        <v>402</v>
      </c>
      <c r="E8158" s="3">
        <v>4</v>
      </c>
      <c r="F8158" s="3">
        <v>4</v>
      </c>
      <c r="G8158" t="s">
        <v>514</v>
      </c>
    </row>
    <row r="8159" spans="1:7" x14ac:dyDescent="0.25">
      <c r="A8159" s="1" t="str">
        <f>"520306"</f>
        <v>520306</v>
      </c>
      <c r="B8159" s="2" t="str">
        <f>"CORREIA DENTADA 9477 GS"</f>
        <v>CORREIA DENTADA 9477 GS</v>
      </c>
      <c r="C8159" s="2" t="str">
        <f>"UN"</f>
        <v>UN</v>
      </c>
      <c r="D8159" s="7">
        <v>402</v>
      </c>
      <c r="E8159" s="3">
        <v>4</v>
      </c>
      <c r="F8159" s="3">
        <v>4</v>
      </c>
      <c r="G8159" t="s">
        <v>514</v>
      </c>
    </row>
    <row r="8160" spans="1:7" x14ac:dyDescent="0.25">
      <c r="A8160" s="1" t="str">
        <f>"520303"</f>
        <v>520303</v>
      </c>
      <c r="B8160" s="2" t="str">
        <f>"CORREIA DENTADA A5"</f>
        <v>CORREIA DENTADA A5</v>
      </c>
      <c r="C8160" s="2" t="str">
        <f>"UN"</f>
        <v>UN</v>
      </c>
      <c r="D8160" s="7">
        <v>402</v>
      </c>
      <c r="E8160" s="3">
        <v>4</v>
      </c>
      <c r="F8160" s="3">
        <v>4</v>
      </c>
      <c r="G8160" t="s">
        <v>512</v>
      </c>
    </row>
    <row r="8161" spans="1:7" x14ac:dyDescent="0.25">
      <c r="A8161" s="1" t="str">
        <f>"520309"</f>
        <v>520309</v>
      </c>
      <c r="B8161" s="2" t="str">
        <f>"CORREIA DENTADA AXS 32"</f>
        <v>CORREIA DENTADA AXS 32</v>
      </c>
      <c r="C8161" s="2" t="str">
        <f>"UN"</f>
        <v>UN</v>
      </c>
      <c r="D8161" s="7">
        <v>402</v>
      </c>
      <c r="E8161" s="3">
        <v>4</v>
      </c>
      <c r="F8161" s="3">
        <v>4</v>
      </c>
      <c r="G8161" t="s">
        <v>513</v>
      </c>
    </row>
    <row r="8162" spans="1:7" x14ac:dyDescent="0.25">
      <c r="A8162" s="1" t="str">
        <f>"520308"</f>
        <v>520308</v>
      </c>
      <c r="B8162" s="2" t="str">
        <f>"CORREIA DENTADA BXS 78"</f>
        <v>CORREIA DENTADA BXS 78</v>
      </c>
      <c r="C8162" s="2" t="str">
        <f>"UN"</f>
        <v>UN</v>
      </c>
      <c r="D8162" s="7">
        <v>402</v>
      </c>
      <c r="E8162" s="3">
        <v>4</v>
      </c>
      <c r="F8162" s="3">
        <v>4</v>
      </c>
      <c r="G8162" t="s">
        <v>514</v>
      </c>
    </row>
    <row r="8163" spans="1:7" x14ac:dyDescent="0.25">
      <c r="A8163" s="1" t="str">
        <f>"506041"</f>
        <v>506041</v>
      </c>
      <c r="B8163" s="2" t="str">
        <f>"CORREIA DENTADA COD.27106390"</f>
        <v>CORREIA DENTADA COD.27106390</v>
      </c>
      <c r="C8163" s="2" t="str">
        <f>"PC"</f>
        <v>PC</v>
      </c>
      <c r="D8163" s="7">
        <v>911</v>
      </c>
      <c r="E8163" s="3">
        <v>11</v>
      </c>
      <c r="F8163" s="3">
        <v>11</v>
      </c>
      <c r="G8163" t="s">
        <v>514</v>
      </c>
    </row>
    <row r="8164" spans="1:7" x14ac:dyDescent="0.25">
      <c r="A8164" s="1" t="str">
        <f>"508131"</f>
        <v>508131</v>
      </c>
      <c r="B8164" s="2" t="str">
        <f>"CORREIA DENTADA OPTIBELT ZR 120 XL"</f>
        <v>CORREIA DENTADA OPTIBELT ZR 120 XL</v>
      </c>
      <c r="C8164" s="2" t="str">
        <f>"UN"</f>
        <v>UN</v>
      </c>
      <c r="D8164" s="7">
        <v>402</v>
      </c>
      <c r="E8164" s="3">
        <v>4</v>
      </c>
      <c r="F8164" s="3">
        <v>4</v>
      </c>
      <c r="G8164" t="s">
        <v>514</v>
      </c>
    </row>
    <row r="8165" spans="1:7" x14ac:dyDescent="0.25">
      <c r="A8165" s="1" t="str">
        <f>"501993"</f>
        <v>501993</v>
      </c>
      <c r="B8165" s="2" t="str">
        <f>"CORREIA DO MOTOR"</f>
        <v>CORREIA DO MOTOR</v>
      </c>
      <c r="C8165" s="2" t="str">
        <f>"UN"</f>
        <v>UN</v>
      </c>
      <c r="D8165" s="7">
        <v>704</v>
      </c>
      <c r="E8165" s="3">
        <v>9</v>
      </c>
      <c r="F8165" s="3">
        <v>9</v>
      </c>
      <c r="G8165" t="s">
        <v>513</v>
      </c>
    </row>
    <row r="8166" spans="1:7" x14ac:dyDescent="0.25">
      <c r="A8166" s="1" t="str">
        <f>"502865"</f>
        <v>502865</v>
      </c>
      <c r="B8166" s="2" t="str">
        <f>"CORREIA EM V INGERSOLL REF.54524343"</f>
        <v>CORREIA EM V INGERSOLL REF.54524343</v>
      </c>
      <c r="C8166" s="2" t="str">
        <f>"PC"</f>
        <v>PC</v>
      </c>
      <c r="D8166" s="7">
        <v>911</v>
      </c>
      <c r="E8166" s="3">
        <v>11</v>
      </c>
      <c r="F8166" s="3">
        <v>11</v>
      </c>
      <c r="G8166" t="s">
        <v>512</v>
      </c>
    </row>
    <row r="8167" spans="1:7" x14ac:dyDescent="0.25">
      <c r="A8167" s="1" t="str">
        <f>"502520"</f>
        <v>502520</v>
      </c>
      <c r="B8167" s="2" t="str">
        <f>"CORREIA FRACIONADA 22"" REQUEIJAO"</f>
        <v>CORREIA FRACIONADA 22" REQUEIJAO</v>
      </c>
      <c r="C8167" s="2" t="str">
        <f>"PC"</f>
        <v>PC</v>
      </c>
      <c r="D8167" s="7">
        <v>911</v>
      </c>
      <c r="E8167" s="3">
        <v>11</v>
      </c>
      <c r="F8167" s="3">
        <v>11</v>
      </c>
      <c r="G8167" t="s">
        <v>513</v>
      </c>
    </row>
    <row r="8168" spans="1:7" x14ac:dyDescent="0.25">
      <c r="A8168" s="1" t="str">
        <f>"516541"</f>
        <v>516541</v>
      </c>
      <c r="B8168" s="2" t="str">
        <f>"CORREIA IND. 3L-150"</f>
        <v>CORREIA IND. 3L-150</v>
      </c>
      <c r="C8168" s="2" t="str">
        <f>"UN"</f>
        <v>UN</v>
      </c>
      <c r="D8168" s="7">
        <v>918</v>
      </c>
      <c r="E8168" s="3">
        <v>11</v>
      </c>
      <c r="F8168" s="3">
        <v>11</v>
      </c>
      <c r="G8168" t="s">
        <v>514</v>
      </c>
    </row>
    <row r="8169" spans="1:7" x14ac:dyDescent="0.25">
      <c r="A8169" s="1" t="str">
        <f>"519633"</f>
        <v>519633</v>
      </c>
      <c r="B8169" s="2" t="str">
        <f>"CORREIA ISB S/ AR CARGO"</f>
        <v>CORREIA ISB S/ AR CARGO</v>
      </c>
      <c r="C8169" s="2" t="str">
        <f>"UN"</f>
        <v>UN</v>
      </c>
      <c r="D8169" s="7">
        <v>704</v>
      </c>
      <c r="E8169" s="3">
        <v>9</v>
      </c>
      <c r="F8169" s="3">
        <v>9</v>
      </c>
      <c r="G8169" t="s">
        <v>514</v>
      </c>
    </row>
    <row r="8170" spans="1:7" x14ac:dyDescent="0.25">
      <c r="A8170" s="1" t="str">
        <f>"514243"</f>
        <v>514243</v>
      </c>
      <c r="B8170" s="2" t="str">
        <f>"CORREIA LAMINADA 1 X 2 LONAS"</f>
        <v>CORREIA LAMINADA 1 X 2 LONAS</v>
      </c>
      <c r="C8170" s="2" t="str">
        <f>"MT"</f>
        <v>MT</v>
      </c>
      <c r="D8170" s="7">
        <v>911</v>
      </c>
      <c r="E8170" s="3">
        <v>11</v>
      </c>
      <c r="F8170" s="3">
        <v>11</v>
      </c>
      <c r="G8170" t="s">
        <v>514</v>
      </c>
    </row>
    <row r="8171" spans="1:7" x14ac:dyDescent="0.25">
      <c r="A8171" s="1" t="str">
        <f>"514242"</f>
        <v>514242</v>
      </c>
      <c r="B8171" s="2" t="str">
        <f>"CORREIA LAMINADA 2 1/2 X 2 LONAS"</f>
        <v>CORREIA LAMINADA 2 1/2 X 2 LONAS</v>
      </c>
      <c r="C8171" s="2" t="str">
        <f>"MT"</f>
        <v>MT</v>
      </c>
      <c r="D8171" s="7">
        <v>911</v>
      </c>
      <c r="E8171" s="3">
        <v>11</v>
      </c>
      <c r="F8171" s="3">
        <v>11</v>
      </c>
      <c r="G8171" t="s">
        <v>513</v>
      </c>
    </row>
    <row r="8172" spans="1:7" x14ac:dyDescent="0.25">
      <c r="A8172" s="1" t="str">
        <f>"512389"</f>
        <v>512389</v>
      </c>
      <c r="B8172" s="2" t="str">
        <f>"CORREIA LAMINADA 4 LONAS 20"""</f>
        <v>CORREIA LAMINADA 4 LONAS 20"</v>
      </c>
      <c r="C8172" s="2" t="str">
        <f>"PC"</f>
        <v>PC</v>
      </c>
      <c r="D8172" s="7">
        <v>911</v>
      </c>
      <c r="E8172" s="3">
        <v>11</v>
      </c>
      <c r="F8172" s="3">
        <v>11</v>
      </c>
      <c r="G8172" t="s">
        <v>513</v>
      </c>
    </row>
    <row r="8173" spans="1:7" x14ac:dyDescent="0.25">
      <c r="A8173" s="1" t="str">
        <f>"514244"</f>
        <v>514244</v>
      </c>
      <c r="B8173" s="2" t="str">
        <f>"CORREIA LAMINADA 7 1/2  X 2 LONAS"</f>
        <v>CORREIA LAMINADA 7 1/2  X 2 LONAS</v>
      </c>
      <c r="C8173" s="2" t="str">
        <f>"MT"</f>
        <v>MT</v>
      </c>
      <c r="D8173" s="7">
        <v>911</v>
      </c>
      <c r="E8173" s="3">
        <v>11</v>
      </c>
      <c r="F8173" s="3">
        <v>11</v>
      </c>
      <c r="G8173" t="s">
        <v>513</v>
      </c>
    </row>
    <row r="8174" spans="1:7" x14ac:dyDescent="0.25">
      <c r="A8174" s="1" t="str">
        <f>"510380"</f>
        <v>510380</v>
      </c>
      <c r="B8174" s="2" t="str">
        <f>"CORREIA MAQ CYCLOP 1350X48MM"</f>
        <v>CORREIA MAQ CYCLOP 1350X48MM</v>
      </c>
      <c r="C8174" s="2" t="str">
        <f>"PC"</f>
        <v>PC</v>
      </c>
      <c r="D8174" s="7">
        <v>911</v>
      </c>
      <c r="E8174" s="3">
        <v>11</v>
      </c>
      <c r="F8174" s="3">
        <v>11</v>
      </c>
      <c r="G8174" t="s">
        <v>512</v>
      </c>
    </row>
    <row r="8175" spans="1:7" x14ac:dyDescent="0.25">
      <c r="A8175" s="1" t="str">
        <f>"503918"</f>
        <v>503918</v>
      </c>
      <c r="B8175" s="2" t="str">
        <f>"CORREIA MAQ CYKLOP REF.05313000100"</f>
        <v>CORREIA MAQ CYKLOP REF.05313000100</v>
      </c>
      <c r="C8175" s="2" t="str">
        <f>"PC"</f>
        <v>PC</v>
      </c>
      <c r="D8175" s="7">
        <v>911</v>
      </c>
      <c r="E8175" s="3">
        <v>11</v>
      </c>
      <c r="F8175" s="3">
        <v>11</v>
      </c>
      <c r="G8175" t="s">
        <v>513</v>
      </c>
    </row>
    <row r="8176" spans="1:7" x14ac:dyDescent="0.25">
      <c r="A8176" s="1" t="str">
        <f>"500781"</f>
        <v>500781</v>
      </c>
      <c r="B8176" s="2" t="str">
        <f>"CORREIA MAQ FECHAR CX 1360X50MM C/ FILET"</f>
        <v>CORREIA MAQ FECHAR CX 1360X50MM C/ FILET</v>
      </c>
      <c r="C8176" s="2" t="str">
        <f>"PC"</f>
        <v>PC</v>
      </c>
      <c r="D8176" s="7">
        <v>911</v>
      </c>
      <c r="E8176" s="3">
        <v>11</v>
      </c>
      <c r="F8176" s="3">
        <v>11</v>
      </c>
      <c r="G8176" t="s">
        <v>514</v>
      </c>
    </row>
    <row r="8177" spans="1:7" x14ac:dyDescent="0.25">
      <c r="A8177" s="1" t="str">
        <f>"501373"</f>
        <v>501373</v>
      </c>
      <c r="B8177" s="2" t="str">
        <f>"CORREIA MAQ FECHAR CX 1570X70MM C/ FILET"</f>
        <v>CORREIA MAQ FECHAR CX 1570X70MM C/ FILET</v>
      </c>
      <c r="C8177" s="2" t="str">
        <f>"PC"</f>
        <v>PC</v>
      </c>
      <c r="D8177" s="7">
        <v>911</v>
      </c>
      <c r="E8177" s="3">
        <v>11</v>
      </c>
      <c r="F8177" s="3">
        <v>11</v>
      </c>
      <c r="G8177" t="s">
        <v>515</v>
      </c>
    </row>
    <row r="8178" spans="1:7" x14ac:dyDescent="0.25">
      <c r="A8178" s="1" t="str">
        <f>"514802"</f>
        <v>514802</v>
      </c>
      <c r="B8178" s="2" t="str">
        <f>"CORREIA MECTROL 04530*700H100*0MM - REQUEIJÃO"</f>
        <v>CORREIA MECTROL 04530*700H100*0MM - REQUEIJÃO</v>
      </c>
      <c r="C8178" s="2" t="str">
        <f>"PC"</f>
        <v>PC</v>
      </c>
      <c r="D8178" s="7">
        <v>911</v>
      </c>
      <c r="E8178" s="3">
        <v>11</v>
      </c>
      <c r="F8178" s="3">
        <v>11</v>
      </c>
      <c r="G8178" t="s">
        <v>512</v>
      </c>
    </row>
    <row r="8179" spans="1:7" x14ac:dyDescent="0.25">
      <c r="A8179" s="1" t="str">
        <f>"517372"</f>
        <v>517372</v>
      </c>
      <c r="B8179" s="2" t="str">
        <f>"CORREIA NITTA L10 LG50X2600MM C/ GUIA 6X4"</f>
        <v>CORREIA NITTA L10 LG50X2600MM C/ GUIA 6X4</v>
      </c>
      <c r="C8179" s="2" t="str">
        <f>"UN"</f>
        <v>UN</v>
      </c>
      <c r="D8179" s="7">
        <v>918</v>
      </c>
      <c r="E8179" s="3">
        <v>11</v>
      </c>
      <c r="F8179" s="3">
        <v>11</v>
      </c>
      <c r="G8179" t="s">
        <v>516</v>
      </c>
    </row>
    <row r="8180" spans="1:7" x14ac:dyDescent="0.25">
      <c r="A8180" s="1" t="str">
        <f>"510454"</f>
        <v>510454</v>
      </c>
      <c r="B8180" s="2" t="str">
        <f>"CORREIA POLIVE K4M"</f>
        <v>CORREIA POLIVE K4M</v>
      </c>
      <c r="C8180" s="2" t="str">
        <f>"PC"</f>
        <v>PC</v>
      </c>
      <c r="D8180" s="7">
        <v>911</v>
      </c>
      <c r="E8180" s="3">
        <v>11</v>
      </c>
      <c r="F8180" s="3">
        <v>11</v>
      </c>
      <c r="G8180" t="s">
        <v>515</v>
      </c>
    </row>
    <row r="8181" spans="1:7" x14ac:dyDescent="0.25">
      <c r="A8181" s="1" t="str">
        <f>"527445"</f>
        <v>527445</v>
      </c>
      <c r="B8181" s="8" t="s">
        <v>503</v>
      </c>
      <c r="C8181" s="2" t="str">
        <f>"UN"</f>
        <v>UN</v>
      </c>
      <c r="D8181" s="7">
        <v>402</v>
      </c>
      <c r="E8181" s="3">
        <v>4</v>
      </c>
      <c r="F8181" s="3">
        <v>4</v>
      </c>
      <c r="G8181" t="s">
        <v>514</v>
      </c>
    </row>
    <row r="8182" spans="1:7" x14ac:dyDescent="0.25">
      <c r="A8182" s="1" t="str">
        <f>"522885"</f>
        <v>522885</v>
      </c>
      <c r="B8182" s="2" t="str">
        <f>"CORREIA SINC. 1224 8M 50"</f>
        <v>CORREIA SINC. 1224 8M 50</v>
      </c>
      <c r="C8182" s="2" t="str">
        <f>"UN"</f>
        <v>UN</v>
      </c>
      <c r="D8182" s="7">
        <v>911</v>
      </c>
      <c r="E8182" s="3">
        <v>10</v>
      </c>
      <c r="F8182" s="3">
        <v>10</v>
      </c>
      <c r="G8182" t="s">
        <v>512</v>
      </c>
    </row>
    <row r="8183" spans="1:7" x14ac:dyDescent="0.25">
      <c r="A8183" s="1" t="str">
        <f>"500827"</f>
        <v>500827</v>
      </c>
      <c r="B8183" s="2" t="str">
        <f>"CORREIA SINCR. HTD 1120-8M-50 - MOTOR"</f>
        <v>CORREIA SINCR. HTD 1120-8M-50 - MOTOR</v>
      </c>
      <c r="C8183" s="2" t="str">
        <f>"UN"</f>
        <v>UN</v>
      </c>
      <c r="D8183" s="7">
        <v>911</v>
      </c>
      <c r="E8183" s="3">
        <v>11</v>
      </c>
      <c r="F8183" s="3">
        <v>11</v>
      </c>
      <c r="G8183" t="s">
        <v>513</v>
      </c>
    </row>
    <row r="8184" spans="1:7" x14ac:dyDescent="0.25">
      <c r="A8184" s="1" t="str">
        <f>"501164"</f>
        <v>501164</v>
      </c>
      <c r="B8184" s="2" t="str">
        <f>"CORREIA SINCR. HTD 384-3M-09  - ENCODER"</f>
        <v>CORREIA SINCR. HTD 384-3M-09  - ENCODER</v>
      </c>
      <c r="C8184" s="2" t="str">
        <f>"PC"</f>
        <v>PC</v>
      </c>
      <c r="D8184" s="7">
        <v>911</v>
      </c>
      <c r="E8184" s="3">
        <v>11</v>
      </c>
      <c r="F8184" s="3">
        <v>11</v>
      </c>
      <c r="G8184" t="s">
        <v>514</v>
      </c>
    </row>
    <row r="8185" spans="1:7" x14ac:dyDescent="0.25">
      <c r="A8185" s="1" t="str">
        <f>"520489"</f>
        <v>520489</v>
      </c>
      <c r="B8185" s="2" t="str">
        <f>"CORREIA SINCR. PASSO 3/8-420LZ - 112 (420LZ75BFX)"</f>
        <v>CORREIA SINCR. PASSO 3/8-420LZ - 112 (420LZ75BFX)</v>
      </c>
      <c r="C8185" s="2" t="str">
        <f>"PC"</f>
        <v>PC</v>
      </c>
      <c r="D8185" s="7">
        <v>911</v>
      </c>
      <c r="E8185" s="3">
        <v>11</v>
      </c>
      <c r="F8185" s="3">
        <v>11</v>
      </c>
      <c r="G8185" t="s">
        <v>514</v>
      </c>
    </row>
    <row r="8186" spans="1:7" x14ac:dyDescent="0.25">
      <c r="A8186" s="1" t="str">
        <f>"506779"</f>
        <v>506779</v>
      </c>
      <c r="B8186" s="2" t="str">
        <f>"CORREIA SINCRONIZADA 113 DENTES 190XL"</f>
        <v>CORREIA SINCRONIZADA 113 DENTES 190XL</v>
      </c>
      <c r="C8186" s="2" t="str">
        <f>"PC"</f>
        <v>PC</v>
      </c>
      <c r="D8186" s="7">
        <v>911</v>
      </c>
      <c r="E8186" s="3">
        <v>11</v>
      </c>
      <c r="F8186" s="3">
        <v>11</v>
      </c>
      <c r="G8186" t="s">
        <v>512</v>
      </c>
    </row>
    <row r="8187" spans="1:7" x14ac:dyDescent="0.25">
      <c r="A8187" s="1" t="str">
        <f>"527635"</f>
        <v>527635</v>
      </c>
      <c r="B8187" s="2" t="str">
        <f>"CORREIA SINCRONIZADA 600 S5M 15"</f>
        <v>CORREIA SINCRONIZADA 600 S5M 15</v>
      </c>
      <c r="C8187" s="2" t="str">
        <f>"UN"</f>
        <v>UN</v>
      </c>
      <c r="D8187" s="7">
        <v>402</v>
      </c>
      <c r="E8187" s="3">
        <v>4</v>
      </c>
      <c r="F8187" s="3">
        <v>4</v>
      </c>
      <c r="G8187" t="s">
        <v>513</v>
      </c>
    </row>
    <row r="8188" spans="1:7" x14ac:dyDescent="0.25">
      <c r="A8188" s="1" t="str">
        <f>"504208"</f>
        <v>504208</v>
      </c>
      <c r="B8188" s="2" t="str">
        <f>"CORREIA SINCRONIZADA CO-14017 CONTINENTAL HTD1120-8M A030711"</f>
        <v>CORREIA SINCRONIZADA CO-14017 CONTINENTAL HTD1120-8M A030711</v>
      </c>
      <c r="C8188" s="2" t="str">
        <f>"PC"</f>
        <v>PC</v>
      </c>
      <c r="D8188" s="7">
        <v>911</v>
      </c>
      <c r="E8188" s="3">
        <v>11</v>
      </c>
      <c r="F8188" s="3">
        <v>11</v>
      </c>
      <c r="G8188" t="s">
        <v>514</v>
      </c>
    </row>
    <row r="8189" spans="1:7" x14ac:dyDescent="0.25">
      <c r="A8189" s="1" t="str">
        <f>"504209"</f>
        <v>504209</v>
      </c>
      <c r="B8189" s="2" t="str">
        <f>"CORREIA SINCRONIZADA CO-14018 32/504/17"</f>
        <v>CORREIA SINCRONIZADA CO-14018 32/504/17</v>
      </c>
      <c r="C8189" s="2" t="str">
        <f>"PC"</f>
        <v>PC</v>
      </c>
      <c r="D8189" s="7">
        <v>911</v>
      </c>
      <c r="E8189" s="3">
        <v>11</v>
      </c>
      <c r="F8189" s="3">
        <v>11</v>
      </c>
      <c r="G8189" t="s">
        <v>514</v>
      </c>
    </row>
    <row r="8190" spans="1:7" x14ac:dyDescent="0.25">
      <c r="A8190" s="1" t="str">
        <f>"504304"</f>
        <v>504304</v>
      </c>
      <c r="B8190" s="2" t="str">
        <f>"CORREIA SINCRONIZADA T5-DZ 860 MITRI"</f>
        <v>CORREIA SINCRONIZADA T5-DZ 860 MITRI</v>
      </c>
      <c r="C8190" s="2" t="str">
        <f>"PC"</f>
        <v>PC</v>
      </c>
      <c r="D8190" s="7">
        <v>911</v>
      </c>
      <c r="E8190" s="3">
        <v>11</v>
      </c>
      <c r="F8190" s="3">
        <v>11</v>
      </c>
      <c r="G8190" t="s">
        <v>514</v>
      </c>
    </row>
    <row r="8191" spans="1:7" x14ac:dyDescent="0.25">
      <c r="A8191" s="1" t="str">
        <f>"501572"</f>
        <v>501572</v>
      </c>
      <c r="B8191" s="2" t="str">
        <f>"CORREIA SINCRONIZADORA 124LX075 REQUEIJA"</f>
        <v>CORREIA SINCRONIZADORA 124LX075 REQUEIJA</v>
      </c>
      <c r="C8191" s="2" t="str">
        <f>"UN"</f>
        <v>UN</v>
      </c>
      <c r="D8191" s="7">
        <v>911</v>
      </c>
      <c r="E8191" s="3">
        <v>11</v>
      </c>
      <c r="F8191" s="3">
        <v>11</v>
      </c>
      <c r="G8191" t="s">
        <v>513</v>
      </c>
    </row>
    <row r="8192" spans="1:7" x14ac:dyDescent="0.25">
      <c r="A8192" s="1" t="str">
        <f>"501218"</f>
        <v>501218</v>
      </c>
      <c r="B8192" s="2" t="str">
        <f>"CORREIA SINCRONIZADORA 260XL 037"</f>
        <v>CORREIA SINCRONIZADORA 260XL 037</v>
      </c>
      <c r="C8192" s="2" t="str">
        <f>"PC"</f>
        <v>PC</v>
      </c>
      <c r="D8192" s="7">
        <v>911</v>
      </c>
      <c r="E8192" s="3">
        <v>11</v>
      </c>
      <c r="F8192" s="3">
        <v>11</v>
      </c>
      <c r="G8192" t="s">
        <v>512</v>
      </c>
    </row>
    <row r="8193" spans="1:7" x14ac:dyDescent="0.25">
      <c r="A8193" s="1" t="str">
        <f>"506054"</f>
        <v>506054</v>
      </c>
      <c r="B8193" s="2" t="str">
        <f>"CORREIA SVA 12/2E 100X8500MM ABERTA"</f>
        <v>CORREIA SVA 12/2E 100X8500MM ABERTA</v>
      </c>
      <c r="C8193" s="2" t="str">
        <f>"PC"</f>
        <v>PC</v>
      </c>
      <c r="D8193" s="7">
        <v>911</v>
      </c>
      <c r="E8193" s="3">
        <v>11</v>
      </c>
      <c r="F8193" s="3">
        <v>11</v>
      </c>
      <c r="G8193" t="s">
        <v>513</v>
      </c>
    </row>
    <row r="8194" spans="1:7" x14ac:dyDescent="0.25">
      <c r="A8194" s="1" t="str">
        <f>"513553"</f>
        <v>513553</v>
      </c>
      <c r="B8194" s="2" t="str">
        <f>"CORREIA T10 730X32 ROTULADEIRA POTE PEDAÇOS 500GR"</f>
        <v>CORREIA T10 730X32 ROTULADEIRA POTE PEDAÇOS 500GR</v>
      </c>
      <c r="C8194" s="2" t="str">
        <f>"PC"</f>
        <v>PC</v>
      </c>
      <c r="D8194" s="7">
        <v>911</v>
      </c>
      <c r="E8194" s="3">
        <v>11</v>
      </c>
      <c r="F8194" s="3">
        <v>11</v>
      </c>
      <c r="G8194" t="s">
        <v>514</v>
      </c>
    </row>
    <row r="8195" spans="1:7" x14ac:dyDescent="0.25">
      <c r="A8195" s="1" t="str">
        <f>"502505"</f>
        <v>502505</v>
      </c>
      <c r="B8195" s="2" t="str">
        <f>"CORREIA TERMOKING"</f>
        <v>CORREIA TERMOKING</v>
      </c>
      <c r="C8195" s="2" t="str">
        <f>"UN"</f>
        <v>UN</v>
      </c>
      <c r="D8195" s="7">
        <v>704</v>
      </c>
      <c r="E8195" s="3">
        <v>9</v>
      </c>
      <c r="F8195" s="3">
        <v>9</v>
      </c>
      <c r="G8195" t="s">
        <v>514</v>
      </c>
    </row>
    <row r="8196" spans="1:7" x14ac:dyDescent="0.25">
      <c r="A8196" s="1" t="str">
        <f>"520311"</f>
        <v>520311</v>
      </c>
      <c r="B8196" s="2" t="str">
        <f>"CORREIA TOYOTA 90916-02975-71"</f>
        <v>CORREIA TOYOTA 90916-02975-71</v>
      </c>
      <c r="C8196" s="2" t="str">
        <f>"UN"</f>
        <v>UN</v>
      </c>
      <c r="D8196" s="7">
        <v>402</v>
      </c>
      <c r="E8196" s="3">
        <v>4</v>
      </c>
      <c r="F8196" s="3">
        <v>4</v>
      </c>
      <c r="G8196" t="s">
        <v>514</v>
      </c>
    </row>
    <row r="8197" spans="1:7" x14ac:dyDescent="0.25">
      <c r="A8197" s="1" t="str">
        <f>"510424"</f>
        <v>510424</v>
      </c>
      <c r="B8197" s="2" t="str">
        <f>"CORREIA TRAÇÃO DEGOLADOR A-52 PU"</f>
        <v>CORREIA TRAÇÃO DEGOLADOR A-52 PU</v>
      </c>
      <c r="C8197" s="2" t="str">
        <f t="shared" ref="C8197:C8203" si="315">"PC"</f>
        <v>PC</v>
      </c>
      <c r="D8197" s="7">
        <v>911</v>
      </c>
      <c r="E8197" s="3">
        <v>11</v>
      </c>
      <c r="F8197" s="3">
        <v>11</v>
      </c>
      <c r="G8197" t="s">
        <v>513</v>
      </c>
    </row>
    <row r="8198" spans="1:7" x14ac:dyDescent="0.25">
      <c r="A8198" s="1" t="str">
        <f>"516932"</f>
        <v>516932</v>
      </c>
      <c r="B8198" s="2" t="str">
        <f>"CORREIA TRAÇAO NITTA 24024*VRT14A*50MM*2600MM"</f>
        <v>CORREIA TRAÇAO NITTA 24024*VRT14A*50MM*2600MM</v>
      </c>
      <c r="C8198" s="2" t="str">
        <f t="shared" si="315"/>
        <v>PC</v>
      </c>
      <c r="D8198" s="7">
        <v>911</v>
      </c>
      <c r="E8198" s="3">
        <v>11</v>
      </c>
      <c r="F8198" s="3">
        <v>11</v>
      </c>
      <c r="G8198" t="s">
        <v>513</v>
      </c>
    </row>
    <row r="8199" spans="1:7" x14ac:dyDescent="0.25">
      <c r="A8199" s="1" t="str">
        <f>"516933"</f>
        <v>516933</v>
      </c>
      <c r="B8199" s="2" t="str">
        <f>"CORREIA TRAÇAO NITTA 24025*VRT14A*50mm*1600MM"</f>
        <v>CORREIA TRAÇAO NITTA 24025*VRT14A*50mm*1600MM</v>
      </c>
      <c r="C8199" s="2" t="str">
        <f t="shared" si="315"/>
        <v>PC</v>
      </c>
      <c r="D8199" s="7">
        <v>911</v>
      </c>
      <c r="E8199" s="3">
        <v>11</v>
      </c>
      <c r="F8199" s="3">
        <v>11</v>
      </c>
      <c r="G8199" t="s">
        <v>513</v>
      </c>
    </row>
    <row r="8200" spans="1:7" x14ac:dyDescent="0.25">
      <c r="A8200" s="1" t="str">
        <f>"516934"</f>
        <v>516934</v>
      </c>
      <c r="B8200" s="2" t="str">
        <f>"CORREIA TRAÇAO NITTA 24027*VRT14A*50mm*2000MM"</f>
        <v>CORREIA TRAÇAO NITTA 24027*VRT14A*50mm*2000MM</v>
      </c>
      <c r="C8200" s="2" t="str">
        <f t="shared" si="315"/>
        <v>PC</v>
      </c>
      <c r="D8200" s="7">
        <v>911</v>
      </c>
      <c r="E8200" s="3">
        <v>11</v>
      </c>
      <c r="F8200" s="3">
        <v>11</v>
      </c>
      <c r="G8200" t="s">
        <v>512</v>
      </c>
    </row>
    <row r="8201" spans="1:7" x14ac:dyDescent="0.25">
      <c r="A8201" s="1" t="str">
        <f>"527299"</f>
        <v>527299</v>
      </c>
      <c r="B8201" s="2" t="str">
        <f>"CORREIA V 9486 13X12 (BESTA 2.7 DIESEL) EMPILHADEIRA"</f>
        <v>CORREIA V 9486 13X12 (BESTA 2.7 DIESEL) EMPILHADEIRA</v>
      </c>
      <c r="C8201" s="2" t="str">
        <f t="shared" si="315"/>
        <v>PC</v>
      </c>
      <c r="D8201" s="7">
        <v>918</v>
      </c>
      <c r="E8201" s="3">
        <v>11</v>
      </c>
      <c r="F8201" s="3">
        <v>11</v>
      </c>
      <c r="G8201" t="s">
        <v>513</v>
      </c>
    </row>
    <row r="8202" spans="1:7" x14ac:dyDescent="0.25">
      <c r="A8202" s="1" t="str">
        <f>"517876"</f>
        <v>517876</v>
      </c>
      <c r="B8202" s="2" t="str">
        <f>"CORREIA VARIADORA 1080X36X14MM MAQUINA BRASKOP 8000"</f>
        <v>CORREIA VARIADORA 1080X36X14MM MAQUINA BRASKOP 8000</v>
      </c>
      <c r="C8202" s="2" t="str">
        <f t="shared" si="315"/>
        <v>PC</v>
      </c>
      <c r="D8202" s="7">
        <v>911</v>
      </c>
      <c r="E8202" s="3">
        <v>11</v>
      </c>
      <c r="F8202" s="3">
        <v>11</v>
      </c>
      <c r="G8202" t="s">
        <v>514</v>
      </c>
    </row>
    <row r="8203" spans="1:7" x14ac:dyDescent="0.25">
      <c r="A8203" s="1" t="str">
        <f>"512963"</f>
        <v>512963</v>
      </c>
      <c r="B8203" s="2" t="str">
        <f>"CORREIA VARIADORA 1420 X 47 X 14/16"</f>
        <v>CORREIA VARIADORA 1420 X 47 X 14/16</v>
      </c>
      <c r="C8203" s="2" t="str">
        <f t="shared" si="315"/>
        <v>PC</v>
      </c>
      <c r="D8203" s="7">
        <v>911</v>
      </c>
      <c r="E8203" s="3">
        <v>11</v>
      </c>
      <c r="F8203" s="3">
        <v>11</v>
      </c>
      <c r="G8203" t="s">
        <v>515</v>
      </c>
    </row>
    <row r="8204" spans="1:7" x14ac:dyDescent="0.25">
      <c r="A8204" s="1" t="str">
        <f>"501999"</f>
        <v>501999</v>
      </c>
      <c r="B8204" s="2" t="str">
        <f>"CORREIA VENTILADOR"</f>
        <v>CORREIA VENTILADOR</v>
      </c>
      <c r="C8204" s="2" t="str">
        <f t="shared" ref="C8204:C8209" si="316">"UN"</f>
        <v>UN</v>
      </c>
      <c r="D8204" s="7">
        <v>704</v>
      </c>
      <c r="E8204" s="3">
        <v>9</v>
      </c>
      <c r="F8204" s="3">
        <v>9</v>
      </c>
      <c r="G8204" t="s">
        <v>512</v>
      </c>
    </row>
    <row r="8205" spans="1:7" x14ac:dyDescent="0.25">
      <c r="A8205" s="1" t="str">
        <f>"527309"</f>
        <v>527309</v>
      </c>
      <c r="B8205" s="2" t="str">
        <f>"CORRENTE"</f>
        <v>CORRENTE</v>
      </c>
      <c r="C8205" s="2" t="str">
        <f t="shared" si="316"/>
        <v>UN</v>
      </c>
      <c r="D8205" s="7">
        <v>1300</v>
      </c>
      <c r="E8205" s="3">
        <v>13</v>
      </c>
      <c r="F8205" s="3">
        <v>13</v>
      </c>
      <c r="G8205" t="s">
        <v>516</v>
      </c>
    </row>
    <row r="8206" spans="1:7" x14ac:dyDescent="0.25">
      <c r="A8206" s="1" t="str">
        <f>"513595"</f>
        <v>513595</v>
      </c>
      <c r="B8206" s="2" t="str">
        <f>"CORRENTE 1/4 ESPECIAL"</f>
        <v>CORRENTE 1/4 ESPECIAL</v>
      </c>
      <c r="C8206" s="2" t="str">
        <f t="shared" si="316"/>
        <v>UN</v>
      </c>
      <c r="D8206" s="7">
        <v>817</v>
      </c>
      <c r="E8206" s="3">
        <v>4</v>
      </c>
      <c r="F8206" s="3">
        <v>4</v>
      </c>
      <c r="G8206" t="s">
        <v>515</v>
      </c>
    </row>
    <row r="8207" spans="1:7" x14ac:dyDescent="0.25">
      <c r="A8207" s="1" t="str">
        <f>"520547"</f>
        <v>520547</v>
      </c>
      <c r="B8207" s="2" t="str">
        <f>"CORRENTE 3/4 ASA 60 SIMPLES"</f>
        <v>CORRENTE 3/4 ASA 60 SIMPLES</v>
      </c>
      <c r="C8207" s="2" t="str">
        <f t="shared" si="316"/>
        <v>UN</v>
      </c>
      <c r="D8207" s="7">
        <v>918</v>
      </c>
      <c r="E8207" s="3">
        <v>11</v>
      </c>
      <c r="F8207" s="3">
        <v>11</v>
      </c>
      <c r="G8207" t="s">
        <v>514</v>
      </c>
    </row>
    <row r="8208" spans="1:7" x14ac:dyDescent="0.25">
      <c r="A8208" s="1" t="str">
        <f>"514559"</f>
        <v>514559</v>
      </c>
      <c r="B8208" s="2" t="str">
        <f>"CORRENTE 3/8 REDONDA"</f>
        <v>CORRENTE 3/8 REDONDA</v>
      </c>
      <c r="C8208" s="2" t="str">
        <f t="shared" si="316"/>
        <v>UN</v>
      </c>
      <c r="D8208" s="7">
        <v>817</v>
      </c>
      <c r="E8208" s="3">
        <v>4</v>
      </c>
      <c r="F8208" s="3">
        <v>4</v>
      </c>
      <c r="G8208" t="s">
        <v>512</v>
      </c>
    </row>
    <row r="8209" spans="1:7" x14ac:dyDescent="0.25">
      <c r="A8209" s="1" t="str">
        <f>"521139"</f>
        <v>521139</v>
      </c>
      <c r="B8209" s="2" t="str">
        <f>"CORRENTE 60HPB EVC4181940 RS60-HP-U TSUBAKI"</f>
        <v>CORRENTE 60HPB EVC4181940 RS60-HP-U TSUBAKI</v>
      </c>
      <c r="C8209" s="2" t="str">
        <f t="shared" si="316"/>
        <v>UN</v>
      </c>
      <c r="D8209" s="7">
        <v>817</v>
      </c>
      <c r="E8209" s="3">
        <v>4</v>
      </c>
      <c r="F8209" s="3">
        <v>4</v>
      </c>
      <c r="G8209" t="s">
        <v>513</v>
      </c>
    </row>
    <row r="8210" spans="1:7" x14ac:dyDescent="0.25">
      <c r="A8210" s="1" t="str">
        <f>"506079"</f>
        <v>506079</v>
      </c>
      <c r="B8210" s="2" t="str">
        <f>"CORRENTE ASA 040/141/7.02 MAQ. BANDEIJA"</f>
        <v>CORRENTE ASA 040/141/7.02 MAQ. BANDEIJA</v>
      </c>
      <c r="C8210" s="2" t="str">
        <f>"MT"</f>
        <v>MT</v>
      </c>
      <c r="D8210" s="7">
        <v>904</v>
      </c>
      <c r="E8210" s="3">
        <v>11</v>
      </c>
      <c r="F8210" s="3">
        <v>11</v>
      </c>
      <c r="G8210" t="s">
        <v>514</v>
      </c>
    </row>
    <row r="8211" spans="1:7" x14ac:dyDescent="0.25">
      <c r="A8211" s="1" t="str">
        <f>"519576"</f>
        <v>519576</v>
      </c>
      <c r="B8211" s="2" t="str">
        <f>"CORRENTE ASA 50"</f>
        <v>CORRENTE ASA 50</v>
      </c>
      <c r="C8211" s="2" t="str">
        <f>"UN"</f>
        <v>UN</v>
      </c>
      <c r="D8211" s="7">
        <v>918</v>
      </c>
      <c r="E8211" s="3">
        <v>11</v>
      </c>
      <c r="F8211" s="3">
        <v>11</v>
      </c>
      <c r="G8211" t="s">
        <v>514</v>
      </c>
    </row>
    <row r="8212" spans="1:7" x14ac:dyDescent="0.25">
      <c r="A8212" s="1" t="str">
        <f>"500745"</f>
        <v>500745</v>
      </c>
      <c r="B8212" s="2" t="str">
        <f>"CORRENTE ASA040-1 DINIEPER"</f>
        <v>CORRENTE ASA040-1 DINIEPER</v>
      </c>
      <c r="C8212" s="2" t="str">
        <f>"MT"</f>
        <v>MT</v>
      </c>
      <c r="D8212" s="7">
        <v>904</v>
      </c>
      <c r="E8212" s="3">
        <v>11</v>
      </c>
      <c r="F8212" s="3">
        <v>11</v>
      </c>
      <c r="G8212" t="s">
        <v>512</v>
      </c>
    </row>
    <row r="8213" spans="1:7" x14ac:dyDescent="0.25">
      <c r="A8213" s="1" t="str">
        <f>"522031"</f>
        <v>522031</v>
      </c>
      <c r="B8213" s="8" t="s">
        <v>274</v>
      </c>
      <c r="C8213" s="2" t="str">
        <f>"MT"</f>
        <v>MT</v>
      </c>
      <c r="D8213" s="7">
        <v>918</v>
      </c>
      <c r="E8213" s="3">
        <v>11</v>
      </c>
      <c r="F8213" s="3">
        <v>11</v>
      </c>
      <c r="G8213" t="s">
        <v>513</v>
      </c>
    </row>
    <row r="8214" spans="1:7" x14ac:dyDescent="0.25">
      <c r="A8214" s="1" t="str">
        <f>"524686"</f>
        <v>524686</v>
      </c>
      <c r="B8214" s="2" t="str">
        <f>"CORRENTE DE CARGA 5/16 LODESTAR V2 73158200"</f>
        <v>CORRENTE DE CARGA 5/16 LODESTAR V2 73158200</v>
      </c>
      <c r="C8214" s="2" t="str">
        <f>"UN"</f>
        <v>UN</v>
      </c>
      <c r="D8214" s="7">
        <v>918</v>
      </c>
      <c r="E8214" s="3">
        <v>10</v>
      </c>
      <c r="F8214" s="3">
        <v>10</v>
      </c>
      <c r="G8214" t="s">
        <v>514</v>
      </c>
    </row>
    <row r="8215" spans="1:7" x14ac:dyDescent="0.25">
      <c r="A8215" s="1" t="str">
        <f>"522883"</f>
        <v>522883</v>
      </c>
      <c r="B8215" s="8" t="s">
        <v>349</v>
      </c>
      <c r="C8215" s="2" t="str">
        <f>"MT"</f>
        <v>MT</v>
      </c>
      <c r="D8215" s="7">
        <v>918</v>
      </c>
      <c r="E8215" s="3">
        <v>10</v>
      </c>
      <c r="F8215" s="3">
        <v>10</v>
      </c>
      <c r="G8215" t="s">
        <v>514</v>
      </c>
    </row>
    <row r="8216" spans="1:7" x14ac:dyDescent="0.25">
      <c r="A8216" s="1" t="str">
        <f>"522236"</f>
        <v>522236</v>
      </c>
      <c r="B8216" s="2" t="str">
        <f>"CORRENTE DUPLA RD 5 R"</f>
        <v>CORRENTE DUPLA RD 5 R</v>
      </c>
      <c r="C8216" s="2" t="str">
        <f>"UN"</f>
        <v>UN</v>
      </c>
      <c r="D8216" s="7">
        <v>1400</v>
      </c>
      <c r="E8216" s="3">
        <v>8</v>
      </c>
      <c r="F8216" s="3">
        <v>8</v>
      </c>
      <c r="G8216" t="s">
        <v>514</v>
      </c>
    </row>
    <row r="8217" spans="1:7" x14ac:dyDescent="0.25">
      <c r="A8217" s="1" t="str">
        <f>"527989"</f>
        <v>527989</v>
      </c>
      <c r="B8217" s="2" t="str">
        <f>"CORRENTE DUPLA RD60"</f>
        <v>CORRENTE DUPLA RD60</v>
      </c>
      <c r="C8217" s="2" t="str">
        <f>"MT"</f>
        <v>MT</v>
      </c>
      <c r="D8217" s="7">
        <v>918</v>
      </c>
      <c r="E8217" s="3">
        <v>11</v>
      </c>
      <c r="F8217" s="3">
        <v>11</v>
      </c>
      <c r="G8217" t="s">
        <v>513</v>
      </c>
    </row>
    <row r="8218" spans="1:7" x14ac:dyDescent="0.25">
      <c r="A8218" s="1" t="str">
        <f>"501612"</f>
        <v>501612</v>
      </c>
      <c r="B8218" s="2" t="str">
        <f>"CORRENTE ELEVACAO LANCA EXTERNA LARG25MM"</f>
        <v>CORRENTE ELEVACAO LANCA EXTERNA LARG25MM</v>
      </c>
      <c r="C8218" s="2" t="str">
        <f>"MT"</f>
        <v>MT</v>
      </c>
      <c r="D8218" s="7">
        <v>904</v>
      </c>
      <c r="E8218" s="3">
        <v>11</v>
      </c>
      <c r="F8218" s="3">
        <v>11</v>
      </c>
      <c r="G8218" t="s">
        <v>512</v>
      </c>
    </row>
    <row r="8219" spans="1:7" x14ac:dyDescent="0.25">
      <c r="A8219" s="1" t="str">
        <f>"502546"</f>
        <v>502546</v>
      </c>
      <c r="B8219" s="2" t="str">
        <f>"CORRENTE ELEVACAO LANCA FBRE15 LARG.23MM"</f>
        <v>CORRENTE ELEVACAO LANCA FBRE15 LARG.23MM</v>
      </c>
      <c r="C8219" s="2" t="str">
        <f>"MT"</f>
        <v>MT</v>
      </c>
      <c r="D8219" s="7">
        <v>904</v>
      </c>
      <c r="E8219" s="3">
        <v>11</v>
      </c>
      <c r="F8219" s="3">
        <v>11</v>
      </c>
      <c r="G8219" t="s">
        <v>513</v>
      </c>
    </row>
    <row r="8220" spans="1:7" x14ac:dyDescent="0.25">
      <c r="A8220" s="1" t="str">
        <f>"510518"</f>
        <v>510518</v>
      </c>
      <c r="B8220" s="2" t="str">
        <f>"CORRENTE GALVANIZADA"</f>
        <v>CORRENTE GALVANIZADA</v>
      </c>
      <c r="C8220" s="2" t="str">
        <f>"MT"</f>
        <v>MT</v>
      </c>
      <c r="D8220" s="7">
        <v>904</v>
      </c>
      <c r="E8220" s="3">
        <v>11</v>
      </c>
      <c r="F8220" s="3">
        <v>11</v>
      </c>
      <c r="G8220" t="s">
        <v>514</v>
      </c>
    </row>
    <row r="8221" spans="1:7" x14ac:dyDescent="0.25">
      <c r="A8221" s="1" t="str">
        <f>"527482"</f>
        <v>527482</v>
      </c>
      <c r="B8221" s="2" t="str">
        <f>"CORRENTE INOX 304 VITORIA N7 SEM FIM"</f>
        <v>CORRENTE INOX 304 VITORIA N7 SEM FIM</v>
      </c>
      <c r="C8221" s="2" t="str">
        <f>"MT"</f>
        <v>MT</v>
      </c>
      <c r="D8221" s="7">
        <v>912</v>
      </c>
      <c r="E8221" s="3">
        <v>10</v>
      </c>
      <c r="F8221" s="3">
        <v>10</v>
      </c>
      <c r="G8221" t="s">
        <v>514</v>
      </c>
    </row>
    <row r="8222" spans="1:7" x14ac:dyDescent="0.25">
      <c r="A8222" s="1" t="str">
        <f>"521548"</f>
        <v>521548</v>
      </c>
      <c r="B8222" s="8" t="s">
        <v>205</v>
      </c>
      <c r="C8222" s="2" t="str">
        <f>"UN"</f>
        <v>UN</v>
      </c>
      <c r="D8222" s="7">
        <v>812</v>
      </c>
      <c r="E8222" s="3">
        <v>10</v>
      </c>
      <c r="F8222" s="3">
        <v>10</v>
      </c>
      <c r="G8222" t="s">
        <v>514</v>
      </c>
    </row>
    <row r="8223" spans="1:7" x14ac:dyDescent="0.25">
      <c r="A8223" s="1" t="str">
        <f>"508109"</f>
        <v>508109</v>
      </c>
      <c r="B8223" s="2" t="str">
        <f>"CORRENTE P/ PARABARRO  TRASEIRO"</f>
        <v>CORRENTE P/ PARABARRO  TRASEIRO</v>
      </c>
      <c r="C8223" s="2" t="str">
        <f>"UN"</f>
        <v>UN</v>
      </c>
      <c r="D8223" s="7">
        <v>704</v>
      </c>
      <c r="E8223" s="3">
        <v>9</v>
      </c>
      <c r="F8223" s="3">
        <v>9</v>
      </c>
      <c r="G8223" t="s">
        <v>513</v>
      </c>
    </row>
    <row r="8224" spans="1:7" x14ac:dyDescent="0.25">
      <c r="A8224" s="1" t="str">
        <f>"527522"</f>
        <v>527522</v>
      </c>
      <c r="B8224" s="2" t="str">
        <f>"CORRENTE PARA JANELA BASCULANTE 1003 C"</f>
        <v>CORRENTE PARA JANELA BASCULANTE 1003 C</v>
      </c>
      <c r="C8224" s="2" t="str">
        <f>"UN"</f>
        <v>UN</v>
      </c>
      <c r="D8224" s="7">
        <v>917</v>
      </c>
      <c r="E8224" s="3">
        <v>11</v>
      </c>
      <c r="F8224" s="3">
        <v>11</v>
      </c>
      <c r="G8224" t="s">
        <v>513</v>
      </c>
    </row>
    <row r="8225" spans="1:7" x14ac:dyDescent="0.25">
      <c r="A8225" s="1" t="str">
        <f>"517630"</f>
        <v>517630</v>
      </c>
      <c r="B8225" s="2" t="str">
        <f>"CORRENTE PASSO 2"" C/ ABA (CONFORME DESENHO)"</f>
        <v>CORRENTE PASSO 2" C/ ABA (CONFORME DESENHO)</v>
      </c>
      <c r="C8225" s="2" t="str">
        <f>"MT"</f>
        <v>MT</v>
      </c>
      <c r="D8225" s="7">
        <v>918</v>
      </c>
      <c r="E8225" s="3">
        <v>11</v>
      </c>
      <c r="F8225" s="3">
        <v>11</v>
      </c>
      <c r="G8225" t="s">
        <v>513</v>
      </c>
    </row>
    <row r="8226" spans="1:7" x14ac:dyDescent="0.25">
      <c r="A8226" s="1" t="str">
        <f>"527006"</f>
        <v>527006</v>
      </c>
      <c r="B8226" s="2" t="str">
        <f>"CORRENTE PASSO LONGO AISI 304 ANSI C2060"</f>
        <v>CORRENTE PASSO LONGO AISI 304 ANSI C2060</v>
      </c>
      <c r="C8226" s="2" t="str">
        <f t="shared" ref="C8226:C8231" si="317">"UN"</f>
        <v>UN</v>
      </c>
      <c r="D8226" s="7">
        <v>704</v>
      </c>
      <c r="E8226" s="3">
        <v>9</v>
      </c>
      <c r="F8226" s="3">
        <v>9</v>
      </c>
      <c r="G8226" t="s">
        <v>512</v>
      </c>
    </row>
    <row r="8227" spans="1:7" x14ac:dyDescent="0.25">
      <c r="A8227" s="1" t="str">
        <f>"516460"</f>
        <v>516460</v>
      </c>
      <c r="B8227" s="2" t="str">
        <f>"CORRENTE PLASTICA ELO MEDIO 63X34X9MM"</f>
        <v>CORRENTE PLASTICA ELO MEDIO 63X34X9MM</v>
      </c>
      <c r="C8227" s="2" t="str">
        <f t="shared" si="317"/>
        <v>UN</v>
      </c>
      <c r="D8227" s="7">
        <v>817</v>
      </c>
      <c r="E8227" s="3">
        <v>10</v>
      </c>
      <c r="F8227" s="3">
        <v>10</v>
      </c>
      <c r="G8227" t="s">
        <v>513</v>
      </c>
    </row>
    <row r="8228" spans="1:7" x14ac:dyDescent="0.25">
      <c r="A8228" s="1" t="str">
        <f>"517944"</f>
        <v>517944</v>
      </c>
      <c r="B8228" s="2" t="str">
        <f>"CORRENTE PLATAFORMA ACETAL 880 A TAB325 L=82,5M RL3,048 1201"</f>
        <v>CORRENTE PLATAFORMA ACETAL 880 A TAB325 L=82,5M RL3,048 1201</v>
      </c>
      <c r="C8228" s="2" t="str">
        <f t="shared" si="317"/>
        <v>UN</v>
      </c>
      <c r="D8228" s="7">
        <v>918</v>
      </c>
      <c r="E8228" s="3">
        <v>11</v>
      </c>
      <c r="F8228" s="3">
        <v>11</v>
      </c>
      <c r="G8228" t="s">
        <v>514</v>
      </c>
    </row>
    <row r="8229" spans="1:7" x14ac:dyDescent="0.25">
      <c r="A8229" s="1" t="str">
        <f>"516924"</f>
        <v>516924</v>
      </c>
      <c r="B8229" s="2" t="str">
        <f>"CORRENTE PLATAFORMA CURVA LF 880 TAB A 325"</f>
        <v>CORRENTE PLATAFORMA CURVA LF 880 TAB A 325</v>
      </c>
      <c r="C8229" s="2" t="str">
        <f t="shared" si="317"/>
        <v>UN</v>
      </c>
      <c r="D8229" s="7">
        <v>918</v>
      </c>
      <c r="E8229" s="3">
        <v>11</v>
      </c>
      <c r="F8229" s="3">
        <v>11</v>
      </c>
      <c r="G8229" t="s">
        <v>515</v>
      </c>
    </row>
    <row r="8230" spans="1:7" x14ac:dyDescent="0.25">
      <c r="A8230" s="1" t="str">
        <f>"503354"</f>
        <v>503354</v>
      </c>
      <c r="B8230" s="2" t="str">
        <f>"CORRENTE PLATAFORMA INOX CURVA SSC 881 TAB 325"</f>
        <v>CORRENTE PLATAFORMA INOX CURVA SSC 881 TAB 325</v>
      </c>
      <c r="C8230" s="2" t="str">
        <f t="shared" si="317"/>
        <v>UN</v>
      </c>
      <c r="D8230" s="7">
        <v>812</v>
      </c>
      <c r="E8230" s="3">
        <v>11</v>
      </c>
      <c r="F8230" s="3">
        <v>11</v>
      </c>
      <c r="G8230" t="s">
        <v>512</v>
      </c>
    </row>
    <row r="8231" spans="1:7" x14ac:dyDescent="0.25">
      <c r="A8231" s="1" t="str">
        <f>"517162"</f>
        <v>517162</v>
      </c>
      <c r="B8231" s="2" t="str">
        <f>"CORRENTE PLATAFORMA INOX RETA 1301-SSC815A 32,5X82,5MM"</f>
        <v>CORRENTE PLATAFORMA INOX RETA 1301-SSC815A 32,5X82,5MM</v>
      </c>
      <c r="C8231" s="2" t="str">
        <f t="shared" si="317"/>
        <v>UN</v>
      </c>
      <c r="D8231" s="7">
        <v>918</v>
      </c>
      <c r="E8231" s="3">
        <v>11</v>
      </c>
      <c r="F8231" s="3">
        <v>11</v>
      </c>
      <c r="G8231" t="s">
        <v>516</v>
      </c>
    </row>
    <row r="8232" spans="1:7" x14ac:dyDescent="0.25">
      <c r="A8232" s="1" t="str">
        <f>"512391"</f>
        <v>512391</v>
      </c>
      <c r="B8232" s="2" t="str">
        <f>"CORRENTE PLATAFORMA INOX RETA LF820A450"</f>
        <v>CORRENTE PLATAFORMA INOX RETA LF820A450</v>
      </c>
      <c r="C8232" s="2" t="str">
        <f>"MT"</f>
        <v>MT</v>
      </c>
      <c r="D8232" s="7">
        <v>904</v>
      </c>
      <c r="E8232" s="3">
        <v>11</v>
      </c>
      <c r="F8232" s="3">
        <v>11</v>
      </c>
      <c r="G8232" t="s">
        <v>515</v>
      </c>
    </row>
    <row r="8233" spans="1:7" x14ac:dyDescent="0.25">
      <c r="A8233" s="1" t="str">
        <f>"517812"</f>
        <v>517812</v>
      </c>
      <c r="B8233" s="2" t="str">
        <f>"CORRENTE PLATAFORMA RETA LF 820 A 325 ROLO C/ 3,05MT 1101"</f>
        <v>CORRENTE PLATAFORMA RETA LF 820 A 325 ROLO C/ 3,05MT 1101</v>
      </c>
      <c r="C8233" s="2" t="str">
        <f>"UN"</f>
        <v>UN</v>
      </c>
      <c r="D8233" s="7">
        <v>918</v>
      </c>
      <c r="E8233" s="3">
        <v>11</v>
      </c>
      <c r="F8233" s="3">
        <v>11</v>
      </c>
      <c r="G8233" t="s">
        <v>514</v>
      </c>
    </row>
    <row r="8234" spans="1:7" x14ac:dyDescent="0.25">
      <c r="A8234" s="1" t="str">
        <f>"512191"</f>
        <v>512191</v>
      </c>
      <c r="B8234" s="2" t="str">
        <f>"CORRENTE RC 35 ASA SIMPLES 3/8"""</f>
        <v>CORRENTE RC 35 ASA SIMPLES 3/8"</v>
      </c>
      <c r="C8234" s="2" t="str">
        <f>"MT"</f>
        <v>MT</v>
      </c>
      <c r="D8234" s="7">
        <v>904</v>
      </c>
      <c r="E8234" s="3">
        <v>11</v>
      </c>
      <c r="F8234" s="3">
        <v>11</v>
      </c>
      <c r="G8234" t="s">
        <v>512</v>
      </c>
    </row>
    <row r="8235" spans="1:7" x14ac:dyDescent="0.25">
      <c r="A8235" s="1" t="str">
        <f>"525264"</f>
        <v>525264</v>
      </c>
      <c r="B8235" s="2" t="str">
        <f>"CORRENTE RETA 820 A 600 LF ROLO C/ 3,05MT 1104"</f>
        <v>CORRENTE RETA 820 A 600 LF ROLO C/ 3,05MT 1104</v>
      </c>
      <c r="C8235" s="2" t="str">
        <f>"UN"</f>
        <v>UN</v>
      </c>
      <c r="D8235" s="7">
        <v>918</v>
      </c>
      <c r="E8235" s="3">
        <v>11</v>
      </c>
      <c r="F8235" s="3">
        <v>11</v>
      </c>
      <c r="G8235" t="s">
        <v>513</v>
      </c>
    </row>
    <row r="8236" spans="1:7" x14ac:dyDescent="0.25">
      <c r="A8236" s="1" t="str">
        <f>"522032"</f>
        <v>522032</v>
      </c>
      <c r="B8236" s="8" t="s">
        <v>275</v>
      </c>
      <c r="C8236" s="2" t="str">
        <f>"MT"</f>
        <v>MT</v>
      </c>
      <c r="D8236" s="7">
        <v>918</v>
      </c>
      <c r="E8236" s="3">
        <v>11</v>
      </c>
      <c r="F8236" s="3">
        <v>11</v>
      </c>
      <c r="G8236" t="s">
        <v>514</v>
      </c>
    </row>
    <row r="8237" spans="1:7" x14ac:dyDescent="0.25">
      <c r="A8237" s="1" t="str">
        <f>"522047"</f>
        <v>522047</v>
      </c>
      <c r="B8237" s="2" t="str">
        <f>"CORRENTE RETA PLASTICA 820 450 LF COD.1103"</f>
        <v>CORRENTE RETA PLASTICA 820 450 LF COD.1103</v>
      </c>
      <c r="C8237" s="2" t="str">
        <f>"MT"</f>
        <v>MT</v>
      </c>
      <c r="D8237" s="7">
        <v>918</v>
      </c>
      <c r="E8237" s="3">
        <v>11</v>
      </c>
      <c r="F8237" s="3">
        <v>11</v>
      </c>
      <c r="G8237" t="s">
        <v>514</v>
      </c>
    </row>
    <row r="8238" spans="1:7" x14ac:dyDescent="0.25">
      <c r="A8238" s="1" t="str">
        <f>"524852"</f>
        <v>524852</v>
      </c>
      <c r="B8238" s="2" t="str">
        <f>"CORRENTE SAE 1045 ZINCADO ANSI C2060H WA2"</f>
        <v>CORRENTE SAE 1045 ZINCADO ANSI C2060H WA2</v>
      </c>
      <c r="C8238" s="2" t="str">
        <f>"UN"</f>
        <v>UN</v>
      </c>
      <c r="D8238" s="7">
        <v>918</v>
      </c>
      <c r="E8238" s="3">
        <v>10</v>
      </c>
      <c r="F8238" s="3">
        <v>10</v>
      </c>
      <c r="G8238" t="s">
        <v>512</v>
      </c>
    </row>
    <row r="8239" spans="1:7" x14ac:dyDescent="0.25">
      <c r="A8239" s="1" t="str">
        <f>"526749"</f>
        <v>526749</v>
      </c>
      <c r="B8239" s="2" t="str">
        <f>"CORRENTE SAE 1045 ZINCADO ANSI C2060H WA2"</f>
        <v>CORRENTE SAE 1045 ZINCADO ANSI C2060H WA2</v>
      </c>
      <c r="C8239" s="2" t="str">
        <f>"UN"</f>
        <v>UN</v>
      </c>
      <c r="D8239" s="7">
        <v>812</v>
      </c>
      <c r="E8239" s="3">
        <v>10</v>
      </c>
      <c r="F8239" s="3">
        <v>10</v>
      </c>
      <c r="G8239" t="s">
        <v>513</v>
      </c>
    </row>
    <row r="8240" spans="1:7" x14ac:dyDescent="0.25">
      <c r="A8240" s="1" t="str">
        <f>"515859"</f>
        <v>515859</v>
      </c>
      <c r="B8240" s="2" t="str">
        <f>"CORRENTE SERIE 880 TAB  LF 880 TA 325  82,5"</f>
        <v>CORRENTE SERIE 880 TAB  LF 880 TA 325  82,5</v>
      </c>
      <c r="C8240" s="2" t="str">
        <f>"MT"</f>
        <v>MT</v>
      </c>
      <c r="D8240" s="7">
        <v>99999</v>
      </c>
      <c r="E8240" s="3">
        <v>99</v>
      </c>
      <c r="F8240" s="3">
        <v>99</v>
      </c>
      <c r="G8240" t="s">
        <v>514</v>
      </c>
    </row>
    <row r="8241" spans="1:7" x14ac:dyDescent="0.25">
      <c r="A8241" s="1" t="str">
        <f>"518136"</f>
        <v>518136</v>
      </c>
      <c r="B8241" s="2" t="str">
        <f>"CORRENTE SIMPLES 3/4"" PINO OCO"</f>
        <v>CORRENTE SIMPLES 3/4" PINO OCO</v>
      </c>
      <c r="C8241" s="2" t="str">
        <f>"UN"</f>
        <v>UN</v>
      </c>
      <c r="D8241" s="7">
        <v>918</v>
      </c>
      <c r="E8241" s="3">
        <v>11</v>
      </c>
      <c r="F8241" s="3">
        <v>11</v>
      </c>
      <c r="G8241" t="s">
        <v>514</v>
      </c>
    </row>
    <row r="8242" spans="1:7" x14ac:dyDescent="0.25">
      <c r="A8242" s="1" t="str">
        <f>"523339"</f>
        <v>523339</v>
      </c>
      <c r="B8242" s="2" t="str">
        <f>"CORRENTE SIMPLES 5/8"" PINO OCO"</f>
        <v>CORRENTE SIMPLES 5/8" PINO OCO</v>
      </c>
      <c r="C8242" s="2" t="str">
        <f>"UN"</f>
        <v>UN</v>
      </c>
      <c r="D8242" s="7">
        <v>918</v>
      </c>
      <c r="E8242" s="3">
        <v>11</v>
      </c>
      <c r="F8242" s="3">
        <v>11</v>
      </c>
      <c r="G8242" t="s">
        <v>514</v>
      </c>
    </row>
    <row r="8243" spans="1:7" x14ac:dyDescent="0.25">
      <c r="A8243" s="1" t="str">
        <f>"527905"</f>
        <v>527905</v>
      </c>
      <c r="B8243" s="2" t="str">
        <f>"CORRENTE SIMPLES PASSO 1"""</f>
        <v>CORRENTE SIMPLES PASSO 1"</v>
      </c>
      <c r="C8243" s="2" t="str">
        <f>"MT"</f>
        <v>MT</v>
      </c>
      <c r="D8243" s="7">
        <v>812</v>
      </c>
      <c r="E8243" s="3">
        <v>11</v>
      </c>
      <c r="F8243" s="3">
        <v>11</v>
      </c>
      <c r="G8243" t="s">
        <v>513</v>
      </c>
    </row>
    <row r="8244" spans="1:7" x14ac:dyDescent="0.25">
      <c r="A8244" s="1" t="str">
        <f>"508201"</f>
        <v>508201</v>
      </c>
      <c r="B8244" s="2" t="str">
        <f>"CORRENTE SOLDADA 6MM"</f>
        <v>CORRENTE SOLDADA 6MM</v>
      </c>
      <c r="C8244" s="2" t="str">
        <f>"UN"</f>
        <v>UN</v>
      </c>
      <c r="D8244" s="7">
        <v>803</v>
      </c>
      <c r="E8244" s="3">
        <v>10</v>
      </c>
      <c r="F8244" s="3">
        <v>10</v>
      </c>
      <c r="G8244" t="s">
        <v>512</v>
      </c>
    </row>
    <row r="8245" spans="1:7" x14ac:dyDescent="0.25">
      <c r="A8245" s="1" t="str">
        <f>"504423"</f>
        <v>504423</v>
      </c>
      <c r="B8245" s="2" t="str">
        <f>"CORRENTE TRACIONADORA 1/2 DIN C/ ESPINHO"</f>
        <v>CORRENTE TRACIONADORA 1/2 DIN C/ ESPINHO</v>
      </c>
      <c r="C8245" s="2" t="str">
        <f>"MT"</f>
        <v>MT</v>
      </c>
      <c r="D8245" s="7">
        <v>904</v>
      </c>
      <c r="E8245" s="3">
        <v>11</v>
      </c>
      <c r="F8245" s="3">
        <v>11</v>
      </c>
      <c r="G8245" t="s">
        <v>513</v>
      </c>
    </row>
    <row r="8246" spans="1:7" x14ac:dyDescent="0.25">
      <c r="A8246" s="1" t="str">
        <f>"522473"</f>
        <v>522473</v>
      </c>
      <c r="B8246" s="2" t="str">
        <f>"CORRETIVO CANETA"</f>
        <v>CORRETIVO CANETA</v>
      </c>
      <c r="C8246" s="2" t="str">
        <f>"UN"</f>
        <v>UN</v>
      </c>
      <c r="D8246" s="7">
        <v>401</v>
      </c>
      <c r="E8246" s="3">
        <v>4</v>
      </c>
      <c r="F8246" s="3">
        <v>4</v>
      </c>
      <c r="G8246" t="s">
        <v>514</v>
      </c>
    </row>
    <row r="8247" spans="1:7" x14ac:dyDescent="0.25">
      <c r="A8247" s="1" t="str">
        <f>"513779"</f>
        <v>513779</v>
      </c>
      <c r="B8247" s="2" t="str">
        <f>"CORRETIVO PINCEL"</f>
        <v>CORRETIVO PINCEL</v>
      </c>
      <c r="C8247" s="2" t="str">
        <f>"UN"</f>
        <v>UN</v>
      </c>
      <c r="D8247" s="7">
        <v>401</v>
      </c>
      <c r="E8247" s="3">
        <v>4</v>
      </c>
      <c r="F8247" s="3">
        <v>4</v>
      </c>
      <c r="G8247" t="s">
        <v>514</v>
      </c>
    </row>
    <row r="8248" spans="1:7" x14ac:dyDescent="0.25">
      <c r="A8248" s="1" t="str">
        <f>"6100"</f>
        <v>6100</v>
      </c>
      <c r="B8248" s="2" t="str">
        <f>"CORRETOR ACIDO (DAIRYCREAM K COD. 70.174"</f>
        <v>CORRETOR ACIDO (DAIRYCREAM K COD. 70.174</v>
      </c>
      <c r="C8248" s="2" t="str">
        <f>"KG"</f>
        <v>KG</v>
      </c>
      <c r="D8248" s="7">
        <v>215</v>
      </c>
      <c r="E8248" s="3">
        <v>2</v>
      </c>
      <c r="F8248" s="3">
        <v>2</v>
      </c>
      <c r="G8248" t="s">
        <v>514</v>
      </c>
    </row>
    <row r="8249" spans="1:7" x14ac:dyDescent="0.25">
      <c r="A8249" s="1" t="str">
        <f>"246"</f>
        <v>246</v>
      </c>
      <c r="B8249" s="2" t="str">
        <f>"CORRETOR ALCALINO (JOHA T)"</f>
        <v>CORRETOR ALCALINO (JOHA T)</v>
      </c>
      <c r="C8249" s="2" t="str">
        <f>"KG"</f>
        <v>KG</v>
      </c>
      <c r="D8249" s="7">
        <v>215</v>
      </c>
      <c r="E8249" s="3">
        <v>2</v>
      </c>
      <c r="F8249" s="3">
        <v>2</v>
      </c>
      <c r="G8249" t="s">
        <v>513</v>
      </c>
    </row>
    <row r="8250" spans="1:7" x14ac:dyDescent="0.25">
      <c r="A8250" s="1" t="str">
        <f>"523787"</f>
        <v>523787</v>
      </c>
      <c r="B8250" s="2" t="str">
        <f>"CORRIMÃO AÇO INOX POLIDO"</f>
        <v>CORRIMÃO AÇO INOX POLIDO</v>
      </c>
      <c r="C8250" s="2" t="str">
        <f t="shared" ref="C8250:C8265" si="318">"UN"</f>
        <v>UN</v>
      </c>
      <c r="D8250" s="7">
        <v>99999</v>
      </c>
      <c r="E8250" s="3">
        <v>99</v>
      </c>
      <c r="F8250" s="3">
        <v>99</v>
      </c>
      <c r="G8250" t="s">
        <v>513</v>
      </c>
    </row>
    <row r="8251" spans="1:7" x14ac:dyDescent="0.25">
      <c r="A8251" s="1" t="str">
        <f>"515090"</f>
        <v>515090</v>
      </c>
      <c r="B8251" s="2" t="str">
        <f>"CORSA SEDAN MAXX PRATA 2007/2008"</f>
        <v>CORSA SEDAN MAXX PRATA 2007/2008</v>
      </c>
      <c r="C8251" s="2" t="str">
        <f t="shared" si="318"/>
        <v>UN</v>
      </c>
      <c r="D8251" s="7">
        <v>2000</v>
      </c>
      <c r="E8251" s="3">
        <v>16</v>
      </c>
      <c r="F8251" s="3">
        <v>16</v>
      </c>
      <c r="G8251" t="s">
        <v>513</v>
      </c>
    </row>
    <row r="8252" spans="1:7" x14ac:dyDescent="0.25">
      <c r="A8252" s="1" t="str">
        <f>"513176"</f>
        <v>513176</v>
      </c>
      <c r="B8252" s="2" t="str">
        <f>"CORTADOR"</f>
        <v>CORTADOR</v>
      </c>
      <c r="C8252" s="2" t="str">
        <f t="shared" si="318"/>
        <v>UN</v>
      </c>
      <c r="D8252" s="7">
        <v>402</v>
      </c>
      <c r="E8252" s="3">
        <v>4</v>
      </c>
      <c r="F8252" s="3">
        <v>4</v>
      </c>
      <c r="G8252" t="s">
        <v>512</v>
      </c>
    </row>
    <row r="8253" spans="1:7" x14ac:dyDescent="0.25">
      <c r="A8253" s="1" t="str">
        <f>"515663"</f>
        <v>515663</v>
      </c>
      <c r="B8253" s="2" t="str">
        <f>"CORTADOR DE GRAMA ELETRICO GSR 2200"</f>
        <v>CORTADOR DE GRAMA ELETRICO GSR 2200</v>
      </c>
      <c r="C8253" s="2" t="str">
        <f t="shared" si="318"/>
        <v>UN</v>
      </c>
      <c r="D8253" s="7">
        <v>1300</v>
      </c>
      <c r="E8253" s="3">
        <v>13</v>
      </c>
      <c r="F8253" s="3">
        <v>13</v>
      </c>
      <c r="G8253" t="s">
        <v>513</v>
      </c>
    </row>
    <row r="8254" spans="1:7" x14ac:dyDescent="0.25">
      <c r="A8254" s="1" t="str">
        <f>"517067"</f>
        <v>517067</v>
      </c>
      <c r="B8254" s="2" t="str">
        <f>"CORTADOR DE GRAMA GASOLINA 510MM TG510 L47 N - TOYAMA"</f>
        <v>CORTADOR DE GRAMA GASOLINA 510MM TG510 L47 N - TOYAMA</v>
      </c>
      <c r="C8254" s="2" t="str">
        <f t="shared" si="318"/>
        <v>UN</v>
      </c>
      <c r="D8254" s="7">
        <v>920</v>
      </c>
      <c r="E8254" s="3">
        <v>13</v>
      </c>
      <c r="F8254" s="3">
        <v>13</v>
      </c>
      <c r="G8254" t="s">
        <v>514</v>
      </c>
    </row>
    <row r="8255" spans="1:7" x14ac:dyDescent="0.25">
      <c r="A8255" s="1" t="str">
        <f>"511501"</f>
        <v>511501</v>
      </c>
      <c r="B8255" s="2" t="str">
        <f>"CORTADOR TUBO 1/8 A 1 1/8"""</f>
        <v>CORTADOR TUBO 1/8 A 1 1/8"</v>
      </c>
      <c r="C8255" s="2" t="str">
        <f t="shared" si="318"/>
        <v>UN</v>
      </c>
      <c r="D8255" s="7">
        <v>402</v>
      </c>
      <c r="E8255" s="3">
        <v>4</v>
      </c>
      <c r="F8255" s="3">
        <v>4</v>
      </c>
      <c r="G8255" t="s">
        <v>515</v>
      </c>
    </row>
    <row r="8256" spans="1:7" x14ac:dyDescent="0.25">
      <c r="A8256" s="1" t="str">
        <f>"509245"</f>
        <v>509245</v>
      </c>
      <c r="B8256" s="2" t="str">
        <f>"CORTADORA DE PISO MANUAL"</f>
        <v>CORTADORA DE PISO MANUAL</v>
      </c>
      <c r="C8256" s="2" t="str">
        <f t="shared" si="318"/>
        <v>UN</v>
      </c>
      <c r="D8256" s="7">
        <v>403</v>
      </c>
      <c r="E8256" s="3">
        <v>4</v>
      </c>
      <c r="F8256" s="3">
        <v>4</v>
      </c>
      <c r="G8256" t="s">
        <v>512</v>
      </c>
    </row>
    <row r="8257" spans="1:7" x14ac:dyDescent="0.25">
      <c r="A8257" s="1" t="str">
        <f>"510914"</f>
        <v>510914</v>
      </c>
      <c r="B8257" s="2" t="str">
        <f>"CORTE 350 X 200 # 3/8"</f>
        <v>CORTE 350 X 200 # 3/8</v>
      </c>
      <c r="C8257" s="2" t="str">
        <f t="shared" si="318"/>
        <v>UN</v>
      </c>
      <c r="D8257" s="7">
        <v>917</v>
      </c>
      <c r="E8257" s="3">
        <v>11</v>
      </c>
      <c r="F8257" s="3">
        <v>11</v>
      </c>
      <c r="G8257" t="s">
        <v>516</v>
      </c>
    </row>
    <row r="8258" spans="1:7" x14ac:dyDescent="0.25">
      <c r="A8258" s="1" t="str">
        <f>"505060"</f>
        <v>505060</v>
      </c>
      <c r="B8258" s="2" t="str">
        <f>"CORTE DMAX"</f>
        <v>CORTE DMAX</v>
      </c>
      <c r="C8258" s="2" t="str">
        <f t="shared" si="318"/>
        <v>UN</v>
      </c>
      <c r="D8258" s="7">
        <v>918</v>
      </c>
      <c r="E8258" s="3">
        <v>11</v>
      </c>
      <c r="F8258" s="3">
        <v>11</v>
      </c>
      <c r="G8258" t="s">
        <v>515</v>
      </c>
    </row>
    <row r="8259" spans="1:7" x14ac:dyDescent="0.25">
      <c r="A8259" s="1" t="str">
        <f>"505058"</f>
        <v>505058</v>
      </c>
      <c r="B8259" s="2" t="str">
        <f>"CORTE DUPLO C/ MATRIZ DINIEPER"</f>
        <v>CORTE DUPLO C/ MATRIZ DINIEPER</v>
      </c>
      <c r="C8259" s="2" t="str">
        <f t="shared" si="318"/>
        <v>UN</v>
      </c>
      <c r="D8259" s="7">
        <v>918</v>
      </c>
      <c r="E8259" s="3">
        <v>11</v>
      </c>
      <c r="F8259" s="3">
        <v>11</v>
      </c>
      <c r="G8259" t="s">
        <v>514</v>
      </c>
    </row>
    <row r="8260" spans="1:7" x14ac:dyDescent="0.25">
      <c r="A8260" s="1" t="str">
        <f>"505061"</f>
        <v>505061</v>
      </c>
      <c r="B8260" s="2" t="str">
        <f>"CORTE ESTRELINHA DMAX"</f>
        <v>CORTE ESTRELINHA DMAX</v>
      </c>
      <c r="C8260" s="2" t="str">
        <f t="shared" si="318"/>
        <v>UN</v>
      </c>
      <c r="D8260" s="7">
        <v>918</v>
      </c>
      <c r="E8260" s="3">
        <v>11</v>
      </c>
      <c r="F8260" s="3">
        <v>11</v>
      </c>
      <c r="G8260" t="s">
        <v>512</v>
      </c>
    </row>
    <row r="8261" spans="1:7" x14ac:dyDescent="0.25">
      <c r="A8261" s="1" t="str">
        <f>"519212"</f>
        <v>519212</v>
      </c>
      <c r="B8261" s="2" t="str">
        <f>"CORTE MACHO/FEMEA FERMENTADO 80GR"</f>
        <v>CORTE MACHO/FEMEA FERMENTADO 80GR</v>
      </c>
      <c r="C8261" s="2" t="str">
        <f t="shared" si="318"/>
        <v>UN</v>
      </c>
      <c r="D8261" s="7">
        <v>918</v>
      </c>
      <c r="E8261" s="3">
        <v>11</v>
      </c>
      <c r="F8261" s="3">
        <v>11</v>
      </c>
      <c r="G8261" t="s">
        <v>513</v>
      </c>
    </row>
    <row r="8262" spans="1:7" x14ac:dyDescent="0.25">
      <c r="A8262" s="1" t="str">
        <f>"519213"</f>
        <v>519213</v>
      </c>
      <c r="B8262" s="2" t="str">
        <f>"CORTE MACHO/FEMEA FRASCO 180GR"</f>
        <v>CORTE MACHO/FEMEA FRASCO 180GR</v>
      </c>
      <c r="C8262" s="2" t="str">
        <f t="shared" si="318"/>
        <v>UN</v>
      </c>
      <c r="D8262" s="7">
        <v>918</v>
      </c>
      <c r="E8262" s="3">
        <v>11</v>
      </c>
      <c r="F8262" s="3">
        <v>11</v>
      </c>
      <c r="G8262" t="s">
        <v>514</v>
      </c>
    </row>
    <row r="8263" spans="1:7" x14ac:dyDescent="0.25">
      <c r="A8263" s="1" t="str">
        <f>"522436"</f>
        <v>522436</v>
      </c>
      <c r="B8263" s="2" t="str">
        <f>"CORTINA 2 X 1,60MT"</f>
        <v>CORTINA 2 X 1,60MT</v>
      </c>
      <c r="C8263" s="2" t="str">
        <f t="shared" si="318"/>
        <v>UN</v>
      </c>
      <c r="D8263" s="7">
        <v>501</v>
      </c>
      <c r="E8263" s="3">
        <v>5</v>
      </c>
      <c r="F8263" s="3">
        <v>5</v>
      </c>
      <c r="G8263" t="s">
        <v>514</v>
      </c>
    </row>
    <row r="8264" spans="1:7" x14ac:dyDescent="0.25">
      <c r="A8264" s="1" t="str">
        <f>"522435"</f>
        <v>522435</v>
      </c>
      <c r="B8264" s="2" t="str">
        <f>"CORTINA 3 X 1,60MT"</f>
        <v>CORTINA 3 X 1,60MT</v>
      </c>
      <c r="C8264" s="2" t="str">
        <f t="shared" si="318"/>
        <v>UN</v>
      </c>
      <c r="D8264" s="7">
        <v>501</v>
      </c>
      <c r="E8264" s="3">
        <v>5</v>
      </c>
      <c r="F8264" s="3">
        <v>5</v>
      </c>
      <c r="G8264" t="s">
        <v>512</v>
      </c>
    </row>
    <row r="8265" spans="1:7" x14ac:dyDescent="0.25">
      <c r="A8265" s="1" t="str">
        <f>"517627"</f>
        <v>517627</v>
      </c>
      <c r="B8265" s="8" t="s">
        <v>95</v>
      </c>
      <c r="C8265" s="2" t="str">
        <f t="shared" si="318"/>
        <v>UN</v>
      </c>
      <c r="D8265" s="7">
        <v>1500</v>
      </c>
      <c r="E8265" s="3">
        <v>8</v>
      </c>
      <c r="F8265" s="3">
        <v>8</v>
      </c>
      <c r="G8265" t="s">
        <v>513</v>
      </c>
    </row>
    <row r="8266" spans="1:7" x14ac:dyDescent="0.25">
      <c r="A8266" s="1" t="str">
        <f>"512434"</f>
        <v>512434</v>
      </c>
      <c r="B8266" s="2" t="str">
        <f>"CORTINA AR 380V 3000MM ALT. 2000MM LARG."</f>
        <v>CORTINA AR 380V 3000MM ALT. 2000MM LARG.</v>
      </c>
      <c r="C8266" s="2" t="str">
        <f>"BR"</f>
        <v>BR</v>
      </c>
      <c r="D8266" s="7">
        <v>808</v>
      </c>
      <c r="E8266" s="3">
        <v>10</v>
      </c>
      <c r="F8266" s="3">
        <v>10</v>
      </c>
      <c r="G8266" t="s">
        <v>514</v>
      </c>
    </row>
    <row r="8267" spans="1:7" x14ac:dyDescent="0.25">
      <c r="A8267" s="1" t="str">
        <f>"512435"</f>
        <v>512435</v>
      </c>
      <c r="B8267" s="2" t="str">
        <f>"CORTINA AR 380V 4000MM ALT. 2500MM LARG."</f>
        <v>CORTINA AR 380V 4000MM ALT. 2500MM LARG.</v>
      </c>
      <c r="C8267" s="2" t="str">
        <f>"BR"</f>
        <v>BR</v>
      </c>
      <c r="D8267" s="7">
        <v>808</v>
      </c>
      <c r="E8267" s="3">
        <v>10</v>
      </c>
      <c r="F8267" s="3">
        <v>10</v>
      </c>
      <c r="G8267" t="s">
        <v>514</v>
      </c>
    </row>
    <row r="8268" spans="1:7" x14ac:dyDescent="0.25">
      <c r="A8268" s="1" t="str">
        <f>"517628"</f>
        <v>517628</v>
      </c>
      <c r="B8268" s="2" t="str">
        <f>"CORTINA AR SRA-1500MM 240V/ 60HZ"</f>
        <v>CORTINA AR SRA-1500MM 240V/ 60HZ</v>
      </c>
      <c r="C8268" s="2" t="str">
        <f>"UN"</f>
        <v>UN</v>
      </c>
      <c r="D8268" s="7">
        <v>1500</v>
      </c>
      <c r="E8268" s="3">
        <v>8</v>
      </c>
      <c r="F8268" s="3">
        <v>8</v>
      </c>
      <c r="G8268" t="s">
        <v>514</v>
      </c>
    </row>
    <row r="8269" spans="1:7" x14ac:dyDescent="0.25">
      <c r="A8269" s="1" t="str">
        <f>"517629"</f>
        <v>517629</v>
      </c>
      <c r="B8269" s="2" t="str">
        <f>"CORTINA AR SRA-900MM 240V/60HZ"</f>
        <v>CORTINA AR SRA-900MM 240V/60HZ</v>
      </c>
      <c r="C8269" s="2" t="str">
        <f>"UN"</f>
        <v>UN</v>
      </c>
      <c r="D8269" s="7">
        <v>1500</v>
      </c>
      <c r="E8269" s="3">
        <v>8</v>
      </c>
      <c r="F8269" s="3">
        <v>8</v>
      </c>
      <c r="G8269" t="s">
        <v>513</v>
      </c>
    </row>
    <row r="8270" spans="1:7" x14ac:dyDescent="0.25">
      <c r="A8270" s="1" t="str">
        <f>"504318"</f>
        <v>504318</v>
      </c>
      <c r="B8270" s="2" t="str">
        <f>"CORTINA CARGO GR."</f>
        <v>CORTINA CARGO GR.</v>
      </c>
      <c r="C8270" s="2" t="str">
        <f>"UN"</f>
        <v>UN</v>
      </c>
      <c r="D8270" s="7">
        <v>704</v>
      </c>
      <c r="E8270" s="3">
        <v>9</v>
      </c>
      <c r="F8270" s="3">
        <v>9</v>
      </c>
      <c r="G8270" t="s">
        <v>512</v>
      </c>
    </row>
    <row r="8271" spans="1:7" x14ac:dyDescent="0.25">
      <c r="A8271" s="1" t="str">
        <f>"525337"</f>
        <v>525337</v>
      </c>
      <c r="B8271" s="2" t="str">
        <f>"CORTINA DE AR 0,75HP COD GA-II-1028"</f>
        <v>CORTINA DE AR 0,75HP COD GA-II-1028</v>
      </c>
      <c r="C8271" s="2" t="str">
        <f>"BR"</f>
        <v>BR</v>
      </c>
      <c r="D8271" s="7">
        <v>808</v>
      </c>
      <c r="E8271" s="3">
        <v>10</v>
      </c>
      <c r="F8271" s="3">
        <v>10</v>
      </c>
      <c r="G8271" t="s">
        <v>513</v>
      </c>
    </row>
    <row r="8272" spans="1:7" x14ac:dyDescent="0.25">
      <c r="A8272" s="1" t="str">
        <f>"525338"</f>
        <v>525338</v>
      </c>
      <c r="B8272" s="2" t="str">
        <f>"CORTINA DE AR 1HP COD GA-II-1746"</f>
        <v>CORTINA DE AR 1HP COD GA-II-1746</v>
      </c>
      <c r="C8272" s="2" t="str">
        <f>"BR"</f>
        <v>BR</v>
      </c>
      <c r="D8272" s="7">
        <v>808</v>
      </c>
      <c r="E8272" s="3">
        <v>10</v>
      </c>
      <c r="F8272" s="3">
        <v>10</v>
      </c>
      <c r="G8272" t="s">
        <v>514</v>
      </c>
    </row>
    <row r="8273" spans="1:7" x14ac:dyDescent="0.25">
      <c r="A8273" s="1" t="str">
        <f>"508451"</f>
        <v>508451</v>
      </c>
      <c r="B8273" s="2" t="str">
        <f>"CORTINA MEIO"</f>
        <v>CORTINA MEIO</v>
      </c>
      <c r="C8273" s="2" t="str">
        <f t="shared" ref="C8273:C8284" si="319">"UN"</f>
        <v>UN</v>
      </c>
      <c r="D8273" s="7">
        <v>704</v>
      </c>
      <c r="E8273" s="3">
        <v>9</v>
      </c>
      <c r="F8273" s="3">
        <v>9</v>
      </c>
      <c r="G8273" t="s">
        <v>514</v>
      </c>
    </row>
    <row r="8274" spans="1:7" x14ac:dyDescent="0.25">
      <c r="A8274" s="1" t="str">
        <f>"524663"</f>
        <v>524663</v>
      </c>
      <c r="B8274" s="2" t="str">
        <f>"CORTINA PVC POLAR TRANSPARENTE 50MTS"</f>
        <v>CORTINA PVC POLAR TRANSPARENTE 50MTS</v>
      </c>
      <c r="C8274" s="2" t="str">
        <f t="shared" si="319"/>
        <v>UN</v>
      </c>
      <c r="D8274" s="7">
        <v>818</v>
      </c>
      <c r="E8274" s="3">
        <v>10</v>
      </c>
      <c r="F8274" s="3">
        <v>10</v>
      </c>
      <c r="G8274" t="s">
        <v>514</v>
      </c>
    </row>
    <row r="8275" spans="1:7" x14ac:dyDescent="0.25">
      <c r="A8275" s="1" t="str">
        <f>"512055"</f>
        <v>512055</v>
      </c>
      <c r="B8275" s="2" t="str">
        <f>"CORTINA T.S. 20MTS X 2.10MTS C/ SUPORTE"</f>
        <v>CORTINA T.S. 20MTS X 2.10MTS C/ SUPORTE</v>
      </c>
      <c r="C8275" s="2" t="str">
        <f t="shared" si="319"/>
        <v>UN</v>
      </c>
      <c r="D8275" s="7">
        <v>812</v>
      </c>
      <c r="E8275" s="3">
        <v>10</v>
      </c>
      <c r="F8275" s="3">
        <v>10</v>
      </c>
      <c r="G8275" t="s">
        <v>513</v>
      </c>
    </row>
    <row r="8276" spans="1:7" x14ac:dyDescent="0.25">
      <c r="A8276" s="1" t="str">
        <f>"510461"</f>
        <v>510461</v>
      </c>
      <c r="B8276" s="2" t="str">
        <f>"CORTINA T.S. RAYFLEX 2300 X 14000MM"</f>
        <v>CORTINA T.S. RAYFLEX 2300 X 14000MM</v>
      </c>
      <c r="C8276" s="2" t="str">
        <f t="shared" si="319"/>
        <v>UN</v>
      </c>
      <c r="D8276" s="7">
        <v>812</v>
      </c>
      <c r="E8276" s="3">
        <v>10</v>
      </c>
      <c r="F8276" s="3">
        <v>10</v>
      </c>
      <c r="G8276" t="s">
        <v>513</v>
      </c>
    </row>
    <row r="8277" spans="1:7" x14ac:dyDescent="0.25">
      <c r="A8277" s="1" t="str">
        <f>"510462"</f>
        <v>510462</v>
      </c>
      <c r="B8277" s="2" t="str">
        <f>"CORTINA T.S. RAYFLEX 3400 X 2800MM"</f>
        <v>CORTINA T.S. RAYFLEX 3400 X 2800MM</v>
      </c>
      <c r="C8277" s="2" t="str">
        <f t="shared" si="319"/>
        <v>UN</v>
      </c>
      <c r="D8277" s="7">
        <v>812</v>
      </c>
      <c r="E8277" s="3">
        <v>10</v>
      </c>
      <c r="F8277" s="3">
        <v>10</v>
      </c>
      <c r="G8277" t="s">
        <v>513</v>
      </c>
    </row>
    <row r="8278" spans="1:7" x14ac:dyDescent="0.25">
      <c r="A8278" s="1" t="str">
        <f>"513090"</f>
        <v>513090</v>
      </c>
      <c r="B8278" s="2" t="str">
        <f>"CORVIM P/ FORRAÇÃO"</f>
        <v>CORVIM P/ FORRAÇÃO</v>
      </c>
      <c r="C8278" s="2" t="str">
        <f t="shared" si="319"/>
        <v>UN</v>
      </c>
      <c r="D8278" s="7">
        <v>704</v>
      </c>
      <c r="E8278" s="3">
        <v>9</v>
      </c>
      <c r="F8278" s="3">
        <v>9</v>
      </c>
      <c r="G8278" t="s">
        <v>512</v>
      </c>
    </row>
    <row r="8279" spans="1:7" x14ac:dyDescent="0.25">
      <c r="A8279" s="1" t="str">
        <f>"511555"</f>
        <v>511555</v>
      </c>
      <c r="B8279" s="2" t="str">
        <f>"COSSINETE M10 X 1,5MM"</f>
        <v>COSSINETE M10 X 1,5MM</v>
      </c>
      <c r="C8279" s="2" t="str">
        <f t="shared" si="319"/>
        <v>UN</v>
      </c>
      <c r="D8279" s="7">
        <v>402</v>
      </c>
      <c r="E8279" s="3">
        <v>4</v>
      </c>
      <c r="F8279" s="3">
        <v>4</v>
      </c>
      <c r="G8279" t="s">
        <v>513</v>
      </c>
    </row>
    <row r="8280" spans="1:7" x14ac:dyDescent="0.25">
      <c r="A8280" s="1" t="str">
        <f>"511554"</f>
        <v>511554</v>
      </c>
      <c r="B8280" s="2" t="str">
        <f>"COSSINETE M6  X 1,0MM"</f>
        <v>COSSINETE M6  X 1,0MM</v>
      </c>
      <c r="C8280" s="2" t="str">
        <f t="shared" si="319"/>
        <v>UN</v>
      </c>
      <c r="D8280" s="7">
        <v>402</v>
      </c>
      <c r="E8280" s="3">
        <v>4</v>
      </c>
      <c r="F8280" s="3">
        <v>4</v>
      </c>
      <c r="G8280" t="s">
        <v>514</v>
      </c>
    </row>
    <row r="8281" spans="1:7" x14ac:dyDescent="0.25">
      <c r="A8281" s="1" t="str">
        <f>"514888"</f>
        <v>514888</v>
      </c>
      <c r="B8281" s="2" t="str">
        <f>"COSTELA"</f>
        <v>COSTELA</v>
      </c>
      <c r="C8281" s="2" t="str">
        <f t="shared" si="319"/>
        <v>UN</v>
      </c>
      <c r="D8281" s="7">
        <v>401</v>
      </c>
      <c r="E8281" s="3">
        <v>4</v>
      </c>
      <c r="F8281" s="3">
        <v>4</v>
      </c>
      <c r="G8281" t="s">
        <v>515</v>
      </c>
    </row>
    <row r="8282" spans="1:7" x14ac:dyDescent="0.25">
      <c r="A8282" s="1" t="str">
        <f>"523708"</f>
        <v>523708</v>
      </c>
      <c r="B8282" s="2" t="str">
        <f>"COTONETES"</f>
        <v>COTONETES</v>
      </c>
      <c r="C8282" s="2" t="str">
        <f t="shared" si="319"/>
        <v>UN</v>
      </c>
      <c r="D8282" s="7">
        <v>99999</v>
      </c>
      <c r="E8282" s="3">
        <v>99</v>
      </c>
      <c r="F8282" s="3">
        <v>99</v>
      </c>
      <c r="G8282" t="s">
        <v>512</v>
      </c>
    </row>
    <row r="8283" spans="1:7" x14ac:dyDescent="0.25">
      <c r="A8283" s="1" t="str">
        <f>"515085"</f>
        <v>515085</v>
      </c>
      <c r="B8283" s="2" t="str">
        <f>"COTOVELEIRA"</f>
        <v>COTOVELEIRA</v>
      </c>
      <c r="C8283" s="2" t="str">
        <f t="shared" si="319"/>
        <v>UN</v>
      </c>
      <c r="D8283" s="7">
        <v>401</v>
      </c>
      <c r="E8283" s="3">
        <v>4</v>
      </c>
      <c r="F8283" s="3">
        <v>4</v>
      </c>
      <c r="G8283" t="s">
        <v>516</v>
      </c>
    </row>
    <row r="8284" spans="1:7" x14ac:dyDescent="0.25">
      <c r="A8284" s="1" t="str">
        <f>"515362"</f>
        <v>515362</v>
      </c>
      <c r="B8284" s="2" t="str">
        <f>"COTOVELO"</f>
        <v>COTOVELO</v>
      </c>
      <c r="C8284" s="2" t="str">
        <f t="shared" si="319"/>
        <v>UN</v>
      </c>
      <c r="D8284" s="7">
        <v>704</v>
      </c>
      <c r="E8284" s="3">
        <v>9</v>
      </c>
      <c r="F8284" s="3">
        <v>9</v>
      </c>
      <c r="G8284" t="s">
        <v>515</v>
      </c>
    </row>
    <row r="8285" spans="1:7" x14ac:dyDescent="0.25">
      <c r="A8285" s="1" t="str">
        <f>"511040"</f>
        <v>511040</v>
      </c>
      <c r="B8285" s="2" t="str">
        <f>"COTOVELO - 100MM X 40MM - ESGOTO"</f>
        <v>COTOVELO - 100MM X 40MM - ESGOTO</v>
      </c>
      <c r="C8285" s="2" t="str">
        <f t="shared" ref="C8285:C8291" si="320">"BR"</f>
        <v>BR</v>
      </c>
      <c r="D8285" s="7">
        <v>809</v>
      </c>
      <c r="E8285" s="3">
        <v>10</v>
      </c>
      <c r="F8285" s="3">
        <v>10</v>
      </c>
      <c r="G8285" t="s">
        <v>514</v>
      </c>
    </row>
    <row r="8286" spans="1:7" x14ac:dyDescent="0.25">
      <c r="A8286" s="1" t="str">
        <f>"500229"</f>
        <v>500229</v>
      </c>
      <c r="B8286" s="2" t="str">
        <f>"COTOVELO - 100MM X 45º (ESGOTO)"</f>
        <v>COTOVELO - 100MM X 45º (ESGOTO)</v>
      </c>
      <c r="C8286" s="2" t="str">
        <f t="shared" si="320"/>
        <v>BR</v>
      </c>
      <c r="D8286" s="7">
        <v>809</v>
      </c>
      <c r="E8286" s="3">
        <v>10</v>
      </c>
      <c r="F8286" s="3">
        <v>10</v>
      </c>
      <c r="G8286" t="s">
        <v>512</v>
      </c>
    </row>
    <row r="8287" spans="1:7" x14ac:dyDescent="0.25">
      <c r="A8287" s="1" t="str">
        <f>"503176"</f>
        <v>503176</v>
      </c>
      <c r="B8287" s="2" t="str">
        <f>"COTOVELO - 100MM X 90º (ESGOTO)"</f>
        <v>COTOVELO - 100MM X 90º (ESGOTO)</v>
      </c>
      <c r="C8287" s="2" t="str">
        <f t="shared" si="320"/>
        <v>BR</v>
      </c>
      <c r="D8287" s="7">
        <v>809</v>
      </c>
      <c r="E8287" s="3">
        <v>10</v>
      </c>
      <c r="F8287" s="3">
        <v>10</v>
      </c>
      <c r="G8287" t="s">
        <v>513</v>
      </c>
    </row>
    <row r="8288" spans="1:7" x14ac:dyDescent="0.25">
      <c r="A8288" s="1" t="str">
        <f>"501913"</f>
        <v>501913</v>
      </c>
      <c r="B8288" s="2" t="str">
        <f>"COTOVELO - 125 MM X 90º (ESGOTO)"</f>
        <v>COTOVELO - 125 MM X 90º (ESGOTO)</v>
      </c>
      <c r="C8288" s="2" t="str">
        <f t="shared" si="320"/>
        <v>BR</v>
      </c>
      <c r="D8288" s="7">
        <v>809</v>
      </c>
      <c r="E8288" s="3">
        <v>10</v>
      </c>
      <c r="F8288" s="3">
        <v>10</v>
      </c>
      <c r="G8288" t="s">
        <v>514</v>
      </c>
    </row>
    <row r="8289" spans="1:7" x14ac:dyDescent="0.25">
      <c r="A8289" s="1" t="str">
        <f>"500484"</f>
        <v>500484</v>
      </c>
      <c r="B8289" s="2" t="str">
        <f>"COTOVELO - 150 MM X 45º (ESGOTO)"</f>
        <v>COTOVELO - 150 MM X 45º (ESGOTO)</v>
      </c>
      <c r="C8289" s="2" t="str">
        <f t="shared" si="320"/>
        <v>BR</v>
      </c>
      <c r="D8289" s="7">
        <v>809</v>
      </c>
      <c r="E8289" s="3">
        <v>10</v>
      </c>
      <c r="F8289" s="3">
        <v>10</v>
      </c>
      <c r="G8289" t="s">
        <v>514</v>
      </c>
    </row>
    <row r="8290" spans="1:7" x14ac:dyDescent="0.25">
      <c r="A8290" s="1" t="str">
        <f>"500231"</f>
        <v>500231</v>
      </c>
      <c r="B8290" s="2" t="str">
        <f>"COTOVELO - 150 MM X 90º (ESGOTO)"</f>
        <v>COTOVELO - 150 MM X 90º (ESGOTO)</v>
      </c>
      <c r="C8290" s="2" t="str">
        <f t="shared" si="320"/>
        <v>BR</v>
      </c>
      <c r="D8290" s="7">
        <v>809</v>
      </c>
      <c r="E8290" s="3">
        <v>10</v>
      </c>
      <c r="F8290" s="3">
        <v>10</v>
      </c>
      <c r="G8290" t="s">
        <v>512</v>
      </c>
    </row>
    <row r="8291" spans="1:7" x14ac:dyDescent="0.25">
      <c r="A8291" s="1" t="str">
        <f>"516900"</f>
        <v>516900</v>
      </c>
      <c r="B8291" s="2" t="str">
        <f>"COTOVELO - 200MM X 90º (ESGOTO)"</f>
        <v>COTOVELO - 200MM X 90º (ESGOTO)</v>
      </c>
      <c r="C8291" s="2" t="str">
        <f t="shared" si="320"/>
        <v>BR</v>
      </c>
      <c r="D8291" s="7">
        <v>809</v>
      </c>
      <c r="E8291" s="3">
        <v>10</v>
      </c>
      <c r="F8291" s="3">
        <v>10</v>
      </c>
      <c r="G8291" t="s">
        <v>513</v>
      </c>
    </row>
    <row r="8292" spans="1:7" x14ac:dyDescent="0.25">
      <c r="A8292" s="1" t="str">
        <f>"516595"</f>
        <v>516595</v>
      </c>
      <c r="B8292" s="2" t="str">
        <f>"COTOVELO - 300MM X 90º (ESGOTO)"</f>
        <v>COTOVELO - 300MM X 90º (ESGOTO)</v>
      </c>
      <c r="C8292" s="2" t="str">
        <f>"UN"</f>
        <v>UN</v>
      </c>
      <c r="D8292" s="7">
        <v>808</v>
      </c>
      <c r="E8292" s="3">
        <v>10</v>
      </c>
      <c r="F8292" s="3">
        <v>10</v>
      </c>
      <c r="G8292" t="s">
        <v>514</v>
      </c>
    </row>
    <row r="8293" spans="1:7" x14ac:dyDescent="0.25">
      <c r="A8293" s="1" t="str">
        <f>"519916"</f>
        <v>519916</v>
      </c>
      <c r="B8293" s="2" t="str">
        <f>"COTOVELO 100MM - PVC"</f>
        <v>COTOVELO 100MM - PVC</v>
      </c>
      <c r="C8293" s="2" t="str">
        <f>"UN"</f>
        <v>UN</v>
      </c>
      <c r="D8293" s="7">
        <v>808</v>
      </c>
      <c r="E8293" s="3">
        <v>10</v>
      </c>
      <c r="F8293" s="3">
        <v>10</v>
      </c>
      <c r="G8293" t="s">
        <v>514</v>
      </c>
    </row>
    <row r="8294" spans="1:7" x14ac:dyDescent="0.25">
      <c r="A8294" s="1" t="str">
        <f>"502345"</f>
        <v>502345</v>
      </c>
      <c r="B8294" s="2" t="str">
        <f>"COTOVELO 40MM (ESGOTO)"</f>
        <v>COTOVELO 40MM (ESGOTO)</v>
      </c>
      <c r="C8294" s="2" t="str">
        <f>"BR"</f>
        <v>BR</v>
      </c>
      <c r="D8294" s="7">
        <v>809</v>
      </c>
      <c r="E8294" s="3">
        <v>10</v>
      </c>
      <c r="F8294" s="3">
        <v>10</v>
      </c>
      <c r="G8294" t="s">
        <v>514</v>
      </c>
    </row>
    <row r="8295" spans="1:7" x14ac:dyDescent="0.25">
      <c r="A8295" s="1" t="str">
        <f>"520328"</f>
        <v>520328</v>
      </c>
      <c r="B8295" s="2" t="str">
        <f>"COTOVELO 40MM 45° (ESGOTO)"</f>
        <v>COTOVELO 40MM 45° (ESGOTO)</v>
      </c>
      <c r="C8295" s="2" t="str">
        <f>"BR"</f>
        <v>BR</v>
      </c>
      <c r="D8295" s="7">
        <v>809</v>
      </c>
      <c r="E8295" s="3">
        <v>10</v>
      </c>
      <c r="F8295" s="3">
        <v>10</v>
      </c>
      <c r="G8295" t="s">
        <v>513</v>
      </c>
    </row>
    <row r="8296" spans="1:7" x14ac:dyDescent="0.25">
      <c r="A8296" s="1" t="str">
        <f>"500080"</f>
        <v>500080</v>
      </c>
      <c r="B8296" s="2" t="str">
        <f>"COTOVELO 50MM (ESGOTO) 45º"</f>
        <v>COTOVELO 50MM (ESGOTO) 45º</v>
      </c>
      <c r="C8296" s="2" t="str">
        <f>"PÇ"</f>
        <v>PÇ</v>
      </c>
      <c r="D8296" s="7">
        <v>808</v>
      </c>
      <c r="E8296" s="3">
        <v>10</v>
      </c>
      <c r="F8296" s="3">
        <v>10</v>
      </c>
      <c r="G8296" t="s">
        <v>512</v>
      </c>
    </row>
    <row r="8297" spans="1:7" x14ac:dyDescent="0.25">
      <c r="A8297" s="1" t="str">
        <f>"500079"</f>
        <v>500079</v>
      </c>
      <c r="B8297" s="2" t="str">
        <f>"COTOVELO 50MM (ESGOTO) 90º"</f>
        <v>COTOVELO 50MM (ESGOTO) 90º</v>
      </c>
      <c r="C8297" s="2" t="str">
        <f>"BR"</f>
        <v>BR</v>
      </c>
      <c r="D8297" s="7">
        <v>809</v>
      </c>
      <c r="E8297" s="3">
        <v>10</v>
      </c>
      <c r="F8297" s="3">
        <v>10</v>
      </c>
      <c r="G8297" t="s">
        <v>513</v>
      </c>
    </row>
    <row r="8298" spans="1:7" x14ac:dyDescent="0.25">
      <c r="A8298" s="1" t="str">
        <f>"503951"</f>
        <v>503951</v>
      </c>
      <c r="B8298" s="2" t="str">
        <f>"COTOVELO 75MM (ESGOTO)"</f>
        <v>COTOVELO 75MM (ESGOTO)</v>
      </c>
      <c r="C8298" s="2" t="str">
        <f>"BR"</f>
        <v>BR</v>
      </c>
      <c r="D8298" s="7">
        <v>809</v>
      </c>
      <c r="E8298" s="3">
        <v>10</v>
      </c>
      <c r="F8298" s="3">
        <v>10</v>
      </c>
      <c r="G8298" t="s">
        <v>514</v>
      </c>
    </row>
    <row r="8299" spans="1:7" x14ac:dyDescent="0.25">
      <c r="A8299" s="1" t="str">
        <f>"514165"</f>
        <v>514165</v>
      </c>
      <c r="B8299" s="2" t="str">
        <f>"COTOVELO ANGULAR"</f>
        <v>COTOVELO ANGULAR</v>
      </c>
      <c r="C8299" s="2" t="str">
        <f>"UN"</f>
        <v>UN</v>
      </c>
      <c r="D8299" s="7">
        <v>704</v>
      </c>
      <c r="E8299" s="3">
        <v>9</v>
      </c>
      <c r="F8299" s="3">
        <v>9</v>
      </c>
      <c r="G8299" t="s">
        <v>514</v>
      </c>
    </row>
    <row r="8300" spans="1:7" x14ac:dyDescent="0.25">
      <c r="A8300" s="1" t="str">
        <f>"518798"</f>
        <v>518798</v>
      </c>
      <c r="B8300" s="2" t="str">
        <f>"COTOVELO AZUL 1"""</f>
        <v>COTOVELO AZUL 1"</v>
      </c>
      <c r="C8300" s="2" t="str">
        <f>"UN"</f>
        <v>UN</v>
      </c>
      <c r="D8300" s="7">
        <v>912</v>
      </c>
      <c r="E8300" s="3">
        <v>10</v>
      </c>
      <c r="F8300" s="3">
        <v>10</v>
      </c>
      <c r="G8300" t="s">
        <v>514</v>
      </c>
    </row>
    <row r="8301" spans="1:7" x14ac:dyDescent="0.25">
      <c r="A8301" s="1" t="str">
        <f>"520340"</f>
        <v>520340</v>
      </c>
      <c r="B8301" s="2" t="str">
        <f>"COTOVELO AZUL 1/2 C/ ROSCA 1/2"</f>
        <v>COTOVELO AZUL 1/2 C/ ROSCA 1/2</v>
      </c>
      <c r="C8301" s="2" t="str">
        <f>"BR"</f>
        <v>BR</v>
      </c>
      <c r="D8301" s="7">
        <v>807</v>
      </c>
      <c r="E8301" s="3">
        <v>10</v>
      </c>
      <c r="F8301" s="3">
        <v>10</v>
      </c>
      <c r="G8301" t="s">
        <v>513</v>
      </c>
    </row>
    <row r="8302" spans="1:7" x14ac:dyDescent="0.25">
      <c r="A8302" s="1" t="str">
        <f>"518012"</f>
        <v>518012</v>
      </c>
      <c r="B8302" s="2" t="str">
        <f>"COTOVELO AZUL 1/2"""</f>
        <v>COTOVELO AZUL 1/2"</v>
      </c>
      <c r="C8302" s="2" t="str">
        <f>"UN"</f>
        <v>UN</v>
      </c>
      <c r="D8302" s="7">
        <v>912</v>
      </c>
      <c r="E8302" s="3">
        <v>10</v>
      </c>
      <c r="F8302" s="3">
        <v>10</v>
      </c>
      <c r="G8302" t="s">
        <v>513</v>
      </c>
    </row>
    <row r="8303" spans="1:7" x14ac:dyDescent="0.25">
      <c r="A8303" s="1" t="str">
        <f>"526000"</f>
        <v>526000</v>
      </c>
      <c r="B8303" s="2" t="str">
        <f>"COTOVELO AZUL 1X1/2"""</f>
        <v>COTOVELO AZUL 1X1/2"</v>
      </c>
      <c r="C8303" s="2" t="str">
        <f>"UN"</f>
        <v>UN</v>
      </c>
      <c r="D8303" s="7">
        <v>912</v>
      </c>
      <c r="E8303" s="3">
        <v>10</v>
      </c>
      <c r="F8303" s="3">
        <v>10</v>
      </c>
      <c r="G8303" t="s">
        <v>513</v>
      </c>
    </row>
    <row r="8304" spans="1:7" x14ac:dyDescent="0.25">
      <c r="A8304" s="1" t="str">
        <f>"517835"</f>
        <v>517835</v>
      </c>
      <c r="B8304" s="2" t="str">
        <f>"COTOVELO AZUL 3/4"""</f>
        <v>COTOVELO AZUL 3/4"</v>
      </c>
      <c r="C8304" s="2" t="str">
        <f>"UN"</f>
        <v>UN</v>
      </c>
      <c r="D8304" s="7">
        <v>912</v>
      </c>
      <c r="E8304" s="3">
        <v>10</v>
      </c>
      <c r="F8304" s="3">
        <v>10</v>
      </c>
      <c r="G8304" t="s">
        <v>512</v>
      </c>
    </row>
    <row r="8305" spans="1:7" x14ac:dyDescent="0.25">
      <c r="A8305" s="1" t="str">
        <f>"520339"</f>
        <v>520339</v>
      </c>
      <c r="B8305" s="2" t="str">
        <f>"COTOVELO AZUL LR 3/4"</f>
        <v>COTOVELO AZUL LR 3/4</v>
      </c>
      <c r="C8305" s="2" t="str">
        <f>"BR"</f>
        <v>BR</v>
      </c>
      <c r="D8305" s="7">
        <v>807</v>
      </c>
      <c r="E8305" s="3">
        <v>10</v>
      </c>
      <c r="F8305" s="3">
        <v>10</v>
      </c>
      <c r="G8305" t="s">
        <v>513</v>
      </c>
    </row>
    <row r="8306" spans="1:7" x14ac:dyDescent="0.25">
      <c r="A8306" s="1" t="str">
        <f>"527831"</f>
        <v>527831</v>
      </c>
      <c r="B8306" s="2" t="str">
        <f>"COTOVELO AZUL LR 32 C/ROSCA 3/4"</f>
        <v>COTOVELO AZUL LR 32 C/ROSCA 3/4</v>
      </c>
      <c r="C8306" s="2" t="str">
        <f>"BR"</f>
        <v>BR</v>
      </c>
      <c r="D8306" s="7">
        <v>807</v>
      </c>
      <c r="E8306" s="3">
        <v>10</v>
      </c>
      <c r="F8306" s="3">
        <v>10</v>
      </c>
      <c r="G8306" t="s">
        <v>514</v>
      </c>
    </row>
    <row r="8307" spans="1:7" x14ac:dyDescent="0.25">
      <c r="A8307" s="1" t="str">
        <f>"519953"</f>
        <v>519953</v>
      </c>
      <c r="B8307" s="2" t="str">
        <f>"COTOVELO C/ ROSCA 1/2 - PVC"</f>
        <v>COTOVELO C/ ROSCA 1/2 - PVC</v>
      </c>
      <c r="C8307" s="2" t="str">
        <f>"UN"</f>
        <v>UN</v>
      </c>
      <c r="D8307" s="7">
        <v>808</v>
      </c>
      <c r="E8307" s="3">
        <v>10</v>
      </c>
      <c r="F8307" s="3">
        <v>10</v>
      </c>
      <c r="G8307" t="s">
        <v>515</v>
      </c>
    </row>
    <row r="8308" spans="1:7" x14ac:dyDescent="0.25">
      <c r="A8308" s="1" t="str">
        <f>"513652"</f>
        <v>513652</v>
      </c>
      <c r="B8308" s="2" t="str">
        <f>"COTOVELO COBRE 1/8 X 1/4"</f>
        <v>COTOVELO COBRE 1/8 X 1/4</v>
      </c>
      <c r="C8308" s="2" t="str">
        <f>"UN"</f>
        <v>UN</v>
      </c>
      <c r="D8308" s="7">
        <v>916</v>
      </c>
      <c r="E8308" s="3">
        <v>11</v>
      </c>
      <c r="F8308" s="3">
        <v>11</v>
      </c>
      <c r="G8308" t="s">
        <v>512</v>
      </c>
    </row>
    <row r="8309" spans="1:7" x14ac:dyDescent="0.25">
      <c r="A8309" s="1" t="str">
        <f>"526910"</f>
        <v>526910</v>
      </c>
      <c r="B8309" s="2" t="str">
        <f>"COTOVELO COBRE 7/8"</f>
        <v>COTOVELO COBRE 7/8</v>
      </c>
      <c r="C8309" s="2" t="str">
        <f>"UN"</f>
        <v>UN</v>
      </c>
      <c r="D8309" s="7">
        <v>912</v>
      </c>
      <c r="E8309" s="3">
        <v>10</v>
      </c>
      <c r="F8309" s="3">
        <v>10</v>
      </c>
      <c r="G8309" t="s">
        <v>516</v>
      </c>
    </row>
    <row r="8310" spans="1:7" x14ac:dyDescent="0.25">
      <c r="A8310" s="1" t="str">
        <f>"521749"</f>
        <v>521749</v>
      </c>
      <c r="B8310" s="2" t="str">
        <f>"COTOVELO COLA/ROSCA 1/2"""</f>
        <v>COTOVELO COLA/ROSCA 1/2"</v>
      </c>
      <c r="C8310" s="2" t="str">
        <f>"UN"</f>
        <v>UN</v>
      </c>
      <c r="D8310" s="7">
        <v>99999</v>
      </c>
      <c r="E8310" s="3">
        <v>99</v>
      </c>
      <c r="F8310" s="3">
        <v>99</v>
      </c>
      <c r="G8310" t="s">
        <v>515</v>
      </c>
    </row>
    <row r="8311" spans="1:7" x14ac:dyDescent="0.25">
      <c r="A8311" s="1" t="str">
        <f>"500712"</f>
        <v>500712</v>
      </c>
      <c r="B8311" s="2" t="str">
        <f>"COTOVELO F.G. -   1"""</f>
        <v>COTOVELO F.G. -   1"</v>
      </c>
      <c r="C8311" s="2" t="str">
        <f>"BR"</f>
        <v>BR</v>
      </c>
      <c r="D8311" s="7">
        <v>808</v>
      </c>
      <c r="E8311" s="3">
        <v>10</v>
      </c>
      <c r="F8311" s="3">
        <v>10</v>
      </c>
      <c r="G8311" t="s">
        <v>514</v>
      </c>
    </row>
    <row r="8312" spans="1:7" x14ac:dyDescent="0.25">
      <c r="A8312" s="1" t="str">
        <f>"500126"</f>
        <v>500126</v>
      </c>
      <c r="B8312" s="2" t="str">
        <f>"COTOVELO F.G. - 1/2"""</f>
        <v>COTOVELO F.G. - 1/2"</v>
      </c>
      <c r="C8312" s="2" t="str">
        <f>"BR"</f>
        <v>BR</v>
      </c>
      <c r="D8312" s="7">
        <v>808</v>
      </c>
      <c r="E8312" s="3">
        <v>10</v>
      </c>
      <c r="F8312" s="3">
        <v>10</v>
      </c>
      <c r="G8312" t="s">
        <v>512</v>
      </c>
    </row>
    <row r="8313" spans="1:7" x14ac:dyDescent="0.25">
      <c r="A8313" s="1" t="str">
        <f>"503348"</f>
        <v>503348</v>
      </c>
      <c r="B8313" s="2" t="str">
        <f>"COTOVELO F.G. - 1/4"""</f>
        <v>COTOVELO F.G. - 1/4"</v>
      </c>
      <c r="C8313" s="2" t="str">
        <f>"BR"</f>
        <v>BR</v>
      </c>
      <c r="D8313" s="7">
        <v>808</v>
      </c>
      <c r="E8313" s="3">
        <v>10</v>
      </c>
      <c r="F8313" s="3">
        <v>10</v>
      </c>
      <c r="G8313" t="s">
        <v>513</v>
      </c>
    </row>
    <row r="8314" spans="1:7" x14ac:dyDescent="0.25">
      <c r="A8314" s="1" t="str">
        <f>"517320"</f>
        <v>517320</v>
      </c>
      <c r="B8314" s="2" t="str">
        <f>"COTOVELO F.G. - 1/8"""</f>
        <v>COTOVELO F.G. - 1/8"</v>
      </c>
      <c r="C8314" s="2" t="str">
        <f>"UN"</f>
        <v>UN</v>
      </c>
      <c r="D8314" s="7">
        <v>808</v>
      </c>
      <c r="E8314" s="3">
        <v>10</v>
      </c>
      <c r="F8314" s="3">
        <v>10</v>
      </c>
      <c r="G8314" t="s">
        <v>514</v>
      </c>
    </row>
    <row r="8315" spans="1:7" x14ac:dyDescent="0.25">
      <c r="A8315" s="1" t="str">
        <f>"500036"</f>
        <v>500036</v>
      </c>
      <c r="B8315" s="2" t="str">
        <f>"COTOVELO F.G. - 3/4"""</f>
        <v>COTOVELO F.G. - 3/4"</v>
      </c>
      <c r="C8315" s="2" t="str">
        <f>"BR"</f>
        <v>BR</v>
      </c>
      <c r="D8315" s="7">
        <v>808</v>
      </c>
      <c r="E8315" s="3">
        <v>10</v>
      </c>
      <c r="F8315" s="3">
        <v>10</v>
      </c>
      <c r="G8315" t="s">
        <v>514</v>
      </c>
    </row>
    <row r="8316" spans="1:7" x14ac:dyDescent="0.25">
      <c r="A8316" s="1" t="str">
        <f>"503339"</f>
        <v>503339</v>
      </c>
      <c r="B8316" s="2" t="str">
        <f>"COTOVELO F.G. - 3/8"""</f>
        <v>COTOVELO F.G. - 3/8"</v>
      </c>
      <c r="C8316" s="2" t="str">
        <f>"BR"</f>
        <v>BR</v>
      </c>
      <c r="D8316" s="7">
        <v>808</v>
      </c>
      <c r="E8316" s="3">
        <v>10</v>
      </c>
      <c r="F8316" s="3">
        <v>10</v>
      </c>
      <c r="G8316" t="s">
        <v>512</v>
      </c>
    </row>
    <row r="8317" spans="1:7" x14ac:dyDescent="0.25">
      <c r="A8317" s="1" t="str">
        <f>"504267"</f>
        <v>504267</v>
      </c>
      <c r="B8317" s="2" t="str">
        <f>"COTOVELO F.G. 45° - 2 1/2"""</f>
        <v>COTOVELO F.G. 45° - 2 1/2"</v>
      </c>
      <c r="C8317" s="2" t="str">
        <f>"BR"</f>
        <v>BR</v>
      </c>
      <c r="D8317" s="7">
        <v>808</v>
      </c>
      <c r="E8317" s="3">
        <v>10</v>
      </c>
      <c r="F8317" s="3">
        <v>10</v>
      </c>
      <c r="G8317" t="s">
        <v>513</v>
      </c>
    </row>
    <row r="8318" spans="1:7" x14ac:dyDescent="0.25">
      <c r="A8318" s="1" t="str">
        <f>"502103"</f>
        <v>502103</v>
      </c>
      <c r="B8318" s="2" t="str">
        <f>"COTOVELO F.G. 90° - 1 1/2"""</f>
        <v>COTOVELO F.G. 90° - 1 1/2"</v>
      </c>
      <c r="C8318" s="2" t="str">
        <f>"BR"</f>
        <v>BR</v>
      </c>
      <c r="D8318" s="7">
        <v>808</v>
      </c>
      <c r="E8318" s="3">
        <v>10</v>
      </c>
      <c r="F8318" s="3">
        <v>10</v>
      </c>
      <c r="G8318" t="s">
        <v>514</v>
      </c>
    </row>
    <row r="8319" spans="1:7" x14ac:dyDescent="0.25">
      <c r="A8319" s="1" t="str">
        <f>"500062"</f>
        <v>500062</v>
      </c>
      <c r="B8319" s="2" t="str">
        <f>"COTOVELO F.G. 90° - 2"""</f>
        <v>COTOVELO F.G. 90° - 2"</v>
      </c>
      <c r="C8319" s="2" t="str">
        <f>"BR"</f>
        <v>BR</v>
      </c>
      <c r="D8319" s="7">
        <v>808</v>
      </c>
      <c r="E8319" s="3">
        <v>10</v>
      </c>
      <c r="F8319" s="3">
        <v>10</v>
      </c>
      <c r="G8319" t="s">
        <v>514</v>
      </c>
    </row>
    <row r="8320" spans="1:7" x14ac:dyDescent="0.25">
      <c r="A8320" s="1" t="str">
        <f>"519992"</f>
        <v>519992</v>
      </c>
      <c r="B8320" s="2" t="str">
        <f>"COTOVELO F.G. 90° - 2"" 1/2"</f>
        <v>COTOVELO F.G. 90° - 2" 1/2</v>
      </c>
      <c r="C8320" s="2" t="str">
        <f>"UN"</f>
        <v>UN</v>
      </c>
      <c r="D8320" s="7">
        <v>808</v>
      </c>
      <c r="E8320" s="3">
        <v>10</v>
      </c>
      <c r="F8320" s="3">
        <v>10</v>
      </c>
      <c r="G8320" t="s">
        <v>514</v>
      </c>
    </row>
    <row r="8321" spans="1:7" x14ac:dyDescent="0.25">
      <c r="A8321" s="1" t="str">
        <f>"511780"</f>
        <v>511780</v>
      </c>
      <c r="B8321" s="2" t="str">
        <f>"COTOVELO F.G. 90° - 3"""</f>
        <v>COTOVELO F.G. 90° - 3"</v>
      </c>
      <c r="C8321" s="2" t="str">
        <f>"BR"</f>
        <v>BR</v>
      </c>
      <c r="D8321" s="7">
        <v>808</v>
      </c>
      <c r="E8321" s="3">
        <v>10</v>
      </c>
      <c r="F8321" s="3">
        <v>10</v>
      </c>
      <c r="G8321" t="s">
        <v>513</v>
      </c>
    </row>
    <row r="8322" spans="1:7" x14ac:dyDescent="0.25">
      <c r="A8322" s="1" t="str">
        <f>"513536"</f>
        <v>513536</v>
      </c>
      <c r="B8322" s="2" t="str">
        <f>"COTOVELO GALVANIZADO 90º 4"""</f>
        <v>COTOVELO GALVANIZADO 90º 4"</v>
      </c>
      <c r="C8322" s="2" t="str">
        <f>"BR"</f>
        <v>BR</v>
      </c>
      <c r="D8322" s="7">
        <v>808</v>
      </c>
      <c r="E8322" s="3">
        <v>10</v>
      </c>
      <c r="F8322" s="3">
        <v>10</v>
      </c>
      <c r="G8322" t="s">
        <v>512</v>
      </c>
    </row>
    <row r="8323" spans="1:7" x14ac:dyDescent="0.25">
      <c r="A8323" s="1" t="str">
        <f>"519211"</f>
        <v>519211</v>
      </c>
      <c r="B8323" s="2" t="str">
        <f>"COTOVELO JEI OCRE ESGOTO 150MM 90º"</f>
        <v>COTOVELO JEI OCRE ESGOTO 150MM 90º</v>
      </c>
      <c r="C8323" s="2" t="str">
        <f>"BR"</f>
        <v>BR</v>
      </c>
      <c r="D8323" s="7">
        <v>809</v>
      </c>
      <c r="E8323" s="3">
        <v>10</v>
      </c>
      <c r="F8323" s="3">
        <v>10</v>
      </c>
      <c r="G8323" t="s">
        <v>513</v>
      </c>
    </row>
    <row r="8324" spans="1:7" x14ac:dyDescent="0.25">
      <c r="A8324" s="1" t="str">
        <f>"505267"</f>
        <v>505267</v>
      </c>
      <c r="B8324" s="2" t="str">
        <f>"COTOVELO ORIENTAVEL LUBRIFICACAO"</f>
        <v>COTOVELO ORIENTAVEL LUBRIFICACAO</v>
      </c>
      <c r="C8324" s="2" t="str">
        <f>"UN"</f>
        <v>UN</v>
      </c>
      <c r="D8324" s="7">
        <v>918</v>
      </c>
      <c r="E8324" s="3">
        <v>11</v>
      </c>
      <c r="F8324" s="3">
        <v>11</v>
      </c>
      <c r="G8324" t="s">
        <v>514</v>
      </c>
    </row>
    <row r="8325" spans="1:7" x14ac:dyDescent="0.25">
      <c r="A8325" s="1" t="str">
        <f>"521935"</f>
        <v>521935</v>
      </c>
      <c r="B8325" s="2" t="str">
        <f>"COTOVELO PVC 45º SERIE R C/ DN 100MM"</f>
        <v>COTOVELO PVC 45º SERIE R C/ DN 100MM</v>
      </c>
      <c r="C8325" s="2" t="str">
        <f>"BR"</f>
        <v>BR</v>
      </c>
      <c r="D8325" s="7">
        <v>809</v>
      </c>
      <c r="E8325" s="3">
        <v>10</v>
      </c>
      <c r="F8325" s="3">
        <v>10</v>
      </c>
      <c r="G8325" t="s">
        <v>514</v>
      </c>
    </row>
    <row r="8326" spans="1:7" x14ac:dyDescent="0.25">
      <c r="A8326" s="1" t="str">
        <f>"521936"</f>
        <v>521936</v>
      </c>
      <c r="B8326" s="2" t="str">
        <f>"COTOVELO PVC 45º SERIE R C/ DN 150MM"</f>
        <v>COTOVELO PVC 45º SERIE R C/ DN 150MM</v>
      </c>
      <c r="C8326" s="2" t="str">
        <f>"BR"</f>
        <v>BR</v>
      </c>
      <c r="D8326" s="7">
        <v>809</v>
      </c>
      <c r="E8326" s="3">
        <v>10</v>
      </c>
      <c r="F8326" s="3">
        <v>10</v>
      </c>
      <c r="G8326" t="s">
        <v>514</v>
      </c>
    </row>
    <row r="8327" spans="1:7" x14ac:dyDescent="0.25">
      <c r="A8327" s="1" t="str">
        <f>"522075"</f>
        <v>522075</v>
      </c>
      <c r="B8327" s="2" t="str">
        <f>"COTOVELO PVC 45º SERIE R C/ DN 50MM"</f>
        <v>COTOVELO PVC 45º SERIE R C/ DN 50MM</v>
      </c>
      <c r="C8327" s="2" t="str">
        <f>"BR"</f>
        <v>BR</v>
      </c>
      <c r="D8327" s="7">
        <v>809</v>
      </c>
      <c r="E8327" s="3">
        <v>10</v>
      </c>
      <c r="F8327" s="3">
        <v>10</v>
      </c>
      <c r="G8327" t="s">
        <v>513</v>
      </c>
    </row>
    <row r="8328" spans="1:7" x14ac:dyDescent="0.25">
      <c r="A8328" s="1" t="str">
        <f>"513050"</f>
        <v>513050</v>
      </c>
      <c r="B8328" s="2" t="str">
        <f>"COTOVELO PVC 50MM"</f>
        <v>COTOVELO PVC 50MM</v>
      </c>
      <c r="C8328" s="2" t="str">
        <f>"BR"</f>
        <v>BR</v>
      </c>
      <c r="D8328" s="7">
        <v>808</v>
      </c>
      <c r="E8328" s="3">
        <v>10</v>
      </c>
      <c r="F8328" s="3">
        <v>10</v>
      </c>
      <c r="G8328" t="s">
        <v>513</v>
      </c>
    </row>
    <row r="8329" spans="1:7" x14ac:dyDescent="0.25">
      <c r="A8329" s="1" t="str">
        <f>"506908"</f>
        <v>506908</v>
      </c>
      <c r="B8329" s="2" t="str">
        <f>"COTOVELO PVC 6"""</f>
        <v>COTOVELO PVC 6"</v>
      </c>
      <c r="C8329" s="2" t="str">
        <f>"UN"</f>
        <v>UN</v>
      </c>
      <c r="D8329" s="7">
        <v>912</v>
      </c>
      <c r="E8329" s="3">
        <v>10</v>
      </c>
      <c r="F8329" s="3">
        <v>10</v>
      </c>
      <c r="G8329" t="s">
        <v>513</v>
      </c>
    </row>
    <row r="8330" spans="1:7" x14ac:dyDescent="0.25">
      <c r="A8330" s="1" t="str">
        <f>"527583"</f>
        <v>527583</v>
      </c>
      <c r="B8330" s="2" t="str">
        <f>"COTOVELO PVC 90º 40MM MARRON"</f>
        <v>COTOVELO PVC 90º 40MM MARRON</v>
      </c>
      <c r="C8330" s="2" t="str">
        <f>"BR"</f>
        <v>BR</v>
      </c>
      <c r="D8330" s="7">
        <v>808</v>
      </c>
      <c r="E8330" s="3">
        <v>10</v>
      </c>
      <c r="F8330" s="3">
        <v>10</v>
      </c>
      <c r="G8330" t="s">
        <v>512</v>
      </c>
    </row>
    <row r="8331" spans="1:7" x14ac:dyDescent="0.25">
      <c r="A8331" s="1" t="str">
        <f>"522556"</f>
        <v>522556</v>
      </c>
      <c r="B8331" s="2" t="str">
        <f>"COTOVELO PVC 90º SERIE R C/ DN 100MM"</f>
        <v>COTOVELO PVC 90º SERIE R C/ DN 100MM</v>
      </c>
      <c r="C8331" s="2" t="str">
        <f>"BR"</f>
        <v>BR</v>
      </c>
      <c r="D8331" s="7">
        <v>809</v>
      </c>
      <c r="E8331" s="3">
        <v>10</v>
      </c>
      <c r="F8331" s="3">
        <v>10</v>
      </c>
      <c r="G8331" t="s">
        <v>513</v>
      </c>
    </row>
    <row r="8332" spans="1:7" x14ac:dyDescent="0.25">
      <c r="A8332" s="1" t="str">
        <f>"522260"</f>
        <v>522260</v>
      </c>
      <c r="B8332" s="2" t="str">
        <f>"COTOVELO PVC 90º SERIE R C/ DN 150MM"</f>
        <v>COTOVELO PVC 90º SERIE R C/ DN 150MM</v>
      </c>
      <c r="C8332" s="2" t="str">
        <f>"BR"</f>
        <v>BR</v>
      </c>
      <c r="D8332" s="7">
        <v>809</v>
      </c>
      <c r="E8332" s="3">
        <v>10</v>
      </c>
      <c r="F8332" s="3">
        <v>10</v>
      </c>
      <c r="G8332" t="s">
        <v>514</v>
      </c>
    </row>
    <row r="8333" spans="1:7" x14ac:dyDescent="0.25">
      <c r="A8333" s="1" t="str">
        <f>"522076"</f>
        <v>522076</v>
      </c>
      <c r="B8333" s="2" t="str">
        <f>"COTOVELO PVC 90º SERIE R C/ DN 50MM"</f>
        <v>COTOVELO PVC 90º SERIE R C/ DN 50MM</v>
      </c>
      <c r="C8333" s="2" t="str">
        <f>"BR"</f>
        <v>BR</v>
      </c>
      <c r="D8333" s="7">
        <v>809</v>
      </c>
      <c r="E8333" s="3">
        <v>10</v>
      </c>
      <c r="F8333" s="3">
        <v>10</v>
      </c>
      <c r="G8333" t="s">
        <v>515</v>
      </c>
    </row>
    <row r="8334" spans="1:7" x14ac:dyDescent="0.25">
      <c r="A8334" s="1" t="str">
        <f>"518356"</f>
        <v>518356</v>
      </c>
      <c r="B8334" s="2" t="str">
        <f>"COTOVELO PVC BRANCO ROSCA 1/2"</f>
        <v>COTOVELO PVC BRANCO ROSCA 1/2</v>
      </c>
      <c r="C8334" s="2" t="str">
        <f>"UN"</f>
        <v>UN</v>
      </c>
      <c r="D8334" s="7">
        <v>912</v>
      </c>
      <c r="E8334" s="3">
        <v>10</v>
      </c>
      <c r="F8334" s="3">
        <v>10</v>
      </c>
      <c r="G8334" t="s">
        <v>512</v>
      </c>
    </row>
    <row r="8335" spans="1:7" x14ac:dyDescent="0.25">
      <c r="A8335" s="1" t="str">
        <f>"524426"</f>
        <v>524426</v>
      </c>
      <c r="B8335" s="2" t="str">
        <f>"COTOVELO PVC MARROM 60MM 45º"</f>
        <v>COTOVELO PVC MARROM 60MM 45º</v>
      </c>
      <c r="C8335" s="2" t="str">
        <f>"BR"</f>
        <v>BR</v>
      </c>
      <c r="D8335" s="7">
        <v>808</v>
      </c>
      <c r="E8335" s="3">
        <v>10</v>
      </c>
      <c r="F8335" s="3">
        <v>10</v>
      </c>
      <c r="G8335" t="s">
        <v>516</v>
      </c>
    </row>
    <row r="8336" spans="1:7" x14ac:dyDescent="0.25">
      <c r="A8336" s="1" t="str">
        <f>"522441"</f>
        <v>522441</v>
      </c>
      <c r="B8336" s="2" t="str">
        <f>"COTOVELO PVC MARRON 1"""</f>
        <v>COTOVELO PVC MARRON 1"</v>
      </c>
      <c r="C8336" s="2" t="str">
        <f>"BR"</f>
        <v>BR</v>
      </c>
      <c r="D8336" s="7">
        <v>808</v>
      </c>
      <c r="E8336" s="3">
        <v>10</v>
      </c>
      <c r="F8336" s="3">
        <v>10</v>
      </c>
      <c r="G8336" t="s">
        <v>515</v>
      </c>
    </row>
    <row r="8337" spans="1:7" x14ac:dyDescent="0.25">
      <c r="A8337" s="1" t="str">
        <f>"501392"</f>
        <v>501392</v>
      </c>
      <c r="B8337" s="2" t="str">
        <f>"COTOVELO PVC MARRON 1"" 45º"</f>
        <v>COTOVELO PVC MARRON 1" 45º</v>
      </c>
      <c r="C8337" s="2" t="str">
        <f>"BR"</f>
        <v>BR</v>
      </c>
      <c r="D8337" s="7">
        <v>808</v>
      </c>
      <c r="E8337" s="3">
        <v>10</v>
      </c>
      <c r="F8337" s="3">
        <v>10</v>
      </c>
      <c r="G8337" t="s">
        <v>514</v>
      </c>
    </row>
    <row r="8338" spans="1:7" x14ac:dyDescent="0.25">
      <c r="A8338" s="1" t="str">
        <f>"502779"</f>
        <v>502779</v>
      </c>
      <c r="B8338" s="2" t="str">
        <f>"COTOVELO PVC MARRON 1/2"""</f>
        <v>COTOVELO PVC MARRON 1/2"</v>
      </c>
      <c r="C8338" s="2" t="str">
        <f>"UN"</f>
        <v>UN</v>
      </c>
      <c r="D8338" s="7">
        <v>601</v>
      </c>
      <c r="E8338" s="3">
        <v>10</v>
      </c>
      <c r="F8338" s="3">
        <v>10</v>
      </c>
      <c r="G8338" t="s">
        <v>512</v>
      </c>
    </row>
    <row r="8339" spans="1:7" x14ac:dyDescent="0.25">
      <c r="A8339" s="1" t="str">
        <f>"522010"</f>
        <v>522010</v>
      </c>
      <c r="B8339" s="2" t="str">
        <f>"COTOVELO PVC MARRON 1/2"" 45º"</f>
        <v>COTOVELO PVC MARRON 1/2" 45º</v>
      </c>
      <c r="C8339" s="2" t="str">
        <f>"UN"</f>
        <v>UN</v>
      </c>
      <c r="D8339" s="7">
        <v>601</v>
      </c>
      <c r="E8339" s="3">
        <v>10</v>
      </c>
      <c r="F8339" s="3">
        <v>10</v>
      </c>
      <c r="G8339" t="s">
        <v>513</v>
      </c>
    </row>
    <row r="8340" spans="1:7" x14ac:dyDescent="0.25">
      <c r="A8340" s="1" t="str">
        <f>"511700"</f>
        <v>511700</v>
      </c>
      <c r="B8340" s="2" t="str">
        <f>"COTOVELO PVC MARRON 3/4"""</f>
        <v>COTOVELO PVC MARRON 3/4"</v>
      </c>
      <c r="C8340" s="2" t="str">
        <f>"BR"</f>
        <v>BR</v>
      </c>
      <c r="D8340" s="7">
        <v>808</v>
      </c>
      <c r="E8340" s="3">
        <v>10</v>
      </c>
      <c r="F8340" s="3">
        <v>10</v>
      </c>
      <c r="G8340" t="s">
        <v>514</v>
      </c>
    </row>
    <row r="8341" spans="1:7" x14ac:dyDescent="0.25">
      <c r="A8341" s="1" t="str">
        <f>"527832"</f>
        <v>527832</v>
      </c>
      <c r="B8341" s="2" t="str">
        <f>"COTOVELO PVC MARRON 45 60MM"</f>
        <v>COTOVELO PVC MARRON 45 60MM</v>
      </c>
      <c r="C8341" s="2" t="str">
        <f>"BR"</f>
        <v>BR</v>
      </c>
      <c r="D8341" s="7">
        <v>808</v>
      </c>
      <c r="E8341" s="3">
        <v>10</v>
      </c>
      <c r="F8341" s="3">
        <v>10</v>
      </c>
      <c r="G8341" t="s">
        <v>514</v>
      </c>
    </row>
    <row r="8342" spans="1:7" x14ac:dyDescent="0.25">
      <c r="A8342" s="1" t="str">
        <f>"502036"</f>
        <v>502036</v>
      </c>
      <c r="B8342" s="2" t="str">
        <f>"COTOVELO PVC MARRON 50MM 45º"</f>
        <v>COTOVELO PVC MARRON 50MM 45º</v>
      </c>
      <c r="C8342" s="2" t="str">
        <f>"UN"</f>
        <v>UN</v>
      </c>
      <c r="D8342" s="7">
        <v>912</v>
      </c>
      <c r="E8342" s="3">
        <v>10</v>
      </c>
      <c r="F8342" s="3">
        <v>10</v>
      </c>
      <c r="G8342" t="s">
        <v>512</v>
      </c>
    </row>
    <row r="8343" spans="1:7" x14ac:dyDescent="0.25">
      <c r="A8343" s="1" t="str">
        <f>"515861"</f>
        <v>515861</v>
      </c>
      <c r="B8343" s="2" t="str">
        <f>"COTOVELO PVC MARRON 50MM 90º"</f>
        <v>COTOVELO PVC MARRON 50MM 90º</v>
      </c>
      <c r="C8343" s="2" t="str">
        <f>"UN"</f>
        <v>UN</v>
      </c>
      <c r="D8343" s="7">
        <v>99999</v>
      </c>
      <c r="E8343" s="3">
        <v>10</v>
      </c>
      <c r="F8343" s="3">
        <v>10</v>
      </c>
      <c r="G8343" t="s">
        <v>513</v>
      </c>
    </row>
    <row r="8344" spans="1:7" x14ac:dyDescent="0.25">
      <c r="A8344" s="1" t="str">
        <f>"512891"</f>
        <v>512891</v>
      </c>
      <c r="B8344" s="2" t="str">
        <f>"COTOVELO PVC MARRON 75MM"</f>
        <v>COTOVELO PVC MARRON 75MM</v>
      </c>
      <c r="C8344" s="2" t="str">
        <f>"BR"</f>
        <v>BR</v>
      </c>
      <c r="D8344" s="7">
        <v>808</v>
      </c>
      <c r="E8344" s="3">
        <v>10</v>
      </c>
      <c r="F8344" s="3">
        <v>10</v>
      </c>
      <c r="G8344" t="s">
        <v>514</v>
      </c>
    </row>
    <row r="8345" spans="1:7" x14ac:dyDescent="0.25">
      <c r="A8345" s="1" t="str">
        <f>"511314"</f>
        <v>511314</v>
      </c>
      <c r="B8345" s="2" t="str">
        <f>"COTOVELO PVC MARRON 90 60MM"</f>
        <v>COTOVELO PVC MARRON 90 60MM</v>
      </c>
      <c r="C8345" s="2" t="str">
        <f>"BR"</f>
        <v>BR</v>
      </c>
      <c r="D8345" s="7">
        <v>808</v>
      </c>
      <c r="E8345" s="3">
        <v>10</v>
      </c>
      <c r="F8345" s="3">
        <v>10</v>
      </c>
      <c r="G8345" t="s">
        <v>514</v>
      </c>
    </row>
    <row r="8346" spans="1:7" x14ac:dyDescent="0.25">
      <c r="A8346" s="1" t="str">
        <f>"515019"</f>
        <v>515019</v>
      </c>
      <c r="B8346" s="2" t="str">
        <f>"COUPILHA"</f>
        <v>COUPILHA</v>
      </c>
      <c r="C8346" s="2" t="str">
        <f t="shared" ref="C8346:C8372" si="321">"UN"</f>
        <v>UN</v>
      </c>
      <c r="D8346" s="7">
        <v>704</v>
      </c>
      <c r="E8346" s="3">
        <v>9</v>
      </c>
      <c r="F8346" s="3">
        <v>9</v>
      </c>
      <c r="G8346" t="s">
        <v>514</v>
      </c>
    </row>
    <row r="8347" spans="1:7" x14ac:dyDescent="0.25">
      <c r="A8347" s="1" t="str">
        <f>"514883"</f>
        <v>514883</v>
      </c>
      <c r="B8347" s="2" t="str">
        <f>"COXA SOBRECOXA"</f>
        <v>COXA SOBRECOXA</v>
      </c>
      <c r="C8347" s="2" t="str">
        <f t="shared" si="321"/>
        <v>UN</v>
      </c>
      <c r="D8347" s="7">
        <v>401</v>
      </c>
      <c r="E8347" s="3">
        <v>4</v>
      </c>
      <c r="F8347" s="3">
        <v>4</v>
      </c>
      <c r="G8347" t="s">
        <v>513</v>
      </c>
    </row>
    <row r="8348" spans="1:7" x14ac:dyDescent="0.25">
      <c r="A8348" s="1" t="str">
        <f>"501923"</f>
        <v>501923</v>
      </c>
      <c r="B8348" s="2" t="str">
        <f>"COXIM"</f>
        <v>COXIM</v>
      </c>
      <c r="C8348" s="2" t="str">
        <f t="shared" si="321"/>
        <v>UN</v>
      </c>
      <c r="D8348" s="7">
        <v>704</v>
      </c>
      <c r="E8348" s="3">
        <v>9</v>
      </c>
      <c r="F8348" s="3">
        <v>9</v>
      </c>
      <c r="G8348" t="s">
        <v>512</v>
      </c>
    </row>
    <row r="8349" spans="1:7" x14ac:dyDescent="0.25">
      <c r="A8349" s="1" t="str">
        <f>"511813"</f>
        <v>511813</v>
      </c>
      <c r="B8349" s="2" t="str">
        <f>"COXIM ANTI VIBRAÇAO 70 SA"</f>
        <v>COXIM ANTI VIBRAÇAO 70 SA</v>
      </c>
      <c r="C8349" s="2" t="str">
        <f t="shared" si="321"/>
        <v>UN</v>
      </c>
      <c r="D8349" s="7">
        <v>704</v>
      </c>
      <c r="E8349" s="3">
        <v>9</v>
      </c>
      <c r="F8349" s="3">
        <v>9</v>
      </c>
      <c r="G8349" t="s">
        <v>513</v>
      </c>
    </row>
    <row r="8350" spans="1:7" x14ac:dyDescent="0.25">
      <c r="A8350" s="1" t="str">
        <f>"511812"</f>
        <v>511812</v>
      </c>
      <c r="B8350" s="2" t="str">
        <f>"COXIM ANTI VIBRAÇAO 70S"</f>
        <v>COXIM ANTI VIBRAÇAO 70S</v>
      </c>
      <c r="C8350" s="2" t="str">
        <f t="shared" si="321"/>
        <v>UN</v>
      </c>
      <c r="D8350" s="7">
        <v>704</v>
      </c>
      <c r="E8350" s="3">
        <v>9</v>
      </c>
      <c r="F8350" s="3">
        <v>9</v>
      </c>
      <c r="G8350" t="s">
        <v>514</v>
      </c>
    </row>
    <row r="8351" spans="1:7" x14ac:dyDescent="0.25">
      <c r="A8351" s="1" t="str">
        <f>"511811"</f>
        <v>511811</v>
      </c>
      <c r="B8351" s="2" t="str">
        <f>"COXIM ANTI VIBRAÇAO SB"</f>
        <v>COXIM ANTI VIBRAÇAO SB</v>
      </c>
      <c r="C8351" s="2" t="str">
        <f t="shared" si="321"/>
        <v>UN</v>
      </c>
      <c r="D8351" s="7">
        <v>704</v>
      </c>
      <c r="E8351" s="3">
        <v>9</v>
      </c>
      <c r="F8351" s="3">
        <v>9</v>
      </c>
      <c r="G8351" t="s">
        <v>514</v>
      </c>
    </row>
    <row r="8352" spans="1:7" x14ac:dyDescent="0.25">
      <c r="A8352" s="1" t="str">
        <f>"518702"</f>
        <v>518702</v>
      </c>
      <c r="B8352" s="2" t="str">
        <f>"COXIM D40X30 M8X28 RESERV."</f>
        <v>COXIM D40X30 M8X28 RESERV.</v>
      </c>
      <c r="C8352" s="2" t="str">
        <f t="shared" si="321"/>
        <v>UN</v>
      </c>
      <c r="D8352" s="7">
        <v>918</v>
      </c>
      <c r="E8352" s="3">
        <v>11</v>
      </c>
      <c r="F8352" s="3">
        <v>11</v>
      </c>
      <c r="G8352" t="s">
        <v>514</v>
      </c>
    </row>
    <row r="8353" spans="1:7" x14ac:dyDescent="0.25">
      <c r="A8353" s="1" t="str">
        <f>"524524"</f>
        <v>524524</v>
      </c>
      <c r="B8353" s="2" t="str">
        <f>"COXIM D40X30 M8X28 RESERV. - 0392110028-J"</f>
        <v>COXIM D40X30 M8X28 RESERV. - 0392110028-J</v>
      </c>
      <c r="C8353" s="2" t="str">
        <f t="shared" si="321"/>
        <v>UN</v>
      </c>
      <c r="D8353" s="7">
        <v>810</v>
      </c>
      <c r="E8353" s="3">
        <v>11</v>
      </c>
      <c r="F8353" s="3">
        <v>11</v>
      </c>
      <c r="G8353" t="s">
        <v>513</v>
      </c>
    </row>
    <row r="8354" spans="1:7" x14ac:dyDescent="0.25">
      <c r="A8354" s="1" t="str">
        <f>"514106"</f>
        <v>514106</v>
      </c>
      <c r="B8354" s="2" t="str">
        <f>"COXIM DE BORRACHA"</f>
        <v>COXIM DE BORRACHA</v>
      </c>
      <c r="C8354" s="2" t="str">
        <f t="shared" si="321"/>
        <v>UN</v>
      </c>
      <c r="D8354" s="7">
        <v>704</v>
      </c>
      <c r="E8354" s="3">
        <v>9</v>
      </c>
      <c r="F8354" s="3">
        <v>9</v>
      </c>
      <c r="G8354" t="s">
        <v>513</v>
      </c>
    </row>
    <row r="8355" spans="1:7" x14ac:dyDescent="0.25">
      <c r="A8355" s="1" t="str">
        <f>"501618"</f>
        <v>501618</v>
      </c>
      <c r="B8355" s="2" t="str">
        <f>"COXIM DIANT CABINE 14200"</f>
        <v>COXIM DIANT CABINE 14200</v>
      </c>
      <c r="C8355" s="2" t="str">
        <f t="shared" si="321"/>
        <v>UN</v>
      </c>
      <c r="D8355" s="7">
        <v>704</v>
      </c>
      <c r="E8355" s="3">
        <v>9</v>
      </c>
      <c r="F8355" s="3">
        <v>9</v>
      </c>
      <c r="G8355" t="s">
        <v>513</v>
      </c>
    </row>
    <row r="8356" spans="1:7" x14ac:dyDescent="0.25">
      <c r="A8356" s="1" t="str">
        <f>"511814"</f>
        <v>511814</v>
      </c>
      <c r="B8356" s="2" t="str">
        <f>"COXIM DO MOTOR DEIES"</f>
        <v>COXIM DO MOTOR DEIES</v>
      </c>
      <c r="C8356" s="2" t="str">
        <f t="shared" si="321"/>
        <v>UN</v>
      </c>
      <c r="D8356" s="7">
        <v>704</v>
      </c>
      <c r="E8356" s="3">
        <v>9</v>
      </c>
      <c r="F8356" s="3">
        <v>9</v>
      </c>
      <c r="G8356" t="s">
        <v>512</v>
      </c>
    </row>
    <row r="8357" spans="1:7" x14ac:dyDescent="0.25">
      <c r="A8357" s="1" t="str">
        <f>"519630"</f>
        <v>519630</v>
      </c>
      <c r="B8357" s="2" t="str">
        <f>"COXIM MOTOR TRAS"</f>
        <v>COXIM MOTOR TRAS</v>
      </c>
      <c r="C8357" s="2" t="str">
        <f t="shared" si="321"/>
        <v>UN</v>
      </c>
      <c r="D8357" s="7">
        <v>704</v>
      </c>
      <c r="E8357" s="3">
        <v>9</v>
      </c>
      <c r="F8357" s="3">
        <v>9</v>
      </c>
      <c r="G8357" t="s">
        <v>513</v>
      </c>
    </row>
    <row r="8358" spans="1:7" x14ac:dyDescent="0.25">
      <c r="A8358" s="1" t="str">
        <f>"502814"</f>
        <v>502814</v>
      </c>
      <c r="B8358" s="2" t="str">
        <f>"COXIM MOTOR TRASEIRO VW 17.300"</f>
        <v>COXIM MOTOR TRASEIRO VW 17.300</v>
      </c>
      <c r="C8358" s="2" t="str">
        <f t="shared" si="321"/>
        <v>UN</v>
      </c>
      <c r="D8358" s="7">
        <v>704</v>
      </c>
      <c r="E8358" s="3">
        <v>9</v>
      </c>
      <c r="F8358" s="3">
        <v>9</v>
      </c>
      <c r="G8358" t="s">
        <v>514</v>
      </c>
    </row>
    <row r="8359" spans="1:7" x14ac:dyDescent="0.25">
      <c r="A8359" s="1" t="str">
        <f>"517092"</f>
        <v>517092</v>
      </c>
      <c r="B8359" s="2" t="str">
        <f>"CPU 1212C 6ES7212-1AE31-OXB0 SIEMENS"</f>
        <v>CPU 1212C 6ES7212-1AE31-OXB0 SIEMENS</v>
      </c>
      <c r="C8359" s="2" t="str">
        <f t="shared" si="321"/>
        <v>UN</v>
      </c>
      <c r="D8359" s="7">
        <v>811</v>
      </c>
      <c r="E8359" s="3">
        <v>8</v>
      </c>
      <c r="F8359" s="3">
        <v>8</v>
      </c>
      <c r="G8359" t="s">
        <v>515</v>
      </c>
    </row>
    <row r="8360" spans="1:7" x14ac:dyDescent="0.25">
      <c r="A8360" s="1" t="str">
        <f>"527224"</f>
        <v>527224</v>
      </c>
      <c r="B8360" s="2" t="str">
        <f>"CPU 1214 AC/DC/RL 6ES7214-1BG40-0XB0 - SIEMENS"</f>
        <v>CPU 1214 AC/DC/RL 6ES7214-1BG40-0XB0 - SIEMENS</v>
      </c>
      <c r="C8360" s="2" t="str">
        <f t="shared" si="321"/>
        <v>UN</v>
      </c>
      <c r="D8360" s="7">
        <v>811</v>
      </c>
      <c r="E8360" s="3">
        <v>8</v>
      </c>
      <c r="F8360" s="3">
        <v>8</v>
      </c>
      <c r="G8360" t="s">
        <v>512</v>
      </c>
    </row>
    <row r="8361" spans="1:7" x14ac:dyDescent="0.25">
      <c r="A8361" s="1" t="str">
        <f>"517859"</f>
        <v>517859</v>
      </c>
      <c r="B8361" s="2" t="str">
        <f>"CPU 226 DC/DC/DC 24 INPUT/16 OUTPUT 6ES7 216-2AD23-0XB0"</f>
        <v>CPU 226 DC/DC/DC 24 INPUT/16 OUTPUT 6ES7 216-2AD23-0XB0</v>
      </c>
      <c r="C8361" s="2" t="str">
        <f t="shared" si="321"/>
        <v>UN</v>
      </c>
      <c r="D8361" s="7">
        <v>811</v>
      </c>
      <c r="E8361" s="3">
        <v>8</v>
      </c>
      <c r="F8361" s="3">
        <v>8</v>
      </c>
      <c r="G8361" t="s">
        <v>516</v>
      </c>
    </row>
    <row r="8362" spans="1:7" x14ac:dyDescent="0.25">
      <c r="A8362" s="1" t="str">
        <f>"525199"</f>
        <v>525199</v>
      </c>
      <c r="B8362" s="2" t="str">
        <f>"CPU COMPACTLOGIX L36ERM-3MB MEM 2 PORTAS ETH.48 NOS ETH30EXP"</f>
        <v>CPU COMPACTLOGIX L36ERM-3MB MEM 2 PORTAS ETH.48 NOS ETH30EXP</v>
      </c>
      <c r="C8362" s="2" t="str">
        <f t="shared" si="321"/>
        <v>UN</v>
      </c>
      <c r="D8362" s="7">
        <v>811</v>
      </c>
      <c r="E8362" s="3">
        <v>8</v>
      </c>
      <c r="F8362" s="3">
        <v>8</v>
      </c>
      <c r="G8362" t="s">
        <v>515</v>
      </c>
    </row>
    <row r="8363" spans="1:7" x14ac:dyDescent="0.25">
      <c r="A8363" s="1" t="str">
        <f>"515517"</f>
        <v>515517</v>
      </c>
      <c r="B8363" s="2" t="str">
        <f>"CPU ET200S IM200S 128K"</f>
        <v>CPU ET200S IM200S 128K</v>
      </c>
      <c r="C8363" s="2" t="str">
        <f t="shared" si="321"/>
        <v>UN</v>
      </c>
      <c r="D8363" s="7">
        <v>811</v>
      </c>
      <c r="E8363" s="3">
        <v>8</v>
      </c>
      <c r="F8363" s="3">
        <v>8</v>
      </c>
      <c r="G8363" t="s">
        <v>514</v>
      </c>
    </row>
    <row r="8364" spans="1:7" x14ac:dyDescent="0.25">
      <c r="A8364" s="1" t="str">
        <f>"526798"</f>
        <v>526798</v>
      </c>
      <c r="B8364" s="2" t="str">
        <f>"CPU P/ CLP 1214C DC/DC/DC/ 6E7 214-1AG31-0XB0"</f>
        <v>CPU P/ CLP 1214C DC/DC/DC/ 6E7 214-1AG31-0XB0</v>
      </c>
      <c r="C8364" s="2" t="str">
        <f t="shared" si="321"/>
        <v>UN</v>
      </c>
      <c r="D8364" s="7">
        <v>811</v>
      </c>
      <c r="E8364" s="3">
        <v>8</v>
      </c>
      <c r="F8364" s="3">
        <v>8</v>
      </c>
      <c r="G8364" t="s">
        <v>512</v>
      </c>
    </row>
    <row r="8365" spans="1:7" x14ac:dyDescent="0.25">
      <c r="A8365" s="1" t="str">
        <f>"526532"</f>
        <v>526532</v>
      </c>
      <c r="B8365" s="2" t="str">
        <f>"CPU P/CLP 6ES7214 1AC00-OXB0 SIEMENS"</f>
        <v>CPU P/CLP 6ES7214 1AC00-OXB0 SIEMENS</v>
      </c>
      <c r="C8365" s="2" t="str">
        <f t="shared" si="321"/>
        <v>UN</v>
      </c>
      <c r="D8365" s="7">
        <v>811</v>
      </c>
      <c r="E8365" s="3">
        <v>8</v>
      </c>
      <c r="F8365" s="3">
        <v>8</v>
      </c>
      <c r="G8365" t="s">
        <v>513</v>
      </c>
    </row>
    <row r="8366" spans="1:7" x14ac:dyDescent="0.25">
      <c r="A8366" s="1" t="str">
        <f>"526793"</f>
        <v>526793</v>
      </c>
      <c r="B8366" s="2" t="str">
        <f>"CPU P/CLP S 7 1200 CPU 6ES7 214-1BG40-0XB0 SIEMENS"</f>
        <v>CPU P/CLP S 7 1200 CPU 6ES7 214-1BG40-0XB0 SIEMENS</v>
      </c>
      <c r="C8366" s="2" t="str">
        <f t="shared" si="321"/>
        <v>UN</v>
      </c>
      <c r="D8366" s="7">
        <v>811</v>
      </c>
      <c r="E8366" s="3">
        <v>8</v>
      </c>
      <c r="F8366" s="3">
        <v>8</v>
      </c>
      <c r="G8366" t="s">
        <v>514</v>
      </c>
    </row>
    <row r="8367" spans="1:7" x14ac:dyDescent="0.25">
      <c r="A8367" s="1" t="str">
        <f>"512409"</f>
        <v>512409</v>
      </c>
      <c r="B8367" s="2" t="str">
        <f>"CPU S5510BR PENTIUM E5300 4GB 500GB W7B"</f>
        <v>CPU S5510BR PENTIUM E5300 4GB 500GB W7B</v>
      </c>
      <c r="C8367" s="2" t="str">
        <f t="shared" si="321"/>
        <v>UN</v>
      </c>
      <c r="D8367" s="7">
        <v>401</v>
      </c>
      <c r="E8367" s="3">
        <v>4</v>
      </c>
      <c r="F8367" s="3">
        <v>4</v>
      </c>
      <c r="G8367" t="s">
        <v>514</v>
      </c>
    </row>
    <row r="8368" spans="1:7" x14ac:dyDescent="0.25">
      <c r="A8368" s="1" t="str">
        <f>"527646"</f>
        <v>527646</v>
      </c>
      <c r="B8368" s="2" t="str">
        <f>"CPU1215CAC/DC/RLY 14DI/10DO/2AI/2AO 6ES72151BG400XB0 SIEMENS"</f>
        <v>CPU1215CAC/DC/RLY 14DI/10DO/2AI/2AO 6ES72151BG400XB0 SIEMENS</v>
      </c>
      <c r="C8368" s="2" t="str">
        <f t="shared" si="321"/>
        <v>UN</v>
      </c>
      <c r="D8368" s="7">
        <v>811</v>
      </c>
      <c r="E8368" s="3">
        <v>8</v>
      </c>
      <c r="F8368" s="3">
        <v>8</v>
      </c>
      <c r="G8368" t="s">
        <v>512</v>
      </c>
    </row>
    <row r="8369" spans="1:7" x14ac:dyDescent="0.25">
      <c r="A8369" s="1" t="str">
        <f>"514515"</f>
        <v>514515</v>
      </c>
      <c r="B8369" s="2" t="str">
        <f>"CRACHAS"</f>
        <v>CRACHAS</v>
      </c>
      <c r="C8369" s="2" t="str">
        <f t="shared" si="321"/>
        <v>UN</v>
      </c>
      <c r="D8369" s="7">
        <v>401</v>
      </c>
      <c r="E8369" s="3">
        <v>4</v>
      </c>
      <c r="F8369" s="3">
        <v>4</v>
      </c>
      <c r="G8369" t="s">
        <v>513</v>
      </c>
    </row>
    <row r="8370" spans="1:7" x14ac:dyDescent="0.25">
      <c r="A8370" s="1" t="str">
        <f>"520720"</f>
        <v>520720</v>
      </c>
      <c r="B8370" s="2" t="str">
        <f>"CRAVO"</f>
        <v>CRAVO</v>
      </c>
      <c r="C8370" s="2" t="str">
        <f t="shared" si="321"/>
        <v>UN</v>
      </c>
      <c r="D8370" s="7">
        <v>99999</v>
      </c>
      <c r="E8370" s="3">
        <v>99</v>
      </c>
      <c r="F8370" s="3">
        <v>99</v>
      </c>
      <c r="G8370" t="s">
        <v>514</v>
      </c>
    </row>
    <row r="8371" spans="1:7" x14ac:dyDescent="0.25">
      <c r="A8371" s="1" t="str">
        <f>"509477"</f>
        <v>509477</v>
      </c>
      <c r="B8371" s="2" t="str">
        <f>"CREMALHEIRA EM FERRO FUNDIDO"</f>
        <v>CREMALHEIRA EM FERRO FUNDIDO</v>
      </c>
      <c r="C8371" s="2" t="str">
        <f t="shared" si="321"/>
        <v>UN</v>
      </c>
      <c r="D8371" s="7">
        <v>704</v>
      </c>
      <c r="E8371" s="3">
        <v>9</v>
      </c>
      <c r="F8371" s="3">
        <v>9</v>
      </c>
      <c r="G8371" t="s">
        <v>514</v>
      </c>
    </row>
    <row r="8372" spans="1:7" x14ac:dyDescent="0.25">
      <c r="A8372" s="1" t="str">
        <f>"526366"</f>
        <v>526366</v>
      </c>
      <c r="B8372" s="2" t="str">
        <f>"CREME"</f>
        <v>CREME</v>
      </c>
      <c r="C8372" s="2" t="str">
        <f t="shared" si="321"/>
        <v>UN</v>
      </c>
      <c r="D8372" s="7">
        <v>99999</v>
      </c>
      <c r="E8372" s="3">
        <v>99</v>
      </c>
      <c r="F8372" s="3">
        <v>99</v>
      </c>
      <c r="G8372" t="s">
        <v>514</v>
      </c>
    </row>
    <row r="8373" spans="1:7" x14ac:dyDescent="0.25">
      <c r="A8373" s="1" t="str">
        <f>"2650"</f>
        <v>2650</v>
      </c>
      <c r="B8373" s="2" t="str">
        <f>"CREME DE LEITE (COMPRA)"</f>
        <v>CREME DE LEITE (COMPRA)</v>
      </c>
      <c r="C8373" s="2" t="str">
        <f>"KG"</f>
        <v>KG</v>
      </c>
      <c r="D8373" s="7">
        <v>216</v>
      </c>
      <c r="E8373" s="3">
        <v>2</v>
      </c>
      <c r="F8373" s="3">
        <v>2</v>
      </c>
      <c r="G8373" t="s">
        <v>513</v>
      </c>
    </row>
    <row r="8374" spans="1:7" x14ac:dyDescent="0.25">
      <c r="A8374" s="1" t="str">
        <f>"218B"</f>
        <v>218B</v>
      </c>
      <c r="B8374" s="2" t="str">
        <f>"CREME DE LEITE 35% A 66% (TERCEIRIZADO)"</f>
        <v>CREME DE LEITE 35% A 66% (TERCEIRIZADO)</v>
      </c>
      <c r="C8374" s="2" t="str">
        <f>"KG"</f>
        <v>KG</v>
      </c>
      <c r="D8374" s="7">
        <v>216</v>
      </c>
      <c r="E8374" s="3">
        <v>7</v>
      </c>
      <c r="F8374" s="3">
        <v>7</v>
      </c>
      <c r="G8374" t="s">
        <v>512</v>
      </c>
    </row>
    <row r="8375" spans="1:7" x14ac:dyDescent="0.25">
      <c r="A8375" s="1" t="str">
        <f>"2552"</f>
        <v>2552</v>
      </c>
      <c r="B8375" s="2" t="str">
        <f>"CREME DE LEITE 35% A 66% (TERCEIRIZADO)"</f>
        <v>CREME DE LEITE 35% A 66% (TERCEIRIZADO)</v>
      </c>
      <c r="C8375" s="2" t="str">
        <f>"KG"</f>
        <v>KG</v>
      </c>
      <c r="D8375" s="7">
        <v>216</v>
      </c>
      <c r="E8375" s="3">
        <v>7</v>
      </c>
      <c r="F8375" s="3">
        <v>7</v>
      </c>
      <c r="G8375" t="s">
        <v>513</v>
      </c>
    </row>
    <row r="8376" spans="1:7" x14ac:dyDescent="0.25">
      <c r="A8376" s="1" t="str">
        <f>"108"</f>
        <v>108</v>
      </c>
      <c r="B8376" s="2" t="str">
        <f>"CREME DE LEITE 38% a 45% MG - PRODUCAO"</f>
        <v>CREME DE LEITE 38% a 45% MG - PRODUCAO</v>
      </c>
      <c r="C8376" s="2" t="str">
        <f>"KG"</f>
        <v>KG</v>
      </c>
      <c r="D8376" s="7">
        <v>1900</v>
      </c>
      <c r="E8376" s="3">
        <v>7</v>
      </c>
      <c r="F8376" s="3">
        <v>7</v>
      </c>
      <c r="G8376" t="s">
        <v>514</v>
      </c>
    </row>
    <row r="8377" spans="1:7" x14ac:dyDescent="0.25">
      <c r="A8377" s="1" t="str">
        <f>"404"</f>
        <v>404</v>
      </c>
      <c r="B8377" s="2" t="str">
        <f>"CREME DE LEITE DE 38%  A 66% DE GORDURA (EXTERNO)"</f>
        <v>CREME DE LEITE DE 38%  A 66% DE GORDURA (EXTERNO)</v>
      </c>
      <c r="C8377" s="2" t="str">
        <f>"KG"</f>
        <v>KG</v>
      </c>
      <c r="D8377" s="7">
        <v>216</v>
      </c>
      <c r="E8377" s="3">
        <v>2</v>
      </c>
      <c r="F8377" s="3">
        <v>2</v>
      </c>
      <c r="G8377" t="s">
        <v>514</v>
      </c>
    </row>
    <row r="8378" spans="1:7" x14ac:dyDescent="0.25">
      <c r="A8378" s="1" t="str">
        <f>"510877"</f>
        <v>510877</v>
      </c>
      <c r="B8378" s="2" t="str">
        <f>"CREME DE LEITE LIDER 200GR"</f>
        <v>CREME DE LEITE LIDER 200GR</v>
      </c>
      <c r="C8378" s="2" t="str">
        <f>"UN"</f>
        <v>UN</v>
      </c>
      <c r="D8378" s="7">
        <v>401</v>
      </c>
      <c r="E8378" s="3">
        <v>4</v>
      </c>
      <c r="F8378" s="3">
        <v>4</v>
      </c>
      <c r="G8378" t="s">
        <v>514</v>
      </c>
    </row>
    <row r="8379" spans="1:7" x14ac:dyDescent="0.25">
      <c r="A8379" s="1" t="str">
        <f>"2551"</f>
        <v>2551</v>
      </c>
      <c r="B8379" s="2" t="str">
        <f>"CREME DE LEITE MG -  PRODUCAO PROPRIA"</f>
        <v>CREME DE LEITE MG -  PRODUCAO PROPRIA</v>
      </c>
      <c r="C8379" s="2" t="str">
        <f>"KG"</f>
        <v>KG</v>
      </c>
      <c r="D8379" s="7">
        <v>216</v>
      </c>
      <c r="E8379" s="3">
        <v>2</v>
      </c>
      <c r="F8379" s="3">
        <v>2</v>
      </c>
      <c r="G8379" t="s">
        <v>513</v>
      </c>
    </row>
    <row r="8380" spans="1:7" x14ac:dyDescent="0.25">
      <c r="A8380" s="1" t="str">
        <f>"226B"</f>
        <v>226B</v>
      </c>
      <c r="B8380" s="2" t="str">
        <f>"CREME DE LEITE MG 66%  PRODUCAO PROPRIA"</f>
        <v>CREME DE LEITE MG 66%  PRODUCAO PROPRIA</v>
      </c>
      <c r="C8380" s="2" t="str">
        <f>"KG"</f>
        <v>KG</v>
      </c>
      <c r="D8380" s="7">
        <v>216</v>
      </c>
      <c r="E8380" s="3">
        <v>2</v>
      </c>
      <c r="F8380" s="3">
        <v>2</v>
      </c>
      <c r="G8380" t="s">
        <v>513</v>
      </c>
    </row>
    <row r="8381" spans="1:7" x14ac:dyDescent="0.25">
      <c r="A8381" s="1" t="str">
        <f>"429"</f>
        <v>429</v>
      </c>
      <c r="B8381" s="2" t="str">
        <f>"CREME DE LEITE PARA USO INDUSTRIAL"</f>
        <v>CREME DE LEITE PARA USO INDUSTRIAL</v>
      </c>
      <c r="C8381" s="2" t="str">
        <f>"KG"</f>
        <v>KG</v>
      </c>
      <c r="D8381" s="7">
        <v>216</v>
      </c>
      <c r="E8381" s="3">
        <v>2</v>
      </c>
      <c r="F8381" s="3">
        <v>2</v>
      </c>
      <c r="G8381" t="s">
        <v>513</v>
      </c>
    </row>
    <row r="8382" spans="1:7" x14ac:dyDescent="0.25">
      <c r="A8382" s="1" t="str">
        <f>"3500"</f>
        <v>3500</v>
      </c>
      <c r="B8382" s="2" t="str">
        <f>"CREME DE LEITE PASTEURIZADO ( NATA) 270 G"</f>
        <v>CREME DE LEITE PASTEURIZADO ( NATA) 270 G</v>
      </c>
      <c r="C8382" s="2" t="str">
        <f t="shared" ref="C8382:C8394" si="322">"UN"</f>
        <v>UN</v>
      </c>
      <c r="D8382" s="7">
        <v>31</v>
      </c>
      <c r="E8382" s="3">
        <v>6</v>
      </c>
      <c r="F8382" s="3">
        <v>6</v>
      </c>
      <c r="G8382" t="s">
        <v>512</v>
      </c>
    </row>
    <row r="8383" spans="1:7" x14ac:dyDescent="0.25">
      <c r="A8383" s="1" t="str">
        <f>"522332"</f>
        <v>522332</v>
      </c>
      <c r="B8383" s="2" t="str">
        <f>"CREME PROT. ESP. AGUA, OLEO, PINTURA G3 CA10931 MAVARO 200GR"</f>
        <v>CREME PROT. ESP. AGUA, OLEO, PINTURA G3 CA10931 MAVARO 200GR</v>
      </c>
      <c r="C8383" s="2" t="str">
        <f t="shared" si="322"/>
        <v>UN</v>
      </c>
      <c r="D8383" s="7">
        <v>501</v>
      </c>
      <c r="E8383" s="3">
        <v>4</v>
      </c>
      <c r="F8383" s="3">
        <v>4</v>
      </c>
      <c r="G8383" t="s">
        <v>513</v>
      </c>
    </row>
    <row r="8384" spans="1:7" x14ac:dyDescent="0.25">
      <c r="A8384" s="1" t="str">
        <f>"509156"</f>
        <v>509156</v>
      </c>
      <c r="B8384" s="2" t="str">
        <f>"CRIOSCOPIO ELET DIGITAL MC5400 ITR"</f>
        <v>CRIOSCOPIO ELET DIGITAL MC5400 ITR</v>
      </c>
      <c r="C8384" s="2" t="str">
        <f t="shared" si="322"/>
        <v>UN</v>
      </c>
      <c r="D8384" s="7">
        <v>406</v>
      </c>
      <c r="E8384" s="3">
        <v>4</v>
      </c>
      <c r="F8384" s="3">
        <v>4</v>
      </c>
      <c r="G8384" t="s">
        <v>514</v>
      </c>
    </row>
    <row r="8385" spans="1:7" x14ac:dyDescent="0.25">
      <c r="A8385" s="1" t="str">
        <f>"509157"</f>
        <v>509157</v>
      </c>
      <c r="B8385" s="2" t="str">
        <f>"CRIOSCOPIO ELET MC5400 FLEX PORTATIL ITR"</f>
        <v>CRIOSCOPIO ELET MC5400 FLEX PORTATIL ITR</v>
      </c>
      <c r="C8385" s="2" t="str">
        <f t="shared" si="322"/>
        <v>UN</v>
      </c>
      <c r="D8385" s="7">
        <v>406</v>
      </c>
      <c r="E8385" s="3">
        <v>4</v>
      </c>
      <c r="F8385" s="3">
        <v>4</v>
      </c>
      <c r="G8385" t="s">
        <v>515</v>
      </c>
    </row>
    <row r="8386" spans="1:7" x14ac:dyDescent="0.25">
      <c r="A8386" s="1" t="str">
        <f>"515302"</f>
        <v>515302</v>
      </c>
      <c r="B8386" s="2" t="str">
        <f>"CRIOSCOPIO LAKTRON"</f>
        <v>CRIOSCOPIO LAKTRON</v>
      </c>
      <c r="C8386" s="2" t="str">
        <f t="shared" si="322"/>
        <v>UN</v>
      </c>
      <c r="D8386" s="7">
        <v>1300</v>
      </c>
      <c r="E8386" s="3">
        <v>13</v>
      </c>
      <c r="F8386" s="3">
        <v>13</v>
      </c>
      <c r="G8386" t="s">
        <v>512</v>
      </c>
    </row>
    <row r="8387" spans="1:7" x14ac:dyDescent="0.25">
      <c r="A8387" s="1" t="str">
        <f>"525476"</f>
        <v>525476</v>
      </c>
      <c r="B8387" s="2" t="str">
        <f>"CRIOSCÓPIO MICROPROCESSADO PZL-7000 BL"</f>
        <v>CRIOSCÓPIO MICROPROCESSADO PZL-7000 BL</v>
      </c>
      <c r="C8387" s="2" t="str">
        <f t="shared" si="322"/>
        <v>UN</v>
      </c>
      <c r="D8387" s="7">
        <v>1300</v>
      </c>
      <c r="E8387" s="3">
        <v>13</v>
      </c>
      <c r="F8387" s="3">
        <v>13</v>
      </c>
      <c r="G8387" t="s">
        <v>516</v>
      </c>
    </row>
    <row r="8388" spans="1:7" x14ac:dyDescent="0.25">
      <c r="A8388" s="1" t="str">
        <f>"517898"</f>
        <v>517898</v>
      </c>
      <c r="B8388" s="2" t="str">
        <f>"CRIOSCOPIO MK540L"</f>
        <v>CRIOSCOPIO MK540L</v>
      </c>
      <c r="C8388" s="2" t="str">
        <f t="shared" si="322"/>
        <v>UN</v>
      </c>
      <c r="D8388" s="7">
        <v>406</v>
      </c>
      <c r="E8388" s="3">
        <v>4</v>
      </c>
      <c r="F8388" s="3">
        <v>4</v>
      </c>
      <c r="G8388" t="s">
        <v>515</v>
      </c>
    </row>
    <row r="8389" spans="1:7" x14ac:dyDescent="0.25">
      <c r="A8389" s="1" t="str">
        <f>"524869"</f>
        <v>524869</v>
      </c>
      <c r="B8389" s="2" t="str">
        <f>"CRISTALIZADOR DE PARABRISA"</f>
        <v>CRISTALIZADOR DE PARABRISA</v>
      </c>
      <c r="C8389" s="2" t="str">
        <f t="shared" si="322"/>
        <v>UN</v>
      </c>
      <c r="D8389" s="7">
        <v>99999</v>
      </c>
      <c r="E8389" s="3">
        <v>99</v>
      </c>
      <c r="F8389" s="3">
        <v>99</v>
      </c>
      <c r="G8389" t="s">
        <v>514</v>
      </c>
    </row>
    <row r="8390" spans="1:7" x14ac:dyDescent="0.25">
      <c r="A8390" s="1" t="str">
        <f>"514832"</f>
        <v>514832</v>
      </c>
      <c r="B8390" s="2" t="str">
        <f>"CROMATO DE POTASSIO 5%"</f>
        <v>CROMATO DE POTASSIO 5%</v>
      </c>
      <c r="C8390" s="2" t="str">
        <f t="shared" si="322"/>
        <v>UN</v>
      </c>
      <c r="D8390" s="7">
        <v>406</v>
      </c>
      <c r="E8390" s="3">
        <v>4</v>
      </c>
      <c r="F8390" s="3">
        <v>4</v>
      </c>
      <c r="G8390" t="s">
        <v>512</v>
      </c>
    </row>
    <row r="8391" spans="1:7" x14ac:dyDescent="0.25">
      <c r="A8391" s="1" t="str">
        <f>"517665"</f>
        <v>517665</v>
      </c>
      <c r="B8391" s="2" t="str">
        <f>"CRONOMETRO DIGITAL"</f>
        <v>CRONOMETRO DIGITAL</v>
      </c>
      <c r="C8391" s="2" t="str">
        <f t="shared" si="322"/>
        <v>UN</v>
      </c>
      <c r="D8391" s="7">
        <v>99999</v>
      </c>
      <c r="E8391" s="3">
        <v>99</v>
      </c>
      <c r="F8391" s="3">
        <v>99</v>
      </c>
      <c r="G8391" t="s">
        <v>513</v>
      </c>
    </row>
    <row r="8392" spans="1:7" x14ac:dyDescent="0.25">
      <c r="A8392" s="1" t="str">
        <f>"513622"</f>
        <v>513622</v>
      </c>
      <c r="B8392" s="2" t="str">
        <f>"CRONOMETRO DIGITAL MÃO 0-30MIN 1100 CALIBRADO"</f>
        <v>CRONOMETRO DIGITAL MÃO 0-30MIN 1100 CALIBRADO</v>
      </c>
      <c r="C8392" s="2" t="str">
        <f t="shared" si="322"/>
        <v>UN</v>
      </c>
      <c r="D8392" s="7">
        <v>406</v>
      </c>
      <c r="E8392" s="3">
        <v>13</v>
      </c>
      <c r="F8392" s="3">
        <v>13</v>
      </c>
      <c r="G8392" t="s">
        <v>514</v>
      </c>
    </row>
    <row r="8393" spans="1:7" x14ac:dyDescent="0.25">
      <c r="A8393" s="1" t="str">
        <f>"508979"</f>
        <v>508979</v>
      </c>
      <c r="B8393" s="2" t="str">
        <f>"CRONOMETRO DIGITAL MOD CD-2800"</f>
        <v>CRONOMETRO DIGITAL MOD CD-2800</v>
      </c>
      <c r="C8393" s="2" t="str">
        <f t="shared" si="322"/>
        <v>UN</v>
      </c>
      <c r="D8393" s="7">
        <v>406</v>
      </c>
      <c r="E8393" s="3">
        <v>4</v>
      </c>
      <c r="F8393" s="3">
        <v>4</v>
      </c>
      <c r="G8393" t="s">
        <v>514</v>
      </c>
    </row>
    <row r="8394" spans="1:7" x14ac:dyDescent="0.25">
      <c r="A8394" s="1" t="str">
        <f>"510437"</f>
        <v>510437</v>
      </c>
      <c r="B8394" s="2" t="str">
        <f>"CRUZ DE MALTA 12 DIVISOES"</f>
        <v>CRUZ DE MALTA 12 DIVISOES</v>
      </c>
      <c r="C8394" s="2" t="str">
        <f t="shared" si="322"/>
        <v>UN</v>
      </c>
      <c r="D8394" s="7">
        <v>918</v>
      </c>
      <c r="E8394" s="3">
        <v>11</v>
      </c>
      <c r="F8394" s="3">
        <v>11</v>
      </c>
      <c r="G8394" t="s">
        <v>512</v>
      </c>
    </row>
    <row r="8395" spans="1:7" x14ac:dyDescent="0.25">
      <c r="A8395" s="1" t="str">
        <f>"512240"</f>
        <v>512240</v>
      </c>
      <c r="B8395" s="2" t="str">
        <f>"CRUZ DE MALTA BRASKOP 5000"</f>
        <v>CRUZ DE MALTA BRASKOP 5000</v>
      </c>
      <c r="C8395" s="2" t="str">
        <f>"PC"</f>
        <v>PC</v>
      </c>
      <c r="D8395" s="7">
        <v>918</v>
      </c>
      <c r="E8395" s="3">
        <v>11</v>
      </c>
      <c r="F8395" s="3">
        <v>11</v>
      </c>
      <c r="G8395" t="s">
        <v>513</v>
      </c>
    </row>
    <row r="8396" spans="1:7" x14ac:dyDescent="0.25">
      <c r="A8396" s="1" t="str">
        <f>"505388"</f>
        <v>505388</v>
      </c>
      <c r="B8396" s="2" t="str">
        <f>"CRUZ DE MALTA DES 20213"</f>
        <v>CRUZ DE MALTA DES 20213</v>
      </c>
      <c r="C8396" s="2" t="str">
        <f t="shared" ref="C8396:C8407" si="323">"UN"</f>
        <v>UN</v>
      </c>
      <c r="D8396" s="7">
        <v>918</v>
      </c>
      <c r="E8396" s="3">
        <v>11</v>
      </c>
      <c r="F8396" s="3">
        <v>11</v>
      </c>
      <c r="G8396" t="s">
        <v>514</v>
      </c>
    </row>
    <row r="8397" spans="1:7" x14ac:dyDescent="0.25">
      <c r="A8397" s="1" t="str">
        <f>"512815"</f>
        <v>512815</v>
      </c>
      <c r="B8397" s="2" t="str">
        <f>"CRUZ MALTA 12 DIV DP390 D26626"</f>
        <v>CRUZ MALTA 12 DIV DP390 D26626</v>
      </c>
      <c r="C8397" s="2" t="str">
        <f t="shared" si="323"/>
        <v>UN</v>
      </c>
      <c r="D8397" s="7">
        <v>918</v>
      </c>
      <c r="E8397" s="3">
        <v>11</v>
      </c>
      <c r="F8397" s="3">
        <v>11</v>
      </c>
      <c r="G8397" t="s">
        <v>514</v>
      </c>
    </row>
    <row r="8398" spans="1:7" x14ac:dyDescent="0.25">
      <c r="A8398" s="1" t="str">
        <f>"523195"</f>
        <v>523195</v>
      </c>
      <c r="B8398" s="2" t="str">
        <f>"CRUZ. H. AI DC 50X50MM"</f>
        <v>CRUZ. H. AI DC 50X50MM</v>
      </c>
      <c r="C8398" s="2" t="str">
        <f t="shared" si="323"/>
        <v>UN</v>
      </c>
      <c r="D8398" s="7">
        <v>811</v>
      </c>
      <c r="E8398" s="3">
        <v>8</v>
      </c>
      <c r="F8398" s="3">
        <v>8</v>
      </c>
      <c r="G8398" t="s">
        <v>514</v>
      </c>
    </row>
    <row r="8399" spans="1:7" x14ac:dyDescent="0.25">
      <c r="A8399" s="1" t="str">
        <f>"522868"</f>
        <v>522868</v>
      </c>
      <c r="B8399" s="2" t="str">
        <f>"CRUZ. V.I.45º AI DC 50X50MM"</f>
        <v>CRUZ. V.I.45º AI DC 50X50MM</v>
      </c>
      <c r="C8399" s="2" t="str">
        <f t="shared" si="323"/>
        <v>UN</v>
      </c>
      <c r="D8399" s="7">
        <v>811</v>
      </c>
      <c r="E8399" s="3">
        <v>8</v>
      </c>
      <c r="F8399" s="3">
        <v>8</v>
      </c>
      <c r="G8399" t="s">
        <v>513</v>
      </c>
    </row>
    <row r="8400" spans="1:7" x14ac:dyDescent="0.25">
      <c r="A8400" s="1" t="str">
        <f>"513369"</f>
        <v>513369</v>
      </c>
      <c r="B8400" s="2" t="str">
        <f>"CRUZETA"</f>
        <v>CRUZETA</v>
      </c>
      <c r="C8400" s="2" t="str">
        <f t="shared" si="323"/>
        <v>UN</v>
      </c>
      <c r="D8400" s="7">
        <v>704</v>
      </c>
      <c r="E8400" s="3">
        <v>9</v>
      </c>
      <c r="F8400" s="3">
        <v>9</v>
      </c>
      <c r="G8400" t="s">
        <v>512</v>
      </c>
    </row>
    <row r="8401" spans="1:7" x14ac:dyDescent="0.25">
      <c r="A8401" s="1" t="str">
        <f>"501577"</f>
        <v>501577</v>
      </c>
      <c r="B8401" s="2" t="str">
        <f>"CRUZETA 22X39 U- JOINT"</f>
        <v>CRUZETA 22X39 U- JOINT</v>
      </c>
      <c r="C8401" s="2" t="str">
        <f t="shared" si="323"/>
        <v>UN</v>
      </c>
      <c r="D8401" s="7">
        <v>704</v>
      </c>
      <c r="E8401" s="3">
        <v>9</v>
      </c>
      <c r="F8401" s="3">
        <v>9</v>
      </c>
      <c r="G8401" t="s">
        <v>513</v>
      </c>
    </row>
    <row r="8402" spans="1:7" x14ac:dyDescent="0.25">
      <c r="A8402" s="1" t="str">
        <f>"515925"</f>
        <v>515925</v>
      </c>
      <c r="B8402" s="2" t="str">
        <f>"CRUZETA CARDA YA105015-00 EMP. FG-25"</f>
        <v>CRUZETA CARDA YA105015-00 EMP. FG-25</v>
      </c>
      <c r="C8402" s="2" t="str">
        <f t="shared" si="323"/>
        <v>UN</v>
      </c>
      <c r="D8402" s="7">
        <v>99999</v>
      </c>
      <c r="E8402" s="3">
        <v>99</v>
      </c>
      <c r="F8402" s="3">
        <v>99</v>
      </c>
      <c r="G8402" t="s">
        <v>514</v>
      </c>
    </row>
    <row r="8403" spans="1:7" x14ac:dyDescent="0.25">
      <c r="A8403" s="1" t="str">
        <f>"512886"</f>
        <v>512886</v>
      </c>
      <c r="B8403" s="2" t="str">
        <f>"CRUZETA CARDAN 1938/2638 SPL-250X"</f>
        <v>CRUZETA CARDAN 1938/2638 SPL-250X</v>
      </c>
      <c r="C8403" s="2" t="str">
        <f t="shared" si="323"/>
        <v>UN</v>
      </c>
      <c r="D8403" s="7">
        <v>918</v>
      </c>
      <c r="E8403" s="3">
        <v>11</v>
      </c>
      <c r="F8403" s="3">
        <v>11</v>
      </c>
      <c r="G8403" t="s">
        <v>514</v>
      </c>
    </row>
    <row r="8404" spans="1:7" x14ac:dyDescent="0.25">
      <c r="A8404" s="1" t="str">
        <f>"514247"</f>
        <v>514247</v>
      </c>
      <c r="B8404" s="2" t="str">
        <f>"CRUZETA CARDAN 3-2-1139"</f>
        <v>CRUZETA CARDAN 3-2-1139</v>
      </c>
      <c r="C8404" s="2" t="str">
        <f t="shared" si="323"/>
        <v>UN</v>
      </c>
      <c r="D8404" s="7">
        <v>918</v>
      </c>
      <c r="E8404" s="3">
        <v>11</v>
      </c>
      <c r="F8404" s="3">
        <v>11</v>
      </c>
      <c r="G8404" t="s">
        <v>514</v>
      </c>
    </row>
    <row r="8405" spans="1:7" x14ac:dyDescent="0.25">
      <c r="A8405" s="1" t="str">
        <f>"516884"</f>
        <v>516884</v>
      </c>
      <c r="B8405" s="2" t="str">
        <f>"CRUZETA CARDAN CZ-227"</f>
        <v>CRUZETA CARDAN CZ-227</v>
      </c>
      <c r="C8405" s="2" t="str">
        <f t="shared" si="323"/>
        <v>UN</v>
      </c>
      <c r="D8405" s="7">
        <v>918</v>
      </c>
      <c r="E8405" s="3">
        <v>11</v>
      </c>
      <c r="F8405" s="3">
        <v>11</v>
      </c>
      <c r="G8405" t="s">
        <v>513</v>
      </c>
    </row>
    <row r="8406" spans="1:7" x14ac:dyDescent="0.25">
      <c r="A8406" s="1" t="str">
        <f>"520510"</f>
        <v>520510</v>
      </c>
      <c r="B8406" s="2" t="str">
        <f>"CRUZETA CC36"</f>
        <v>CRUZETA CC36</v>
      </c>
      <c r="C8406" s="2" t="str">
        <f t="shared" si="323"/>
        <v>UN</v>
      </c>
      <c r="D8406" s="7">
        <v>812</v>
      </c>
      <c r="E8406" s="3">
        <v>11</v>
      </c>
      <c r="F8406" s="3">
        <v>11</v>
      </c>
      <c r="G8406" t="s">
        <v>513</v>
      </c>
    </row>
    <row r="8407" spans="1:7" x14ac:dyDescent="0.25">
      <c r="A8407" s="1" t="str">
        <f>"524515"</f>
        <v>524515</v>
      </c>
      <c r="B8407" s="2" t="str">
        <f>"CRUZETA DE LIGAÇÃO BOMBA SANITARIA"</f>
        <v>CRUZETA DE LIGAÇÃO BOMBA SANITARIA</v>
      </c>
      <c r="C8407" s="2" t="str">
        <f t="shared" si="323"/>
        <v>UN</v>
      </c>
      <c r="D8407" s="7">
        <v>906</v>
      </c>
      <c r="E8407" s="3">
        <v>10</v>
      </c>
      <c r="F8407" s="3">
        <v>10</v>
      </c>
      <c r="G8407" t="s">
        <v>513</v>
      </c>
    </row>
    <row r="8408" spans="1:7" x14ac:dyDescent="0.25">
      <c r="A8408" s="1" t="str">
        <f>"509922"</f>
        <v>509922</v>
      </c>
      <c r="B8408" s="2" t="str">
        <f>"CRUZETA DIREÇAO EMP. TOYOTA FBRE15"</f>
        <v>CRUZETA DIREÇAO EMP. TOYOTA FBRE15</v>
      </c>
      <c r="C8408" s="2" t="str">
        <f>"PC"</f>
        <v>PC</v>
      </c>
      <c r="D8408" s="7">
        <v>918</v>
      </c>
      <c r="E8408" s="3">
        <v>11</v>
      </c>
      <c r="F8408" s="3">
        <v>11</v>
      </c>
      <c r="G8408" t="s">
        <v>512</v>
      </c>
    </row>
    <row r="8409" spans="1:7" x14ac:dyDescent="0.25">
      <c r="A8409" s="1" t="str">
        <f>"524229"</f>
        <v>524229</v>
      </c>
      <c r="B8409" s="2" t="str">
        <f>"CRUZETA HORIZONTAL 50X50MM 90º"</f>
        <v>CRUZETA HORIZONTAL 50X50MM 90º</v>
      </c>
      <c r="C8409" s="2" t="str">
        <f t="shared" ref="C8409:C8418" si="324">"UN"</f>
        <v>UN</v>
      </c>
      <c r="D8409" s="7">
        <v>811</v>
      </c>
      <c r="E8409" s="3">
        <v>8</v>
      </c>
      <c r="F8409" s="3">
        <v>8</v>
      </c>
      <c r="G8409" t="s">
        <v>513</v>
      </c>
    </row>
    <row r="8410" spans="1:7" x14ac:dyDescent="0.25">
      <c r="A8410" s="1" t="str">
        <f>"520508"</f>
        <v>520508</v>
      </c>
      <c r="B8410" s="2" t="str">
        <f>"CRUZETA JUNTA UNIVERSAL"</f>
        <v>CRUZETA JUNTA UNIVERSAL</v>
      </c>
      <c r="C8410" s="2" t="str">
        <f t="shared" si="324"/>
        <v>UN</v>
      </c>
      <c r="D8410" s="7">
        <v>812</v>
      </c>
      <c r="E8410" s="3">
        <v>11</v>
      </c>
      <c r="F8410" s="3">
        <v>11</v>
      </c>
      <c r="G8410" t="s">
        <v>514</v>
      </c>
    </row>
    <row r="8411" spans="1:7" x14ac:dyDescent="0.25">
      <c r="A8411" s="1" t="str">
        <f>"521031"</f>
        <v>521031</v>
      </c>
      <c r="B8411" s="2" t="str">
        <f>"CS 1 X 1 INOX 304"</f>
        <v>CS 1 X 1 INOX 304</v>
      </c>
      <c r="C8411" s="2" t="str">
        <f t="shared" si="324"/>
        <v>UN</v>
      </c>
      <c r="D8411" s="7">
        <v>913</v>
      </c>
      <c r="E8411" s="3">
        <v>10</v>
      </c>
      <c r="F8411" s="3">
        <v>10</v>
      </c>
      <c r="G8411" t="s">
        <v>515</v>
      </c>
    </row>
    <row r="8412" spans="1:7" x14ac:dyDescent="0.25">
      <c r="A8412" s="1" t="str">
        <f>"518374"</f>
        <v>518374</v>
      </c>
      <c r="B8412" s="2" t="str">
        <f>"CSLL/IRPJ"</f>
        <v>CSLL/IRPJ</v>
      </c>
      <c r="C8412" s="2" t="str">
        <f t="shared" si="324"/>
        <v>UN</v>
      </c>
      <c r="D8412" s="7">
        <v>99999</v>
      </c>
      <c r="E8412" s="3">
        <v>99</v>
      </c>
      <c r="F8412" s="3">
        <v>99</v>
      </c>
      <c r="G8412" t="s">
        <v>512</v>
      </c>
    </row>
    <row r="8413" spans="1:7" x14ac:dyDescent="0.25">
      <c r="A8413" s="1" t="str">
        <f>"518486"</f>
        <v>518486</v>
      </c>
      <c r="B8413" s="2" t="str">
        <f>"CUBA EMBUTIR UNIV. OVAL 49X36 DECA"</f>
        <v>CUBA EMBUTIR UNIV. OVAL 49X36 DECA</v>
      </c>
      <c r="C8413" s="2" t="str">
        <f t="shared" si="324"/>
        <v>UN</v>
      </c>
      <c r="D8413" s="7">
        <v>917</v>
      </c>
      <c r="E8413" s="3">
        <v>4</v>
      </c>
      <c r="F8413" s="3">
        <v>4</v>
      </c>
      <c r="G8413" t="s">
        <v>516</v>
      </c>
    </row>
    <row r="8414" spans="1:7" x14ac:dyDescent="0.25">
      <c r="A8414" s="1" t="str">
        <f>"524895"</f>
        <v>524895</v>
      </c>
      <c r="B8414" s="2" t="str">
        <f>"CUBA RIM DE INOX (700 ML)"</f>
        <v>CUBA RIM DE INOX (700 ML)</v>
      </c>
      <c r="C8414" s="2" t="str">
        <f t="shared" si="324"/>
        <v>UN</v>
      </c>
      <c r="D8414" s="7">
        <v>99999</v>
      </c>
      <c r="E8414" s="3">
        <v>99</v>
      </c>
      <c r="F8414" s="3">
        <v>99</v>
      </c>
      <c r="G8414" t="s">
        <v>515</v>
      </c>
    </row>
    <row r="8415" spans="1:7" x14ac:dyDescent="0.25">
      <c r="A8415" s="1" t="str">
        <f>"523268"</f>
        <v>523268</v>
      </c>
      <c r="B8415" s="2" t="str">
        <f>"CUBETA 10ML P/ TU20 16/AK530"</f>
        <v>CUBETA 10ML P/ TU20 16/AK530</v>
      </c>
      <c r="C8415" s="2" t="str">
        <f t="shared" si="324"/>
        <v>UN</v>
      </c>
      <c r="D8415" s="7">
        <v>817</v>
      </c>
      <c r="E8415" s="3">
        <v>4</v>
      </c>
      <c r="F8415" s="3">
        <v>4</v>
      </c>
      <c r="G8415" t="s">
        <v>514</v>
      </c>
    </row>
    <row r="8416" spans="1:7" x14ac:dyDescent="0.25">
      <c r="A8416" s="1" t="str">
        <f>"524072"</f>
        <v>524072</v>
      </c>
      <c r="B8416" s="2" t="str">
        <f>"CUBETA ESPECTROFOMETRO MILKOSCAN FT2"</f>
        <v>CUBETA ESPECTROFOMETRO MILKOSCAN FT2</v>
      </c>
      <c r="C8416" s="2" t="str">
        <f t="shared" si="324"/>
        <v>UN</v>
      </c>
      <c r="D8416" s="7">
        <v>99999</v>
      </c>
      <c r="E8416" s="3">
        <v>99</v>
      </c>
      <c r="F8416" s="3">
        <v>99</v>
      </c>
      <c r="G8416" t="s">
        <v>512</v>
      </c>
    </row>
    <row r="8417" spans="1:7" x14ac:dyDescent="0.25">
      <c r="A8417" s="1" t="str">
        <f>"501753"</f>
        <v>501753</v>
      </c>
      <c r="B8417" s="2" t="str">
        <f>"CUBO"</f>
        <v>CUBO</v>
      </c>
      <c r="C8417" s="2" t="str">
        <f t="shared" si="324"/>
        <v>UN</v>
      </c>
      <c r="D8417" s="7">
        <v>704</v>
      </c>
      <c r="E8417" s="3">
        <v>9</v>
      </c>
      <c r="F8417" s="3">
        <v>9</v>
      </c>
      <c r="G8417" t="s">
        <v>513</v>
      </c>
    </row>
    <row r="8418" spans="1:7" x14ac:dyDescent="0.25">
      <c r="A8418" s="1" t="str">
        <f>"519850"</f>
        <v>519850</v>
      </c>
      <c r="B8418" s="2" t="str">
        <f>"CUBO BRONZE REDUTOR ESTEIRA"</f>
        <v>CUBO BRONZE REDUTOR ESTEIRA</v>
      </c>
      <c r="C8418" s="2" t="str">
        <f t="shared" si="324"/>
        <v>UN</v>
      </c>
      <c r="D8418" s="7">
        <v>918</v>
      </c>
      <c r="E8418" s="3">
        <v>11</v>
      </c>
      <c r="F8418" s="3">
        <v>11</v>
      </c>
      <c r="G8418" t="s">
        <v>514</v>
      </c>
    </row>
    <row r="8419" spans="1:7" x14ac:dyDescent="0.25">
      <c r="A8419" s="1" t="str">
        <f>"527311"</f>
        <v>527311</v>
      </c>
      <c r="B8419" s="2" t="str">
        <f>"CUBO DA ENGRENAGEM"</f>
        <v>CUBO DA ENGRENAGEM</v>
      </c>
      <c r="C8419" s="2" t="str">
        <f>"PC"</f>
        <v>PC</v>
      </c>
      <c r="D8419" s="7">
        <v>918</v>
      </c>
      <c r="E8419" s="3">
        <v>11</v>
      </c>
      <c r="F8419" s="3">
        <v>11</v>
      </c>
      <c r="G8419" t="s">
        <v>514</v>
      </c>
    </row>
    <row r="8420" spans="1:7" x14ac:dyDescent="0.25">
      <c r="A8420" s="1" t="str">
        <f>"504979"</f>
        <v>504979</v>
      </c>
      <c r="B8420" s="2" t="str">
        <f>"CUBO DISCO ARO 22"</f>
        <v>CUBO DISCO ARO 22</v>
      </c>
      <c r="C8420" s="2" t="str">
        <f t="shared" ref="C8420:C8428" si="325">"UN"</f>
        <v>UN</v>
      </c>
      <c r="D8420" s="7">
        <v>704</v>
      </c>
      <c r="E8420" s="3">
        <v>9</v>
      </c>
      <c r="F8420" s="3">
        <v>9</v>
      </c>
      <c r="G8420" t="s">
        <v>512</v>
      </c>
    </row>
    <row r="8421" spans="1:7" x14ac:dyDescent="0.25">
      <c r="A8421" s="1" t="str">
        <f>"506954"</f>
        <v>506954</v>
      </c>
      <c r="B8421" s="2" t="str">
        <f>"CUBO EMPILHADEIRA COD. 44112-11460-40"</f>
        <v>CUBO EMPILHADEIRA COD. 44112-11460-40</v>
      </c>
      <c r="C8421" s="2" t="str">
        <f t="shared" si="325"/>
        <v>UN</v>
      </c>
      <c r="D8421" s="7">
        <v>918</v>
      </c>
      <c r="E8421" s="3">
        <v>11</v>
      </c>
      <c r="F8421" s="3">
        <v>11</v>
      </c>
      <c r="G8421" t="s">
        <v>513</v>
      </c>
    </row>
    <row r="8422" spans="1:7" x14ac:dyDescent="0.25">
      <c r="A8422" s="1" t="str">
        <f>"521184"</f>
        <v>521184</v>
      </c>
      <c r="B8422" s="2" t="str">
        <f>"CUBO ENTALHADO (42) M04 CARCAÇA 71"</f>
        <v>CUBO ENTALHADO (42) M04 CARCAÇA 71</v>
      </c>
      <c r="C8422" s="2" t="str">
        <f t="shared" si="325"/>
        <v>UN</v>
      </c>
      <c r="D8422" s="7">
        <v>918</v>
      </c>
      <c r="E8422" s="3">
        <v>11</v>
      </c>
      <c r="F8422" s="3">
        <v>11</v>
      </c>
      <c r="G8422" t="s">
        <v>514</v>
      </c>
    </row>
    <row r="8423" spans="1:7" x14ac:dyDescent="0.25">
      <c r="A8423" s="1" t="str">
        <f>"515053"</f>
        <v>515053</v>
      </c>
      <c r="B8423" s="2" t="str">
        <f>"CUICA SPRING 30 X 30"</f>
        <v>CUICA SPRING 30 X 30</v>
      </c>
      <c r="C8423" s="2" t="str">
        <f t="shared" si="325"/>
        <v>UN</v>
      </c>
      <c r="D8423" s="7">
        <v>704</v>
      </c>
      <c r="E8423" s="3">
        <v>9</v>
      </c>
      <c r="F8423" s="3">
        <v>9</v>
      </c>
      <c r="G8423" t="s">
        <v>514</v>
      </c>
    </row>
    <row r="8424" spans="1:7" x14ac:dyDescent="0.25">
      <c r="A8424" s="1" t="str">
        <f>"512124"</f>
        <v>512124</v>
      </c>
      <c r="B8424" s="2" t="str">
        <f>"CULLER 130X130MM C/ FILTRO COD.96110"</f>
        <v>CULLER 130X130MM C/ FILTRO COD.96110</v>
      </c>
      <c r="C8424" s="2" t="str">
        <f t="shared" si="325"/>
        <v>UN</v>
      </c>
      <c r="D8424" s="7">
        <v>600</v>
      </c>
      <c r="E8424" s="3">
        <v>8</v>
      </c>
      <c r="F8424" s="3">
        <v>8</v>
      </c>
      <c r="G8424" t="s">
        <v>514</v>
      </c>
    </row>
    <row r="8425" spans="1:7" x14ac:dyDescent="0.25">
      <c r="A8425" s="1" t="str">
        <f>"508399"</f>
        <v>508399</v>
      </c>
      <c r="B8425" s="2" t="str">
        <f>"CUMBUCA VERDE ABERTA GRD NK36E P/MORANGO"</f>
        <v>CUMBUCA VERDE ABERTA GRD NK36E P/MORANGO</v>
      </c>
      <c r="C8425" s="2" t="str">
        <f t="shared" si="325"/>
        <v>UN</v>
      </c>
      <c r="D8425" s="7">
        <v>402</v>
      </c>
      <c r="E8425" s="3">
        <v>4</v>
      </c>
      <c r="F8425" s="3">
        <v>4</v>
      </c>
      <c r="G8425" t="s">
        <v>513</v>
      </c>
    </row>
    <row r="8426" spans="1:7" x14ac:dyDescent="0.25">
      <c r="A8426" s="1" t="str">
        <f>"513499"</f>
        <v>513499</v>
      </c>
      <c r="B8426" s="2" t="str">
        <f>"CUMEEIRA GALV.RT-17/0980 0,8X1000MM"</f>
        <v>CUMEEIRA GALV.RT-17/0980 0,8X1000MM</v>
      </c>
      <c r="C8426" s="2" t="str">
        <f t="shared" si="325"/>
        <v>UN</v>
      </c>
      <c r="D8426" s="7">
        <v>403</v>
      </c>
      <c r="E8426" s="3">
        <v>4</v>
      </c>
      <c r="F8426" s="3">
        <v>4</v>
      </c>
      <c r="G8426" t="s">
        <v>512</v>
      </c>
    </row>
    <row r="8427" spans="1:7" x14ac:dyDescent="0.25">
      <c r="A8427" s="1" t="str">
        <f>"519390"</f>
        <v>519390</v>
      </c>
      <c r="B8427" s="2" t="str">
        <f>"CUMEEIRA GALV.RT-17/0980 0,8X600MM"</f>
        <v>CUMEEIRA GALV.RT-17/0980 0,8X600MM</v>
      </c>
      <c r="C8427" s="2" t="str">
        <f t="shared" si="325"/>
        <v>UN</v>
      </c>
      <c r="D8427" s="7">
        <v>403</v>
      </c>
      <c r="E8427" s="3">
        <v>4</v>
      </c>
      <c r="F8427" s="3">
        <v>4</v>
      </c>
      <c r="G8427" t="s">
        <v>513</v>
      </c>
    </row>
    <row r="8428" spans="1:7" x14ac:dyDescent="0.25">
      <c r="A8428" s="1" t="str">
        <f>"507718"</f>
        <v>507718</v>
      </c>
      <c r="B8428" s="2" t="str">
        <f>"CUMEEIRA GALV.RT-40/0980 0,43X1200MM"</f>
        <v>CUMEEIRA GALV.RT-40/0980 0,43X1200MM</v>
      </c>
      <c r="C8428" s="2" t="str">
        <f t="shared" si="325"/>
        <v>UN</v>
      </c>
      <c r="D8428" s="7">
        <v>403</v>
      </c>
      <c r="E8428" s="3">
        <v>4</v>
      </c>
      <c r="F8428" s="3">
        <v>4</v>
      </c>
      <c r="G8428" t="s">
        <v>514</v>
      </c>
    </row>
    <row r="8429" spans="1:7" x14ac:dyDescent="0.25">
      <c r="A8429" s="1" t="str">
        <f>"508695"</f>
        <v>508695</v>
      </c>
      <c r="B8429" s="2" t="str">
        <f>"CUMEEIRA GALV.RT-40/0980 0,43X1200MM"</f>
        <v>CUMEEIRA GALV.RT-40/0980 0,43X1200MM</v>
      </c>
      <c r="C8429" s="2" t="str">
        <f>"PC"</f>
        <v>PC</v>
      </c>
      <c r="D8429" s="7">
        <v>806</v>
      </c>
      <c r="E8429" s="3">
        <v>10</v>
      </c>
      <c r="F8429" s="3">
        <v>10</v>
      </c>
      <c r="G8429" t="s">
        <v>514</v>
      </c>
    </row>
    <row r="8430" spans="1:7" x14ac:dyDescent="0.25">
      <c r="A8430" s="1" t="str">
        <f>"516397"</f>
        <v>516397</v>
      </c>
      <c r="B8430" s="2" t="str">
        <f>"CUMEEIRA GALV.RT-40/0980 0,50X1000MM"</f>
        <v>CUMEEIRA GALV.RT-40/0980 0,50X1000MM</v>
      </c>
      <c r="C8430" s="2" t="str">
        <f t="shared" ref="C8430:C8440" si="326">"UN"</f>
        <v>UN</v>
      </c>
      <c r="D8430" s="7">
        <v>1700</v>
      </c>
      <c r="E8430" s="3">
        <v>10</v>
      </c>
      <c r="F8430" s="3">
        <v>10</v>
      </c>
      <c r="G8430" t="s">
        <v>514</v>
      </c>
    </row>
    <row r="8431" spans="1:7" x14ac:dyDescent="0.25">
      <c r="A8431" s="1" t="str">
        <f>"515567"</f>
        <v>515567</v>
      </c>
      <c r="B8431" s="2" t="str">
        <f>"CUMIEIRA ARTICULADA"</f>
        <v>CUMIEIRA ARTICULADA</v>
      </c>
      <c r="C8431" s="2" t="str">
        <f t="shared" si="326"/>
        <v>UN</v>
      </c>
      <c r="D8431" s="7">
        <v>803</v>
      </c>
      <c r="E8431" s="3">
        <v>10</v>
      </c>
      <c r="F8431" s="3">
        <v>10</v>
      </c>
      <c r="G8431" t="s">
        <v>513</v>
      </c>
    </row>
    <row r="8432" spans="1:7" x14ac:dyDescent="0.25">
      <c r="A8432" s="1" t="str">
        <f>"524880"</f>
        <v>524880</v>
      </c>
      <c r="B8432" s="2" t="str">
        <f>"CUNHA DO MOLEJO"</f>
        <v>CUNHA DO MOLEJO</v>
      </c>
      <c r="C8432" s="2" t="str">
        <f t="shared" si="326"/>
        <v>UN</v>
      </c>
      <c r="D8432" s="7">
        <v>704</v>
      </c>
      <c r="E8432" s="3">
        <v>9</v>
      </c>
      <c r="F8432" s="3">
        <v>9</v>
      </c>
      <c r="G8432" t="s">
        <v>513</v>
      </c>
    </row>
    <row r="8433" spans="1:7" x14ac:dyDescent="0.25">
      <c r="A8433" s="1" t="str">
        <f>"526468"</f>
        <v>526468</v>
      </c>
      <c r="B8433" s="2" t="str">
        <f>"CUNHA P/ NIVELADOR P/ ACENTAR PORCELANATO 1,5MM"</f>
        <v>CUNHA P/ NIVELADOR P/ ACENTAR PORCELANATO 1,5MM</v>
      </c>
      <c r="C8433" s="2" t="str">
        <f t="shared" si="326"/>
        <v>UN</v>
      </c>
      <c r="D8433" s="7">
        <v>803</v>
      </c>
      <c r="E8433" s="3">
        <v>10</v>
      </c>
      <c r="F8433" s="3">
        <v>10</v>
      </c>
      <c r="G8433" t="s">
        <v>513</v>
      </c>
    </row>
    <row r="8434" spans="1:7" x14ac:dyDescent="0.25">
      <c r="A8434" s="1" t="str">
        <f>"513164"</f>
        <v>513164</v>
      </c>
      <c r="B8434" s="2" t="str">
        <f>"CUNHA PARA ENXADA"</f>
        <v>CUNHA PARA ENXADA</v>
      </c>
      <c r="C8434" s="2" t="str">
        <f t="shared" si="326"/>
        <v>UN</v>
      </c>
      <c r="D8434" s="7">
        <v>919</v>
      </c>
      <c r="E8434" s="3">
        <v>11</v>
      </c>
      <c r="F8434" s="3">
        <v>11</v>
      </c>
      <c r="G8434" t="s">
        <v>512</v>
      </c>
    </row>
    <row r="8435" spans="1:7" x14ac:dyDescent="0.25">
      <c r="A8435" s="1" t="str">
        <f>"501957"</f>
        <v>501957</v>
      </c>
      <c r="B8435" s="2" t="str">
        <f>"CUPILA (CONTRA PINO)"</f>
        <v>CUPILA (CONTRA PINO)</v>
      </c>
      <c r="C8435" s="2" t="str">
        <f t="shared" si="326"/>
        <v>UN</v>
      </c>
      <c r="D8435" s="7">
        <v>704</v>
      </c>
      <c r="E8435" s="3">
        <v>9</v>
      </c>
      <c r="F8435" s="3">
        <v>9</v>
      </c>
      <c r="G8435" t="s">
        <v>513</v>
      </c>
    </row>
    <row r="8436" spans="1:7" x14ac:dyDescent="0.25">
      <c r="A8436" s="1" t="str">
        <f>"505236"</f>
        <v>505236</v>
      </c>
      <c r="B8436" s="2" t="str">
        <f>"CUPILHA"</f>
        <v>CUPILHA</v>
      </c>
      <c r="C8436" s="2" t="str">
        <f t="shared" si="326"/>
        <v>UN</v>
      </c>
      <c r="D8436" s="7">
        <v>704</v>
      </c>
      <c r="E8436" s="3">
        <v>9</v>
      </c>
      <c r="F8436" s="3">
        <v>9</v>
      </c>
      <c r="G8436" t="s">
        <v>514</v>
      </c>
    </row>
    <row r="8437" spans="1:7" x14ac:dyDescent="0.25">
      <c r="A8437" s="1" t="str">
        <f>"503089"</f>
        <v>503089</v>
      </c>
      <c r="B8437" s="2" t="str">
        <f>"CUPINICIDA 1000ML"</f>
        <v>CUPINICIDA 1000ML</v>
      </c>
      <c r="C8437" s="2" t="str">
        <f t="shared" si="326"/>
        <v>UN</v>
      </c>
      <c r="D8437" s="7">
        <v>704</v>
      </c>
      <c r="E8437" s="3">
        <v>9</v>
      </c>
      <c r="F8437" s="3">
        <v>9</v>
      </c>
      <c r="G8437" t="s">
        <v>515</v>
      </c>
    </row>
    <row r="8438" spans="1:7" x14ac:dyDescent="0.25">
      <c r="A8438" s="1" t="str">
        <f>"514179"</f>
        <v>514179</v>
      </c>
      <c r="B8438" s="2" t="str">
        <f>"CURATIVO BAND AID"</f>
        <v>CURATIVO BAND AID</v>
      </c>
      <c r="C8438" s="2" t="str">
        <f t="shared" si="326"/>
        <v>UN</v>
      </c>
      <c r="D8438" s="7">
        <v>406</v>
      </c>
      <c r="E8438" s="3">
        <v>99</v>
      </c>
      <c r="F8438" s="3">
        <v>99</v>
      </c>
      <c r="G8438" t="s">
        <v>512</v>
      </c>
    </row>
    <row r="8439" spans="1:7" x14ac:dyDescent="0.25">
      <c r="A8439" s="1" t="str">
        <f>"523597"</f>
        <v>523597</v>
      </c>
      <c r="B8439" s="2" t="str">
        <f>"CURATIVOS DETECTÁVEIS 72X19MM PCT 100 UNIDADES"</f>
        <v>CURATIVOS DETECTÁVEIS 72X19MM PCT 100 UNIDADES</v>
      </c>
      <c r="C8439" s="2" t="str">
        <f t="shared" si="326"/>
        <v>UN</v>
      </c>
      <c r="D8439" s="7">
        <v>704</v>
      </c>
      <c r="E8439" s="3">
        <v>9</v>
      </c>
      <c r="F8439" s="3">
        <v>9</v>
      </c>
      <c r="G8439" t="s">
        <v>516</v>
      </c>
    </row>
    <row r="8440" spans="1:7" x14ac:dyDescent="0.25">
      <c r="A8440" s="1" t="str">
        <f>"509309"</f>
        <v>509309</v>
      </c>
      <c r="B8440" s="2" t="str">
        <f>"CURVA  F.G 1 1/2"""</f>
        <v>CURVA  F.G 1 1/2"</v>
      </c>
      <c r="C8440" s="2" t="str">
        <f t="shared" si="326"/>
        <v>UN</v>
      </c>
      <c r="D8440" s="7">
        <v>912</v>
      </c>
      <c r="E8440" s="3">
        <v>11</v>
      </c>
      <c r="F8440" s="3">
        <v>11</v>
      </c>
      <c r="G8440" t="s">
        <v>515</v>
      </c>
    </row>
    <row r="8441" spans="1:7" x14ac:dyDescent="0.25">
      <c r="A8441" s="1" t="str">
        <f>"502066"</f>
        <v>502066</v>
      </c>
      <c r="B8441" s="2" t="str">
        <f>"CURVA 180º 2NP SMS 2 1/2"""</f>
        <v>CURVA 180º 2NP SMS 2 1/2"</v>
      </c>
      <c r="C8441" s="2" t="str">
        <f>"BR"</f>
        <v>BR</v>
      </c>
      <c r="D8441" s="7">
        <v>807</v>
      </c>
      <c r="E8441" s="3">
        <v>10</v>
      </c>
      <c r="F8441" s="3">
        <v>10</v>
      </c>
      <c r="G8441" t="s">
        <v>514</v>
      </c>
    </row>
    <row r="8442" spans="1:7" x14ac:dyDescent="0.25">
      <c r="A8442" s="1" t="str">
        <f>"502521"</f>
        <v>502521</v>
      </c>
      <c r="B8442" s="2" t="str">
        <f>"CURVA 180º 304 1 1/2"""</f>
        <v>CURVA 180º 304 1 1/2"</v>
      </c>
      <c r="C8442" s="2" t="str">
        <f>"BR"</f>
        <v>BR</v>
      </c>
      <c r="D8442" s="7">
        <v>807</v>
      </c>
      <c r="E8442" s="3">
        <v>10</v>
      </c>
      <c r="F8442" s="3">
        <v>10</v>
      </c>
      <c r="G8442" t="s">
        <v>512</v>
      </c>
    </row>
    <row r="8443" spans="1:7" x14ac:dyDescent="0.25">
      <c r="A8443" s="1" t="str">
        <f>"519977"</f>
        <v>519977</v>
      </c>
      <c r="B8443" s="2" t="str">
        <f>"CURVA 180º 304 2.1/2"""""</f>
        <v>CURVA 180º 304 2.1/2""</v>
      </c>
      <c r="C8443" s="2" t="str">
        <f>"UN"</f>
        <v>UN</v>
      </c>
      <c r="D8443" s="7">
        <v>915</v>
      </c>
      <c r="E8443" s="3">
        <v>11</v>
      </c>
      <c r="F8443" s="3">
        <v>11</v>
      </c>
      <c r="G8443" t="s">
        <v>513</v>
      </c>
    </row>
    <row r="8444" spans="1:7" x14ac:dyDescent="0.25">
      <c r="A8444" s="1" t="str">
        <f>"502030"</f>
        <v>502030</v>
      </c>
      <c r="B8444" s="2" t="str">
        <f>"CURVA 180º 304 4"""</f>
        <v>CURVA 180º 304 4"</v>
      </c>
      <c r="C8444" s="2" t="str">
        <f>"BR"</f>
        <v>BR</v>
      </c>
      <c r="D8444" s="7">
        <v>807</v>
      </c>
      <c r="E8444" s="3">
        <v>10</v>
      </c>
      <c r="F8444" s="3">
        <v>10</v>
      </c>
      <c r="G8444" t="s">
        <v>514</v>
      </c>
    </row>
    <row r="8445" spans="1:7" x14ac:dyDescent="0.25">
      <c r="A8445" s="1" t="str">
        <f>"510347"</f>
        <v>510347</v>
      </c>
      <c r="B8445" s="2" t="str">
        <f>"CURVA 180º SMS 304 2"""</f>
        <v>CURVA 180º SMS 304 2"</v>
      </c>
      <c r="C8445" s="2" t="str">
        <f>"UN"</f>
        <v>UN</v>
      </c>
      <c r="D8445" s="7">
        <v>915</v>
      </c>
      <c r="E8445" s="3">
        <v>11</v>
      </c>
      <c r="F8445" s="3">
        <v>11</v>
      </c>
      <c r="G8445" t="s">
        <v>514</v>
      </c>
    </row>
    <row r="8446" spans="1:7" x14ac:dyDescent="0.25">
      <c r="A8446" s="1" t="str">
        <f>"524496"</f>
        <v>524496</v>
      </c>
      <c r="B8446" s="2" t="str">
        <f>"CURVA 45° 6"" AÇO CARBONO ASMI B16,5 SCH40"</f>
        <v>CURVA 45° 6" AÇO CARBONO ASMI B16,5 SCH40</v>
      </c>
      <c r="C8446" s="2" t="str">
        <f>"UN"</f>
        <v>UN</v>
      </c>
      <c r="D8446" s="7">
        <v>807</v>
      </c>
      <c r="E8446" s="3">
        <v>10</v>
      </c>
      <c r="F8446" s="3">
        <v>10</v>
      </c>
      <c r="G8446" t="s">
        <v>512</v>
      </c>
    </row>
    <row r="8447" spans="1:7" x14ac:dyDescent="0.25">
      <c r="A8447" s="1" t="str">
        <f>"524565"</f>
        <v>524565</v>
      </c>
      <c r="B8447" s="2" t="str">
        <f>"CURVA 45° RL AÇO CARBONO Ø 1.1/4 ASTM A234 WPB SCH 40"</f>
        <v>CURVA 45° RL AÇO CARBONO Ø 1.1/4 ASTM A234 WPB SCH 40</v>
      </c>
      <c r="C8447" s="2" t="str">
        <f>"UN"</f>
        <v>UN</v>
      </c>
      <c r="D8447" s="7">
        <v>807</v>
      </c>
      <c r="E8447" s="3">
        <v>10</v>
      </c>
      <c r="F8447" s="3">
        <v>10</v>
      </c>
      <c r="G8447" t="s">
        <v>513</v>
      </c>
    </row>
    <row r="8448" spans="1:7" x14ac:dyDescent="0.25">
      <c r="A8448" s="1" t="str">
        <f>"519972"</f>
        <v>519972</v>
      </c>
      <c r="B8448" s="2" t="str">
        <f>"CURVA 45º 304 1 1/2"""</f>
        <v>CURVA 45º 304 1 1/2"</v>
      </c>
      <c r="C8448" s="2" t="str">
        <f>"UN"</f>
        <v>UN</v>
      </c>
      <c r="D8448" s="7">
        <v>915</v>
      </c>
      <c r="E8448" s="3">
        <v>10</v>
      </c>
      <c r="F8448" s="3">
        <v>10</v>
      </c>
      <c r="G8448" t="s">
        <v>514</v>
      </c>
    </row>
    <row r="8449" spans="1:7" x14ac:dyDescent="0.25">
      <c r="A8449" s="1" t="str">
        <f>"503864"</f>
        <v>503864</v>
      </c>
      <c r="B8449" s="2" t="str">
        <f>"CURVA 45º 304 1"""</f>
        <v>CURVA 45º 304 1"</v>
      </c>
      <c r="C8449" s="2" t="str">
        <f>"BR"</f>
        <v>BR</v>
      </c>
      <c r="D8449" s="7">
        <v>807</v>
      </c>
      <c r="E8449" s="3">
        <v>10</v>
      </c>
      <c r="F8449" s="3">
        <v>10</v>
      </c>
      <c r="G8449" t="s">
        <v>514</v>
      </c>
    </row>
    <row r="8450" spans="1:7" x14ac:dyDescent="0.25">
      <c r="A8450" s="1" t="str">
        <f>"502175"</f>
        <v>502175</v>
      </c>
      <c r="B8450" s="2" t="str">
        <f>"CURVA 45º 304 2 1/2"""</f>
        <v>CURVA 45º 304 2 1/2"</v>
      </c>
      <c r="C8450" s="2" t="str">
        <f>"BR"</f>
        <v>BR</v>
      </c>
      <c r="D8450" s="7">
        <v>807</v>
      </c>
      <c r="E8450" s="3">
        <v>10</v>
      </c>
      <c r="F8450" s="3">
        <v>10</v>
      </c>
      <c r="G8450" t="s">
        <v>514</v>
      </c>
    </row>
    <row r="8451" spans="1:7" x14ac:dyDescent="0.25">
      <c r="A8451" s="1" t="str">
        <f>"505381"</f>
        <v>505381</v>
      </c>
      <c r="B8451" s="2" t="str">
        <f>"CURVA 45º 304 2"""</f>
        <v>CURVA 45º 304 2"</v>
      </c>
      <c r="C8451" s="2" t="str">
        <f>"BR"</f>
        <v>BR</v>
      </c>
      <c r="D8451" s="7">
        <v>807</v>
      </c>
      <c r="E8451" s="3">
        <v>10</v>
      </c>
      <c r="F8451" s="3">
        <v>10</v>
      </c>
      <c r="G8451" t="s">
        <v>513</v>
      </c>
    </row>
    <row r="8452" spans="1:7" x14ac:dyDescent="0.25">
      <c r="A8452" s="1" t="str">
        <f>"523392"</f>
        <v>523392</v>
      </c>
      <c r="B8452" s="2" t="str">
        <f>"CURVA 45º 304 3"""</f>
        <v>CURVA 45º 304 3"</v>
      </c>
      <c r="C8452" s="2" t="str">
        <f>"BR"</f>
        <v>BR</v>
      </c>
      <c r="D8452" s="7">
        <v>807</v>
      </c>
      <c r="E8452" s="3">
        <v>10</v>
      </c>
      <c r="F8452" s="3">
        <v>10</v>
      </c>
      <c r="G8452" t="s">
        <v>512</v>
      </c>
    </row>
    <row r="8453" spans="1:7" x14ac:dyDescent="0.25">
      <c r="A8453" s="1" t="str">
        <f>"517610"</f>
        <v>517610</v>
      </c>
      <c r="B8453" s="2" t="str">
        <f>"CURVA 45º 304 4"""</f>
        <v>CURVA 45º 304 4"</v>
      </c>
      <c r="C8453" s="2" t="str">
        <f>"UN"</f>
        <v>UN</v>
      </c>
      <c r="D8453" s="7">
        <v>915</v>
      </c>
      <c r="E8453" s="3">
        <v>10</v>
      </c>
      <c r="F8453" s="3">
        <v>10</v>
      </c>
      <c r="G8453" t="s">
        <v>513</v>
      </c>
    </row>
    <row r="8454" spans="1:7" x14ac:dyDescent="0.25">
      <c r="A8454" s="1" t="str">
        <f>"523281"</f>
        <v>523281</v>
      </c>
      <c r="B8454" s="2" t="str">
        <f>"CURVA 45º 304 S/C SCH10 4"""</f>
        <v>CURVA 45º 304 S/C SCH10 4"</v>
      </c>
      <c r="C8454" s="2" t="str">
        <f>"UN"</f>
        <v>UN</v>
      </c>
      <c r="D8454" s="7">
        <v>915</v>
      </c>
      <c r="E8454" s="3">
        <v>11</v>
      </c>
      <c r="F8454" s="3">
        <v>11</v>
      </c>
      <c r="G8454" t="s">
        <v>514</v>
      </c>
    </row>
    <row r="8455" spans="1:7" x14ac:dyDescent="0.25">
      <c r="A8455" s="1" t="str">
        <f>"521945"</f>
        <v>521945</v>
      </c>
      <c r="B8455" s="2" t="str">
        <f>"CURVA 45º INOX 314L OD 4"""</f>
        <v>CURVA 45º INOX 314L OD 4"</v>
      </c>
      <c r="C8455" s="2" t="str">
        <f>"UN"</f>
        <v>UN</v>
      </c>
      <c r="D8455" s="7">
        <v>915</v>
      </c>
      <c r="E8455" s="3">
        <v>10</v>
      </c>
      <c r="F8455" s="3">
        <v>10</v>
      </c>
      <c r="G8455" t="s">
        <v>514</v>
      </c>
    </row>
    <row r="8456" spans="1:7" x14ac:dyDescent="0.25">
      <c r="A8456" s="1" t="str">
        <f>"521946"</f>
        <v>521946</v>
      </c>
      <c r="B8456" s="2" t="str">
        <f>"CURVA 45º INOX 314L OD 6"""</f>
        <v>CURVA 45º INOX 314L OD 6"</v>
      </c>
      <c r="C8456" s="2" t="str">
        <f>"UN"</f>
        <v>UN</v>
      </c>
      <c r="D8456" s="7">
        <v>915</v>
      </c>
      <c r="E8456" s="3">
        <v>10</v>
      </c>
      <c r="F8456" s="3">
        <v>10</v>
      </c>
      <c r="G8456" t="s">
        <v>514</v>
      </c>
    </row>
    <row r="8457" spans="1:7" x14ac:dyDescent="0.25">
      <c r="A8457" s="1" t="str">
        <f>"521947"</f>
        <v>521947</v>
      </c>
      <c r="B8457" s="2" t="str">
        <f>"CURVA 45º INOX 314L OD 8"""</f>
        <v>CURVA 45º INOX 314L OD 8"</v>
      </c>
      <c r="C8457" s="2" t="str">
        <f>"UN"</f>
        <v>UN</v>
      </c>
      <c r="D8457" s="7">
        <v>915</v>
      </c>
      <c r="E8457" s="3">
        <v>10</v>
      </c>
      <c r="F8457" s="3">
        <v>10</v>
      </c>
      <c r="G8457" t="s">
        <v>513</v>
      </c>
    </row>
    <row r="8458" spans="1:7" x14ac:dyDescent="0.25">
      <c r="A8458" s="1" t="str">
        <f>"528053"</f>
        <v>528053</v>
      </c>
      <c r="B8458" s="2" t="str">
        <f>"CURVA 45º PVC MARROM 75MM"</f>
        <v>CURVA 45º PVC MARROM 75MM</v>
      </c>
      <c r="C8458" s="2" t="str">
        <f>"BR"</f>
        <v>BR</v>
      </c>
      <c r="D8458" s="7">
        <v>807</v>
      </c>
      <c r="E8458" s="3">
        <v>10</v>
      </c>
      <c r="F8458" s="3">
        <v>10</v>
      </c>
      <c r="G8458" t="s">
        <v>513</v>
      </c>
    </row>
    <row r="8459" spans="1:7" x14ac:dyDescent="0.25">
      <c r="A8459" s="1" t="str">
        <f>"520336"</f>
        <v>520336</v>
      </c>
      <c r="B8459" s="2" t="str">
        <f>"CURVA 85MM - PVC"</f>
        <v>CURVA 85MM - PVC</v>
      </c>
      <c r="C8459" s="2" t="str">
        <f>"UN"</f>
        <v>UN</v>
      </c>
      <c r="D8459" s="7">
        <v>808</v>
      </c>
      <c r="E8459" s="3">
        <v>10</v>
      </c>
      <c r="F8459" s="3">
        <v>10</v>
      </c>
      <c r="G8459" t="s">
        <v>513</v>
      </c>
    </row>
    <row r="8460" spans="1:7" x14ac:dyDescent="0.25">
      <c r="A8460" s="1" t="str">
        <f>"513109"</f>
        <v>513109</v>
      </c>
      <c r="B8460" s="2" t="str">
        <f>"CURVA 90 7/8"""</f>
        <v>CURVA 90 7/8"</v>
      </c>
      <c r="C8460" s="2" t="str">
        <f>"UN"</f>
        <v>UN</v>
      </c>
      <c r="D8460" s="7">
        <v>916</v>
      </c>
      <c r="E8460" s="3">
        <v>11</v>
      </c>
      <c r="F8460" s="3">
        <v>11</v>
      </c>
      <c r="G8460" t="s">
        <v>512</v>
      </c>
    </row>
    <row r="8461" spans="1:7" x14ac:dyDescent="0.25">
      <c r="A8461" s="1" t="str">
        <f>"501838"</f>
        <v>501838</v>
      </c>
      <c r="B8461" s="2" t="str">
        <f>"CURVA 90 RL SCH40 2"""</f>
        <v>CURVA 90 RL SCH40 2"</v>
      </c>
      <c r="C8461" s="2" t="str">
        <f>"BR"</f>
        <v>BR</v>
      </c>
      <c r="D8461" s="7">
        <v>807</v>
      </c>
      <c r="E8461" s="3">
        <v>10</v>
      </c>
      <c r="F8461" s="3">
        <v>10</v>
      </c>
      <c r="G8461" t="s">
        <v>513</v>
      </c>
    </row>
    <row r="8462" spans="1:7" x14ac:dyDescent="0.25">
      <c r="A8462" s="1" t="str">
        <f>"501606"</f>
        <v>501606</v>
      </c>
      <c r="B8462" s="2" t="str">
        <f>"CURVA 90 RL SCH40 DE 1"""</f>
        <v>CURVA 90 RL SCH40 DE 1"</v>
      </c>
      <c r="C8462" s="2" t="str">
        <f>"BR"</f>
        <v>BR</v>
      </c>
      <c r="D8462" s="7">
        <v>807</v>
      </c>
      <c r="E8462" s="3">
        <v>10</v>
      </c>
      <c r="F8462" s="3">
        <v>10</v>
      </c>
      <c r="G8462" t="s">
        <v>514</v>
      </c>
    </row>
    <row r="8463" spans="1:7" x14ac:dyDescent="0.25">
      <c r="A8463" s="1" t="str">
        <f>"517491"</f>
        <v>517491</v>
      </c>
      <c r="B8463" s="2" t="str">
        <f>"CURVA 90 X 1 1/8 P1,17MM"</f>
        <v>CURVA 90 X 1 1/8 P1,17MM</v>
      </c>
      <c r="C8463" s="2" t="str">
        <f t="shared" ref="C8463:C8483" si="327">"UN"</f>
        <v>UN</v>
      </c>
      <c r="D8463" s="7">
        <v>918</v>
      </c>
      <c r="E8463" s="3">
        <v>10</v>
      </c>
      <c r="F8463" s="3">
        <v>10</v>
      </c>
      <c r="G8463" t="s">
        <v>515</v>
      </c>
    </row>
    <row r="8464" spans="1:7" x14ac:dyDescent="0.25">
      <c r="A8464" s="1" t="str">
        <f>"517490"</f>
        <v>517490</v>
      </c>
      <c r="B8464" s="2" t="str">
        <f>"CURVA 90 X 1/2 P 0,79MM"</f>
        <v>CURVA 90 X 1/2 P 0,79MM</v>
      </c>
      <c r="C8464" s="2" t="str">
        <f t="shared" si="327"/>
        <v>UN</v>
      </c>
      <c r="D8464" s="7">
        <v>918</v>
      </c>
      <c r="E8464" s="3">
        <v>10</v>
      </c>
      <c r="F8464" s="3">
        <v>10</v>
      </c>
      <c r="G8464" t="s">
        <v>512</v>
      </c>
    </row>
    <row r="8465" spans="1:7" x14ac:dyDescent="0.25">
      <c r="A8465" s="1" t="str">
        <f>"524494"</f>
        <v>524494</v>
      </c>
      <c r="B8465" s="2" t="str">
        <f>"CURVA 90° 1"" AÇO CARBONO ASMI B16,5 SCH40"</f>
        <v>CURVA 90° 1" AÇO CARBONO ASMI B16,5 SCH40</v>
      </c>
      <c r="C8465" s="2" t="str">
        <f t="shared" si="327"/>
        <v>UN</v>
      </c>
      <c r="D8465" s="7">
        <v>807</v>
      </c>
      <c r="E8465" s="3">
        <v>10</v>
      </c>
      <c r="F8465" s="3">
        <v>10</v>
      </c>
      <c r="G8465" t="s">
        <v>516</v>
      </c>
    </row>
    <row r="8466" spans="1:7" x14ac:dyDescent="0.25">
      <c r="A8466" s="1" t="str">
        <f>"519915"</f>
        <v>519915</v>
      </c>
      <c r="B8466" s="2" t="str">
        <f>"CURVA 90° 100MM - PVC"</f>
        <v>CURVA 90° 100MM - PVC</v>
      </c>
      <c r="C8466" s="2" t="str">
        <f t="shared" si="327"/>
        <v>UN</v>
      </c>
      <c r="D8466" s="7">
        <v>808</v>
      </c>
      <c r="E8466" s="3">
        <v>10</v>
      </c>
      <c r="F8466" s="3">
        <v>10</v>
      </c>
      <c r="G8466" t="s">
        <v>515</v>
      </c>
    </row>
    <row r="8467" spans="1:7" x14ac:dyDescent="0.25">
      <c r="A8467" s="1" t="str">
        <f>"524495"</f>
        <v>524495</v>
      </c>
      <c r="B8467" s="2" t="str">
        <f>"CURVA 90° 2X1/2"" AÇO CARBONO ASMI B16,5 SCH40"</f>
        <v>CURVA 90° 2X1/2" AÇO CARBONO ASMI B16,5 SCH40</v>
      </c>
      <c r="C8467" s="2" t="str">
        <f t="shared" si="327"/>
        <v>UN</v>
      </c>
      <c r="D8467" s="7">
        <v>807</v>
      </c>
      <c r="E8467" s="3">
        <v>10</v>
      </c>
      <c r="F8467" s="3">
        <v>10</v>
      </c>
      <c r="G8467" t="s">
        <v>514</v>
      </c>
    </row>
    <row r="8468" spans="1:7" x14ac:dyDescent="0.25">
      <c r="A8468" s="1" t="str">
        <f>"524493"</f>
        <v>524493</v>
      </c>
      <c r="B8468" s="2" t="str">
        <f>"CURVA 90° 3"" AÇO CARBONO ASMI B16,5 SCH40"</f>
        <v>CURVA 90° 3" AÇO CARBONO ASMI B16,5 SCH40</v>
      </c>
      <c r="C8468" s="2" t="str">
        <f t="shared" si="327"/>
        <v>UN</v>
      </c>
      <c r="D8468" s="7">
        <v>807</v>
      </c>
      <c r="E8468" s="3">
        <v>10</v>
      </c>
      <c r="F8468" s="3">
        <v>10</v>
      </c>
      <c r="G8468" t="s">
        <v>512</v>
      </c>
    </row>
    <row r="8469" spans="1:7" x14ac:dyDescent="0.25">
      <c r="A8469" s="1" t="str">
        <f>"527713"</f>
        <v>527713</v>
      </c>
      <c r="B8469" s="2" t="str">
        <f>"CURVA 90° 3/8""  INOX 316"</f>
        <v>CURVA 90° 3/8"  INOX 316</v>
      </c>
      <c r="C8469" s="2" t="str">
        <f t="shared" si="327"/>
        <v>UN</v>
      </c>
      <c r="D8469" s="7">
        <v>807</v>
      </c>
      <c r="E8469" s="3">
        <v>10</v>
      </c>
      <c r="F8469" s="3">
        <v>10</v>
      </c>
      <c r="G8469" t="s">
        <v>513</v>
      </c>
    </row>
    <row r="8470" spans="1:7" x14ac:dyDescent="0.25">
      <c r="A8470" s="1" t="str">
        <f>"524538"</f>
        <v>524538</v>
      </c>
      <c r="B8470" s="2" t="str">
        <f>"CURVA 90° 304 1/2"</f>
        <v>CURVA 90° 304 1/2</v>
      </c>
      <c r="C8470" s="2" t="str">
        <f t="shared" si="327"/>
        <v>UN</v>
      </c>
      <c r="D8470" s="7">
        <v>807</v>
      </c>
      <c r="E8470" s="3">
        <v>10</v>
      </c>
      <c r="F8470" s="3">
        <v>10</v>
      </c>
      <c r="G8470" t="s">
        <v>514</v>
      </c>
    </row>
    <row r="8471" spans="1:7" x14ac:dyDescent="0.25">
      <c r="A8471" s="1" t="str">
        <f>"524492"</f>
        <v>524492</v>
      </c>
      <c r="B8471" s="2" t="str">
        <f>"CURVA 90° 4"" AÇO CARBONO ASMI B16,5 SCH40"</f>
        <v>CURVA 90° 4" AÇO CARBONO ASMI B16,5 SCH40</v>
      </c>
      <c r="C8471" s="2" t="str">
        <f t="shared" si="327"/>
        <v>UN</v>
      </c>
      <c r="D8471" s="7">
        <v>807</v>
      </c>
      <c r="E8471" s="3">
        <v>10</v>
      </c>
      <c r="F8471" s="3">
        <v>10</v>
      </c>
      <c r="G8471" t="s">
        <v>514</v>
      </c>
    </row>
    <row r="8472" spans="1:7" x14ac:dyDescent="0.25">
      <c r="A8472" s="1" t="str">
        <f>"524497"</f>
        <v>524497</v>
      </c>
      <c r="B8472" s="2" t="str">
        <f>"CURVA 90° 6"" AÇO CARBONO ASMI B16,5 SCH40"</f>
        <v>CURVA 90° 6" AÇO CARBONO ASMI B16,5 SCH40</v>
      </c>
      <c r="C8472" s="2" t="str">
        <f t="shared" si="327"/>
        <v>UN</v>
      </c>
      <c r="D8472" s="7">
        <v>807</v>
      </c>
      <c r="E8472" s="3">
        <v>10</v>
      </c>
      <c r="F8472" s="3">
        <v>10</v>
      </c>
      <c r="G8472" t="s">
        <v>512</v>
      </c>
    </row>
    <row r="8473" spans="1:7" x14ac:dyDescent="0.25">
      <c r="A8473" s="1" t="str">
        <f>"528048"</f>
        <v>528048</v>
      </c>
      <c r="B8473" s="2" t="str">
        <f>"CURVA 90° 75MM"</f>
        <v>CURVA 90° 75MM</v>
      </c>
      <c r="C8473" s="2" t="str">
        <f t="shared" si="327"/>
        <v>UN</v>
      </c>
      <c r="D8473" s="7">
        <v>808</v>
      </c>
      <c r="E8473" s="3">
        <v>13</v>
      </c>
      <c r="F8473" s="3">
        <v>13</v>
      </c>
      <c r="G8473" t="s">
        <v>513</v>
      </c>
    </row>
    <row r="8474" spans="1:7" x14ac:dyDescent="0.25">
      <c r="A8474" s="1" t="str">
        <f>"528034"</f>
        <v>528034</v>
      </c>
      <c r="B8474" s="2" t="str">
        <f>"CURVA 90° 75MM - PVC"</f>
        <v>CURVA 90° 75MM - PVC</v>
      </c>
      <c r="C8474" s="2" t="str">
        <f t="shared" si="327"/>
        <v>UN</v>
      </c>
      <c r="D8474" s="7">
        <v>808</v>
      </c>
      <c r="E8474" s="3">
        <v>10</v>
      </c>
      <c r="F8474" s="3">
        <v>10</v>
      </c>
      <c r="G8474" t="s">
        <v>514</v>
      </c>
    </row>
    <row r="8475" spans="1:7" x14ac:dyDescent="0.25">
      <c r="A8475" s="1" t="str">
        <f>"524562"</f>
        <v>524562</v>
      </c>
      <c r="B8475" s="2" t="str">
        <f>"CURVA 90° Ø3"" INOX SCH 10S ASTM A 312 TP304 SEM COSTURA"</f>
        <v>CURVA 90° Ø3" INOX SCH 10S ASTM A 312 TP304 SEM COSTURA</v>
      </c>
      <c r="C8475" s="2" t="str">
        <f t="shared" si="327"/>
        <v>UN</v>
      </c>
      <c r="D8475" s="7">
        <v>807</v>
      </c>
      <c r="E8475" s="3">
        <v>10</v>
      </c>
      <c r="F8475" s="3">
        <v>10</v>
      </c>
      <c r="G8475" t="s">
        <v>514</v>
      </c>
    </row>
    <row r="8476" spans="1:7" x14ac:dyDescent="0.25">
      <c r="A8476" s="1" t="str">
        <f>"524554"</f>
        <v>524554</v>
      </c>
      <c r="B8476" s="2" t="str">
        <f>"CURVA 90° Ø4""  EM INOX SCH 40 ASTM A 234 WPB  SEM COSTURA"</f>
        <v>CURVA 90° Ø4"  EM INOX SCH 40 ASTM A 234 WPB  SEM COSTURA</v>
      </c>
      <c r="C8476" s="2" t="str">
        <f t="shared" si="327"/>
        <v>UN</v>
      </c>
      <c r="D8476" s="7">
        <v>807</v>
      </c>
      <c r="E8476" s="3">
        <v>10</v>
      </c>
      <c r="F8476" s="3">
        <v>10</v>
      </c>
      <c r="G8476" t="s">
        <v>514</v>
      </c>
    </row>
    <row r="8477" spans="1:7" x14ac:dyDescent="0.25">
      <c r="A8477" s="1" t="str">
        <f>"524561"</f>
        <v>524561</v>
      </c>
      <c r="B8477" s="2" t="str">
        <f>"CURVA 90° Ø4"" INOX SCH 10S ASTM A 312 TP304 SEM COSTURA"</f>
        <v>CURVA 90° Ø4" INOX SCH 10S ASTM A 312 TP304 SEM COSTURA</v>
      </c>
      <c r="C8477" s="2" t="str">
        <f t="shared" si="327"/>
        <v>UN</v>
      </c>
      <c r="D8477" s="7">
        <v>807</v>
      </c>
      <c r="E8477" s="3">
        <v>10</v>
      </c>
      <c r="F8477" s="3">
        <v>10</v>
      </c>
      <c r="G8477" t="s">
        <v>513</v>
      </c>
    </row>
    <row r="8478" spans="1:7" x14ac:dyDescent="0.25">
      <c r="A8478" s="1" t="str">
        <f>"524560"</f>
        <v>524560</v>
      </c>
      <c r="B8478" s="2" t="str">
        <f>"CURVA 90° Ø6"" INOX SCH 10S ASTM A 312 TP304 SEM COSTURA"</f>
        <v>CURVA 90° Ø6" INOX SCH 10S ASTM A 312 TP304 SEM COSTURA</v>
      </c>
      <c r="C8478" s="2" t="str">
        <f t="shared" si="327"/>
        <v>UN</v>
      </c>
      <c r="D8478" s="7">
        <v>807</v>
      </c>
      <c r="E8478" s="3">
        <v>10</v>
      </c>
      <c r="F8478" s="3">
        <v>10</v>
      </c>
      <c r="G8478" t="s">
        <v>512</v>
      </c>
    </row>
    <row r="8479" spans="1:7" x14ac:dyDescent="0.25">
      <c r="A8479" s="1" t="str">
        <f>"524776"</f>
        <v>524776</v>
      </c>
      <c r="B8479" s="2" t="str">
        <f>"CURVA 90° Ø6"" INOX SCH 10S ASTM A 312 TP304 SEM COSTURA"</f>
        <v>CURVA 90° Ø6" INOX SCH 10S ASTM A 312 TP304 SEM COSTURA</v>
      </c>
      <c r="C8479" s="2" t="str">
        <f t="shared" si="327"/>
        <v>UN</v>
      </c>
      <c r="D8479" s="7">
        <v>807</v>
      </c>
      <c r="E8479" s="3">
        <v>10</v>
      </c>
      <c r="F8479" s="3">
        <v>10</v>
      </c>
      <c r="G8479" t="s">
        <v>513</v>
      </c>
    </row>
    <row r="8480" spans="1:7" x14ac:dyDescent="0.25">
      <c r="A8480" s="1" t="str">
        <f>"524548"</f>
        <v>524548</v>
      </c>
      <c r="B8480" s="2" t="str">
        <f>"CURVA 90° RL AÇO CARBONO 2 X 1/2 ASTM A234 WPB SCH 40"</f>
        <v>CURVA 90° RL AÇO CARBONO 2 X 1/2 ASTM A234 WPB SCH 40</v>
      </c>
      <c r="C8480" s="2" t="str">
        <f t="shared" si="327"/>
        <v>UN</v>
      </c>
      <c r="D8480" s="7">
        <v>807</v>
      </c>
      <c r="E8480" s="3">
        <v>10</v>
      </c>
      <c r="F8480" s="3">
        <v>10</v>
      </c>
      <c r="G8480" t="s">
        <v>514</v>
      </c>
    </row>
    <row r="8481" spans="1:7" x14ac:dyDescent="0.25">
      <c r="A8481" s="1" t="str">
        <f>"524563"</f>
        <v>524563</v>
      </c>
      <c r="B8481" s="2" t="str">
        <f>"CURVA 90° RL AÇO CARBONO Ø 1.1/4 ASTM A234 WPB SCH 40"</f>
        <v>CURVA 90° RL AÇO CARBONO Ø 1.1/4 ASTM A234 WPB SCH 40</v>
      </c>
      <c r="C8481" s="2" t="str">
        <f t="shared" si="327"/>
        <v>UN</v>
      </c>
      <c r="D8481" s="7">
        <v>807</v>
      </c>
      <c r="E8481" s="3">
        <v>10</v>
      </c>
      <c r="F8481" s="3">
        <v>10</v>
      </c>
      <c r="G8481" t="s">
        <v>514</v>
      </c>
    </row>
    <row r="8482" spans="1:7" x14ac:dyDescent="0.25">
      <c r="A8482" s="1" t="str">
        <f>"526612"</f>
        <v>526612</v>
      </c>
      <c r="B8482" s="2" t="str">
        <f>"CURVA 90º  OD 1"" 316L"</f>
        <v>CURVA 90º  OD 1" 316L</v>
      </c>
      <c r="C8482" s="2" t="str">
        <f t="shared" si="327"/>
        <v>UN</v>
      </c>
      <c r="D8482" s="7">
        <v>915</v>
      </c>
      <c r="E8482" s="3">
        <v>10</v>
      </c>
      <c r="F8482" s="3">
        <v>10</v>
      </c>
      <c r="G8482" t="s">
        <v>514</v>
      </c>
    </row>
    <row r="8483" spans="1:7" x14ac:dyDescent="0.25">
      <c r="A8483" s="1" t="str">
        <f>"516345"</f>
        <v>516345</v>
      </c>
      <c r="B8483" s="2" t="str">
        <f>"CURVA 90º 2 MNP C/ LUVA ENTRADA PT-100 1/2"" BSP"</f>
        <v>CURVA 90º 2 MNP C/ LUVA ENTRADA PT-100 1/2" BSP</v>
      </c>
      <c r="C8483" s="2" t="str">
        <f t="shared" si="327"/>
        <v>UN</v>
      </c>
      <c r="D8483" s="7">
        <v>807</v>
      </c>
      <c r="E8483" s="3">
        <v>10</v>
      </c>
      <c r="F8483" s="3">
        <v>10</v>
      </c>
      <c r="G8483" t="s">
        <v>513</v>
      </c>
    </row>
    <row r="8484" spans="1:7" x14ac:dyDescent="0.25">
      <c r="A8484" s="1" t="str">
        <f>"501514"</f>
        <v>501514</v>
      </c>
      <c r="B8484" s="2" t="str">
        <f>"CURVA 90º 304 1 1/2"""</f>
        <v>CURVA 90º 304 1 1/2"</v>
      </c>
      <c r="C8484" s="2" t="str">
        <f>"BR"</f>
        <v>BR</v>
      </c>
      <c r="D8484" s="7">
        <v>807</v>
      </c>
      <c r="E8484" s="3">
        <v>10</v>
      </c>
      <c r="F8484" s="3">
        <v>10</v>
      </c>
      <c r="G8484" t="s">
        <v>513</v>
      </c>
    </row>
    <row r="8485" spans="1:7" x14ac:dyDescent="0.25">
      <c r="A8485" s="1" t="str">
        <f>"502100"</f>
        <v>502100</v>
      </c>
      <c r="B8485" s="2" t="str">
        <f>"CURVA 90º 304 1 1/2"" C/SAIDA PT100"</f>
        <v>CURVA 90º 304 1 1/2" C/SAIDA PT100</v>
      </c>
      <c r="C8485" s="2" t="str">
        <f>"BR"</f>
        <v>BR</v>
      </c>
      <c r="D8485" s="7">
        <v>807</v>
      </c>
      <c r="E8485" s="3">
        <v>10</v>
      </c>
      <c r="F8485" s="3">
        <v>10</v>
      </c>
      <c r="G8485" t="s">
        <v>513</v>
      </c>
    </row>
    <row r="8486" spans="1:7" x14ac:dyDescent="0.25">
      <c r="A8486" s="1" t="str">
        <f>"510149"</f>
        <v>510149</v>
      </c>
      <c r="B8486" s="2" t="str">
        <f>"CURVA 90º 304 1 1/2"" X 1"" NP"</f>
        <v>CURVA 90º 304 1 1/2" X 1" NP</v>
      </c>
      <c r="C8486" s="2" t="str">
        <f>"BR"</f>
        <v>BR</v>
      </c>
      <c r="D8486" s="7">
        <v>807</v>
      </c>
      <c r="E8486" s="3">
        <v>10</v>
      </c>
      <c r="F8486" s="3">
        <v>10</v>
      </c>
      <c r="G8486" t="s">
        <v>512</v>
      </c>
    </row>
    <row r="8487" spans="1:7" x14ac:dyDescent="0.25">
      <c r="A8487" s="1" t="str">
        <f>"505334"</f>
        <v>505334</v>
      </c>
      <c r="B8487" s="2" t="str">
        <f>"CURVA 90º 304 1"""</f>
        <v>CURVA 90º 304 1"</v>
      </c>
      <c r="C8487" s="2" t="str">
        <f>"BR"</f>
        <v>BR</v>
      </c>
      <c r="D8487" s="7">
        <v>807</v>
      </c>
      <c r="E8487" s="3">
        <v>10</v>
      </c>
      <c r="F8487" s="3">
        <v>10</v>
      </c>
      <c r="G8487" t="s">
        <v>513</v>
      </c>
    </row>
    <row r="8488" spans="1:7" x14ac:dyDescent="0.25">
      <c r="A8488" s="1" t="str">
        <f>"519568"</f>
        <v>519568</v>
      </c>
      <c r="B8488" s="2" t="str">
        <f>"CURVA 90º 304 168,28X2,77MM (6"" SH5) DECAPADO"</f>
        <v>CURVA 90º 304 168,28X2,77MM (6" SH5) DECAPADO</v>
      </c>
      <c r="C8488" s="2" t="str">
        <f>"UN"</f>
        <v>UN</v>
      </c>
      <c r="D8488" s="7">
        <v>807</v>
      </c>
      <c r="E8488" s="3">
        <v>10</v>
      </c>
      <c r="F8488" s="3">
        <v>10</v>
      </c>
      <c r="G8488" t="s">
        <v>514</v>
      </c>
    </row>
    <row r="8489" spans="1:7" x14ac:dyDescent="0.25">
      <c r="A8489" s="1" t="str">
        <f>"504298"</f>
        <v>504298</v>
      </c>
      <c r="B8489" s="2" t="str">
        <f>"CURVA 90º 304 2"""</f>
        <v>CURVA 90º 304 2"</v>
      </c>
      <c r="C8489" s="2" t="str">
        <f>"BR"</f>
        <v>BR</v>
      </c>
      <c r="D8489" s="7">
        <v>807</v>
      </c>
      <c r="E8489" s="3">
        <v>10</v>
      </c>
      <c r="F8489" s="3">
        <v>10</v>
      </c>
      <c r="G8489" t="s">
        <v>515</v>
      </c>
    </row>
    <row r="8490" spans="1:7" x14ac:dyDescent="0.25">
      <c r="A8490" s="1" t="str">
        <f>"502098"</f>
        <v>502098</v>
      </c>
      <c r="B8490" s="2" t="str">
        <f>"CURVA 90º 304 2"" C/ADAPTADOR 1/2"</f>
        <v>CURVA 90º 304 2" C/ADAPTADOR 1/2</v>
      </c>
      <c r="C8490" s="2" t="str">
        <f>"BR"</f>
        <v>BR</v>
      </c>
      <c r="D8490" s="7">
        <v>807</v>
      </c>
      <c r="E8490" s="3">
        <v>10</v>
      </c>
      <c r="F8490" s="3">
        <v>10</v>
      </c>
      <c r="G8490" t="s">
        <v>512</v>
      </c>
    </row>
    <row r="8491" spans="1:7" x14ac:dyDescent="0.25">
      <c r="A8491" s="1" t="str">
        <f>"527327"</f>
        <v>527327</v>
      </c>
      <c r="B8491" s="2" t="str">
        <f>"CURVA 90º 304 2"" SMS M X M"</f>
        <v>CURVA 90º 304 2" SMS M X M</v>
      </c>
      <c r="C8491" s="2" t="str">
        <f>"BR"</f>
        <v>BR</v>
      </c>
      <c r="D8491" s="7">
        <v>807</v>
      </c>
      <c r="E8491" s="3">
        <v>10</v>
      </c>
      <c r="F8491" s="3">
        <v>10</v>
      </c>
      <c r="G8491" t="s">
        <v>516</v>
      </c>
    </row>
    <row r="8492" spans="1:7" x14ac:dyDescent="0.25">
      <c r="A8492" s="1" t="str">
        <f>"527326"</f>
        <v>527326</v>
      </c>
      <c r="B8492" s="2" t="str">
        <f>"CURVA 90º 304 2"" SMS M X NP"</f>
        <v>CURVA 90º 304 2" SMS M X NP</v>
      </c>
      <c r="C8492" s="2" t="str">
        <f>"BR"</f>
        <v>BR</v>
      </c>
      <c r="D8492" s="7">
        <v>807</v>
      </c>
      <c r="E8492" s="3">
        <v>10</v>
      </c>
      <c r="F8492" s="3">
        <v>10</v>
      </c>
      <c r="G8492" t="s">
        <v>515</v>
      </c>
    </row>
    <row r="8493" spans="1:7" x14ac:dyDescent="0.25">
      <c r="A8493" s="1" t="str">
        <f>"527328"</f>
        <v>527328</v>
      </c>
      <c r="B8493" s="2" t="str">
        <f>"CURVA 90º 304 2"" SMS NP X NP"</f>
        <v>CURVA 90º 304 2" SMS NP X NP</v>
      </c>
      <c r="C8493" s="2" t="str">
        <f>"BR"</f>
        <v>BR</v>
      </c>
      <c r="D8493" s="7">
        <v>807</v>
      </c>
      <c r="E8493" s="3">
        <v>10</v>
      </c>
      <c r="F8493" s="3">
        <v>10</v>
      </c>
      <c r="G8493" t="s">
        <v>514</v>
      </c>
    </row>
    <row r="8494" spans="1:7" x14ac:dyDescent="0.25">
      <c r="A8494" s="1" t="str">
        <f>"509714"</f>
        <v>509714</v>
      </c>
      <c r="B8494" s="2" t="str">
        <f>"CURVA 90º 304 2.1/2"""</f>
        <v>CURVA 90º 304 2.1/2"</v>
      </c>
      <c r="C8494" s="2" t="str">
        <f t="shared" ref="C8494:C8500" si="328">"UN"</f>
        <v>UN</v>
      </c>
      <c r="D8494" s="7">
        <v>915</v>
      </c>
      <c r="E8494" s="3">
        <v>11</v>
      </c>
      <c r="F8494" s="3">
        <v>11</v>
      </c>
      <c r="G8494" t="s">
        <v>512</v>
      </c>
    </row>
    <row r="8495" spans="1:7" x14ac:dyDescent="0.25">
      <c r="A8495" s="1" t="str">
        <f>"519973"</f>
        <v>519973</v>
      </c>
      <c r="B8495" s="2" t="str">
        <f>"CURVA 90º 304 2.1/2"" C/ ROSCA E ENTRADA P/ PT100"</f>
        <v>CURVA 90º 304 2.1/2" C/ ROSCA E ENTRADA P/ PT100</v>
      </c>
      <c r="C8495" s="2" t="str">
        <f t="shared" si="328"/>
        <v>UN</v>
      </c>
      <c r="D8495" s="7">
        <v>915</v>
      </c>
      <c r="E8495" s="3">
        <v>11</v>
      </c>
      <c r="F8495" s="3">
        <v>11</v>
      </c>
      <c r="G8495" t="s">
        <v>513</v>
      </c>
    </row>
    <row r="8496" spans="1:7" x14ac:dyDescent="0.25">
      <c r="A8496" s="1" t="str">
        <f>"509720"</f>
        <v>509720</v>
      </c>
      <c r="B8496" s="2" t="str">
        <f>"CURVA 90º 304 3"""</f>
        <v>CURVA 90º 304 3"</v>
      </c>
      <c r="C8496" s="2" t="str">
        <f t="shared" si="328"/>
        <v>UN</v>
      </c>
      <c r="D8496" s="7">
        <v>915</v>
      </c>
      <c r="E8496" s="3">
        <v>11</v>
      </c>
      <c r="F8496" s="3">
        <v>11</v>
      </c>
      <c r="G8496" t="s">
        <v>514</v>
      </c>
    </row>
    <row r="8497" spans="1:7" x14ac:dyDescent="0.25">
      <c r="A8497" s="1" t="str">
        <f>"509199"</f>
        <v>509199</v>
      </c>
      <c r="B8497" s="2" t="str">
        <f>"CURVA 90º 304 4"""</f>
        <v>CURVA 90º 304 4"</v>
      </c>
      <c r="C8497" s="2" t="str">
        <f t="shared" si="328"/>
        <v>UN</v>
      </c>
      <c r="D8497" s="7">
        <v>402</v>
      </c>
      <c r="E8497" s="3">
        <v>11</v>
      </c>
      <c r="F8497" s="3">
        <v>11</v>
      </c>
      <c r="G8497" t="s">
        <v>514</v>
      </c>
    </row>
    <row r="8498" spans="1:7" x14ac:dyDescent="0.25">
      <c r="A8498" s="1" t="str">
        <f>"523279"</f>
        <v>523279</v>
      </c>
      <c r="B8498" s="2" t="str">
        <f>"CURVA 90º 304 S/C SCH10 4"""</f>
        <v>CURVA 90º 304 S/C SCH10 4"</v>
      </c>
      <c r="C8498" s="2" t="str">
        <f t="shared" si="328"/>
        <v>UN</v>
      </c>
      <c r="D8498" s="7">
        <v>915</v>
      </c>
      <c r="E8498" s="3">
        <v>11</v>
      </c>
      <c r="F8498" s="3">
        <v>11</v>
      </c>
      <c r="G8498" t="s">
        <v>512</v>
      </c>
    </row>
    <row r="8499" spans="1:7" x14ac:dyDescent="0.25">
      <c r="A8499" s="1" t="str">
        <f>"523280"</f>
        <v>523280</v>
      </c>
      <c r="B8499" s="2" t="str">
        <f>"CURVA 90º 304 S/C SCH10 6"""</f>
        <v>CURVA 90º 304 S/C SCH10 6"</v>
      </c>
      <c r="C8499" s="2" t="str">
        <f t="shared" si="328"/>
        <v>UN</v>
      </c>
      <c r="D8499" s="7">
        <v>915</v>
      </c>
      <c r="E8499" s="3">
        <v>11</v>
      </c>
      <c r="F8499" s="3">
        <v>11</v>
      </c>
      <c r="G8499" t="s">
        <v>513</v>
      </c>
    </row>
    <row r="8500" spans="1:7" x14ac:dyDescent="0.25">
      <c r="A8500" s="1" t="str">
        <f>"523282"</f>
        <v>523282</v>
      </c>
      <c r="B8500" s="2" t="str">
        <f>"CURVA 90º 304 S/C SCH10 8"""</f>
        <v>CURVA 90º 304 S/C SCH10 8"</v>
      </c>
      <c r="C8500" s="2" t="str">
        <f t="shared" si="328"/>
        <v>UN</v>
      </c>
      <c r="D8500" s="7">
        <v>915</v>
      </c>
      <c r="E8500" s="3">
        <v>11</v>
      </c>
      <c r="F8500" s="3">
        <v>11</v>
      </c>
      <c r="G8500" t="s">
        <v>514</v>
      </c>
    </row>
    <row r="8501" spans="1:7" x14ac:dyDescent="0.25">
      <c r="A8501" s="1" t="str">
        <f>"509558"</f>
        <v>509558</v>
      </c>
      <c r="B8501" s="2" t="str">
        <f>"CURVA 90º AÇO CARBONO 4""EXT SOLDA"</f>
        <v>CURVA 90º AÇO CARBONO 4"EXT SOLDA</v>
      </c>
      <c r="C8501" s="2" t="str">
        <f>"BR"</f>
        <v>BR</v>
      </c>
      <c r="D8501" s="7">
        <v>808</v>
      </c>
      <c r="E8501" s="3">
        <v>10</v>
      </c>
      <c r="F8501" s="3">
        <v>10</v>
      </c>
      <c r="G8501" t="s">
        <v>514</v>
      </c>
    </row>
    <row r="8502" spans="1:7" x14ac:dyDescent="0.25">
      <c r="A8502" s="1" t="str">
        <f>"522262"</f>
        <v>522262</v>
      </c>
      <c r="B8502" s="2" t="str">
        <f>"CURVA 90º INOX 314L OD 4"""</f>
        <v>CURVA 90º INOX 314L OD 4"</v>
      </c>
      <c r="C8502" s="2" t="str">
        <f>"UN"</f>
        <v>UN</v>
      </c>
      <c r="D8502" s="7">
        <v>915</v>
      </c>
      <c r="E8502" s="3">
        <v>10</v>
      </c>
      <c r="F8502" s="3">
        <v>10</v>
      </c>
      <c r="G8502" t="s">
        <v>514</v>
      </c>
    </row>
    <row r="8503" spans="1:7" x14ac:dyDescent="0.25">
      <c r="A8503" s="1" t="str">
        <f>"522263"</f>
        <v>522263</v>
      </c>
      <c r="B8503" s="2" t="str">
        <f>"CURVA 90º INOX 314L OD 6"""</f>
        <v>CURVA 90º INOX 314L OD 6"</v>
      </c>
      <c r="C8503" s="2" t="str">
        <f>"UN"</f>
        <v>UN</v>
      </c>
      <c r="D8503" s="7">
        <v>915</v>
      </c>
      <c r="E8503" s="3">
        <v>10</v>
      </c>
      <c r="F8503" s="3">
        <v>10</v>
      </c>
      <c r="G8503" t="s">
        <v>513</v>
      </c>
    </row>
    <row r="8504" spans="1:7" x14ac:dyDescent="0.25">
      <c r="A8504" s="1" t="str">
        <f>"522100"</f>
        <v>522100</v>
      </c>
      <c r="B8504" s="2" t="str">
        <f>"CURVA 90º INOX 314L OD 8"""</f>
        <v>CURVA 90º INOX 314L OD 8"</v>
      </c>
      <c r="C8504" s="2" t="str">
        <f>"UN"</f>
        <v>UN</v>
      </c>
      <c r="D8504" s="7">
        <v>915</v>
      </c>
      <c r="E8504" s="3">
        <v>10</v>
      </c>
      <c r="F8504" s="3">
        <v>10</v>
      </c>
      <c r="G8504" t="s">
        <v>512</v>
      </c>
    </row>
    <row r="8505" spans="1:7" x14ac:dyDescent="0.25">
      <c r="A8505" s="1" t="str">
        <f>"528052"</f>
        <v>528052</v>
      </c>
      <c r="B8505" s="2" t="str">
        <f>"CURVA 90º PVC MARROM 75MM"</f>
        <v>CURVA 90º PVC MARROM 75MM</v>
      </c>
      <c r="C8505" s="2" t="str">
        <f>"BR"</f>
        <v>BR</v>
      </c>
      <c r="D8505" s="7">
        <v>807</v>
      </c>
      <c r="E8505" s="3">
        <v>10</v>
      </c>
      <c r="F8505" s="3">
        <v>10</v>
      </c>
      <c r="G8505" t="s">
        <v>513</v>
      </c>
    </row>
    <row r="8506" spans="1:7" x14ac:dyDescent="0.25">
      <c r="A8506" s="1" t="str">
        <f>"510517"</f>
        <v>510517</v>
      </c>
      <c r="B8506" s="2" t="str">
        <f>"CURVA 90º SOL 4"" AÇO CARBONO"</f>
        <v>CURVA 90º SOL 4" AÇO CARBONO</v>
      </c>
      <c r="C8506" s="2" t="str">
        <f>"BR"</f>
        <v>BR</v>
      </c>
      <c r="D8506" s="7">
        <v>808</v>
      </c>
      <c r="E8506" s="3">
        <v>10</v>
      </c>
      <c r="F8506" s="3">
        <v>10</v>
      </c>
      <c r="G8506" t="s">
        <v>514</v>
      </c>
    </row>
    <row r="8507" spans="1:7" x14ac:dyDescent="0.25">
      <c r="A8507" s="1" t="str">
        <f>"521775"</f>
        <v>521775</v>
      </c>
      <c r="B8507" s="2" t="str">
        <f>"CURVA 90X1 GF NBR5598 BSP"</f>
        <v>CURVA 90X1 GF NBR5598 BSP</v>
      </c>
      <c r="C8507" s="2" t="str">
        <f>"UN"</f>
        <v>UN</v>
      </c>
      <c r="D8507" s="7">
        <v>601</v>
      </c>
      <c r="E8507" s="3">
        <v>8</v>
      </c>
      <c r="F8507" s="3">
        <v>8</v>
      </c>
      <c r="G8507" t="s">
        <v>514</v>
      </c>
    </row>
    <row r="8508" spans="1:7" x14ac:dyDescent="0.25">
      <c r="A8508" s="1" t="str">
        <f>"521110"</f>
        <v>521110</v>
      </c>
      <c r="B8508" s="2" t="str">
        <f>"CURVA A/C SCH 40 90 8"""</f>
        <v>CURVA A/C SCH 40 90 8"</v>
      </c>
      <c r="C8508" s="2" t="str">
        <f>"UN"</f>
        <v>UN</v>
      </c>
      <c r="D8508" s="7">
        <v>912</v>
      </c>
      <c r="E8508" s="3">
        <v>10</v>
      </c>
      <c r="F8508" s="3">
        <v>10</v>
      </c>
      <c r="G8508" t="s">
        <v>514</v>
      </c>
    </row>
    <row r="8509" spans="1:7" x14ac:dyDescent="0.25">
      <c r="A8509" s="1" t="str">
        <f>"522497"</f>
        <v>522497</v>
      </c>
      <c r="B8509" s="2" t="str">
        <f>"CURVA AÇO CARBONO 1 1/4 SCH40"</f>
        <v>CURVA AÇO CARBONO 1 1/4 SCH40</v>
      </c>
      <c r="C8509" s="2" t="str">
        <f>"UN"</f>
        <v>UN</v>
      </c>
      <c r="D8509" s="7">
        <v>807</v>
      </c>
      <c r="E8509" s="3">
        <v>10</v>
      </c>
      <c r="F8509" s="3">
        <v>10</v>
      </c>
      <c r="G8509" t="s">
        <v>513</v>
      </c>
    </row>
    <row r="8510" spans="1:7" x14ac:dyDescent="0.25">
      <c r="A8510" s="1" t="str">
        <f>"521226"</f>
        <v>521226</v>
      </c>
      <c r="B8510" s="2" t="str">
        <f>"CURVA AÇO CARBONO 1""  90° SCH40"</f>
        <v>CURVA AÇO CARBONO 1"  90° SCH40</v>
      </c>
      <c r="C8510" s="2" t="str">
        <f>"BR"</f>
        <v>BR</v>
      </c>
      <c r="D8510" s="7">
        <v>808</v>
      </c>
      <c r="E8510" s="3">
        <v>10</v>
      </c>
      <c r="F8510" s="3">
        <v>10</v>
      </c>
      <c r="G8510" t="s">
        <v>513</v>
      </c>
    </row>
    <row r="8511" spans="1:7" x14ac:dyDescent="0.25">
      <c r="A8511" s="1" t="str">
        <f>"505485"</f>
        <v>505485</v>
      </c>
      <c r="B8511" s="2" t="str">
        <f>"CURVA ACO CARBONO 1""1/2"" 90º PRETO"</f>
        <v>CURVA ACO CARBONO 1"1/2" 90º PRETO</v>
      </c>
      <c r="C8511" s="2" t="str">
        <f>"UN"</f>
        <v>UN</v>
      </c>
      <c r="D8511" s="7">
        <v>402</v>
      </c>
      <c r="E8511" s="3">
        <v>4</v>
      </c>
      <c r="F8511" s="3">
        <v>4</v>
      </c>
      <c r="G8511" t="s">
        <v>513</v>
      </c>
    </row>
    <row r="8512" spans="1:7" x14ac:dyDescent="0.25">
      <c r="A8512" s="1" t="str">
        <f>"525216"</f>
        <v>525216</v>
      </c>
      <c r="B8512" s="2" t="str">
        <f>"CURVA AÇO CARBONO 1/2""  90° SCH40"</f>
        <v>CURVA AÇO CARBONO 1/2"  90° SCH40</v>
      </c>
      <c r="C8512" s="2" t="str">
        <f>"BR"</f>
        <v>BR</v>
      </c>
      <c r="D8512" s="7">
        <v>808</v>
      </c>
      <c r="E8512" s="3">
        <v>10</v>
      </c>
      <c r="F8512" s="3">
        <v>10</v>
      </c>
      <c r="G8512" t="s">
        <v>512</v>
      </c>
    </row>
    <row r="8513" spans="1:7" x14ac:dyDescent="0.25">
      <c r="A8513" s="1" t="str">
        <f>"515980"</f>
        <v>515980</v>
      </c>
      <c r="B8513" s="2" t="str">
        <f>"CURVA AÇO CARBONO 2"" 90° SH40"</f>
        <v>CURVA AÇO CARBONO 2" 90° SH40</v>
      </c>
      <c r="C8513" s="2" t="str">
        <f>"UN"</f>
        <v>UN</v>
      </c>
      <c r="D8513" s="7">
        <v>99999</v>
      </c>
      <c r="E8513" s="3">
        <v>99</v>
      </c>
      <c r="F8513" s="3">
        <v>99</v>
      </c>
      <c r="G8513" t="s">
        <v>513</v>
      </c>
    </row>
    <row r="8514" spans="1:7" x14ac:dyDescent="0.25">
      <c r="A8514" s="1" t="str">
        <f>"521227"</f>
        <v>521227</v>
      </c>
      <c r="B8514" s="2" t="str">
        <f>"CURVA AÇO CARBONO 3/4"" S/ CUSTURA SCHD40"</f>
        <v>CURVA AÇO CARBONO 3/4" S/ CUSTURA SCHD40</v>
      </c>
      <c r="C8514" s="2" t="str">
        <f>"BR"</f>
        <v>BR</v>
      </c>
      <c r="D8514" s="7">
        <v>808</v>
      </c>
      <c r="E8514" s="3">
        <v>10</v>
      </c>
      <c r="F8514" s="3">
        <v>10</v>
      </c>
      <c r="G8514" t="s">
        <v>514</v>
      </c>
    </row>
    <row r="8515" spans="1:7" x14ac:dyDescent="0.25">
      <c r="A8515" s="1" t="str">
        <f>"501308"</f>
        <v>501308</v>
      </c>
      <c r="B8515" s="2" t="str">
        <f>"CURVA AÇO CARBONO SOLDAVEL 180° 1""1/4"</f>
        <v>CURVA AÇO CARBONO SOLDAVEL 180° 1"1/4</v>
      </c>
      <c r="C8515" s="2" t="str">
        <f>"BR"</f>
        <v>BR</v>
      </c>
      <c r="D8515" s="7">
        <v>808</v>
      </c>
      <c r="E8515" s="3">
        <v>10</v>
      </c>
      <c r="F8515" s="3">
        <v>10</v>
      </c>
      <c r="G8515" t="s">
        <v>515</v>
      </c>
    </row>
    <row r="8516" spans="1:7" x14ac:dyDescent="0.25">
      <c r="A8516" s="1" t="str">
        <f>"511973"</f>
        <v>511973</v>
      </c>
      <c r="B8516" s="2" t="str">
        <f>"CURVA ACO CARBONO SOLDAVEL 3"" 45º"</f>
        <v>CURVA ACO CARBONO SOLDAVEL 3" 45º</v>
      </c>
      <c r="C8516" s="2" t="str">
        <f>"BR"</f>
        <v>BR</v>
      </c>
      <c r="D8516" s="7">
        <v>808</v>
      </c>
      <c r="E8516" s="3">
        <v>10</v>
      </c>
      <c r="F8516" s="3">
        <v>10</v>
      </c>
      <c r="G8516" t="s">
        <v>512</v>
      </c>
    </row>
    <row r="8517" spans="1:7" x14ac:dyDescent="0.25">
      <c r="A8517" s="1" t="str">
        <f>"510732"</f>
        <v>510732</v>
      </c>
      <c r="B8517" s="2" t="str">
        <f>"CURVA ACO CARBONO SOLDAVEL 3"" 90º"</f>
        <v>CURVA ACO CARBONO SOLDAVEL 3" 90º</v>
      </c>
      <c r="C8517" s="2" t="str">
        <f>"BR"</f>
        <v>BR</v>
      </c>
      <c r="D8517" s="7">
        <v>808</v>
      </c>
      <c r="E8517" s="3">
        <v>10</v>
      </c>
      <c r="F8517" s="3">
        <v>10</v>
      </c>
      <c r="G8517" t="s">
        <v>516</v>
      </c>
    </row>
    <row r="8518" spans="1:7" x14ac:dyDescent="0.25">
      <c r="A8518" s="1" t="str">
        <f>"505486"</f>
        <v>505486</v>
      </c>
      <c r="B8518" s="2" t="str">
        <f>"CURVA ACO CARBONO SOLDAVEL 3/4"""</f>
        <v>CURVA ACO CARBONO SOLDAVEL 3/4"</v>
      </c>
      <c r="C8518" s="2" t="str">
        <f>"BR"</f>
        <v>BR</v>
      </c>
      <c r="D8518" s="7">
        <v>808</v>
      </c>
      <c r="E8518" s="3">
        <v>10</v>
      </c>
      <c r="F8518" s="3">
        <v>10</v>
      </c>
      <c r="G8518" t="s">
        <v>515</v>
      </c>
    </row>
    <row r="8519" spans="1:7" x14ac:dyDescent="0.25">
      <c r="A8519" s="1" t="str">
        <f>"520005"</f>
        <v>520005</v>
      </c>
      <c r="B8519" s="2" t="str">
        <f>"CURVA AÇO CARBONO SOLDAVEL 45° 1"""</f>
        <v>CURVA AÇO CARBONO SOLDAVEL 45° 1"</v>
      </c>
      <c r="C8519" s="2" t="str">
        <f>"UN"</f>
        <v>UN</v>
      </c>
      <c r="D8519" s="7">
        <v>808</v>
      </c>
      <c r="E8519" s="3">
        <v>10</v>
      </c>
      <c r="F8519" s="3">
        <v>10</v>
      </c>
      <c r="G8519" t="s">
        <v>514</v>
      </c>
    </row>
    <row r="8520" spans="1:7" x14ac:dyDescent="0.25">
      <c r="A8520" s="1" t="str">
        <f>"520007"</f>
        <v>520007</v>
      </c>
      <c r="B8520" s="2" t="str">
        <f>"CURVA AÇO CARBONO SOLDAVEL 45° 2""1/2"</f>
        <v>CURVA AÇO CARBONO SOLDAVEL 45° 2"1/2</v>
      </c>
      <c r="C8520" s="2" t="str">
        <f>"UN"</f>
        <v>UN</v>
      </c>
      <c r="D8520" s="7">
        <v>808</v>
      </c>
      <c r="E8520" s="3">
        <v>10</v>
      </c>
      <c r="F8520" s="3">
        <v>10</v>
      </c>
      <c r="G8520" t="s">
        <v>512</v>
      </c>
    </row>
    <row r="8521" spans="1:7" x14ac:dyDescent="0.25">
      <c r="A8521" s="1" t="str">
        <f>"523246"</f>
        <v>523246</v>
      </c>
      <c r="B8521" s="2" t="str">
        <f>"CURVA AÇO CARBONO SOLDAVEL 45° 4"""</f>
        <v>CURVA AÇO CARBONO SOLDAVEL 45° 4"</v>
      </c>
      <c r="C8521" s="2" t="str">
        <f>"BR"</f>
        <v>BR</v>
      </c>
      <c r="D8521" s="7">
        <v>808</v>
      </c>
      <c r="E8521" s="3">
        <v>10</v>
      </c>
      <c r="F8521" s="3">
        <v>10</v>
      </c>
      <c r="G8521" t="s">
        <v>513</v>
      </c>
    </row>
    <row r="8522" spans="1:7" x14ac:dyDescent="0.25">
      <c r="A8522" s="1" t="str">
        <f>"510755"</f>
        <v>510755</v>
      </c>
      <c r="B8522" s="2" t="str">
        <f>"CURVA ACO CARBONO SOLDAVEL 5"""</f>
        <v>CURVA ACO CARBONO SOLDAVEL 5"</v>
      </c>
      <c r="C8522" s="2" t="str">
        <f>"BR"</f>
        <v>BR</v>
      </c>
      <c r="D8522" s="7">
        <v>808</v>
      </c>
      <c r="E8522" s="3">
        <v>10</v>
      </c>
      <c r="F8522" s="3">
        <v>10</v>
      </c>
      <c r="G8522" t="s">
        <v>514</v>
      </c>
    </row>
    <row r="8523" spans="1:7" x14ac:dyDescent="0.25">
      <c r="A8523" s="1" t="str">
        <f>"516048"</f>
        <v>516048</v>
      </c>
      <c r="B8523" s="2" t="str">
        <f>"CURVA ACO CARBONO SOLDAVEL 6"""</f>
        <v>CURVA ACO CARBONO SOLDAVEL 6"</v>
      </c>
      <c r="C8523" s="2" t="str">
        <f>"UN"</f>
        <v>UN</v>
      </c>
      <c r="D8523" s="7">
        <v>99999</v>
      </c>
      <c r="E8523" s="3">
        <v>99</v>
      </c>
      <c r="F8523" s="3">
        <v>99</v>
      </c>
      <c r="G8523" t="s">
        <v>514</v>
      </c>
    </row>
    <row r="8524" spans="1:7" x14ac:dyDescent="0.25">
      <c r="A8524" s="1" t="str">
        <f>"516106"</f>
        <v>516106</v>
      </c>
      <c r="B8524" s="2" t="str">
        <f>"CURVA AÇO CARBONO SOLDAVEL 90° 1 1/2"""</f>
        <v>CURVA AÇO CARBONO SOLDAVEL 90° 1 1/2"</v>
      </c>
      <c r="C8524" s="2" t="str">
        <f>"UN"</f>
        <v>UN</v>
      </c>
      <c r="D8524" s="7">
        <v>807</v>
      </c>
      <c r="E8524" s="3">
        <v>10</v>
      </c>
      <c r="F8524" s="3">
        <v>10</v>
      </c>
      <c r="G8524" t="s">
        <v>512</v>
      </c>
    </row>
    <row r="8525" spans="1:7" x14ac:dyDescent="0.25">
      <c r="A8525" s="1" t="str">
        <f>"510744"</f>
        <v>510744</v>
      </c>
      <c r="B8525" s="2" t="str">
        <f>"CURVA AÇO CARBONO SOLDAVEL 90° 1 1/4"" #3MM"</f>
        <v>CURVA AÇO CARBONO SOLDAVEL 90° 1 1/4" #3MM</v>
      </c>
      <c r="C8525" s="2" t="str">
        <f>"BR"</f>
        <v>BR</v>
      </c>
      <c r="D8525" s="7">
        <v>808</v>
      </c>
      <c r="E8525" s="3">
        <v>10</v>
      </c>
      <c r="F8525" s="3">
        <v>10</v>
      </c>
      <c r="G8525" t="s">
        <v>513</v>
      </c>
    </row>
    <row r="8526" spans="1:7" x14ac:dyDescent="0.25">
      <c r="A8526" s="1" t="str">
        <f>"510748"</f>
        <v>510748</v>
      </c>
      <c r="B8526" s="2" t="str">
        <f>"CURVA AÇO CARBONO SOLDAVEL 90° 1"""</f>
        <v>CURVA AÇO CARBONO SOLDAVEL 90° 1"</v>
      </c>
      <c r="C8526" s="2" t="str">
        <f>"BR"</f>
        <v>BR</v>
      </c>
      <c r="D8526" s="7">
        <v>808</v>
      </c>
      <c r="E8526" s="3">
        <v>10</v>
      </c>
      <c r="F8526" s="3">
        <v>10</v>
      </c>
      <c r="G8526" t="s">
        <v>514</v>
      </c>
    </row>
    <row r="8527" spans="1:7" x14ac:dyDescent="0.25">
      <c r="A8527" s="1" t="str">
        <f>"510751"</f>
        <v>510751</v>
      </c>
      <c r="B8527" s="2" t="str">
        <f>"CURVA AÇO CARBONO SOLDAVEL 90° 1/2"""</f>
        <v>CURVA AÇO CARBONO SOLDAVEL 90° 1/2"</v>
      </c>
      <c r="C8527" s="2" t="str">
        <f>"BR"</f>
        <v>BR</v>
      </c>
      <c r="D8527" s="7">
        <v>808</v>
      </c>
      <c r="E8527" s="3">
        <v>10</v>
      </c>
      <c r="F8527" s="3">
        <v>10</v>
      </c>
      <c r="G8527" t="s">
        <v>514</v>
      </c>
    </row>
    <row r="8528" spans="1:7" x14ac:dyDescent="0.25">
      <c r="A8528" s="1" t="str">
        <f>"510742"</f>
        <v>510742</v>
      </c>
      <c r="B8528" s="2" t="str">
        <f>"CURVA AÇO CARBONO SOLDAVEL 90° 2"""</f>
        <v>CURVA AÇO CARBONO SOLDAVEL 90° 2"</v>
      </c>
      <c r="C8528" s="2" t="str">
        <f>"BR"</f>
        <v>BR</v>
      </c>
      <c r="D8528" s="7">
        <v>808</v>
      </c>
      <c r="E8528" s="3">
        <v>10</v>
      </c>
      <c r="F8528" s="3">
        <v>10</v>
      </c>
      <c r="G8528" t="s">
        <v>514</v>
      </c>
    </row>
    <row r="8529" spans="1:7" x14ac:dyDescent="0.25">
      <c r="A8529" s="1" t="str">
        <f>"510738"</f>
        <v>510738</v>
      </c>
      <c r="B8529" s="2" t="str">
        <f>"CURVA AÇO CARBONO SOLDAVEL 90° 2""1/2"</f>
        <v>CURVA AÇO CARBONO SOLDAVEL 90° 2"1/2</v>
      </c>
      <c r="C8529" s="2" t="str">
        <f>"BR"</f>
        <v>BR</v>
      </c>
      <c r="D8529" s="7">
        <v>808</v>
      </c>
      <c r="E8529" s="3">
        <v>10</v>
      </c>
      <c r="F8529" s="3">
        <v>10</v>
      </c>
      <c r="G8529" t="s">
        <v>513</v>
      </c>
    </row>
    <row r="8530" spans="1:7" x14ac:dyDescent="0.25">
      <c r="A8530" s="1" t="str">
        <f>"505484"</f>
        <v>505484</v>
      </c>
      <c r="B8530" s="2" t="str">
        <f>"CURVA AÇO CARBONO SOLDAVEL 90° 3"""</f>
        <v>CURVA AÇO CARBONO SOLDAVEL 90° 3"</v>
      </c>
      <c r="C8530" s="2" t="str">
        <f>"UN"</f>
        <v>UN</v>
      </c>
      <c r="D8530" s="7">
        <v>402</v>
      </c>
      <c r="E8530" s="3">
        <v>4</v>
      </c>
      <c r="F8530" s="3">
        <v>4</v>
      </c>
      <c r="G8530" t="s">
        <v>512</v>
      </c>
    </row>
    <row r="8531" spans="1:7" x14ac:dyDescent="0.25">
      <c r="A8531" s="1" t="str">
        <f>"520619"</f>
        <v>520619</v>
      </c>
      <c r="B8531" s="2" t="str">
        <f>"CURVA AÇO CARBONO SOLDAVEL 90° 3/4"""</f>
        <v>CURVA AÇO CARBONO SOLDAVEL 90° 3/4"</v>
      </c>
      <c r="C8531" s="2" t="str">
        <f>"BR"</f>
        <v>BR</v>
      </c>
      <c r="D8531" s="7">
        <v>808</v>
      </c>
      <c r="E8531" s="3">
        <v>10</v>
      </c>
      <c r="F8531" s="3">
        <v>10</v>
      </c>
      <c r="G8531" t="s">
        <v>513</v>
      </c>
    </row>
    <row r="8532" spans="1:7" x14ac:dyDescent="0.25">
      <c r="A8532" s="1" t="str">
        <f>"510734"</f>
        <v>510734</v>
      </c>
      <c r="B8532" s="2" t="str">
        <f>"CURVA AÇO CARBONO SOLDAVEL 90° 4"""</f>
        <v>CURVA AÇO CARBONO SOLDAVEL 90° 4"</v>
      </c>
      <c r="C8532" s="2" t="str">
        <f>"BR"</f>
        <v>BR</v>
      </c>
      <c r="D8532" s="7">
        <v>808</v>
      </c>
      <c r="E8532" s="3">
        <v>10</v>
      </c>
      <c r="F8532" s="3">
        <v>10</v>
      </c>
      <c r="G8532" t="s">
        <v>514</v>
      </c>
    </row>
    <row r="8533" spans="1:7" x14ac:dyDescent="0.25">
      <c r="A8533" s="1" t="str">
        <f>"520618"</f>
        <v>520618</v>
      </c>
      <c r="B8533" s="2" t="str">
        <f>"CURVA AÇO CARBONO SOLDAVEL 90° 5"""</f>
        <v>CURVA AÇO CARBONO SOLDAVEL 90° 5"</v>
      </c>
      <c r="C8533" s="2" t="str">
        <f>"BR"</f>
        <v>BR</v>
      </c>
      <c r="D8533" s="7">
        <v>808</v>
      </c>
      <c r="E8533" s="3">
        <v>10</v>
      </c>
      <c r="F8533" s="3">
        <v>10</v>
      </c>
      <c r="G8533" t="s">
        <v>514</v>
      </c>
    </row>
    <row r="8534" spans="1:7" x14ac:dyDescent="0.25">
      <c r="A8534" s="1" t="str">
        <f>"520617"</f>
        <v>520617</v>
      </c>
      <c r="B8534" s="2" t="str">
        <f>"CURVA AÇO CARBONO SOLDAVEL 90° 6"""</f>
        <v>CURVA AÇO CARBONO SOLDAVEL 90° 6"</v>
      </c>
      <c r="C8534" s="2" t="str">
        <f>"BR"</f>
        <v>BR</v>
      </c>
      <c r="D8534" s="7">
        <v>808</v>
      </c>
      <c r="E8534" s="3">
        <v>10</v>
      </c>
      <c r="F8534" s="3">
        <v>10</v>
      </c>
      <c r="G8534" t="s">
        <v>514</v>
      </c>
    </row>
    <row r="8535" spans="1:7" x14ac:dyDescent="0.25">
      <c r="A8535" s="1" t="str">
        <f>"525344"</f>
        <v>525344</v>
      </c>
      <c r="B8535" s="2" t="str">
        <f>"CURVA ARAMADA EXTERNA INOX 50X50 90º"</f>
        <v>CURVA ARAMADA EXTERNA INOX 50X50 90º</v>
      </c>
      <c r="C8535" s="2" t="str">
        <f>"UN"</f>
        <v>UN</v>
      </c>
      <c r="D8535" s="7">
        <v>600</v>
      </c>
      <c r="E8535" s="3">
        <v>8</v>
      </c>
      <c r="F8535" s="3">
        <v>8</v>
      </c>
      <c r="G8535" t="s">
        <v>513</v>
      </c>
    </row>
    <row r="8536" spans="1:7" x14ac:dyDescent="0.25">
      <c r="A8536" s="1" t="str">
        <f>"526231"</f>
        <v>526231</v>
      </c>
      <c r="B8536" s="2" t="str">
        <f>"CURVA ARAMADA HORZ. 90º 100X50MM"</f>
        <v>CURVA ARAMADA HORZ. 90º 100X50MM</v>
      </c>
      <c r="C8536" s="2" t="str">
        <f>"UN"</f>
        <v>UN</v>
      </c>
      <c r="D8536" s="7">
        <v>600</v>
      </c>
      <c r="E8536" s="3">
        <v>8</v>
      </c>
      <c r="F8536" s="3">
        <v>8</v>
      </c>
      <c r="G8536" t="s">
        <v>513</v>
      </c>
    </row>
    <row r="8537" spans="1:7" x14ac:dyDescent="0.25">
      <c r="A8537" s="1" t="str">
        <f>"525343"</f>
        <v>525343</v>
      </c>
      <c r="B8537" s="2" t="str">
        <f>"CURVA ARAMADA INTERNA INOX 50X50 90º"</f>
        <v>CURVA ARAMADA INTERNA INOX 50X50 90º</v>
      </c>
      <c r="C8537" s="2" t="str">
        <f>"UN"</f>
        <v>UN</v>
      </c>
      <c r="D8537" s="7">
        <v>600</v>
      </c>
      <c r="E8537" s="3">
        <v>8</v>
      </c>
      <c r="F8537" s="3">
        <v>8</v>
      </c>
      <c r="G8537" t="s">
        <v>513</v>
      </c>
    </row>
    <row r="8538" spans="1:7" x14ac:dyDescent="0.25">
      <c r="A8538" s="1" t="str">
        <f>"525342"</f>
        <v>525342</v>
      </c>
      <c r="B8538" s="2" t="str">
        <f>"CURVA ARAMADA VERTICAL INTERNA INOX 30X30 90º"</f>
        <v>CURVA ARAMADA VERTICAL INTERNA INOX 30X30 90º</v>
      </c>
      <c r="C8538" s="2" t="str">
        <f>"UN"</f>
        <v>UN</v>
      </c>
      <c r="D8538" s="7">
        <v>600</v>
      </c>
      <c r="E8538" s="3">
        <v>8</v>
      </c>
      <c r="F8538" s="3">
        <v>8</v>
      </c>
      <c r="G8538" t="s">
        <v>512</v>
      </c>
    </row>
    <row r="8539" spans="1:7" x14ac:dyDescent="0.25">
      <c r="A8539" s="1" t="str">
        <f>"517549"</f>
        <v>517549</v>
      </c>
      <c r="B8539" s="2" t="str">
        <f>"CURVA ARTICULADA P/ LEITO 100X300MM INOX"</f>
        <v>CURVA ARTICULADA P/ LEITO 100X300MM INOX</v>
      </c>
      <c r="C8539" s="2" t="str">
        <f>"UN"</f>
        <v>UN</v>
      </c>
      <c r="D8539" s="7">
        <v>811</v>
      </c>
      <c r="E8539" s="3">
        <v>8</v>
      </c>
      <c r="F8539" s="3">
        <v>8</v>
      </c>
      <c r="G8539" t="s">
        <v>513</v>
      </c>
    </row>
    <row r="8540" spans="1:7" x14ac:dyDescent="0.25">
      <c r="A8540" s="1" t="str">
        <f>"502448"</f>
        <v>502448</v>
      </c>
      <c r="B8540" s="2" t="str">
        <f>"CURVA DE ESGOTO 90º DE 150MM OCRE"</f>
        <v>CURVA DE ESGOTO 90º DE 150MM OCRE</v>
      </c>
      <c r="C8540" s="2" t="str">
        <f>"BR"</f>
        <v>BR</v>
      </c>
      <c r="D8540" s="7">
        <v>809</v>
      </c>
      <c r="E8540" s="3">
        <v>10</v>
      </c>
      <c r="F8540" s="3">
        <v>10</v>
      </c>
      <c r="G8540" t="s">
        <v>514</v>
      </c>
    </row>
    <row r="8541" spans="1:7" x14ac:dyDescent="0.25">
      <c r="A8541" s="1" t="str">
        <f>"503321"</f>
        <v>503321</v>
      </c>
      <c r="B8541" s="2" t="str">
        <f>"CURVA DE SOLDA 90º DE 4"""</f>
        <v>CURVA DE SOLDA 90º DE 4"</v>
      </c>
      <c r="C8541" s="2" t="str">
        <f>"BR"</f>
        <v>BR</v>
      </c>
      <c r="D8541" s="7">
        <v>809</v>
      </c>
      <c r="E8541" s="3">
        <v>10</v>
      </c>
      <c r="F8541" s="3">
        <v>10</v>
      </c>
      <c r="G8541" t="s">
        <v>515</v>
      </c>
    </row>
    <row r="8542" spans="1:7" x14ac:dyDescent="0.25">
      <c r="A8542" s="1" t="str">
        <f>"502658"</f>
        <v>502658</v>
      </c>
      <c r="B8542" s="2" t="str">
        <f>"CURVA DO ESCAPAMENTO"</f>
        <v>CURVA DO ESCAPAMENTO</v>
      </c>
      <c r="C8542" s="2" t="str">
        <f>"UN"</f>
        <v>UN</v>
      </c>
      <c r="D8542" s="7">
        <v>704</v>
      </c>
      <c r="E8542" s="3">
        <v>9</v>
      </c>
      <c r="F8542" s="3">
        <v>9</v>
      </c>
      <c r="G8542" t="s">
        <v>512</v>
      </c>
    </row>
    <row r="8543" spans="1:7" x14ac:dyDescent="0.25">
      <c r="A8543" s="1" t="str">
        <f>"509619"</f>
        <v>509619</v>
      </c>
      <c r="B8543" s="2" t="str">
        <f>"CURVA DO RODOAR"</f>
        <v>CURVA DO RODOAR</v>
      </c>
      <c r="C8543" s="2" t="str">
        <f>"UN"</f>
        <v>UN</v>
      </c>
      <c r="D8543" s="7">
        <v>704</v>
      </c>
      <c r="E8543" s="3">
        <v>9</v>
      </c>
      <c r="F8543" s="3">
        <v>9</v>
      </c>
      <c r="G8543" t="s">
        <v>516</v>
      </c>
    </row>
    <row r="8544" spans="1:7" x14ac:dyDescent="0.25">
      <c r="A8544" s="1" t="str">
        <f>"513405"</f>
        <v>513405</v>
      </c>
      <c r="B8544" s="2" t="str">
        <f>"CURVA ESCAPE 4"""</f>
        <v>CURVA ESCAPE 4"</v>
      </c>
      <c r="C8544" s="2" t="str">
        <f>"UN"</f>
        <v>UN</v>
      </c>
      <c r="D8544" s="7">
        <v>704</v>
      </c>
      <c r="E8544" s="3">
        <v>9</v>
      </c>
      <c r="F8544" s="3">
        <v>9</v>
      </c>
      <c r="G8544" t="s">
        <v>515</v>
      </c>
    </row>
    <row r="8545" spans="1:7" x14ac:dyDescent="0.25">
      <c r="A8545" s="1" t="str">
        <f>"502437"</f>
        <v>502437</v>
      </c>
      <c r="B8545" s="2" t="str">
        <f>"CURVA ESGOTO LONGA DE 300MM OU 12"""</f>
        <v>CURVA ESGOTO LONGA DE 300MM OU 12"</v>
      </c>
      <c r="C8545" s="2" t="str">
        <f>"BR"</f>
        <v>BR</v>
      </c>
      <c r="D8545" s="7">
        <v>809</v>
      </c>
      <c r="E8545" s="3">
        <v>10</v>
      </c>
      <c r="F8545" s="3">
        <v>10</v>
      </c>
      <c r="G8545" t="s">
        <v>514</v>
      </c>
    </row>
    <row r="8546" spans="1:7" x14ac:dyDescent="0.25">
      <c r="A8546" s="1" t="str">
        <f>"504084"</f>
        <v>504084</v>
      </c>
      <c r="B8546" s="2" t="str">
        <f>"CURVA F.G. 1"" ROSCA EXTERNA"</f>
        <v>CURVA F.G. 1" ROSCA EXTERNA</v>
      </c>
      <c r="C8546" s="2" t="str">
        <f>"BR"</f>
        <v>BR</v>
      </c>
      <c r="D8546" s="7">
        <v>808</v>
      </c>
      <c r="E8546" s="3">
        <v>10</v>
      </c>
      <c r="F8546" s="3">
        <v>10</v>
      </c>
      <c r="G8546" t="s">
        <v>512</v>
      </c>
    </row>
    <row r="8547" spans="1:7" x14ac:dyDescent="0.25">
      <c r="A8547" s="1" t="str">
        <f>"500404"</f>
        <v>500404</v>
      </c>
      <c r="B8547" s="2" t="str">
        <f>"CURVA F.G. DE 2 X 1 1/2"" DE 90º"</f>
        <v>CURVA F.G. DE 2 X 1 1/2" DE 90º</v>
      </c>
      <c r="C8547" s="2" t="str">
        <f>"BR"</f>
        <v>BR</v>
      </c>
      <c r="D8547" s="7">
        <v>808</v>
      </c>
      <c r="E8547" s="3">
        <v>10</v>
      </c>
      <c r="F8547" s="3">
        <v>10</v>
      </c>
      <c r="G8547" t="s">
        <v>513</v>
      </c>
    </row>
    <row r="8548" spans="1:7" x14ac:dyDescent="0.25">
      <c r="A8548" s="1" t="str">
        <f>"509534"</f>
        <v>509534</v>
      </c>
      <c r="B8548" s="2" t="str">
        <f>"CURVA FEMEA GALV 3/4"</f>
        <v>CURVA FEMEA GALV 3/4</v>
      </c>
      <c r="C8548" s="2" t="str">
        <f t="shared" ref="C8548:C8566" si="329">"UN"</f>
        <v>UN</v>
      </c>
      <c r="D8548" s="7">
        <v>912</v>
      </c>
      <c r="E8548" s="3">
        <v>11</v>
      </c>
      <c r="F8548" s="3">
        <v>11</v>
      </c>
      <c r="G8548" t="s">
        <v>514</v>
      </c>
    </row>
    <row r="8549" spans="1:7" x14ac:dyDescent="0.25">
      <c r="A8549" s="1" t="str">
        <f>"523456"</f>
        <v>523456</v>
      </c>
      <c r="B8549" s="2" t="str">
        <f>"CURVA GALVANIZADA 90º 1"""</f>
        <v>CURVA GALVANIZADA 90º 1"</v>
      </c>
      <c r="C8549" s="2" t="str">
        <f t="shared" si="329"/>
        <v>UN</v>
      </c>
      <c r="D8549" s="7">
        <v>601</v>
      </c>
      <c r="E8549" s="3">
        <v>8</v>
      </c>
      <c r="F8549" s="3">
        <v>8</v>
      </c>
      <c r="G8549" t="s">
        <v>514</v>
      </c>
    </row>
    <row r="8550" spans="1:7" x14ac:dyDescent="0.25">
      <c r="A8550" s="1" t="str">
        <f>"522692"</f>
        <v>522692</v>
      </c>
      <c r="B8550" s="2" t="str">
        <f>"CURVA GALVANIZADO A FOGO PESADO 4"" X 90º"</f>
        <v>CURVA GALVANIZADO A FOGO PESADO 4" X 90º</v>
      </c>
      <c r="C8550" s="2" t="str">
        <f t="shared" si="329"/>
        <v>UN</v>
      </c>
      <c r="D8550" s="7">
        <v>601</v>
      </c>
      <c r="E8550" s="3">
        <v>8</v>
      </c>
      <c r="F8550" s="3">
        <v>8</v>
      </c>
      <c r="G8550" t="s">
        <v>512</v>
      </c>
    </row>
    <row r="8551" spans="1:7" x14ac:dyDescent="0.25">
      <c r="A8551" s="1" t="str">
        <f>"522415"</f>
        <v>522415</v>
      </c>
      <c r="B8551" s="2" t="str">
        <f>"CURVA HOR. 90 BM014"</f>
        <v>CURVA HOR. 90 BM014</v>
      </c>
      <c r="C8551" s="2" t="str">
        <f t="shared" si="329"/>
        <v>UN</v>
      </c>
      <c r="D8551" s="7">
        <v>811</v>
      </c>
      <c r="E8551" s="3">
        <v>10</v>
      </c>
      <c r="F8551" s="3">
        <v>10</v>
      </c>
      <c r="G8551" t="s">
        <v>513</v>
      </c>
    </row>
    <row r="8552" spans="1:7" x14ac:dyDescent="0.25">
      <c r="A8552" s="1" t="str">
        <f>"518047"</f>
        <v>518047</v>
      </c>
      <c r="B8552" s="2" t="str">
        <f>"CURVA HORIZONAL 100X50MM 90º"</f>
        <v>CURVA HORIZONAL 100X50MM 90º</v>
      </c>
      <c r="C8552" s="2" t="str">
        <f t="shared" si="329"/>
        <v>UN</v>
      </c>
      <c r="D8552" s="7">
        <v>811</v>
      </c>
      <c r="E8552" s="3">
        <v>8</v>
      </c>
      <c r="F8552" s="3">
        <v>8</v>
      </c>
      <c r="G8552" t="s">
        <v>514</v>
      </c>
    </row>
    <row r="8553" spans="1:7" x14ac:dyDescent="0.25">
      <c r="A8553" s="1" t="str">
        <f>"518950"</f>
        <v>518950</v>
      </c>
      <c r="B8553" s="2" t="str">
        <f>"CURVA HORIZONAL 400X50MM 90º"</f>
        <v>CURVA HORIZONAL 400X50MM 90º</v>
      </c>
      <c r="C8553" s="2" t="str">
        <f t="shared" si="329"/>
        <v>UN</v>
      </c>
      <c r="D8553" s="7">
        <v>811</v>
      </c>
      <c r="E8553" s="3">
        <v>8</v>
      </c>
      <c r="F8553" s="3">
        <v>8</v>
      </c>
      <c r="G8553" t="s">
        <v>514</v>
      </c>
    </row>
    <row r="8554" spans="1:7" x14ac:dyDescent="0.25">
      <c r="A8554" s="1" t="str">
        <f>"513047"</f>
        <v>513047</v>
      </c>
      <c r="B8554" s="2" t="str">
        <f>"CURVA HORIZONTAL 320MM"</f>
        <v>CURVA HORIZONTAL 320MM</v>
      </c>
      <c r="C8554" s="2" t="str">
        <f t="shared" si="329"/>
        <v>UN</v>
      </c>
      <c r="D8554" s="7">
        <v>811</v>
      </c>
      <c r="E8554" s="3">
        <v>8</v>
      </c>
      <c r="F8554" s="3">
        <v>8</v>
      </c>
      <c r="G8554" t="s">
        <v>514</v>
      </c>
    </row>
    <row r="8555" spans="1:7" x14ac:dyDescent="0.25">
      <c r="A8555" s="1" t="str">
        <f>"522734"</f>
        <v>522734</v>
      </c>
      <c r="B8555" s="2" t="str">
        <f>"CURVA HORIZONTAL 50X50 90°"</f>
        <v>CURVA HORIZONTAL 50X50 90°</v>
      </c>
      <c r="C8555" s="2" t="str">
        <f t="shared" si="329"/>
        <v>UN</v>
      </c>
      <c r="D8555" s="7">
        <v>811</v>
      </c>
      <c r="E8555" s="3">
        <v>10</v>
      </c>
      <c r="F8555" s="3">
        <v>10</v>
      </c>
      <c r="G8555" t="s">
        <v>513</v>
      </c>
    </row>
    <row r="8556" spans="1:7" x14ac:dyDescent="0.25">
      <c r="A8556" s="1" t="str">
        <f>"522589"</f>
        <v>522589</v>
      </c>
      <c r="B8556" s="2" t="str">
        <f>"CURVA HORIZONTAL 90 PTC 400X100MM GF"</f>
        <v>CURVA HORIZONTAL 90 PTC 400X100MM GF</v>
      </c>
      <c r="C8556" s="2" t="str">
        <f t="shared" si="329"/>
        <v>UN</v>
      </c>
      <c r="D8556" s="7">
        <v>811</v>
      </c>
      <c r="E8556" s="3">
        <v>10</v>
      </c>
      <c r="F8556" s="3">
        <v>10</v>
      </c>
      <c r="G8556" t="s">
        <v>512</v>
      </c>
    </row>
    <row r="8557" spans="1:7" x14ac:dyDescent="0.25">
      <c r="A8557" s="1" t="str">
        <f>"527130"</f>
        <v>527130</v>
      </c>
      <c r="B8557" s="2" t="str">
        <f>"CURVA HORIZONTAL 90° ELETROCALHA INOX 30X30"</f>
        <v>CURVA HORIZONTAL 90° ELETROCALHA INOX 30X30</v>
      </c>
      <c r="C8557" s="2" t="str">
        <f t="shared" si="329"/>
        <v>UN</v>
      </c>
      <c r="D8557" s="7">
        <v>917</v>
      </c>
      <c r="E8557" s="3">
        <v>11</v>
      </c>
      <c r="F8557" s="3">
        <v>11</v>
      </c>
      <c r="G8557" t="s">
        <v>513</v>
      </c>
    </row>
    <row r="8558" spans="1:7" x14ac:dyDescent="0.25">
      <c r="A8558" s="1" t="str">
        <f>"509746"</f>
        <v>509746</v>
      </c>
      <c r="B8558" s="2" t="str">
        <f>"CURVA HORIZONTAL 90º P/ ELETRO.300X100"</f>
        <v>CURVA HORIZONTAL 90º P/ ELETRO.300X100</v>
      </c>
      <c r="C8558" s="2" t="str">
        <f t="shared" si="329"/>
        <v>UN</v>
      </c>
      <c r="D8558" s="7">
        <v>601</v>
      </c>
      <c r="E8558" s="3">
        <v>8</v>
      </c>
      <c r="F8558" s="3">
        <v>8</v>
      </c>
      <c r="G8558" t="s">
        <v>514</v>
      </c>
    </row>
    <row r="8559" spans="1:7" x14ac:dyDescent="0.25">
      <c r="A8559" s="1" t="str">
        <f>"524226"</f>
        <v>524226</v>
      </c>
      <c r="B8559" s="2" t="str">
        <f>"CURVA HORIZONTAL ARAMADA ACO INOX 50X50 45"</f>
        <v>CURVA HORIZONTAL ARAMADA ACO INOX 50X50 45</v>
      </c>
      <c r="C8559" s="2" t="str">
        <f t="shared" si="329"/>
        <v>UN</v>
      </c>
      <c r="D8559" s="7">
        <v>811</v>
      </c>
      <c r="E8559" s="3">
        <v>10</v>
      </c>
      <c r="F8559" s="3">
        <v>10</v>
      </c>
      <c r="G8559" t="s">
        <v>514</v>
      </c>
    </row>
    <row r="8560" spans="1:7" x14ac:dyDescent="0.25">
      <c r="A8560" s="1" t="str">
        <f>"521293"</f>
        <v>521293</v>
      </c>
      <c r="B8560" s="2" t="str">
        <f>"CURVA HORIZONTAL GF 200X100 MM"</f>
        <v>CURVA HORIZONTAL GF 200X100 MM</v>
      </c>
      <c r="C8560" s="2" t="str">
        <f t="shared" si="329"/>
        <v>UN</v>
      </c>
      <c r="D8560" s="7">
        <v>811</v>
      </c>
      <c r="E8560" s="3">
        <v>8</v>
      </c>
      <c r="F8560" s="3">
        <v>8</v>
      </c>
      <c r="G8560" t="s">
        <v>514</v>
      </c>
    </row>
    <row r="8561" spans="1:7" x14ac:dyDescent="0.25">
      <c r="A8561" s="1" t="str">
        <f>"524590"</f>
        <v>524590</v>
      </c>
      <c r="B8561" s="2" t="str">
        <f>"CURVA HORIZONTAL INTERNA P/ LEITO 400MM"</f>
        <v>CURVA HORIZONTAL INTERNA P/ LEITO 400MM</v>
      </c>
      <c r="C8561" s="2" t="str">
        <f t="shared" si="329"/>
        <v>UN</v>
      </c>
      <c r="D8561" s="7">
        <v>811</v>
      </c>
      <c r="E8561" s="3">
        <v>10</v>
      </c>
      <c r="F8561" s="3">
        <v>10</v>
      </c>
      <c r="G8561" t="s">
        <v>513</v>
      </c>
    </row>
    <row r="8562" spans="1:7" x14ac:dyDescent="0.25">
      <c r="A8562" s="1" t="str">
        <f>"517546"</f>
        <v>517546</v>
      </c>
      <c r="B8562" s="2" t="str">
        <f>"CURVA HORIZONTAL P/ LEITO 100X300MM INOX"</f>
        <v>CURVA HORIZONTAL P/ LEITO 100X300MM INOX</v>
      </c>
      <c r="C8562" s="2" t="str">
        <f t="shared" si="329"/>
        <v>UN</v>
      </c>
      <c r="D8562" s="7">
        <v>811</v>
      </c>
      <c r="E8562" s="3">
        <v>8</v>
      </c>
      <c r="F8562" s="3">
        <v>8</v>
      </c>
      <c r="G8562" t="s">
        <v>513</v>
      </c>
    </row>
    <row r="8563" spans="1:7" x14ac:dyDescent="0.25">
      <c r="A8563" s="1" t="str">
        <f>"526232"</f>
        <v>526232</v>
      </c>
      <c r="B8563" s="2" t="str">
        <f>"CURVA HORZ. 45º 100X50MM"</f>
        <v>CURVA HORZ. 45º 100X50MM</v>
      </c>
      <c r="C8563" s="2" t="str">
        <f t="shared" si="329"/>
        <v>UN</v>
      </c>
      <c r="D8563" s="7">
        <v>600</v>
      </c>
      <c r="E8563" s="3">
        <v>8</v>
      </c>
      <c r="F8563" s="3">
        <v>8</v>
      </c>
      <c r="G8563" t="s">
        <v>513</v>
      </c>
    </row>
    <row r="8564" spans="1:7" x14ac:dyDescent="0.25">
      <c r="A8564" s="1" t="str">
        <f>"516103"</f>
        <v>516103</v>
      </c>
      <c r="B8564" s="2" t="str">
        <f>"CURVA INOX 304 DE 3"" 90º  SOLDA"</f>
        <v>CURVA INOX 304 DE 3" 90º  SOLDA</v>
      </c>
      <c r="C8564" s="2" t="str">
        <f t="shared" si="329"/>
        <v>UN</v>
      </c>
      <c r="D8564" s="7">
        <v>807</v>
      </c>
      <c r="E8564" s="3">
        <v>10</v>
      </c>
      <c r="F8564" s="3">
        <v>10</v>
      </c>
      <c r="G8564" t="s">
        <v>512</v>
      </c>
    </row>
    <row r="8565" spans="1:7" x14ac:dyDescent="0.25">
      <c r="A8565" s="1" t="str">
        <f>"512376"</f>
        <v>512376</v>
      </c>
      <c r="B8565" s="2" t="str">
        <f>"CURVA INOX 3MM"</f>
        <v>CURVA INOX 3MM</v>
      </c>
      <c r="C8565" s="2" t="str">
        <f t="shared" si="329"/>
        <v>UN</v>
      </c>
      <c r="D8565" s="7">
        <v>915</v>
      </c>
      <c r="E8565" s="3">
        <v>11</v>
      </c>
      <c r="F8565" s="3">
        <v>11</v>
      </c>
      <c r="G8565" t="s">
        <v>513</v>
      </c>
    </row>
    <row r="8566" spans="1:7" x14ac:dyDescent="0.25">
      <c r="A8566" s="1" t="str">
        <f>"516105"</f>
        <v>516105</v>
      </c>
      <c r="B8566" s="2" t="str">
        <f>"CURVA INOX 6"" 90º"</f>
        <v>CURVA INOX 6" 90º</v>
      </c>
      <c r="C8566" s="2" t="str">
        <f t="shared" si="329"/>
        <v>UN</v>
      </c>
      <c r="D8566" s="7">
        <v>807</v>
      </c>
      <c r="E8566" s="3">
        <v>10</v>
      </c>
      <c r="F8566" s="3">
        <v>10</v>
      </c>
      <c r="G8566" t="s">
        <v>514</v>
      </c>
    </row>
    <row r="8567" spans="1:7" x14ac:dyDescent="0.25">
      <c r="A8567" s="1" t="str">
        <f>"525270"</f>
        <v>525270</v>
      </c>
      <c r="B8567" s="2" t="str">
        <f>"CURVA INOX 90º 316 1"" PE"</f>
        <v>CURVA INOX 90º 316 1" PE</v>
      </c>
      <c r="C8567" s="2" t="str">
        <f>"BR"</f>
        <v>BR</v>
      </c>
      <c r="D8567" s="7">
        <v>807</v>
      </c>
      <c r="E8567" s="3">
        <v>10</v>
      </c>
      <c r="F8567" s="3">
        <v>10</v>
      </c>
      <c r="G8567" t="s">
        <v>515</v>
      </c>
    </row>
    <row r="8568" spans="1:7" x14ac:dyDescent="0.25">
      <c r="A8568" s="1" t="str">
        <f>"526783"</f>
        <v>526783</v>
      </c>
      <c r="B8568" s="2" t="str">
        <f>"CURVA INOX OD 2"" PIPE"</f>
        <v>CURVA INOX OD 2" PIPE</v>
      </c>
      <c r="C8568" s="2" t="str">
        <f>"PC"</f>
        <v>PC</v>
      </c>
      <c r="D8568" s="7">
        <v>806</v>
      </c>
      <c r="E8568" s="3">
        <v>10</v>
      </c>
      <c r="F8568" s="3">
        <v>10</v>
      </c>
      <c r="G8568" t="s">
        <v>512</v>
      </c>
    </row>
    <row r="8569" spans="1:7" x14ac:dyDescent="0.25">
      <c r="A8569" s="1" t="str">
        <f>"519978"</f>
        <v>519978</v>
      </c>
      <c r="B8569" s="2" t="str">
        <f>"CURVA LONGA 180° 304 2"" C/ RED 1"" FEMEA"</f>
        <v>CURVA LONGA 180° 304 2" C/ RED 1" FEMEA</v>
      </c>
      <c r="C8569" s="2" t="str">
        <f>"UN"</f>
        <v>UN</v>
      </c>
      <c r="D8569" s="7">
        <v>915</v>
      </c>
      <c r="E8569" s="3">
        <v>11</v>
      </c>
      <c r="F8569" s="3">
        <v>11</v>
      </c>
      <c r="G8569" t="s">
        <v>516</v>
      </c>
    </row>
    <row r="8570" spans="1:7" x14ac:dyDescent="0.25">
      <c r="A8570" s="1" t="str">
        <f>"502230"</f>
        <v>502230</v>
      </c>
      <c r="B8570" s="2" t="str">
        <f>"CURVA LONGA DE  90º INOX  304 3"" P/INTER"</f>
        <v>CURVA LONGA DE  90º INOX  304 3" P/INTER</v>
      </c>
      <c r="C8570" s="2" t="str">
        <f>"BR"</f>
        <v>BR</v>
      </c>
      <c r="D8570" s="7">
        <v>807</v>
      </c>
      <c r="E8570" s="3">
        <v>10</v>
      </c>
      <c r="F8570" s="3">
        <v>10</v>
      </c>
      <c r="G8570" t="s">
        <v>515</v>
      </c>
    </row>
    <row r="8571" spans="1:7" x14ac:dyDescent="0.25">
      <c r="A8571" s="1" t="str">
        <f>"500405"</f>
        <v>500405</v>
      </c>
      <c r="B8571" s="2" t="str">
        <f>"CURVA LONGA DE ESGOTO DE 3/4"</f>
        <v>CURVA LONGA DE ESGOTO DE 3/4</v>
      </c>
      <c r="C8571" s="2" t="str">
        <f>"BR"</f>
        <v>BR</v>
      </c>
      <c r="D8571" s="7">
        <v>809</v>
      </c>
      <c r="E8571" s="3">
        <v>10</v>
      </c>
      <c r="F8571" s="3">
        <v>10</v>
      </c>
      <c r="G8571" t="s">
        <v>514</v>
      </c>
    </row>
    <row r="8572" spans="1:7" x14ac:dyDescent="0.25">
      <c r="A8572" s="1" t="str">
        <f>"503770"</f>
        <v>503770</v>
      </c>
      <c r="B8572" s="2" t="str">
        <f>"CURVA LONGA PVC MARROM 50MM 90º"</f>
        <v>CURVA LONGA PVC MARROM 50MM 90º</v>
      </c>
      <c r="C8572" s="2" t="str">
        <f>"BR"</f>
        <v>BR</v>
      </c>
      <c r="D8572" s="7">
        <v>808</v>
      </c>
      <c r="E8572" s="3">
        <v>10</v>
      </c>
      <c r="F8572" s="3">
        <v>10</v>
      </c>
      <c r="G8572" t="s">
        <v>512</v>
      </c>
    </row>
    <row r="8573" spans="1:7" x14ac:dyDescent="0.25">
      <c r="A8573" s="1" t="str">
        <f>"526083"</f>
        <v>526083</v>
      </c>
      <c r="B8573" s="2" t="str">
        <f>"CURVA LONGA PVC MARRON 90º 1/2"</f>
        <v>CURVA LONGA PVC MARRON 90º 1/2</v>
      </c>
      <c r="C8573" s="2" t="str">
        <f t="shared" ref="C8573:C8585" si="330">"UN"</f>
        <v>UN</v>
      </c>
      <c r="D8573" s="7">
        <v>807</v>
      </c>
      <c r="E8573" s="3">
        <v>11</v>
      </c>
      <c r="F8573" s="3">
        <v>11</v>
      </c>
      <c r="G8573" t="s">
        <v>513</v>
      </c>
    </row>
    <row r="8574" spans="1:7" x14ac:dyDescent="0.25">
      <c r="A8574" s="1" t="str">
        <f>"519913"</f>
        <v>519913</v>
      </c>
      <c r="B8574" s="2" t="str">
        <f>"CURVA LONGA SOLDAVEL 45º 60MM - PVC"</f>
        <v>CURVA LONGA SOLDAVEL 45º 60MM - PVC</v>
      </c>
      <c r="C8574" s="2" t="str">
        <f t="shared" si="330"/>
        <v>UN</v>
      </c>
      <c r="D8574" s="7">
        <v>808</v>
      </c>
      <c r="E8574" s="3">
        <v>10</v>
      </c>
      <c r="F8574" s="3">
        <v>10</v>
      </c>
      <c r="G8574" t="s">
        <v>514</v>
      </c>
    </row>
    <row r="8575" spans="1:7" x14ac:dyDescent="0.25">
      <c r="A8575" s="1" t="str">
        <f>"519912"</f>
        <v>519912</v>
      </c>
      <c r="B8575" s="2" t="str">
        <f>"CURVA LONGA SOLDAVEL 90º 60MM - PVC"</f>
        <v>CURVA LONGA SOLDAVEL 90º 60MM - PVC</v>
      </c>
      <c r="C8575" s="2" t="str">
        <f t="shared" si="330"/>
        <v>UN</v>
      </c>
      <c r="D8575" s="7">
        <v>808</v>
      </c>
      <c r="E8575" s="3">
        <v>10</v>
      </c>
      <c r="F8575" s="3">
        <v>10</v>
      </c>
      <c r="G8575" t="s">
        <v>514</v>
      </c>
    </row>
    <row r="8576" spans="1:7" x14ac:dyDescent="0.25">
      <c r="A8576" s="1" t="str">
        <f>"510373"</f>
        <v>510373</v>
      </c>
      <c r="B8576" s="2" t="str">
        <f>"CURVA P/ ELETRODUTO 3/4"" ROSCA PRETO"</f>
        <v>CURVA P/ ELETRODUTO 3/4" ROSCA PRETO</v>
      </c>
      <c r="C8576" s="2" t="str">
        <f t="shared" si="330"/>
        <v>UN</v>
      </c>
      <c r="D8576" s="7">
        <v>601</v>
      </c>
      <c r="E8576" s="3">
        <v>8</v>
      </c>
      <c r="F8576" s="3">
        <v>8</v>
      </c>
      <c r="G8576" t="s">
        <v>512</v>
      </c>
    </row>
    <row r="8577" spans="1:7" x14ac:dyDescent="0.25">
      <c r="A8577" s="1" t="str">
        <f>"509888"</f>
        <v>509888</v>
      </c>
      <c r="B8577" s="2" t="str">
        <f>"CURVA P/ ELETRODUTO GALV 1"""</f>
        <v>CURVA P/ ELETRODUTO GALV 1"</v>
      </c>
      <c r="C8577" s="2" t="str">
        <f t="shared" si="330"/>
        <v>UN</v>
      </c>
      <c r="D8577" s="7">
        <v>601</v>
      </c>
      <c r="E8577" s="3">
        <v>8</v>
      </c>
      <c r="F8577" s="3">
        <v>8</v>
      </c>
      <c r="G8577" t="s">
        <v>513</v>
      </c>
    </row>
    <row r="8578" spans="1:7" x14ac:dyDescent="0.25">
      <c r="A8578" s="1" t="str">
        <f>"509839"</f>
        <v>509839</v>
      </c>
      <c r="B8578" s="2" t="str">
        <f>"CURVA P/ ELETRODUTO PVC 1 1/2"" - PRETO"</f>
        <v>CURVA P/ ELETRODUTO PVC 1 1/2" - PRETO</v>
      </c>
      <c r="C8578" s="2" t="str">
        <f t="shared" si="330"/>
        <v>UN</v>
      </c>
      <c r="D8578" s="7">
        <v>601</v>
      </c>
      <c r="E8578" s="3">
        <v>8</v>
      </c>
      <c r="F8578" s="3">
        <v>8</v>
      </c>
      <c r="G8578" t="s">
        <v>514</v>
      </c>
    </row>
    <row r="8579" spans="1:7" x14ac:dyDescent="0.25">
      <c r="A8579" s="1" t="str">
        <f>"506960"</f>
        <v>506960</v>
      </c>
      <c r="B8579" s="2" t="str">
        <f>"CURVA P/ ELETRODUTO PVC 1""   - CINZA"</f>
        <v>CURVA P/ ELETRODUTO PVC 1"   - CINZA</v>
      </c>
      <c r="C8579" s="2" t="str">
        <f t="shared" si="330"/>
        <v>UN</v>
      </c>
      <c r="D8579" s="7">
        <v>917</v>
      </c>
      <c r="E8579" s="3">
        <v>11</v>
      </c>
      <c r="F8579" s="3">
        <v>11</v>
      </c>
      <c r="G8579" t="s">
        <v>514</v>
      </c>
    </row>
    <row r="8580" spans="1:7" x14ac:dyDescent="0.25">
      <c r="A8580" s="1" t="str">
        <f>"509425"</f>
        <v>509425</v>
      </c>
      <c r="B8580" s="2" t="str">
        <f>"CURVA P/ ELETRODUTO PVC 1/2"" - CINZA"</f>
        <v>CURVA P/ ELETRODUTO PVC 1/2" - CINZA</v>
      </c>
      <c r="C8580" s="2" t="str">
        <f t="shared" si="330"/>
        <v>UN</v>
      </c>
      <c r="D8580" s="7">
        <v>601</v>
      </c>
      <c r="E8580" s="3">
        <v>8</v>
      </c>
      <c r="F8580" s="3">
        <v>8</v>
      </c>
      <c r="G8580" t="s">
        <v>514</v>
      </c>
    </row>
    <row r="8581" spans="1:7" x14ac:dyDescent="0.25">
      <c r="A8581" s="1" t="str">
        <f>"509847"</f>
        <v>509847</v>
      </c>
      <c r="B8581" s="2" t="str">
        <f>"CURVA P/ ELETRODUTO PVC 2 1/2"""</f>
        <v>CURVA P/ ELETRODUTO PVC 2 1/2"</v>
      </c>
      <c r="C8581" s="2" t="str">
        <f t="shared" si="330"/>
        <v>UN</v>
      </c>
      <c r="D8581" s="7">
        <v>601</v>
      </c>
      <c r="E8581" s="3">
        <v>8</v>
      </c>
      <c r="F8581" s="3">
        <v>8</v>
      </c>
      <c r="G8581" t="s">
        <v>513</v>
      </c>
    </row>
    <row r="8582" spans="1:7" x14ac:dyDescent="0.25">
      <c r="A8582" s="1" t="str">
        <f>"506968"</f>
        <v>506968</v>
      </c>
      <c r="B8582" s="2" t="str">
        <f>"CURVA P/ ELETRODUTO PVC 2"""</f>
        <v>CURVA P/ ELETRODUTO PVC 2"</v>
      </c>
      <c r="C8582" s="2" t="str">
        <f t="shared" si="330"/>
        <v>UN</v>
      </c>
      <c r="D8582" s="7">
        <v>917</v>
      </c>
      <c r="E8582" s="3">
        <v>11</v>
      </c>
      <c r="F8582" s="3">
        <v>11</v>
      </c>
      <c r="G8582" t="s">
        <v>512</v>
      </c>
    </row>
    <row r="8583" spans="1:7" x14ac:dyDescent="0.25">
      <c r="A8583" s="1" t="str">
        <f>"510852"</f>
        <v>510852</v>
      </c>
      <c r="B8583" s="2" t="str">
        <f>"CURVA P/ ELETRODUTO PVC 3"""</f>
        <v>CURVA P/ ELETRODUTO PVC 3"</v>
      </c>
      <c r="C8583" s="2" t="str">
        <f t="shared" si="330"/>
        <v>UN</v>
      </c>
      <c r="D8583" s="7">
        <v>601</v>
      </c>
      <c r="E8583" s="3">
        <v>8</v>
      </c>
      <c r="F8583" s="3">
        <v>8</v>
      </c>
      <c r="G8583" t="s">
        <v>513</v>
      </c>
    </row>
    <row r="8584" spans="1:7" x14ac:dyDescent="0.25">
      <c r="A8584" s="1" t="str">
        <f>"509386"</f>
        <v>509386</v>
      </c>
      <c r="B8584" s="2" t="str">
        <f>"CURVA P/ ELETRODUTO PVC 3/4"" - CINZA"</f>
        <v>CURVA P/ ELETRODUTO PVC 3/4" - CINZA</v>
      </c>
      <c r="C8584" s="2" t="str">
        <f t="shared" si="330"/>
        <v>UN</v>
      </c>
      <c r="D8584" s="7">
        <v>601</v>
      </c>
      <c r="E8584" s="3">
        <v>8</v>
      </c>
      <c r="F8584" s="3">
        <v>8</v>
      </c>
      <c r="G8584" t="s">
        <v>514</v>
      </c>
    </row>
    <row r="8585" spans="1:7" x14ac:dyDescent="0.25">
      <c r="A8585" s="1" t="str">
        <f>"510913"</f>
        <v>510913</v>
      </c>
      <c r="B8585" s="2" t="str">
        <f>"CURVA P/ ELETRODUTO PVC 4"""</f>
        <v>CURVA P/ ELETRODUTO PVC 4"</v>
      </c>
      <c r="C8585" s="2" t="str">
        <f t="shared" si="330"/>
        <v>UN</v>
      </c>
      <c r="D8585" s="7">
        <v>601</v>
      </c>
      <c r="E8585" s="3">
        <v>8</v>
      </c>
      <c r="F8585" s="3">
        <v>8</v>
      </c>
      <c r="G8585" t="s">
        <v>514</v>
      </c>
    </row>
    <row r="8586" spans="1:7" x14ac:dyDescent="0.25">
      <c r="A8586" s="1" t="str">
        <f>"501279"</f>
        <v>501279</v>
      </c>
      <c r="B8586" s="2" t="str">
        <f>"CURVA PVC 1 1/2"""</f>
        <v>CURVA PVC 1 1/2"</v>
      </c>
      <c r="C8586" s="2" t="str">
        <f t="shared" ref="C8586:C8593" si="331">"BR"</f>
        <v>BR</v>
      </c>
      <c r="D8586" s="7">
        <v>808</v>
      </c>
      <c r="E8586" s="3">
        <v>10</v>
      </c>
      <c r="F8586" s="3">
        <v>10</v>
      </c>
      <c r="G8586" t="s">
        <v>514</v>
      </c>
    </row>
    <row r="8587" spans="1:7" x14ac:dyDescent="0.25">
      <c r="A8587" s="1" t="str">
        <f>"503141"</f>
        <v>503141</v>
      </c>
      <c r="B8587" s="2" t="str">
        <f>"CURVA PVC 45º 100MM BRANCA ESGOTO"</f>
        <v>CURVA PVC 45º 100MM BRANCA ESGOTO</v>
      </c>
      <c r="C8587" s="2" t="str">
        <f t="shared" si="331"/>
        <v>BR</v>
      </c>
      <c r="D8587" s="7">
        <v>809</v>
      </c>
      <c r="E8587" s="3">
        <v>10</v>
      </c>
      <c r="F8587" s="3">
        <v>10</v>
      </c>
      <c r="G8587" t="s">
        <v>513</v>
      </c>
    </row>
    <row r="8588" spans="1:7" x14ac:dyDescent="0.25">
      <c r="A8588" s="1" t="str">
        <f>"502720"</f>
        <v>502720</v>
      </c>
      <c r="B8588" s="2" t="str">
        <f>"CURVA PVC 90º - 1"" ROSCA/ROSCA"</f>
        <v>CURVA PVC 90º - 1" ROSCA/ROSCA</v>
      </c>
      <c r="C8588" s="2" t="str">
        <f t="shared" si="331"/>
        <v>BR</v>
      </c>
      <c r="D8588" s="7">
        <v>808</v>
      </c>
      <c r="E8588" s="3">
        <v>10</v>
      </c>
      <c r="F8588" s="3">
        <v>10</v>
      </c>
      <c r="G8588" t="s">
        <v>513</v>
      </c>
    </row>
    <row r="8589" spans="1:7" x14ac:dyDescent="0.25">
      <c r="A8589" s="1" t="str">
        <f>"525999"</f>
        <v>525999</v>
      </c>
      <c r="B8589" s="2" t="str">
        <f>"CURVA PVC 90º 40MM BRANCA"</f>
        <v>CURVA PVC 90º 40MM BRANCA</v>
      </c>
      <c r="C8589" s="2" t="str">
        <f t="shared" si="331"/>
        <v>BR</v>
      </c>
      <c r="D8589" s="7">
        <v>808</v>
      </c>
      <c r="E8589" s="3">
        <v>10</v>
      </c>
      <c r="F8589" s="3">
        <v>10</v>
      </c>
      <c r="G8589" t="s">
        <v>513</v>
      </c>
    </row>
    <row r="8590" spans="1:7" x14ac:dyDescent="0.25">
      <c r="A8590" s="1" t="str">
        <f>"527830"</f>
        <v>527830</v>
      </c>
      <c r="B8590" s="2" t="str">
        <f>"CURVA PVC 90º 40MM BRANCA LONGA"</f>
        <v>CURVA PVC 90º 40MM BRANCA LONGA</v>
      </c>
      <c r="C8590" s="2" t="str">
        <f t="shared" si="331"/>
        <v>BR</v>
      </c>
      <c r="D8590" s="7">
        <v>808</v>
      </c>
      <c r="E8590" s="3">
        <v>10</v>
      </c>
      <c r="F8590" s="3">
        <v>10</v>
      </c>
      <c r="G8590" t="s">
        <v>512</v>
      </c>
    </row>
    <row r="8591" spans="1:7" x14ac:dyDescent="0.25">
      <c r="A8591" s="1" t="str">
        <f>"501660"</f>
        <v>501660</v>
      </c>
      <c r="B8591" s="2" t="str">
        <f>"CURVA PVC 90º 40MM MARRON"</f>
        <v>CURVA PVC 90º 40MM MARRON</v>
      </c>
      <c r="C8591" s="2" t="str">
        <f t="shared" si="331"/>
        <v>BR</v>
      </c>
      <c r="D8591" s="7">
        <v>808</v>
      </c>
      <c r="E8591" s="3">
        <v>10</v>
      </c>
      <c r="F8591" s="3">
        <v>10</v>
      </c>
      <c r="G8591" t="s">
        <v>513</v>
      </c>
    </row>
    <row r="8592" spans="1:7" x14ac:dyDescent="0.25">
      <c r="A8592" s="1" t="str">
        <f>"506010"</f>
        <v>506010</v>
      </c>
      <c r="B8592" s="2" t="str">
        <f>"CURVA PVC 90º 6"" SOLDA - MARROM"</f>
        <v>CURVA PVC 90º 6" SOLDA - MARROM</v>
      </c>
      <c r="C8592" s="2" t="str">
        <f t="shared" si="331"/>
        <v>BR</v>
      </c>
      <c r="D8592" s="7">
        <v>808</v>
      </c>
      <c r="E8592" s="3">
        <v>10</v>
      </c>
      <c r="F8592" s="3">
        <v>10</v>
      </c>
      <c r="G8592" t="s">
        <v>514</v>
      </c>
    </row>
    <row r="8593" spans="1:7" x14ac:dyDescent="0.25">
      <c r="A8593" s="1" t="str">
        <f>"512452"</f>
        <v>512452</v>
      </c>
      <c r="B8593" s="2" t="str">
        <f>"CURVA PVC BRANCO ROSCA 3/4"""</f>
        <v>CURVA PVC BRANCO ROSCA 3/4"</v>
      </c>
      <c r="C8593" s="2" t="str">
        <f t="shared" si="331"/>
        <v>BR</v>
      </c>
      <c r="D8593" s="7">
        <v>808</v>
      </c>
      <c r="E8593" s="3">
        <v>10</v>
      </c>
      <c r="F8593" s="3">
        <v>10</v>
      </c>
      <c r="G8593" t="s">
        <v>515</v>
      </c>
    </row>
    <row r="8594" spans="1:7" x14ac:dyDescent="0.25">
      <c r="A8594" s="1" t="str">
        <f>"518439"</f>
        <v>518439</v>
      </c>
      <c r="B8594" s="2" t="str">
        <f>"CURVA PVC MARROM 140/160MM X 90º TIGRE"</f>
        <v>CURVA PVC MARROM 140/160MM X 90º TIGRE</v>
      </c>
      <c r="C8594" s="2" t="str">
        <f>"PÇ"</f>
        <v>PÇ</v>
      </c>
      <c r="D8594" s="7">
        <v>807</v>
      </c>
      <c r="E8594" s="3">
        <v>10</v>
      </c>
      <c r="F8594" s="3">
        <v>10</v>
      </c>
      <c r="G8594" t="s">
        <v>512</v>
      </c>
    </row>
    <row r="8595" spans="1:7" x14ac:dyDescent="0.25">
      <c r="A8595" s="1" t="str">
        <f>"524511"</f>
        <v>524511</v>
      </c>
      <c r="B8595" s="2" t="str">
        <f>"CURVA PVC MARROM 45° 3/4"</f>
        <v>CURVA PVC MARROM 45° 3/4</v>
      </c>
      <c r="C8595" s="2" t="str">
        <f t="shared" ref="C8595:C8600" si="332">"BR"</f>
        <v>BR</v>
      </c>
      <c r="D8595" s="7">
        <v>808</v>
      </c>
      <c r="E8595" s="3">
        <v>10</v>
      </c>
      <c r="F8595" s="3">
        <v>10</v>
      </c>
      <c r="G8595" t="s">
        <v>516</v>
      </c>
    </row>
    <row r="8596" spans="1:7" x14ac:dyDescent="0.25">
      <c r="A8596" s="1" t="str">
        <f>"503624"</f>
        <v>503624</v>
      </c>
      <c r="B8596" s="2" t="str">
        <f>"CURVA PVC MARROM 50MM X 90º TIGRE"</f>
        <v>CURVA PVC MARROM 50MM X 90º TIGRE</v>
      </c>
      <c r="C8596" s="2" t="str">
        <f t="shared" si="332"/>
        <v>BR</v>
      </c>
      <c r="D8596" s="7">
        <v>808</v>
      </c>
      <c r="E8596" s="3">
        <v>10</v>
      </c>
      <c r="F8596" s="3">
        <v>10</v>
      </c>
      <c r="G8596" t="s">
        <v>515</v>
      </c>
    </row>
    <row r="8597" spans="1:7" x14ac:dyDescent="0.25">
      <c r="A8597" s="1" t="str">
        <f>"513433"</f>
        <v>513433</v>
      </c>
      <c r="B8597" s="2" t="str">
        <f>"CURVA PVC MARROM 60MM X 90º TIGRE"</f>
        <v>CURVA PVC MARROM 60MM X 90º TIGRE</v>
      </c>
      <c r="C8597" s="2" t="str">
        <f t="shared" si="332"/>
        <v>BR</v>
      </c>
      <c r="D8597" s="7">
        <v>808</v>
      </c>
      <c r="E8597" s="3">
        <v>10</v>
      </c>
      <c r="F8597" s="3">
        <v>10</v>
      </c>
      <c r="G8597" t="s">
        <v>514</v>
      </c>
    </row>
    <row r="8598" spans="1:7" x14ac:dyDescent="0.25">
      <c r="A8598" s="1" t="str">
        <f>"519722"</f>
        <v>519722</v>
      </c>
      <c r="B8598" s="2" t="str">
        <f>"CURVA PVC MARROM 85MM X 90º TIGRE"</f>
        <v>CURVA PVC MARROM 85MM X 90º TIGRE</v>
      </c>
      <c r="C8598" s="2" t="str">
        <f t="shared" si="332"/>
        <v>BR</v>
      </c>
      <c r="D8598" s="7">
        <v>808</v>
      </c>
      <c r="E8598" s="3">
        <v>10</v>
      </c>
      <c r="F8598" s="3">
        <v>10</v>
      </c>
      <c r="G8598" t="s">
        <v>512</v>
      </c>
    </row>
    <row r="8599" spans="1:7" x14ac:dyDescent="0.25">
      <c r="A8599" s="1" t="str">
        <f>"502260"</f>
        <v>502260</v>
      </c>
      <c r="B8599" s="2" t="str">
        <f>"CURVA SMS 90º 4"""</f>
        <v>CURVA SMS 90º 4"</v>
      </c>
      <c r="C8599" s="2" t="str">
        <f t="shared" si="332"/>
        <v>BR</v>
      </c>
      <c r="D8599" s="7">
        <v>807</v>
      </c>
      <c r="E8599" s="3">
        <v>10</v>
      </c>
      <c r="F8599" s="3">
        <v>10</v>
      </c>
      <c r="G8599" t="s">
        <v>513</v>
      </c>
    </row>
    <row r="8600" spans="1:7" x14ac:dyDescent="0.25">
      <c r="A8600" s="1" t="str">
        <f>"503863"</f>
        <v>503863</v>
      </c>
      <c r="B8600" s="2" t="str">
        <f>"CURVA SOLDA DE 90º DE 2.1/2"""</f>
        <v>CURVA SOLDA DE 90º DE 2.1/2"</v>
      </c>
      <c r="C8600" s="2" t="str">
        <f t="shared" si="332"/>
        <v>BR</v>
      </c>
      <c r="D8600" s="7">
        <v>808</v>
      </c>
      <c r="E8600" s="3">
        <v>10</v>
      </c>
      <c r="F8600" s="3">
        <v>10</v>
      </c>
      <c r="G8600" t="s">
        <v>514</v>
      </c>
    </row>
    <row r="8601" spans="1:7" x14ac:dyDescent="0.25">
      <c r="A8601" s="1" t="str">
        <f>"509900"</f>
        <v>509900</v>
      </c>
      <c r="B8601" s="2" t="str">
        <f>"CURVA SOLDAVEL 90º 2"""</f>
        <v>CURVA SOLDAVEL 90º 2"</v>
      </c>
      <c r="C8601" s="2" t="str">
        <f>"UN"</f>
        <v>UN</v>
      </c>
      <c r="D8601" s="7">
        <v>912</v>
      </c>
      <c r="E8601" s="3">
        <v>11</v>
      </c>
      <c r="F8601" s="3">
        <v>11</v>
      </c>
      <c r="G8601" t="s">
        <v>514</v>
      </c>
    </row>
    <row r="8602" spans="1:7" x14ac:dyDescent="0.25">
      <c r="A8602" s="1" t="str">
        <f>"526520"</f>
        <v>526520</v>
      </c>
      <c r="B8602" s="2" t="str">
        <f>"CURVA UHMW 45º RM 200 1 VIA 3 1/4"" 880TAB L 100MM PT"</f>
        <v>CURVA UHMW 45º RM 200 1 VIA 3 1/4" 880TAB L 100MM PT</v>
      </c>
      <c r="C8602" s="2" t="str">
        <f>"UN"</f>
        <v>UN</v>
      </c>
      <c r="D8602" s="7">
        <v>812</v>
      </c>
      <c r="E8602" s="3">
        <v>10</v>
      </c>
      <c r="F8602" s="3">
        <v>10</v>
      </c>
      <c r="G8602" t="s">
        <v>512</v>
      </c>
    </row>
    <row r="8603" spans="1:7" x14ac:dyDescent="0.25">
      <c r="A8603" s="1" t="str">
        <f>"503355"</f>
        <v>503355</v>
      </c>
      <c r="B8603" s="2" t="str">
        <f>"CURVA UHMW 90º RM 500 1 VIA CORRENTE 3 1/4"" L 100MM"</f>
        <v>CURVA UHMW 90º RM 500 1 VIA CORRENTE 3 1/4" L 100MM</v>
      </c>
      <c r="C8603" s="2" t="str">
        <f>"UN"</f>
        <v>UN</v>
      </c>
      <c r="D8603" s="7">
        <v>812</v>
      </c>
      <c r="E8603" s="3">
        <v>10</v>
      </c>
      <c r="F8603" s="3">
        <v>10</v>
      </c>
      <c r="G8603" t="s">
        <v>513</v>
      </c>
    </row>
    <row r="8604" spans="1:7" x14ac:dyDescent="0.25">
      <c r="A8604" s="1" t="str">
        <f>"519562"</f>
        <v>519562</v>
      </c>
      <c r="B8604" s="2" t="str">
        <f>"CURVA UHMW 90º RM 500/590 2 VIAS P/881 TAB3 1/4"" L190MM"</f>
        <v>CURVA UHMW 90º RM 500/590 2 VIAS P/881 TAB3 1/4" L190MM</v>
      </c>
      <c r="C8604" s="2" t="str">
        <f>"JG"</f>
        <v>JG</v>
      </c>
      <c r="D8604" s="7">
        <v>918</v>
      </c>
      <c r="E8604" s="3">
        <v>11</v>
      </c>
      <c r="F8604" s="3">
        <v>11</v>
      </c>
      <c r="G8604" t="s">
        <v>514</v>
      </c>
    </row>
    <row r="8605" spans="1:7" x14ac:dyDescent="0.25">
      <c r="A8605" s="1" t="str">
        <f>"526140"</f>
        <v>526140</v>
      </c>
      <c r="B8605" s="2" t="str">
        <f>"CURVA VERT INTERNA 90 R30 25MM/45MM"</f>
        <v>CURVA VERT INTERNA 90 R30 25MM/45MM</v>
      </c>
      <c r="C8605" s="2" t="str">
        <f t="shared" ref="C8605:C8625" si="333">"UN"</f>
        <v>UN</v>
      </c>
      <c r="D8605" s="7">
        <v>601</v>
      </c>
      <c r="E8605" s="3">
        <v>8</v>
      </c>
      <c r="F8605" s="3">
        <v>8</v>
      </c>
      <c r="G8605" t="s">
        <v>514</v>
      </c>
    </row>
    <row r="8606" spans="1:7" x14ac:dyDescent="0.25">
      <c r="A8606" s="1" t="str">
        <f>"522416"</f>
        <v>522416</v>
      </c>
      <c r="B8606" s="2" t="str">
        <f>"CURVA VERT. EXT. 90 BM004"</f>
        <v>CURVA VERT. EXT. 90 BM004</v>
      </c>
      <c r="C8606" s="2" t="str">
        <f t="shared" si="333"/>
        <v>UN</v>
      </c>
      <c r="D8606" s="7">
        <v>811</v>
      </c>
      <c r="E8606" s="3">
        <v>10</v>
      </c>
      <c r="F8606" s="3">
        <v>10</v>
      </c>
      <c r="G8606" t="s">
        <v>514</v>
      </c>
    </row>
    <row r="8607" spans="1:7" x14ac:dyDescent="0.25">
      <c r="A8607" s="1" t="str">
        <f>"522429"</f>
        <v>522429</v>
      </c>
      <c r="B8607" s="2" t="str">
        <f>"CURVA VERT. EXT. 90° P.T. C 100X100MM GF"</f>
        <v>CURVA VERT. EXT. 90° P.T. C 100X100MM GF</v>
      </c>
      <c r="C8607" s="2" t="str">
        <f t="shared" si="333"/>
        <v>UN</v>
      </c>
      <c r="D8607" s="7">
        <v>811</v>
      </c>
      <c r="E8607" s="3">
        <v>10</v>
      </c>
      <c r="F8607" s="3">
        <v>10</v>
      </c>
      <c r="G8607" t="s">
        <v>513</v>
      </c>
    </row>
    <row r="8608" spans="1:7" x14ac:dyDescent="0.25">
      <c r="A8608" s="1" t="str">
        <f>"522430"</f>
        <v>522430</v>
      </c>
      <c r="B8608" s="2" t="str">
        <f>"CURVA VERT. INT. 90° P.T. C 100X100MM GF"</f>
        <v>CURVA VERT. INT. 90° P.T. C 100X100MM GF</v>
      </c>
      <c r="C8608" s="2" t="str">
        <f t="shared" si="333"/>
        <v>UN</v>
      </c>
      <c r="D8608" s="7">
        <v>811</v>
      </c>
      <c r="E8608" s="3">
        <v>10</v>
      </c>
      <c r="F8608" s="3">
        <v>10</v>
      </c>
      <c r="G8608" t="s">
        <v>512</v>
      </c>
    </row>
    <row r="8609" spans="1:7" x14ac:dyDescent="0.25">
      <c r="A8609" s="1" t="str">
        <f>"524589"</f>
        <v>524589</v>
      </c>
      <c r="B8609" s="2" t="str">
        <f>"CURVA VERTICAL  INTERNA P/ LEITO 400MM"</f>
        <v>CURVA VERTICAL  INTERNA P/ LEITO 400MM</v>
      </c>
      <c r="C8609" s="2" t="str">
        <f t="shared" si="333"/>
        <v>UN</v>
      </c>
      <c r="D8609" s="7">
        <v>811</v>
      </c>
      <c r="E8609" s="3">
        <v>10</v>
      </c>
      <c r="F8609" s="3">
        <v>10</v>
      </c>
      <c r="G8609" t="s">
        <v>513</v>
      </c>
    </row>
    <row r="8610" spans="1:7" x14ac:dyDescent="0.25">
      <c r="A8610" s="1" t="str">
        <f>"518048"</f>
        <v>518048</v>
      </c>
      <c r="B8610" s="2" t="str">
        <f>"CURVA VERTICAL 90º 100X50MM 7009"</f>
        <v>CURVA VERTICAL 90º 100X50MM 7009</v>
      </c>
      <c r="C8610" s="2" t="str">
        <f t="shared" si="333"/>
        <v>UN</v>
      </c>
      <c r="D8610" s="7">
        <v>811</v>
      </c>
      <c r="E8610" s="3">
        <v>8</v>
      </c>
      <c r="F8610" s="3">
        <v>8</v>
      </c>
      <c r="G8610" t="s">
        <v>514</v>
      </c>
    </row>
    <row r="8611" spans="1:7" x14ac:dyDescent="0.25">
      <c r="A8611" s="1" t="str">
        <f>"517548"</f>
        <v>517548</v>
      </c>
      <c r="B8611" s="2" t="str">
        <f>"CURVA VERTICAL EXT P/ LEITO 90º 100X300MM INOX"</f>
        <v>CURVA VERTICAL EXT P/ LEITO 90º 100X300MM INOX</v>
      </c>
      <c r="C8611" s="2" t="str">
        <f t="shared" si="333"/>
        <v>UN</v>
      </c>
      <c r="D8611" s="7">
        <v>811</v>
      </c>
      <c r="E8611" s="3">
        <v>8</v>
      </c>
      <c r="F8611" s="3">
        <v>8</v>
      </c>
      <c r="G8611" t="s">
        <v>514</v>
      </c>
    </row>
    <row r="8612" spans="1:7" x14ac:dyDescent="0.25">
      <c r="A8612" s="1" t="str">
        <f>"522590"</f>
        <v>522590</v>
      </c>
      <c r="B8612" s="2" t="str">
        <f>"CURVA VERTICAL EXT. 90 PTC 400X100MM GF"</f>
        <v>CURVA VERTICAL EXT. 90 PTC 400X100MM GF</v>
      </c>
      <c r="C8612" s="2" t="str">
        <f t="shared" si="333"/>
        <v>UN</v>
      </c>
      <c r="D8612" s="7">
        <v>811</v>
      </c>
      <c r="E8612" s="3">
        <v>10</v>
      </c>
      <c r="F8612" s="3">
        <v>10</v>
      </c>
      <c r="G8612" t="s">
        <v>514</v>
      </c>
    </row>
    <row r="8613" spans="1:7" x14ac:dyDescent="0.25">
      <c r="A8613" s="1" t="str">
        <f>"524227"</f>
        <v>524227</v>
      </c>
      <c r="B8613" s="2" t="str">
        <f>"CURVA VERTICAL EXTERNA 50X50MM 45º"</f>
        <v>CURVA VERTICAL EXTERNA 50X50MM 45º</v>
      </c>
      <c r="C8613" s="2" t="str">
        <f t="shared" si="333"/>
        <v>UN</v>
      </c>
      <c r="D8613" s="7">
        <v>811</v>
      </c>
      <c r="E8613" s="3">
        <v>8</v>
      </c>
      <c r="F8613" s="3">
        <v>8</v>
      </c>
      <c r="G8613" t="s">
        <v>513</v>
      </c>
    </row>
    <row r="8614" spans="1:7" x14ac:dyDescent="0.25">
      <c r="A8614" s="1" t="str">
        <f>"520498"</f>
        <v>520498</v>
      </c>
      <c r="B8614" s="2" t="str">
        <f>"CURVA VERTICAL EXTERNA 50X50MM 90º"</f>
        <v>CURVA VERTICAL EXTERNA 50X50MM 90º</v>
      </c>
      <c r="C8614" s="2" t="str">
        <f t="shared" si="333"/>
        <v>UN</v>
      </c>
      <c r="D8614" s="7">
        <v>811</v>
      </c>
      <c r="E8614" s="3">
        <v>8</v>
      </c>
      <c r="F8614" s="3">
        <v>8</v>
      </c>
      <c r="G8614" t="s">
        <v>513</v>
      </c>
    </row>
    <row r="8615" spans="1:7" x14ac:dyDescent="0.25">
      <c r="A8615" s="1" t="str">
        <f>"513045"</f>
        <v>513045</v>
      </c>
      <c r="B8615" s="2" t="str">
        <f>"CURVA VERTICAL EXTERNA 90º 320MM"</f>
        <v>CURVA VERTICAL EXTERNA 90º 320MM</v>
      </c>
      <c r="C8615" s="2" t="str">
        <f t="shared" si="333"/>
        <v>UN</v>
      </c>
      <c r="D8615" s="7">
        <v>811</v>
      </c>
      <c r="E8615" s="3">
        <v>8</v>
      </c>
      <c r="F8615" s="3">
        <v>8</v>
      </c>
      <c r="G8615" t="s">
        <v>513</v>
      </c>
    </row>
    <row r="8616" spans="1:7" x14ac:dyDescent="0.25">
      <c r="A8616" s="1" t="str">
        <f>"521291"</f>
        <v>521291</v>
      </c>
      <c r="B8616" s="2" t="str">
        <f>"CURVA VERTICAL EXTERNA GF 200X100 MM"</f>
        <v>CURVA VERTICAL EXTERNA GF 200X100 MM</v>
      </c>
      <c r="C8616" s="2" t="str">
        <f t="shared" si="333"/>
        <v>UN</v>
      </c>
      <c r="D8616" s="7">
        <v>811</v>
      </c>
      <c r="E8616" s="3">
        <v>8</v>
      </c>
      <c r="F8616" s="3">
        <v>8</v>
      </c>
      <c r="G8616" t="s">
        <v>512</v>
      </c>
    </row>
    <row r="8617" spans="1:7" x14ac:dyDescent="0.25">
      <c r="A8617" s="1" t="str">
        <f>"525345"</f>
        <v>525345</v>
      </c>
      <c r="B8617" s="2" t="str">
        <f>"CURVA VERTICAL EXTERNA INOX 30X30 90º"</f>
        <v>CURVA VERTICAL EXTERNA INOX 30X30 90º</v>
      </c>
      <c r="C8617" s="2" t="str">
        <f t="shared" si="333"/>
        <v>UN</v>
      </c>
      <c r="D8617" s="7">
        <v>600</v>
      </c>
      <c r="E8617" s="3">
        <v>8</v>
      </c>
      <c r="F8617" s="3">
        <v>8</v>
      </c>
      <c r="G8617" t="s">
        <v>513</v>
      </c>
    </row>
    <row r="8618" spans="1:7" x14ac:dyDescent="0.25">
      <c r="A8618" s="1" t="str">
        <f>"526233"</f>
        <v>526233</v>
      </c>
      <c r="B8618" s="2" t="str">
        <f>"CURVA VERTICAL FG 90º 100X50MM"</f>
        <v>CURVA VERTICAL FG 90º 100X50MM</v>
      </c>
      <c r="C8618" s="2" t="str">
        <f t="shared" si="333"/>
        <v>UN</v>
      </c>
      <c r="D8618" s="7">
        <v>600</v>
      </c>
      <c r="E8618" s="3">
        <v>8</v>
      </c>
      <c r="F8618" s="3">
        <v>8</v>
      </c>
      <c r="G8618" t="s">
        <v>514</v>
      </c>
    </row>
    <row r="8619" spans="1:7" x14ac:dyDescent="0.25">
      <c r="A8619" s="1" t="str">
        <f>"522591"</f>
        <v>522591</v>
      </c>
      <c r="B8619" s="2" t="str">
        <f>"CURVA VERTICAL INT. 90 PTC 400X100MM GF"</f>
        <v>CURVA VERTICAL INT. 90 PTC 400X100MM GF</v>
      </c>
      <c r="C8619" s="2" t="str">
        <f t="shared" si="333"/>
        <v>UN</v>
      </c>
      <c r="D8619" s="7">
        <v>811</v>
      </c>
      <c r="E8619" s="3">
        <v>10</v>
      </c>
      <c r="F8619" s="3">
        <v>10</v>
      </c>
      <c r="G8619" t="s">
        <v>515</v>
      </c>
    </row>
    <row r="8620" spans="1:7" x14ac:dyDescent="0.25">
      <c r="A8620" s="1" t="str">
        <f>"518049"</f>
        <v>518049</v>
      </c>
      <c r="B8620" s="2" t="str">
        <f>"CURVA VERTICAL INTERNA 100X50MM 90º 7007"</f>
        <v>CURVA VERTICAL INTERNA 100X50MM 90º 7007</v>
      </c>
      <c r="C8620" s="2" t="str">
        <f t="shared" si="333"/>
        <v>UN</v>
      </c>
      <c r="D8620" s="7">
        <v>811</v>
      </c>
      <c r="E8620" s="3">
        <v>8</v>
      </c>
      <c r="F8620" s="3">
        <v>8</v>
      </c>
      <c r="G8620" t="s">
        <v>512</v>
      </c>
    </row>
    <row r="8621" spans="1:7" x14ac:dyDescent="0.25">
      <c r="A8621" s="1" t="str">
        <f>"524228"</f>
        <v>524228</v>
      </c>
      <c r="B8621" s="2" t="str">
        <f>"CURVA VERTICAL INTERNA 50X50MM 45º"</f>
        <v>CURVA VERTICAL INTERNA 50X50MM 45º</v>
      </c>
      <c r="C8621" s="2" t="str">
        <f t="shared" si="333"/>
        <v>UN</v>
      </c>
      <c r="D8621" s="7">
        <v>811</v>
      </c>
      <c r="E8621" s="3">
        <v>8</v>
      </c>
      <c r="F8621" s="3">
        <v>8</v>
      </c>
      <c r="G8621" t="s">
        <v>516</v>
      </c>
    </row>
    <row r="8622" spans="1:7" x14ac:dyDescent="0.25">
      <c r="A8622" s="1" t="str">
        <f>"520497"</f>
        <v>520497</v>
      </c>
      <c r="B8622" s="2" t="str">
        <f>"CURVA VERTICAL INTERNA 50X50MM 90º"</f>
        <v>CURVA VERTICAL INTERNA 50X50MM 90º</v>
      </c>
      <c r="C8622" s="2" t="str">
        <f t="shared" si="333"/>
        <v>UN</v>
      </c>
      <c r="D8622" s="7">
        <v>811</v>
      </c>
      <c r="E8622" s="3">
        <v>8</v>
      </c>
      <c r="F8622" s="3">
        <v>8</v>
      </c>
      <c r="G8622" t="s">
        <v>515</v>
      </c>
    </row>
    <row r="8623" spans="1:7" x14ac:dyDescent="0.25">
      <c r="A8623" s="1" t="str">
        <f>"513046"</f>
        <v>513046</v>
      </c>
      <c r="B8623" s="2" t="str">
        <f>"CURVA VERTICAL INTERNA 90º 320MM"</f>
        <v>CURVA VERTICAL INTERNA 90º 320MM</v>
      </c>
      <c r="C8623" s="2" t="str">
        <f t="shared" si="333"/>
        <v>UN</v>
      </c>
      <c r="D8623" s="7">
        <v>811</v>
      </c>
      <c r="E8623" s="3">
        <v>8</v>
      </c>
      <c r="F8623" s="3">
        <v>8</v>
      </c>
      <c r="G8623" t="s">
        <v>514</v>
      </c>
    </row>
    <row r="8624" spans="1:7" x14ac:dyDescent="0.25">
      <c r="A8624" s="1" t="str">
        <f>"522419"</f>
        <v>522419</v>
      </c>
      <c r="B8624" s="2" t="str">
        <f>"CURVA. VERT. INT. 90 BM014"</f>
        <v>CURVA. VERT. INT. 90 BM014</v>
      </c>
      <c r="C8624" s="2" t="str">
        <f t="shared" si="333"/>
        <v>UN</v>
      </c>
      <c r="D8624" s="7">
        <v>811</v>
      </c>
      <c r="E8624" s="3">
        <v>10</v>
      </c>
      <c r="F8624" s="3">
        <v>10</v>
      </c>
      <c r="G8624" t="s">
        <v>512</v>
      </c>
    </row>
    <row r="8625" spans="1:7" x14ac:dyDescent="0.25">
      <c r="A8625" s="1" t="str">
        <f>"509831"</f>
        <v>509831</v>
      </c>
      <c r="B8625" s="2" t="str">
        <f>"CURVADOR 3/4"""</f>
        <v>CURVADOR 3/4"</v>
      </c>
      <c r="C8625" s="2" t="str">
        <f t="shared" si="333"/>
        <v>UN</v>
      </c>
      <c r="D8625" s="7">
        <v>402</v>
      </c>
      <c r="E8625" s="3">
        <v>4</v>
      </c>
      <c r="F8625" s="3">
        <v>4</v>
      </c>
      <c r="G8625" t="s">
        <v>513</v>
      </c>
    </row>
    <row r="8626" spans="1:7" x14ac:dyDescent="0.25">
      <c r="A8626" s="1" t="str">
        <f>"505251"</f>
        <v>505251</v>
      </c>
      <c r="B8626" s="2" t="str">
        <f>"CURVAS 90º PVC SOLDA 85MM"</f>
        <v>CURVAS 90º PVC SOLDA 85MM</v>
      </c>
      <c r="C8626" s="2" t="str">
        <f>"BR"</f>
        <v>BR</v>
      </c>
      <c r="D8626" s="7">
        <v>808</v>
      </c>
      <c r="E8626" s="3">
        <v>10</v>
      </c>
      <c r="F8626" s="3">
        <v>10</v>
      </c>
      <c r="G8626" t="s">
        <v>514</v>
      </c>
    </row>
    <row r="8627" spans="1:7" x14ac:dyDescent="0.25">
      <c r="A8627" s="1" t="str">
        <f>"505253"</f>
        <v>505253</v>
      </c>
      <c r="B8627" s="2" t="str">
        <f>"CURVAS PVC 45º 85MM"</f>
        <v>CURVAS PVC 45º 85MM</v>
      </c>
      <c r="C8627" s="2" t="str">
        <f>"BR"</f>
        <v>BR</v>
      </c>
      <c r="D8627" s="7">
        <v>808</v>
      </c>
      <c r="E8627" s="3">
        <v>10</v>
      </c>
      <c r="F8627" s="3">
        <v>10</v>
      </c>
      <c r="G8627" t="s">
        <v>514</v>
      </c>
    </row>
    <row r="8628" spans="1:7" x14ac:dyDescent="0.25">
      <c r="A8628" s="1" t="str">
        <f>"521290"</f>
        <v>521290</v>
      </c>
      <c r="B8628" s="2" t="str">
        <f>"CURVAS VERTICAL INTERNA GF 200X100 MM"</f>
        <v>CURVAS VERTICAL INTERNA GF 200X100 MM</v>
      </c>
      <c r="C8628" s="2" t="str">
        <f t="shared" ref="C8628:C8659" si="334">"UN"</f>
        <v>UN</v>
      </c>
      <c r="D8628" s="7">
        <v>811</v>
      </c>
      <c r="E8628" s="3">
        <v>8</v>
      </c>
      <c r="F8628" s="3">
        <v>8</v>
      </c>
      <c r="G8628" t="s">
        <v>512</v>
      </c>
    </row>
    <row r="8629" spans="1:7" x14ac:dyDescent="0.25">
      <c r="A8629" s="1" t="str">
        <f>"509023"</f>
        <v>509023</v>
      </c>
      <c r="B8629" s="2" t="str">
        <f>"CX DISJUNTORES 49.3558.001.02"</f>
        <v>CX DISJUNTORES 49.3558.001.02</v>
      </c>
      <c r="C8629" s="2" t="str">
        <f t="shared" si="334"/>
        <v>UN</v>
      </c>
      <c r="D8629" s="7">
        <v>912</v>
      </c>
      <c r="E8629" s="3">
        <v>11</v>
      </c>
      <c r="F8629" s="3">
        <v>11</v>
      </c>
      <c r="G8629" t="s">
        <v>513</v>
      </c>
    </row>
    <row r="8630" spans="1:7" x14ac:dyDescent="0.25">
      <c r="A8630" s="1" t="str">
        <f>"516349"</f>
        <v>516349</v>
      </c>
      <c r="B8630" s="2" t="str">
        <f>"CX PAPELAO CAP CAROLINA 6 SABORES 48G"</f>
        <v>CX PAPELAO CAP CAROLINA 6 SABORES 48G</v>
      </c>
      <c r="C8630" s="2" t="str">
        <f t="shared" si="334"/>
        <v>UN</v>
      </c>
      <c r="D8630" s="7">
        <v>301</v>
      </c>
      <c r="E8630" s="3">
        <v>1</v>
      </c>
      <c r="F8630" s="3">
        <v>1</v>
      </c>
      <c r="G8630" t="s">
        <v>514</v>
      </c>
    </row>
    <row r="8631" spans="1:7" x14ac:dyDescent="0.25">
      <c r="A8631" s="1" t="str">
        <f>"516461"</f>
        <v>516461</v>
      </c>
      <c r="B8631" s="2" t="str">
        <f>"CX PAPELAO CAP CAROLINA 6 SABORES 48G"</f>
        <v>CX PAPELAO CAP CAROLINA 6 SABORES 48G</v>
      </c>
      <c r="C8631" s="2" t="str">
        <f t="shared" si="334"/>
        <v>UN</v>
      </c>
      <c r="D8631" s="7">
        <v>301</v>
      </c>
      <c r="E8631" s="3">
        <v>1</v>
      </c>
      <c r="F8631" s="3">
        <v>1</v>
      </c>
      <c r="G8631" t="s">
        <v>514</v>
      </c>
    </row>
    <row r="8632" spans="1:7" x14ac:dyDescent="0.25">
      <c r="A8632" s="1" t="str">
        <f>"514390"</f>
        <v>514390</v>
      </c>
      <c r="B8632" s="2" t="str">
        <f>"CX PAPELAO CAP CAROLINA 7 SABORES"</f>
        <v>CX PAPELAO CAP CAROLINA 7 SABORES</v>
      </c>
      <c r="C8632" s="2" t="str">
        <f t="shared" si="334"/>
        <v>UN</v>
      </c>
      <c r="D8632" s="7">
        <v>301</v>
      </c>
      <c r="E8632" s="3">
        <v>1</v>
      </c>
      <c r="F8632" s="3">
        <v>1</v>
      </c>
      <c r="G8632" t="s">
        <v>514</v>
      </c>
    </row>
    <row r="8633" spans="1:7" x14ac:dyDescent="0.25">
      <c r="A8633" s="1" t="str">
        <f>"6548"</f>
        <v>6548</v>
      </c>
      <c r="B8633" s="2" t="str">
        <f>"CX PAPELAO CAP CAROLINA 7 SABORES"</f>
        <v>CX PAPELAO CAP CAROLINA 7 SABORES</v>
      </c>
      <c r="C8633" s="2" t="str">
        <f t="shared" si="334"/>
        <v>UN</v>
      </c>
      <c r="D8633" s="7">
        <v>301</v>
      </c>
      <c r="E8633" s="3">
        <v>1</v>
      </c>
      <c r="F8633" s="3">
        <v>1</v>
      </c>
      <c r="G8633" t="s">
        <v>513</v>
      </c>
    </row>
    <row r="8634" spans="1:7" x14ac:dyDescent="0.25">
      <c r="A8634" s="1" t="str">
        <f>"514356"</f>
        <v>514356</v>
      </c>
      <c r="B8634" s="2" t="str">
        <f>"CX PAPELAO CAP CAROLINA 7 SABORES (IN)"</f>
        <v>CX PAPELAO CAP CAROLINA 7 SABORES (IN)</v>
      </c>
      <c r="C8634" s="2" t="str">
        <f t="shared" si="334"/>
        <v>UN</v>
      </c>
      <c r="D8634" s="7">
        <v>301</v>
      </c>
      <c r="E8634" s="3">
        <v>1</v>
      </c>
      <c r="F8634" s="3">
        <v>1</v>
      </c>
      <c r="G8634" t="s">
        <v>512</v>
      </c>
    </row>
    <row r="8635" spans="1:7" x14ac:dyDescent="0.25">
      <c r="A8635" s="1" t="str">
        <f>"509522"</f>
        <v>509522</v>
      </c>
      <c r="B8635" s="2" t="str">
        <f>"CX PVC TRANSP 485X470X2 04 4316"</f>
        <v>CX PVC TRANSP 485X470X2 04 4316</v>
      </c>
      <c r="C8635" s="2" t="str">
        <f t="shared" si="334"/>
        <v>UN</v>
      </c>
      <c r="D8635" s="7">
        <v>917</v>
      </c>
      <c r="E8635" s="3">
        <v>11</v>
      </c>
      <c r="F8635" s="3">
        <v>11</v>
      </c>
      <c r="G8635" t="s">
        <v>513</v>
      </c>
    </row>
    <row r="8636" spans="1:7" x14ac:dyDescent="0.25">
      <c r="A8636" s="1" t="str">
        <f>"5802"</f>
        <v>5802</v>
      </c>
      <c r="B8636" s="2" t="str">
        <f>"CX. 06X1250G (QUALITA)-OF.54.125-6 FRASCO"</f>
        <v>CX. 06X1250G (QUALITA)-OF.54.125-6 FRASCO</v>
      </c>
      <c r="C8636" s="2" t="str">
        <f t="shared" si="334"/>
        <v>UN</v>
      </c>
      <c r="D8636" s="7">
        <v>301</v>
      </c>
      <c r="E8636" s="3">
        <v>1</v>
      </c>
      <c r="F8636" s="3">
        <v>1</v>
      </c>
      <c r="G8636" t="s">
        <v>514</v>
      </c>
    </row>
    <row r="8637" spans="1:7" x14ac:dyDescent="0.25">
      <c r="A8637" s="1" t="str">
        <f>"6854"</f>
        <v>6854</v>
      </c>
      <c r="B8637" s="2" t="str">
        <f>"CX. 12X170G (YOPLAIT)-OF.70436-0 FRASCO"</f>
        <v>CX. 12X170G (YOPLAIT)-OF.70436-0 FRASCO</v>
      </c>
      <c r="C8637" s="2" t="str">
        <f t="shared" si="334"/>
        <v>UN</v>
      </c>
      <c r="D8637" s="7">
        <v>301</v>
      </c>
      <c r="E8637" s="3">
        <v>1</v>
      </c>
      <c r="F8637" s="3">
        <v>1</v>
      </c>
      <c r="G8637" t="s">
        <v>514</v>
      </c>
    </row>
    <row r="8638" spans="1:7" x14ac:dyDescent="0.25">
      <c r="A8638" s="1" t="str">
        <f>"6296"</f>
        <v>6296</v>
      </c>
      <c r="B8638" s="2" t="str">
        <f>"CX. 12X850G (QUALITA)-OF.34.850-2 FRASCO"</f>
        <v>CX. 12X850G (QUALITA)-OF.34.850-2 FRASCO</v>
      </c>
      <c r="C8638" s="2" t="str">
        <f t="shared" si="334"/>
        <v>UN</v>
      </c>
      <c r="D8638" s="7">
        <v>301</v>
      </c>
      <c r="E8638" s="3">
        <v>1</v>
      </c>
      <c r="F8638" s="3">
        <v>1</v>
      </c>
      <c r="G8638" t="s">
        <v>514</v>
      </c>
    </row>
    <row r="8639" spans="1:7" x14ac:dyDescent="0.25">
      <c r="A8639" s="1" t="str">
        <f>"6293"</f>
        <v>6293</v>
      </c>
      <c r="B8639" s="2" t="str">
        <f>"CX. 18X160G (QUALITA)-OF.66.185-1 COPO"</f>
        <v>CX. 18X160G (QUALITA)-OF.66.185-1 COPO</v>
      </c>
      <c r="C8639" s="2" t="str">
        <f t="shared" si="334"/>
        <v>UN</v>
      </c>
      <c r="D8639" s="7">
        <v>301</v>
      </c>
      <c r="E8639" s="3">
        <v>1</v>
      </c>
      <c r="F8639" s="3">
        <v>1</v>
      </c>
      <c r="G8639" t="s">
        <v>513</v>
      </c>
    </row>
    <row r="8640" spans="1:7" x14ac:dyDescent="0.25">
      <c r="A8640" s="1" t="str">
        <f>"6308"</f>
        <v>6308</v>
      </c>
      <c r="B8640" s="2" t="str">
        <f>"CX. 18X160G (TAEQ)-OF.66.185-2 COPO"</f>
        <v>CX. 18X160G (TAEQ)-OF.66.185-2 COPO</v>
      </c>
      <c r="C8640" s="2" t="str">
        <f t="shared" si="334"/>
        <v>UN</v>
      </c>
      <c r="D8640" s="7">
        <v>301</v>
      </c>
      <c r="E8640" s="3">
        <v>1</v>
      </c>
      <c r="F8640" s="3">
        <v>1</v>
      </c>
      <c r="G8640" t="s">
        <v>513</v>
      </c>
    </row>
    <row r="8641" spans="1:7" x14ac:dyDescent="0.25">
      <c r="A8641" s="1" t="str">
        <f>"681"</f>
        <v>681</v>
      </c>
      <c r="B8641" s="2" t="str">
        <f>"CX. 18X165G PET (CAROLINA)-OF.48.650-18"</f>
        <v>CX. 18X165G PET (CAROLINA)-OF.48.650-18</v>
      </c>
      <c r="C8641" s="2" t="str">
        <f t="shared" si="334"/>
        <v>UN</v>
      </c>
      <c r="D8641" s="7">
        <v>301</v>
      </c>
      <c r="E8641" s="3">
        <v>1</v>
      </c>
      <c r="F8641" s="3">
        <v>1</v>
      </c>
      <c r="G8641" t="s">
        <v>513</v>
      </c>
    </row>
    <row r="8642" spans="1:7" x14ac:dyDescent="0.25">
      <c r="A8642" s="1" t="str">
        <f>"6294"</f>
        <v>6294</v>
      </c>
      <c r="B8642" s="2" t="str">
        <f>"CX. 18X170G (TAEQ)-OF.66.185-2 COPO"</f>
        <v>CX. 18X170G (TAEQ)-OF.66.185-2 COPO</v>
      </c>
      <c r="C8642" s="2" t="str">
        <f t="shared" si="334"/>
        <v>UN</v>
      </c>
      <c r="D8642" s="7">
        <v>301</v>
      </c>
      <c r="E8642" s="3">
        <v>1</v>
      </c>
      <c r="F8642" s="3">
        <v>1</v>
      </c>
      <c r="G8642" t="s">
        <v>512</v>
      </c>
    </row>
    <row r="8643" spans="1:7" x14ac:dyDescent="0.25">
      <c r="A8643" s="1" t="str">
        <f>"6727"</f>
        <v>6727</v>
      </c>
      <c r="B8643" s="2" t="str">
        <f>"CX. 25X150G (COOP)-OF.25.635-6 FRASCO"</f>
        <v>CX. 25X150G (COOP)-OF.25.635-6 FRASCO</v>
      </c>
      <c r="C8643" s="2" t="str">
        <f t="shared" si="334"/>
        <v>UN</v>
      </c>
      <c r="D8643" s="7">
        <v>301</v>
      </c>
      <c r="E8643" s="3">
        <v>1</v>
      </c>
      <c r="F8643" s="3">
        <v>1</v>
      </c>
      <c r="G8643" t="s">
        <v>513</v>
      </c>
    </row>
    <row r="8644" spans="1:7" x14ac:dyDescent="0.25">
      <c r="A8644" s="1" t="str">
        <f>"6295"</f>
        <v>6295</v>
      </c>
      <c r="B8644" s="2" t="str">
        <f>"CX. 25X160G (QUALITA)-OF.34.160-1 FRASCO"</f>
        <v>CX. 25X160G (QUALITA)-OF.34.160-1 FRASCO</v>
      </c>
      <c r="C8644" s="2" t="str">
        <f t="shared" si="334"/>
        <v>UN</v>
      </c>
      <c r="D8644" s="7">
        <v>301</v>
      </c>
      <c r="E8644" s="3">
        <v>1</v>
      </c>
      <c r="F8644" s="3">
        <v>1</v>
      </c>
      <c r="G8644" t="s">
        <v>514</v>
      </c>
    </row>
    <row r="8645" spans="1:7" x14ac:dyDescent="0.25">
      <c r="A8645" s="1" t="str">
        <f>"6723"</f>
        <v>6723</v>
      </c>
      <c r="B8645" s="2" t="str">
        <f>"CX. 25X160G (VERY GURT)-OF.25.160-01 FRA"</f>
        <v>CX. 25X160G (VERY GURT)-OF.25.160-01 FRA</v>
      </c>
      <c r="C8645" s="2" t="str">
        <f t="shared" si="334"/>
        <v>UN</v>
      </c>
      <c r="D8645" s="7">
        <v>301</v>
      </c>
      <c r="E8645" s="3">
        <v>1</v>
      </c>
      <c r="F8645" s="3">
        <v>1</v>
      </c>
      <c r="G8645" t="s">
        <v>515</v>
      </c>
    </row>
    <row r="8646" spans="1:7" x14ac:dyDescent="0.25">
      <c r="A8646" s="1" t="str">
        <f>"3332"</f>
        <v>3332</v>
      </c>
      <c r="B8646" s="2" t="str">
        <f>"CX. 25X160G (VERY GURT)-OF.25.160-02 FRA"</f>
        <v>CX. 25X160G (VERY GURT)-OF.25.160-02 FRA</v>
      </c>
      <c r="C8646" s="2" t="str">
        <f t="shared" si="334"/>
        <v>UN</v>
      </c>
      <c r="D8646" s="7">
        <v>301</v>
      </c>
      <c r="E8646" s="3">
        <v>1</v>
      </c>
      <c r="F8646" s="3">
        <v>1</v>
      </c>
      <c r="G8646" t="s">
        <v>512</v>
      </c>
    </row>
    <row r="8647" spans="1:7" x14ac:dyDescent="0.25">
      <c r="A8647" s="1" t="str">
        <f>"678"</f>
        <v>678</v>
      </c>
      <c r="B8647" s="2" t="str">
        <f>"CX. 25X170G (CAROLINA)-OF.46.642-6"</f>
        <v>CX. 25X170G (CAROLINA)-OF.46.642-6</v>
      </c>
      <c r="C8647" s="2" t="str">
        <f t="shared" si="334"/>
        <v>UN</v>
      </c>
      <c r="D8647" s="7">
        <v>301</v>
      </c>
      <c r="E8647" s="3">
        <v>1</v>
      </c>
      <c r="F8647" s="3">
        <v>1</v>
      </c>
      <c r="G8647" t="s">
        <v>516</v>
      </c>
    </row>
    <row r="8648" spans="1:7" x14ac:dyDescent="0.25">
      <c r="A8648" s="1" t="str">
        <f>"515830"</f>
        <v>515830</v>
      </c>
      <c r="B8648" s="2" t="str">
        <f>"CX. 25X180G (BOM PREÇO)-OF.515830-1 FRASCO"</f>
        <v>CX. 25X180G (BOM PREÇO)-OF.515830-1 FRASCO</v>
      </c>
      <c r="C8648" s="2" t="str">
        <f t="shared" si="334"/>
        <v>UN</v>
      </c>
      <c r="D8648" s="7">
        <v>301</v>
      </c>
      <c r="E8648" s="3">
        <v>1</v>
      </c>
      <c r="F8648" s="3">
        <v>1</v>
      </c>
      <c r="G8648" t="s">
        <v>515</v>
      </c>
    </row>
    <row r="8649" spans="1:7" x14ac:dyDescent="0.25">
      <c r="A8649" s="1" t="str">
        <f>"6346"</f>
        <v>6346</v>
      </c>
      <c r="B8649" s="2" t="str">
        <f>"CX. BAND.12X100G (QUALITA)-OF.33.750-5"</f>
        <v>CX. BAND.12X100G (QUALITA)-OF.33.750-5</v>
      </c>
      <c r="C8649" s="2" t="str">
        <f t="shared" si="334"/>
        <v>UN</v>
      </c>
      <c r="D8649" s="7">
        <v>301</v>
      </c>
      <c r="E8649" s="3">
        <v>1</v>
      </c>
      <c r="F8649" s="3">
        <v>1</v>
      </c>
      <c r="G8649" t="s">
        <v>514</v>
      </c>
    </row>
    <row r="8650" spans="1:7" x14ac:dyDescent="0.25">
      <c r="A8650" s="1" t="str">
        <f>"25"</f>
        <v>25</v>
      </c>
      <c r="B8650" s="2" t="str">
        <f>"CX. BAND.12X120G (CAROLINA)-OF.75.822-2"</f>
        <v>CX. BAND.12X120G (CAROLINA)-OF.75.822-2</v>
      </c>
      <c r="C8650" s="2" t="str">
        <f t="shared" si="334"/>
        <v>UN</v>
      </c>
      <c r="D8650" s="7">
        <v>301</v>
      </c>
      <c r="E8650" s="3">
        <v>1</v>
      </c>
      <c r="F8650" s="3">
        <v>1</v>
      </c>
      <c r="G8650" t="s">
        <v>512</v>
      </c>
    </row>
    <row r="8651" spans="1:7" x14ac:dyDescent="0.25">
      <c r="A8651" s="1" t="str">
        <f>"5835"</f>
        <v>5835</v>
      </c>
      <c r="B8651" s="2" t="str">
        <f>"CX. BAND.18X100G (VIVER)-OF.35.650-1"</f>
        <v>CX. BAND.18X100G (VIVER)-OF.35.650-1</v>
      </c>
      <c r="C8651" s="2" t="str">
        <f t="shared" si="334"/>
        <v>UN</v>
      </c>
      <c r="D8651" s="7">
        <v>301</v>
      </c>
      <c r="E8651" s="3">
        <v>1</v>
      </c>
      <c r="F8651" s="3">
        <v>1</v>
      </c>
      <c r="G8651" t="s">
        <v>513</v>
      </c>
    </row>
    <row r="8652" spans="1:7" x14ac:dyDescent="0.25">
      <c r="A8652" s="1" t="str">
        <f>"921"</f>
        <v>921</v>
      </c>
      <c r="B8652" s="2" t="str">
        <f>"CX. BCV  12 X 500GR (REQ. VIVER) REF.72.645-1"</f>
        <v>CX. BCV  12 X 500GR (REQ. VIVER) REF.72.645-1</v>
      </c>
      <c r="C8652" s="2" t="str">
        <f t="shared" si="334"/>
        <v>UN</v>
      </c>
      <c r="D8652" s="7">
        <v>301</v>
      </c>
      <c r="E8652" s="3">
        <v>1</v>
      </c>
      <c r="F8652" s="3">
        <v>1</v>
      </c>
      <c r="G8652" t="s">
        <v>514</v>
      </c>
    </row>
    <row r="8653" spans="1:7" x14ac:dyDescent="0.25">
      <c r="A8653" s="1" t="str">
        <f>"922"</f>
        <v>922</v>
      </c>
      <c r="B8653" s="2" t="str">
        <f>"CX. BCV  24 X 200GR (REQ. VIVER) REF.72.640-2"</f>
        <v>CX. BCV  24 X 200GR (REQ. VIVER) REF.72.640-2</v>
      </c>
      <c r="C8653" s="2" t="str">
        <f t="shared" si="334"/>
        <v>UN</v>
      </c>
      <c r="D8653" s="7">
        <v>301</v>
      </c>
      <c r="E8653" s="3">
        <v>1</v>
      </c>
      <c r="F8653" s="3">
        <v>1</v>
      </c>
      <c r="G8653" t="s">
        <v>514</v>
      </c>
    </row>
    <row r="8654" spans="1:7" x14ac:dyDescent="0.25">
      <c r="A8654" s="1" t="str">
        <f>"6777"</f>
        <v>6777</v>
      </c>
      <c r="B8654" s="2" t="str">
        <f>"CX. BCV (ACHOCOLATADO BIBIBITS) REF.200-27"</f>
        <v>CX. BCV (ACHOCOLATADO BIBIBITS) REF.200-27</v>
      </c>
      <c r="C8654" s="2" t="str">
        <f t="shared" si="334"/>
        <v>UN</v>
      </c>
      <c r="D8654" s="7">
        <v>301</v>
      </c>
      <c r="E8654" s="3">
        <v>1</v>
      </c>
      <c r="F8654" s="3">
        <v>1</v>
      </c>
      <c r="G8654" t="s">
        <v>512</v>
      </c>
    </row>
    <row r="8655" spans="1:7" x14ac:dyDescent="0.25">
      <c r="A8655" s="1" t="str">
        <f>"6192"</f>
        <v>6192</v>
      </c>
      <c r="B8655" s="2" t="str">
        <f>"CX. BCV (BAND. 10X360) REF.360-10"</f>
        <v>CX. BCV (BAND. 10X360) REF.360-10</v>
      </c>
      <c r="C8655" s="2" t="str">
        <f t="shared" si="334"/>
        <v>UN</v>
      </c>
      <c r="D8655" s="7">
        <v>301</v>
      </c>
      <c r="E8655" s="3">
        <v>1</v>
      </c>
      <c r="F8655" s="3">
        <v>1</v>
      </c>
      <c r="G8655" t="s">
        <v>513</v>
      </c>
    </row>
    <row r="8656" spans="1:7" x14ac:dyDescent="0.25">
      <c r="A8656" s="1" t="str">
        <f>"6018"</f>
        <v>6018</v>
      </c>
      <c r="B8656" s="2" t="str">
        <f>"CX. BCV (BAND. 10X510) REF.510-10"</f>
        <v>CX. BCV (BAND. 10X510) REF.510-10</v>
      </c>
      <c r="C8656" s="2" t="str">
        <f t="shared" si="334"/>
        <v>UN</v>
      </c>
      <c r="D8656" s="7">
        <v>301</v>
      </c>
      <c r="E8656" s="3">
        <v>1</v>
      </c>
      <c r="F8656" s="3">
        <v>1</v>
      </c>
      <c r="G8656" t="s">
        <v>514</v>
      </c>
    </row>
    <row r="8657" spans="1:7" x14ac:dyDescent="0.25">
      <c r="A8657" s="1" t="str">
        <f>"6027"</f>
        <v>6027</v>
      </c>
      <c r="B8657" s="2" t="str">
        <f>"CX. BCV (BAND. 10X510)REF.510-10 - QUALITA"</f>
        <v>CX. BCV (BAND. 10X510)REF.510-10 - QUALITA</v>
      </c>
      <c r="C8657" s="2" t="str">
        <f t="shared" si="334"/>
        <v>UN</v>
      </c>
      <c r="D8657" s="7">
        <v>301</v>
      </c>
      <c r="E8657" s="3">
        <v>1</v>
      </c>
      <c r="F8657" s="3">
        <v>1</v>
      </c>
      <c r="G8657" t="s">
        <v>514</v>
      </c>
    </row>
    <row r="8658" spans="1:7" x14ac:dyDescent="0.25">
      <c r="A8658" s="1" t="str">
        <f>"6059"</f>
        <v>6059</v>
      </c>
      <c r="B8658" s="2" t="str">
        <f>"CX. BCV (BAND. 10X510/600)REF.600-10 (AUTOMÁTICA)"</f>
        <v>CX. BCV (BAND. 10X510/600)REF.600-10 (AUTOMÁTICA)</v>
      </c>
      <c r="C8658" s="2" t="str">
        <f t="shared" si="334"/>
        <v>UN</v>
      </c>
      <c r="D8658" s="7">
        <v>301</v>
      </c>
      <c r="E8658" s="3">
        <v>1</v>
      </c>
      <c r="F8658" s="3">
        <v>1</v>
      </c>
      <c r="G8658" t="s">
        <v>514</v>
      </c>
    </row>
    <row r="8659" spans="1:7" x14ac:dyDescent="0.25">
      <c r="A8659" s="1" t="str">
        <f>"6029"</f>
        <v>6029</v>
      </c>
      <c r="B8659" s="2" t="str">
        <f>"CX. BCV (BAND. 12X100) REF. 400-12"</f>
        <v>CX. BCV (BAND. 12X100) REF. 400-12</v>
      </c>
      <c r="C8659" s="2" t="str">
        <f t="shared" si="334"/>
        <v>UN</v>
      </c>
      <c r="D8659" s="7">
        <v>301</v>
      </c>
      <c r="E8659" s="3">
        <v>1</v>
      </c>
      <c r="F8659" s="3">
        <v>1</v>
      </c>
      <c r="G8659" t="s">
        <v>513</v>
      </c>
    </row>
    <row r="8660" spans="1:7" x14ac:dyDescent="0.25">
      <c r="A8660" s="1" t="str">
        <f>"6157"</f>
        <v>6157</v>
      </c>
      <c r="B8660" s="2" t="str">
        <f>"CX. BCV (COP. 24X130)REF.130-24 BIBI BITS"</f>
        <v>CX. BCV (COP. 24X130)REF.130-24 BIBI BITS</v>
      </c>
      <c r="C8660" s="2" t="str">
        <f t="shared" ref="C8660:C8691" si="335">"UN"</f>
        <v>UN</v>
      </c>
      <c r="D8660" s="7">
        <v>301</v>
      </c>
      <c r="E8660" s="3">
        <v>1</v>
      </c>
      <c r="F8660" s="3">
        <v>1</v>
      </c>
      <c r="G8660" t="s">
        <v>512</v>
      </c>
    </row>
    <row r="8661" spans="1:7" x14ac:dyDescent="0.25">
      <c r="A8661" s="1" t="str">
        <f>"7129"</f>
        <v>7129</v>
      </c>
      <c r="B8661" s="2" t="str">
        <f>"CX. BCV (COP. 24X200) REF.493760 REQUEIJÃO"</f>
        <v>CX. BCV (COP. 24X200) REF.493760 REQUEIJÃO</v>
      </c>
      <c r="C8661" s="2" t="str">
        <f t="shared" si="335"/>
        <v>UN</v>
      </c>
      <c r="D8661" s="7">
        <v>301</v>
      </c>
      <c r="E8661" s="3">
        <v>1</v>
      </c>
      <c r="F8661" s="3">
        <v>1</v>
      </c>
      <c r="G8661" t="s">
        <v>513</v>
      </c>
    </row>
    <row r="8662" spans="1:7" x14ac:dyDescent="0.25">
      <c r="A8662" s="1" t="str">
        <f>"6857"</f>
        <v>6857</v>
      </c>
      <c r="B8662" s="2" t="str">
        <f>"CX. BCV (COPO 12X100) REF.70441-1 YOPLAIT"</f>
        <v>CX. BCV (COPO 12X100) REF.70441-1 YOPLAIT</v>
      </c>
      <c r="C8662" s="2" t="str">
        <f t="shared" si="335"/>
        <v>UN</v>
      </c>
      <c r="D8662" s="7">
        <v>301</v>
      </c>
      <c r="E8662" s="3">
        <v>1</v>
      </c>
      <c r="F8662" s="3">
        <v>1</v>
      </c>
      <c r="G8662" t="s">
        <v>514</v>
      </c>
    </row>
    <row r="8663" spans="1:7" x14ac:dyDescent="0.25">
      <c r="A8663" s="1" t="str">
        <f>"999"</f>
        <v>999</v>
      </c>
      <c r="B8663" s="2" t="str">
        <f>"CX. BCV (COPO 20 X 170) REF.170-20"</f>
        <v>CX. BCV (COPO 20 X 170) REF.170-20</v>
      </c>
      <c r="C8663" s="2" t="str">
        <f t="shared" si="335"/>
        <v>UN</v>
      </c>
      <c r="D8663" s="7">
        <v>301</v>
      </c>
      <c r="E8663" s="3">
        <v>1</v>
      </c>
      <c r="F8663" s="3">
        <v>1</v>
      </c>
      <c r="G8663" t="s">
        <v>514</v>
      </c>
    </row>
    <row r="8664" spans="1:7" x14ac:dyDescent="0.25">
      <c r="A8664" s="1" t="str">
        <f>"6021"</f>
        <v>6021</v>
      </c>
      <c r="B8664" s="2" t="str">
        <f>"CX. BCV (COPO 30X170) REF.170-30"</f>
        <v>CX. BCV (COPO 30X170) REF.170-30</v>
      </c>
      <c r="C8664" s="2" t="str">
        <f t="shared" si="335"/>
        <v>UN</v>
      </c>
      <c r="D8664" s="7">
        <v>301</v>
      </c>
      <c r="E8664" s="3">
        <v>1</v>
      </c>
      <c r="F8664" s="3">
        <v>1</v>
      </c>
      <c r="G8664" t="s">
        <v>514</v>
      </c>
    </row>
    <row r="8665" spans="1:7" x14ac:dyDescent="0.25">
      <c r="A8665" s="1" t="str">
        <f>"6057"</f>
        <v>6057</v>
      </c>
      <c r="B8665" s="2" t="str">
        <f>"CX. BCV (COPO 30X170) REF.170-30 - CARREFOUR"</f>
        <v>CX. BCV (COPO 30X170) REF.170-30 - CARREFOUR</v>
      </c>
      <c r="C8665" s="2" t="str">
        <f t="shared" si="335"/>
        <v>UN</v>
      </c>
      <c r="D8665" s="7">
        <v>301</v>
      </c>
      <c r="E8665" s="3">
        <v>1</v>
      </c>
      <c r="F8665" s="3">
        <v>1</v>
      </c>
      <c r="G8665" t="s">
        <v>513</v>
      </c>
    </row>
    <row r="8666" spans="1:7" x14ac:dyDescent="0.25">
      <c r="A8666" s="1" t="str">
        <f>"6020"</f>
        <v>6020</v>
      </c>
      <c r="B8666" s="2" t="str">
        <f>"CX. BCV (COPO 30X170/180) REF.180-30"</f>
        <v>CX. BCV (COPO 30X170/180) REF.180-30</v>
      </c>
      <c r="C8666" s="2" t="str">
        <f t="shared" si="335"/>
        <v>UN</v>
      </c>
      <c r="D8666" s="7">
        <v>301</v>
      </c>
      <c r="E8666" s="3">
        <v>1</v>
      </c>
      <c r="F8666" s="3">
        <v>1</v>
      </c>
      <c r="G8666" t="s">
        <v>513</v>
      </c>
    </row>
    <row r="8667" spans="1:7" x14ac:dyDescent="0.25">
      <c r="A8667" s="1" t="str">
        <f>"5961"</f>
        <v>5961</v>
      </c>
      <c r="B8667" s="2" t="str">
        <f>"CX. BCV (COPO DUET 24 X 130G) - OF.66.324-8"</f>
        <v>CX. BCV (COPO DUET 24 X 130G) - OF.66.324-8</v>
      </c>
      <c r="C8667" s="2" t="str">
        <f t="shared" si="335"/>
        <v>UN</v>
      </c>
      <c r="D8667" s="7">
        <v>301</v>
      </c>
      <c r="E8667" s="3">
        <v>1</v>
      </c>
      <c r="F8667" s="3">
        <v>1</v>
      </c>
      <c r="G8667" t="s">
        <v>513</v>
      </c>
    </row>
    <row r="8668" spans="1:7" x14ac:dyDescent="0.25">
      <c r="A8668" s="1" t="str">
        <f>"796"</f>
        <v>796</v>
      </c>
      <c r="B8668" s="2" t="str">
        <f>"CX. BCV (COPO FRUTAS/NATURAIS (20 X 100) REF.100-20"</f>
        <v>CX. BCV (COPO FRUTAS/NATURAIS (20 X 100) REF.100-20</v>
      </c>
      <c r="C8668" s="2" t="str">
        <f t="shared" si="335"/>
        <v>UN</v>
      </c>
      <c r="D8668" s="7">
        <v>301</v>
      </c>
      <c r="E8668" s="3">
        <v>1</v>
      </c>
      <c r="F8668" s="3">
        <v>1</v>
      </c>
      <c r="G8668" t="s">
        <v>512</v>
      </c>
    </row>
    <row r="8669" spans="1:7" x14ac:dyDescent="0.25">
      <c r="A8669" s="1" t="str">
        <f>"795"</f>
        <v>795</v>
      </c>
      <c r="B8669" s="2" t="str">
        <f>"CX. BCV (COPO FRUTAS/NATURAIS (20 X 160) REF.160-20"</f>
        <v>CX. BCV (COPO FRUTAS/NATURAIS (20 X 160) REF.160-20</v>
      </c>
      <c r="C8669" s="2" t="str">
        <f t="shared" si="335"/>
        <v>UN</v>
      </c>
      <c r="D8669" s="7">
        <v>301</v>
      </c>
      <c r="E8669" s="3">
        <v>1</v>
      </c>
      <c r="F8669" s="3">
        <v>1</v>
      </c>
      <c r="G8669" t="s">
        <v>513</v>
      </c>
    </row>
    <row r="8670" spans="1:7" x14ac:dyDescent="0.25">
      <c r="A8670" s="1" t="str">
        <f>"915"</f>
        <v>915</v>
      </c>
      <c r="B8670" s="2" t="str">
        <f>"CX. BCV (CREME DE LEITE) REF. 270.100-12"</f>
        <v>CX. BCV (CREME DE LEITE) REF. 270.100-12</v>
      </c>
      <c r="C8670" s="2" t="str">
        <f t="shared" si="335"/>
        <v>UN</v>
      </c>
      <c r="D8670" s="7">
        <v>301</v>
      </c>
      <c r="E8670" s="3">
        <v>1</v>
      </c>
      <c r="F8670" s="3">
        <v>1</v>
      </c>
      <c r="G8670" t="s">
        <v>514</v>
      </c>
    </row>
    <row r="8671" spans="1:7" x14ac:dyDescent="0.25">
      <c r="A8671" s="1" t="str">
        <f>"4154"</f>
        <v>4154</v>
      </c>
      <c r="B8671" s="2" t="str">
        <f>"CX. BCV (DUET 15 X 110G) - OF.66315-5"</f>
        <v>CX. BCV (DUET 15 X 110G) - OF.66315-5</v>
      </c>
      <c r="C8671" s="2" t="str">
        <f t="shared" si="335"/>
        <v>UN</v>
      </c>
      <c r="D8671" s="7">
        <v>301</v>
      </c>
      <c r="E8671" s="3">
        <v>1</v>
      </c>
      <c r="F8671" s="3">
        <v>1</v>
      </c>
      <c r="G8671" t="s">
        <v>515</v>
      </c>
    </row>
    <row r="8672" spans="1:7" x14ac:dyDescent="0.25">
      <c r="A8672" s="1" t="str">
        <f>"5967"</f>
        <v>5967</v>
      </c>
      <c r="B8672" s="2" t="str">
        <f>"CX. BCV (DUET 25 X 130G) - OF.66325-4"</f>
        <v>CX. BCV (DUET 25 X 130G) - OF.66325-4</v>
      </c>
      <c r="C8672" s="2" t="str">
        <f t="shared" si="335"/>
        <v>UN</v>
      </c>
      <c r="D8672" s="7">
        <v>301</v>
      </c>
      <c r="E8672" s="3">
        <v>1</v>
      </c>
      <c r="F8672" s="3">
        <v>1</v>
      </c>
      <c r="G8672" t="s">
        <v>512</v>
      </c>
    </row>
    <row r="8673" spans="1:7" x14ac:dyDescent="0.25">
      <c r="A8673" s="1" t="str">
        <f>"6739"</f>
        <v>6739</v>
      </c>
      <c r="B8673" s="2" t="str">
        <f>"CX. BCV (FERMENTADO 10X6) REF.80-10"</f>
        <v>CX. BCV (FERMENTADO 10X6) REF.80-10</v>
      </c>
      <c r="C8673" s="2" t="str">
        <f t="shared" si="335"/>
        <v>UN</v>
      </c>
      <c r="D8673" s="7">
        <v>301</v>
      </c>
      <c r="E8673" s="3">
        <v>1</v>
      </c>
      <c r="F8673" s="3">
        <v>1</v>
      </c>
      <c r="G8673" t="s">
        <v>516</v>
      </c>
    </row>
    <row r="8674" spans="1:7" x14ac:dyDescent="0.25">
      <c r="A8674" s="1" t="str">
        <f>"3331"</f>
        <v>3331</v>
      </c>
      <c r="B8674" s="2" t="str">
        <f>"CX. BCV (FERMENTADO 10X6) REF.90-10 (QUALITA)"</f>
        <v>CX. BCV (FERMENTADO 10X6) REF.90-10 (QUALITA)</v>
      </c>
      <c r="C8674" s="2" t="str">
        <f t="shared" si="335"/>
        <v>UN</v>
      </c>
      <c r="D8674" s="7">
        <v>301</v>
      </c>
      <c r="E8674" s="3">
        <v>1</v>
      </c>
      <c r="F8674" s="3">
        <v>1</v>
      </c>
      <c r="G8674" t="s">
        <v>515</v>
      </c>
    </row>
    <row r="8675" spans="1:7" x14ac:dyDescent="0.25">
      <c r="A8675" s="1" t="str">
        <f>"6785"</f>
        <v>6785</v>
      </c>
      <c r="B8675" s="2" t="str">
        <f>"CX. BCV (FERMENTADO BYG) REF.115-30"</f>
        <v>CX. BCV (FERMENTADO BYG) REF.115-30</v>
      </c>
      <c r="C8675" s="2" t="str">
        <f t="shared" si="335"/>
        <v>UN</v>
      </c>
      <c r="D8675" s="7">
        <v>301</v>
      </c>
      <c r="E8675" s="3">
        <v>1</v>
      </c>
      <c r="F8675" s="3">
        <v>1</v>
      </c>
      <c r="G8675" t="s">
        <v>514</v>
      </c>
    </row>
    <row r="8676" spans="1:7" x14ac:dyDescent="0.25">
      <c r="A8676" s="1" t="str">
        <f>"904"</f>
        <v>904</v>
      </c>
      <c r="B8676" s="2" t="str">
        <f>"CX. BCV (FLAN/GREGO) REF. 100-15"</f>
        <v>CX. BCV (FLAN/GREGO) REF. 100-15</v>
      </c>
      <c r="C8676" s="2" t="str">
        <f t="shared" si="335"/>
        <v>UN</v>
      </c>
      <c r="D8676" s="7">
        <v>301</v>
      </c>
      <c r="E8676" s="3">
        <v>1</v>
      </c>
      <c r="F8676" s="3">
        <v>1</v>
      </c>
      <c r="G8676" t="s">
        <v>512</v>
      </c>
    </row>
    <row r="8677" spans="1:7" x14ac:dyDescent="0.25">
      <c r="A8677" s="1" t="str">
        <f>"919"</f>
        <v>919</v>
      </c>
      <c r="B8677" s="2" t="str">
        <f>"CX. BCV (GREGO) REF. 12-100"</f>
        <v>CX. BCV (GREGO) REF. 12-100</v>
      </c>
      <c r="C8677" s="2" t="str">
        <f t="shared" si="335"/>
        <v>UN</v>
      </c>
      <c r="D8677" s="7">
        <v>301</v>
      </c>
      <c r="E8677" s="3">
        <v>1</v>
      </c>
      <c r="F8677" s="3">
        <v>1</v>
      </c>
      <c r="G8677" t="s">
        <v>513</v>
      </c>
    </row>
    <row r="8678" spans="1:7" x14ac:dyDescent="0.25">
      <c r="A8678" s="1" t="str">
        <f>"920"</f>
        <v>920</v>
      </c>
      <c r="B8678" s="2" t="str">
        <f>"CX. BCV (GREGO) REF. 18-100"</f>
        <v>CX. BCV (GREGO) REF. 18-100</v>
      </c>
      <c r="C8678" s="2" t="str">
        <f t="shared" si="335"/>
        <v>UN</v>
      </c>
      <c r="D8678" s="7">
        <v>301</v>
      </c>
      <c r="E8678" s="3">
        <v>1</v>
      </c>
      <c r="F8678" s="3">
        <v>1</v>
      </c>
      <c r="G8678" t="s">
        <v>514</v>
      </c>
    </row>
    <row r="8679" spans="1:7" x14ac:dyDescent="0.25">
      <c r="A8679" s="1" t="str">
        <f>"992"</f>
        <v>992</v>
      </c>
      <c r="B8679" s="2" t="str">
        <f>"CX. BCV (LA VITTA) REF.120-20"</f>
        <v>CX. BCV (LA VITTA) REF.120-20</v>
      </c>
      <c r="C8679" s="2" t="str">
        <f t="shared" si="335"/>
        <v>UN</v>
      </c>
      <c r="D8679" s="7">
        <v>301</v>
      </c>
      <c r="E8679" s="3">
        <v>1</v>
      </c>
      <c r="F8679" s="3">
        <v>1</v>
      </c>
      <c r="G8679" t="s">
        <v>514</v>
      </c>
    </row>
    <row r="8680" spans="1:7" x14ac:dyDescent="0.25">
      <c r="A8680" s="1" t="str">
        <f>"6019"</f>
        <v>6019</v>
      </c>
      <c r="B8680" s="2" t="str">
        <f>"CX. BCV (PETIT 12X360) REF.360-12"</f>
        <v>CX. BCV (PETIT 12X360) REF.360-12</v>
      </c>
      <c r="C8680" s="2" t="str">
        <f t="shared" si="335"/>
        <v>UN</v>
      </c>
      <c r="D8680" s="7">
        <v>301</v>
      </c>
      <c r="E8680" s="3">
        <v>1</v>
      </c>
      <c r="F8680" s="3">
        <v>1</v>
      </c>
      <c r="G8680" t="s">
        <v>512</v>
      </c>
    </row>
    <row r="8681" spans="1:7" x14ac:dyDescent="0.25">
      <c r="A8681" s="1" t="str">
        <f>"799"</f>
        <v>799</v>
      </c>
      <c r="B8681" s="2" t="str">
        <f>"CX. BCV (POTE 500G PEDAÇOS DE FRUTAS ) REF.500-12"</f>
        <v>CX. BCV (POTE 500G PEDAÇOS DE FRUTAS ) REF.500-12</v>
      </c>
      <c r="C8681" s="2" t="str">
        <f t="shared" si="335"/>
        <v>UN</v>
      </c>
      <c r="D8681" s="7">
        <v>301</v>
      </c>
      <c r="E8681" s="3">
        <v>1</v>
      </c>
      <c r="F8681" s="3">
        <v>1</v>
      </c>
      <c r="G8681" t="s">
        <v>513</v>
      </c>
    </row>
    <row r="8682" spans="1:7" x14ac:dyDescent="0.25">
      <c r="A8682" s="1" t="str">
        <f>"906"</f>
        <v>906</v>
      </c>
      <c r="B8682" s="2" t="str">
        <f>"CX. BCV (REQUEIJÃO CAROLINA) REF. 180.200-24"</f>
        <v>CX. BCV (REQUEIJÃO CAROLINA) REF. 180.200-24</v>
      </c>
      <c r="C8682" s="2" t="str">
        <f t="shared" si="335"/>
        <v>UN</v>
      </c>
      <c r="D8682" s="7">
        <v>301</v>
      </c>
      <c r="E8682" s="3">
        <v>1</v>
      </c>
      <c r="F8682" s="3">
        <v>1</v>
      </c>
      <c r="G8682" t="s">
        <v>514</v>
      </c>
    </row>
    <row r="8683" spans="1:7" x14ac:dyDescent="0.25">
      <c r="A8683" s="1" t="str">
        <f>"914"</f>
        <v>914</v>
      </c>
      <c r="B8683" s="2" t="str">
        <f>"CX. BCV (REQUEIJAO CAROLINA) REF.180.200-20"</f>
        <v>CX. BCV (REQUEIJAO CAROLINA) REF.180.200-20</v>
      </c>
      <c r="C8683" s="2" t="str">
        <f t="shared" si="335"/>
        <v>UN</v>
      </c>
      <c r="D8683" s="7">
        <v>301</v>
      </c>
      <c r="E8683" s="3">
        <v>1</v>
      </c>
      <c r="F8683" s="3">
        <v>1</v>
      </c>
      <c r="G8683" t="s">
        <v>514</v>
      </c>
    </row>
    <row r="8684" spans="1:7" x14ac:dyDescent="0.25">
      <c r="A8684" s="1" t="str">
        <f>"917"</f>
        <v>917</v>
      </c>
      <c r="B8684" s="2" t="str">
        <f>"CX. BCV (REQUEIJÃO DIA% E CAROLINA) REF.200.200-24"</f>
        <v>CX. BCV (REQUEIJÃO DIA% E CAROLINA) REF.200.200-24</v>
      </c>
      <c r="C8684" s="2" t="str">
        <f t="shared" si="335"/>
        <v>UN</v>
      </c>
      <c r="D8684" s="7">
        <v>301</v>
      </c>
      <c r="E8684" s="3">
        <v>1</v>
      </c>
      <c r="F8684" s="3">
        <v>1</v>
      </c>
      <c r="G8684" t="s">
        <v>514</v>
      </c>
    </row>
    <row r="8685" spans="1:7" x14ac:dyDescent="0.25">
      <c r="A8685" s="1" t="str">
        <f>"6855"</f>
        <v>6855</v>
      </c>
      <c r="B8685" s="2" t="str">
        <f>"CX. BCV (SOBRE COPO 12X100) REF.70440-1 YOPLAIT"</f>
        <v>CX. BCV (SOBRE COPO 12X100) REF.70440-1 YOPLAIT</v>
      </c>
      <c r="C8685" s="2" t="str">
        <f t="shared" si="335"/>
        <v>UN</v>
      </c>
      <c r="D8685" s="7">
        <v>301</v>
      </c>
      <c r="E8685" s="3">
        <v>1</v>
      </c>
      <c r="F8685" s="3">
        <v>1</v>
      </c>
      <c r="G8685" t="s">
        <v>513</v>
      </c>
    </row>
    <row r="8686" spans="1:7" x14ac:dyDescent="0.25">
      <c r="A8686" s="1" t="str">
        <f>"923"</f>
        <v>923</v>
      </c>
      <c r="B8686" s="2" t="str">
        <f>"CX. BCV 06 X 400GR (REQ. CAROLINA) REF. 76.616-1"</f>
        <v>CX. BCV 06 X 400GR (REQ. CAROLINA) REF. 76.616-1</v>
      </c>
      <c r="C8686" s="2" t="str">
        <f t="shared" si="335"/>
        <v>UN</v>
      </c>
      <c r="D8686" s="7">
        <v>301</v>
      </c>
      <c r="E8686" s="3">
        <v>1</v>
      </c>
      <c r="F8686" s="3">
        <v>1</v>
      </c>
      <c r="G8686" t="s">
        <v>512</v>
      </c>
    </row>
    <row r="8687" spans="1:7" x14ac:dyDescent="0.25">
      <c r="A8687" s="1" t="str">
        <f>"2715"</f>
        <v>2715</v>
      </c>
      <c r="B8687" s="2" t="str">
        <f>"CX. C/20 TESTE DE SNAP BETA-LACTAMICOS"</f>
        <v>CX. C/20 TESTE DE SNAP BETA-LACTAMICOS</v>
      </c>
      <c r="C8687" s="2" t="str">
        <f t="shared" si="335"/>
        <v>UN</v>
      </c>
      <c r="D8687" s="7">
        <v>303</v>
      </c>
      <c r="E8687" s="3">
        <v>3</v>
      </c>
      <c r="F8687" s="3">
        <v>3</v>
      </c>
      <c r="G8687" t="s">
        <v>513</v>
      </c>
    </row>
    <row r="8688" spans="1:7" x14ac:dyDescent="0.25">
      <c r="A8688" s="1" t="str">
        <f>"913"</f>
        <v>913</v>
      </c>
      <c r="B8688" s="2" t="str">
        <f>"CX. CHOCOLATE 30X180G (BIBI BITS)-OF.30.180-4"</f>
        <v>CX. CHOCOLATE 30X180G (BIBI BITS)-OF.30.180-4</v>
      </c>
      <c r="C8688" s="2" t="str">
        <f t="shared" si="335"/>
        <v>UN</v>
      </c>
      <c r="D8688" s="7">
        <v>301</v>
      </c>
      <c r="E8688" s="3">
        <v>1</v>
      </c>
      <c r="F8688" s="3">
        <v>1</v>
      </c>
      <c r="G8688" t="s">
        <v>514</v>
      </c>
    </row>
    <row r="8689" spans="1:7" x14ac:dyDescent="0.25">
      <c r="A8689" s="1" t="str">
        <f>"908"</f>
        <v>908</v>
      </c>
      <c r="B8689" s="2" t="str">
        <f>"CX. COPO (GLUCK SEM LACTOSE)-OF.140.83-1"</f>
        <v>CX. COPO (GLUCK SEM LACTOSE)-OF.140.83-1</v>
      </c>
      <c r="C8689" s="2" t="str">
        <f t="shared" si="335"/>
        <v>UN</v>
      </c>
      <c r="D8689" s="7">
        <v>301</v>
      </c>
      <c r="E8689" s="3">
        <v>1</v>
      </c>
      <c r="F8689" s="3">
        <v>1</v>
      </c>
      <c r="G8689" t="s">
        <v>514</v>
      </c>
    </row>
    <row r="8690" spans="1:7" x14ac:dyDescent="0.25">
      <c r="A8690" s="1" t="str">
        <f>"1318"</f>
        <v>1318</v>
      </c>
      <c r="B8690" s="2" t="str">
        <f>"CX. COPO 12X4X180G (CAROLINA)"</f>
        <v>CX. COPO 12X4X180G (CAROLINA)</v>
      </c>
      <c r="C8690" s="2" t="str">
        <f t="shared" si="335"/>
        <v>UN</v>
      </c>
      <c r="D8690" s="7">
        <v>301</v>
      </c>
      <c r="E8690" s="3">
        <v>1</v>
      </c>
      <c r="F8690" s="3">
        <v>1</v>
      </c>
      <c r="G8690" t="s">
        <v>514</v>
      </c>
    </row>
    <row r="8691" spans="1:7" x14ac:dyDescent="0.25">
      <c r="A8691" s="1" t="str">
        <f>"3187"</f>
        <v>3187</v>
      </c>
      <c r="B8691" s="2" t="str">
        <f>"CX. COPO 18X120G (COOP)"</f>
        <v>CX. COPO 18X120G (COOP)</v>
      </c>
      <c r="C8691" s="2" t="str">
        <f t="shared" si="335"/>
        <v>UN</v>
      </c>
      <c r="D8691" s="7">
        <v>301</v>
      </c>
      <c r="E8691" s="3">
        <v>1</v>
      </c>
      <c r="F8691" s="3">
        <v>1</v>
      </c>
      <c r="G8691" t="s">
        <v>513</v>
      </c>
    </row>
    <row r="8692" spans="1:7" x14ac:dyDescent="0.25">
      <c r="A8692" s="1" t="str">
        <f>"674"</f>
        <v>674</v>
      </c>
      <c r="B8692" s="2" t="str">
        <f>"CX. COPO 18X180G (CAROLINA)-OF.66.316-7"</f>
        <v>CX. COPO 18X180G (CAROLINA)-OF.66.316-7</v>
      </c>
      <c r="C8692" s="2" t="str">
        <f t="shared" ref="C8692:C8706" si="336">"UN"</f>
        <v>UN</v>
      </c>
      <c r="D8692" s="7">
        <v>301</v>
      </c>
      <c r="E8692" s="3">
        <v>1</v>
      </c>
      <c r="F8692" s="3">
        <v>1</v>
      </c>
      <c r="G8692" t="s">
        <v>513</v>
      </c>
    </row>
    <row r="8693" spans="1:7" x14ac:dyDescent="0.25">
      <c r="A8693" s="1" t="str">
        <f>"5992"</f>
        <v>5992</v>
      </c>
      <c r="B8693" s="2" t="str">
        <f>"CX. COPO 18X185G (CARREFOUR) REF.66.370-4"</f>
        <v>CX. COPO 18X185G (CARREFOUR) REF.66.370-4</v>
      </c>
      <c r="C8693" s="2" t="str">
        <f t="shared" si="336"/>
        <v>UN</v>
      </c>
      <c r="D8693" s="7">
        <v>301</v>
      </c>
      <c r="E8693" s="3">
        <v>1</v>
      </c>
      <c r="F8693" s="3">
        <v>1</v>
      </c>
      <c r="G8693" t="s">
        <v>513</v>
      </c>
    </row>
    <row r="8694" spans="1:7" x14ac:dyDescent="0.25">
      <c r="A8694" s="1" t="str">
        <f>"3186"</f>
        <v>3186</v>
      </c>
      <c r="B8694" s="2" t="str">
        <f>"CX. COPO 18X185G (COOP) REF.61.122-2"</f>
        <v>CX. COPO 18X185G (COOP) REF.61.122-2</v>
      </c>
      <c r="C8694" s="2" t="str">
        <f t="shared" si="336"/>
        <v>UN</v>
      </c>
      <c r="D8694" s="7">
        <v>301</v>
      </c>
      <c r="E8694" s="3">
        <v>1</v>
      </c>
      <c r="F8694" s="3">
        <v>1</v>
      </c>
      <c r="G8694" t="s">
        <v>512</v>
      </c>
    </row>
    <row r="8695" spans="1:7" x14ac:dyDescent="0.25">
      <c r="A8695" s="1" t="str">
        <f>"912"</f>
        <v>912</v>
      </c>
      <c r="B8695" s="2" t="str">
        <f>"CX. COPO 500X6 (REQUEIJÃO CAROLINA)-OF.500.108-1"</f>
        <v>CX. COPO 500X6 (REQUEIJÃO CAROLINA)-OF.500.108-1</v>
      </c>
      <c r="C8695" s="2" t="str">
        <f t="shared" si="336"/>
        <v>UN</v>
      </c>
      <c r="D8695" s="7">
        <v>301</v>
      </c>
      <c r="E8695" s="3">
        <v>1</v>
      </c>
      <c r="F8695" s="3">
        <v>1</v>
      </c>
      <c r="G8695" t="s">
        <v>513</v>
      </c>
    </row>
    <row r="8696" spans="1:7" x14ac:dyDescent="0.25">
      <c r="A8696" s="1" t="str">
        <f>"911"</f>
        <v>911</v>
      </c>
      <c r="B8696" s="2" t="str">
        <f>"CX. COPO 6X500G (PEDACOS DE FRUTAS)-OF.500.101-1"</f>
        <v>CX. COPO 6X500G (PEDACOS DE FRUTAS)-OF.500.101-1</v>
      </c>
      <c r="C8696" s="2" t="str">
        <f t="shared" si="336"/>
        <v>UN</v>
      </c>
      <c r="D8696" s="7">
        <v>301</v>
      </c>
      <c r="E8696" s="3">
        <v>1</v>
      </c>
      <c r="F8696" s="3">
        <v>1</v>
      </c>
      <c r="G8696" t="s">
        <v>514</v>
      </c>
    </row>
    <row r="8697" spans="1:7" x14ac:dyDescent="0.25">
      <c r="A8697" s="1" t="str">
        <f>"5962"</f>
        <v>5962</v>
      </c>
      <c r="B8697" s="2" t="str">
        <f>"CX. COPO DUET (24 X 130G) - OF.66.324-8"</f>
        <v>CX. COPO DUET (24 X 130G) - OF.66.324-8</v>
      </c>
      <c r="C8697" s="2" t="str">
        <f t="shared" si="336"/>
        <v>UN</v>
      </c>
      <c r="D8697" s="7">
        <v>301</v>
      </c>
      <c r="E8697" s="3">
        <v>1</v>
      </c>
      <c r="F8697" s="3">
        <v>1</v>
      </c>
      <c r="G8697" t="s">
        <v>515</v>
      </c>
    </row>
    <row r="8698" spans="1:7" x14ac:dyDescent="0.25">
      <c r="A8698" s="1" t="str">
        <f>"5799"</f>
        <v>5799</v>
      </c>
      <c r="B8698" s="2" t="str">
        <f>"CX. DISPLAY COPO PEDAÇOS 100G (DIA%)-OF.15.350-2"</f>
        <v>CX. DISPLAY COPO PEDAÇOS 100G (DIA%)-OF.15.350-2</v>
      </c>
      <c r="C8698" s="2" t="str">
        <f t="shared" si="336"/>
        <v>UN</v>
      </c>
      <c r="D8698" s="7">
        <v>301</v>
      </c>
      <c r="E8698" s="3">
        <v>1</v>
      </c>
      <c r="F8698" s="3">
        <v>1</v>
      </c>
      <c r="G8698" t="s">
        <v>512</v>
      </c>
    </row>
    <row r="8699" spans="1:7" x14ac:dyDescent="0.25">
      <c r="A8699" s="1" t="str">
        <f>"5798"</f>
        <v>5798</v>
      </c>
      <c r="B8699" s="2" t="str">
        <f>"CX. DISPLAY FRASCO 1250G (DIA%)-OF.06.850-3"</f>
        <v>CX. DISPLAY FRASCO 1250G (DIA%)-OF.06.850-3</v>
      </c>
      <c r="C8699" s="2" t="str">
        <f t="shared" si="336"/>
        <v>UN</v>
      </c>
      <c r="D8699" s="7">
        <v>301</v>
      </c>
      <c r="E8699" s="3">
        <v>1</v>
      </c>
      <c r="F8699" s="3">
        <v>1</v>
      </c>
      <c r="G8699" t="s">
        <v>516</v>
      </c>
    </row>
    <row r="8700" spans="1:7" x14ac:dyDescent="0.25">
      <c r="A8700" s="1" t="str">
        <f>"5792"</f>
        <v>5792</v>
      </c>
      <c r="B8700" s="2" t="str">
        <f>"CX. DISPLAY FRASCO 160G (DIA%)-OF.21.160-2"</f>
        <v>CX. DISPLAY FRASCO 160G (DIA%)-OF.21.160-2</v>
      </c>
      <c r="C8700" s="2" t="str">
        <f t="shared" si="336"/>
        <v>UN</v>
      </c>
      <c r="D8700" s="7">
        <v>301</v>
      </c>
      <c r="E8700" s="3">
        <v>1</v>
      </c>
      <c r="F8700" s="3">
        <v>1</v>
      </c>
      <c r="G8700" t="s">
        <v>515</v>
      </c>
    </row>
    <row r="8701" spans="1:7" x14ac:dyDescent="0.25">
      <c r="A8701" s="1" t="str">
        <f>"5791"</f>
        <v>5791</v>
      </c>
      <c r="B8701" s="2" t="str">
        <f>"CX. DISPLAY FRASCO 850G (DIA%)-OF.08.850-2"</f>
        <v>CX. DISPLAY FRASCO 850G (DIA%)-OF.08.850-2</v>
      </c>
      <c r="C8701" s="2" t="str">
        <f t="shared" si="336"/>
        <v>UN</v>
      </c>
      <c r="D8701" s="7">
        <v>301</v>
      </c>
      <c r="E8701" s="3">
        <v>1</v>
      </c>
      <c r="F8701" s="3">
        <v>1</v>
      </c>
      <c r="G8701" t="s">
        <v>514</v>
      </c>
    </row>
    <row r="8702" spans="1:7" x14ac:dyDescent="0.25">
      <c r="A8702" s="1" t="str">
        <f>"6736"</f>
        <v>6736</v>
      </c>
      <c r="B8702" s="2" t="str">
        <f>"CX. FRASCO 1.250G (VERY GURT ) REF.06.1250-01"</f>
        <v>CX. FRASCO 1.250G (VERY GURT ) REF.06.1250-01</v>
      </c>
      <c r="C8702" s="2" t="str">
        <f t="shared" si="336"/>
        <v>UN</v>
      </c>
      <c r="D8702" s="7">
        <v>301</v>
      </c>
      <c r="E8702" s="3">
        <v>1</v>
      </c>
      <c r="F8702" s="3">
        <v>1</v>
      </c>
      <c r="G8702" t="s">
        <v>512</v>
      </c>
    </row>
    <row r="8703" spans="1:7" x14ac:dyDescent="0.25">
      <c r="A8703" s="1" t="str">
        <f>"26"</f>
        <v>26</v>
      </c>
      <c r="B8703" s="2" t="str">
        <f>"CX. FRASCO 1000G (CAROLINA)-OF.75.824-9"</f>
        <v>CX. FRASCO 1000G (CAROLINA)-OF.75.824-9</v>
      </c>
      <c r="C8703" s="2" t="str">
        <f t="shared" si="336"/>
        <v>UN</v>
      </c>
      <c r="D8703" s="7">
        <v>301</v>
      </c>
      <c r="E8703" s="3">
        <v>1</v>
      </c>
      <c r="F8703" s="3">
        <v>1</v>
      </c>
      <c r="G8703" t="s">
        <v>513</v>
      </c>
    </row>
    <row r="8704" spans="1:7" x14ac:dyDescent="0.25">
      <c r="A8704" s="1" t="str">
        <f>"830"</f>
        <v>830</v>
      </c>
      <c r="B8704" s="2" t="str">
        <f>"CX. FRASCO 1000G (CARREFOUR)-OF.70.045-3"</f>
        <v>CX. FRASCO 1000G (CARREFOUR)-OF.70.045-3</v>
      </c>
      <c r="C8704" s="2" t="str">
        <f t="shared" si="336"/>
        <v>UN</v>
      </c>
      <c r="D8704" s="7">
        <v>301</v>
      </c>
      <c r="E8704" s="3">
        <v>1</v>
      </c>
      <c r="F8704" s="3">
        <v>1</v>
      </c>
      <c r="G8704" t="s">
        <v>514</v>
      </c>
    </row>
    <row r="8705" spans="1:7" x14ac:dyDescent="0.25">
      <c r="A8705" s="1" t="str">
        <f>"5801"</f>
        <v>5801</v>
      </c>
      <c r="B8705" s="2" t="str">
        <f>"CX. FRASCO 1250G (CARREFOUR)-OF.8775-2"</f>
        <v>CX. FRASCO 1250G (CARREFOUR)-OF.8775-2</v>
      </c>
      <c r="C8705" s="2" t="str">
        <f t="shared" si="336"/>
        <v>UN</v>
      </c>
      <c r="D8705" s="7">
        <v>301</v>
      </c>
      <c r="E8705" s="3">
        <v>1</v>
      </c>
      <c r="F8705" s="3">
        <v>1</v>
      </c>
      <c r="G8705" t="s">
        <v>514</v>
      </c>
    </row>
    <row r="8706" spans="1:7" x14ac:dyDescent="0.25">
      <c r="A8706" s="1" t="str">
        <f>"3185"</f>
        <v>3185</v>
      </c>
      <c r="B8706" s="2" t="str">
        <f>"CX. FRASCO 160G (COOP)-REF.80.634-8"</f>
        <v>CX. FRASCO 160G (COOP)-REF.80.634-8</v>
      </c>
      <c r="C8706" s="2" t="str">
        <f t="shared" si="336"/>
        <v>UN</v>
      </c>
      <c r="D8706" s="7">
        <v>301</v>
      </c>
      <c r="E8706" s="3">
        <v>1</v>
      </c>
      <c r="F8706" s="3">
        <v>1</v>
      </c>
      <c r="G8706" t="s">
        <v>512</v>
      </c>
    </row>
    <row r="8707" spans="1:7" x14ac:dyDescent="0.25">
      <c r="A8707" s="1" t="str">
        <f>"6782"</f>
        <v>6782</v>
      </c>
      <c r="B8707" s="2" t="str">
        <f>"CX. FRASCO 25X160G (CARREFOUR)-OF.6782-2"</f>
        <v>CX. FRASCO 25X160G (CARREFOUR)-OF.6782-2</v>
      </c>
      <c r="C8707" s="2" t="str">
        <f>"CX"</f>
        <v>CX</v>
      </c>
      <c r="D8707" s="7">
        <v>301</v>
      </c>
      <c r="E8707" s="3">
        <v>1</v>
      </c>
      <c r="F8707" s="3">
        <v>1</v>
      </c>
      <c r="G8707" t="s">
        <v>513</v>
      </c>
    </row>
    <row r="8708" spans="1:7" x14ac:dyDescent="0.25">
      <c r="A8708" s="1" t="str">
        <f>"6775"</f>
        <v>6775</v>
      </c>
      <c r="B8708" s="2" t="str">
        <f>"CX. FRASCO 25X160G (VIVER)-REF.6775-3"</f>
        <v>CX. FRASCO 25X160G (VIVER)-REF.6775-3</v>
      </c>
      <c r="C8708" s="2" t="str">
        <f t="shared" ref="C8708:C8745" si="337">"UN"</f>
        <v>UN</v>
      </c>
      <c r="D8708" s="7">
        <v>301</v>
      </c>
      <c r="E8708" s="3">
        <v>1</v>
      </c>
      <c r="F8708" s="3">
        <v>1</v>
      </c>
      <c r="G8708" t="s">
        <v>514</v>
      </c>
    </row>
    <row r="8709" spans="1:7" x14ac:dyDescent="0.25">
      <c r="A8709" s="1" t="str">
        <f>"5836"</f>
        <v>5836</v>
      </c>
      <c r="B8709" s="2" t="str">
        <f>"CX. FRASCO 48X160G (VIVER)-REF.80.635-9"</f>
        <v>CX. FRASCO 48X160G (VIVER)-REF.80.635-9</v>
      </c>
      <c r="C8709" s="2" t="str">
        <f t="shared" si="337"/>
        <v>UN</v>
      </c>
      <c r="D8709" s="7">
        <v>301</v>
      </c>
      <c r="E8709" s="3">
        <v>1</v>
      </c>
      <c r="F8709" s="3">
        <v>1</v>
      </c>
      <c r="G8709" t="s">
        <v>514</v>
      </c>
    </row>
    <row r="8710" spans="1:7" x14ac:dyDescent="0.25">
      <c r="A8710" s="1" t="str">
        <f>"916"</f>
        <v>916</v>
      </c>
      <c r="B8710" s="2" t="str">
        <f>"CX. FRASCO 500G (CARREFOUR SEM LACTOSE)-OF.500.300-8"</f>
        <v>CX. FRASCO 500G (CARREFOUR SEM LACTOSE)-OF.500.300-8</v>
      </c>
      <c r="C8710" s="2" t="str">
        <f t="shared" si="337"/>
        <v>UN</v>
      </c>
      <c r="D8710" s="7">
        <v>301</v>
      </c>
      <c r="E8710" s="3">
        <v>1</v>
      </c>
      <c r="F8710" s="3">
        <v>1</v>
      </c>
      <c r="G8710" t="s">
        <v>514</v>
      </c>
    </row>
    <row r="8711" spans="1:7" x14ac:dyDescent="0.25">
      <c r="A8711" s="1" t="str">
        <f>"907"</f>
        <v>907</v>
      </c>
      <c r="B8711" s="2" t="str">
        <f>"CX. FRASCO 500G (GLUCK SEM LACTOSE)-OF.500.200-6"</f>
        <v>CX. FRASCO 500G (GLUCK SEM LACTOSE)-OF.500.200-6</v>
      </c>
      <c r="C8711" s="2" t="str">
        <f t="shared" si="337"/>
        <v>UN</v>
      </c>
      <c r="D8711" s="7">
        <v>301</v>
      </c>
      <c r="E8711" s="3">
        <v>1</v>
      </c>
      <c r="F8711" s="3">
        <v>1</v>
      </c>
      <c r="G8711" t="s">
        <v>513</v>
      </c>
    </row>
    <row r="8712" spans="1:7" x14ac:dyDescent="0.25">
      <c r="A8712" s="1" t="str">
        <f>"3030"</f>
        <v>3030</v>
      </c>
      <c r="B8712" s="2" t="str">
        <f>"CX. FRASCO 600G (CARREFOUR)-OF.79632-9"</f>
        <v>CX. FRASCO 600G (CARREFOUR)-OF.79632-9</v>
      </c>
      <c r="C8712" s="2" t="str">
        <f t="shared" si="337"/>
        <v>UN</v>
      </c>
      <c r="D8712" s="7">
        <v>301</v>
      </c>
      <c r="E8712" s="3">
        <v>1</v>
      </c>
      <c r="F8712" s="3">
        <v>1</v>
      </c>
      <c r="G8712" t="s">
        <v>512</v>
      </c>
    </row>
    <row r="8713" spans="1:7" x14ac:dyDescent="0.25">
      <c r="A8713" s="1" t="str">
        <f>"3184"</f>
        <v>3184</v>
      </c>
      <c r="B8713" s="2" t="str">
        <f>"CX. FRASCO 600G (COOP) REF.62.222-4"</f>
        <v>CX. FRASCO 600G (COOP) REF.62.222-4</v>
      </c>
      <c r="C8713" s="2" t="str">
        <f t="shared" si="337"/>
        <v>UN</v>
      </c>
      <c r="D8713" s="7">
        <v>301</v>
      </c>
      <c r="E8713" s="3">
        <v>1</v>
      </c>
      <c r="F8713" s="3">
        <v>1</v>
      </c>
      <c r="G8713" t="s">
        <v>513</v>
      </c>
    </row>
    <row r="8714" spans="1:7" x14ac:dyDescent="0.25">
      <c r="A8714" s="1" t="str">
        <f>"5837"</f>
        <v>5837</v>
      </c>
      <c r="B8714" s="2" t="str">
        <f>"CX. FRASCO 600G (VIVER)-REF.80.636-7"</f>
        <v>CX. FRASCO 600G (VIVER)-REF.80.636-7</v>
      </c>
      <c r="C8714" s="2" t="str">
        <f t="shared" si="337"/>
        <v>UN</v>
      </c>
      <c r="D8714" s="7">
        <v>301</v>
      </c>
      <c r="E8714" s="3">
        <v>1</v>
      </c>
      <c r="F8714" s="3">
        <v>1</v>
      </c>
      <c r="G8714" t="s">
        <v>514</v>
      </c>
    </row>
    <row r="8715" spans="1:7" x14ac:dyDescent="0.25">
      <c r="A8715" s="1" t="str">
        <f>"6724"</f>
        <v>6724</v>
      </c>
      <c r="B8715" s="2" t="str">
        <f>"CX. FRASCO 800G (CAROLINA ) REF.15.850-02"</f>
        <v>CX. FRASCO 800G (CAROLINA ) REF.15.850-02</v>
      </c>
      <c r="C8715" s="2" t="str">
        <f t="shared" si="337"/>
        <v>UN</v>
      </c>
      <c r="D8715" s="7">
        <v>301</v>
      </c>
      <c r="E8715" s="3">
        <v>1</v>
      </c>
      <c r="F8715" s="3">
        <v>1</v>
      </c>
      <c r="G8715" t="s">
        <v>514</v>
      </c>
    </row>
    <row r="8716" spans="1:7" x14ac:dyDescent="0.25">
      <c r="A8716" s="1" t="str">
        <f>"6731"</f>
        <v>6731</v>
      </c>
      <c r="B8716" s="2" t="str">
        <f>"CX. FRASCO 850G (L. FERMENT ) REF.15.850-03 - CAROLINA"</f>
        <v>CX. FRASCO 850G (L. FERMENT ) REF.15.850-03 - CAROLINA</v>
      </c>
      <c r="C8716" s="2" t="str">
        <f t="shared" si="337"/>
        <v>UN</v>
      </c>
      <c r="D8716" s="7">
        <v>301</v>
      </c>
      <c r="E8716" s="3">
        <v>1</v>
      </c>
      <c r="F8716" s="3">
        <v>1</v>
      </c>
      <c r="G8716" t="s">
        <v>514</v>
      </c>
    </row>
    <row r="8717" spans="1:7" x14ac:dyDescent="0.25">
      <c r="A8717" s="1" t="str">
        <f>"6734"</f>
        <v>6734</v>
      </c>
      <c r="B8717" s="2" t="str">
        <f>"CX. FRASCO 850G (L. FERMENT ) REF.15.850-04 - CARREFOUR"</f>
        <v>CX. FRASCO 850G (L. FERMENT ) REF.15.850-04 - CARREFOUR</v>
      </c>
      <c r="C8717" s="2" t="str">
        <f t="shared" si="337"/>
        <v>UN</v>
      </c>
      <c r="D8717" s="7">
        <v>301</v>
      </c>
      <c r="E8717" s="3">
        <v>1</v>
      </c>
      <c r="F8717" s="3">
        <v>1</v>
      </c>
      <c r="G8717" t="s">
        <v>513</v>
      </c>
    </row>
    <row r="8718" spans="1:7" x14ac:dyDescent="0.25">
      <c r="A8718" s="1" t="str">
        <f>"515831"</f>
        <v>515831</v>
      </c>
      <c r="B8718" s="2" t="str">
        <f>"CX. FRASCO 900G (BOM PREÇO)-OF.515831-2"</f>
        <v>CX. FRASCO 900G (BOM PREÇO)-OF.515831-2</v>
      </c>
      <c r="C8718" s="2" t="str">
        <f t="shared" si="337"/>
        <v>UN</v>
      </c>
      <c r="D8718" s="7">
        <v>301</v>
      </c>
      <c r="E8718" s="3">
        <v>1</v>
      </c>
      <c r="F8718" s="3">
        <v>1</v>
      </c>
      <c r="G8718" t="s">
        <v>513</v>
      </c>
    </row>
    <row r="8719" spans="1:7" x14ac:dyDescent="0.25">
      <c r="A8719" s="1" t="str">
        <f>"5983"</f>
        <v>5983</v>
      </c>
      <c r="B8719" s="2" t="str">
        <f>"CX. FRASCO 900G (CAROLINA)-OF.76.825-1"</f>
        <v>CX. FRASCO 900G (CAROLINA)-OF.76.825-1</v>
      </c>
      <c r="C8719" s="2" t="str">
        <f t="shared" si="337"/>
        <v>UN</v>
      </c>
      <c r="D8719" s="7">
        <v>301</v>
      </c>
      <c r="E8719" s="3">
        <v>1</v>
      </c>
      <c r="F8719" s="3">
        <v>1</v>
      </c>
      <c r="G8719" t="s">
        <v>513</v>
      </c>
    </row>
    <row r="8720" spans="1:7" x14ac:dyDescent="0.25">
      <c r="A8720" s="1" t="str">
        <f>"6773"</f>
        <v>6773</v>
      </c>
      <c r="B8720" s="2" t="str">
        <f>"CX. FRASCO 900G (CARREFOUR)-OF.6773-1"</f>
        <v>CX. FRASCO 900G (CARREFOUR)-OF.6773-1</v>
      </c>
      <c r="C8720" s="2" t="str">
        <f t="shared" si="337"/>
        <v>UN</v>
      </c>
      <c r="D8720" s="7">
        <v>301</v>
      </c>
      <c r="E8720" s="3">
        <v>1</v>
      </c>
      <c r="F8720" s="3">
        <v>1</v>
      </c>
      <c r="G8720" t="s">
        <v>512</v>
      </c>
    </row>
    <row r="8721" spans="1:7" x14ac:dyDescent="0.25">
      <c r="A8721" s="1" t="str">
        <f>"6728"</f>
        <v>6728</v>
      </c>
      <c r="B8721" s="2" t="str">
        <f>"CX. FRASCO 900G (COOP)-OF.15.636-7 FRASCO"</f>
        <v>CX. FRASCO 900G (COOP)-OF.15.636-7 FRASCO</v>
      </c>
      <c r="C8721" s="2" t="str">
        <f t="shared" si="337"/>
        <v>UN</v>
      </c>
      <c r="D8721" s="7">
        <v>301</v>
      </c>
      <c r="E8721" s="3">
        <v>1</v>
      </c>
      <c r="F8721" s="3">
        <v>1</v>
      </c>
      <c r="G8721" t="s">
        <v>513</v>
      </c>
    </row>
    <row r="8722" spans="1:7" x14ac:dyDescent="0.25">
      <c r="A8722" s="1" t="str">
        <f>"6774"</f>
        <v>6774</v>
      </c>
      <c r="B8722" s="2" t="str">
        <f>"CX. FRASCO 900G (VIVER)-REF.6774-2"</f>
        <v>CX. FRASCO 900G (VIVER)-REF.6774-2</v>
      </c>
      <c r="C8722" s="2" t="str">
        <f t="shared" si="337"/>
        <v>UN</v>
      </c>
      <c r="D8722" s="7">
        <v>301</v>
      </c>
      <c r="E8722" s="3">
        <v>1</v>
      </c>
      <c r="F8722" s="3">
        <v>1</v>
      </c>
      <c r="G8722" t="s">
        <v>514</v>
      </c>
    </row>
    <row r="8723" spans="1:7" x14ac:dyDescent="0.25">
      <c r="A8723" s="1" t="str">
        <f>"6034"</f>
        <v>6034</v>
      </c>
      <c r="B8723" s="2" t="str">
        <f>"CX. LEITE UHT 12 LITROS DESNATADO - REF. 13.1000-3 CAROLINA"</f>
        <v>CX. LEITE UHT 12 LITROS DESNATADO - REF. 13.1000-3 CAROLINA</v>
      </c>
      <c r="C8723" s="2" t="str">
        <f t="shared" si="337"/>
        <v>UN</v>
      </c>
      <c r="D8723" s="7">
        <v>301</v>
      </c>
      <c r="E8723" s="3">
        <v>1</v>
      </c>
      <c r="F8723" s="3">
        <v>1</v>
      </c>
      <c r="G8723" t="s">
        <v>515</v>
      </c>
    </row>
    <row r="8724" spans="1:7" x14ac:dyDescent="0.25">
      <c r="A8724" s="1" t="str">
        <f>"6031"</f>
        <v>6031</v>
      </c>
      <c r="B8724" s="2" t="str">
        <f>"CX. LEITE UHT 12 LITROS INTEGRAL - REF. 12.1000-1 CAROLINA"</f>
        <v>CX. LEITE UHT 12 LITROS INTEGRAL - REF. 12.1000-1 CAROLINA</v>
      </c>
      <c r="C8724" s="2" t="str">
        <f t="shared" si="337"/>
        <v>UN</v>
      </c>
      <c r="D8724" s="7">
        <v>301</v>
      </c>
      <c r="E8724" s="3">
        <v>1</v>
      </c>
      <c r="F8724" s="3">
        <v>1</v>
      </c>
      <c r="G8724" t="s">
        <v>512</v>
      </c>
    </row>
    <row r="8725" spans="1:7" x14ac:dyDescent="0.25">
      <c r="A8725" s="1" t="str">
        <f>"6070"</f>
        <v>6070</v>
      </c>
      <c r="B8725" s="2" t="str">
        <f>"CX. MALETA MUSSARELA (6X4)"</f>
        <v>CX. MALETA MUSSARELA (6X4)</v>
      </c>
      <c r="C8725" s="2" t="str">
        <f t="shared" si="337"/>
        <v>UN</v>
      </c>
      <c r="D8725" s="7">
        <v>301</v>
      </c>
      <c r="E8725" s="3">
        <v>3</v>
      </c>
      <c r="F8725" s="3">
        <v>3</v>
      </c>
      <c r="G8725" t="s">
        <v>516</v>
      </c>
    </row>
    <row r="8726" spans="1:7" x14ac:dyDescent="0.25">
      <c r="A8726" s="1" t="str">
        <f>"519497"</f>
        <v>519497</v>
      </c>
      <c r="B8726" s="2" t="str">
        <f>"CX. PAPELAO ICE CAROLINA 48G LC260"</f>
        <v>CX. PAPELAO ICE CAROLINA 48G LC260</v>
      </c>
      <c r="C8726" s="2" t="str">
        <f t="shared" si="337"/>
        <v>UN</v>
      </c>
      <c r="D8726" s="7">
        <v>301</v>
      </c>
      <c r="E8726" s="3">
        <v>1</v>
      </c>
      <c r="F8726" s="3">
        <v>1</v>
      </c>
      <c r="G8726" t="s">
        <v>515</v>
      </c>
    </row>
    <row r="8727" spans="1:7" x14ac:dyDescent="0.25">
      <c r="A8727" s="1" t="str">
        <f>"519508"</f>
        <v>519508</v>
      </c>
      <c r="B8727" s="2" t="str">
        <f>"CX. PAPELAO ICE CAROLINA 60G - LC"</f>
        <v>CX. PAPELAO ICE CAROLINA 60G - LC</v>
      </c>
      <c r="C8727" s="2" t="str">
        <f t="shared" si="337"/>
        <v>UN</v>
      </c>
      <c r="D8727" s="7">
        <v>301</v>
      </c>
      <c r="E8727" s="3">
        <v>1</v>
      </c>
      <c r="F8727" s="3">
        <v>1</v>
      </c>
      <c r="G8727" t="s">
        <v>514</v>
      </c>
    </row>
    <row r="8728" spans="1:7" x14ac:dyDescent="0.25">
      <c r="A8728" s="1" t="str">
        <f>"6174"</f>
        <v>6174</v>
      </c>
      <c r="B8728" s="2" t="str">
        <f>"CX. REQUE. 24X200G (COOP)-OF.60.024-4"</f>
        <v>CX. REQUE. 24X200G (COOP)-OF.60.024-4</v>
      </c>
      <c r="C8728" s="2" t="str">
        <f t="shared" si="337"/>
        <v>UN</v>
      </c>
      <c r="D8728" s="7">
        <v>301</v>
      </c>
      <c r="E8728" s="3">
        <v>3</v>
      </c>
      <c r="F8728" s="3">
        <v>3</v>
      </c>
      <c r="G8728" t="s">
        <v>512</v>
      </c>
    </row>
    <row r="8729" spans="1:7" x14ac:dyDescent="0.25">
      <c r="A8729" s="1" t="str">
        <f>"3066"</f>
        <v>3066</v>
      </c>
      <c r="B8729" s="2" t="str">
        <f>"CX. REQUE. 24X200G(CAROLINA)-OF.82.517-5"</f>
        <v>CX. REQUE. 24X200G(CAROLINA)-OF.82.517-5</v>
      </c>
      <c r="C8729" s="2" t="str">
        <f t="shared" si="337"/>
        <v>UN</v>
      </c>
      <c r="D8729" s="7">
        <v>301</v>
      </c>
      <c r="E8729" s="3">
        <v>1</v>
      </c>
      <c r="F8729" s="3">
        <v>1</v>
      </c>
      <c r="G8729" t="s">
        <v>513</v>
      </c>
    </row>
    <row r="8730" spans="1:7" x14ac:dyDescent="0.25">
      <c r="A8730" s="1" t="str">
        <f>"3069"</f>
        <v>3069</v>
      </c>
      <c r="B8730" s="2" t="str">
        <f>"CX. REQUE. 24X200G(DIA%)-OF.80.500-2"</f>
        <v>CX. REQUE. 24X200G(DIA%)-OF.80.500-2</v>
      </c>
      <c r="C8730" s="2" t="str">
        <f t="shared" si="337"/>
        <v>UN</v>
      </c>
      <c r="D8730" s="7">
        <v>301</v>
      </c>
      <c r="E8730" s="3">
        <v>1</v>
      </c>
      <c r="F8730" s="3">
        <v>1</v>
      </c>
      <c r="G8730" t="s">
        <v>514</v>
      </c>
    </row>
    <row r="8731" spans="1:7" x14ac:dyDescent="0.25">
      <c r="A8731" s="1" t="str">
        <f>"515932"</f>
        <v>515932</v>
      </c>
      <c r="B8731" s="2" t="str">
        <f>"CX. REQUE. 36X200G (BOM PREÇO)-OF. 51.393-2"</f>
        <v>CX. REQUE. 36X200G (BOM PREÇO)-OF. 51.393-2</v>
      </c>
      <c r="C8731" s="2" t="str">
        <f t="shared" si="337"/>
        <v>UN</v>
      </c>
      <c r="D8731" s="7">
        <v>301</v>
      </c>
      <c r="E8731" s="3">
        <v>1</v>
      </c>
      <c r="F8731" s="3">
        <v>1</v>
      </c>
      <c r="G8731" t="s">
        <v>514</v>
      </c>
    </row>
    <row r="8732" spans="1:7" x14ac:dyDescent="0.25">
      <c r="A8732" s="1" t="str">
        <f>"3025"</f>
        <v>3025</v>
      </c>
      <c r="B8732" s="2" t="str">
        <f>"CX. REQUE. 36X200G (CARREFOUR)-OF73655-5"</f>
        <v>CX. REQUE. 36X200G (CARREFOUR)-OF73655-5</v>
      </c>
      <c r="C8732" s="2" t="str">
        <f t="shared" si="337"/>
        <v>UN</v>
      </c>
      <c r="D8732" s="7">
        <v>301</v>
      </c>
      <c r="E8732" s="3">
        <v>1</v>
      </c>
      <c r="F8732" s="3">
        <v>1</v>
      </c>
      <c r="G8732" t="s">
        <v>512</v>
      </c>
    </row>
    <row r="8733" spans="1:7" x14ac:dyDescent="0.25">
      <c r="A8733" s="1" t="str">
        <f>"5845"</f>
        <v>5845</v>
      </c>
      <c r="B8733" s="2" t="str">
        <f>"CX. REQUE. 36X200G (VIVER)-REF.72.640-2"</f>
        <v>CX. REQUE. 36X200G (VIVER)-REF.72.640-2</v>
      </c>
      <c r="C8733" s="2" t="str">
        <f t="shared" si="337"/>
        <v>UN</v>
      </c>
      <c r="D8733" s="7">
        <v>301</v>
      </c>
      <c r="E8733" s="3">
        <v>1</v>
      </c>
      <c r="F8733" s="3">
        <v>1</v>
      </c>
      <c r="G8733" t="s">
        <v>513</v>
      </c>
    </row>
    <row r="8734" spans="1:7" x14ac:dyDescent="0.25">
      <c r="A8734" s="1" t="str">
        <f>"5851"</f>
        <v>5851</v>
      </c>
      <c r="B8734" s="2" t="str">
        <f>"CX. REQUEIJÃO 6X500G (VIVER)-REF.72.645-1"</f>
        <v>CX. REQUEIJÃO 6X500G (VIVER)-REF.72.645-1</v>
      </c>
      <c r="C8734" s="2" t="str">
        <f t="shared" si="337"/>
        <v>UN</v>
      </c>
      <c r="D8734" s="7">
        <v>301</v>
      </c>
      <c r="E8734" s="3">
        <v>1</v>
      </c>
      <c r="F8734" s="3">
        <v>1</v>
      </c>
      <c r="G8734" t="s">
        <v>514</v>
      </c>
    </row>
    <row r="8735" spans="1:7" x14ac:dyDescent="0.25">
      <c r="A8735" s="1" t="str">
        <f>"5761"</f>
        <v>5761</v>
      </c>
      <c r="B8735" s="2" t="str">
        <f>"CX. SAQ. 12X1000G (CAROLINA)-OF.78.754-8"</f>
        <v>CX. SAQ. 12X1000G (CAROLINA)-OF.78.754-8</v>
      </c>
      <c r="C8735" s="2" t="str">
        <f t="shared" si="337"/>
        <v>UN</v>
      </c>
      <c r="D8735" s="7">
        <v>301</v>
      </c>
      <c r="E8735" s="3">
        <v>1</v>
      </c>
      <c r="F8735" s="3">
        <v>1</v>
      </c>
      <c r="G8735" t="s">
        <v>514</v>
      </c>
    </row>
    <row r="8736" spans="1:7" x14ac:dyDescent="0.25">
      <c r="A8736" s="1" t="str">
        <f>"6175"</f>
        <v>6175</v>
      </c>
      <c r="B8736" s="2" t="str">
        <f>"CX. SAQ. 12X850G (COOP)-OF.61.012-2"</f>
        <v>CX. SAQ. 12X850G (COOP)-OF.61.012-2</v>
      </c>
      <c r="C8736" s="2" t="str">
        <f t="shared" si="337"/>
        <v>UN</v>
      </c>
      <c r="D8736" s="7">
        <v>301</v>
      </c>
      <c r="E8736" s="3">
        <v>1</v>
      </c>
      <c r="F8736" s="3">
        <v>1</v>
      </c>
      <c r="G8736" t="s">
        <v>514</v>
      </c>
    </row>
    <row r="8737" spans="1:7" x14ac:dyDescent="0.25">
      <c r="A8737" s="1" t="str">
        <f>"5789"</f>
        <v>5789</v>
      </c>
      <c r="B8737" s="2" t="str">
        <f>"CX. SAQ. 12X850G (DIA%)-OF.63.289-4"</f>
        <v>CX. SAQ. 12X850G (DIA%)-OF.63.289-4</v>
      </c>
      <c r="C8737" s="2" t="str">
        <f t="shared" si="337"/>
        <v>UN</v>
      </c>
      <c r="D8737" s="7">
        <v>301</v>
      </c>
      <c r="E8737" s="3">
        <v>1</v>
      </c>
      <c r="F8737" s="3">
        <v>1</v>
      </c>
      <c r="G8737" t="s">
        <v>513</v>
      </c>
    </row>
    <row r="8738" spans="1:7" x14ac:dyDescent="0.25">
      <c r="A8738" s="1" t="str">
        <f>"5790"</f>
        <v>5790</v>
      </c>
      <c r="B8738" s="2" t="str">
        <f>"CX. SAQ. 12X850G (DIA%)-OF.63.295-6"</f>
        <v>CX. SAQ. 12X850G (DIA%)-OF.63.295-6</v>
      </c>
      <c r="C8738" s="2" t="str">
        <f t="shared" si="337"/>
        <v>UN</v>
      </c>
      <c r="D8738" s="7">
        <v>301</v>
      </c>
      <c r="E8738" s="3">
        <v>1</v>
      </c>
      <c r="F8738" s="3">
        <v>1</v>
      </c>
      <c r="G8738" t="s">
        <v>512</v>
      </c>
    </row>
    <row r="8739" spans="1:7" x14ac:dyDescent="0.25">
      <c r="A8739" s="1" t="str">
        <f>"5762"</f>
        <v>5762</v>
      </c>
      <c r="B8739" s="2" t="str">
        <f>"CX. SAQ. 12X850G (VERY GURT)-OF.62.288-3"</f>
        <v>CX. SAQ. 12X850G (VERY GURT)-OF.62.288-3</v>
      </c>
      <c r="C8739" s="2" t="str">
        <f t="shared" si="337"/>
        <v>UN</v>
      </c>
      <c r="D8739" s="7">
        <v>301</v>
      </c>
      <c r="E8739" s="3">
        <v>1</v>
      </c>
      <c r="F8739" s="3">
        <v>1</v>
      </c>
      <c r="G8739" t="s">
        <v>513</v>
      </c>
    </row>
    <row r="8740" spans="1:7" x14ac:dyDescent="0.25">
      <c r="A8740" s="1" t="str">
        <f>"6776"</f>
        <v>6776</v>
      </c>
      <c r="B8740" s="2" t="str">
        <f>"CX. SAQ. 12X850G (VERY GURT)-REF.6776-4"</f>
        <v>CX. SAQ. 12X850G (VERY GURT)-REF.6776-4</v>
      </c>
      <c r="C8740" s="2" t="str">
        <f t="shared" si="337"/>
        <v>UN</v>
      </c>
      <c r="D8740" s="7">
        <v>301</v>
      </c>
      <c r="E8740" s="3">
        <v>1</v>
      </c>
      <c r="F8740" s="3">
        <v>1</v>
      </c>
      <c r="G8740" t="s">
        <v>514</v>
      </c>
    </row>
    <row r="8741" spans="1:7" x14ac:dyDescent="0.25">
      <c r="A8741" s="1" t="str">
        <f>"909"</f>
        <v>909</v>
      </c>
      <c r="B8741" s="2" t="str">
        <f>"CX. SAQ. 30X180G (BIBI BITS)-OF.30.180-3"</f>
        <v>CX. SAQ. 30X180G (BIBI BITS)-OF.30.180-3</v>
      </c>
      <c r="C8741" s="2" t="str">
        <f t="shared" si="337"/>
        <v>UN</v>
      </c>
      <c r="D8741" s="7">
        <v>301</v>
      </c>
      <c r="E8741" s="3">
        <v>1</v>
      </c>
      <c r="F8741" s="3">
        <v>1</v>
      </c>
      <c r="G8741" t="s">
        <v>514</v>
      </c>
    </row>
    <row r="8742" spans="1:7" x14ac:dyDescent="0.25">
      <c r="A8742" s="1" t="str">
        <f>"514160"</f>
        <v>514160</v>
      </c>
      <c r="B8742" s="2" t="str">
        <f>"CX. SAQ.12 X 850 (VERY GURT) REF.51.416-0"</f>
        <v>CX. SAQ.12 X 850 (VERY GURT) REF.51.416-0</v>
      </c>
      <c r="C8742" s="2" t="str">
        <f t="shared" si="337"/>
        <v>UN</v>
      </c>
      <c r="D8742" s="7">
        <v>301</v>
      </c>
      <c r="E8742" s="3">
        <v>1</v>
      </c>
      <c r="F8742" s="3">
        <v>1</v>
      </c>
      <c r="G8742" t="s">
        <v>514</v>
      </c>
    </row>
    <row r="8743" spans="1:7" x14ac:dyDescent="0.25">
      <c r="A8743" s="1" t="str">
        <f>"6239"</f>
        <v>6239</v>
      </c>
      <c r="B8743" s="2" t="str">
        <f>"CX. USO INTERNO OF.65.490-69"</f>
        <v>CX. USO INTERNO OF.65.490-69</v>
      </c>
      <c r="C8743" s="2" t="str">
        <f t="shared" si="337"/>
        <v>UN</v>
      </c>
      <c r="D8743" s="7">
        <v>301</v>
      </c>
      <c r="E8743" s="3">
        <v>1</v>
      </c>
      <c r="F8743" s="3">
        <v>1</v>
      </c>
      <c r="G8743" t="s">
        <v>513</v>
      </c>
    </row>
    <row r="8744" spans="1:7" x14ac:dyDescent="0.25">
      <c r="A8744" s="1" t="str">
        <f>"680"</f>
        <v>680</v>
      </c>
      <c r="B8744" s="2" t="str">
        <f>"CX. USO INTERNO OF.65.600-70"</f>
        <v>CX. USO INTERNO OF.65.600-70</v>
      </c>
      <c r="C8744" s="2" t="str">
        <f t="shared" si="337"/>
        <v>UN</v>
      </c>
      <c r="D8744" s="7">
        <v>301</v>
      </c>
      <c r="E8744" s="3">
        <v>1</v>
      </c>
      <c r="F8744" s="3">
        <v>1</v>
      </c>
      <c r="G8744" t="s">
        <v>513</v>
      </c>
    </row>
    <row r="8745" spans="1:7" x14ac:dyDescent="0.25">
      <c r="A8745" s="1" t="str">
        <f>"419"</f>
        <v>419</v>
      </c>
      <c r="B8745" s="2" t="str">
        <f>"CX.BCV SAQ.12X850 (VERY GURT)) REF.12.850-1"</f>
        <v>CX.BCV SAQ.12X850 (VERY GURT)) REF.12.850-1</v>
      </c>
      <c r="C8745" s="2" t="str">
        <f t="shared" si="337"/>
        <v>UN</v>
      </c>
      <c r="D8745" s="7">
        <v>301</v>
      </c>
      <c r="E8745" s="3">
        <v>1</v>
      </c>
      <c r="F8745" s="3">
        <v>1</v>
      </c>
      <c r="G8745" t="s">
        <v>513</v>
      </c>
    </row>
    <row r="8746" spans="1:7" x14ac:dyDescent="0.25">
      <c r="A8746" s="1" t="str">
        <f>"194"</f>
        <v>194</v>
      </c>
      <c r="B8746" s="2" t="str">
        <f>"CYCLON AMONIACAL BB 20L(21KG) - CÓD.70744 (ECOLAB)"</f>
        <v>CYCLON AMONIACAL BB 20L(21KG) - CÓD.70744 (ECOLAB)</v>
      </c>
      <c r="C8746" s="2" t="str">
        <f>"KG"</f>
        <v>KG</v>
      </c>
      <c r="D8746" s="7">
        <v>400</v>
      </c>
      <c r="E8746" s="3">
        <v>4</v>
      </c>
      <c r="F8746" s="3">
        <v>4</v>
      </c>
      <c r="G8746" t="s">
        <v>512</v>
      </c>
    </row>
    <row r="8747" spans="1:7" x14ac:dyDescent="0.25">
      <c r="A8747" s="1" t="str">
        <f>"515613"</f>
        <v>515613</v>
      </c>
      <c r="B8747" s="2" t="str">
        <f>"DAILET MULTIPLO"</f>
        <v>DAILET MULTIPLO</v>
      </c>
      <c r="C8747" s="2" t="str">
        <f>"UN"</f>
        <v>UN</v>
      </c>
      <c r="D8747" s="7">
        <v>401</v>
      </c>
      <c r="E8747" s="3">
        <v>4</v>
      </c>
      <c r="F8747" s="3">
        <v>4</v>
      </c>
      <c r="G8747" t="s">
        <v>513</v>
      </c>
    </row>
    <row r="8748" spans="1:7" x14ac:dyDescent="0.25">
      <c r="A8748" s="1" t="str">
        <f>"519067"</f>
        <v>519067</v>
      </c>
      <c r="B8748" s="2" t="str">
        <f>"DAIRY MIX HTP - FC"</f>
        <v>DAIRY MIX HTP - FC</v>
      </c>
      <c r="C8748" s="2" t="str">
        <f>"KG"</f>
        <v>KG</v>
      </c>
      <c r="D8748" s="7">
        <v>223</v>
      </c>
      <c r="E8748" s="3">
        <v>2</v>
      </c>
      <c r="F8748" s="3">
        <v>2</v>
      </c>
      <c r="G8748" t="s">
        <v>514</v>
      </c>
    </row>
    <row r="8749" spans="1:7" x14ac:dyDescent="0.25">
      <c r="A8749" s="1" t="str">
        <f>"518202"</f>
        <v>518202</v>
      </c>
      <c r="B8749" s="2" t="str">
        <f>"DANFE VIEW PLUS (01 ANO)"</f>
        <v>DANFE VIEW PLUS (01 ANO)</v>
      </c>
      <c r="C8749" s="2" t="str">
        <f>"UN"</f>
        <v>UN</v>
      </c>
      <c r="D8749" s="7">
        <v>99999</v>
      </c>
      <c r="E8749" s="3">
        <v>99</v>
      </c>
      <c r="F8749" s="3">
        <v>99</v>
      </c>
      <c r="G8749" t="s">
        <v>515</v>
      </c>
    </row>
    <row r="8750" spans="1:7" x14ac:dyDescent="0.25">
      <c r="A8750" s="1" t="str">
        <f>"503895"</f>
        <v>503895</v>
      </c>
      <c r="B8750" s="2" t="str">
        <f>"DATA EM BORRACHAS ESTRIADAS FAB/VENC."</f>
        <v>DATA EM BORRACHAS ESTRIADAS FAB/VENC.</v>
      </c>
      <c r="C8750" s="2" t="str">
        <f>"PC"</f>
        <v>PC</v>
      </c>
      <c r="D8750" s="7">
        <v>907</v>
      </c>
      <c r="E8750" s="3">
        <v>11</v>
      </c>
      <c r="F8750" s="3">
        <v>11</v>
      </c>
      <c r="G8750" t="s">
        <v>512</v>
      </c>
    </row>
    <row r="8751" spans="1:7" x14ac:dyDescent="0.25">
      <c r="A8751" s="1" t="str">
        <f>"510423"</f>
        <v>510423</v>
      </c>
      <c r="B8751" s="2" t="str">
        <f>"DATADORA IMAJE MOD. S8 MASTER G2"</f>
        <v>DATADORA IMAJE MOD. S8 MASTER G2</v>
      </c>
      <c r="C8751" s="2" t="str">
        <f>"UN"</f>
        <v>UN</v>
      </c>
      <c r="D8751" s="7">
        <v>402</v>
      </c>
      <c r="E8751" s="3">
        <v>4</v>
      </c>
      <c r="F8751" s="3">
        <v>4</v>
      </c>
      <c r="G8751" t="s">
        <v>516</v>
      </c>
    </row>
    <row r="8752" spans="1:7" x14ac:dyDescent="0.25">
      <c r="A8752" s="1" t="str">
        <f>"522942"</f>
        <v>522942</v>
      </c>
      <c r="B8752" s="2" t="str">
        <f>"DCV10 6""WF - VALV. DE RETENÇÃO 46019293"</f>
        <v>DCV10 6"WF - VALV. DE RETENÇÃO 46019293</v>
      </c>
      <c r="C8752" s="2" t="str">
        <f>"UN"</f>
        <v>UN</v>
      </c>
      <c r="D8752" s="7">
        <v>912</v>
      </c>
      <c r="E8752" s="3">
        <v>10</v>
      </c>
      <c r="F8752" s="3">
        <v>10</v>
      </c>
      <c r="G8752" t="s">
        <v>515</v>
      </c>
    </row>
    <row r="8753" spans="1:7" x14ac:dyDescent="0.25">
      <c r="A8753" s="1" t="str">
        <f>"6279"</f>
        <v>6279</v>
      </c>
      <c r="B8753" s="2" t="str">
        <f>"DDVP ROGAMA 1000 CE"</f>
        <v>DDVP ROGAMA 1000 CE</v>
      </c>
      <c r="C8753" s="2" t="str">
        <f>"LT"</f>
        <v>LT</v>
      </c>
      <c r="D8753" s="7">
        <v>401</v>
      </c>
      <c r="E8753" s="3">
        <v>4</v>
      </c>
      <c r="F8753" s="3">
        <v>4</v>
      </c>
      <c r="G8753" t="s">
        <v>514</v>
      </c>
    </row>
    <row r="8754" spans="1:7" x14ac:dyDescent="0.25">
      <c r="A8754" s="1" t="str">
        <f>"518381"</f>
        <v>518381</v>
      </c>
      <c r="B8754" s="2" t="str">
        <f>"DEBITO DIRETO - ASSOCIAÇÃO"</f>
        <v>DEBITO DIRETO - ASSOCIAÇÃO</v>
      </c>
      <c r="C8754" s="2" t="str">
        <f t="shared" ref="C8754:C8774" si="338">"UN"</f>
        <v>UN</v>
      </c>
      <c r="D8754" s="7">
        <v>99999</v>
      </c>
      <c r="E8754" s="3">
        <v>99</v>
      </c>
      <c r="F8754" s="3">
        <v>99</v>
      </c>
      <c r="G8754" t="s">
        <v>512</v>
      </c>
    </row>
    <row r="8755" spans="1:7" x14ac:dyDescent="0.25">
      <c r="A8755" s="1" t="str">
        <f>"518727"</f>
        <v>518727</v>
      </c>
      <c r="B8755" s="2" t="str">
        <f>"DEBITO DIRETO - MANUTENÇÃO INDUSTRIAL"</f>
        <v>DEBITO DIRETO - MANUTENÇÃO INDUSTRIAL</v>
      </c>
      <c r="C8755" s="2" t="str">
        <f t="shared" si="338"/>
        <v>UN</v>
      </c>
      <c r="D8755" s="7">
        <v>99999</v>
      </c>
      <c r="E8755" s="3">
        <v>99</v>
      </c>
      <c r="F8755" s="3">
        <v>99</v>
      </c>
      <c r="G8755" t="s">
        <v>513</v>
      </c>
    </row>
    <row r="8756" spans="1:7" x14ac:dyDescent="0.25">
      <c r="A8756" s="1" t="str">
        <f>"DD-LEITE"</f>
        <v>DD-LEITE</v>
      </c>
      <c r="B8756" s="2" t="str">
        <f>"DEBITO DIRETO SISTEMA CAPTACAO DE LEITE"</f>
        <v>DEBITO DIRETO SISTEMA CAPTACAO DE LEITE</v>
      </c>
      <c r="C8756" s="2" t="str">
        <f t="shared" si="338"/>
        <v>UN</v>
      </c>
      <c r="D8756" s="7">
        <v>99999</v>
      </c>
      <c r="E8756" s="3">
        <v>99</v>
      </c>
      <c r="F8756" s="3">
        <v>99</v>
      </c>
      <c r="G8756" t="s">
        <v>514</v>
      </c>
    </row>
    <row r="8757" spans="1:7" x14ac:dyDescent="0.25">
      <c r="A8757" s="1" t="str">
        <f>"523992"</f>
        <v>523992</v>
      </c>
      <c r="B8757" s="2" t="str">
        <f>"DECADROM 2MG - INJETÁVEL"</f>
        <v>DECADROM 2MG - INJETÁVEL</v>
      </c>
      <c r="C8757" s="2" t="str">
        <f t="shared" si="338"/>
        <v>UN</v>
      </c>
      <c r="D8757" s="7">
        <v>99999</v>
      </c>
      <c r="E8757" s="3">
        <v>99</v>
      </c>
      <c r="F8757" s="3">
        <v>99</v>
      </c>
      <c r="G8757" t="s">
        <v>514</v>
      </c>
    </row>
    <row r="8758" spans="1:7" x14ac:dyDescent="0.25">
      <c r="A8758" s="1" t="str">
        <f>"503351"</f>
        <v>503351</v>
      </c>
      <c r="B8758" s="2" t="str">
        <f>"DECALQUE"</f>
        <v>DECALQUE</v>
      </c>
      <c r="C8758" s="2" t="str">
        <f t="shared" si="338"/>
        <v>UN</v>
      </c>
      <c r="D8758" s="7">
        <v>704</v>
      </c>
      <c r="E8758" s="3">
        <v>9</v>
      </c>
      <c r="F8758" s="3">
        <v>9</v>
      </c>
      <c r="G8758" t="s">
        <v>512</v>
      </c>
    </row>
    <row r="8759" spans="1:7" x14ac:dyDescent="0.25">
      <c r="A8759" s="1" t="str">
        <f>"514611"</f>
        <v>514611</v>
      </c>
      <c r="B8759" s="2" t="str">
        <f>"DECANTER GMT 355L"</f>
        <v>DECANTER GMT 355L</v>
      </c>
      <c r="C8759" s="2" t="str">
        <f t="shared" si="338"/>
        <v>UN</v>
      </c>
      <c r="D8759" s="7">
        <v>1300</v>
      </c>
      <c r="E8759" s="3">
        <v>13</v>
      </c>
      <c r="F8759" s="3">
        <v>13</v>
      </c>
      <c r="G8759" t="s">
        <v>513</v>
      </c>
    </row>
    <row r="8760" spans="1:7" x14ac:dyDescent="0.25">
      <c r="A8760" s="1" t="str">
        <f>"516368"</f>
        <v>516368</v>
      </c>
      <c r="B8760" s="2" t="str">
        <f>"DECANTER GMT 355L / 02 BBAS MULTIESTAGIO/KIT REG. OLEO/AGUA"</f>
        <v>DECANTER GMT 355L / 02 BBAS MULTIESTAGIO/KIT REG. OLEO/AGUA</v>
      </c>
      <c r="C8760" s="2" t="str">
        <f t="shared" si="338"/>
        <v>UN</v>
      </c>
      <c r="D8760" s="7">
        <v>813</v>
      </c>
      <c r="E8760" s="3">
        <v>13</v>
      </c>
      <c r="F8760" s="3">
        <v>13</v>
      </c>
      <c r="G8760" t="s">
        <v>514</v>
      </c>
    </row>
    <row r="8761" spans="1:7" x14ac:dyDescent="0.25">
      <c r="A8761" s="1" t="str">
        <f>"527303"</f>
        <v>527303</v>
      </c>
      <c r="B8761" s="2" t="str">
        <f>"DECORAÇÃO MESA"</f>
        <v>DECORAÇÃO MESA</v>
      </c>
      <c r="C8761" s="2" t="str">
        <f t="shared" si="338"/>
        <v>UN</v>
      </c>
      <c r="D8761" s="7">
        <v>99999</v>
      </c>
      <c r="E8761" s="3">
        <v>99</v>
      </c>
      <c r="F8761" s="3">
        <v>99</v>
      </c>
      <c r="G8761" t="s">
        <v>514</v>
      </c>
    </row>
    <row r="8762" spans="1:7" x14ac:dyDescent="0.25">
      <c r="A8762" s="1" t="str">
        <f>"526314"</f>
        <v>526314</v>
      </c>
      <c r="B8762" s="2" t="str">
        <f>"DEDAL BOMBA"</f>
        <v>DEDAL BOMBA</v>
      </c>
      <c r="C8762" s="2" t="str">
        <f t="shared" si="338"/>
        <v>UN</v>
      </c>
      <c r="D8762" s="7">
        <v>99999</v>
      </c>
      <c r="E8762" s="3">
        <v>99</v>
      </c>
      <c r="F8762" s="3">
        <v>99</v>
      </c>
      <c r="G8762" t="s">
        <v>514</v>
      </c>
    </row>
    <row r="8763" spans="1:7" x14ac:dyDescent="0.25">
      <c r="A8763" s="1" t="str">
        <f>"521853"</f>
        <v>521853</v>
      </c>
      <c r="B8763" s="8" t="s">
        <v>235</v>
      </c>
      <c r="C8763" s="2" t="str">
        <f t="shared" si="338"/>
        <v>UN</v>
      </c>
      <c r="D8763" s="7">
        <v>913</v>
      </c>
      <c r="E8763" s="3">
        <v>11</v>
      </c>
      <c r="F8763" s="3">
        <v>11</v>
      </c>
      <c r="G8763" t="s">
        <v>513</v>
      </c>
    </row>
    <row r="8764" spans="1:7" x14ac:dyDescent="0.25">
      <c r="A8764" s="1" t="str">
        <f>"508767"</f>
        <v>508767</v>
      </c>
      <c r="B8764" s="2" t="str">
        <f>"DEFLETOR"</f>
        <v>DEFLETOR</v>
      </c>
      <c r="C8764" s="2" t="str">
        <f t="shared" si="338"/>
        <v>UN</v>
      </c>
      <c r="D8764" s="7">
        <v>704</v>
      </c>
      <c r="E8764" s="3">
        <v>9</v>
      </c>
      <c r="F8764" s="3">
        <v>9</v>
      </c>
      <c r="G8764" t="s">
        <v>512</v>
      </c>
    </row>
    <row r="8765" spans="1:7" x14ac:dyDescent="0.25">
      <c r="A8765" s="1" t="str">
        <f>"524089"</f>
        <v>524089</v>
      </c>
      <c r="B8765" s="2" t="str">
        <f>"DEFLETOR AR CONDICIONADO ACRILICO 17000 A 60000 BTU"</f>
        <v>DEFLETOR AR CONDICIONADO ACRILICO 17000 A 60000 BTU</v>
      </c>
      <c r="C8765" s="2" t="str">
        <f t="shared" si="338"/>
        <v>UN</v>
      </c>
      <c r="D8765" s="7">
        <v>99999</v>
      </c>
      <c r="E8765" s="3">
        <v>99</v>
      </c>
      <c r="F8765" s="3">
        <v>99</v>
      </c>
      <c r="G8765" t="s">
        <v>513</v>
      </c>
    </row>
    <row r="8766" spans="1:7" x14ac:dyDescent="0.25">
      <c r="A8766" s="1" t="str">
        <f>"519642"</f>
        <v>519642</v>
      </c>
      <c r="B8766" s="2" t="str">
        <f>"DEFLETOR RADIADOR CARGO"</f>
        <v>DEFLETOR RADIADOR CARGO</v>
      </c>
      <c r="C8766" s="2" t="str">
        <f t="shared" si="338"/>
        <v>UN</v>
      </c>
      <c r="D8766" s="7">
        <v>704</v>
      </c>
      <c r="E8766" s="3">
        <v>9</v>
      </c>
      <c r="F8766" s="3">
        <v>9</v>
      </c>
      <c r="G8766" t="s">
        <v>514</v>
      </c>
    </row>
    <row r="8767" spans="1:7" x14ac:dyDescent="0.25">
      <c r="A8767" s="1" t="str">
        <f>"525262"</f>
        <v>525262</v>
      </c>
      <c r="B8767" s="2" t="str">
        <f>"DEGRAL EM Z 250X800 20 X 20 1/8"</f>
        <v>DEGRAL EM Z 250X800 20 X 20 1/8</v>
      </c>
      <c r="C8767" s="2" t="str">
        <f t="shared" si="338"/>
        <v>UN</v>
      </c>
      <c r="D8767" s="7">
        <v>1700</v>
      </c>
      <c r="E8767" s="3">
        <v>10</v>
      </c>
      <c r="F8767" s="3">
        <v>10</v>
      </c>
      <c r="G8767" t="s">
        <v>514</v>
      </c>
    </row>
    <row r="8768" spans="1:7" x14ac:dyDescent="0.25">
      <c r="A8768" s="1" t="str">
        <f>"523402"</f>
        <v>523402</v>
      </c>
      <c r="B8768" s="2" t="str">
        <f>"DELL WYSE 5010 THIN CLIENT THINOS (D10D)"</f>
        <v>DELL WYSE 5010 THIN CLIENT THINOS (D10D)</v>
      </c>
      <c r="C8768" s="2" t="str">
        <f t="shared" si="338"/>
        <v>UN</v>
      </c>
      <c r="D8768" s="7">
        <v>401</v>
      </c>
      <c r="E8768" s="3">
        <v>4</v>
      </c>
      <c r="F8768" s="3">
        <v>4</v>
      </c>
      <c r="G8768" t="s">
        <v>514</v>
      </c>
    </row>
    <row r="8769" spans="1:7" x14ac:dyDescent="0.25">
      <c r="A8769" s="1" t="str">
        <f>"515757"</f>
        <v>515757</v>
      </c>
      <c r="B8769" s="2" t="str">
        <f>"DELLA ACIS 5L"</f>
        <v>DELLA ACIS 5L</v>
      </c>
      <c r="C8769" s="2" t="str">
        <f t="shared" si="338"/>
        <v>UN</v>
      </c>
      <c r="D8769" s="7">
        <v>400</v>
      </c>
      <c r="E8769" s="3">
        <v>4</v>
      </c>
      <c r="F8769" s="3">
        <v>4</v>
      </c>
      <c r="G8769" t="s">
        <v>513</v>
      </c>
    </row>
    <row r="8770" spans="1:7" x14ac:dyDescent="0.25">
      <c r="A8770" s="1" t="str">
        <f>"4037"</f>
        <v>4037</v>
      </c>
      <c r="B8770" s="2" t="str">
        <f>"DELLA ACIS 5LT - DETERGENTE ACIDO"</f>
        <v>DELLA ACIS 5LT - DETERGENTE ACIDO</v>
      </c>
      <c r="C8770" s="2" t="str">
        <f t="shared" si="338"/>
        <v>UN</v>
      </c>
      <c r="D8770" s="7">
        <v>407</v>
      </c>
      <c r="E8770" s="3">
        <v>4</v>
      </c>
      <c r="F8770" s="3">
        <v>4</v>
      </c>
      <c r="G8770" t="s">
        <v>513</v>
      </c>
    </row>
    <row r="8771" spans="1:7" x14ac:dyDescent="0.25">
      <c r="A8771" s="1" t="str">
        <f>"515756"</f>
        <v>515756</v>
      </c>
      <c r="B8771" s="2" t="str">
        <f>"DELLA ACTION 5L"</f>
        <v>DELLA ACTION 5L</v>
      </c>
      <c r="C8771" s="2" t="str">
        <f t="shared" si="338"/>
        <v>UN</v>
      </c>
      <c r="D8771" s="7">
        <v>400</v>
      </c>
      <c r="E8771" s="3">
        <v>4</v>
      </c>
      <c r="F8771" s="3">
        <v>4</v>
      </c>
      <c r="G8771" t="s">
        <v>513</v>
      </c>
    </row>
    <row r="8772" spans="1:7" x14ac:dyDescent="0.25">
      <c r="A8772" s="1" t="str">
        <f>"4036"</f>
        <v>4036</v>
      </c>
      <c r="B8772" s="2" t="str">
        <f>"DELLA ACTION 5LT - DETERGENTE LIQUIDO"</f>
        <v>DELLA ACTION 5LT - DETERGENTE LIQUIDO</v>
      </c>
      <c r="C8772" s="2" t="str">
        <f t="shared" si="338"/>
        <v>UN</v>
      </c>
      <c r="D8772" s="7">
        <v>407</v>
      </c>
      <c r="E8772" s="3">
        <v>4</v>
      </c>
      <c r="F8772" s="3">
        <v>4</v>
      </c>
      <c r="G8772" t="s">
        <v>512</v>
      </c>
    </row>
    <row r="8773" spans="1:7" x14ac:dyDescent="0.25">
      <c r="A8773" s="1" t="str">
        <f>"4038"</f>
        <v>4038</v>
      </c>
      <c r="B8773" s="2" t="str">
        <f>"DELLA PRO 5LT - DESINFETANTE"</f>
        <v>DELLA PRO 5LT - DESINFETANTE</v>
      </c>
      <c r="C8773" s="2" t="str">
        <f t="shared" si="338"/>
        <v>UN</v>
      </c>
      <c r="D8773" s="7">
        <v>407</v>
      </c>
      <c r="E8773" s="3">
        <v>4</v>
      </c>
      <c r="F8773" s="3">
        <v>4</v>
      </c>
      <c r="G8773" t="s">
        <v>513</v>
      </c>
    </row>
    <row r="8774" spans="1:7" x14ac:dyDescent="0.25">
      <c r="A8774" s="1" t="str">
        <f>"515755"</f>
        <v>515755</v>
      </c>
      <c r="B8774" s="2" t="str">
        <f>"DELLA WASH 5L"</f>
        <v>DELLA WASH 5L</v>
      </c>
      <c r="C8774" s="2" t="str">
        <f t="shared" si="338"/>
        <v>UN</v>
      </c>
      <c r="D8774" s="7">
        <v>400</v>
      </c>
      <c r="E8774" s="3">
        <v>4</v>
      </c>
      <c r="F8774" s="3">
        <v>4</v>
      </c>
      <c r="G8774" t="s">
        <v>514</v>
      </c>
    </row>
    <row r="8775" spans="1:7" x14ac:dyDescent="0.25">
      <c r="A8775" s="1" t="str">
        <f>"4035"</f>
        <v>4035</v>
      </c>
      <c r="B8775" s="2" t="str">
        <f>"DELLA WASH 5LT - DETERGENTE LIQUIDO"</f>
        <v>DELLA WASH 5LT - DETERGENTE LIQUIDO</v>
      </c>
      <c r="C8775" s="2" t="str">
        <f>"LT"</f>
        <v>LT</v>
      </c>
      <c r="D8775" s="7">
        <v>407</v>
      </c>
      <c r="E8775" s="3">
        <v>4</v>
      </c>
      <c r="F8775" s="3">
        <v>4</v>
      </c>
      <c r="G8775" t="s">
        <v>515</v>
      </c>
    </row>
    <row r="8776" spans="1:7" x14ac:dyDescent="0.25">
      <c r="A8776" s="1" t="str">
        <f>"515409"</f>
        <v>515409</v>
      </c>
      <c r="B8776" s="2" t="str">
        <f>"DELVOTEST ELETRONIQUE 27036586"</f>
        <v>DELVOTEST ELETRONIQUE 27036586</v>
      </c>
      <c r="C8776" s="2" t="str">
        <f t="shared" ref="C8776:C8787" si="339">"UN"</f>
        <v>UN</v>
      </c>
      <c r="D8776" s="7">
        <v>406</v>
      </c>
      <c r="E8776" s="3">
        <v>4</v>
      </c>
      <c r="F8776" s="3">
        <v>4</v>
      </c>
      <c r="G8776" t="s">
        <v>512</v>
      </c>
    </row>
    <row r="8777" spans="1:7" x14ac:dyDescent="0.25">
      <c r="A8777" s="1" t="str">
        <f>"510801"</f>
        <v>510801</v>
      </c>
      <c r="B8777" s="2" t="str">
        <f>"DEMARCAÇAO COLORSEAL AMARELO 18L"</f>
        <v>DEMARCAÇAO COLORSEAL AMARELO 18L</v>
      </c>
      <c r="C8777" s="2" t="str">
        <f t="shared" si="339"/>
        <v>UN</v>
      </c>
      <c r="D8777" s="7">
        <v>804</v>
      </c>
      <c r="E8777" s="3">
        <v>10</v>
      </c>
      <c r="F8777" s="3">
        <v>10</v>
      </c>
      <c r="G8777" t="s">
        <v>516</v>
      </c>
    </row>
    <row r="8778" spans="1:7" x14ac:dyDescent="0.25">
      <c r="A8778" s="1" t="str">
        <f>"515928"</f>
        <v>515928</v>
      </c>
      <c r="B8778" s="2" t="str">
        <f>"DEMARCAÇÃO COLORSEAL BRANCO 18L"</f>
        <v>DEMARCAÇÃO COLORSEAL BRANCO 18L</v>
      </c>
      <c r="C8778" s="2" t="str">
        <f t="shared" si="339"/>
        <v>UN</v>
      </c>
      <c r="D8778" s="7">
        <v>99999</v>
      </c>
      <c r="E8778" s="3">
        <v>10</v>
      </c>
      <c r="F8778" s="3">
        <v>10</v>
      </c>
      <c r="G8778" t="s">
        <v>515</v>
      </c>
    </row>
    <row r="8779" spans="1:7" x14ac:dyDescent="0.25">
      <c r="A8779" s="1" t="str">
        <f>"525417"</f>
        <v>525417</v>
      </c>
      <c r="B8779" s="2" t="str">
        <f>"DEMARCAÇÃO COLORSEAL PRETO 18LT"</f>
        <v>DEMARCAÇÃO COLORSEAL PRETO 18LT</v>
      </c>
      <c r="C8779" s="2" t="str">
        <f t="shared" si="339"/>
        <v>UN</v>
      </c>
      <c r="D8779" s="7">
        <v>917</v>
      </c>
      <c r="E8779" s="3">
        <v>10</v>
      </c>
      <c r="F8779" s="3">
        <v>10</v>
      </c>
      <c r="G8779" t="s">
        <v>514</v>
      </c>
    </row>
    <row r="8780" spans="1:7" x14ac:dyDescent="0.25">
      <c r="A8780" s="1" t="str">
        <f>"515408"</f>
        <v>515408</v>
      </c>
      <c r="B8780" s="2" t="str">
        <f>"DEPOSITO DE AMONIA (GARRAFA)"</f>
        <v>DEPOSITO DE AMONIA (GARRAFA)</v>
      </c>
      <c r="C8780" s="2" t="str">
        <f t="shared" si="339"/>
        <v>UN</v>
      </c>
      <c r="D8780" s="7">
        <v>912</v>
      </c>
      <c r="E8780" s="3">
        <v>4</v>
      </c>
      <c r="F8780" s="3">
        <v>4</v>
      </c>
      <c r="G8780" t="s">
        <v>512</v>
      </c>
    </row>
    <row r="8781" spans="1:7" x14ac:dyDescent="0.25">
      <c r="A8781" s="1" t="str">
        <f>"524787"</f>
        <v>524787</v>
      </c>
      <c r="B8781" s="2" t="str">
        <f>"DEPOSITO DE VARREDURA"</f>
        <v>DEPOSITO DE VARREDURA</v>
      </c>
      <c r="C8781" s="2" t="str">
        <f t="shared" si="339"/>
        <v>UN</v>
      </c>
      <c r="D8781" s="7">
        <v>99999</v>
      </c>
      <c r="E8781" s="3">
        <v>99</v>
      </c>
      <c r="F8781" s="3">
        <v>99</v>
      </c>
      <c r="G8781" t="s">
        <v>513</v>
      </c>
    </row>
    <row r="8782" spans="1:7" x14ac:dyDescent="0.25">
      <c r="A8782" s="1" t="str">
        <f>"521403"</f>
        <v>521403</v>
      </c>
      <c r="B8782" s="2" t="str">
        <f>"DERSANI 100ML"</f>
        <v>DERSANI 100ML</v>
      </c>
      <c r="C8782" s="2" t="str">
        <f t="shared" si="339"/>
        <v>UN</v>
      </c>
      <c r="D8782" s="7">
        <v>406</v>
      </c>
      <c r="E8782" s="3">
        <v>4</v>
      </c>
      <c r="F8782" s="3">
        <v>4</v>
      </c>
      <c r="G8782" t="s">
        <v>514</v>
      </c>
    </row>
    <row r="8783" spans="1:7" x14ac:dyDescent="0.25">
      <c r="A8783" s="1" t="str">
        <f>"514026"</f>
        <v>514026</v>
      </c>
      <c r="B8783" s="2" t="str">
        <f>"DESATIVADOR"</f>
        <v>DESATIVADOR</v>
      </c>
      <c r="C8783" s="2" t="str">
        <f t="shared" si="339"/>
        <v>UN</v>
      </c>
      <c r="D8783" s="7">
        <v>918</v>
      </c>
      <c r="E8783" s="3">
        <v>11</v>
      </c>
      <c r="F8783" s="3">
        <v>11</v>
      </c>
      <c r="G8783" t="s">
        <v>514</v>
      </c>
    </row>
    <row r="8784" spans="1:7" x14ac:dyDescent="0.25">
      <c r="A8784" s="1" t="str">
        <f>"507099"</f>
        <v>507099</v>
      </c>
      <c r="B8784" s="2" t="str">
        <f>"DESBOBINADOR DO PS"</f>
        <v>DESBOBINADOR DO PS</v>
      </c>
      <c r="C8784" s="2" t="str">
        <f t="shared" si="339"/>
        <v>UN</v>
      </c>
      <c r="D8784" s="7">
        <v>918</v>
      </c>
      <c r="E8784" s="3">
        <v>11</v>
      </c>
      <c r="F8784" s="3">
        <v>11</v>
      </c>
      <c r="G8784" t="s">
        <v>512</v>
      </c>
    </row>
    <row r="8785" spans="1:7" x14ac:dyDescent="0.25">
      <c r="A8785" s="1" t="str">
        <f>"508727"</f>
        <v>508727</v>
      </c>
      <c r="B8785" s="2" t="str">
        <f>"DESCAGIL INJETAVEL"</f>
        <v>DESCAGIL INJETAVEL</v>
      </c>
      <c r="C8785" s="2" t="str">
        <f t="shared" si="339"/>
        <v>UN</v>
      </c>
      <c r="D8785" s="7">
        <v>402</v>
      </c>
      <c r="E8785" s="3">
        <v>4</v>
      </c>
      <c r="F8785" s="3">
        <v>4</v>
      </c>
      <c r="G8785" t="s">
        <v>513</v>
      </c>
    </row>
    <row r="8786" spans="1:7" x14ac:dyDescent="0.25">
      <c r="A8786" s="1" t="str">
        <f>"515165"</f>
        <v>515165</v>
      </c>
      <c r="B8786" s="2" t="str">
        <f>"DESCANSO ERGONOMICO PARA PES"</f>
        <v>DESCANSO ERGONOMICO PARA PES</v>
      </c>
      <c r="C8786" s="2" t="str">
        <f t="shared" si="339"/>
        <v>UN</v>
      </c>
      <c r="D8786" s="7">
        <v>401</v>
      </c>
      <c r="E8786" s="3">
        <v>4</v>
      </c>
      <c r="F8786" s="3">
        <v>4</v>
      </c>
      <c r="G8786" t="s">
        <v>514</v>
      </c>
    </row>
    <row r="8787" spans="1:7" x14ac:dyDescent="0.25">
      <c r="A8787" s="1" t="str">
        <f>"515104"</f>
        <v>515104</v>
      </c>
      <c r="B8787" s="2" t="str">
        <f>"DESCARBONIZAÇÃO"</f>
        <v>DESCARBONIZAÇÃO</v>
      </c>
      <c r="C8787" s="2" t="str">
        <f t="shared" si="339"/>
        <v>UN</v>
      </c>
      <c r="D8787" s="7">
        <v>704</v>
      </c>
      <c r="E8787" s="3">
        <v>9</v>
      </c>
      <c r="F8787" s="3">
        <v>9</v>
      </c>
      <c r="G8787" t="s">
        <v>514</v>
      </c>
    </row>
    <row r="8788" spans="1:7" x14ac:dyDescent="0.25">
      <c r="A8788" s="10" t="s">
        <v>3</v>
      </c>
      <c r="B8788" s="14" t="s">
        <v>4</v>
      </c>
      <c r="C8788" s="14" t="s">
        <v>5</v>
      </c>
      <c r="D8788" s="14" t="s">
        <v>6</v>
      </c>
      <c r="E8788" s="22" t="s">
        <v>7</v>
      </c>
      <c r="F8788" s="22" t="s">
        <v>7</v>
      </c>
      <c r="G8788" t="s">
        <v>514</v>
      </c>
    </row>
    <row r="8789" spans="1:7" x14ac:dyDescent="0.25">
      <c r="A8789" s="1" t="str">
        <f>"523408"</f>
        <v>523408</v>
      </c>
      <c r="B8789" s="2" t="str">
        <f>"DESEMPENADEIRA  DE RODA PÉ ARREDONDADO"</f>
        <v>DESEMPENADEIRA  DE RODA PÉ ARREDONDADO</v>
      </c>
      <c r="C8789" s="2" t="str">
        <f t="shared" ref="C8789:C8806" si="340">"UN"</f>
        <v>UN</v>
      </c>
      <c r="D8789" s="7">
        <v>403</v>
      </c>
      <c r="E8789" s="3">
        <v>10</v>
      </c>
      <c r="F8789" s="3">
        <v>10</v>
      </c>
      <c r="G8789" t="s">
        <v>513</v>
      </c>
    </row>
    <row r="8790" spans="1:7" x14ac:dyDescent="0.25">
      <c r="A8790" s="1" t="str">
        <f>"511535"</f>
        <v>511535</v>
      </c>
      <c r="B8790" s="2" t="str">
        <f>"DESEMPENADEIRA DE AÇO"</f>
        <v>DESEMPENADEIRA DE AÇO</v>
      </c>
      <c r="C8790" s="2" t="str">
        <f t="shared" si="340"/>
        <v>UN</v>
      </c>
      <c r="D8790" s="7">
        <v>817</v>
      </c>
      <c r="E8790" s="3">
        <v>10</v>
      </c>
      <c r="F8790" s="3">
        <v>10</v>
      </c>
      <c r="G8790" t="s">
        <v>512</v>
      </c>
    </row>
    <row r="8791" spans="1:7" x14ac:dyDescent="0.25">
      <c r="A8791" s="1" t="str">
        <f>"523405"</f>
        <v>523405</v>
      </c>
      <c r="B8791" s="2" t="str">
        <f>"DESEMPENADEIRA DENTADA 40CM PT2"</f>
        <v>DESEMPENADEIRA DENTADA 40CM PT2</v>
      </c>
      <c r="C8791" s="2" t="str">
        <f t="shared" si="340"/>
        <v>UN</v>
      </c>
      <c r="D8791" s="7">
        <v>403</v>
      </c>
      <c r="E8791" s="3">
        <v>10</v>
      </c>
      <c r="F8791" s="3">
        <v>10</v>
      </c>
      <c r="G8791" t="s">
        <v>513</v>
      </c>
    </row>
    <row r="8792" spans="1:7" x14ac:dyDescent="0.25">
      <c r="A8792" s="1" t="str">
        <f>"523406"</f>
        <v>523406</v>
      </c>
      <c r="B8792" s="2" t="str">
        <f>"DESEMPENADEIRA DENTADA 40CM PT3"</f>
        <v>DESEMPENADEIRA DENTADA 40CM PT3</v>
      </c>
      <c r="C8792" s="2" t="str">
        <f t="shared" si="340"/>
        <v>UN</v>
      </c>
      <c r="D8792" s="7">
        <v>403</v>
      </c>
      <c r="E8792" s="3">
        <v>10</v>
      </c>
      <c r="F8792" s="3">
        <v>10</v>
      </c>
      <c r="G8792" t="s">
        <v>514</v>
      </c>
    </row>
    <row r="8793" spans="1:7" x14ac:dyDescent="0.25">
      <c r="A8793" s="1" t="str">
        <f>"517897"</f>
        <v>517897</v>
      </c>
      <c r="B8793" s="2" t="str">
        <f>"DESEMPENADEIRA DENTADA P/ PISO"</f>
        <v>DESEMPENADEIRA DENTADA P/ PISO</v>
      </c>
      <c r="C8793" s="2" t="str">
        <f t="shared" si="340"/>
        <v>UN</v>
      </c>
      <c r="D8793" s="7">
        <v>919</v>
      </c>
      <c r="E8793" s="3">
        <v>4</v>
      </c>
      <c r="F8793" s="3">
        <v>4</v>
      </c>
      <c r="G8793" t="s">
        <v>514</v>
      </c>
    </row>
    <row r="8794" spans="1:7" x14ac:dyDescent="0.25">
      <c r="A8794" s="1" t="str">
        <f>"523407"</f>
        <v>523407</v>
      </c>
      <c r="B8794" s="2" t="str">
        <f>"DESEMPENADEIRA LISA 40CM"</f>
        <v>DESEMPENADEIRA LISA 40CM</v>
      </c>
      <c r="C8794" s="2" t="str">
        <f t="shared" si="340"/>
        <v>UN</v>
      </c>
      <c r="D8794" s="7">
        <v>403</v>
      </c>
      <c r="E8794" s="3">
        <v>10</v>
      </c>
      <c r="F8794" s="3">
        <v>10</v>
      </c>
      <c r="G8794" t="s">
        <v>514</v>
      </c>
    </row>
    <row r="8795" spans="1:7" x14ac:dyDescent="0.25">
      <c r="A8795" s="1" t="str">
        <f>"516031"</f>
        <v>516031</v>
      </c>
      <c r="B8795" s="2" t="str">
        <f>"DESEMPENADEIRA PVC"</f>
        <v>DESEMPENADEIRA PVC</v>
      </c>
      <c r="C8795" s="2" t="str">
        <f t="shared" si="340"/>
        <v>UN</v>
      </c>
      <c r="D8795" s="7">
        <v>403</v>
      </c>
      <c r="E8795" s="3">
        <v>10</v>
      </c>
      <c r="F8795" s="3">
        <v>10</v>
      </c>
      <c r="G8795" t="s">
        <v>513</v>
      </c>
    </row>
    <row r="8796" spans="1:7" x14ac:dyDescent="0.25">
      <c r="A8796" s="1" t="str">
        <f>"525854"</f>
        <v>525854</v>
      </c>
      <c r="B8796" s="2" t="str">
        <f>"DESEMPENADEIRA PVC LISA 15CM"</f>
        <v>DESEMPENADEIRA PVC LISA 15CM</v>
      </c>
      <c r="C8796" s="2" t="str">
        <f t="shared" si="340"/>
        <v>UN</v>
      </c>
      <c r="D8796" s="7">
        <v>403</v>
      </c>
      <c r="E8796" s="3">
        <v>10</v>
      </c>
      <c r="F8796" s="3">
        <v>10</v>
      </c>
      <c r="G8796" t="s">
        <v>513</v>
      </c>
    </row>
    <row r="8797" spans="1:7" x14ac:dyDescent="0.25">
      <c r="A8797" s="1" t="str">
        <f>"525855"</f>
        <v>525855</v>
      </c>
      <c r="B8797" s="2" t="str">
        <f>"DESEMPENADEIRA PVC LISA 30CM"</f>
        <v>DESEMPENADEIRA PVC LISA 30CM</v>
      </c>
      <c r="C8797" s="2" t="str">
        <f t="shared" si="340"/>
        <v>UN</v>
      </c>
      <c r="D8797" s="7">
        <v>403</v>
      </c>
      <c r="E8797" s="3">
        <v>10</v>
      </c>
      <c r="F8797" s="3">
        <v>10</v>
      </c>
      <c r="G8797" t="s">
        <v>513</v>
      </c>
    </row>
    <row r="8798" spans="1:7" x14ac:dyDescent="0.25">
      <c r="A8798" s="1" t="str">
        <f>"526889"</f>
        <v>526889</v>
      </c>
      <c r="B8798" s="2" t="str">
        <f>"DESEMPENADEIRA PVC P/ GRAFIATO 15CM"</f>
        <v>DESEMPENADEIRA PVC P/ GRAFIATO 15CM</v>
      </c>
      <c r="C8798" s="2" t="str">
        <f t="shared" si="340"/>
        <v>UN</v>
      </c>
      <c r="D8798" s="7">
        <v>403</v>
      </c>
      <c r="E8798" s="3">
        <v>10</v>
      </c>
      <c r="F8798" s="3">
        <v>10</v>
      </c>
      <c r="G8798" t="s">
        <v>512</v>
      </c>
    </row>
    <row r="8799" spans="1:7" x14ac:dyDescent="0.25">
      <c r="A8799" s="1" t="str">
        <f>"526890"</f>
        <v>526890</v>
      </c>
      <c r="B8799" s="2" t="str">
        <f>"DESEMPENADEIRA PVC P/ GRAFIATO 30CM"</f>
        <v>DESEMPENADEIRA PVC P/ GRAFIATO 30CM</v>
      </c>
      <c r="C8799" s="2" t="str">
        <f t="shared" si="340"/>
        <v>UN</v>
      </c>
      <c r="D8799" s="7">
        <v>403</v>
      </c>
      <c r="E8799" s="3">
        <v>10</v>
      </c>
      <c r="F8799" s="3">
        <v>10</v>
      </c>
      <c r="G8799" t="s">
        <v>513</v>
      </c>
    </row>
    <row r="8800" spans="1:7" x14ac:dyDescent="0.25">
      <c r="A8800" s="1" t="str">
        <f>"510912"</f>
        <v>510912</v>
      </c>
      <c r="B8800" s="2" t="str">
        <f>"DESENGRAXANTE CITRICO INDUSTRIAL 1L"</f>
        <v>DESENGRAXANTE CITRICO INDUSTRIAL 1L</v>
      </c>
      <c r="C8800" s="2" t="str">
        <f t="shared" si="340"/>
        <v>UN</v>
      </c>
      <c r="D8800" s="7">
        <v>918</v>
      </c>
      <c r="E8800" s="3">
        <v>11</v>
      </c>
      <c r="F8800" s="3">
        <v>11</v>
      </c>
      <c r="G8800" t="s">
        <v>514</v>
      </c>
    </row>
    <row r="8801" spans="1:7" x14ac:dyDescent="0.25">
      <c r="A8801" s="1" t="str">
        <f>"6307"</f>
        <v>6307</v>
      </c>
      <c r="B8801" s="2" t="str">
        <f>"DESENGRAXANTE EMOCLEAN 50 LITROS"</f>
        <v>DESENGRAXANTE EMOCLEAN 50 LITROS</v>
      </c>
      <c r="C8801" s="2" t="str">
        <f t="shared" si="340"/>
        <v>UN</v>
      </c>
      <c r="D8801" s="7">
        <v>400</v>
      </c>
      <c r="E8801" s="3">
        <v>4</v>
      </c>
      <c r="F8801" s="3">
        <v>4</v>
      </c>
      <c r="G8801" t="s">
        <v>515</v>
      </c>
    </row>
    <row r="8802" spans="1:7" x14ac:dyDescent="0.25">
      <c r="A8802" s="1" t="str">
        <f>"513989"</f>
        <v>513989</v>
      </c>
      <c r="B8802" s="2" t="str">
        <f>"DESENGRIPANTE 300ML"</f>
        <v>DESENGRIPANTE 300ML</v>
      </c>
      <c r="C8802" s="2" t="str">
        <f t="shared" si="340"/>
        <v>UN</v>
      </c>
      <c r="D8802" s="7">
        <v>704</v>
      </c>
      <c r="E8802" s="3">
        <v>9</v>
      </c>
      <c r="F8802" s="3">
        <v>9</v>
      </c>
      <c r="G8802" t="s">
        <v>512</v>
      </c>
    </row>
    <row r="8803" spans="1:7" x14ac:dyDescent="0.25">
      <c r="A8803" s="1" t="str">
        <f>"514688"</f>
        <v>514688</v>
      </c>
      <c r="B8803" s="2" t="str">
        <f>"DESENTUPIDOR VERMELHO"</f>
        <v>DESENTUPIDOR VERMELHO</v>
      </c>
      <c r="C8803" s="2" t="str">
        <f t="shared" si="340"/>
        <v>UN</v>
      </c>
      <c r="D8803" s="7">
        <v>401</v>
      </c>
      <c r="E8803" s="3">
        <v>4</v>
      </c>
      <c r="F8803" s="3">
        <v>4</v>
      </c>
      <c r="G8803" t="s">
        <v>516</v>
      </c>
    </row>
    <row r="8804" spans="1:7" x14ac:dyDescent="0.25">
      <c r="A8804" s="1" t="str">
        <f>"527206"</f>
        <v>527206</v>
      </c>
      <c r="B8804" s="2" t="str">
        <f>"DESFIB. HEART START FRX + 1 BATERIA + PAR PAS 861304 PHILIPS"</f>
        <v>DESFIB. HEART START FRX + 1 BATERIA + PAR PAS 861304 PHILIPS</v>
      </c>
      <c r="C8804" s="2" t="str">
        <f t="shared" si="340"/>
        <v>UN</v>
      </c>
      <c r="D8804" s="7">
        <v>1500</v>
      </c>
      <c r="E8804" s="3">
        <v>11</v>
      </c>
      <c r="F8804" s="3">
        <v>11</v>
      </c>
      <c r="G8804" t="s">
        <v>515</v>
      </c>
    </row>
    <row r="8805" spans="1:7" x14ac:dyDescent="0.25">
      <c r="A8805" s="1" t="str">
        <f>"524298"</f>
        <v>524298</v>
      </c>
      <c r="B8805" s="2" t="str">
        <f>"DESFORCIMETRO P/ RODA DE CAMINHÃO"</f>
        <v>DESFORCIMETRO P/ RODA DE CAMINHÃO</v>
      </c>
      <c r="C8805" s="2" t="str">
        <f t="shared" si="340"/>
        <v>UN</v>
      </c>
      <c r="D8805" s="7">
        <v>99999</v>
      </c>
      <c r="E8805" s="3">
        <v>99</v>
      </c>
      <c r="F8805" s="3">
        <v>99</v>
      </c>
      <c r="G8805" t="s">
        <v>514</v>
      </c>
    </row>
    <row r="8806" spans="1:7" x14ac:dyDescent="0.25">
      <c r="A8806" s="1" t="str">
        <f>"1278"</f>
        <v>1278</v>
      </c>
      <c r="B8806" s="2" t="str">
        <f>"DESINFETANTE 500 ML VEJA"</f>
        <v>DESINFETANTE 500 ML VEJA</v>
      </c>
      <c r="C8806" s="2" t="str">
        <f t="shared" si="340"/>
        <v>UN</v>
      </c>
      <c r="D8806" s="7">
        <v>400</v>
      </c>
      <c r="E8806" s="3">
        <v>4</v>
      </c>
      <c r="F8806" s="3">
        <v>4</v>
      </c>
      <c r="G8806" t="s">
        <v>512</v>
      </c>
    </row>
    <row r="8807" spans="1:7" x14ac:dyDescent="0.25">
      <c r="A8807" s="1" t="str">
        <f>"6151"</f>
        <v>6151</v>
      </c>
      <c r="B8807" s="2" t="str">
        <f>"DESINFETANTE A BASE DE IODO AL.50"</f>
        <v>DESINFETANTE A BASE DE IODO AL.50</v>
      </c>
      <c r="C8807" s="2" t="str">
        <f>"LT"</f>
        <v>LT</v>
      </c>
      <c r="D8807" s="7">
        <v>400</v>
      </c>
      <c r="E8807" s="3">
        <v>4</v>
      </c>
      <c r="F8807" s="3">
        <v>4</v>
      </c>
      <c r="G8807" t="s">
        <v>513</v>
      </c>
    </row>
    <row r="8808" spans="1:7" x14ac:dyDescent="0.25">
      <c r="A8808" s="1" t="str">
        <f>"518689"</f>
        <v>518689</v>
      </c>
      <c r="B8808" s="2" t="str">
        <f>"DESINFETANTE ALTOLIM CLEANER FLORAL 1LT"</f>
        <v>DESINFETANTE ALTOLIM CLEANER FLORAL 1LT</v>
      </c>
      <c r="C8808" s="2" t="str">
        <f t="shared" ref="C8808:C8831" si="341">"UN"</f>
        <v>UN</v>
      </c>
      <c r="D8808" s="7">
        <v>400</v>
      </c>
      <c r="E8808" s="3">
        <v>4</v>
      </c>
      <c r="F8808" s="3">
        <v>4</v>
      </c>
      <c r="G8808" t="s">
        <v>514</v>
      </c>
    </row>
    <row r="8809" spans="1:7" x14ac:dyDescent="0.25">
      <c r="A8809" s="1" t="str">
        <f>"518688"</f>
        <v>518688</v>
      </c>
      <c r="B8809" s="2" t="str">
        <f>"DESINFETANTE ALTOLIM CLEANER GLEIDY 1LT"</f>
        <v>DESINFETANTE ALTOLIM CLEANER GLEIDY 1LT</v>
      </c>
      <c r="C8809" s="2" t="str">
        <f t="shared" si="341"/>
        <v>UN</v>
      </c>
      <c r="D8809" s="7">
        <v>400</v>
      </c>
      <c r="E8809" s="3">
        <v>4</v>
      </c>
      <c r="F8809" s="3">
        <v>4</v>
      </c>
      <c r="G8809" t="s">
        <v>514</v>
      </c>
    </row>
    <row r="8810" spans="1:7" x14ac:dyDescent="0.25">
      <c r="A8810" s="1" t="str">
        <f>"518687"</f>
        <v>518687</v>
      </c>
      <c r="B8810" s="2" t="str">
        <f>"DESINFETANTE ALTOLIM CLEANER PRIMAVERA 1LT"</f>
        <v>DESINFETANTE ALTOLIM CLEANER PRIMAVERA 1LT</v>
      </c>
      <c r="C8810" s="2" t="str">
        <f t="shared" si="341"/>
        <v>UN</v>
      </c>
      <c r="D8810" s="7">
        <v>400</v>
      </c>
      <c r="E8810" s="3">
        <v>4</v>
      </c>
      <c r="F8810" s="3">
        <v>4</v>
      </c>
      <c r="G8810" t="s">
        <v>512</v>
      </c>
    </row>
    <row r="8811" spans="1:7" x14ac:dyDescent="0.25">
      <c r="A8811" s="1" t="str">
        <f>"5768"</f>
        <v>5768</v>
      </c>
      <c r="B8811" s="2" t="str">
        <f>"DESINFETANTE ALTOLIM S.PLUS ALGAS 5LT"</f>
        <v>DESINFETANTE ALTOLIM S.PLUS ALGAS 5LT</v>
      </c>
      <c r="C8811" s="2" t="str">
        <f t="shared" si="341"/>
        <v>UN</v>
      </c>
      <c r="D8811" s="7">
        <v>400</v>
      </c>
      <c r="E8811" s="3">
        <v>4</v>
      </c>
      <c r="F8811" s="3">
        <v>4</v>
      </c>
      <c r="G8811" t="s">
        <v>513</v>
      </c>
    </row>
    <row r="8812" spans="1:7" x14ac:dyDescent="0.25">
      <c r="A8812" s="1" t="str">
        <f>"5766"</f>
        <v>5766</v>
      </c>
      <c r="B8812" s="2" t="str">
        <f>"DESINFETANTE ALTOLIM S.PLUS PRIMAVERA 5LT"</f>
        <v>DESINFETANTE ALTOLIM S.PLUS PRIMAVERA 5LT</v>
      </c>
      <c r="C8812" s="2" t="str">
        <f t="shared" si="341"/>
        <v>UN</v>
      </c>
      <c r="D8812" s="7">
        <v>400</v>
      </c>
      <c r="E8812" s="3">
        <v>4</v>
      </c>
      <c r="F8812" s="3">
        <v>4</v>
      </c>
      <c r="G8812" t="s">
        <v>514</v>
      </c>
    </row>
    <row r="8813" spans="1:7" x14ac:dyDescent="0.25">
      <c r="A8813" s="1" t="str">
        <f>"520830"</f>
        <v>520830</v>
      </c>
      <c r="B8813" s="2" t="str">
        <f>"DESINFETANTE CASA 500ML"</f>
        <v>DESINFETANTE CASA 500ML</v>
      </c>
      <c r="C8813" s="2" t="str">
        <f t="shared" si="341"/>
        <v>UN</v>
      </c>
      <c r="D8813" s="7">
        <v>400</v>
      </c>
      <c r="E8813" s="3">
        <v>4</v>
      </c>
      <c r="F8813" s="3">
        <v>4</v>
      </c>
      <c r="G8813" t="s">
        <v>514</v>
      </c>
    </row>
    <row r="8814" spans="1:7" x14ac:dyDescent="0.25">
      <c r="A8814" s="1" t="str">
        <f>"514973"</f>
        <v>514973</v>
      </c>
      <c r="B8814" s="2" t="str">
        <f>"DESINFETANTE LAVANDA GLEIDY"</f>
        <v>DESINFETANTE LAVANDA GLEIDY</v>
      </c>
      <c r="C8814" s="2" t="str">
        <f t="shared" si="341"/>
        <v>UN</v>
      </c>
      <c r="D8814" s="7">
        <v>400</v>
      </c>
      <c r="E8814" s="3">
        <v>4</v>
      </c>
      <c r="F8814" s="3">
        <v>4</v>
      </c>
      <c r="G8814" t="s">
        <v>514</v>
      </c>
    </row>
    <row r="8815" spans="1:7" x14ac:dyDescent="0.25">
      <c r="A8815" s="1" t="str">
        <f>"510867"</f>
        <v>510867</v>
      </c>
      <c r="B8815" s="2" t="str">
        <f>"DESINFETANTE Q'BOA"</f>
        <v>DESINFETANTE Q'BOA</v>
      </c>
      <c r="C8815" s="2" t="str">
        <f t="shared" si="341"/>
        <v>UN</v>
      </c>
      <c r="D8815" s="7">
        <v>400</v>
      </c>
      <c r="E8815" s="3">
        <v>4</v>
      </c>
      <c r="F8815" s="3">
        <v>4</v>
      </c>
      <c r="G8815" t="s">
        <v>513</v>
      </c>
    </row>
    <row r="8816" spans="1:7" x14ac:dyDescent="0.25">
      <c r="A8816" s="1" t="str">
        <f>"514974"</f>
        <v>514974</v>
      </c>
      <c r="B8816" s="2" t="str">
        <f>"DESINFETANTE STYLETTO"</f>
        <v>DESINFETANTE STYLETTO</v>
      </c>
      <c r="C8816" s="2" t="str">
        <f t="shared" si="341"/>
        <v>UN</v>
      </c>
      <c r="D8816" s="7">
        <v>400</v>
      </c>
      <c r="E8816" s="3">
        <v>4</v>
      </c>
      <c r="F8816" s="3">
        <v>4</v>
      </c>
      <c r="G8816" t="s">
        <v>512</v>
      </c>
    </row>
    <row r="8817" spans="1:7" x14ac:dyDescent="0.25">
      <c r="A8817" s="1" t="str">
        <f>"514931"</f>
        <v>514931</v>
      </c>
      <c r="B8817" s="2" t="str">
        <f>"DESINFETANTE VEROSPLUSBIGUAQUATER"</f>
        <v>DESINFETANTE VEROSPLUSBIGUAQUATER</v>
      </c>
      <c r="C8817" s="2" t="str">
        <f t="shared" si="341"/>
        <v>UN</v>
      </c>
      <c r="D8817" s="7">
        <v>400</v>
      </c>
      <c r="E8817" s="3">
        <v>4</v>
      </c>
      <c r="F8817" s="3">
        <v>4</v>
      </c>
      <c r="G8817" t="s">
        <v>513</v>
      </c>
    </row>
    <row r="8818" spans="1:7" x14ac:dyDescent="0.25">
      <c r="A8818" s="1" t="str">
        <f>"515760"</f>
        <v>515760</v>
      </c>
      <c r="B8818" s="2" t="str">
        <f>"DESK HP 3130 MT INTEL CORE I3-550 3.2 GHZ 2GB DDR3 WIN7"</f>
        <v>DESK HP 3130 MT INTEL CORE I3-550 3.2 GHZ 2GB DDR3 WIN7</v>
      </c>
      <c r="C8818" s="2" t="str">
        <f t="shared" si="341"/>
        <v>UN</v>
      </c>
      <c r="D8818" s="7">
        <v>401</v>
      </c>
      <c r="E8818" s="3">
        <v>13</v>
      </c>
      <c r="F8818" s="3">
        <v>13</v>
      </c>
      <c r="G8818" t="s">
        <v>514</v>
      </c>
    </row>
    <row r="8819" spans="1:7" x14ac:dyDescent="0.25">
      <c r="A8819" s="1" t="str">
        <f>"517767"</f>
        <v>517767</v>
      </c>
      <c r="B8819" s="2" t="str">
        <f>"DESK HP 3500 MT 13-2130 W8P64 SYST 4GB 500GB DVDRW 1LO"</f>
        <v>DESK HP 3500 MT 13-2130 W8P64 SYST 4GB 500GB DVDRW 1LO</v>
      </c>
      <c r="C8819" s="2" t="str">
        <f t="shared" si="341"/>
        <v>UN</v>
      </c>
      <c r="D8819" s="7">
        <v>900</v>
      </c>
      <c r="E8819" s="3">
        <v>4</v>
      </c>
      <c r="F8819" s="3">
        <v>4</v>
      </c>
      <c r="G8819" t="s">
        <v>514</v>
      </c>
    </row>
    <row r="8820" spans="1:7" x14ac:dyDescent="0.25">
      <c r="A8820" s="1" t="str">
        <f>"522618"</f>
        <v>522618</v>
      </c>
      <c r="B8820" s="2" t="str">
        <f>"DESK HP 600 G2 MINI I5 6500T 8GB DDR4 256GB SSD WIFI WIN10"</f>
        <v>DESK HP 600 G2 MINI I5 6500T 8GB DDR4 256GB SSD WIFI WIN10</v>
      </c>
      <c r="C8820" s="2" t="str">
        <f t="shared" si="341"/>
        <v>UN</v>
      </c>
      <c r="D8820" s="7">
        <v>1300</v>
      </c>
      <c r="E8820" s="3">
        <v>13</v>
      </c>
      <c r="F8820" s="3">
        <v>13</v>
      </c>
      <c r="G8820" t="s">
        <v>514</v>
      </c>
    </row>
    <row r="8821" spans="1:7" x14ac:dyDescent="0.25">
      <c r="A8821" s="1" t="str">
        <f>"514032"</f>
        <v>514032</v>
      </c>
      <c r="B8821" s="2" t="str">
        <f>"DESK HP CORE I3-550 3.2GHZ 2GB DDR3 W7"</f>
        <v>DESK HP CORE I3-550 3.2GHZ 2GB DDR3 W7</v>
      </c>
      <c r="C8821" s="2" t="str">
        <f t="shared" si="341"/>
        <v>UN</v>
      </c>
      <c r="D8821" s="7">
        <v>1300</v>
      </c>
      <c r="E8821" s="3">
        <v>13</v>
      </c>
      <c r="F8821" s="3">
        <v>13</v>
      </c>
      <c r="G8821" t="s">
        <v>513</v>
      </c>
    </row>
    <row r="8822" spans="1:7" x14ac:dyDescent="0.25">
      <c r="A8822" s="1" t="str">
        <f>"517316"</f>
        <v>517316</v>
      </c>
      <c r="B8822" s="2" t="str">
        <f>"DESK PAVILION P7-1130BR PC BRZL PRETO BIV HP"</f>
        <v>DESK PAVILION P7-1130BR PC BRZL PRETO BIV HP</v>
      </c>
      <c r="C8822" s="2" t="str">
        <f t="shared" si="341"/>
        <v>UN</v>
      </c>
      <c r="D8822" s="7">
        <v>811</v>
      </c>
      <c r="E8822" s="3">
        <v>8</v>
      </c>
      <c r="F8822" s="3">
        <v>8</v>
      </c>
      <c r="G8822" t="s">
        <v>513</v>
      </c>
    </row>
    <row r="8823" spans="1:7" x14ac:dyDescent="0.25">
      <c r="A8823" s="1" t="str">
        <f>"518928"</f>
        <v>518928</v>
      </c>
      <c r="B8823" s="2" t="str">
        <f>"DESKTOP HP PAVILION S3715BR"</f>
        <v>DESKTOP HP PAVILION S3715BR</v>
      </c>
      <c r="C8823" s="2" t="str">
        <f t="shared" si="341"/>
        <v>UN</v>
      </c>
      <c r="D8823" s="7">
        <v>401</v>
      </c>
      <c r="E8823" s="3">
        <v>13</v>
      </c>
      <c r="F8823" s="3">
        <v>13</v>
      </c>
      <c r="G8823" t="s">
        <v>513</v>
      </c>
    </row>
    <row r="8824" spans="1:7" x14ac:dyDescent="0.25">
      <c r="A8824" s="1" t="str">
        <f>"518929"</f>
        <v>518929</v>
      </c>
      <c r="B8824" s="2" t="str">
        <f>"DESKTOP HP PAVILION S5510BR"</f>
        <v>DESKTOP HP PAVILION S5510BR</v>
      </c>
      <c r="C8824" s="2" t="str">
        <f t="shared" si="341"/>
        <v>UN</v>
      </c>
      <c r="D8824" s="7">
        <v>401</v>
      </c>
      <c r="E8824" s="3">
        <v>13</v>
      </c>
      <c r="F8824" s="3">
        <v>13</v>
      </c>
      <c r="G8824" t="s">
        <v>512</v>
      </c>
    </row>
    <row r="8825" spans="1:7" x14ac:dyDescent="0.25">
      <c r="A8825" s="1" t="str">
        <f>"513751"</f>
        <v>513751</v>
      </c>
      <c r="B8825" s="2" t="str">
        <f>"DESKTOP HP PAVILION SLIMLINE"</f>
        <v>DESKTOP HP PAVILION SLIMLINE</v>
      </c>
      <c r="C8825" s="2" t="str">
        <f t="shared" si="341"/>
        <v>UN</v>
      </c>
      <c r="D8825" s="7">
        <v>401</v>
      </c>
      <c r="E8825" s="3">
        <v>13</v>
      </c>
      <c r="F8825" s="3">
        <v>13</v>
      </c>
      <c r="G8825" t="s">
        <v>513</v>
      </c>
    </row>
    <row r="8826" spans="1:7" x14ac:dyDescent="0.25">
      <c r="A8826" s="1" t="str">
        <f>"501959"</f>
        <v>501959</v>
      </c>
      <c r="B8826" s="2" t="str">
        <f>"DESLIZANTE SUPORTE  TRAS. TRUCK"</f>
        <v>DESLIZANTE SUPORTE  TRAS. TRUCK</v>
      </c>
      <c r="C8826" s="2" t="str">
        <f t="shared" si="341"/>
        <v>UN</v>
      </c>
      <c r="D8826" s="7">
        <v>704</v>
      </c>
      <c r="E8826" s="3">
        <v>9</v>
      </c>
      <c r="F8826" s="3">
        <v>9</v>
      </c>
      <c r="G8826" t="s">
        <v>514</v>
      </c>
    </row>
    <row r="8827" spans="1:7" x14ac:dyDescent="0.25">
      <c r="A8827" s="1" t="str">
        <f>"501576"</f>
        <v>501576</v>
      </c>
      <c r="B8827" s="2" t="str">
        <f>"DESLIZANTE TRAZEIRO(BORRACHA)"</f>
        <v>DESLIZANTE TRAZEIRO(BORRACHA)</v>
      </c>
      <c r="C8827" s="2" t="str">
        <f t="shared" si="341"/>
        <v>UN</v>
      </c>
      <c r="D8827" s="7">
        <v>704</v>
      </c>
      <c r="E8827" s="3">
        <v>9</v>
      </c>
      <c r="F8827" s="3">
        <v>9</v>
      </c>
      <c r="G8827" t="s">
        <v>515</v>
      </c>
    </row>
    <row r="8828" spans="1:7" x14ac:dyDescent="0.25">
      <c r="A8828" s="1" t="str">
        <f>"508188"</f>
        <v>508188</v>
      </c>
      <c r="B8828" s="2" t="str">
        <f>"DESLIZE BANCO GOL COM TRAVA"</f>
        <v>DESLIZE BANCO GOL COM TRAVA</v>
      </c>
      <c r="C8828" s="2" t="str">
        <f t="shared" si="341"/>
        <v>UN</v>
      </c>
      <c r="D8828" s="7">
        <v>704</v>
      </c>
      <c r="E8828" s="3">
        <v>9</v>
      </c>
      <c r="F8828" s="3">
        <v>9</v>
      </c>
      <c r="G8828" t="s">
        <v>512</v>
      </c>
    </row>
    <row r="8829" spans="1:7" x14ac:dyDescent="0.25">
      <c r="A8829" s="1" t="str">
        <f>"524510"</f>
        <v>524510</v>
      </c>
      <c r="B8829" s="2" t="str">
        <f>"DESMOLDANTE DESMOL CD 18LTS VEDACIT"</f>
        <v>DESMOLDANTE DESMOL CD 18LTS VEDACIT</v>
      </c>
      <c r="C8829" s="2" t="str">
        <f t="shared" si="341"/>
        <v>UN</v>
      </c>
      <c r="D8829" s="7">
        <v>917</v>
      </c>
      <c r="E8829" s="3">
        <v>4</v>
      </c>
      <c r="F8829" s="3">
        <v>4</v>
      </c>
      <c r="G8829" t="s">
        <v>516</v>
      </c>
    </row>
    <row r="8830" spans="1:7" x14ac:dyDescent="0.25">
      <c r="A8830" s="1" t="str">
        <f>"508968"</f>
        <v>508968</v>
      </c>
      <c r="B8830" s="2" t="str">
        <f>"DESMOLDANTE PARA PLASTICO SEM SILICONE"</f>
        <v>DESMOLDANTE PARA PLASTICO SEM SILICONE</v>
      </c>
      <c r="C8830" s="2" t="str">
        <f t="shared" si="341"/>
        <v>UN</v>
      </c>
      <c r="D8830" s="7">
        <v>812</v>
      </c>
      <c r="E8830" s="3">
        <v>10</v>
      </c>
      <c r="F8830" s="3">
        <v>10</v>
      </c>
      <c r="G8830" t="s">
        <v>515</v>
      </c>
    </row>
    <row r="8831" spans="1:7" x14ac:dyDescent="0.25">
      <c r="A8831" s="1" t="str">
        <f>"513213"</f>
        <v>513213</v>
      </c>
      <c r="B8831" s="2" t="str">
        <f>"DESMOLDANTE SEM SILICONE 300ML"</f>
        <v>DESMOLDANTE SEM SILICONE 300ML</v>
      </c>
      <c r="C8831" s="2" t="str">
        <f t="shared" si="341"/>
        <v>UN</v>
      </c>
      <c r="D8831" s="7">
        <v>918</v>
      </c>
      <c r="E8831" s="3">
        <v>11</v>
      </c>
      <c r="F8831" s="3">
        <v>11</v>
      </c>
      <c r="G8831" t="s">
        <v>514</v>
      </c>
    </row>
    <row r="8832" spans="1:7" x14ac:dyDescent="0.25">
      <c r="A8832" s="1" t="str">
        <f>"520814"</f>
        <v>520814</v>
      </c>
      <c r="B8832" s="2" t="str">
        <f>"DESMOLDANTE STAC RG001"</f>
        <v>DESMOLDANTE STAC RG001</v>
      </c>
      <c r="C8832" s="2" t="str">
        <f>"LT"</f>
        <v>LT</v>
      </c>
      <c r="D8832" s="7">
        <v>812</v>
      </c>
      <c r="E8832" s="3">
        <v>10</v>
      </c>
      <c r="F8832" s="3">
        <v>10</v>
      </c>
      <c r="G8832" t="s">
        <v>512</v>
      </c>
    </row>
    <row r="8833" spans="1:7" x14ac:dyDescent="0.25">
      <c r="A8833" s="1" t="str">
        <f>"521141"</f>
        <v>521141</v>
      </c>
      <c r="B8833" s="2" t="str">
        <f>"DESMONTAGEM E MONTAGEM DE ARMARIO E MESAS"</f>
        <v>DESMONTAGEM E MONTAGEM DE ARMARIO E MESAS</v>
      </c>
      <c r="C8833" s="2" t="str">
        <f t="shared" ref="C8833:C8847" si="342">"UN"</f>
        <v>UN</v>
      </c>
      <c r="D8833" s="7">
        <v>1200</v>
      </c>
      <c r="E8833" s="3">
        <v>4</v>
      </c>
      <c r="F8833" s="3">
        <v>4</v>
      </c>
      <c r="G8833" t="s">
        <v>513</v>
      </c>
    </row>
    <row r="8834" spans="1:7" x14ac:dyDescent="0.25">
      <c r="A8834" s="1" t="str">
        <f>"513891"</f>
        <v>513891</v>
      </c>
      <c r="B8834" s="2" t="str">
        <f>"DESNAT E CLARIFICADORA ALFA LAVAL 5000"</f>
        <v>DESNAT E CLARIFICADORA ALFA LAVAL 5000</v>
      </c>
      <c r="C8834" s="2" t="str">
        <f t="shared" si="342"/>
        <v>UN</v>
      </c>
      <c r="D8834" s="7">
        <v>1300</v>
      </c>
      <c r="E8834" s="3">
        <v>13</v>
      </c>
      <c r="F8834" s="3">
        <v>13</v>
      </c>
      <c r="G8834" t="s">
        <v>514</v>
      </c>
    </row>
    <row r="8835" spans="1:7" x14ac:dyDescent="0.25">
      <c r="A8835" s="1" t="str">
        <f>"515308"</f>
        <v>515308</v>
      </c>
      <c r="B8835" s="2" t="str">
        <f>"DESNATADEIRA E CLARIFICADORA ALFALAVAL EM AÇO INOX 5000L/H"</f>
        <v>DESNATADEIRA E CLARIFICADORA ALFALAVAL EM AÇO INOX 5000L/H</v>
      </c>
      <c r="C8835" s="2" t="str">
        <f t="shared" si="342"/>
        <v>UN</v>
      </c>
      <c r="D8835" s="7">
        <v>1300</v>
      </c>
      <c r="E8835" s="3">
        <v>13</v>
      </c>
      <c r="F8835" s="3">
        <v>13</v>
      </c>
      <c r="G8835" t="s">
        <v>514</v>
      </c>
    </row>
    <row r="8836" spans="1:7" x14ac:dyDescent="0.25">
      <c r="A8836" s="1" t="str">
        <f>"515641"</f>
        <v>515641</v>
      </c>
      <c r="B8836" s="2" t="str">
        <f>"DESODORANTE"</f>
        <v>DESODORANTE</v>
      </c>
      <c r="C8836" s="2" t="str">
        <f t="shared" si="342"/>
        <v>UN</v>
      </c>
      <c r="D8836" s="7">
        <v>401</v>
      </c>
      <c r="E8836" s="3">
        <v>4</v>
      </c>
      <c r="F8836" s="3">
        <v>4</v>
      </c>
      <c r="G8836" t="s">
        <v>512</v>
      </c>
    </row>
    <row r="8837" spans="1:7" x14ac:dyDescent="0.25">
      <c r="A8837" s="1" t="str">
        <f>"511945"</f>
        <v>511945</v>
      </c>
      <c r="B8837" s="2" t="str">
        <f>"DESOXIDANTE P/ BARRAMENTO"</f>
        <v>DESOXIDANTE P/ BARRAMENTO</v>
      </c>
      <c r="C8837" s="2" t="str">
        <f t="shared" si="342"/>
        <v>UN</v>
      </c>
      <c r="D8837" s="7">
        <v>600</v>
      </c>
      <c r="E8837" s="3">
        <v>8</v>
      </c>
      <c r="F8837" s="3">
        <v>8</v>
      </c>
      <c r="G8837" t="s">
        <v>513</v>
      </c>
    </row>
    <row r="8838" spans="1:7" x14ac:dyDescent="0.25">
      <c r="A8838" s="1" t="str">
        <f>"518761"</f>
        <v>518761</v>
      </c>
      <c r="B8838" s="2" t="str">
        <f>"DESPERDICIOS"</f>
        <v>DESPERDICIOS</v>
      </c>
      <c r="C8838" s="2" t="str">
        <f t="shared" si="342"/>
        <v>UN</v>
      </c>
      <c r="D8838" s="7">
        <v>99999</v>
      </c>
      <c r="E8838" s="3">
        <v>99</v>
      </c>
      <c r="F8838" s="3">
        <v>99</v>
      </c>
      <c r="G8838" t="s">
        <v>514</v>
      </c>
    </row>
    <row r="8839" spans="1:7" x14ac:dyDescent="0.25">
      <c r="A8839" s="1" t="str">
        <f>"524619"</f>
        <v>524619</v>
      </c>
      <c r="B8839" s="8" t="s">
        <v>394</v>
      </c>
      <c r="C8839" s="2" t="str">
        <f t="shared" si="342"/>
        <v>UN</v>
      </c>
      <c r="D8839" s="7">
        <v>406</v>
      </c>
      <c r="E8839" s="3">
        <v>13</v>
      </c>
      <c r="F8839" s="3">
        <v>13</v>
      </c>
      <c r="G8839" t="s">
        <v>514</v>
      </c>
    </row>
    <row r="8840" spans="1:7" x14ac:dyDescent="0.25">
      <c r="A8840" s="1" t="str">
        <f>"517210"</f>
        <v>517210</v>
      </c>
      <c r="B8840" s="2" t="str">
        <f>"DESTAQUE SECO SPRAY ADVENTURE 400ML"</f>
        <v>DESTAQUE SECO SPRAY ADVENTURE 400ML</v>
      </c>
      <c r="C8840" s="2" t="str">
        <f t="shared" si="342"/>
        <v>UN</v>
      </c>
      <c r="D8840" s="7">
        <v>400</v>
      </c>
      <c r="E8840" s="3">
        <v>10</v>
      </c>
      <c r="F8840" s="3">
        <v>10</v>
      </c>
      <c r="G8840" t="s">
        <v>514</v>
      </c>
    </row>
    <row r="8841" spans="1:7" x14ac:dyDescent="0.25">
      <c r="A8841" s="1" t="str">
        <f>"509657"</f>
        <v>509657</v>
      </c>
      <c r="B8841" s="2" t="str">
        <f>"DESTILADOR 5LT/HORA"</f>
        <v>DESTILADOR 5LT/HORA</v>
      </c>
      <c r="C8841" s="2" t="str">
        <f t="shared" si="342"/>
        <v>UN</v>
      </c>
      <c r="D8841" s="7">
        <v>406</v>
      </c>
      <c r="E8841" s="3">
        <v>4</v>
      </c>
      <c r="F8841" s="3">
        <v>4</v>
      </c>
      <c r="G8841" t="s">
        <v>513</v>
      </c>
    </row>
    <row r="8842" spans="1:7" x14ac:dyDescent="0.25">
      <c r="A8842" s="1" t="str">
        <f>"516597"</f>
        <v>516597</v>
      </c>
      <c r="B8842" s="2" t="str">
        <f>"DESTILADOR DE AGUA SSDEST 5 L/H (220V)"</f>
        <v>DESTILADOR DE AGUA SSDEST 5 L/H (220V)</v>
      </c>
      <c r="C8842" s="2" t="str">
        <f t="shared" si="342"/>
        <v>UN</v>
      </c>
      <c r="D8842" s="7">
        <v>900</v>
      </c>
      <c r="E8842" s="3">
        <v>13</v>
      </c>
      <c r="F8842" s="3">
        <v>13</v>
      </c>
      <c r="G8842" t="s">
        <v>512</v>
      </c>
    </row>
    <row r="8843" spans="1:7" x14ac:dyDescent="0.25">
      <c r="A8843" s="1" t="str">
        <f>"523310"</f>
        <v>523310</v>
      </c>
      <c r="B8843" s="2" t="str">
        <f>"DETECTOR DE METAL MOD STEALTH"</f>
        <v>DETECTOR DE METAL MOD STEALTH</v>
      </c>
      <c r="C8843" s="2" t="str">
        <f t="shared" si="342"/>
        <v>UN</v>
      </c>
      <c r="D8843" s="7">
        <v>1300</v>
      </c>
      <c r="E8843" s="3">
        <v>10</v>
      </c>
      <c r="F8843" s="3">
        <v>10</v>
      </c>
      <c r="G8843" t="s">
        <v>513</v>
      </c>
    </row>
    <row r="8844" spans="1:7" x14ac:dyDescent="0.25">
      <c r="A8844" s="1" t="str">
        <f>"522804"</f>
        <v>522804</v>
      </c>
      <c r="B8844" s="8" t="s">
        <v>336</v>
      </c>
      <c r="C8844" s="2" t="str">
        <f t="shared" si="342"/>
        <v>UN</v>
      </c>
      <c r="D8844" s="7">
        <v>501</v>
      </c>
      <c r="E8844" s="3">
        <v>13</v>
      </c>
      <c r="F8844" s="3">
        <v>13</v>
      </c>
      <c r="G8844" t="s">
        <v>514</v>
      </c>
    </row>
    <row r="8845" spans="1:7" x14ac:dyDescent="0.25">
      <c r="A8845" s="1" t="str">
        <f>"521360"</f>
        <v>521360</v>
      </c>
      <c r="B8845" s="2" t="str">
        <f>"DETECTOR PORTATIL AMONIA (NH3) SP2ND (SP22N7)"</f>
        <v>DETECTOR PORTATIL AMONIA (NH3) SP2ND (SP22N7)</v>
      </c>
      <c r="C8845" s="2" t="str">
        <f t="shared" si="342"/>
        <v>UN</v>
      </c>
      <c r="D8845" s="7">
        <v>1300</v>
      </c>
      <c r="E8845" s="3">
        <v>13</v>
      </c>
      <c r="F8845" s="3">
        <v>13</v>
      </c>
      <c r="G8845" t="s">
        <v>514</v>
      </c>
    </row>
    <row r="8846" spans="1:7" x14ac:dyDescent="0.25">
      <c r="A8846" s="1" t="str">
        <f>"519473"</f>
        <v>519473</v>
      </c>
      <c r="B8846" s="2" t="str">
        <f>"DETECTOR PRESENÇA SK-200 BASIC BIVOLT 12MTS SKILLTEC"</f>
        <v>DETECTOR PRESENÇA SK-200 BASIC BIVOLT 12MTS SKILLTEC</v>
      </c>
      <c r="C8846" s="2" t="str">
        <f t="shared" si="342"/>
        <v>UN</v>
      </c>
      <c r="D8846" s="7">
        <v>811</v>
      </c>
      <c r="E8846" s="3">
        <v>8</v>
      </c>
      <c r="F8846" s="3">
        <v>8</v>
      </c>
      <c r="G8846" t="s">
        <v>514</v>
      </c>
    </row>
    <row r="8847" spans="1:7" x14ac:dyDescent="0.25">
      <c r="A8847" s="1" t="str">
        <f>"518628"</f>
        <v>518628</v>
      </c>
      <c r="B8847" s="2" t="str">
        <f>"DETECTOR VAZAMENTO ELETRONICO"</f>
        <v>DETECTOR VAZAMENTO ELETRONICO</v>
      </c>
      <c r="C8847" s="2" t="str">
        <f t="shared" si="342"/>
        <v>UN</v>
      </c>
      <c r="D8847" s="7">
        <v>920</v>
      </c>
      <c r="E8847" s="3">
        <v>13</v>
      </c>
      <c r="F8847" s="3">
        <v>13</v>
      </c>
      <c r="G8847" t="s">
        <v>513</v>
      </c>
    </row>
    <row r="8848" spans="1:7" x14ac:dyDescent="0.25">
      <c r="A8848" s="1" t="str">
        <f>"4108"</f>
        <v>4108</v>
      </c>
      <c r="B8848" s="2" t="str">
        <f>"DETERG ALCALINO CLORADO MUND HPS MAX - BB 60"</f>
        <v>DETERG ALCALINO CLORADO MUND HPS MAX - BB 60</v>
      </c>
      <c r="C8848" s="2" t="str">
        <f>"KG"</f>
        <v>KG</v>
      </c>
      <c r="D8848" s="7">
        <v>400</v>
      </c>
      <c r="E8848" s="3">
        <v>4</v>
      </c>
      <c r="F8848" s="3">
        <v>4</v>
      </c>
      <c r="G8848" t="s">
        <v>513</v>
      </c>
    </row>
    <row r="8849" spans="1:7" x14ac:dyDescent="0.25">
      <c r="A8849" s="1" t="str">
        <f>"4107"</f>
        <v>4107</v>
      </c>
      <c r="B8849" s="2" t="str">
        <f>"DETERG ALCALINO MUND MUND Y - BB 50"</f>
        <v>DETERG ALCALINO MUND MUND Y - BB 50</v>
      </c>
      <c r="C8849" s="2" t="str">
        <f>"KG"</f>
        <v>KG</v>
      </c>
      <c r="D8849" s="7">
        <v>400</v>
      </c>
      <c r="E8849" s="3">
        <v>4</v>
      </c>
      <c r="F8849" s="3">
        <v>4</v>
      </c>
      <c r="G8849" t="s">
        <v>513</v>
      </c>
    </row>
    <row r="8850" spans="1:7" x14ac:dyDescent="0.25">
      <c r="A8850" s="1" t="str">
        <f>"4117"</f>
        <v>4117</v>
      </c>
      <c r="B8850" s="2" t="str">
        <f>"DETERG LIMP PISO MUNDCLEAN 7000 SUPER - BB21 KG"</f>
        <v>DETERG LIMP PISO MUNDCLEAN 7000 SUPER - BB21 KG</v>
      </c>
      <c r="C8850" s="2" t="str">
        <f>"KG"</f>
        <v>KG</v>
      </c>
      <c r="D8850" s="7">
        <v>400</v>
      </c>
      <c r="E8850" s="3">
        <v>4</v>
      </c>
      <c r="F8850" s="3">
        <v>4</v>
      </c>
      <c r="G8850" t="s">
        <v>512</v>
      </c>
    </row>
    <row r="8851" spans="1:7" x14ac:dyDescent="0.25">
      <c r="A8851" s="1" t="str">
        <f>"4114"</f>
        <v>4114</v>
      </c>
      <c r="B8851" s="2" t="str">
        <f>"DETERG MULTIUSO MUNDCLEAN 7000 - BB 20"</f>
        <v>DETERG MULTIUSO MUNDCLEAN 7000 - BB 20</v>
      </c>
      <c r="C8851" s="2" t="str">
        <f>"KG"</f>
        <v>KG</v>
      </c>
      <c r="D8851" s="7">
        <v>400</v>
      </c>
      <c r="E8851" s="3">
        <v>4</v>
      </c>
      <c r="F8851" s="3">
        <v>4</v>
      </c>
      <c r="G8851" t="s">
        <v>513</v>
      </c>
    </row>
    <row r="8852" spans="1:7" x14ac:dyDescent="0.25">
      <c r="A8852" s="1" t="str">
        <f>"4113"</f>
        <v>4113</v>
      </c>
      <c r="B8852" s="2" t="str">
        <f>"DETERG NEUTRO MUNDCLEAN AL - BB 50"</f>
        <v>DETERG NEUTRO MUNDCLEAN AL - BB 50</v>
      </c>
      <c r="C8852" s="2" t="str">
        <f>"KG"</f>
        <v>KG</v>
      </c>
      <c r="D8852" s="7">
        <v>400</v>
      </c>
      <c r="E8852" s="3">
        <v>4</v>
      </c>
      <c r="F8852" s="3">
        <v>4</v>
      </c>
      <c r="G8852" t="s">
        <v>514</v>
      </c>
    </row>
    <row r="8853" spans="1:7" x14ac:dyDescent="0.25">
      <c r="A8853" s="1" t="str">
        <f>"507001"</f>
        <v>507001</v>
      </c>
      <c r="B8853" s="2" t="str">
        <f>"DETERGENTE ACIDO"</f>
        <v>DETERGENTE ACIDO</v>
      </c>
      <c r="C8853" s="2" t="str">
        <f>"UN"</f>
        <v>UN</v>
      </c>
      <c r="D8853" s="7">
        <v>400</v>
      </c>
      <c r="E8853" s="3">
        <v>4</v>
      </c>
      <c r="F8853" s="3">
        <v>4</v>
      </c>
      <c r="G8853" t="s">
        <v>515</v>
      </c>
    </row>
    <row r="8854" spans="1:7" x14ac:dyDescent="0.25">
      <c r="A8854" s="1" t="str">
        <f>"6283"</f>
        <v>6283</v>
      </c>
      <c r="B8854" s="2" t="str">
        <f>"DETERGENTE ACIDO AL21 POWER FULL"</f>
        <v>DETERGENTE ACIDO AL21 POWER FULL</v>
      </c>
      <c r="C8854" s="2" t="str">
        <f>"LT"</f>
        <v>LT</v>
      </c>
      <c r="D8854" s="7">
        <v>400</v>
      </c>
      <c r="E8854" s="3">
        <v>4</v>
      </c>
      <c r="F8854" s="3">
        <v>4</v>
      </c>
      <c r="G8854" t="s">
        <v>512</v>
      </c>
    </row>
    <row r="8855" spans="1:7" x14ac:dyDescent="0.25">
      <c r="A8855" s="1" t="str">
        <f>"6306"</f>
        <v>6306</v>
      </c>
      <c r="B8855" s="2" t="str">
        <f>"DETERGENTE ACIDO AL-23 KRUSTAR"</f>
        <v>DETERGENTE ACIDO AL-23 KRUSTAR</v>
      </c>
      <c r="C8855" s="2" t="str">
        <f>"UN"</f>
        <v>UN</v>
      </c>
      <c r="D8855" s="7">
        <v>400</v>
      </c>
      <c r="E8855" s="3">
        <v>4</v>
      </c>
      <c r="F8855" s="3">
        <v>4</v>
      </c>
      <c r="G8855" t="s">
        <v>516</v>
      </c>
    </row>
    <row r="8856" spans="1:7" x14ac:dyDescent="0.25">
      <c r="A8856" s="1" t="str">
        <f>"6247"</f>
        <v>6247</v>
      </c>
      <c r="B8856" s="2" t="str">
        <f>"DETERGENTE ACIDO AL40 ATIVADO (INTERCAP)"</f>
        <v>DETERGENTE ACIDO AL40 ATIVADO (INTERCAP)</v>
      </c>
      <c r="C8856" s="2" t="str">
        <f>"LT"</f>
        <v>LT</v>
      </c>
      <c r="D8856" s="7">
        <v>400</v>
      </c>
      <c r="E8856" s="3">
        <v>4</v>
      </c>
      <c r="F8856" s="3">
        <v>4</v>
      </c>
      <c r="G8856" t="s">
        <v>515</v>
      </c>
    </row>
    <row r="8857" spans="1:7" x14ac:dyDescent="0.25">
      <c r="A8857" s="1" t="str">
        <f>"215"</f>
        <v>215</v>
      </c>
      <c r="B8857" s="2" t="str">
        <f>"DETERGENTE ÁCIDO MUNDIDEC 220 SU"</f>
        <v>DETERGENTE ÁCIDO MUNDIDEC 220 SU</v>
      </c>
      <c r="C8857" s="2" t="str">
        <f>"KG"</f>
        <v>KG</v>
      </c>
      <c r="D8857" s="7">
        <v>400</v>
      </c>
      <c r="E8857" s="3">
        <v>4</v>
      </c>
      <c r="F8857" s="3">
        <v>4</v>
      </c>
      <c r="G8857" t="s">
        <v>514</v>
      </c>
    </row>
    <row r="8858" spans="1:7" x14ac:dyDescent="0.25">
      <c r="A8858" s="1" t="str">
        <f>"521735"</f>
        <v>521735</v>
      </c>
      <c r="B8858" s="2" t="str">
        <f>"DETERGENTE AGENTE ANTIESPUMANTE LIPMEZA Y-30 00067165"</f>
        <v>DETERGENTE AGENTE ANTIESPUMANTE LIPMEZA Y-30 00067165</v>
      </c>
      <c r="C8858" s="2" t="str">
        <f>"UN"</f>
        <v>UN</v>
      </c>
      <c r="D8858" s="7">
        <v>1300</v>
      </c>
      <c r="E8858" s="3">
        <v>13</v>
      </c>
      <c r="F8858" s="3">
        <v>13</v>
      </c>
      <c r="G8858" t="s">
        <v>512</v>
      </c>
    </row>
    <row r="8859" spans="1:7" x14ac:dyDescent="0.25">
      <c r="A8859" s="1" t="str">
        <f>"522011"</f>
        <v>522011</v>
      </c>
      <c r="B8859" s="2" t="str">
        <f>"DETERGENTE AGENTE LIMPEZA P/ INSTRUMENTO 01015910"</f>
        <v>DETERGENTE AGENTE LIMPEZA P/ INSTRUMENTO 01015910</v>
      </c>
      <c r="C8859" s="2" t="str">
        <f>"UN"</f>
        <v>UN</v>
      </c>
      <c r="D8859" s="7">
        <v>1300</v>
      </c>
      <c r="E8859" s="3">
        <v>13</v>
      </c>
      <c r="F8859" s="3">
        <v>13</v>
      </c>
      <c r="G8859" t="s">
        <v>513</v>
      </c>
    </row>
    <row r="8860" spans="1:7" x14ac:dyDescent="0.25">
      <c r="A8860" s="1" t="str">
        <f>"508923"</f>
        <v>508923</v>
      </c>
      <c r="B8860" s="2" t="str">
        <f>"DETERGENTE AL35 DESINCRUSTANTE"</f>
        <v>DETERGENTE AL35 DESINCRUSTANTE</v>
      </c>
      <c r="C8860" s="2" t="str">
        <f>"UN"</f>
        <v>UN</v>
      </c>
      <c r="D8860" s="7">
        <v>917</v>
      </c>
      <c r="E8860" s="3">
        <v>11</v>
      </c>
      <c r="F8860" s="3">
        <v>11</v>
      </c>
      <c r="G8860" t="s">
        <v>514</v>
      </c>
    </row>
    <row r="8861" spans="1:7" x14ac:dyDescent="0.25">
      <c r="A8861" s="1" t="str">
        <f>"6248"</f>
        <v>6248</v>
      </c>
      <c r="B8861" s="2" t="str">
        <f>"DETERGENTE ALCALINO AL40 (SOLUPAN)"</f>
        <v>DETERGENTE ALCALINO AL40 (SOLUPAN)</v>
      </c>
      <c r="C8861" s="2" t="str">
        <f>"LT"</f>
        <v>LT</v>
      </c>
      <c r="D8861" s="7">
        <v>400</v>
      </c>
      <c r="E8861" s="3">
        <v>4</v>
      </c>
      <c r="F8861" s="3">
        <v>4</v>
      </c>
      <c r="G8861" t="s">
        <v>514</v>
      </c>
    </row>
    <row r="8862" spans="1:7" x14ac:dyDescent="0.25">
      <c r="A8862" s="1" t="str">
        <f>"4185"</f>
        <v>4185</v>
      </c>
      <c r="B8862" s="2" t="str">
        <f>"DETERGENTE ALCALINO KALYCLEAN C 250"</f>
        <v>DETERGENTE ALCALINO KALYCLEAN C 250</v>
      </c>
      <c r="C8862" s="2" t="str">
        <f>"KG"</f>
        <v>KG</v>
      </c>
      <c r="D8862" s="7">
        <v>400</v>
      </c>
      <c r="E8862" s="3">
        <v>4</v>
      </c>
      <c r="F8862" s="3">
        <v>4</v>
      </c>
      <c r="G8862" t="s">
        <v>512</v>
      </c>
    </row>
    <row r="8863" spans="1:7" x14ac:dyDescent="0.25">
      <c r="A8863" s="1" t="str">
        <f>"214"</f>
        <v>214</v>
      </c>
      <c r="B8863" s="2" t="str">
        <f>"DETERGENTE ALCALINO MUNDCLEAN 130 PP"</f>
        <v>DETERGENTE ALCALINO MUNDCLEAN 130 PP</v>
      </c>
      <c r="C8863" s="2" t="str">
        <f>"KG"</f>
        <v>KG</v>
      </c>
      <c r="D8863" s="7">
        <v>400</v>
      </c>
      <c r="E8863" s="3">
        <v>4</v>
      </c>
      <c r="F8863" s="3">
        <v>4</v>
      </c>
      <c r="G8863" t="s">
        <v>513</v>
      </c>
    </row>
    <row r="8864" spans="1:7" x14ac:dyDescent="0.25">
      <c r="A8864" s="1" t="str">
        <f>"514128"</f>
        <v>514128</v>
      </c>
      <c r="B8864" s="2" t="str">
        <f>"DETERGENTE CLEANER FLORAL 1/200"</f>
        <v>DETERGENTE CLEANER FLORAL 1/200</v>
      </c>
      <c r="C8864" s="2" t="str">
        <f>"UN"</f>
        <v>UN</v>
      </c>
      <c r="D8864" s="7">
        <v>400</v>
      </c>
      <c r="E8864" s="3">
        <v>4</v>
      </c>
      <c r="F8864" s="2">
        <v>8</v>
      </c>
      <c r="G8864" t="s">
        <v>514</v>
      </c>
    </row>
    <row r="8865" spans="1:7" x14ac:dyDescent="0.25">
      <c r="A8865" s="1" t="str">
        <f>"514127"</f>
        <v>514127</v>
      </c>
      <c r="B8865" s="2" t="str">
        <f>"DETERGENTE CLEANER LAVANDA GLEIDY 1/200"</f>
        <v>DETERGENTE CLEANER LAVANDA GLEIDY 1/200</v>
      </c>
      <c r="C8865" s="2" t="str">
        <f>"UN"</f>
        <v>UN</v>
      </c>
      <c r="D8865" s="7">
        <v>400</v>
      </c>
      <c r="E8865" s="3">
        <v>4</v>
      </c>
      <c r="F8865" s="2">
        <v>6</v>
      </c>
      <c r="G8865" t="s">
        <v>514</v>
      </c>
    </row>
    <row r="8866" spans="1:7" x14ac:dyDescent="0.25">
      <c r="A8866" s="1" t="str">
        <f>"514126"</f>
        <v>514126</v>
      </c>
      <c r="B8866" s="2" t="str">
        <f>"DETERGENTE CLEANER STYLETTO 1/200"</f>
        <v>DETERGENTE CLEANER STYLETTO 1/200</v>
      </c>
      <c r="C8866" s="2" t="str">
        <f>"UN"</f>
        <v>UN</v>
      </c>
      <c r="D8866" s="7">
        <v>400</v>
      </c>
      <c r="E8866" s="3">
        <v>4</v>
      </c>
      <c r="F8866" s="2">
        <v>4</v>
      </c>
      <c r="G8866" t="s">
        <v>514</v>
      </c>
    </row>
    <row r="8867" spans="1:7" x14ac:dyDescent="0.25">
      <c r="A8867" s="1" t="str">
        <f>"5767"</f>
        <v>5767</v>
      </c>
      <c r="B8867" s="2" t="str">
        <f>"DETERGENTE DESENGRAXANTE 5LTS AL06 (ALTOLIM)"</f>
        <v>DETERGENTE DESENGRAXANTE 5LTS AL06 (ALTOLIM)</v>
      </c>
      <c r="C8867" s="2" t="str">
        <f>"KG"</f>
        <v>KG</v>
      </c>
      <c r="D8867" s="7">
        <v>400</v>
      </c>
      <c r="E8867" s="3">
        <v>4</v>
      </c>
      <c r="F8867" s="2">
        <v>1</v>
      </c>
      <c r="G8867" t="s">
        <v>513</v>
      </c>
    </row>
    <row r="8868" spans="1:7" x14ac:dyDescent="0.25">
      <c r="A8868" s="1" t="str">
        <f>"519306"</f>
        <v>519306</v>
      </c>
      <c r="B8868" s="2" t="str">
        <f>"DETERGENTE LIMPEZA AR CONDICIONADO 5LT"</f>
        <v>DETERGENTE LIMPEZA AR CONDICIONADO 5LT</v>
      </c>
      <c r="C8868" s="2" t="str">
        <f>"UN"</f>
        <v>UN</v>
      </c>
      <c r="D8868" s="7">
        <v>400</v>
      </c>
      <c r="E8868" s="3">
        <v>4</v>
      </c>
      <c r="F8868" s="2">
        <v>2</v>
      </c>
      <c r="G8868" t="s">
        <v>512</v>
      </c>
    </row>
    <row r="8869" spans="1:7" x14ac:dyDescent="0.25">
      <c r="A8869" s="1" t="str">
        <f>"521733"</f>
        <v>521733</v>
      </c>
      <c r="B8869" s="2" t="str">
        <f>"DETERGENTE LIMPEZA S-470 00509935"</f>
        <v>DETERGENTE LIMPEZA S-470 00509935</v>
      </c>
      <c r="C8869" s="2" t="str">
        <f>"UN"</f>
        <v>UN</v>
      </c>
      <c r="D8869" s="7">
        <v>1300</v>
      </c>
      <c r="E8869" s="3">
        <v>13</v>
      </c>
      <c r="F8869" s="2">
        <v>7</v>
      </c>
      <c r="G8869" t="s">
        <v>513</v>
      </c>
    </row>
    <row r="8870" spans="1:7" x14ac:dyDescent="0.25">
      <c r="A8870" s="1" t="str">
        <f>"518134"</f>
        <v>518134</v>
      </c>
      <c r="B8870" s="2" t="str">
        <f>"DETERGENTE LIQUIDO DINAMO - VAREJO"</f>
        <v>DETERGENTE LIQUIDO DINAMO - VAREJO</v>
      </c>
      <c r="C8870" s="2" t="str">
        <f>"UN"</f>
        <v>UN</v>
      </c>
      <c r="D8870" s="7">
        <v>400</v>
      </c>
      <c r="E8870" s="3">
        <v>4</v>
      </c>
      <c r="F8870" s="2">
        <v>9</v>
      </c>
      <c r="G8870" t="s">
        <v>514</v>
      </c>
    </row>
    <row r="8871" spans="1:7" x14ac:dyDescent="0.25">
      <c r="A8871" s="1" t="str">
        <f>"5765"</f>
        <v>5765</v>
      </c>
      <c r="B8871" s="2" t="str">
        <f>"DETERGENTE NEUTRO AL10 (ALTOLIM)"</f>
        <v>DETERGENTE NEUTRO AL10 (ALTOLIM)</v>
      </c>
      <c r="C8871" s="2" t="str">
        <f>"KG"</f>
        <v>KG</v>
      </c>
      <c r="D8871" s="7">
        <v>400</v>
      </c>
      <c r="E8871" s="3">
        <v>4</v>
      </c>
      <c r="F8871" s="2">
        <v>0</v>
      </c>
      <c r="G8871" t="s">
        <v>514</v>
      </c>
    </row>
    <row r="8872" spans="1:7" x14ac:dyDescent="0.25">
      <c r="A8872" s="1" t="str">
        <f>"514282"</f>
        <v>514282</v>
      </c>
      <c r="B8872" s="2" t="str">
        <f>"DETERGENTE NEUTRO LAVA LOUÇAS ALTOLIM 5L."</f>
        <v>DETERGENTE NEUTRO LAVA LOUÇAS ALTOLIM 5L.</v>
      </c>
      <c r="C8872" s="2" t="str">
        <f>"KG"</f>
        <v>KG</v>
      </c>
      <c r="D8872" s="7">
        <v>401</v>
      </c>
      <c r="E8872" s="3">
        <v>4</v>
      </c>
      <c r="F8872" s="2">
        <v>0</v>
      </c>
      <c r="G8872" t="s">
        <v>514</v>
      </c>
    </row>
    <row r="8873" spans="1:7" x14ac:dyDescent="0.25">
      <c r="A8873" s="1" t="str">
        <f>"514273"</f>
        <v>514273</v>
      </c>
      <c r="B8873" s="2" t="str">
        <f>"DETERGENTE YPE NEUTRO"</f>
        <v>DETERGENTE YPE NEUTRO</v>
      </c>
      <c r="C8873" s="2" t="str">
        <f t="shared" ref="C8873:C8905" si="343">"UN"</f>
        <v>UN</v>
      </c>
      <c r="D8873" s="7">
        <v>401</v>
      </c>
      <c r="E8873" s="3">
        <v>4</v>
      </c>
      <c r="F8873" s="2">
        <v>2</v>
      </c>
      <c r="G8873" t="s">
        <v>513</v>
      </c>
    </row>
    <row r="8874" spans="1:7" x14ac:dyDescent="0.25">
      <c r="A8874" s="1" t="str">
        <f>"511503"</f>
        <v>511503</v>
      </c>
      <c r="B8874" s="2" t="str">
        <f>"DETETOR VAZAMENTO GAS C/ LUZ UV"</f>
        <v>DETETOR VAZAMENTO GAS C/ LUZ UV</v>
      </c>
      <c r="C8874" s="2" t="str">
        <f t="shared" si="343"/>
        <v>UN</v>
      </c>
      <c r="D8874" s="7">
        <v>402</v>
      </c>
      <c r="E8874" s="3">
        <v>4</v>
      </c>
      <c r="F8874" s="2">
        <v>5</v>
      </c>
      <c r="G8874" t="s">
        <v>513</v>
      </c>
    </row>
    <row r="8875" spans="1:7" x14ac:dyDescent="0.25">
      <c r="A8875" s="1" t="str">
        <f>"515474"</f>
        <v>515474</v>
      </c>
      <c r="B8875" s="2" t="str">
        <f>"DEXAMETASONA 4MG"</f>
        <v>DEXAMETASONA 4MG</v>
      </c>
      <c r="C8875" s="2" t="str">
        <f t="shared" si="343"/>
        <v>UN</v>
      </c>
      <c r="D8875" s="7">
        <v>406</v>
      </c>
      <c r="E8875" s="3">
        <v>4</v>
      </c>
      <c r="F8875" s="2">
        <v>6</v>
      </c>
      <c r="G8875" t="s">
        <v>513</v>
      </c>
    </row>
    <row r="8876" spans="1:7" x14ac:dyDescent="0.25">
      <c r="A8876" s="1" t="str">
        <f>"515033"</f>
        <v>515033</v>
      </c>
      <c r="B8876" s="2" t="str">
        <f>"DEXAMETRAT CREME"</f>
        <v>DEXAMETRAT CREME</v>
      </c>
      <c r="C8876" s="2" t="str">
        <f t="shared" si="343"/>
        <v>UN</v>
      </c>
      <c r="D8876" s="7">
        <v>406</v>
      </c>
      <c r="E8876" s="3">
        <v>4</v>
      </c>
      <c r="F8876" s="2">
        <v>9</v>
      </c>
      <c r="G8876" t="s">
        <v>512</v>
      </c>
    </row>
    <row r="8877" spans="1:7" x14ac:dyDescent="0.25">
      <c r="A8877" s="1" t="str">
        <f>"524339"</f>
        <v>524339</v>
      </c>
      <c r="B8877" s="2" t="str">
        <f>"DEXAVISON COLIRIO"</f>
        <v>DEXAVISON COLIRIO</v>
      </c>
      <c r="C8877" s="2" t="str">
        <f t="shared" si="343"/>
        <v>UN</v>
      </c>
      <c r="D8877" s="7">
        <v>99999</v>
      </c>
      <c r="E8877" s="3">
        <v>99</v>
      </c>
      <c r="F8877" s="2">
        <v>5</v>
      </c>
      <c r="G8877" t="s">
        <v>513</v>
      </c>
    </row>
    <row r="8878" spans="1:7" x14ac:dyDescent="0.25">
      <c r="A8878" s="1" t="str">
        <f>"525354"</f>
        <v>525354</v>
      </c>
      <c r="B8878" s="8" t="s">
        <v>451</v>
      </c>
      <c r="C8878" s="2" t="str">
        <f t="shared" si="343"/>
        <v>UN</v>
      </c>
      <c r="D8878" s="7">
        <v>812</v>
      </c>
      <c r="E8878" s="3">
        <v>11</v>
      </c>
      <c r="F8878" s="2">
        <v>3</v>
      </c>
      <c r="G8878" t="s">
        <v>514</v>
      </c>
    </row>
    <row r="8879" spans="1:7" x14ac:dyDescent="0.25">
      <c r="A8879" s="1" t="str">
        <f>"502842"</f>
        <v>502842</v>
      </c>
      <c r="B8879" s="2" t="str">
        <f>"DIAFRAGMA 30"""</f>
        <v>DIAFRAGMA 30"</v>
      </c>
      <c r="C8879" s="2" t="str">
        <f t="shared" si="343"/>
        <v>UN</v>
      </c>
      <c r="D8879" s="7">
        <v>704</v>
      </c>
      <c r="E8879" s="3">
        <v>9</v>
      </c>
      <c r="F8879" s="2">
        <v>3</v>
      </c>
      <c r="G8879" t="s">
        <v>515</v>
      </c>
    </row>
    <row r="8880" spans="1:7" x14ac:dyDescent="0.25">
      <c r="A8880" s="1" t="str">
        <f>"504568"</f>
        <v>504568</v>
      </c>
      <c r="B8880" s="2" t="str">
        <f>"DIAFRAGMA FREIO 6"""</f>
        <v>DIAFRAGMA FREIO 6"</v>
      </c>
      <c r="C8880" s="2" t="str">
        <f t="shared" si="343"/>
        <v>UN</v>
      </c>
      <c r="D8880" s="7">
        <v>704</v>
      </c>
      <c r="E8880" s="3">
        <v>9</v>
      </c>
      <c r="F8880" s="2">
        <v>2</v>
      </c>
      <c r="G8880" t="s">
        <v>512</v>
      </c>
    </row>
    <row r="8881" spans="1:7" x14ac:dyDescent="0.25">
      <c r="A8881" s="1" t="str">
        <f>"504595"</f>
        <v>504595</v>
      </c>
      <c r="B8881" s="2" t="str">
        <f>"DIAFRAGMA FREIO 7"""</f>
        <v>DIAFRAGMA FREIO 7"</v>
      </c>
      <c r="C8881" s="2" t="str">
        <f t="shared" si="343"/>
        <v>UN</v>
      </c>
      <c r="D8881" s="7">
        <v>704</v>
      </c>
      <c r="E8881" s="3">
        <v>9</v>
      </c>
      <c r="F8881" s="2">
        <v>1</v>
      </c>
      <c r="G8881" t="s">
        <v>516</v>
      </c>
    </row>
    <row r="8882" spans="1:7" x14ac:dyDescent="0.25">
      <c r="A8882" s="1" t="str">
        <f>"501432"</f>
        <v>501432</v>
      </c>
      <c r="B8882" s="2" t="str">
        <f>"DIAFRAGMA FREIO 8"""</f>
        <v>DIAFRAGMA FREIO 8"</v>
      </c>
      <c r="C8882" s="2" t="str">
        <f t="shared" si="343"/>
        <v>UN</v>
      </c>
      <c r="D8882" s="7">
        <v>99999</v>
      </c>
      <c r="E8882" s="3">
        <v>99</v>
      </c>
      <c r="F8882" s="2">
        <v>4</v>
      </c>
      <c r="G8882" t="s">
        <v>515</v>
      </c>
    </row>
    <row r="8883" spans="1:7" x14ac:dyDescent="0.25">
      <c r="A8883" s="1" t="str">
        <f>"504569"</f>
        <v>504569</v>
      </c>
      <c r="B8883" s="2" t="str">
        <f>"DIAFRAGMA FREIO 9"""</f>
        <v>DIAFRAGMA FREIO 9"</v>
      </c>
      <c r="C8883" s="2" t="str">
        <f t="shared" si="343"/>
        <v>UN</v>
      </c>
      <c r="D8883" s="7">
        <v>704</v>
      </c>
      <c r="E8883" s="3">
        <v>9</v>
      </c>
      <c r="F8883" s="2">
        <v>1</v>
      </c>
      <c r="G8883" t="s">
        <v>514</v>
      </c>
    </row>
    <row r="8884" spans="1:7" x14ac:dyDescent="0.25">
      <c r="A8884" s="1" t="str">
        <f>"526803"</f>
        <v>526803</v>
      </c>
      <c r="B8884" s="2" t="str">
        <f>"DIAFRAGMA INFERIOR 060311"</f>
        <v>DIAFRAGMA INFERIOR 060311</v>
      </c>
      <c r="C8884" s="2" t="str">
        <f t="shared" si="343"/>
        <v>UN</v>
      </c>
      <c r="D8884" s="7">
        <v>918</v>
      </c>
      <c r="E8884" s="3">
        <v>11</v>
      </c>
      <c r="F8884" s="2">
        <v>2</v>
      </c>
      <c r="G8884" t="s">
        <v>512</v>
      </c>
    </row>
    <row r="8885" spans="1:7" x14ac:dyDescent="0.25">
      <c r="A8885" s="1" t="str">
        <f>"516520"</f>
        <v>516520</v>
      </c>
      <c r="B8885" s="2" t="str">
        <f>"DIAFRAGMA N/AB 1818 EM BORRACHA SILICONE"</f>
        <v>DIAFRAGMA N/AB 1818 EM BORRACHA SILICONE</v>
      </c>
      <c r="C8885" s="2" t="str">
        <f t="shared" si="343"/>
        <v>UN</v>
      </c>
      <c r="D8885" s="7">
        <v>918</v>
      </c>
      <c r="E8885" s="3">
        <v>11</v>
      </c>
      <c r="F8885" s="2">
        <v>7</v>
      </c>
      <c r="G8885" t="s">
        <v>513</v>
      </c>
    </row>
    <row r="8886" spans="1:7" x14ac:dyDescent="0.25">
      <c r="A8886" s="1" t="str">
        <f>"522649"</f>
        <v>522649</v>
      </c>
      <c r="B8886" s="2" t="str">
        <f>"DIAFRAGMA PTFE 108MM 72 LITROS MS1MX108 SEKO"</f>
        <v>DIAFRAGMA PTFE 108MM 72 LITROS MS1MX108 SEKO</v>
      </c>
      <c r="C8886" s="2" t="str">
        <f t="shared" si="343"/>
        <v>UN</v>
      </c>
      <c r="D8886" s="7">
        <v>813</v>
      </c>
      <c r="E8886" s="3">
        <v>11</v>
      </c>
      <c r="F8886" s="2">
        <v>9</v>
      </c>
      <c r="G8886" t="s">
        <v>514</v>
      </c>
    </row>
    <row r="8887" spans="1:7" x14ac:dyDescent="0.25">
      <c r="A8887" s="1" t="str">
        <f>"521172"</f>
        <v>521172</v>
      </c>
      <c r="B8887" s="2" t="str">
        <f>"DIAFRAGMA SUSPENSOR"</f>
        <v>DIAFRAGMA SUSPENSOR</v>
      </c>
      <c r="C8887" s="2" t="str">
        <f t="shared" si="343"/>
        <v>UN</v>
      </c>
      <c r="D8887" s="7">
        <v>99999</v>
      </c>
      <c r="E8887" s="3">
        <v>99</v>
      </c>
      <c r="F8887" s="2">
        <v>0</v>
      </c>
      <c r="G8887" t="s">
        <v>514</v>
      </c>
    </row>
    <row r="8888" spans="1:7" x14ac:dyDescent="0.25">
      <c r="A8888" s="1" t="str">
        <f>"521299"</f>
        <v>521299</v>
      </c>
      <c r="B8888" s="2" t="str">
        <f>"DIAFRAGMA TEFLON 108MM 72 E 144 L/H) SEKO"</f>
        <v>DIAFRAGMA TEFLON 108MM 72 E 144 L/H) SEKO</v>
      </c>
      <c r="C8888" s="2" t="str">
        <f t="shared" si="343"/>
        <v>UN</v>
      </c>
      <c r="D8888" s="7">
        <v>813</v>
      </c>
      <c r="E8888" s="3">
        <v>11</v>
      </c>
      <c r="F8888" s="2">
        <v>0</v>
      </c>
      <c r="G8888" t="s">
        <v>512</v>
      </c>
    </row>
    <row r="8889" spans="1:7" x14ac:dyDescent="0.25">
      <c r="A8889" s="1" t="str">
        <f>"522066"</f>
        <v>522066</v>
      </c>
      <c r="B8889" s="2" t="str">
        <f>"DICLOFENACO"</f>
        <v>DICLOFENACO</v>
      </c>
      <c r="C8889" s="2" t="str">
        <f t="shared" si="343"/>
        <v>UN</v>
      </c>
      <c r="D8889" s="7">
        <v>99999</v>
      </c>
      <c r="E8889" s="3">
        <v>99</v>
      </c>
      <c r="F8889" s="2">
        <v>4</v>
      </c>
      <c r="G8889" t="s">
        <v>513</v>
      </c>
    </row>
    <row r="8890" spans="1:7" x14ac:dyDescent="0.25">
      <c r="A8890" s="1" t="str">
        <f>"516945"</f>
        <v>516945</v>
      </c>
      <c r="B8890" s="2" t="str">
        <f>"DICLOTRIL 50ML"</f>
        <v>DICLOTRIL 50ML</v>
      </c>
      <c r="C8890" s="2" t="str">
        <f t="shared" si="343"/>
        <v>UN</v>
      </c>
      <c r="D8890" s="7">
        <v>817</v>
      </c>
      <c r="E8890" s="3">
        <v>4</v>
      </c>
      <c r="F8890" s="2">
        <v>1</v>
      </c>
      <c r="G8890" t="s">
        <v>514</v>
      </c>
    </row>
    <row r="8891" spans="1:7" x14ac:dyDescent="0.25">
      <c r="A8891" s="1" t="str">
        <f>"523426"</f>
        <v>523426</v>
      </c>
      <c r="B8891" s="2" t="str">
        <f>"DICOXIBE 200MG"</f>
        <v>DICOXIBE 200MG</v>
      </c>
      <c r="C8891" s="2" t="str">
        <f t="shared" si="343"/>
        <v>UN</v>
      </c>
      <c r="D8891" s="7">
        <v>99999</v>
      </c>
      <c r="E8891" s="3">
        <v>99</v>
      </c>
      <c r="F8891" s="2">
        <v>2</v>
      </c>
      <c r="G8891" t="s">
        <v>514</v>
      </c>
    </row>
    <row r="8892" spans="1:7" x14ac:dyDescent="0.25">
      <c r="A8892" s="1" t="str">
        <f>"514483"</f>
        <v>514483</v>
      </c>
      <c r="B8892" s="2" t="str">
        <f>"DIESEL CHARGE"</f>
        <v>DIESEL CHARGE</v>
      </c>
      <c r="C8892" s="2" t="str">
        <f t="shared" si="343"/>
        <v>UN</v>
      </c>
      <c r="D8892" s="7">
        <v>704</v>
      </c>
      <c r="E8892" s="3">
        <v>9</v>
      </c>
      <c r="F8892" s="2">
        <v>7</v>
      </c>
      <c r="G8892" t="s">
        <v>514</v>
      </c>
    </row>
    <row r="8893" spans="1:7" x14ac:dyDescent="0.25">
      <c r="A8893" s="1" t="str">
        <f>"514484"</f>
        <v>514484</v>
      </c>
      <c r="B8893" s="2" t="str">
        <f>"DIESEL INJECTOR PURGE"</f>
        <v>DIESEL INJECTOR PURGE</v>
      </c>
      <c r="C8893" s="2" t="str">
        <f t="shared" si="343"/>
        <v>UN</v>
      </c>
      <c r="D8893" s="7">
        <v>704</v>
      </c>
      <c r="E8893" s="3">
        <v>9</v>
      </c>
      <c r="F8893" s="2">
        <v>9</v>
      </c>
      <c r="G8893" t="s">
        <v>513</v>
      </c>
    </row>
    <row r="8894" spans="1:7" x14ac:dyDescent="0.25">
      <c r="A8894" s="1" t="str">
        <f>"511395"</f>
        <v>511395</v>
      </c>
      <c r="B8894" s="2" t="str">
        <f>"DIFERENCIAL 216-8689"</f>
        <v>DIFERENCIAL 216-8689</v>
      </c>
      <c r="C8894" s="2" t="str">
        <f t="shared" si="343"/>
        <v>UN</v>
      </c>
      <c r="D8894" s="7">
        <v>704</v>
      </c>
      <c r="E8894" s="3">
        <v>9</v>
      </c>
      <c r="F8894" s="5">
        <v>5</v>
      </c>
      <c r="G8894" t="s">
        <v>512</v>
      </c>
    </row>
    <row r="8895" spans="1:7" x14ac:dyDescent="0.25">
      <c r="A8895" s="1" t="str">
        <f>"524847"</f>
        <v>524847</v>
      </c>
      <c r="B8895" s="2" t="str">
        <f>"DIFUSOR"</f>
        <v>DIFUSOR</v>
      </c>
      <c r="C8895" s="2" t="str">
        <f t="shared" si="343"/>
        <v>UN</v>
      </c>
      <c r="D8895" s="7">
        <v>704</v>
      </c>
      <c r="E8895" s="3">
        <v>9</v>
      </c>
      <c r="F8895" s="2">
        <v>3</v>
      </c>
      <c r="G8895" t="s">
        <v>513</v>
      </c>
    </row>
    <row r="8896" spans="1:7" x14ac:dyDescent="0.25">
      <c r="A8896" s="1" t="str">
        <f>"521574"</f>
        <v>521574</v>
      </c>
      <c r="B8896" s="2" t="str">
        <f>"DIFUSOR 6425 P/PF STX"</f>
        <v>DIFUSOR 6425 P/PF STX</v>
      </c>
      <c r="C8896" s="2" t="str">
        <f t="shared" si="343"/>
        <v>UN</v>
      </c>
      <c r="D8896" s="7">
        <v>99999</v>
      </c>
      <c r="E8896" s="3">
        <v>99</v>
      </c>
      <c r="F8896" s="2">
        <v>8</v>
      </c>
      <c r="G8896" t="s">
        <v>514</v>
      </c>
    </row>
    <row r="8897" spans="1:7" x14ac:dyDescent="0.25">
      <c r="A8897" s="1" t="str">
        <f>"520401"</f>
        <v>520401</v>
      </c>
      <c r="B8897" s="2" t="str">
        <f>"DIFUSOR ACRILICO P/ LUMINARIA 2X20"</f>
        <v>DIFUSOR ACRILICO P/ LUMINARIA 2X20</v>
      </c>
      <c r="C8897" s="2" t="str">
        <f t="shared" si="343"/>
        <v>UN</v>
      </c>
      <c r="D8897" s="7">
        <v>601</v>
      </c>
      <c r="E8897" s="3">
        <v>8</v>
      </c>
      <c r="F8897" s="2">
        <v>6</v>
      </c>
      <c r="G8897" t="s">
        <v>514</v>
      </c>
    </row>
    <row r="8898" spans="1:7" x14ac:dyDescent="0.25">
      <c r="A8898" s="1" t="str">
        <f>"521229"</f>
        <v>521229</v>
      </c>
      <c r="B8898" s="2" t="str">
        <f>"DIFUSOR P/ BOLORES E LEVEDURAS 6425 P/PF STX"</f>
        <v>DIFUSOR P/ BOLORES E LEVEDURAS 6425 P/PF STX</v>
      </c>
      <c r="C8898" s="2" t="str">
        <f t="shared" si="343"/>
        <v>UN</v>
      </c>
      <c r="D8898" s="7">
        <v>406</v>
      </c>
      <c r="E8898" s="3">
        <v>4</v>
      </c>
      <c r="F8898" s="2">
        <v>4</v>
      </c>
      <c r="G8898" t="s">
        <v>514</v>
      </c>
    </row>
    <row r="8899" spans="1:7" x14ac:dyDescent="0.25">
      <c r="A8899" s="1" t="str">
        <f>"511175"</f>
        <v>511175</v>
      </c>
      <c r="B8899" s="2" t="str">
        <f>"DIFUSOR P/ LUMINARIA ACRILICO 2X110 DLFA FIBREL"</f>
        <v>DIFUSOR P/ LUMINARIA ACRILICO 2X110 DLFA FIBREL</v>
      </c>
      <c r="C8899" s="2" t="str">
        <f t="shared" si="343"/>
        <v>UN</v>
      </c>
      <c r="D8899" s="7">
        <v>601</v>
      </c>
      <c r="E8899" s="3">
        <v>8</v>
      </c>
      <c r="F8899" s="2">
        <v>1</v>
      </c>
      <c r="G8899" t="s">
        <v>513</v>
      </c>
    </row>
    <row r="8900" spans="1:7" x14ac:dyDescent="0.25">
      <c r="A8900" s="1" t="str">
        <f>"508506"</f>
        <v>508506</v>
      </c>
      <c r="B8900" s="2" t="str">
        <f>"DIFUSOR P/ LUMINARIA POLIESTIRENO 2X40W LP-D"</f>
        <v>DIFUSOR P/ LUMINARIA POLIESTIRENO 2X40W LP-D</v>
      </c>
      <c r="C8900" s="2" t="str">
        <f t="shared" si="343"/>
        <v>UN</v>
      </c>
      <c r="D8900" s="7">
        <v>811</v>
      </c>
      <c r="E8900" s="3">
        <v>10</v>
      </c>
      <c r="F8900" s="2">
        <v>2</v>
      </c>
      <c r="G8900" t="s">
        <v>513</v>
      </c>
    </row>
    <row r="8901" spans="1:7" x14ac:dyDescent="0.25">
      <c r="A8901" s="1" t="str">
        <f>"525100"</f>
        <v>525100</v>
      </c>
      <c r="B8901" s="2" t="str">
        <f>"DIFUSOR POLIESTIRENO 2 X40W HERMETICA EMPALUX IP65"</f>
        <v>DIFUSOR POLIESTIRENO 2 X40W HERMETICA EMPALUX IP65</v>
      </c>
      <c r="C8901" s="2" t="str">
        <f t="shared" si="343"/>
        <v>UN</v>
      </c>
      <c r="D8901" s="7">
        <v>811</v>
      </c>
      <c r="E8901" s="3">
        <v>8</v>
      </c>
      <c r="F8901" s="2">
        <v>7</v>
      </c>
      <c r="G8901" t="s">
        <v>513</v>
      </c>
    </row>
    <row r="8902" spans="1:7" x14ac:dyDescent="0.25">
      <c r="A8902" s="1" t="str">
        <f>"508840"</f>
        <v>508840</v>
      </c>
      <c r="B8902" s="2" t="str">
        <f>"DIFUSOR POLIESTIRENO 2X40W FIBREL"</f>
        <v>DIFUSOR POLIESTIRENO 2X40W FIBREL</v>
      </c>
      <c r="C8902" s="2" t="str">
        <f t="shared" si="343"/>
        <v>UN</v>
      </c>
      <c r="D8902" s="7">
        <v>601</v>
      </c>
      <c r="E8902" s="3">
        <v>8</v>
      </c>
      <c r="F8902" s="2">
        <v>9</v>
      </c>
      <c r="G8902" t="s">
        <v>512</v>
      </c>
    </row>
    <row r="8903" spans="1:7" x14ac:dyDescent="0.25">
      <c r="A8903" s="1" t="str">
        <f>"522825"</f>
        <v>522825</v>
      </c>
      <c r="B8903" s="2" t="str">
        <f>"DIFUSOR POLIESTIRENO LP/M1 1X40W (HIGHLUX)"</f>
        <v>DIFUSOR POLIESTIRENO LP/M1 1X40W (HIGHLUX)</v>
      </c>
      <c r="C8903" s="2" t="str">
        <f t="shared" si="343"/>
        <v>UN</v>
      </c>
      <c r="D8903" s="7">
        <v>811</v>
      </c>
      <c r="E8903" s="3">
        <v>10</v>
      </c>
      <c r="F8903" s="2">
        <v>0</v>
      </c>
      <c r="G8903" t="s">
        <v>513</v>
      </c>
    </row>
    <row r="8904" spans="1:7" x14ac:dyDescent="0.25">
      <c r="A8904" s="1" t="str">
        <f>"521680"</f>
        <v>521680</v>
      </c>
      <c r="B8904" s="2" t="str">
        <f>"DIFUSOR PT 106 COD. 48491"</f>
        <v>DIFUSOR PT 106 COD. 48491</v>
      </c>
      <c r="C8904" s="2" t="str">
        <f t="shared" si="343"/>
        <v>UN</v>
      </c>
      <c r="D8904" s="7">
        <v>99999</v>
      </c>
      <c r="E8904" s="3">
        <v>99</v>
      </c>
      <c r="F8904" s="2">
        <v>0</v>
      </c>
      <c r="G8904" t="s">
        <v>514</v>
      </c>
    </row>
    <row r="8905" spans="1:7" x14ac:dyDescent="0.25">
      <c r="A8905" s="1" t="str">
        <f>"509754"</f>
        <v>509754</v>
      </c>
      <c r="B8905" s="2" t="str">
        <f>"DIGESTOR BIOLOGICO"</f>
        <v>DIGESTOR BIOLOGICO</v>
      </c>
      <c r="C8905" s="2" t="str">
        <f t="shared" si="343"/>
        <v>UN</v>
      </c>
      <c r="D8905" s="7">
        <v>400</v>
      </c>
      <c r="E8905" s="3">
        <v>4</v>
      </c>
      <c r="F8905" s="2">
        <v>2</v>
      </c>
      <c r="G8905" t="s">
        <v>515</v>
      </c>
    </row>
    <row r="8906" spans="1:7" x14ac:dyDescent="0.25">
      <c r="A8906" s="1" t="str">
        <f>"525430"</f>
        <v>525430</v>
      </c>
      <c r="B8906" s="2" t="str">
        <f>"DIGITALIZADOR DIGITAL AD103C"</f>
        <v>DIGITALIZADOR DIGITAL AD103C</v>
      </c>
      <c r="C8906" s="2" t="str">
        <f>"PC"</f>
        <v>PC</v>
      </c>
      <c r="D8906" s="7">
        <v>908</v>
      </c>
      <c r="E8906" s="3">
        <v>11</v>
      </c>
      <c r="F8906" s="2">
        <v>5</v>
      </c>
      <c r="G8906" t="s">
        <v>512</v>
      </c>
    </row>
    <row r="8907" spans="1:7" x14ac:dyDescent="0.25">
      <c r="A8907" s="1" t="str">
        <f>"527621"</f>
        <v>527621</v>
      </c>
      <c r="B8907" s="2" t="str">
        <f>"DIGITO FAB EM LATÃO BICO 01-02 SAQUINHO CODIGO 01033B"</f>
        <v>DIGITO FAB EM LATÃO BICO 01-02 SAQUINHO CODIGO 01033B</v>
      </c>
      <c r="C8907" s="2" t="str">
        <f t="shared" ref="C8907:C8938" si="344">"UN"</f>
        <v>UN</v>
      </c>
      <c r="D8907" s="7">
        <v>812</v>
      </c>
      <c r="E8907" s="3">
        <v>4</v>
      </c>
      <c r="F8907" s="2">
        <v>6</v>
      </c>
      <c r="G8907" t="s">
        <v>516</v>
      </c>
    </row>
    <row r="8908" spans="1:7" x14ac:dyDescent="0.25">
      <c r="A8908" s="1" t="str">
        <f>"527620"</f>
        <v>527620</v>
      </c>
      <c r="B8908" s="2" t="str">
        <f>"DIGITO LOTE EM LATÃO BICO 01-02 SAQUINHO CODIGO 01032B"</f>
        <v>DIGITO LOTE EM LATÃO BICO 01-02 SAQUINHO CODIGO 01032B</v>
      </c>
      <c r="C8908" s="2" t="str">
        <f t="shared" si="344"/>
        <v>UN</v>
      </c>
      <c r="D8908" s="7">
        <v>812</v>
      </c>
      <c r="E8908" s="3">
        <v>4</v>
      </c>
      <c r="F8908" s="2">
        <v>9</v>
      </c>
      <c r="G8908" t="s">
        <v>515</v>
      </c>
    </row>
    <row r="8909" spans="1:7" x14ac:dyDescent="0.25">
      <c r="A8909" s="1" t="str">
        <f>"527622"</f>
        <v>527622</v>
      </c>
      <c r="B8909" s="2" t="str">
        <f>"DIGITO VAL EM LATÃO BICO 01-02 SAQUINHO CODIGO 01031B"</f>
        <v>DIGITO VAL EM LATÃO BICO 01-02 SAQUINHO CODIGO 01031B</v>
      </c>
      <c r="C8909" s="2" t="str">
        <f t="shared" si="344"/>
        <v>UN</v>
      </c>
      <c r="D8909" s="7">
        <v>812</v>
      </c>
      <c r="E8909" s="3">
        <v>4</v>
      </c>
      <c r="F8909" s="2">
        <v>5</v>
      </c>
      <c r="G8909" t="s">
        <v>514</v>
      </c>
    </row>
    <row r="8910" spans="1:7" x14ac:dyDescent="0.25">
      <c r="A8910" s="1" t="str">
        <f>"505813"</f>
        <v>505813</v>
      </c>
      <c r="B8910" s="2" t="str">
        <f>"DIGITOS LATÃO 0 A 9 MAQ.SAQUINHO"</f>
        <v>DIGITOS LATÃO 0 A 9 MAQ.SAQUINHO</v>
      </c>
      <c r="C8910" s="2" t="str">
        <f t="shared" si="344"/>
        <v>UN</v>
      </c>
      <c r="D8910" s="7">
        <v>402</v>
      </c>
      <c r="E8910" s="3">
        <v>4</v>
      </c>
      <c r="F8910" s="2">
        <v>3</v>
      </c>
      <c r="G8910" t="s">
        <v>512</v>
      </c>
    </row>
    <row r="8911" spans="1:7" x14ac:dyDescent="0.25">
      <c r="A8911" s="1" t="str">
        <f>"521498"</f>
        <v>521498</v>
      </c>
      <c r="B8911" s="2" t="str">
        <f>"DIGITOS LATÃO FABRICAÇÃO SAQUINHO"</f>
        <v>DIGITOS LATÃO FABRICAÇÃO SAQUINHO</v>
      </c>
      <c r="C8911" s="2" t="str">
        <f t="shared" si="344"/>
        <v>UN</v>
      </c>
      <c r="D8911" s="7">
        <v>402</v>
      </c>
      <c r="E8911" s="3">
        <v>4</v>
      </c>
      <c r="F8911" s="2">
        <v>3</v>
      </c>
      <c r="G8911" t="s">
        <v>513</v>
      </c>
    </row>
    <row r="8912" spans="1:7" x14ac:dyDescent="0.25">
      <c r="A8912" s="1" t="str">
        <f>"521496"</f>
        <v>521496</v>
      </c>
      <c r="B8912" s="2" t="str">
        <f>"DIGITOS LATÃO LOTE SAQUINHO BICO 03"</f>
        <v>DIGITOS LATÃO LOTE SAQUINHO BICO 03</v>
      </c>
      <c r="C8912" s="2" t="str">
        <f t="shared" si="344"/>
        <v>UN</v>
      </c>
      <c r="D8912" s="7">
        <v>402</v>
      </c>
      <c r="E8912" s="3">
        <v>4</v>
      </c>
      <c r="F8912" s="2">
        <v>2</v>
      </c>
      <c r="G8912" t="s">
        <v>514</v>
      </c>
    </row>
    <row r="8913" spans="1:7" x14ac:dyDescent="0.25">
      <c r="A8913" s="1" t="str">
        <f>"509952"</f>
        <v>509952</v>
      </c>
      <c r="B8913" s="2" t="str">
        <f>"DIGITOS LATAO MAQ SAQUINHO MES"</f>
        <v>DIGITOS LATAO MAQ SAQUINHO MES</v>
      </c>
      <c r="C8913" s="2" t="str">
        <f t="shared" si="344"/>
        <v>UN</v>
      </c>
      <c r="D8913" s="7">
        <v>918</v>
      </c>
      <c r="E8913" s="3">
        <v>11</v>
      </c>
      <c r="F8913" s="2">
        <v>1</v>
      </c>
      <c r="G8913" t="s">
        <v>514</v>
      </c>
    </row>
    <row r="8914" spans="1:7" x14ac:dyDescent="0.25">
      <c r="A8914" s="1" t="str">
        <f>"521497"</f>
        <v>521497</v>
      </c>
      <c r="B8914" s="2" t="str">
        <f>"DIGITOS LATÃO VALIDADE SAQUINHO"</f>
        <v>DIGITOS LATÃO VALIDADE SAQUINHO</v>
      </c>
      <c r="C8914" s="2" t="str">
        <f t="shared" si="344"/>
        <v>UN</v>
      </c>
      <c r="D8914" s="7">
        <v>402</v>
      </c>
      <c r="E8914" s="3">
        <v>4</v>
      </c>
      <c r="F8914" s="2">
        <v>4</v>
      </c>
      <c r="G8914" t="s">
        <v>512</v>
      </c>
    </row>
    <row r="8915" spans="1:7" x14ac:dyDescent="0.25">
      <c r="A8915" s="1" t="str">
        <f>"505798"</f>
        <v>505798</v>
      </c>
      <c r="B8915" s="2" t="str">
        <f>"DIGITOS METAL 0 A 9 ROTULADORA REQUEIJAO"</f>
        <v>DIGITOS METAL 0 A 9 ROTULADORA REQUEIJAO</v>
      </c>
      <c r="C8915" s="2" t="str">
        <f t="shared" si="344"/>
        <v>UN</v>
      </c>
      <c r="D8915" s="7">
        <v>402</v>
      </c>
      <c r="E8915" s="3">
        <v>4</v>
      </c>
      <c r="F8915" s="2">
        <v>6</v>
      </c>
      <c r="G8915" t="s">
        <v>513</v>
      </c>
    </row>
    <row r="8916" spans="1:7" x14ac:dyDescent="0.25">
      <c r="A8916" s="1" t="str">
        <f>"520693"</f>
        <v>520693</v>
      </c>
      <c r="B8916" s="2" t="str">
        <f>"DILUENTE DR4403 LS 3L"</f>
        <v>DILUENTE DR4403 LS 3L</v>
      </c>
      <c r="C8916" s="2" t="str">
        <f t="shared" si="344"/>
        <v>UN</v>
      </c>
      <c r="D8916" s="7">
        <v>99999</v>
      </c>
      <c r="E8916" s="3">
        <v>99</v>
      </c>
      <c r="F8916" s="2">
        <v>8</v>
      </c>
      <c r="G8916" t="s">
        <v>514</v>
      </c>
    </row>
    <row r="8917" spans="1:7" x14ac:dyDescent="0.25">
      <c r="A8917" s="1" t="str">
        <f>"520358"</f>
        <v>520358</v>
      </c>
      <c r="B8917" s="2" t="str">
        <f>"DILUENTE HIDRONORTH 5LT"</f>
        <v>DILUENTE HIDRONORTH 5LT</v>
      </c>
      <c r="C8917" s="2" t="str">
        <f t="shared" si="344"/>
        <v>UN</v>
      </c>
      <c r="D8917" s="7">
        <v>917</v>
      </c>
      <c r="E8917" s="3">
        <v>4</v>
      </c>
      <c r="F8917" s="2">
        <v>7</v>
      </c>
      <c r="G8917" t="s">
        <v>514</v>
      </c>
    </row>
    <row r="8918" spans="1:7" x14ac:dyDescent="0.25">
      <c r="A8918" s="1" t="str">
        <f>"7026"</f>
        <v>7026</v>
      </c>
      <c r="B8918" s="2" t="str">
        <f>"DILUENTE MEK PARA TINTA V410"</f>
        <v>DILUENTE MEK PARA TINTA V410</v>
      </c>
      <c r="C8918" s="2" t="str">
        <f t="shared" si="344"/>
        <v>UN</v>
      </c>
      <c r="D8918" s="7">
        <v>401</v>
      </c>
      <c r="E8918" s="3">
        <v>4</v>
      </c>
      <c r="F8918" s="2">
        <v>6</v>
      </c>
      <c r="G8918" t="s">
        <v>514</v>
      </c>
    </row>
    <row r="8919" spans="1:7" x14ac:dyDescent="0.25">
      <c r="A8919" s="1" t="str">
        <f>"505957"</f>
        <v>505957</v>
      </c>
      <c r="B8919" s="2" t="str">
        <f>"DILUENTE P/ ALTA TEMPERATURA 5LTS"</f>
        <v>DILUENTE P/ ALTA TEMPERATURA 5LTS</v>
      </c>
      <c r="C8919" s="2" t="str">
        <f t="shared" si="344"/>
        <v>UN</v>
      </c>
      <c r="D8919" s="7">
        <v>99999</v>
      </c>
      <c r="E8919" s="3">
        <v>99</v>
      </c>
      <c r="F8919" s="2">
        <v>6</v>
      </c>
      <c r="G8919" t="s">
        <v>513</v>
      </c>
    </row>
    <row r="8920" spans="1:7" x14ac:dyDescent="0.25">
      <c r="A8920" s="1" t="str">
        <f>"524670"</f>
        <v>524670</v>
      </c>
      <c r="B8920" s="2" t="str">
        <f>"DILUENTE P/ EPOXI MAZA 5LT"</f>
        <v>DILUENTE P/ EPOXI MAZA 5LT</v>
      </c>
      <c r="C8920" s="2" t="str">
        <f t="shared" si="344"/>
        <v>UN</v>
      </c>
      <c r="D8920" s="7">
        <v>804</v>
      </c>
      <c r="E8920" s="3">
        <v>10</v>
      </c>
      <c r="F8920" s="2">
        <v>2</v>
      </c>
      <c r="G8920" t="s">
        <v>512</v>
      </c>
    </row>
    <row r="8921" spans="1:7" x14ac:dyDescent="0.25">
      <c r="A8921" s="1" t="str">
        <f>"521052"</f>
        <v>521052</v>
      </c>
      <c r="B8921" s="2" t="str">
        <f>"DILUENTE P/ PU 5LT ACS 53588"</f>
        <v>DILUENTE P/ PU 5LT ACS 53588</v>
      </c>
      <c r="C8921" s="2" t="str">
        <f t="shared" si="344"/>
        <v>UN</v>
      </c>
      <c r="D8921" s="7">
        <v>804</v>
      </c>
      <c r="E8921" s="3">
        <v>10</v>
      </c>
      <c r="F8921" s="2">
        <v>1</v>
      </c>
      <c r="G8921" t="s">
        <v>513</v>
      </c>
    </row>
    <row r="8922" spans="1:7" x14ac:dyDescent="0.25">
      <c r="A8922" s="1" t="str">
        <f>"512959"</f>
        <v>512959</v>
      </c>
      <c r="B8922" s="2" t="str">
        <f>"DILUENTE P/ PU 900ML"</f>
        <v>DILUENTE P/ PU 900ML</v>
      </c>
      <c r="C8922" s="2" t="str">
        <f t="shared" si="344"/>
        <v>UN</v>
      </c>
      <c r="D8922" s="7">
        <v>402</v>
      </c>
      <c r="E8922" s="3">
        <v>4</v>
      </c>
      <c r="F8922" s="2">
        <v>0</v>
      </c>
      <c r="G8922" t="s">
        <v>514</v>
      </c>
    </row>
    <row r="8923" spans="1:7" x14ac:dyDescent="0.25">
      <c r="A8923" s="1" t="str">
        <f>"526948"</f>
        <v>526948</v>
      </c>
      <c r="B8923" s="2" t="str">
        <f>"DILUENTE PARA RESINA"</f>
        <v>DILUENTE PARA RESINA</v>
      </c>
      <c r="C8923" s="2" t="str">
        <f t="shared" si="344"/>
        <v>UN</v>
      </c>
      <c r="D8923" s="7">
        <v>804</v>
      </c>
      <c r="E8923" s="3">
        <v>10</v>
      </c>
      <c r="F8923" s="2">
        <v>0</v>
      </c>
      <c r="G8923" t="s">
        <v>514</v>
      </c>
    </row>
    <row r="8924" spans="1:7" x14ac:dyDescent="0.25">
      <c r="A8924" s="1" t="str">
        <f>"519761"</f>
        <v>519761</v>
      </c>
      <c r="B8924" s="2" t="str">
        <f>"DILUENTE PARA TINTA EPOXI"</f>
        <v>DILUENTE PARA TINTA EPOXI</v>
      </c>
      <c r="C8924" s="2" t="str">
        <f t="shared" si="344"/>
        <v>UN</v>
      </c>
      <c r="D8924" s="7">
        <v>402</v>
      </c>
      <c r="E8924" s="3">
        <v>4</v>
      </c>
      <c r="F8924" s="2">
        <v>0</v>
      </c>
      <c r="G8924" t="s">
        <v>514</v>
      </c>
    </row>
    <row r="8925" spans="1:7" x14ac:dyDescent="0.25">
      <c r="A8925" s="1" t="str">
        <f>"528159"</f>
        <v>528159</v>
      </c>
      <c r="B8925" s="2" t="str">
        <f>"DILUIDOR CAIXA INOX 1 RODUTO PLUS C/ PARAFUSO"</f>
        <v>DILUIDOR CAIXA INOX 1 RODUTO PLUS C/ PARAFUSO</v>
      </c>
      <c r="C8925" s="2" t="str">
        <f t="shared" si="344"/>
        <v>UN</v>
      </c>
      <c r="D8925" s="7">
        <v>918</v>
      </c>
      <c r="E8925" s="3">
        <v>11</v>
      </c>
      <c r="F8925" s="2">
        <v>3</v>
      </c>
      <c r="G8925" t="s">
        <v>513</v>
      </c>
    </row>
    <row r="8926" spans="1:7" x14ac:dyDescent="0.25">
      <c r="A8926" s="1" t="str">
        <f>"520882"</f>
        <v>520882</v>
      </c>
      <c r="B8926" s="2" t="str">
        <f>"DIO DE 1U"</f>
        <v>DIO DE 1U</v>
      </c>
      <c r="C8926" s="2" t="str">
        <f t="shared" si="344"/>
        <v>UN</v>
      </c>
      <c r="D8926" s="7">
        <v>401</v>
      </c>
      <c r="E8926" s="3">
        <v>4</v>
      </c>
      <c r="F8926" s="5">
        <v>5</v>
      </c>
      <c r="G8926" t="s">
        <v>513</v>
      </c>
    </row>
    <row r="8927" spans="1:7" x14ac:dyDescent="0.25">
      <c r="A8927" s="1" t="str">
        <f>"523461"</f>
        <v>523461</v>
      </c>
      <c r="B8927" s="2" t="str">
        <f>"DIO MODULO BASICO A270"</f>
        <v>DIO MODULO BASICO A270</v>
      </c>
      <c r="C8927" s="2" t="str">
        <f t="shared" si="344"/>
        <v>UN</v>
      </c>
      <c r="D8927" s="7">
        <v>601</v>
      </c>
      <c r="E8927" s="3">
        <v>8</v>
      </c>
      <c r="F8927" s="2">
        <v>3</v>
      </c>
      <c r="G8927" t="s">
        <v>513</v>
      </c>
    </row>
    <row r="8928" spans="1:7" x14ac:dyDescent="0.25">
      <c r="A8928" s="1" t="str">
        <f>"508421"</f>
        <v>508421</v>
      </c>
      <c r="B8928" s="2" t="str">
        <f>"DIODO"</f>
        <v>DIODO</v>
      </c>
      <c r="C8928" s="2" t="str">
        <f t="shared" si="344"/>
        <v>UN</v>
      </c>
      <c r="D8928" s="7">
        <v>704</v>
      </c>
      <c r="E8928" s="3">
        <v>9</v>
      </c>
      <c r="F8928" s="2">
        <v>8</v>
      </c>
      <c r="G8928" t="s">
        <v>512</v>
      </c>
    </row>
    <row r="8929" spans="1:7" x14ac:dyDescent="0.25">
      <c r="A8929" s="1" t="str">
        <f>"5987"</f>
        <v>5987</v>
      </c>
      <c r="B8929" s="2" t="str">
        <f>"DIOXIDO DE CLORO BB 5KG F-10 (TEXACLO)"</f>
        <v>DIOXIDO DE CLORO BB 5KG F-10 (TEXACLO)</v>
      </c>
      <c r="C8929" s="2" t="str">
        <f t="shared" si="344"/>
        <v>UN</v>
      </c>
      <c r="D8929" s="7">
        <v>400</v>
      </c>
      <c r="E8929" s="3">
        <v>4</v>
      </c>
      <c r="F8929" s="2">
        <v>6</v>
      </c>
      <c r="G8929" t="s">
        <v>513</v>
      </c>
    </row>
    <row r="8930" spans="1:7" x14ac:dyDescent="0.25">
      <c r="A8930" s="1" t="str">
        <f>"525283"</f>
        <v>525283</v>
      </c>
      <c r="B8930" s="2" t="str">
        <f>"DIPIRONA 500MG CART C/ 10 COMP."</f>
        <v>DIPIRONA 500MG CART C/ 10 COMP.</v>
      </c>
      <c r="C8930" s="2" t="str">
        <f t="shared" si="344"/>
        <v>UN</v>
      </c>
      <c r="D8930" s="7">
        <v>99999</v>
      </c>
      <c r="E8930" s="3">
        <v>99</v>
      </c>
      <c r="F8930" s="2">
        <v>4</v>
      </c>
      <c r="G8930" t="s">
        <v>514</v>
      </c>
    </row>
    <row r="8931" spans="1:7" x14ac:dyDescent="0.25">
      <c r="A8931" s="1" t="str">
        <f>"511819"</f>
        <v>511819</v>
      </c>
      <c r="B8931" s="2" t="str">
        <f>"DISCADORA TELEFONICA PABX"</f>
        <v>DISCADORA TELEFONICA PABX</v>
      </c>
      <c r="C8931" s="2" t="str">
        <f t="shared" si="344"/>
        <v>UN</v>
      </c>
      <c r="D8931" s="7">
        <v>601</v>
      </c>
      <c r="E8931" s="3">
        <v>8</v>
      </c>
      <c r="F8931" s="2">
        <v>1</v>
      </c>
      <c r="G8931" t="s">
        <v>515</v>
      </c>
    </row>
    <row r="8932" spans="1:7" x14ac:dyDescent="0.25">
      <c r="A8932" s="1" t="str">
        <f>"505531"</f>
        <v>505531</v>
      </c>
      <c r="B8932" s="2" t="str">
        <f>"DISCO"</f>
        <v>DISCO</v>
      </c>
      <c r="C8932" s="2" t="str">
        <f t="shared" si="344"/>
        <v>UN</v>
      </c>
      <c r="D8932" s="7">
        <v>704</v>
      </c>
      <c r="E8932" s="3">
        <v>9</v>
      </c>
      <c r="F8932" s="2">
        <v>2</v>
      </c>
      <c r="G8932" t="s">
        <v>512</v>
      </c>
    </row>
    <row r="8933" spans="1:7" x14ac:dyDescent="0.25">
      <c r="A8933" s="1" t="str">
        <f>"515101"</f>
        <v>515101</v>
      </c>
      <c r="B8933" s="2" t="str">
        <f>"DISCO 185MM 24 DENTES P/ SERRA CIRCULAR"</f>
        <v>DISCO 185MM 24 DENTES P/ SERRA CIRCULAR</v>
      </c>
      <c r="C8933" s="2" t="str">
        <f t="shared" si="344"/>
        <v>UN</v>
      </c>
      <c r="D8933" s="7">
        <v>1003</v>
      </c>
      <c r="E8933" s="3">
        <v>11</v>
      </c>
      <c r="F8933" s="2">
        <v>7</v>
      </c>
      <c r="G8933" t="s">
        <v>516</v>
      </c>
    </row>
    <row r="8934" spans="1:7" x14ac:dyDescent="0.25">
      <c r="A8934" s="1" t="str">
        <f>"516063"</f>
        <v>516063</v>
      </c>
      <c r="B8934" s="2" t="str">
        <f>"DISCO AÇO CARBONO 2500MM X 3MM"</f>
        <v>DISCO AÇO CARBONO 2500MM X 3MM</v>
      </c>
      <c r="C8934" s="2" t="str">
        <f t="shared" si="344"/>
        <v>UN</v>
      </c>
      <c r="D8934" s="7">
        <v>99999</v>
      </c>
      <c r="E8934" s="3">
        <v>99</v>
      </c>
      <c r="F8934" s="2">
        <v>9</v>
      </c>
      <c r="G8934" t="s">
        <v>515</v>
      </c>
    </row>
    <row r="8935" spans="1:7" x14ac:dyDescent="0.25">
      <c r="A8935" s="1" t="str">
        <f>"508792"</f>
        <v>508792</v>
      </c>
      <c r="B8935" s="2" t="str">
        <f>"DISCO ANTI-GIRO F 235 COD 3145"</f>
        <v>DISCO ANTI-GIRO F 235 COD 3145</v>
      </c>
      <c r="C8935" s="2" t="str">
        <f t="shared" si="344"/>
        <v>UN</v>
      </c>
      <c r="D8935" s="7">
        <v>918</v>
      </c>
      <c r="E8935" s="3">
        <v>11</v>
      </c>
      <c r="F8935" s="2">
        <v>0</v>
      </c>
      <c r="G8935" t="s">
        <v>514</v>
      </c>
    </row>
    <row r="8936" spans="1:7" x14ac:dyDescent="0.25">
      <c r="A8936" s="1" t="str">
        <f>"514496"</f>
        <v>514496</v>
      </c>
      <c r="B8936" s="2" t="str">
        <f>"DISCO BORRACHA RIGIDO 7'"</f>
        <v>DISCO BORRACHA RIGIDO 7'</v>
      </c>
      <c r="C8936" s="2" t="str">
        <f t="shared" si="344"/>
        <v>UN</v>
      </c>
      <c r="D8936" s="7">
        <v>817</v>
      </c>
      <c r="E8936" s="3">
        <v>4</v>
      </c>
      <c r="F8936" s="2">
        <v>0</v>
      </c>
      <c r="G8936" t="s">
        <v>512</v>
      </c>
    </row>
    <row r="8937" spans="1:7" x14ac:dyDescent="0.25">
      <c r="A8937" s="1" t="str">
        <f>"502255"</f>
        <v>502255</v>
      </c>
      <c r="B8937" s="2" t="str">
        <f>"DISCO CARBO-FLAP 7""X 1/8"" X 7/8"""</f>
        <v>DISCO CARBO-FLAP 7"X 1/8" X 7/8"</v>
      </c>
      <c r="C8937" s="2" t="str">
        <f t="shared" si="344"/>
        <v>UN</v>
      </c>
      <c r="D8937" s="7">
        <v>402</v>
      </c>
      <c r="E8937" s="3">
        <v>4</v>
      </c>
      <c r="F8937" s="2">
        <v>2</v>
      </c>
      <c r="G8937" t="s">
        <v>513</v>
      </c>
    </row>
    <row r="8938" spans="1:7" x14ac:dyDescent="0.25">
      <c r="A8938" s="1" t="str">
        <f>"528040"</f>
        <v>528040</v>
      </c>
      <c r="B8938" s="2" t="str">
        <f>"DISCO CARBO-FLAP INOX W-MAX 115MM G40"</f>
        <v>DISCO CARBO-FLAP INOX W-MAX 115MM G40</v>
      </c>
      <c r="C8938" s="2" t="str">
        <f t="shared" si="344"/>
        <v>UN</v>
      </c>
      <c r="D8938" s="7">
        <v>99999</v>
      </c>
      <c r="E8938" s="3">
        <v>10</v>
      </c>
      <c r="F8938" s="2">
        <v>5</v>
      </c>
      <c r="G8938" t="s">
        <v>514</v>
      </c>
    </row>
    <row r="8939" spans="1:7" x14ac:dyDescent="0.25">
      <c r="A8939" s="1" t="str">
        <f>"502110"</f>
        <v>502110</v>
      </c>
      <c r="B8939" s="2" t="str">
        <f>"DISCO CARBO-FLAP INOX W-MAX 115MM G60"</f>
        <v>DISCO CARBO-FLAP INOX W-MAX 115MM G60</v>
      </c>
      <c r="C8939" s="2" t="str">
        <f t="shared" ref="C8939:C8970" si="345">"UN"</f>
        <v>UN</v>
      </c>
      <c r="D8939" s="7">
        <v>99999</v>
      </c>
      <c r="E8939" s="3">
        <v>10</v>
      </c>
      <c r="F8939" s="2">
        <v>6</v>
      </c>
      <c r="G8939" t="s">
        <v>514</v>
      </c>
    </row>
    <row r="8940" spans="1:7" x14ac:dyDescent="0.25">
      <c r="A8940" s="1" t="str">
        <f>"528154"</f>
        <v>528154</v>
      </c>
      <c r="B8940" s="2" t="str">
        <f>"DISCO CASTANHA SUPERIOR REVERE ASC/ DSC PARA TECNIL"</f>
        <v>DISCO CASTANHA SUPERIOR REVERE ASC/ DSC PARA TECNIL</v>
      </c>
      <c r="C8940" s="2" t="str">
        <f t="shared" si="345"/>
        <v>UN</v>
      </c>
      <c r="D8940" s="7">
        <v>900</v>
      </c>
      <c r="E8940" s="3">
        <v>11</v>
      </c>
      <c r="F8940" s="2">
        <v>9</v>
      </c>
      <c r="G8940" t="s">
        <v>512</v>
      </c>
    </row>
    <row r="8941" spans="1:7" x14ac:dyDescent="0.25">
      <c r="A8941" s="1" t="str">
        <f>"509165"</f>
        <v>509165</v>
      </c>
      <c r="B8941" s="2" t="str">
        <f>"DISCO CILINTRO DA SELAGEM DMAX"</f>
        <v>DISCO CILINTRO DA SELAGEM DMAX</v>
      </c>
      <c r="C8941" s="2" t="str">
        <f t="shared" si="345"/>
        <v>UN</v>
      </c>
      <c r="D8941" s="7">
        <v>913</v>
      </c>
      <c r="E8941" s="3">
        <v>11</v>
      </c>
      <c r="F8941" s="2">
        <v>5</v>
      </c>
      <c r="G8941" t="s">
        <v>513</v>
      </c>
    </row>
    <row r="8942" spans="1:7" x14ac:dyDescent="0.25">
      <c r="A8942" s="1" t="str">
        <f>"508969"</f>
        <v>508969</v>
      </c>
      <c r="B8942" s="2" t="str">
        <f>"DISCO CORTE FN180X1,6X22,2MM"</f>
        <v>DISCO CORTE FN180X1,6X22,2MM</v>
      </c>
      <c r="C8942" s="2" t="str">
        <f t="shared" si="345"/>
        <v>UN</v>
      </c>
      <c r="D8942" s="7">
        <v>802</v>
      </c>
      <c r="E8942" s="3">
        <v>10</v>
      </c>
      <c r="F8942" s="2">
        <v>3</v>
      </c>
      <c r="G8942" t="s">
        <v>514</v>
      </c>
    </row>
    <row r="8943" spans="1:7" x14ac:dyDescent="0.25">
      <c r="A8943" s="1" t="str">
        <f>"509180"</f>
        <v>509180</v>
      </c>
      <c r="B8943" s="2" t="str">
        <f>"DISCO CORTE GREEN 180 X 1,6 X 22,2 MM"</f>
        <v>DISCO CORTE GREEN 180 X 1,6 X 22,2 MM</v>
      </c>
      <c r="C8943" s="2" t="str">
        <f t="shared" si="345"/>
        <v>UN</v>
      </c>
      <c r="D8943" s="7">
        <v>918</v>
      </c>
      <c r="E8943" s="3">
        <v>11</v>
      </c>
      <c r="F8943" s="2">
        <v>3</v>
      </c>
      <c r="G8943" t="s">
        <v>514</v>
      </c>
    </row>
    <row r="8944" spans="1:7" x14ac:dyDescent="0.25">
      <c r="A8944" s="1" t="str">
        <f>"505202"</f>
        <v>505202</v>
      </c>
      <c r="B8944" s="2" t="str">
        <f>"DISCO CORTE SAIDA REFIL (BANDEJA)"</f>
        <v>DISCO CORTE SAIDA REFIL (BANDEJA)</v>
      </c>
      <c r="C8944" s="2" t="str">
        <f t="shared" si="345"/>
        <v>UN</v>
      </c>
      <c r="D8944" s="7">
        <v>918</v>
      </c>
      <c r="E8944" s="3">
        <v>11</v>
      </c>
      <c r="F8944" s="2">
        <v>2</v>
      </c>
      <c r="G8944" t="s">
        <v>514</v>
      </c>
    </row>
    <row r="8945" spans="1:7" x14ac:dyDescent="0.25">
      <c r="A8945" s="1" t="str">
        <f>"513146"</f>
        <v>513146</v>
      </c>
      <c r="B8945" s="2" t="str">
        <f>"DISCO DE ACKERMANN - GERBER"</f>
        <v>DISCO DE ACKERMANN - GERBER</v>
      </c>
      <c r="C8945" s="2" t="str">
        <f t="shared" si="345"/>
        <v>UN</v>
      </c>
      <c r="D8945" s="7">
        <v>406</v>
      </c>
      <c r="E8945" s="3">
        <v>4</v>
      </c>
      <c r="F8945" s="2">
        <v>1</v>
      </c>
      <c r="G8945" t="s">
        <v>513</v>
      </c>
    </row>
    <row r="8946" spans="1:7" x14ac:dyDescent="0.25">
      <c r="A8946" s="1" t="str">
        <f>"520609"</f>
        <v>520609</v>
      </c>
      <c r="B8946" s="2" t="str">
        <f>"DISCO DE CONFIRMAÇÃO PETRIFILM SALX 5UN 3M COD HEXIS 6538"</f>
        <v>DISCO DE CONFIRMAÇÃO PETRIFILM SALX 5UN 3M COD HEXIS 6538</v>
      </c>
      <c r="C8946" s="2" t="str">
        <f t="shared" si="345"/>
        <v>UN</v>
      </c>
      <c r="D8946" s="7">
        <v>406</v>
      </c>
      <c r="E8946" s="3">
        <v>4</v>
      </c>
      <c r="F8946" s="2">
        <v>4</v>
      </c>
      <c r="G8946" t="s">
        <v>512</v>
      </c>
    </row>
    <row r="8947" spans="1:7" x14ac:dyDescent="0.25">
      <c r="A8947" s="1" t="str">
        <f>"CO68042219"</f>
        <v>CO68042219</v>
      </c>
      <c r="B8947" s="2" t="str">
        <f>"DISCO DE CORTE"</f>
        <v>DISCO DE CORTE</v>
      </c>
      <c r="C8947" s="2" t="str">
        <f t="shared" si="345"/>
        <v>UN</v>
      </c>
      <c r="D8947" s="7">
        <v>99999</v>
      </c>
      <c r="E8947" s="3">
        <v>99</v>
      </c>
      <c r="F8947" s="2">
        <v>1</v>
      </c>
      <c r="G8947" t="s">
        <v>513</v>
      </c>
    </row>
    <row r="8948" spans="1:7" x14ac:dyDescent="0.25">
      <c r="A8948" s="1" t="str">
        <f>"510249"</f>
        <v>510249</v>
      </c>
      <c r="B8948" s="2" t="str">
        <f>"DISCO DE CORTE 12"" X 1/8"" X 5/8"" 2 TELAS"</f>
        <v>DISCO DE CORTE 12" X 1/8" X 5/8" 2 TELAS</v>
      </c>
      <c r="C8948" s="2" t="str">
        <f t="shared" si="345"/>
        <v>UN</v>
      </c>
      <c r="D8948" s="7">
        <v>402</v>
      </c>
      <c r="E8948" s="3">
        <v>4</v>
      </c>
      <c r="F8948" s="2">
        <v>2</v>
      </c>
      <c r="G8948" t="s">
        <v>514</v>
      </c>
    </row>
    <row r="8949" spans="1:7" x14ac:dyDescent="0.25">
      <c r="A8949" s="1" t="str">
        <f>"504945"</f>
        <v>504945</v>
      </c>
      <c r="B8949" s="2" t="str">
        <f>"DISCO DE CORTE 4""1/2X1/8X7/8 2 TELAS"</f>
        <v>DISCO DE CORTE 4"1/2X1/8X7/8 2 TELAS</v>
      </c>
      <c r="C8949" s="2" t="str">
        <f t="shared" si="345"/>
        <v>UN</v>
      </c>
      <c r="D8949" s="7">
        <v>802</v>
      </c>
      <c r="E8949" s="3">
        <v>10</v>
      </c>
      <c r="F8949" s="2">
        <v>7</v>
      </c>
      <c r="G8949" t="s">
        <v>514</v>
      </c>
    </row>
    <row r="8950" spans="1:7" x14ac:dyDescent="0.25">
      <c r="A8950" s="1" t="str">
        <f>"502697"</f>
        <v>502697</v>
      </c>
      <c r="B8950" s="2" t="str">
        <f>"DISCO DE CORTE 4""1/2X3/64X7/8 REF.560546"</f>
        <v>DISCO DE CORTE 4"1/2X3/64X7/8 REF.560546</v>
      </c>
      <c r="C8950" s="2" t="str">
        <f t="shared" si="345"/>
        <v>UN</v>
      </c>
      <c r="D8950" s="7">
        <v>402</v>
      </c>
      <c r="E8950" s="3">
        <v>4</v>
      </c>
      <c r="F8950" s="2">
        <v>9</v>
      </c>
      <c r="G8950" t="s">
        <v>514</v>
      </c>
    </row>
    <row r="8951" spans="1:7" x14ac:dyDescent="0.25">
      <c r="A8951" s="1" t="str">
        <f>"500769"</f>
        <v>500769</v>
      </c>
      <c r="B8951" s="2" t="str">
        <f>"DISCO DE CORTE 7"" INOX"</f>
        <v>DISCO DE CORTE 7" INOX</v>
      </c>
      <c r="C8951" s="2" t="str">
        <f t="shared" si="345"/>
        <v>UN</v>
      </c>
      <c r="D8951" s="7">
        <v>402</v>
      </c>
      <c r="E8951" s="3">
        <v>4</v>
      </c>
      <c r="F8951" s="2">
        <v>0</v>
      </c>
      <c r="G8951" t="s">
        <v>513</v>
      </c>
    </row>
    <row r="8952" spans="1:7" x14ac:dyDescent="0.25">
      <c r="A8952" s="1" t="str">
        <f>"500305"</f>
        <v>500305</v>
      </c>
      <c r="B8952" s="2" t="str">
        <f>"DISCO DE CORTE 7""X 1/8 X 7/8"" 2 TELAS"</f>
        <v>DISCO DE CORTE 7"X 1/8 X 7/8" 2 TELAS</v>
      </c>
      <c r="C8952" s="2" t="str">
        <f t="shared" si="345"/>
        <v>UN</v>
      </c>
      <c r="D8952" s="7">
        <v>403</v>
      </c>
      <c r="E8952" s="3">
        <v>4</v>
      </c>
      <c r="F8952" s="2">
        <v>0</v>
      </c>
      <c r="G8952" t="s">
        <v>513</v>
      </c>
    </row>
    <row r="8953" spans="1:7" x14ac:dyDescent="0.25">
      <c r="A8953" s="1" t="str">
        <f>"509499"</f>
        <v>509499</v>
      </c>
      <c r="B8953" s="2" t="str">
        <f>"DISCO DE CORTE RED LINE 115 X 1,0 X 22,2 MM"</f>
        <v>DISCO DE CORTE RED LINE 115 X 1,0 X 22,2 MM</v>
      </c>
      <c r="C8953" s="2" t="str">
        <f t="shared" si="345"/>
        <v>UN</v>
      </c>
      <c r="D8953" s="7">
        <v>99999</v>
      </c>
      <c r="E8953" s="3">
        <v>10</v>
      </c>
      <c r="F8953" s="2">
        <v>4</v>
      </c>
      <c r="G8953" t="s">
        <v>513</v>
      </c>
    </row>
    <row r="8954" spans="1:7" x14ac:dyDescent="0.25">
      <c r="A8954" s="1" t="str">
        <f>"507054"</f>
        <v>507054</v>
      </c>
      <c r="B8954" s="2" t="str">
        <f>"DISCO DE DESBASTE 4 1/2"""</f>
        <v>DISCO DE DESBASTE 4 1/2"</v>
      </c>
      <c r="C8954" s="2" t="str">
        <f t="shared" si="345"/>
        <v>UN</v>
      </c>
      <c r="D8954" s="7">
        <v>402</v>
      </c>
      <c r="E8954" s="3">
        <v>4</v>
      </c>
      <c r="F8954" s="2">
        <v>1</v>
      </c>
      <c r="G8954" t="s">
        <v>512</v>
      </c>
    </row>
    <row r="8955" spans="1:7" x14ac:dyDescent="0.25">
      <c r="A8955" s="1" t="str">
        <f>"501141"</f>
        <v>501141</v>
      </c>
      <c r="B8955" s="2" t="str">
        <f>"DISCO DE DESBASTE 7 X 1/4 X 7/8"""</f>
        <v>DISCO DE DESBASTE 7 X 1/4 X 7/8"</v>
      </c>
      <c r="C8955" s="2" t="str">
        <f t="shared" si="345"/>
        <v>UN</v>
      </c>
      <c r="D8955" s="7">
        <v>402</v>
      </c>
      <c r="E8955" s="3">
        <v>4</v>
      </c>
      <c r="F8955" s="2">
        <v>2</v>
      </c>
      <c r="G8955" t="s">
        <v>513</v>
      </c>
    </row>
    <row r="8956" spans="1:7" x14ac:dyDescent="0.25">
      <c r="A8956" s="1" t="str">
        <f>"523355"</f>
        <v>523355</v>
      </c>
      <c r="B8956" s="2" t="str">
        <f>"DISCO DE DESBASTE DIAMANTADO P/ CONCRETO 180MM"</f>
        <v>DISCO DE DESBASTE DIAMANTADO P/ CONCRETO 180MM</v>
      </c>
      <c r="C8956" s="2" t="str">
        <f t="shared" si="345"/>
        <v>UN</v>
      </c>
      <c r="D8956" s="7">
        <v>403</v>
      </c>
      <c r="E8956" s="3">
        <v>4</v>
      </c>
      <c r="F8956" s="2">
        <v>7</v>
      </c>
      <c r="G8956" t="s">
        <v>514</v>
      </c>
    </row>
    <row r="8957" spans="1:7" x14ac:dyDescent="0.25">
      <c r="A8957" s="1" t="str">
        <f>"510031"</f>
        <v>510031</v>
      </c>
      <c r="B8957" s="2" t="str">
        <f>"DISCO DE DESCARGA 100/SUCÇAO 65-20C"</f>
        <v>DISCO DE DESCARGA 100/SUCÇAO 65-20C</v>
      </c>
      <c r="C8957" s="2" t="str">
        <f t="shared" si="345"/>
        <v>UN</v>
      </c>
      <c r="D8957" s="7">
        <v>918</v>
      </c>
      <c r="E8957" s="3">
        <v>11</v>
      </c>
      <c r="F8957" s="2">
        <v>9</v>
      </c>
      <c r="G8957" t="s">
        <v>515</v>
      </c>
    </row>
    <row r="8958" spans="1:7" x14ac:dyDescent="0.25">
      <c r="A8958" s="1" t="str">
        <f>"514784"</f>
        <v>514784</v>
      </c>
      <c r="B8958" s="2" t="str">
        <f>"DISCO DE EMBREAGEM"</f>
        <v>DISCO DE EMBREAGEM</v>
      </c>
      <c r="C8958" s="2" t="str">
        <f t="shared" si="345"/>
        <v>UN</v>
      </c>
      <c r="D8958" s="7">
        <v>704</v>
      </c>
      <c r="E8958" s="3">
        <v>9</v>
      </c>
      <c r="F8958" s="5">
        <v>5</v>
      </c>
      <c r="G8958" t="s">
        <v>512</v>
      </c>
    </row>
    <row r="8959" spans="1:7" x14ac:dyDescent="0.25">
      <c r="A8959" s="1" t="str">
        <f>"513392"</f>
        <v>513392</v>
      </c>
      <c r="B8959" s="2" t="str">
        <f>"DISCO DE FIBRA 410MM VERDE"</f>
        <v>DISCO DE FIBRA 410MM VERDE</v>
      </c>
      <c r="C8959" s="2" t="str">
        <f t="shared" si="345"/>
        <v>UN</v>
      </c>
      <c r="D8959" s="7">
        <v>400</v>
      </c>
      <c r="E8959" s="3">
        <v>4</v>
      </c>
      <c r="F8959" s="2">
        <v>3</v>
      </c>
      <c r="G8959" t="s">
        <v>516</v>
      </c>
    </row>
    <row r="8960" spans="1:7" x14ac:dyDescent="0.25">
      <c r="A8960" s="1" t="str">
        <f>"521402"</f>
        <v>521402</v>
      </c>
      <c r="B8960" s="2" t="str">
        <f>"DISCO DE FIBRA NORTON F944 P/ INOX 115MM G60"</f>
        <v>DISCO DE FIBRA NORTON F944 P/ INOX 115MM G60</v>
      </c>
      <c r="C8960" s="2" t="str">
        <f t="shared" si="345"/>
        <v>UN</v>
      </c>
      <c r="D8960" s="7">
        <v>704</v>
      </c>
      <c r="E8960" s="3">
        <v>9</v>
      </c>
      <c r="F8960" s="2">
        <v>8</v>
      </c>
      <c r="G8960" t="s">
        <v>515</v>
      </c>
    </row>
    <row r="8961" spans="1:7" x14ac:dyDescent="0.25">
      <c r="A8961" s="1" t="str">
        <f>"516912"</f>
        <v>516912</v>
      </c>
      <c r="B8961" s="2" t="str">
        <f>"DISCO DE FREIO C/ PASTILHAS WEG 112M"</f>
        <v>DISCO DE FREIO C/ PASTILHAS WEG 112M</v>
      </c>
      <c r="C8961" s="2" t="str">
        <f t="shared" si="345"/>
        <v>UN</v>
      </c>
      <c r="D8961" s="7">
        <v>811</v>
      </c>
      <c r="E8961" s="3">
        <v>8</v>
      </c>
      <c r="F8961" s="2">
        <v>6</v>
      </c>
      <c r="G8961" t="s">
        <v>514</v>
      </c>
    </row>
    <row r="8962" spans="1:7" x14ac:dyDescent="0.25">
      <c r="A8962" s="1" t="str">
        <f>"502759"</f>
        <v>502759</v>
      </c>
      <c r="B8962" s="2" t="str">
        <f>"DISCO DE FREIO COD.194296-03 MOD.2000 GL"</f>
        <v>DISCO DE FREIO COD.194296-03 MOD.2000 GL</v>
      </c>
      <c r="C8962" s="2" t="str">
        <f t="shared" si="345"/>
        <v>UN</v>
      </c>
      <c r="D8962" s="7">
        <v>918</v>
      </c>
      <c r="E8962" s="3">
        <v>11</v>
      </c>
      <c r="F8962" s="2">
        <v>4</v>
      </c>
      <c r="G8962" t="s">
        <v>512</v>
      </c>
    </row>
    <row r="8963" spans="1:7" x14ac:dyDescent="0.25">
      <c r="A8963" s="1" t="str">
        <f>"526173"</f>
        <v>526173</v>
      </c>
      <c r="B8963" s="2" t="str">
        <f>"DISCO DE FREIO P/ HCA"</f>
        <v>DISCO DE FREIO P/ HCA</v>
      </c>
      <c r="C8963" s="2" t="str">
        <f t="shared" si="345"/>
        <v>UN</v>
      </c>
      <c r="D8963" s="7">
        <v>501</v>
      </c>
      <c r="E8963" s="3">
        <v>4</v>
      </c>
      <c r="F8963" s="2">
        <v>1</v>
      </c>
      <c r="G8963" t="s">
        <v>513</v>
      </c>
    </row>
    <row r="8964" spans="1:7" x14ac:dyDescent="0.25">
      <c r="A8964" s="1" t="str">
        <f>"512076"</f>
        <v>512076</v>
      </c>
      <c r="B8964" s="2" t="str">
        <f>"DISCO DE POLICORTE 254X3,2X15,8MM"</f>
        <v>DISCO DE POLICORTE 254X3,2X15,8MM</v>
      </c>
      <c r="C8964" s="2" t="str">
        <f t="shared" si="345"/>
        <v>UN</v>
      </c>
      <c r="D8964" s="7">
        <v>918</v>
      </c>
      <c r="E8964" s="3">
        <v>11</v>
      </c>
      <c r="F8964" s="2">
        <v>2</v>
      </c>
      <c r="G8964" t="s">
        <v>514</v>
      </c>
    </row>
    <row r="8965" spans="1:7" x14ac:dyDescent="0.25">
      <c r="A8965" s="1" t="str">
        <f>"507823"</f>
        <v>507823</v>
      </c>
      <c r="B8965" s="2" t="str">
        <f>"DISCO DE SUCÇAO 100 19F"</f>
        <v>DISCO DE SUCÇAO 100 19F</v>
      </c>
      <c r="C8965" s="2" t="str">
        <f t="shared" si="345"/>
        <v>UN</v>
      </c>
      <c r="D8965" s="7">
        <v>918</v>
      </c>
      <c r="E8965" s="3">
        <v>11</v>
      </c>
      <c r="F8965" s="2">
        <v>7</v>
      </c>
      <c r="G8965" t="s">
        <v>514</v>
      </c>
    </row>
    <row r="8966" spans="1:7" x14ac:dyDescent="0.25">
      <c r="A8966" s="1" t="str">
        <f>"504547"</f>
        <v>504547</v>
      </c>
      <c r="B8966" s="2" t="str">
        <f>"DISCO DESBASTE DIAMANTADO P/ CONCRETO 100MM"</f>
        <v>DISCO DESBASTE DIAMANTADO P/ CONCRETO 100MM</v>
      </c>
      <c r="C8966" s="2" t="str">
        <f t="shared" si="345"/>
        <v>UN</v>
      </c>
      <c r="D8966" s="7">
        <v>99999</v>
      </c>
      <c r="E8966" s="3">
        <v>10</v>
      </c>
      <c r="F8966" s="2">
        <v>9</v>
      </c>
      <c r="G8966" t="s">
        <v>512</v>
      </c>
    </row>
    <row r="8967" spans="1:7" x14ac:dyDescent="0.25">
      <c r="A8967" s="1" t="str">
        <f>"507822"</f>
        <v>507822</v>
      </c>
      <c r="B8967" s="2" t="str">
        <f>"DISCO DESC100/SUCÇAO 65 - 20C"</f>
        <v>DISCO DESC100/SUCÇAO 65 - 20C</v>
      </c>
      <c r="C8967" s="2" t="str">
        <f t="shared" si="345"/>
        <v>UN</v>
      </c>
      <c r="D8967" s="7">
        <v>918</v>
      </c>
      <c r="E8967" s="3">
        <v>11</v>
      </c>
      <c r="F8967" s="2">
        <v>0</v>
      </c>
      <c r="G8967" t="s">
        <v>513</v>
      </c>
    </row>
    <row r="8968" spans="1:7" x14ac:dyDescent="0.25">
      <c r="A8968" s="1" t="str">
        <f>"519271"</f>
        <v>519271</v>
      </c>
      <c r="B8968" s="2" t="str">
        <f>"DISCO DESCARGA 100/SUCÇÃO 65 - 20C"</f>
        <v>DISCO DESCARGA 100/SUCÇÃO 65 - 20C</v>
      </c>
      <c r="C8968" s="2" t="str">
        <f t="shared" si="345"/>
        <v>UN</v>
      </c>
      <c r="D8968" s="7">
        <v>918</v>
      </c>
      <c r="E8968" s="3">
        <v>11</v>
      </c>
      <c r="F8968" s="2">
        <v>0</v>
      </c>
      <c r="G8968" t="s">
        <v>514</v>
      </c>
    </row>
    <row r="8969" spans="1:7" x14ac:dyDescent="0.25">
      <c r="A8969" s="1" t="str">
        <f>"504559"</f>
        <v>504559</v>
      </c>
      <c r="B8969" s="2" t="str">
        <f>"DISCO DIAGRAMA TACOGRAFO - VDO 7 DIAS"</f>
        <v>DISCO DIAGRAMA TACOGRAFO - VDO 7 DIAS</v>
      </c>
      <c r="C8969" s="2" t="str">
        <f t="shared" si="345"/>
        <v>UN</v>
      </c>
      <c r="D8969" s="7">
        <v>704</v>
      </c>
      <c r="E8969" s="3">
        <v>9</v>
      </c>
      <c r="F8969" s="2">
        <v>2</v>
      </c>
      <c r="G8969" t="s">
        <v>514</v>
      </c>
    </row>
    <row r="8970" spans="1:7" x14ac:dyDescent="0.25">
      <c r="A8970" s="1" t="str">
        <f>"522828"</f>
        <v>522828</v>
      </c>
      <c r="B8970" s="2" t="str">
        <f>"DISCO DIAMANTADO SEGMENTADO 180MM X 25,4MM IRWIN-8947"</f>
        <v>DISCO DIAMANTADO SEGMENTADO 180MM X 25,4MM IRWIN-8947</v>
      </c>
      <c r="C8970" s="2" t="str">
        <f t="shared" si="345"/>
        <v>UN</v>
      </c>
      <c r="D8970" s="7">
        <v>919</v>
      </c>
      <c r="E8970" s="3">
        <v>10</v>
      </c>
      <c r="F8970" s="2">
        <v>5</v>
      </c>
      <c r="G8970" t="s">
        <v>514</v>
      </c>
    </row>
    <row r="8971" spans="1:7" x14ac:dyDescent="0.25">
      <c r="A8971" s="1" t="str">
        <f>"523356"</f>
        <v>523356</v>
      </c>
      <c r="B8971" s="2" t="str">
        <f>"DISCO DIAMANTADO SEGMENTADO IRWIN 4-3/8X3X4 110MMX20MM"</f>
        <v>DISCO DIAMANTADO SEGMENTADO IRWIN 4-3/8X3X4 110MMX20MM</v>
      </c>
      <c r="C8971" s="2" t="str">
        <f t="shared" ref="C8971:C9002" si="346">"UN"</f>
        <v>UN</v>
      </c>
      <c r="D8971" s="7">
        <v>99999</v>
      </c>
      <c r="E8971" s="3">
        <v>10</v>
      </c>
      <c r="F8971" s="2">
        <v>6</v>
      </c>
      <c r="G8971" t="s">
        <v>513</v>
      </c>
    </row>
    <row r="8972" spans="1:7" x14ac:dyDescent="0.25">
      <c r="A8972" s="1" t="str">
        <f>"504546"</f>
        <v>504546</v>
      </c>
      <c r="B8972" s="2" t="str">
        <f>"DISCO DIAMANTADO TURBO AZUL"</f>
        <v>DISCO DIAMANTADO TURBO AZUL</v>
      </c>
      <c r="C8972" s="2" t="str">
        <f t="shared" si="346"/>
        <v>UN</v>
      </c>
      <c r="D8972" s="7">
        <v>403</v>
      </c>
      <c r="E8972" s="3">
        <v>4</v>
      </c>
      <c r="F8972" s="2">
        <v>9</v>
      </c>
      <c r="G8972" t="s">
        <v>512</v>
      </c>
    </row>
    <row r="8973" spans="1:7" x14ac:dyDescent="0.25">
      <c r="A8973" s="1" t="str">
        <f>"526823"</f>
        <v>526823</v>
      </c>
      <c r="B8973" s="2" t="str">
        <f>"DISCO EM BORRACHA 58 EPDM P/ TPM P281795"</f>
        <v>DISCO EM BORRACHA 58 EPDM P/ TPM P281795</v>
      </c>
      <c r="C8973" s="2" t="str">
        <f t="shared" si="346"/>
        <v>UN</v>
      </c>
      <c r="D8973" s="7">
        <v>909</v>
      </c>
      <c r="E8973" s="3">
        <v>11</v>
      </c>
      <c r="F8973" s="2">
        <v>5</v>
      </c>
      <c r="G8973" t="s">
        <v>513</v>
      </c>
    </row>
    <row r="8974" spans="1:7" x14ac:dyDescent="0.25">
      <c r="A8974" s="1" t="str">
        <f>"513393"</f>
        <v>513393</v>
      </c>
      <c r="B8974" s="2" t="str">
        <f>"DISCO ESCOVA 410MM"</f>
        <v>DISCO ESCOVA 410MM</v>
      </c>
      <c r="C8974" s="2" t="str">
        <f t="shared" si="346"/>
        <v>UN</v>
      </c>
      <c r="D8974" s="7">
        <v>400</v>
      </c>
      <c r="E8974" s="3">
        <v>4</v>
      </c>
      <c r="F8974" s="2">
        <v>3</v>
      </c>
      <c r="G8974" t="s">
        <v>514</v>
      </c>
    </row>
    <row r="8975" spans="1:7" x14ac:dyDescent="0.25">
      <c r="A8975" s="1" t="str">
        <f>"502746"</f>
        <v>502746</v>
      </c>
      <c r="B8975" s="2" t="str">
        <f>"DISCO FREIO BMG-220V FLANGE 160MM"</f>
        <v>DISCO FREIO BMG-220V FLANGE 160MM</v>
      </c>
      <c r="C8975" s="2" t="str">
        <f t="shared" si="346"/>
        <v>UN</v>
      </c>
      <c r="D8975" s="7">
        <v>918</v>
      </c>
      <c r="E8975" s="3">
        <v>11</v>
      </c>
      <c r="F8975" s="2">
        <v>3</v>
      </c>
      <c r="G8975" t="s">
        <v>514</v>
      </c>
    </row>
    <row r="8976" spans="1:7" x14ac:dyDescent="0.25">
      <c r="A8976" s="1" t="str">
        <f>"506074"</f>
        <v>506074</v>
      </c>
      <c r="B8976" s="2" t="str">
        <f>"DISCO FREIO DIANTEIRO GOL"</f>
        <v>DISCO FREIO DIANTEIRO GOL</v>
      </c>
      <c r="C8976" s="2" t="str">
        <f t="shared" si="346"/>
        <v>UN</v>
      </c>
      <c r="D8976" s="7">
        <v>704</v>
      </c>
      <c r="E8976" s="3">
        <v>9</v>
      </c>
      <c r="F8976" s="2">
        <v>2</v>
      </c>
      <c r="G8976" t="s">
        <v>514</v>
      </c>
    </row>
    <row r="8977" spans="1:7" x14ac:dyDescent="0.25">
      <c r="A8977" s="1" t="str">
        <f>"518223"</f>
        <v>518223</v>
      </c>
      <c r="B8977" s="2" t="str">
        <f>"DISCO HOOKIT 150 3M OURO"</f>
        <v>DISCO HOOKIT 150 3M OURO</v>
      </c>
      <c r="C8977" s="2" t="str">
        <f t="shared" si="346"/>
        <v>UN</v>
      </c>
      <c r="D8977" s="7">
        <v>804</v>
      </c>
      <c r="E8977" s="3">
        <v>4</v>
      </c>
      <c r="F8977" s="2">
        <v>1</v>
      </c>
      <c r="G8977" t="s">
        <v>513</v>
      </c>
    </row>
    <row r="8978" spans="1:7" x14ac:dyDescent="0.25">
      <c r="A8978" s="1" t="str">
        <f>"518224"</f>
        <v>518224</v>
      </c>
      <c r="B8978" s="2" t="str">
        <f>"DISCO HOOKIT 220 3M OURO"</f>
        <v>DISCO HOOKIT 220 3M OURO</v>
      </c>
      <c r="C8978" s="2" t="str">
        <f t="shared" si="346"/>
        <v>UN</v>
      </c>
      <c r="D8978" s="7">
        <v>804</v>
      </c>
      <c r="E8978" s="3">
        <v>4</v>
      </c>
      <c r="F8978" s="2">
        <v>4</v>
      </c>
      <c r="G8978" t="s">
        <v>513</v>
      </c>
    </row>
    <row r="8979" spans="1:7" x14ac:dyDescent="0.25">
      <c r="A8979" s="1" t="str">
        <f>"518225"</f>
        <v>518225</v>
      </c>
      <c r="B8979" s="2" t="str">
        <f>"DISCO HOOKIT 320 3M OURO"</f>
        <v>DISCO HOOKIT 320 3M OURO</v>
      </c>
      <c r="C8979" s="2" t="str">
        <f t="shared" si="346"/>
        <v>UN</v>
      </c>
      <c r="D8979" s="7">
        <v>804</v>
      </c>
      <c r="E8979" s="3">
        <v>4</v>
      </c>
      <c r="F8979" s="2">
        <v>6</v>
      </c>
      <c r="G8979" t="s">
        <v>513</v>
      </c>
    </row>
    <row r="8980" spans="1:7" x14ac:dyDescent="0.25">
      <c r="A8980" s="1" t="str">
        <f>"519179"</f>
        <v>519179</v>
      </c>
      <c r="B8980" s="2" t="str">
        <f>"DISCO HOOKIT 400 3M OURO"</f>
        <v>DISCO HOOKIT 400 3M OURO</v>
      </c>
      <c r="C8980" s="2" t="str">
        <f t="shared" si="346"/>
        <v>UN</v>
      </c>
      <c r="D8980" s="7">
        <v>804</v>
      </c>
      <c r="E8980" s="3">
        <v>4</v>
      </c>
      <c r="F8980" s="2">
        <v>8</v>
      </c>
      <c r="G8980" t="s">
        <v>512</v>
      </c>
    </row>
    <row r="8981" spans="1:7" x14ac:dyDescent="0.25">
      <c r="A8981" s="1" t="str">
        <f>"519178"</f>
        <v>519178</v>
      </c>
      <c r="B8981" s="2" t="str">
        <f>"DISCO HOOKIT 80 3M OURO"</f>
        <v>DISCO HOOKIT 80 3M OURO</v>
      </c>
      <c r="C8981" s="2" t="str">
        <f t="shared" si="346"/>
        <v>UN</v>
      </c>
      <c r="D8981" s="7">
        <v>804</v>
      </c>
      <c r="E8981" s="3">
        <v>4</v>
      </c>
      <c r="F8981" s="2">
        <v>7</v>
      </c>
      <c r="G8981" t="s">
        <v>513</v>
      </c>
    </row>
    <row r="8982" spans="1:7" x14ac:dyDescent="0.25">
      <c r="A8982" s="1" t="str">
        <f>"516045"</f>
        <v>516045</v>
      </c>
      <c r="B8982" s="2" t="str">
        <f>"DISCO INOX 04MM EXPESSURA X 10"" DIAMETRO"</f>
        <v>DISCO INOX 04MM EXPESSURA X 10" DIAMETRO</v>
      </c>
      <c r="C8982" s="2" t="str">
        <f t="shared" si="346"/>
        <v>UN</v>
      </c>
      <c r="D8982" s="7">
        <v>99999</v>
      </c>
      <c r="E8982" s="3">
        <v>99</v>
      </c>
      <c r="F8982" s="2">
        <v>6</v>
      </c>
      <c r="G8982" t="s">
        <v>514</v>
      </c>
    </row>
    <row r="8983" spans="1:7" x14ac:dyDescent="0.25">
      <c r="A8983" s="1" t="str">
        <f>"518740"</f>
        <v>518740</v>
      </c>
      <c r="B8983" s="2" t="str">
        <f>"DISCO LIXA 150X50 #080"</f>
        <v>DISCO LIXA 150X50 #080</v>
      </c>
      <c r="C8983" s="2" t="str">
        <f t="shared" si="346"/>
        <v>UN</v>
      </c>
      <c r="D8983" s="7">
        <v>920</v>
      </c>
      <c r="E8983" s="3">
        <v>4</v>
      </c>
      <c r="F8983" s="2">
        <v>6</v>
      </c>
      <c r="G8983" t="s">
        <v>515</v>
      </c>
    </row>
    <row r="8984" spans="1:7" x14ac:dyDescent="0.25">
      <c r="A8984" s="1" t="str">
        <f>"518388"</f>
        <v>518388</v>
      </c>
      <c r="B8984" s="2" t="str">
        <f>"DISCO LIXA 4 1/2"" X 120 FERRO"</f>
        <v>DISCO LIXA 4 1/2" X 120 FERRO</v>
      </c>
      <c r="C8984" s="2" t="str">
        <f t="shared" si="346"/>
        <v>UN</v>
      </c>
      <c r="D8984" s="7">
        <v>920</v>
      </c>
      <c r="E8984" s="3">
        <v>4</v>
      </c>
      <c r="F8984" s="2">
        <v>2</v>
      </c>
      <c r="G8984" t="s">
        <v>512</v>
      </c>
    </row>
    <row r="8985" spans="1:7" x14ac:dyDescent="0.25">
      <c r="A8985" s="1" t="str">
        <f>"518389"</f>
        <v>518389</v>
      </c>
      <c r="B8985" s="2" t="str">
        <f>"DISCO LIXA 4 1/2"" X 24 FERRO"</f>
        <v>DISCO LIXA 4 1/2" X 24 FERRO</v>
      </c>
      <c r="C8985" s="2" t="str">
        <f t="shared" si="346"/>
        <v>UN</v>
      </c>
      <c r="D8985" s="7">
        <v>920</v>
      </c>
      <c r="E8985" s="3">
        <v>4</v>
      </c>
      <c r="F8985" s="2">
        <v>1</v>
      </c>
      <c r="G8985" t="s">
        <v>516</v>
      </c>
    </row>
    <row r="8986" spans="1:7" x14ac:dyDescent="0.25">
      <c r="A8986" s="1" t="str">
        <f>"505676"</f>
        <v>505676</v>
      </c>
      <c r="B8986" s="2" t="str">
        <f>"DISCO LIXA 4 1/2"" X 50 FERRO"</f>
        <v>DISCO LIXA 4 1/2" X 50 FERRO</v>
      </c>
      <c r="C8986" s="2" t="str">
        <f t="shared" si="346"/>
        <v>UN</v>
      </c>
      <c r="D8986" s="7">
        <v>802</v>
      </c>
      <c r="E8986" s="3">
        <v>4</v>
      </c>
      <c r="F8986" s="2">
        <v>0</v>
      </c>
      <c r="G8986" t="s">
        <v>515</v>
      </c>
    </row>
    <row r="8987" spans="1:7" x14ac:dyDescent="0.25">
      <c r="A8987" s="1" t="str">
        <f>"505668"</f>
        <v>505668</v>
      </c>
      <c r="B8987" s="2" t="str">
        <f>"DISCO LIXA 7'' 100"</f>
        <v>DISCO LIXA 7'' 100</v>
      </c>
      <c r="C8987" s="2" t="str">
        <f t="shared" si="346"/>
        <v>UN</v>
      </c>
      <c r="D8987" s="7">
        <v>802</v>
      </c>
      <c r="E8987" s="3">
        <v>4</v>
      </c>
      <c r="F8987" s="2">
        <v>0</v>
      </c>
      <c r="G8987" t="s">
        <v>514</v>
      </c>
    </row>
    <row r="8988" spans="1:7" x14ac:dyDescent="0.25">
      <c r="A8988" s="1" t="str">
        <f>"518634"</f>
        <v>518634</v>
      </c>
      <c r="B8988" s="2" t="str">
        <f>"DISCO LIXA 7'' 60  INOX"</f>
        <v>DISCO LIXA 7'' 60  INOX</v>
      </c>
      <c r="C8988" s="2" t="str">
        <f t="shared" si="346"/>
        <v>UN</v>
      </c>
      <c r="D8988" s="7">
        <v>802</v>
      </c>
      <c r="E8988" s="3">
        <v>4</v>
      </c>
      <c r="F8988" s="2">
        <v>0</v>
      </c>
      <c r="G8988" t="s">
        <v>512</v>
      </c>
    </row>
    <row r="8989" spans="1:7" x14ac:dyDescent="0.25">
      <c r="A8989" s="1" t="str">
        <f>"522534"</f>
        <v>522534</v>
      </c>
      <c r="B8989" s="8" t="s">
        <v>310</v>
      </c>
      <c r="C8989" s="2" t="str">
        <f t="shared" si="346"/>
        <v>UN</v>
      </c>
      <c r="D8989" s="7">
        <v>918</v>
      </c>
      <c r="E8989" s="3">
        <v>11</v>
      </c>
      <c r="F8989" s="2">
        <v>3</v>
      </c>
      <c r="G8989" t="s">
        <v>513</v>
      </c>
    </row>
    <row r="8990" spans="1:7" x14ac:dyDescent="0.25">
      <c r="A8990" s="1" t="str">
        <f>"516409"</f>
        <v>516409</v>
      </c>
      <c r="B8990" s="2" t="str">
        <f>"DISCO MAQUITA P/ MADEIRA 7"""</f>
        <v>DISCO MAQUITA P/ MADEIRA 7"</v>
      </c>
      <c r="C8990" s="2" t="str">
        <f t="shared" si="346"/>
        <v>UN</v>
      </c>
      <c r="D8990" s="7">
        <v>917</v>
      </c>
      <c r="E8990" s="3">
        <v>4</v>
      </c>
      <c r="F8990" s="5">
        <v>5</v>
      </c>
      <c r="G8990" t="s">
        <v>514</v>
      </c>
    </row>
    <row r="8991" spans="1:7" x14ac:dyDescent="0.25">
      <c r="A8991" s="1" t="str">
        <f>"512059"</f>
        <v>512059</v>
      </c>
      <c r="B8991" s="2" t="str">
        <f>"DISCO RIGIDO 1000GB"</f>
        <v>DISCO RIGIDO 1000GB</v>
      </c>
      <c r="C8991" s="2" t="str">
        <f t="shared" si="346"/>
        <v>UN</v>
      </c>
      <c r="D8991" s="7">
        <v>401</v>
      </c>
      <c r="E8991" s="3">
        <v>4</v>
      </c>
      <c r="F8991" s="2">
        <v>3</v>
      </c>
      <c r="G8991" t="s">
        <v>514</v>
      </c>
    </row>
    <row r="8992" spans="1:7" x14ac:dyDescent="0.25">
      <c r="A8992" s="1" t="str">
        <f>"513565"</f>
        <v>513565</v>
      </c>
      <c r="B8992" s="2" t="str">
        <f>"DISCO RIGIDO HD INTERNO TOSHIBA P300 SATA III 1TB 3,5 7200RP"</f>
        <v>DISCO RIGIDO HD INTERNO TOSHIBA P300 SATA III 1TB 3,5 7200RP</v>
      </c>
      <c r="C8992" s="2" t="str">
        <f t="shared" si="346"/>
        <v>UN</v>
      </c>
      <c r="D8992" s="7">
        <v>99999</v>
      </c>
      <c r="E8992" s="3">
        <v>99</v>
      </c>
      <c r="F8992" s="2">
        <v>8</v>
      </c>
      <c r="G8992" t="s">
        <v>512</v>
      </c>
    </row>
    <row r="8993" spans="1:7" x14ac:dyDescent="0.25">
      <c r="A8993" s="1" t="str">
        <f>"509367"</f>
        <v>509367</v>
      </c>
      <c r="B8993" s="2" t="str">
        <f>"DISCO VALVULA DESCARGA A (110)"</f>
        <v>DISCO VALVULA DESCARGA A (110)</v>
      </c>
      <c r="C8993" s="2" t="str">
        <f t="shared" si="346"/>
        <v>UN</v>
      </c>
      <c r="D8993" s="7">
        <v>918</v>
      </c>
      <c r="E8993" s="3">
        <v>11</v>
      </c>
      <c r="F8993" s="2">
        <v>6</v>
      </c>
      <c r="G8993" t="s">
        <v>513</v>
      </c>
    </row>
    <row r="8994" spans="1:7" x14ac:dyDescent="0.25">
      <c r="A8994" s="1" t="str">
        <f>"509368"</f>
        <v>509368</v>
      </c>
      <c r="B8994" s="2" t="str">
        <f>"DISCO VALVULA SUCÇAO A (71)"</f>
        <v>DISCO VALVULA SUCÇAO A (71)</v>
      </c>
      <c r="C8994" s="2" t="str">
        <f t="shared" si="346"/>
        <v>UN</v>
      </c>
      <c r="D8994" s="7">
        <v>918</v>
      </c>
      <c r="E8994" s="3">
        <v>11</v>
      </c>
      <c r="F8994" s="2">
        <v>4</v>
      </c>
      <c r="G8994" t="s">
        <v>514</v>
      </c>
    </row>
    <row r="8995" spans="1:7" x14ac:dyDescent="0.25">
      <c r="A8995" s="1" t="str">
        <f>"515119"</f>
        <v>515119</v>
      </c>
      <c r="B8995" s="2" t="str">
        <f>"DISCOS DE PAPELÃO PARA EMBALAGEM"</f>
        <v>DISCOS DE PAPELÃO PARA EMBALAGEM</v>
      </c>
      <c r="C8995" s="2" t="str">
        <f t="shared" si="346"/>
        <v>UN</v>
      </c>
      <c r="D8995" s="7">
        <v>301</v>
      </c>
      <c r="E8995" s="3">
        <v>1</v>
      </c>
      <c r="F8995" s="2">
        <v>1</v>
      </c>
      <c r="G8995" t="s">
        <v>514</v>
      </c>
    </row>
    <row r="8996" spans="1:7" x14ac:dyDescent="0.25">
      <c r="A8996" s="1" t="str">
        <f>"526436"</f>
        <v>526436</v>
      </c>
      <c r="B8996" s="2" t="str">
        <f>"DISJ SCHNEIDER MOTOR BLOCO AUX. LATERAL GVAN11 1NA+1NF P/GV2"</f>
        <v>DISJ SCHNEIDER MOTOR BLOCO AUX. LATERAL GVAN11 1NA+1NF P/GV2</v>
      </c>
      <c r="C8996" s="2" t="str">
        <f t="shared" si="346"/>
        <v>UN</v>
      </c>
      <c r="D8996" s="7">
        <v>811</v>
      </c>
      <c r="E8996" s="3">
        <v>8</v>
      </c>
      <c r="F8996" s="2">
        <v>2</v>
      </c>
      <c r="G8996" t="s">
        <v>514</v>
      </c>
    </row>
    <row r="8997" spans="1:7" x14ac:dyDescent="0.25">
      <c r="A8997" s="1" t="str">
        <f>"526435"</f>
        <v>526435</v>
      </c>
      <c r="B8997" s="2" t="str">
        <f>"DISJ SCHNEIDER MOTOR GV2-ME20 13-18A"</f>
        <v>DISJ SCHNEIDER MOTOR GV2-ME20 13-18A</v>
      </c>
      <c r="C8997" s="2" t="str">
        <f t="shared" si="346"/>
        <v>UN</v>
      </c>
      <c r="D8997" s="7">
        <v>811</v>
      </c>
      <c r="E8997" s="3">
        <v>8</v>
      </c>
      <c r="F8997" s="2">
        <v>7</v>
      </c>
      <c r="G8997" t="s">
        <v>513</v>
      </c>
    </row>
    <row r="8998" spans="1:7" x14ac:dyDescent="0.25">
      <c r="A8998" s="1" t="str">
        <f>"527953"</f>
        <v>527953</v>
      </c>
      <c r="B8998" s="2" t="str">
        <f>"DISJ UNIP 2A CURVA C 5KA 127V 3KA 230V"</f>
        <v>DISJ UNIP 2A CURVA C 5KA 127V 3KA 230V</v>
      </c>
      <c r="C8998" s="2" t="str">
        <f t="shared" si="346"/>
        <v>UN</v>
      </c>
      <c r="D8998" s="7">
        <v>600</v>
      </c>
      <c r="E8998" s="3">
        <v>8</v>
      </c>
      <c r="F8998" s="2">
        <v>9</v>
      </c>
      <c r="G8998" t="s">
        <v>512</v>
      </c>
    </row>
    <row r="8999" spans="1:7" x14ac:dyDescent="0.25">
      <c r="A8999" s="1" t="str">
        <f>"525362"</f>
        <v>525362</v>
      </c>
      <c r="B8999" s="2" t="str">
        <f>"DISJ. SCH./MERLIN GERIN I.MANO PROL.LV429338 P/CVS100/250A"</f>
        <v>DISJ. SCH./MERLIN GERIN I.MANO PROL.LV429338 P/CVS100/250A</v>
      </c>
      <c r="C8999" s="2" t="str">
        <f t="shared" si="346"/>
        <v>UN</v>
      </c>
      <c r="D8999" s="7">
        <v>811</v>
      </c>
      <c r="E8999" s="3">
        <v>11</v>
      </c>
      <c r="F8999" s="2">
        <v>0</v>
      </c>
      <c r="G8999" t="s">
        <v>513</v>
      </c>
    </row>
    <row r="9000" spans="1:7" x14ac:dyDescent="0.25">
      <c r="A9000" s="1" t="str">
        <f>"526018"</f>
        <v>526018</v>
      </c>
      <c r="B9000" s="2" t="str">
        <f>"DISJ. SCH/MER.GER.I.MAN.PROL.29338/LV429338 P/CVS100/250A"</f>
        <v>DISJ. SCH/MER.GER.I.MAN.PROL.29338/LV429338 P/CVS100/250A</v>
      </c>
      <c r="C9000" s="2" t="str">
        <f t="shared" si="346"/>
        <v>UN</v>
      </c>
      <c r="D9000" s="7">
        <v>811</v>
      </c>
      <c r="E9000" s="3">
        <v>11</v>
      </c>
      <c r="F9000" s="2">
        <v>0</v>
      </c>
      <c r="G9000" t="s">
        <v>514</v>
      </c>
    </row>
    <row r="9001" spans="1:7" x14ac:dyDescent="0.25">
      <c r="A9001" s="1" t="str">
        <f>"524922"</f>
        <v>524922</v>
      </c>
      <c r="B9001" s="2" t="str">
        <f>"DISJ.CAIXA MOLDADA LV429550 SCHNEIDER"</f>
        <v>DISJ.CAIXA MOLDADA LV429550 SCHNEIDER</v>
      </c>
      <c r="C9001" s="2" t="str">
        <f t="shared" si="346"/>
        <v>UN</v>
      </c>
      <c r="D9001" s="7">
        <v>811</v>
      </c>
      <c r="E9001" s="3">
        <v>8</v>
      </c>
      <c r="F9001" s="2">
        <v>2</v>
      </c>
      <c r="G9001" t="s">
        <v>514</v>
      </c>
    </row>
    <row r="9002" spans="1:7" x14ac:dyDescent="0.25">
      <c r="A9002" s="1" t="str">
        <f>"522109"</f>
        <v>522109</v>
      </c>
      <c r="B9002" s="2" t="str">
        <f>"DISJ.SCHNEIDER I. TRI R CVS 56-80A AJUST 25K"</f>
        <v>DISJ.SCHNEIDER I. TRI R CVS 56-80A AJUST 25K</v>
      </c>
      <c r="C9002" s="2" t="str">
        <f t="shared" si="346"/>
        <v>UN</v>
      </c>
      <c r="D9002" s="7">
        <v>811</v>
      </c>
      <c r="E9002" s="3">
        <v>8</v>
      </c>
      <c r="F9002" s="2">
        <v>5</v>
      </c>
      <c r="G9002" t="s">
        <v>514</v>
      </c>
    </row>
    <row r="9003" spans="1:7" x14ac:dyDescent="0.25">
      <c r="A9003" s="1" t="str">
        <f>"518915"</f>
        <v>518915</v>
      </c>
      <c r="B9003" s="2" t="str">
        <f>"DISJUNT. GAS SF6 630A 17,5KV KIRK 16KA BA+BF MOTOR 115VCA"</f>
        <v>DISJUNT. GAS SF6 630A 17,5KV KIRK 16KA BA+BF MOTOR 115VCA</v>
      </c>
      <c r="C9003" s="2" t="str">
        <f t="shared" ref="C9003:C9034" si="347">"UN"</f>
        <v>UN</v>
      </c>
      <c r="D9003" s="7">
        <v>811</v>
      </c>
      <c r="E9003" s="3">
        <v>8</v>
      </c>
      <c r="F9003" s="2">
        <v>6</v>
      </c>
      <c r="G9003" t="s">
        <v>513</v>
      </c>
    </row>
    <row r="9004" spans="1:7" x14ac:dyDescent="0.25">
      <c r="A9004" s="1" t="str">
        <f>"515820"</f>
        <v>515820</v>
      </c>
      <c r="B9004" s="2" t="str">
        <f>"DISJUNTOR 3VF2213-0FN41"</f>
        <v>DISJUNTOR 3VF2213-0FN41</v>
      </c>
      <c r="C9004" s="2" t="str">
        <f t="shared" si="347"/>
        <v>UN</v>
      </c>
      <c r="D9004" s="7">
        <v>900</v>
      </c>
      <c r="E9004" s="3">
        <v>8</v>
      </c>
      <c r="F9004" s="2">
        <v>9</v>
      </c>
      <c r="G9004" t="s">
        <v>513</v>
      </c>
    </row>
    <row r="9005" spans="1:7" x14ac:dyDescent="0.25">
      <c r="A9005" s="1" t="str">
        <f>"524429"</f>
        <v>524429</v>
      </c>
      <c r="B9005" s="2" t="str">
        <f>"DISJUNTOR 3VT1716 2DA36 OAAO 160A"</f>
        <v>DISJUNTOR 3VT1716 2DA36 OAAO 160A</v>
      </c>
      <c r="C9005" s="2" t="str">
        <f t="shared" si="347"/>
        <v>UN</v>
      </c>
      <c r="D9005" s="7">
        <v>811</v>
      </c>
      <c r="E9005" s="3">
        <v>8</v>
      </c>
      <c r="F9005" s="2">
        <v>5</v>
      </c>
      <c r="G9005" t="s">
        <v>513</v>
      </c>
    </row>
    <row r="9006" spans="1:7" x14ac:dyDescent="0.25">
      <c r="A9006" s="1" t="str">
        <f>"522578"</f>
        <v>522578</v>
      </c>
      <c r="B9006" s="2" t="str">
        <f>"DISJUNTOR BIFASICO 10A CURVA B"</f>
        <v>DISJUNTOR BIFASICO 10A CURVA B</v>
      </c>
      <c r="C9006" s="2" t="str">
        <f t="shared" si="347"/>
        <v>UN</v>
      </c>
      <c r="D9006" s="7">
        <v>600</v>
      </c>
      <c r="E9006" s="3">
        <v>10</v>
      </c>
      <c r="F9006" s="2">
        <v>3</v>
      </c>
      <c r="G9006" t="s">
        <v>512</v>
      </c>
    </row>
    <row r="9007" spans="1:7" x14ac:dyDescent="0.25">
      <c r="A9007" s="1" t="str">
        <f>"505667"</f>
        <v>505667</v>
      </c>
      <c r="B9007" s="2" t="str">
        <f>"DISJUNTOR BIPOLAR  DIN 20A"</f>
        <v>DISJUNTOR BIPOLAR  DIN 20A</v>
      </c>
      <c r="C9007" s="2" t="str">
        <f t="shared" si="347"/>
        <v>UN</v>
      </c>
      <c r="D9007" s="7">
        <v>600</v>
      </c>
      <c r="E9007" s="3">
        <v>8</v>
      </c>
      <c r="F9007" s="2">
        <v>3</v>
      </c>
      <c r="G9007" t="s">
        <v>513</v>
      </c>
    </row>
    <row r="9008" spans="1:7" x14ac:dyDescent="0.25">
      <c r="A9008" s="1" t="str">
        <f>"511862"</f>
        <v>511862</v>
      </c>
      <c r="B9008" s="2" t="str">
        <f>"DISJUNTOR BIPOLAR 06A"</f>
        <v>DISJUNTOR BIPOLAR 06A</v>
      </c>
      <c r="C9008" s="2" t="str">
        <f t="shared" si="347"/>
        <v>UN</v>
      </c>
      <c r="D9008" s="7">
        <v>600</v>
      </c>
      <c r="E9008" s="3">
        <v>8</v>
      </c>
      <c r="F9008" s="2">
        <v>2</v>
      </c>
      <c r="G9008" t="s">
        <v>514</v>
      </c>
    </row>
    <row r="9009" spans="1:7" x14ac:dyDescent="0.25">
      <c r="A9009" s="1" t="str">
        <f>"517777"</f>
        <v>517777</v>
      </c>
      <c r="B9009" s="2" t="str">
        <f>"DISJUNTOR BIPOLAR 10A SCHNEIDER"</f>
        <v>DISJUNTOR BIPOLAR 10A SCHNEIDER</v>
      </c>
      <c r="C9009" s="2" t="str">
        <f t="shared" si="347"/>
        <v>UN</v>
      </c>
      <c r="D9009" s="7">
        <v>811</v>
      </c>
      <c r="E9009" s="3">
        <v>8</v>
      </c>
      <c r="F9009" s="2">
        <v>1</v>
      </c>
      <c r="G9009" t="s">
        <v>515</v>
      </c>
    </row>
    <row r="9010" spans="1:7" x14ac:dyDescent="0.25">
      <c r="A9010" s="1" t="str">
        <f>"512287"</f>
        <v>512287</v>
      </c>
      <c r="B9010" s="2" t="str">
        <f>"DISJUNTOR BIPOLAR 20A"</f>
        <v>DISJUNTOR BIPOLAR 20A</v>
      </c>
      <c r="C9010" s="2" t="str">
        <f t="shared" si="347"/>
        <v>UN</v>
      </c>
      <c r="D9010" s="7">
        <v>600</v>
      </c>
      <c r="E9010" s="3">
        <v>8</v>
      </c>
      <c r="F9010" s="2">
        <v>4</v>
      </c>
      <c r="G9010" t="s">
        <v>512</v>
      </c>
    </row>
    <row r="9011" spans="1:7" x14ac:dyDescent="0.25">
      <c r="A9011" s="1" t="str">
        <f>"513567"</f>
        <v>513567</v>
      </c>
      <c r="B9011" s="2" t="str">
        <f>"DISJUNTOR BIPOLAR 32A"</f>
        <v>DISJUNTOR BIPOLAR 32A</v>
      </c>
      <c r="C9011" s="2" t="str">
        <f t="shared" si="347"/>
        <v>UN</v>
      </c>
      <c r="D9011" s="7">
        <v>600</v>
      </c>
      <c r="E9011" s="3">
        <v>8</v>
      </c>
      <c r="F9011" s="2">
        <v>1</v>
      </c>
      <c r="G9011" t="s">
        <v>516</v>
      </c>
    </row>
    <row r="9012" spans="1:7" x14ac:dyDescent="0.25">
      <c r="A9012" s="1" t="str">
        <f>"511327"</f>
        <v>511327</v>
      </c>
      <c r="B9012" s="2" t="str">
        <f>"DISJUNTOR BIPOLAR 40A"</f>
        <v>DISJUNTOR BIPOLAR 40A</v>
      </c>
      <c r="C9012" s="2" t="str">
        <f t="shared" si="347"/>
        <v>UN</v>
      </c>
      <c r="D9012" s="7">
        <v>600</v>
      </c>
      <c r="E9012" s="3">
        <v>8</v>
      </c>
      <c r="F9012" s="2">
        <v>2</v>
      </c>
      <c r="G9012" t="s">
        <v>515</v>
      </c>
    </row>
    <row r="9013" spans="1:7" x14ac:dyDescent="0.25">
      <c r="A9013" s="1" t="str">
        <f>"525471"</f>
        <v>525471</v>
      </c>
      <c r="B9013" s="2" t="str">
        <f>"DISJUNTOR BIPOLAR DIN 02A CURVA C SCHENEIDER"</f>
        <v>DISJUNTOR BIPOLAR DIN 02A CURVA C SCHENEIDER</v>
      </c>
      <c r="C9013" s="2" t="str">
        <f t="shared" si="347"/>
        <v>UN</v>
      </c>
      <c r="D9013" s="7">
        <v>600</v>
      </c>
      <c r="E9013" s="3">
        <v>8</v>
      </c>
      <c r="F9013" s="2">
        <v>7</v>
      </c>
      <c r="G9013" t="s">
        <v>514</v>
      </c>
    </row>
    <row r="9014" spans="1:7" x14ac:dyDescent="0.25">
      <c r="A9014" s="1" t="str">
        <f>"517862"</f>
        <v>517862</v>
      </c>
      <c r="B9014" s="2" t="str">
        <f>"DISJUNTOR BIPOLAR DIN 06A"</f>
        <v>DISJUNTOR BIPOLAR DIN 06A</v>
      </c>
      <c r="C9014" s="2" t="str">
        <f t="shared" si="347"/>
        <v>UN</v>
      </c>
      <c r="D9014" s="7">
        <v>811</v>
      </c>
      <c r="E9014" s="3">
        <v>8</v>
      </c>
      <c r="F9014" s="2">
        <v>9</v>
      </c>
      <c r="G9014" t="s">
        <v>512</v>
      </c>
    </row>
    <row r="9015" spans="1:7" x14ac:dyDescent="0.25">
      <c r="A9015" s="1" t="str">
        <f>"505075"</f>
        <v>505075</v>
      </c>
      <c r="B9015" s="2" t="str">
        <f>"DISJUNTOR BIPOLAR DIN 10A"</f>
        <v>DISJUNTOR BIPOLAR DIN 10A</v>
      </c>
      <c r="C9015" s="2" t="str">
        <f t="shared" si="347"/>
        <v>UN</v>
      </c>
      <c r="D9015" s="7">
        <v>811</v>
      </c>
      <c r="E9015" s="3">
        <v>8</v>
      </c>
      <c r="F9015" s="2">
        <v>0</v>
      </c>
      <c r="G9015" t="s">
        <v>513</v>
      </c>
    </row>
    <row r="9016" spans="1:7" x14ac:dyDescent="0.25">
      <c r="A9016" s="1" t="str">
        <f>"527914"</f>
        <v>527914</v>
      </c>
      <c r="B9016" s="2" t="str">
        <f>"DISJUNTOR BIPOLAR DIN 16A CURVA C"</f>
        <v>DISJUNTOR BIPOLAR DIN 16A CURVA C</v>
      </c>
      <c r="C9016" s="2" t="str">
        <f t="shared" si="347"/>
        <v>UN</v>
      </c>
      <c r="D9016" s="7">
        <v>600</v>
      </c>
      <c r="E9016" s="3">
        <v>8</v>
      </c>
      <c r="F9016" s="2">
        <v>0</v>
      </c>
      <c r="G9016" t="s">
        <v>514</v>
      </c>
    </row>
    <row r="9017" spans="1:7" x14ac:dyDescent="0.25">
      <c r="A9017" s="1" t="str">
        <f>"517783"</f>
        <v>517783</v>
      </c>
      <c r="B9017" s="2" t="str">
        <f>"DISJUNTOR BIPOLAR DIN 16A SCHNEIDER"</f>
        <v>DISJUNTOR BIPOLAR DIN 16A SCHNEIDER</v>
      </c>
      <c r="C9017" s="2" t="str">
        <f t="shared" si="347"/>
        <v>UN</v>
      </c>
      <c r="D9017" s="7">
        <v>811</v>
      </c>
      <c r="E9017" s="3">
        <v>8</v>
      </c>
      <c r="F9017" s="2">
        <v>4</v>
      </c>
      <c r="G9017" t="s">
        <v>514</v>
      </c>
    </row>
    <row r="9018" spans="1:7" x14ac:dyDescent="0.25">
      <c r="A9018" s="1" t="str">
        <f>"517782"</f>
        <v>517782</v>
      </c>
      <c r="B9018" s="2" t="str">
        <f>"DISJUNTOR BIPOLAR DIN 20A"</f>
        <v>DISJUNTOR BIPOLAR DIN 20A</v>
      </c>
      <c r="C9018" s="2" t="str">
        <f t="shared" si="347"/>
        <v>UN</v>
      </c>
      <c r="D9018" s="7">
        <v>811</v>
      </c>
      <c r="E9018" s="3">
        <v>8</v>
      </c>
      <c r="F9018" s="2">
        <v>1</v>
      </c>
      <c r="G9018" t="s">
        <v>512</v>
      </c>
    </row>
    <row r="9019" spans="1:7" x14ac:dyDescent="0.25">
      <c r="A9019" s="1" t="str">
        <f>"505081"</f>
        <v>505081</v>
      </c>
      <c r="B9019" s="2" t="str">
        <f>"DISJUNTOR BIPOLAR DIN 25A"</f>
        <v>DISJUNTOR BIPOLAR DIN 25A</v>
      </c>
      <c r="C9019" s="2" t="str">
        <f t="shared" si="347"/>
        <v>UN</v>
      </c>
      <c r="D9019" s="7">
        <v>811</v>
      </c>
      <c r="E9019" s="3">
        <v>8</v>
      </c>
      <c r="F9019" s="2">
        <v>2</v>
      </c>
      <c r="G9019" t="s">
        <v>513</v>
      </c>
    </row>
    <row r="9020" spans="1:7" x14ac:dyDescent="0.25">
      <c r="A9020" s="1" t="str">
        <f>"511253"</f>
        <v>511253</v>
      </c>
      <c r="B9020" s="2" t="str">
        <f>"DISJUNTOR BIPOLAR DIN 32A"</f>
        <v>DISJUNTOR BIPOLAR DIN 32A</v>
      </c>
      <c r="C9020" s="2" t="str">
        <f t="shared" si="347"/>
        <v>UN</v>
      </c>
      <c r="D9020" s="7">
        <v>600</v>
      </c>
      <c r="E9020" s="3">
        <v>8</v>
      </c>
      <c r="F9020" s="2">
        <v>7</v>
      </c>
      <c r="G9020" t="s">
        <v>514</v>
      </c>
    </row>
    <row r="9021" spans="1:7" x14ac:dyDescent="0.25">
      <c r="A9021" s="1" t="str">
        <f>"517138"</f>
        <v>517138</v>
      </c>
      <c r="B9021" s="2" t="str">
        <f>"DISJUNTOR BIPOLAR DIN 35A"</f>
        <v>DISJUNTOR BIPOLAR DIN 35A</v>
      </c>
      <c r="C9021" s="2" t="str">
        <f t="shared" si="347"/>
        <v>UN</v>
      </c>
      <c r="D9021" s="7">
        <v>811</v>
      </c>
      <c r="E9021" s="3">
        <v>8</v>
      </c>
      <c r="F9021" s="2">
        <v>9</v>
      </c>
      <c r="G9021" t="s">
        <v>514</v>
      </c>
    </row>
    <row r="9022" spans="1:7" x14ac:dyDescent="0.25">
      <c r="A9022" s="1" t="str">
        <f>"518658"</f>
        <v>518658</v>
      </c>
      <c r="B9022" s="2" t="str">
        <f>"DISJUNTOR BIPOLAR DIN 40A"</f>
        <v>DISJUNTOR BIPOLAR DIN 40A</v>
      </c>
      <c r="C9022" s="2" t="str">
        <f t="shared" si="347"/>
        <v>UN</v>
      </c>
      <c r="D9022" s="7">
        <v>811</v>
      </c>
      <c r="E9022" s="3">
        <v>8</v>
      </c>
      <c r="F9022" s="2">
        <v>0</v>
      </c>
      <c r="G9022" t="s">
        <v>514</v>
      </c>
    </row>
    <row r="9023" spans="1:7" x14ac:dyDescent="0.25">
      <c r="A9023" s="1" t="str">
        <f>"527614"</f>
        <v>527614</v>
      </c>
      <c r="B9023" s="2" t="str">
        <f>"DISJUNTOR BIPOLAR DIN 40A CURVA B SCHNEIDER"</f>
        <v>DISJUNTOR BIPOLAR DIN 40A CURVA B SCHNEIDER</v>
      </c>
      <c r="C9023" s="2" t="str">
        <f t="shared" si="347"/>
        <v>UN</v>
      </c>
      <c r="D9023" s="7">
        <v>811</v>
      </c>
      <c r="E9023" s="3">
        <v>8</v>
      </c>
      <c r="F9023" s="2">
        <v>0</v>
      </c>
      <c r="G9023" t="s">
        <v>513</v>
      </c>
    </row>
    <row r="9024" spans="1:7" x14ac:dyDescent="0.25">
      <c r="A9024" s="1" t="str">
        <f>"505076"</f>
        <v>505076</v>
      </c>
      <c r="B9024" s="2" t="str">
        <f>"DISJUNTOR BIPOLAR DIN 50A"</f>
        <v>DISJUNTOR BIPOLAR DIN 50A</v>
      </c>
      <c r="C9024" s="2" t="str">
        <f t="shared" si="347"/>
        <v>UN</v>
      </c>
      <c r="D9024" s="7">
        <v>811</v>
      </c>
      <c r="E9024" s="3">
        <v>8</v>
      </c>
      <c r="F9024" s="2">
        <v>2</v>
      </c>
      <c r="G9024" t="s">
        <v>512</v>
      </c>
    </row>
    <row r="9025" spans="1:7" x14ac:dyDescent="0.25">
      <c r="A9025" s="1" t="str">
        <f>"526517"</f>
        <v>526517</v>
      </c>
      <c r="B9025" s="2" t="str">
        <f>"DISJUNTOR BIPOLAR DIN 63A SCHNEIDER"</f>
        <v>DISJUNTOR BIPOLAR DIN 63A SCHNEIDER</v>
      </c>
      <c r="C9025" s="2" t="str">
        <f t="shared" si="347"/>
        <v>UN</v>
      </c>
      <c r="D9025" s="7">
        <v>811</v>
      </c>
      <c r="E9025" s="3">
        <v>8</v>
      </c>
      <c r="F9025" s="2">
        <v>5</v>
      </c>
      <c r="G9025" t="s">
        <v>513</v>
      </c>
    </row>
    <row r="9026" spans="1:7" x14ac:dyDescent="0.25">
      <c r="A9026" s="1" t="str">
        <f>"527765"</f>
        <v>527765</v>
      </c>
      <c r="B9026" s="2" t="str">
        <f>"DISJUNTOR BIPOLAR DIN 63A SCHNEIDER CURVA B"</f>
        <v>DISJUNTOR BIPOLAR DIN 63A SCHNEIDER CURVA B</v>
      </c>
      <c r="C9026" s="2" t="str">
        <f t="shared" si="347"/>
        <v>UN</v>
      </c>
      <c r="D9026" s="7">
        <v>811</v>
      </c>
      <c r="E9026" s="3">
        <v>8</v>
      </c>
      <c r="F9026" s="2">
        <v>0</v>
      </c>
      <c r="G9026" t="s">
        <v>514</v>
      </c>
    </row>
    <row r="9027" spans="1:7" x14ac:dyDescent="0.25">
      <c r="A9027" s="1" t="str">
        <f>"523544"</f>
        <v>523544</v>
      </c>
      <c r="B9027" s="2" t="str">
        <f>"DISJUNTOR BIPOLAR SIEMENS 4A"</f>
        <v>DISJUNTOR BIPOLAR SIEMENS 4A</v>
      </c>
      <c r="C9027" s="2" t="str">
        <f t="shared" si="347"/>
        <v>UN</v>
      </c>
      <c r="D9027" s="7">
        <v>811</v>
      </c>
      <c r="E9027" s="3">
        <v>8</v>
      </c>
      <c r="F9027" s="2">
        <v>2</v>
      </c>
      <c r="G9027" t="s">
        <v>514</v>
      </c>
    </row>
    <row r="9028" spans="1:7" x14ac:dyDescent="0.25">
      <c r="A9028" s="1" t="str">
        <f>"521232"</f>
        <v>521232</v>
      </c>
      <c r="B9028" s="2" t="str">
        <f>"DISJUNTOR CAIXA MOLDADA 125A TRI"</f>
        <v>DISJUNTOR CAIXA MOLDADA 125A TRI</v>
      </c>
      <c r="C9028" s="2" t="str">
        <f t="shared" si="347"/>
        <v>UN</v>
      </c>
      <c r="D9028" s="7">
        <v>811</v>
      </c>
      <c r="E9028" s="3">
        <v>8</v>
      </c>
      <c r="F9028" s="2">
        <v>5</v>
      </c>
      <c r="G9028" t="s">
        <v>514</v>
      </c>
    </row>
    <row r="9029" spans="1:7" x14ac:dyDescent="0.25">
      <c r="A9029" s="1" t="str">
        <f>"514263"</f>
        <v>514263</v>
      </c>
      <c r="B9029" s="2" t="str">
        <f>"DISJUNTOR CAIXA MOLDADA 63A"</f>
        <v>DISJUNTOR CAIXA MOLDADA 63A</v>
      </c>
      <c r="C9029" s="2" t="str">
        <f t="shared" si="347"/>
        <v>UN</v>
      </c>
      <c r="D9029" s="7">
        <v>811</v>
      </c>
      <c r="E9029" s="3">
        <v>8</v>
      </c>
      <c r="F9029" s="5">
        <v>5</v>
      </c>
      <c r="G9029" t="s">
        <v>513</v>
      </c>
    </row>
    <row r="9030" spans="1:7" x14ac:dyDescent="0.25">
      <c r="A9030" s="1" t="str">
        <f>"517135"</f>
        <v>517135</v>
      </c>
      <c r="B9030" s="2" t="str">
        <f>"DISJUNTOR CAIXA MOLDADA 70A"</f>
        <v>DISJUNTOR CAIXA MOLDADA 70A</v>
      </c>
      <c r="C9030" s="2" t="str">
        <f t="shared" si="347"/>
        <v>UN</v>
      </c>
      <c r="D9030" s="7">
        <v>811</v>
      </c>
      <c r="E9030" s="3">
        <v>8</v>
      </c>
      <c r="F9030" s="2">
        <v>3</v>
      </c>
      <c r="G9030" t="s">
        <v>513</v>
      </c>
    </row>
    <row r="9031" spans="1:7" x14ac:dyDescent="0.25">
      <c r="A9031" s="1" t="str">
        <f>"516539"</f>
        <v>516539</v>
      </c>
      <c r="B9031" s="2" t="str">
        <f>"DISJUNTOR CAIXA MOLDADA SHIENEIDER TRIFASICO 250A"</f>
        <v>DISJUNTOR CAIXA MOLDADA SHIENEIDER TRIFASICO 250A</v>
      </c>
      <c r="C9031" s="2" t="str">
        <f t="shared" si="347"/>
        <v>UN</v>
      </c>
      <c r="D9031" s="7">
        <v>811</v>
      </c>
      <c r="E9031" s="3">
        <v>8</v>
      </c>
      <c r="F9031" s="2">
        <v>8</v>
      </c>
      <c r="G9031" t="s">
        <v>513</v>
      </c>
    </row>
    <row r="9032" spans="1:7" x14ac:dyDescent="0.25">
      <c r="A9032" s="1" t="str">
        <f>"516540"</f>
        <v>516540</v>
      </c>
      <c r="B9032" s="2" t="str">
        <f>"DISJUNTOR CAIXA MOLDADA SHIENEIDER TRIFASICO 350A"</f>
        <v>DISJUNTOR CAIXA MOLDADA SHIENEIDER TRIFASICO 350A</v>
      </c>
      <c r="C9032" s="2" t="str">
        <f t="shared" si="347"/>
        <v>UN</v>
      </c>
      <c r="D9032" s="7">
        <v>811</v>
      </c>
      <c r="E9032" s="3">
        <v>8</v>
      </c>
      <c r="F9032" s="2">
        <v>6</v>
      </c>
      <c r="G9032" t="s">
        <v>512</v>
      </c>
    </row>
    <row r="9033" spans="1:7" x14ac:dyDescent="0.25">
      <c r="A9033" s="1" t="str">
        <f>"520980"</f>
        <v>520980</v>
      </c>
      <c r="B9033" s="2" t="str">
        <f>"DISJUNTOR CAIXA MOLDADA SHIENEIDER TRIFASICO 80A"</f>
        <v>DISJUNTOR CAIXA MOLDADA SHIENEIDER TRIFASICO 80A</v>
      </c>
      <c r="C9033" s="2" t="str">
        <f t="shared" si="347"/>
        <v>UN</v>
      </c>
      <c r="D9033" s="7">
        <v>811</v>
      </c>
      <c r="E9033" s="3">
        <v>8</v>
      </c>
      <c r="F9033" s="2">
        <v>4</v>
      </c>
      <c r="G9033" t="s">
        <v>513</v>
      </c>
    </row>
    <row r="9034" spans="1:7" x14ac:dyDescent="0.25">
      <c r="A9034" s="1" t="str">
        <f>"520953"</f>
        <v>520953</v>
      </c>
      <c r="B9034" s="2" t="str">
        <f>"DISJUNTOR CAIXA MOLDADA SIEMENS  TRI 100A"</f>
        <v>DISJUNTOR CAIXA MOLDADA SIEMENS  TRI 100A</v>
      </c>
      <c r="C9034" s="2" t="str">
        <f t="shared" si="347"/>
        <v>UN</v>
      </c>
      <c r="D9034" s="7">
        <v>811</v>
      </c>
      <c r="E9034" s="3">
        <v>8</v>
      </c>
      <c r="F9034" s="2">
        <v>1</v>
      </c>
      <c r="G9034" t="s">
        <v>514</v>
      </c>
    </row>
    <row r="9035" spans="1:7" x14ac:dyDescent="0.25">
      <c r="A9035" s="1" t="str">
        <f>"520954"</f>
        <v>520954</v>
      </c>
      <c r="B9035" s="2" t="str">
        <f>"DISJUNTOR CAIXA MOLDADA SIEMENS  TRI 160A"</f>
        <v>DISJUNTOR CAIXA MOLDADA SIEMENS  TRI 160A</v>
      </c>
      <c r="C9035" s="2" t="str">
        <f t="shared" ref="C9035:C9044" si="348">"UN"</f>
        <v>UN</v>
      </c>
      <c r="D9035" s="7">
        <v>811</v>
      </c>
      <c r="E9035" s="3">
        <v>8</v>
      </c>
      <c r="F9035" s="2">
        <v>2</v>
      </c>
      <c r="G9035" t="s">
        <v>515</v>
      </c>
    </row>
    <row r="9036" spans="1:7" x14ac:dyDescent="0.25">
      <c r="A9036" s="1" t="str">
        <f>"520966"</f>
        <v>520966</v>
      </c>
      <c r="B9036" s="2" t="str">
        <f>"DISJUNTOR CAIXA MOLDADA SIEMENS COM CHAVE AC. NA PORTA 630A"</f>
        <v>DISJUNTOR CAIXA MOLDADA SIEMENS COM CHAVE AC. NA PORTA 630A</v>
      </c>
      <c r="C9036" s="2" t="str">
        <f t="shared" si="348"/>
        <v>UN</v>
      </c>
      <c r="D9036" s="7">
        <v>811</v>
      </c>
      <c r="E9036" s="3">
        <v>8</v>
      </c>
      <c r="F9036" s="2">
        <v>7</v>
      </c>
      <c r="G9036" t="s">
        <v>512</v>
      </c>
    </row>
    <row r="9037" spans="1:7" x14ac:dyDescent="0.25">
      <c r="A9037" s="1" t="str">
        <f>"521233"</f>
        <v>521233</v>
      </c>
      <c r="B9037" s="2" t="str">
        <f>"DISJUNTOR CAIXA MOLDADA SIEMENS TRI 80A"</f>
        <v>DISJUNTOR CAIXA MOLDADA SIEMENS TRI 80A</v>
      </c>
      <c r="C9037" s="2" t="str">
        <f t="shared" si="348"/>
        <v>UN</v>
      </c>
      <c r="D9037" s="7">
        <v>811</v>
      </c>
      <c r="E9037" s="3">
        <v>8</v>
      </c>
      <c r="F9037" s="2">
        <v>9</v>
      </c>
      <c r="G9037" t="s">
        <v>516</v>
      </c>
    </row>
    <row r="9038" spans="1:7" x14ac:dyDescent="0.25">
      <c r="A9038" s="1" t="str">
        <f>"524439"</f>
        <v>524439</v>
      </c>
      <c r="B9038" s="2" t="str">
        <f>"DISJUNTOR CAIXA MOLDADA WEG 175A"</f>
        <v>DISJUNTOR CAIXA MOLDADA WEG 175A</v>
      </c>
      <c r="C9038" s="2" t="str">
        <f t="shared" si="348"/>
        <v>UN</v>
      </c>
      <c r="D9038" s="7">
        <v>811</v>
      </c>
      <c r="E9038" s="3">
        <v>10</v>
      </c>
      <c r="F9038" s="2">
        <v>0</v>
      </c>
      <c r="G9038" t="s">
        <v>515</v>
      </c>
    </row>
    <row r="9039" spans="1:7" x14ac:dyDescent="0.25">
      <c r="A9039" s="1" t="str">
        <f>"524390"</f>
        <v>524390</v>
      </c>
      <c r="B9039" s="2" t="str">
        <f>"DISJUNTOR CAIXA MOLDADA WEG 225A"</f>
        <v>DISJUNTOR CAIXA MOLDADA WEG 225A</v>
      </c>
      <c r="C9039" s="2" t="str">
        <f t="shared" si="348"/>
        <v>UN</v>
      </c>
      <c r="D9039" s="7">
        <v>811</v>
      </c>
      <c r="E9039" s="3">
        <v>10</v>
      </c>
      <c r="F9039" s="2">
        <v>0</v>
      </c>
      <c r="G9039" t="s">
        <v>514</v>
      </c>
    </row>
    <row r="9040" spans="1:7" x14ac:dyDescent="0.25">
      <c r="A9040" s="1" t="str">
        <f>"515546"</f>
        <v>515546</v>
      </c>
      <c r="B9040" s="2" t="str">
        <f>"DISJUNTOR ELETROMAGTRIP"</f>
        <v>DISJUNTOR ELETROMAGTRIP</v>
      </c>
      <c r="C9040" s="2" t="str">
        <f t="shared" si="348"/>
        <v>UN</v>
      </c>
      <c r="D9040" s="7">
        <v>811</v>
      </c>
      <c r="E9040" s="3">
        <v>8</v>
      </c>
      <c r="F9040" s="2">
        <v>2</v>
      </c>
      <c r="G9040" t="s">
        <v>512</v>
      </c>
    </row>
    <row r="9041" spans="1:7" x14ac:dyDescent="0.25">
      <c r="A9041" s="1" t="str">
        <f>"515944"</f>
        <v>515944</v>
      </c>
      <c r="B9041" s="2" t="str">
        <f>"DISJUNTOR I TRIP. 3VT3763-2AA36-0AA0"</f>
        <v>DISJUNTOR I TRIP. 3VT3763-2AA36-0AA0</v>
      </c>
      <c r="C9041" s="2" t="str">
        <f t="shared" si="348"/>
        <v>UN</v>
      </c>
      <c r="D9041" s="7">
        <v>811</v>
      </c>
      <c r="E9041" s="3">
        <v>8</v>
      </c>
      <c r="F9041" s="2">
        <v>5</v>
      </c>
      <c r="G9041" t="s">
        <v>513</v>
      </c>
    </row>
    <row r="9042" spans="1:7" x14ac:dyDescent="0.25">
      <c r="A9042" s="1" t="str">
        <f>"515945"</f>
        <v>515945</v>
      </c>
      <c r="B9042" s="2" t="str">
        <f>"DISJUNTOR I TRIP. 3VT9340-6AC00-160-400"</f>
        <v>DISJUNTOR I TRIP. 3VT9340-6AC00-160-400</v>
      </c>
      <c r="C9042" s="2" t="str">
        <f t="shared" si="348"/>
        <v>UN</v>
      </c>
      <c r="D9042" s="7">
        <v>811</v>
      </c>
      <c r="E9042" s="3">
        <v>8</v>
      </c>
      <c r="F9042" s="2">
        <v>6</v>
      </c>
      <c r="G9042" t="s">
        <v>514</v>
      </c>
    </row>
    <row r="9043" spans="1:7" x14ac:dyDescent="0.25">
      <c r="A9043" s="1" t="str">
        <f>"526064"</f>
        <v>526064</v>
      </c>
      <c r="B9043" s="2" t="str">
        <f>"DISJUNTOR MODULAR EASY9 6kA127/230V-4,5kA230/400V1PCURVAC16A"</f>
        <v>DISJUNTOR MODULAR EASY9 6kA127/230V-4,5kA230/400V1PCURVAC16A</v>
      </c>
      <c r="C9043" s="2" t="str">
        <f t="shared" si="348"/>
        <v>UN</v>
      </c>
      <c r="D9043" s="7">
        <v>99999</v>
      </c>
      <c r="E9043" s="3">
        <v>8</v>
      </c>
      <c r="F9043" s="2">
        <v>9</v>
      </c>
      <c r="G9043" t="s">
        <v>514</v>
      </c>
    </row>
    <row r="9044" spans="1:7" x14ac:dyDescent="0.25">
      <c r="A9044" s="1" t="str">
        <f>"526065"</f>
        <v>526065</v>
      </c>
      <c r="B9044" s="2" t="str">
        <f>"DISJUNTOR MODULAR EASY96kA127/230V-4,5kA 230/400V3PCURVAC40A"</f>
        <v>DISJUNTOR MODULAR EASY96kA127/230V-4,5kA 230/400V3PCURVAC40A</v>
      </c>
      <c r="C9044" s="2" t="str">
        <f t="shared" si="348"/>
        <v>UN</v>
      </c>
      <c r="D9044" s="7">
        <v>99999</v>
      </c>
      <c r="E9044" s="3">
        <v>8</v>
      </c>
      <c r="F9044" s="2">
        <v>5</v>
      </c>
      <c r="G9044" t="s">
        <v>512</v>
      </c>
    </row>
    <row r="9045" spans="1:7" x14ac:dyDescent="0.25">
      <c r="A9045" s="1" t="str">
        <f>"508086"</f>
        <v>508086</v>
      </c>
      <c r="B9045" s="2" t="str">
        <f>"DISJUNTOR MOELLER 800 A 1600A LZMS4-AE1600"</f>
        <v>DISJUNTOR MOELLER 800 A 1600A LZMS4-AE1600</v>
      </c>
      <c r="C9045" s="2" t="str">
        <f>"PÇ"</f>
        <v>PÇ</v>
      </c>
      <c r="D9045" s="7">
        <v>811</v>
      </c>
      <c r="E9045" s="3">
        <v>8</v>
      </c>
      <c r="F9045" s="2">
        <v>3</v>
      </c>
      <c r="G9045" t="s">
        <v>513</v>
      </c>
    </row>
    <row r="9046" spans="1:7" x14ac:dyDescent="0.25">
      <c r="A9046" s="1" t="str">
        <f>"520455"</f>
        <v>520455</v>
      </c>
      <c r="B9046" s="2" t="str">
        <f>"DISJUNTOR MONOFASICO CURVA B 6 A"</f>
        <v>DISJUNTOR MONOFASICO CURVA B 6 A</v>
      </c>
      <c r="C9046" s="2" t="str">
        <f t="shared" ref="C9046:C9087" si="349">"UN"</f>
        <v>UN</v>
      </c>
      <c r="D9046" s="7">
        <v>900</v>
      </c>
      <c r="E9046" s="3">
        <v>8</v>
      </c>
      <c r="F9046" s="2">
        <v>3</v>
      </c>
      <c r="G9046" t="s">
        <v>514</v>
      </c>
    </row>
    <row r="9047" spans="1:7" x14ac:dyDescent="0.25">
      <c r="A9047" s="1" t="str">
        <f>"511925"</f>
        <v>511925</v>
      </c>
      <c r="B9047" s="2" t="str">
        <f>"DISJUNTOR MOTOR 3RC10 11-1CA10"</f>
        <v>DISJUNTOR MOTOR 3RC10 11-1CA10</v>
      </c>
      <c r="C9047" s="2" t="str">
        <f t="shared" si="349"/>
        <v>UN</v>
      </c>
      <c r="D9047" s="7">
        <v>600</v>
      </c>
      <c r="E9047" s="3">
        <v>8</v>
      </c>
      <c r="F9047" s="2">
        <v>2</v>
      </c>
      <c r="G9047" t="s">
        <v>514</v>
      </c>
    </row>
    <row r="9048" spans="1:7" x14ac:dyDescent="0.25">
      <c r="A9048" s="1" t="str">
        <f>"511926"</f>
        <v>511926</v>
      </c>
      <c r="B9048" s="2" t="str">
        <f>"DISJUNTOR MOTOR 3RC10 11-1FA10"</f>
        <v>DISJUNTOR MOTOR 3RC10 11-1FA10</v>
      </c>
      <c r="C9048" s="2" t="str">
        <f t="shared" si="349"/>
        <v>UN</v>
      </c>
      <c r="D9048" s="7">
        <v>600</v>
      </c>
      <c r="E9048" s="3">
        <v>8</v>
      </c>
      <c r="F9048" s="2">
        <v>1</v>
      </c>
      <c r="G9048" t="s">
        <v>514</v>
      </c>
    </row>
    <row r="9049" spans="1:7" x14ac:dyDescent="0.25">
      <c r="A9049" s="1" t="str">
        <f>"526038"</f>
        <v>526038</v>
      </c>
      <c r="B9049" s="2" t="str">
        <f>"DISJUNTOR MOTOR 3RV10 11-0GA10"</f>
        <v>DISJUNTOR MOTOR 3RV10 11-0GA10</v>
      </c>
      <c r="C9049" s="2" t="str">
        <f t="shared" si="349"/>
        <v>UN</v>
      </c>
      <c r="D9049" s="7">
        <v>600</v>
      </c>
      <c r="E9049" s="3">
        <v>8</v>
      </c>
      <c r="F9049" s="2">
        <v>4</v>
      </c>
      <c r="G9049" t="s">
        <v>513</v>
      </c>
    </row>
    <row r="9050" spans="1:7" x14ac:dyDescent="0.25">
      <c r="A9050" s="1" t="str">
        <f>"515942"</f>
        <v>515942</v>
      </c>
      <c r="B9050" s="2" t="str">
        <f>"DISJUNTOR MOTOR 3RV10 11-0KA10"</f>
        <v>DISJUNTOR MOTOR 3RV10 11-0KA10</v>
      </c>
      <c r="C9050" s="2" t="str">
        <f t="shared" si="349"/>
        <v>UN</v>
      </c>
      <c r="D9050" s="7">
        <v>99999</v>
      </c>
      <c r="E9050" s="3">
        <v>99</v>
      </c>
      <c r="F9050" s="2">
        <v>6</v>
      </c>
      <c r="G9050" t="s">
        <v>512</v>
      </c>
    </row>
    <row r="9051" spans="1:7" x14ac:dyDescent="0.25">
      <c r="A9051" s="1" t="str">
        <f>"512332"</f>
        <v>512332</v>
      </c>
      <c r="B9051" s="2" t="str">
        <f>"DISJUNTOR MOTOR 3RV10 11-1BA10"</f>
        <v>DISJUNTOR MOTOR 3RV10 11-1BA10</v>
      </c>
      <c r="C9051" s="2" t="str">
        <f t="shared" si="349"/>
        <v>UN</v>
      </c>
      <c r="D9051" s="7">
        <v>600</v>
      </c>
      <c r="E9051" s="3">
        <v>8</v>
      </c>
      <c r="F9051" s="2">
        <v>8</v>
      </c>
      <c r="G9051" t="s">
        <v>513</v>
      </c>
    </row>
    <row r="9052" spans="1:7" x14ac:dyDescent="0.25">
      <c r="A9052" s="1" t="str">
        <f>"516501"</f>
        <v>516501</v>
      </c>
      <c r="B9052" s="2" t="str">
        <f>"DISJUNTOR MOTOR 3RV10 11-1CA10"</f>
        <v>DISJUNTOR MOTOR 3RV10 11-1CA10</v>
      </c>
      <c r="C9052" s="2" t="str">
        <f t="shared" si="349"/>
        <v>UN</v>
      </c>
      <c r="D9052" s="7">
        <v>811</v>
      </c>
      <c r="E9052" s="3">
        <v>8</v>
      </c>
      <c r="F9052" s="2">
        <v>7</v>
      </c>
      <c r="G9052" t="s">
        <v>514</v>
      </c>
    </row>
    <row r="9053" spans="1:7" x14ac:dyDescent="0.25">
      <c r="A9053" s="1" t="str">
        <f>"512472"</f>
        <v>512472</v>
      </c>
      <c r="B9053" s="2" t="str">
        <f>"DISJUNTOR MOTOR 3RV10 11-1CA11"</f>
        <v>DISJUNTOR MOTOR 3RV10 11-1CA11</v>
      </c>
      <c r="C9053" s="2" t="str">
        <f t="shared" si="349"/>
        <v>UN</v>
      </c>
      <c r="D9053" s="7">
        <v>704</v>
      </c>
      <c r="E9053" s="3">
        <v>9</v>
      </c>
      <c r="F9053" s="2">
        <v>6</v>
      </c>
      <c r="G9053" t="s">
        <v>514</v>
      </c>
    </row>
    <row r="9054" spans="1:7" x14ac:dyDescent="0.25">
      <c r="A9054" s="1" t="str">
        <f>"515955"</f>
        <v>515955</v>
      </c>
      <c r="B9054" s="2" t="str">
        <f>"DISJUNTOR MOTOR 3RV10 11-1DA10"</f>
        <v>DISJUNTOR MOTOR 3RV10 11-1DA10</v>
      </c>
      <c r="C9054" s="2" t="str">
        <f t="shared" si="349"/>
        <v>UN</v>
      </c>
      <c r="D9054" s="7">
        <v>99999</v>
      </c>
      <c r="E9054" s="3">
        <v>99</v>
      </c>
      <c r="F9054" s="2">
        <v>6</v>
      </c>
      <c r="G9054" t="s">
        <v>514</v>
      </c>
    </row>
    <row r="9055" spans="1:7" x14ac:dyDescent="0.25">
      <c r="A9055" s="1" t="str">
        <f>"511921"</f>
        <v>511921</v>
      </c>
      <c r="B9055" s="2" t="str">
        <f>"DISJUNTOR MOTOR 3RV10 11-1EA10"</f>
        <v>DISJUNTOR MOTOR 3RV10 11-1EA10</v>
      </c>
      <c r="C9055" s="2" t="str">
        <f t="shared" si="349"/>
        <v>UN</v>
      </c>
      <c r="D9055" s="7">
        <v>600</v>
      </c>
      <c r="E9055" s="3">
        <v>8</v>
      </c>
      <c r="F9055" s="2">
        <v>2</v>
      </c>
      <c r="G9055" t="s">
        <v>513</v>
      </c>
    </row>
    <row r="9056" spans="1:7" x14ac:dyDescent="0.25">
      <c r="A9056" s="1" t="str">
        <f>"516551"</f>
        <v>516551</v>
      </c>
      <c r="B9056" s="2" t="str">
        <f>"DISJUNTOR MOTOR 3RV10 11-1FA10"</f>
        <v>DISJUNTOR MOTOR 3RV10 11-1FA10</v>
      </c>
      <c r="C9056" s="2" t="str">
        <f t="shared" si="349"/>
        <v>UN</v>
      </c>
      <c r="D9056" s="7">
        <v>811</v>
      </c>
      <c r="E9056" s="3">
        <v>8</v>
      </c>
      <c r="F9056" s="2">
        <v>1</v>
      </c>
      <c r="G9056" t="s">
        <v>513</v>
      </c>
    </row>
    <row r="9057" spans="1:7" x14ac:dyDescent="0.25">
      <c r="A9057" s="1" t="str">
        <f>"511924"</f>
        <v>511924</v>
      </c>
      <c r="B9057" s="2" t="str">
        <f>"DISJUNTOR MOTOR 3RV10 11-1GA10"</f>
        <v>DISJUNTOR MOTOR 3RV10 11-1GA10</v>
      </c>
      <c r="C9057" s="2" t="str">
        <f t="shared" si="349"/>
        <v>UN</v>
      </c>
      <c r="D9057" s="7">
        <v>600</v>
      </c>
      <c r="E9057" s="3">
        <v>8</v>
      </c>
      <c r="F9057" s="2">
        <v>0</v>
      </c>
      <c r="G9057" t="s">
        <v>513</v>
      </c>
    </row>
    <row r="9058" spans="1:7" x14ac:dyDescent="0.25">
      <c r="A9058" s="1" t="str">
        <f>"511922"</f>
        <v>511922</v>
      </c>
      <c r="B9058" s="2" t="str">
        <f>"DISJUNTOR MOTOR 3RV10 11-1HA10"</f>
        <v>DISJUNTOR MOTOR 3RV10 11-1HA10</v>
      </c>
      <c r="C9058" s="2" t="str">
        <f t="shared" si="349"/>
        <v>UN</v>
      </c>
      <c r="D9058" s="7">
        <v>600</v>
      </c>
      <c r="E9058" s="3">
        <v>8</v>
      </c>
      <c r="F9058" s="2">
        <v>0</v>
      </c>
      <c r="G9058" t="s">
        <v>512</v>
      </c>
    </row>
    <row r="9059" spans="1:7" x14ac:dyDescent="0.25">
      <c r="A9059" s="1" t="str">
        <f>"511953"</f>
        <v>511953</v>
      </c>
      <c r="B9059" s="2" t="str">
        <f>"DISJUNTOR MOTOR 3RV10 11-1JA10"</f>
        <v>DISJUNTOR MOTOR 3RV10 11-1JA10</v>
      </c>
      <c r="C9059" s="2" t="str">
        <f t="shared" si="349"/>
        <v>UN</v>
      </c>
      <c r="D9059" s="7">
        <v>600</v>
      </c>
      <c r="E9059" s="3">
        <v>8</v>
      </c>
      <c r="F9059" s="2">
        <v>0</v>
      </c>
      <c r="G9059" t="s">
        <v>513</v>
      </c>
    </row>
    <row r="9060" spans="1:7" x14ac:dyDescent="0.25">
      <c r="A9060" s="1" t="str">
        <f>"516181"</f>
        <v>516181</v>
      </c>
      <c r="B9060" s="2" t="str">
        <f>"DISJUNTOR MOTOR 3RV10 11-1KA10 9-12A"</f>
        <v>DISJUNTOR MOTOR 3RV10 11-1KA10 9-12A</v>
      </c>
      <c r="C9060" s="2" t="str">
        <f t="shared" si="349"/>
        <v>UN</v>
      </c>
      <c r="D9060" s="7">
        <v>600</v>
      </c>
      <c r="E9060" s="3">
        <v>8</v>
      </c>
      <c r="F9060" s="2">
        <v>3</v>
      </c>
      <c r="G9060" t="s">
        <v>514</v>
      </c>
    </row>
    <row r="9061" spans="1:7" x14ac:dyDescent="0.25">
      <c r="A9061" s="1" t="str">
        <f>"521294"</f>
        <v>521294</v>
      </c>
      <c r="B9061" s="2" t="str">
        <f>"DISJUNTOR MOTOR 3RV10 21 - 1DA10"</f>
        <v>DISJUNTOR MOTOR 3RV10 21 - 1DA10</v>
      </c>
      <c r="C9061" s="2" t="str">
        <f t="shared" si="349"/>
        <v>UN</v>
      </c>
      <c r="D9061" s="7">
        <v>811</v>
      </c>
      <c r="E9061" s="3">
        <v>8</v>
      </c>
      <c r="F9061" s="5">
        <v>5</v>
      </c>
      <c r="G9061" t="s">
        <v>515</v>
      </c>
    </row>
    <row r="9062" spans="1:7" x14ac:dyDescent="0.25">
      <c r="A9062" s="1" t="str">
        <f>"520297"</f>
        <v>520297</v>
      </c>
      <c r="B9062" s="2" t="str">
        <f>"DISJUNTOR MOTOR 3RV10 21-1AA10"</f>
        <v>DISJUNTOR MOTOR 3RV10 21-1AA10</v>
      </c>
      <c r="C9062" s="2" t="str">
        <f t="shared" si="349"/>
        <v>UN</v>
      </c>
      <c r="D9062" s="7">
        <v>600</v>
      </c>
      <c r="E9062" s="3">
        <v>8</v>
      </c>
      <c r="F9062" s="2">
        <v>3</v>
      </c>
      <c r="G9062" t="s">
        <v>512</v>
      </c>
    </row>
    <row r="9063" spans="1:7" x14ac:dyDescent="0.25">
      <c r="A9063" s="1" t="str">
        <f>"526661"</f>
        <v>526661</v>
      </c>
      <c r="B9063" s="2" t="str">
        <f>"DISJUNTOR MOTOR 3RV10 21-1BA10"</f>
        <v>DISJUNTOR MOTOR 3RV10 21-1BA10</v>
      </c>
      <c r="C9063" s="2" t="str">
        <f t="shared" si="349"/>
        <v>UN</v>
      </c>
      <c r="D9063" s="7">
        <v>99999</v>
      </c>
      <c r="E9063" s="3">
        <v>99</v>
      </c>
      <c r="F9063" s="2">
        <v>8</v>
      </c>
      <c r="G9063" t="s">
        <v>516</v>
      </c>
    </row>
    <row r="9064" spans="1:7" x14ac:dyDescent="0.25">
      <c r="A9064" s="1" t="str">
        <f>"516550"</f>
        <v>516550</v>
      </c>
      <c r="B9064" s="2" t="str">
        <f>"DISJUNTOR MOTOR 3RV10 21-1CA10 1,8-2,5A"</f>
        <v>DISJUNTOR MOTOR 3RV10 21-1CA10 1,8-2,5A</v>
      </c>
      <c r="C9064" s="2" t="str">
        <f t="shared" si="349"/>
        <v>UN</v>
      </c>
      <c r="D9064" s="7">
        <v>811</v>
      </c>
      <c r="E9064" s="3">
        <v>8</v>
      </c>
      <c r="F9064" s="2">
        <v>6</v>
      </c>
      <c r="G9064" t="s">
        <v>515</v>
      </c>
    </row>
    <row r="9065" spans="1:7" x14ac:dyDescent="0.25">
      <c r="A9065" s="1" t="str">
        <f>"507074"</f>
        <v>507074</v>
      </c>
      <c r="B9065" s="2" t="str">
        <f>"DISJUNTOR MOTOR 3RV10 21-1FA10"</f>
        <v>DISJUNTOR MOTOR 3RV10 21-1FA10</v>
      </c>
      <c r="C9065" s="2" t="str">
        <f t="shared" si="349"/>
        <v>UN</v>
      </c>
      <c r="D9065" s="7">
        <v>811</v>
      </c>
      <c r="E9065" s="3">
        <v>8</v>
      </c>
      <c r="F9065" s="2">
        <v>4</v>
      </c>
      <c r="G9065" t="s">
        <v>514</v>
      </c>
    </row>
    <row r="9066" spans="1:7" x14ac:dyDescent="0.25">
      <c r="A9066" s="1" t="str">
        <f>"518662"</f>
        <v>518662</v>
      </c>
      <c r="B9066" s="2" t="str">
        <f>"DISJUNTOR MOTOR 3RV10 21-1HA10 5,5 - 8A"</f>
        <v>DISJUNTOR MOTOR 3RV10 21-1HA10 5,5 - 8A</v>
      </c>
      <c r="C9066" s="2" t="str">
        <f t="shared" si="349"/>
        <v>UN</v>
      </c>
      <c r="D9066" s="7">
        <v>811</v>
      </c>
      <c r="E9066" s="3">
        <v>8</v>
      </c>
      <c r="F9066" s="2">
        <v>1</v>
      </c>
      <c r="G9066" t="s">
        <v>512</v>
      </c>
    </row>
    <row r="9067" spans="1:7" x14ac:dyDescent="0.25">
      <c r="A9067" s="1" t="str">
        <f>"507017"</f>
        <v>507017</v>
      </c>
      <c r="B9067" s="2" t="str">
        <f>"DISJUNTOR MOTOR 3RV10 21-1J010"</f>
        <v>DISJUNTOR MOTOR 3RV10 21-1J010</v>
      </c>
      <c r="C9067" s="2" t="str">
        <f t="shared" si="349"/>
        <v>UN</v>
      </c>
      <c r="D9067" s="7">
        <v>811</v>
      </c>
      <c r="E9067" s="3">
        <v>8</v>
      </c>
      <c r="F9067" s="2">
        <v>2</v>
      </c>
      <c r="G9067" t="s">
        <v>513</v>
      </c>
    </row>
    <row r="9068" spans="1:7" x14ac:dyDescent="0.25">
      <c r="A9068" s="1" t="str">
        <f>"518663"</f>
        <v>518663</v>
      </c>
      <c r="B9068" s="2" t="str">
        <f>"DISJUNTOR MOTOR 3RV10 21-1JA10 7 - 10A"</f>
        <v>DISJUNTOR MOTOR 3RV10 21-1JA10 7 - 10A</v>
      </c>
      <c r="C9068" s="2" t="str">
        <f t="shared" si="349"/>
        <v>UN</v>
      </c>
      <c r="D9068" s="7">
        <v>811</v>
      </c>
      <c r="E9068" s="3">
        <v>8</v>
      </c>
      <c r="F9068" s="2">
        <v>7</v>
      </c>
      <c r="G9068" t="s">
        <v>514</v>
      </c>
    </row>
    <row r="9069" spans="1:7" x14ac:dyDescent="0.25">
      <c r="A9069" s="1" t="str">
        <f>"516500"</f>
        <v>516500</v>
      </c>
      <c r="B9069" s="2" t="str">
        <f>"DISJUNTOR MOTOR 3RV10 21-1KA10"</f>
        <v>DISJUNTOR MOTOR 3RV10 21-1KA10</v>
      </c>
      <c r="C9069" s="2" t="str">
        <f t="shared" si="349"/>
        <v>UN</v>
      </c>
      <c r="D9069" s="7">
        <v>811</v>
      </c>
      <c r="E9069" s="3">
        <v>8</v>
      </c>
      <c r="F9069" s="2">
        <v>9</v>
      </c>
      <c r="G9069" t="s">
        <v>514</v>
      </c>
    </row>
    <row r="9070" spans="1:7" x14ac:dyDescent="0.25">
      <c r="A9070" s="1" t="str">
        <f>"511927"</f>
        <v>511927</v>
      </c>
      <c r="B9070" s="2" t="str">
        <f>"DISJUNTOR MOTOR 3RV10 21-4AA10"</f>
        <v>DISJUNTOR MOTOR 3RV10 21-4AA10</v>
      </c>
      <c r="C9070" s="2" t="str">
        <f t="shared" si="349"/>
        <v>UN</v>
      </c>
      <c r="D9070" s="7">
        <v>600</v>
      </c>
      <c r="E9070" s="3">
        <v>8</v>
      </c>
      <c r="F9070" s="2">
        <v>0</v>
      </c>
      <c r="G9070" t="s">
        <v>512</v>
      </c>
    </row>
    <row r="9071" spans="1:7" x14ac:dyDescent="0.25">
      <c r="A9071" s="1" t="str">
        <f>"512094"</f>
        <v>512094</v>
      </c>
      <c r="B9071" s="2" t="str">
        <f>"DISJUNTOR MOTOR 3RV10 21-4BA10"</f>
        <v>DISJUNTOR MOTOR 3RV10 21-4BA10</v>
      </c>
      <c r="C9071" s="2" t="str">
        <f t="shared" si="349"/>
        <v>UN</v>
      </c>
      <c r="D9071" s="7">
        <v>600</v>
      </c>
      <c r="E9071" s="3">
        <v>8</v>
      </c>
      <c r="F9071" s="2">
        <v>0</v>
      </c>
      <c r="G9071" t="s">
        <v>513</v>
      </c>
    </row>
    <row r="9072" spans="1:7" x14ac:dyDescent="0.25">
      <c r="A9072" s="1" t="str">
        <f>"519088"</f>
        <v>519088</v>
      </c>
      <c r="B9072" s="2" t="str">
        <f>"DISJUNTOR MOTOR 3RV10 21-4BA10 14 A 20 AMP"</f>
        <v>DISJUNTOR MOTOR 3RV10 21-4BA10 14 A 20 AMP</v>
      </c>
      <c r="C9072" s="2" t="str">
        <f t="shared" si="349"/>
        <v>UN</v>
      </c>
      <c r="D9072" s="7">
        <v>811</v>
      </c>
      <c r="E9072" s="3">
        <v>8</v>
      </c>
      <c r="F9072" s="2">
        <v>2</v>
      </c>
      <c r="G9072" t="s">
        <v>514</v>
      </c>
    </row>
    <row r="9073" spans="1:7" x14ac:dyDescent="0.25">
      <c r="A9073" s="1" t="str">
        <f>"526058"</f>
        <v>526058</v>
      </c>
      <c r="B9073" s="2" t="str">
        <f>"DISJUNTOR MOTOR 3RV10 21-4BA10 TRIPOLAR(14-20A)"</f>
        <v>DISJUNTOR MOTOR 3RV10 21-4BA10 TRIPOLAR(14-20A)</v>
      </c>
      <c r="C9073" s="2" t="str">
        <f t="shared" si="349"/>
        <v>UN</v>
      </c>
      <c r="D9073" s="7">
        <v>600</v>
      </c>
      <c r="E9073" s="3">
        <v>8</v>
      </c>
      <c r="F9073" s="2">
        <v>5</v>
      </c>
      <c r="G9073" t="s">
        <v>514</v>
      </c>
    </row>
    <row r="9074" spans="1:7" x14ac:dyDescent="0.25">
      <c r="A9074" s="1" t="str">
        <f>"518720"</f>
        <v>518720</v>
      </c>
      <c r="B9074" s="2" t="str">
        <f>"DISJUNTOR MOTOR 3RV10 21-4CA10"</f>
        <v>DISJUNTOR MOTOR 3RV10 21-4CA10</v>
      </c>
      <c r="C9074" s="2" t="str">
        <f t="shared" si="349"/>
        <v>UN</v>
      </c>
      <c r="D9074" s="7">
        <v>600</v>
      </c>
      <c r="E9074" s="3">
        <v>8</v>
      </c>
      <c r="F9074" s="2">
        <v>6</v>
      </c>
      <c r="G9074" t="s">
        <v>514</v>
      </c>
    </row>
    <row r="9075" spans="1:7" x14ac:dyDescent="0.25">
      <c r="A9075" s="1" t="str">
        <f>"515903"</f>
        <v>515903</v>
      </c>
      <c r="B9075" s="2" t="str">
        <f>"DISJUNTOR MOTOR 3RV10 21-4DA10"</f>
        <v>DISJUNTOR MOTOR 3RV10 21-4DA10</v>
      </c>
      <c r="C9075" s="2" t="str">
        <f t="shared" si="349"/>
        <v>UN</v>
      </c>
      <c r="D9075" s="7">
        <v>99999</v>
      </c>
      <c r="E9075" s="3">
        <v>99</v>
      </c>
      <c r="F9075" s="2">
        <v>9</v>
      </c>
      <c r="G9075" t="s">
        <v>513</v>
      </c>
    </row>
    <row r="9076" spans="1:7" x14ac:dyDescent="0.25">
      <c r="A9076" s="1" t="str">
        <f>"521125"</f>
        <v>521125</v>
      </c>
      <c r="B9076" s="2" t="str">
        <f>"DISJUNTOR MOTOR 3RV10 31-4DA10"</f>
        <v>DISJUNTOR MOTOR 3RV10 31-4DA10</v>
      </c>
      <c r="C9076" s="2" t="str">
        <f t="shared" si="349"/>
        <v>UN</v>
      </c>
      <c r="D9076" s="7">
        <v>811</v>
      </c>
      <c r="E9076" s="3">
        <v>8</v>
      </c>
      <c r="F9076" s="2">
        <v>5</v>
      </c>
      <c r="G9076" t="s">
        <v>512</v>
      </c>
    </row>
    <row r="9077" spans="1:7" x14ac:dyDescent="0.25">
      <c r="A9077" s="1" t="str">
        <f>"516430"</f>
        <v>516430</v>
      </c>
      <c r="B9077" s="2" t="str">
        <f>"DISJUNTOR MOTOR 3RV10 31-4EA10"</f>
        <v>DISJUNTOR MOTOR 3RV10 31-4EA10</v>
      </c>
      <c r="C9077" s="2" t="str">
        <f t="shared" si="349"/>
        <v>UN</v>
      </c>
      <c r="D9077" s="7">
        <v>811</v>
      </c>
      <c r="E9077" s="3">
        <v>8</v>
      </c>
      <c r="F9077" s="2">
        <v>3</v>
      </c>
      <c r="G9077" t="s">
        <v>513</v>
      </c>
    </row>
    <row r="9078" spans="1:7" x14ac:dyDescent="0.25">
      <c r="A9078" s="1" t="str">
        <f>"516469"</f>
        <v>516469</v>
      </c>
      <c r="B9078" s="2" t="str">
        <f>"DISJUNTOR MOTOR 3RV10 31-4FA10"</f>
        <v>DISJUNTOR MOTOR 3RV10 31-4FA10</v>
      </c>
      <c r="C9078" s="2" t="str">
        <f t="shared" si="349"/>
        <v>UN</v>
      </c>
      <c r="D9078" s="7">
        <v>811</v>
      </c>
      <c r="E9078" s="3">
        <v>8</v>
      </c>
      <c r="F9078" s="2">
        <v>3</v>
      </c>
      <c r="G9078" t="s">
        <v>514</v>
      </c>
    </row>
    <row r="9079" spans="1:7" x14ac:dyDescent="0.25">
      <c r="A9079" s="1" t="str">
        <f>"516218"</f>
        <v>516218</v>
      </c>
      <c r="B9079" s="2" t="str">
        <f>"DISJUNTOR MOTOR 3RV10 31-4GA10"</f>
        <v>DISJUNTOR MOTOR 3RV10 31-4GA10</v>
      </c>
      <c r="C9079" s="2" t="str">
        <f t="shared" si="349"/>
        <v>UN</v>
      </c>
      <c r="D9079" s="7">
        <v>600</v>
      </c>
      <c r="E9079" s="3">
        <v>8</v>
      </c>
      <c r="F9079" s="2">
        <v>2</v>
      </c>
      <c r="G9079" t="s">
        <v>514</v>
      </c>
    </row>
    <row r="9080" spans="1:7" x14ac:dyDescent="0.25">
      <c r="A9080" s="1" t="str">
        <f>"520959"</f>
        <v>520959</v>
      </c>
      <c r="B9080" s="2" t="str">
        <f>"DISJUNTOR MOTOR 3RV10 31-AHA10"</f>
        <v>DISJUNTOR MOTOR 3RV10 31-AHA10</v>
      </c>
      <c r="C9080" s="2" t="str">
        <f t="shared" si="349"/>
        <v>UN</v>
      </c>
      <c r="D9080" s="7">
        <v>811</v>
      </c>
      <c r="E9080" s="3">
        <v>8</v>
      </c>
      <c r="F9080" s="2">
        <v>1</v>
      </c>
      <c r="G9080" t="s">
        <v>514</v>
      </c>
    </row>
    <row r="9081" spans="1:7" x14ac:dyDescent="0.25">
      <c r="A9081" s="1" t="str">
        <f>"516470"</f>
        <v>516470</v>
      </c>
      <c r="B9081" s="2" t="str">
        <f>"DISJUNTOR MOTOR 3RV10 41-4KA10"</f>
        <v>DISJUNTOR MOTOR 3RV10 41-4KA10</v>
      </c>
      <c r="C9081" s="2" t="str">
        <f t="shared" si="349"/>
        <v>UN</v>
      </c>
      <c r="D9081" s="7">
        <v>811</v>
      </c>
      <c r="E9081" s="3">
        <v>8</v>
      </c>
      <c r="F9081" s="2">
        <v>4</v>
      </c>
      <c r="G9081" t="s">
        <v>513</v>
      </c>
    </row>
    <row r="9082" spans="1:7" x14ac:dyDescent="0.25">
      <c r="A9082" s="1" t="str">
        <f>"520961"</f>
        <v>520961</v>
      </c>
      <c r="B9082" s="2" t="str">
        <f>"DISJUNTOR MOTOR 3RV10 41-4KA10"</f>
        <v>DISJUNTOR MOTOR 3RV10 41-4KA10</v>
      </c>
      <c r="C9082" s="2" t="str">
        <f t="shared" si="349"/>
        <v>UN</v>
      </c>
      <c r="D9082" s="7">
        <v>811</v>
      </c>
      <c r="E9082" s="3">
        <v>8</v>
      </c>
      <c r="F9082" s="2">
        <v>1</v>
      </c>
      <c r="G9082" t="s">
        <v>513</v>
      </c>
    </row>
    <row r="9083" spans="1:7" x14ac:dyDescent="0.25">
      <c r="A9083" s="1" t="str">
        <f>"520960"</f>
        <v>520960</v>
      </c>
      <c r="B9083" s="2" t="str">
        <f>"DISJUNTOR MOTOR 3RV10 41-4LA10"</f>
        <v>DISJUNTOR MOTOR 3RV10 41-4LA10</v>
      </c>
      <c r="C9083" s="2" t="str">
        <f t="shared" si="349"/>
        <v>UN</v>
      </c>
      <c r="D9083" s="7">
        <v>811</v>
      </c>
      <c r="E9083" s="3">
        <v>8</v>
      </c>
      <c r="F9083" s="2">
        <v>2</v>
      </c>
      <c r="G9083" t="s">
        <v>513</v>
      </c>
    </row>
    <row r="9084" spans="1:7" x14ac:dyDescent="0.25">
      <c r="A9084" s="1" t="str">
        <f>"511920"</f>
        <v>511920</v>
      </c>
      <c r="B9084" s="2" t="str">
        <f>"DISJUNTOR MOTOR 3RV10 A11-1HA10"</f>
        <v>DISJUNTOR MOTOR 3RV10 A11-1HA10</v>
      </c>
      <c r="C9084" s="2" t="str">
        <f t="shared" si="349"/>
        <v>UN</v>
      </c>
      <c r="D9084" s="7">
        <v>600</v>
      </c>
      <c r="E9084" s="3">
        <v>8</v>
      </c>
      <c r="F9084" s="2">
        <v>7</v>
      </c>
      <c r="G9084" t="s">
        <v>512</v>
      </c>
    </row>
    <row r="9085" spans="1:7" x14ac:dyDescent="0.25">
      <c r="A9085" s="1" t="str">
        <f>"526666"</f>
        <v>526666</v>
      </c>
      <c r="B9085" s="2" t="str">
        <f>"DISJUNTOR MOTOR 3RV1021-0JA10"</f>
        <v>DISJUNTOR MOTOR 3RV1021-0JA10</v>
      </c>
      <c r="C9085" s="2" t="str">
        <f t="shared" si="349"/>
        <v>UN</v>
      </c>
      <c r="D9085" s="7">
        <v>811</v>
      </c>
      <c r="E9085" s="3">
        <v>8</v>
      </c>
      <c r="F9085" s="2">
        <v>9</v>
      </c>
      <c r="G9085" t="s">
        <v>513</v>
      </c>
    </row>
    <row r="9086" spans="1:7" x14ac:dyDescent="0.25">
      <c r="A9086" s="1" t="str">
        <f>"518128"</f>
        <v>518128</v>
      </c>
      <c r="B9086" s="2" t="str">
        <f>"DISJUNTOR MOTOR 3RV19 01 1E (CHAVE AUXILIAR FRONTAL 1NA+1NF)"</f>
        <v>DISJUNTOR MOTOR 3RV19 01 1E (CHAVE AUXILIAR FRONTAL 1NA+1NF)</v>
      </c>
      <c r="C9086" s="2" t="str">
        <f t="shared" si="349"/>
        <v>UN</v>
      </c>
      <c r="D9086" s="7">
        <v>811</v>
      </c>
      <c r="E9086" s="3">
        <v>8</v>
      </c>
      <c r="F9086" s="2">
        <v>0</v>
      </c>
      <c r="G9086" t="s">
        <v>514</v>
      </c>
    </row>
    <row r="9087" spans="1:7" x14ac:dyDescent="0.25">
      <c r="A9087" s="1" t="str">
        <f>"526995"</f>
        <v>526995</v>
      </c>
      <c r="B9087" s="2" t="str">
        <f>"DISJUNTOR MOTOR 3RV31-4FA10"</f>
        <v>DISJUNTOR MOTOR 3RV31-4FA10</v>
      </c>
      <c r="C9087" s="2" t="str">
        <f t="shared" si="349"/>
        <v>UN</v>
      </c>
      <c r="D9087" s="7">
        <v>811</v>
      </c>
      <c r="E9087" s="3">
        <v>8</v>
      </c>
      <c r="F9087" s="2">
        <v>0</v>
      </c>
      <c r="G9087" t="s">
        <v>515</v>
      </c>
    </row>
    <row r="9088" spans="1:7" x14ac:dyDescent="0.25">
      <c r="A9088" s="1" t="str">
        <f>"525122"</f>
        <v>525122</v>
      </c>
      <c r="B9088" s="2" t="str">
        <f>"DISJUNTOR MOTOR GV2ME05 0,63 A 1A"</f>
        <v>DISJUNTOR MOTOR GV2ME05 0,63 A 1A</v>
      </c>
      <c r="C9088" s="2" t="str">
        <f>"MT"</f>
        <v>MT</v>
      </c>
      <c r="D9088" s="7">
        <v>602</v>
      </c>
      <c r="E9088" s="3">
        <v>8</v>
      </c>
      <c r="F9088" s="2">
        <v>4</v>
      </c>
      <c r="G9088" t="s">
        <v>512</v>
      </c>
    </row>
    <row r="9089" spans="1:7" x14ac:dyDescent="0.25">
      <c r="A9089" s="1" t="str">
        <f>"527486"</f>
        <v>527486</v>
      </c>
      <c r="B9089" s="2" t="str">
        <f>"DISJUNTOR MOTOR GV2ME20 13-18A SCHINEIDER"</f>
        <v>DISJUNTOR MOTOR GV2ME20 13-18A SCHINEIDER</v>
      </c>
      <c r="C9089" s="2" t="str">
        <f t="shared" ref="C9089:C9124" si="350">"UN"</f>
        <v>UN</v>
      </c>
      <c r="D9089" s="7">
        <v>600</v>
      </c>
      <c r="E9089" s="3">
        <v>8</v>
      </c>
      <c r="F9089" s="2">
        <v>1</v>
      </c>
      <c r="G9089" t="s">
        <v>516</v>
      </c>
    </row>
    <row r="9090" spans="1:7" x14ac:dyDescent="0.25">
      <c r="A9090" s="1" t="str">
        <f>"513003"</f>
        <v>513003</v>
      </c>
      <c r="B9090" s="2" t="str">
        <f>"DISJUNTOR MOTOR MPW 25 COM AJUSTE DE 10 A 17 AMP WEG"</f>
        <v>DISJUNTOR MOTOR MPW 25 COM AJUSTE DE 10 A 17 AMP WEG</v>
      </c>
      <c r="C9090" s="2" t="str">
        <f t="shared" si="350"/>
        <v>UN</v>
      </c>
      <c r="D9090" s="7">
        <v>811</v>
      </c>
      <c r="E9090" s="3">
        <v>8</v>
      </c>
      <c r="F9090" s="2">
        <v>2</v>
      </c>
      <c r="G9090" t="s">
        <v>515</v>
      </c>
    </row>
    <row r="9091" spans="1:7" x14ac:dyDescent="0.25">
      <c r="A9091" s="1" t="str">
        <f>"522351"</f>
        <v>522351</v>
      </c>
      <c r="B9091" s="2" t="str">
        <f>"DISJUNTOR SCH./MERLIN GERIN I. TRI. CVS10053100 70-100A 25KA"</f>
        <v>DISJUNTOR SCH./MERLIN GERIN I. TRI. CVS10053100 70-100A 25KA</v>
      </c>
      <c r="C9091" s="2" t="str">
        <f t="shared" si="350"/>
        <v>UN</v>
      </c>
      <c r="D9091" s="7">
        <v>811</v>
      </c>
      <c r="E9091" s="3">
        <v>11</v>
      </c>
      <c r="F9091" s="2">
        <v>7</v>
      </c>
      <c r="G9091" t="s">
        <v>514</v>
      </c>
    </row>
    <row r="9092" spans="1:7" x14ac:dyDescent="0.25">
      <c r="A9092" s="1" t="str">
        <f>"525361"</f>
        <v>525361</v>
      </c>
      <c r="B9092" s="2" t="str">
        <f>"DISJUNTOR SCH./MERLIN GERIN I. TRI. CVS160B3160 112-160A 25K"</f>
        <v>DISJUNTOR SCH./MERLIN GERIN I. TRI. CVS160B3160 112-160A 25K</v>
      </c>
      <c r="C9092" s="2" t="str">
        <f t="shared" si="350"/>
        <v>UN</v>
      </c>
      <c r="D9092" s="7">
        <v>811</v>
      </c>
      <c r="E9092" s="3">
        <v>11</v>
      </c>
      <c r="F9092" s="2">
        <v>9</v>
      </c>
      <c r="G9092" t="s">
        <v>512</v>
      </c>
    </row>
    <row r="9093" spans="1:7" x14ac:dyDescent="0.25">
      <c r="A9093" s="1" t="str">
        <f>"526474"</f>
        <v>526474</v>
      </c>
      <c r="B9093" s="2" t="str">
        <f>"DISJUNTOR SCHNEIDER GERIN I TRIPOLAR EZC630N3500N 500A"</f>
        <v>DISJUNTOR SCHNEIDER GERIN I TRIPOLAR EZC630N3500N 500A</v>
      </c>
      <c r="C9093" s="2" t="str">
        <f t="shared" si="350"/>
        <v>UN</v>
      </c>
      <c r="D9093" s="7">
        <v>811</v>
      </c>
      <c r="E9093" s="3">
        <v>8</v>
      </c>
      <c r="F9093" s="5">
        <v>5</v>
      </c>
      <c r="G9093" t="s">
        <v>513</v>
      </c>
    </row>
    <row r="9094" spans="1:7" x14ac:dyDescent="0.25">
      <c r="A9094" s="1" t="str">
        <f>"517208"</f>
        <v>517208</v>
      </c>
      <c r="B9094" s="2" t="str">
        <f>"DISJUNTOR SCHNEIDER TRIFASICO INS63 PL10303 - 9RSN0222338"</f>
        <v>DISJUNTOR SCHNEIDER TRIFASICO INS63 PL10303 - 9RSN0222338</v>
      </c>
      <c r="C9094" s="2" t="str">
        <f t="shared" si="350"/>
        <v>UN</v>
      </c>
      <c r="D9094" s="7">
        <v>811</v>
      </c>
      <c r="E9094" s="3">
        <v>8</v>
      </c>
      <c r="F9094" s="2">
        <v>3</v>
      </c>
      <c r="G9094" t="s">
        <v>514</v>
      </c>
    </row>
    <row r="9095" spans="1:7" x14ac:dyDescent="0.25">
      <c r="A9095" s="1" t="str">
        <f>"507071"</f>
        <v>507071</v>
      </c>
      <c r="B9095" s="2" t="str">
        <f>"DISJUNTOR SIEMENS 3VF22130FP41-0AA0"</f>
        <v>DISJUNTOR SIEMENS 3VF22130FP41-0AA0</v>
      </c>
      <c r="C9095" s="2" t="str">
        <f t="shared" si="350"/>
        <v>UN</v>
      </c>
      <c r="D9095" s="7">
        <v>811</v>
      </c>
      <c r="E9095" s="3">
        <v>8</v>
      </c>
      <c r="F9095" s="2">
        <v>8</v>
      </c>
      <c r="G9095" t="s">
        <v>514</v>
      </c>
    </row>
    <row r="9096" spans="1:7" x14ac:dyDescent="0.25">
      <c r="A9096" s="1" t="str">
        <f>"516269"</f>
        <v>516269</v>
      </c>
      <c r="B9096" s="2" t="str">
        <f>"DISJUNTOR SIEMENS 3VF2213-0FP41-0AA0"</f>
        <v>DISJUNTOR SIEMENS 3VF2213-0FP41-0AA0</v>
      </c>
      <c r="C9096" s="2" t="str">
        <f t="shared" si="350"/>
        <v>UN</v>
      </c>
      <c r="D9096" s="7">
        <v>600</v>
      </c>
      <c r="E9096" s="3">
        <v>8</v>
      </c>
      <c r="F9096" s="2">
        <v>6</v>
      </c>
      <c r="G9096" t="s">
        <v>512</v>
      </c>
    </row>
    <row r="9097" spans="1:7" x14ac:dyDescent="0.25">
      <c r="A9097" s="1" t="str">
        <f>"516270"</f>
        <v>516270</v>
      </c>
      <c r="B9097" s="2" t="str">
        <f>"DISJUNTOR SIEMENS 3VF2213-0FQ41-0AA0"</f>
        <v>DISJUNTOR SIEMENS 3VF2213-0FQ41-0AA0</v>
      </c>
      <c r="C9097" s="2" t="str">
        <f t="shared" si="350"/>
        <v>UN</v>
      </c>
      <c r="D9097" s="7">
        <v>600</v>
      </c>
      <c r="E9097" s="3">
        <v>8</v>
      </c>
      <c r="F9097" s="2">
        <v>4</v>
      </c>
      <c r="G9097" t="s">
        <v>513</v>
      </c>
    </row>
    <row r="9098" spans="1:7" x14ac:dyDescent="0.25">
      <c r="A9098" s="1" t="str">
        <f>"517399"</f>
        <v>517399</v>
      </c>
      <c r="B9098" s="2" t="str">
        <f>"DISJUNTOR SIEMENS 3VL08-1 DD33-0AA0"</f>
        <v>DISJUNTOR SIEMENS 3VL08-1 DD33-0AA0</v>
      </c>
      <c r="C9098" s="2" t="str">
        <f t="shared" si="350"/>
        <v>UN</v>
      </c>
      <c r="D9098" s="7">
        <v>811</v>
      </c>
      <c r="E9098" s="3">
        <v>8</v>
      </c>
      <c r="F9098" s="2">
        <v>1</v>
      </c>
      <c r="G9098" t="s">
        <v>514</v>
      </c>
    </row>
    <row r="9099" spans="1:7" x14ac:dyDescent="0.25">
      <c r="A9099" s="1" t="str">
        <f>"517394"</f>
        <v>517394</v>
      </c>
      <c r="B9099" s="2" t="str">
        <f>"DISJUNTOR SIEMENS 3VL1705-1 D33-0AA0"</f>
        <v>DISJUNTOR SIEMENS 3VL1705-1 D33-0AA0</v>
      </c>
      <c r="C9099" s="2" t="str">
        <f t="shared" si="350"/>
        <v>UN</v>
      </c>
      <c r="D9099" s="7">
        <v>811</v>
      </c>
      <c r="E9099" s="3">
        <v>8</v>
      </c>
      <c r="F9099" s="2">
        <v>2</v>
      </c>
      <c r="G9099" t="s">
        <v>514</v>
      </c>
    </row>
    <row r="9100" spans="1:7" x14ac:dyDescent="0.25">
      <c r="A9100" s="1" t="str">
        <f>"517393"</f>
        <v>517393</v>
      </c>
      <c r="B9100" s="2" t="str">
        <f>"DISJUNTOR SIEMENS 3VL1705-1 DD33-0AA0"</f>
        <v>DISJUNTOR SIEMENS 3VL1705-1 DD33-0AA0</v>
      </c>
      <c r="C9100" s="2" t="str">
        <f t="shared" si="350"/>
        <v>UN</v>
      </c>
      <c r="D9100" s="7">
        <v>811</v>
      </c>
      <c r="E9100" s="3">
        <v>8</v>
      </c>
      <c r="F9100" s="2">
        <v>7</v>
      </c>
      <c r="G9100" t="s">
        <v>514</v>
      </c>
    </row>
    <row r="9101" spans="1:7" x14ac:dyDescent="0.25">
      <c r="A9101" s="1" t="str">
        <f>"517392"</f>
        <v>517392</v>
      </c>
      <c r="B9101" s="2" t="str">
        <f>"DISJUNTOR SIEMENS 3VL1706-1 DD33-A00A"</f>
        <v>DISJUNTOR SIEMENS 3VL1706-1 DD33-A00A</v>
      </c>
      <c r="C9101" s="2" t="str">
        <f t="shared" si="350"/>
        <v>UN</v>
      </c>
      <c r="D9101" s="7">
        <v>811</v>
      </c>
      <c r="E9101" s="3">
        <v>8</v>
      </c>
      <c r="F9101" s="2">
        <v>9</v>
      </c>
      <c r="G9101" t="s">
        <v>513</v>
      </c>
    </row>
    <row r="9102" spans="1:7" x14ac:dyDescent="0.25">
      <c r="A9102" s="1" t="str">
        <f>"517391"</f>
        <v>517391</v>
      </c>
      <c r="B9102" s="2" t="str">
        <f>"DISJUNTOR SIEMENS 3VL1710-1 DD33-0AA0"</f>
        <v>DISJUNTOR SIEMENS 3VL1710-1 DD33-0AA0</v>
      </c>
      <c r="C9102" s="2" t="str">
        <f t="shared" si="350"/>
        <v>UN</v>
      </c>
      <c r="D9102" s="7">
        <v>811</v>
      </c>
      <c r="E9102" s="3">
        <v>8</v>
      </c>
      <c r="F9102" s="2">
        <v>0</v>
      </c>
      <c r="G9102" t="s">
        <v>512</v>
      </c>
    </row>
    <row r="9103" spans="1:7" x14ac:dyDescent="0.25">
      <c r="A9103" s="1" t="str">
        <f>"517390"</f>
        <v>517390</v>
      </c>
      <c r="B9103" s="2" t="str">
        <f>"DISJUNTOR SIEMENS 3VL1712-1 DD33-0AA0"</f>
        <v>DISJUNTOR SIEMENS 3VL1712-1 DD33-0AA0</v>
      </c>
      <c r="C9103" s="2" t="str">
        <f t="shared" si="350"/>
        <v>UN</v>
      </c>
      <c r="D9103" s="7">
        <v>811</v>
      </c>
      <c r="E9103" s="3">
        <v>8</v>
      </c>
      <c r="F9103" s="2">
        <v>0</v>
      </c>
      <c r="G9103" t="s">
        <v>513</v>
      </c>
    </row>
    <row r="9104" spans="1:7" x14ac:dyDescent="0.25">
      <c r="A9104" s="1" t="str">
        <f>"507070"</f>
        <v>507070</v>
      </c>
      <c r="B9104" s="2" t="str">
        <f>"DISJUNTOR SIEMENS 3VL17161DA33-0AA0"</f>
        <v>DISJUNTOR SIEMENS 3VL17161DA33-0AA0</v>
      </c>
      <c r="C9104" s="2" t="str">
        <f t="shared" si="350"/>
        <v>UN</v>
      </c>
      <c r="D9104" s="7">
        <v>811</v>
      </c>
      <c r="E9104" s="3">
        <v>8</v>
      </c>
      <c r="F9104" s="2">
        <v>2</v>
      </c>
      <c r="G9104" t="s">
        <v>514</v>
      </c>
    </row>
    <row r="9105" spans="1:7" x14ac:dyDescent="0.25">
      <c r="A9105" s="1" t="str">
        <f>"517388"</f>
        <v>517388</v>
      </c>
      <c r="B9105" s="2" t="str">
        <f>"DISJUNTOR SIEMENS 3VL3720-1DC36-0AA0"</f>
        <v>DISJUNTOR SIEMENS 3VL3720-1DC36-0AA0</v>
      </c>
      <c r="C9105" s="2" t="str">
        <f t="shared" si="350"/>
        <v>UN</v>
      </c>
      <c r="D9105" s="7">
        <v>811</v>
      </c>
      <c r="E9105" s="3">
        <v>8</v>
      </c>
      <c r="F9105" s="2">
        <v>5</v>
      </c>
      <c r="G9105" t="s">
        <v>514</v>
      </c>
    </row>
    <row r="9106" spans="1:7" x14ac:dyDescent="0.25">
      <c r="A9106" s="1" t="str">
        <f>"517389"</f>
        <v>517389</v>
      </c>
      <c r="B9106" s="2" t="str">
        <f>"DISJUNTOR SIEMENS 3VL3720-1DC36-0AA0"</f>
        <v>DISJUNTOR SIEMENS 3VL3720-1DC36-0AA0</v>
      </c>
      <c r="C9106" s="2" t="str">
        <f t="shared" si="350"/>
        <v>UN</v>
      </c>
      <c r="D9106" s="7">
        <v>811</v>
      </c>
      <c r="E9106" s="3">
        <v>8</v>
      </c>
      <c r="F9106" s="2">
        <v>6</v>
      </c>
      <c r="G9106" t="s">
        <v>514</v>
      </c>
    </row>
    <row r="9107" spans="1:7" x14ac:dyDescent="0.25">
      <c r="A9107" s="1" t="str">
        <f>"517400"</f>
        <v>517400</v>
      </c>
      <c r="B9107" s="2" t="str">
        <f>"DISJUNTOR SIEMENS 3VL5763-1 DC36-0AA0"</f>
        <v>DISJUNTOR SIEMENS 3VL5763-1 DC36-0AA0</v>
      </c>
      <c r="C9107" s="2" t="str">
        <f t="shared" si="350"/>
        <v>UN</v>
      </c>
      <c r="D9107" s="7">
        <v>811</v>
      </c>
      <c r="E9107" s="3">
        <v>8</v>
      </c>
      <c r="F9107" s="2">
        <v>9</v>
      </c>
      <c r="G9107" t="s">
        <v>513</v>
      </c>
    </row>
    <row r="9108" spans="1:7" x14ac:dyDescent="0.25">
      <c r="A9108" s="1" t="str">
        <f>"507075"</f>
        <v>507075</v>
      </c>
      <c r="B9108" s="2" t="str">
        <f>"DISJUNTOR SIEMENS 3VT1 3VT1712-2DA36-0AA0 125A"</f>
        <v>DISJUNTOR SIEMENS 3VT1 3VT1712-2DA36-0AA0 125A</v>
      </c>
      <c r="C9108" s="2" t="str">
        <f t="shared" si="350"/>
        <v>UN</v>
      </c>
      <c r="D9108" s="7">
        <v>811</v>
      </c>
      <c r="E9108" s="3">
        <v>8</v>
      </c>
      <c r="F9108" s="2">
        <v>5</v>
      </c>
      <c r="G9108" t="s">
        <v>513</v>
      </c>
    </row>
    <row r="9109" spans="1:7" x14ac:dyDescent="0.25">
      <c r="A9109" s="1" t="str">
        <f>"509978"</f>
        <v>509978</v>
      </c>
      <c r="B9109" s="2" t="str">
        <f>"DISJUNTOR SIEMENS 4P 80A"</f>
        <v>DISJUNTOR SIEMENS 4P 80A</v>
      </c>
      <c r="C9109" s="2" t="str">
        <f t="shared" si="350"/>
        <v>UN</v>
      </c>
      <c r="D9109" s="7">
        <v>900</v>
      </c>
      <c r="E9109" s="3">
        <v>11</v>
      </c>
      <c r="F9109" s="2">
        <v>3</v>
      </c>
      <c r="G9109" t="s">
        <v>513</v>
      </c>
    </row>
    <row r="9110" spans="1:7" x14ac:dyDescent="0.25">
      <c r="A9110" s="1" t="str">
        <f>"517396"</f>
        <v>517396</v>
      </c>
      <c r="B9110" s="2" t="str">
        <f>"DISJUNTOR SIEMENS 5SX1 120-6"</f>
        <v>DISJUNTOR SIEMENS 5SX1 120-6</v>
      </c>
      <c r="C9110" s="2" t="str">
        <f t="shared" si="350"/>
        <v>UN</v>
      </c>
      <c r="D9110" s="7">
        <v>811</v>
      </c>
      <c r="E9110" s="3">
        <v>8</v>
      </c>
      <c r="F9110" s="2">
        <v>3</v>
      </c>
      <c r="G9110" t="s">
        <v>512</v>
      </c>
    </row>
    <row r="9111" spans="1:7" x14ac:dyDescent="0.25">
      <c r="A9111" s="1" t="str">
        <f>"517397"</f>
        <v>517397</v>
      </c>
      <c r="B9111" s="2" t="str">
        <f>"DISJUNTOR SIEMENS 5SX1 120-6"</f>
        <v>DISJUNTOR SIEMENS 5SX1 120-6</v>
      </c>
      <c r="C9111" s="2" t="str">
        <f t="shared" si="350"/>
        <v>UN</v>
      </c>
      <c r="D9111" s="7">
        <v>811</v>
      </c>
      <c r="E9111" s="3">
        <v>8</v>
      </c>
      <c r="F9111" s="2">
        <v>2</v>
      </c>
      <c r="G9111" t="s">
        <v>513</v>
      </c>
    </row>
    <row r="9112" spans="1:7" x14ac:dyDescent="0.25">
      <c r="A9112" s="1" t="str">
        <f>"517398"</f>
        <v>517398</v>
      </c>
      <c r="B9112" s="2" t="str">
        <f>"DISJUNTOR SIEMENS 5SX1 120-6"</f>
        <v>DISJUNTOR SIEMENS 5SX1 120-6</v>
      </c>
      <c r="C9112" s="2" t="str">
        <f t="shared" si="350"/>
        <v>UN</v>
      </c>
      <c r="D9112" s="7">
        <v>811</v>
      </c>
      <c r="E9112" s="3">
        <v>8</v>
      </c>
      <c r="F9112" s="2">
        <v>1</v>
      </c>
      <c r="G9112" t="s">
        <v>514</v>
      </c>
    </row>
    <row r="9113" spans="1:7" x14ac:dyDescent="0.25">
      <c r="A9113" s="1" t="str">
        <f>"515946"</f>
        <v>515946</v>
      </c>
      <c r="B9113" s="2" t="str">
        <f>"DISJUNTOR SIEMENS I 3VT9300-2AF10"</f>
        <v>DISJUNTOR SIEMENS I 3VT9300-2AF10</v>
      </c>
      <c r="C9113" s="2" t="str">
        <f t="shared" si="350"/>
        <v>UN</v>
      </c>
      <c r="D9113" s="7">
        <v>811</v>
      </c>
      <c r="E9113" s="3">
        <v>8</v>
      </c>
      <c r="F9113" s="2">
        <v>4</v>
      </c>
      <c r="G9113" t="s">
        <v>515</v>
      </c>
    </row>
    <row r="9114" spans="1:7" x14ac:dyDescent="0.25">
      <c r="A9114" s="1" t="str">
        <f>"513951"</f>
        <v>513951</v>
      </c>
      <c r="B9114" s="2" t="str">
        <f>"DISJUNTOR TELEMECANIQUE MOTOR GV2-P22 20-25A"</f>
        <v>DISJUNTOR TELEMECANIQUE MOTOR GV2-P22 20-25A</v>
      </c>
      <c r="C9114" s="2" t="str">
        <f t="shared" si="350"/>
        <v>UN</v>
      </c>
      <c r="D9114" s="7">
        <v>811</v>
      </c>
      <c r="E9114" s="3">
        <v>8</v>
      </c>
      <c r="F9114" s="2">
        <v>6</v>
      </c>
      <c r="G9114" t="s">
        <v>512</v>
      </c>
    </row>
    <row r="9115" spans="1:7" x14ac:dyDescent="0.25">
      <c r="A9115" s="1" t="str">
        <f>"511302"</f>
        <v>511302</v>
      </c>
      <c r="B9115" s="2" t="str">
        <f>"DISJUNTOR TERMICO 15A"</f>
        <v>DISJUNTOR TERMICO 15A</v>
      </c>
      <c r="C9115" s="2" t="str">
        <f t="shared" si="350"/>
        <v>UN</v>
      </c>
      <c r="D9115" s="7">
        <v>600</v>
      </c>
      <c r="E9115" s="3">
        <v>8</v>
      </c>
      <c r="F9115" s="2">
        <v>8</v>
      </c>
      <c r="G9115" t="s">
        <v>516</v>
      </c>
    </row>
    <row r="9116" spans="1:7" x14ac:dyDescent="0.25">
      <c r="A9116" s="1" t="str">
        <f>"511294"</f>
        <v>511294</v>
      </c>
      <c r="B9116" s="2" t="str">
        <f>"DISJUNTOR TERMICO 30A"</f>
        <v>DISJUNTOR TERMICO 30A</v>
      </c>
      <c r="C9116" s="2" t="str">
        <f t="shared" si="350"/>
        <v>UN</v>
      </c>
      <c r="D9116" s="7">
        <v>600</v>
      </c>
      <c r="E9116" s="3">
        <v>8</v>
      </c>
      <c r="F9116" s="2">
        <v>7</v>
      </c>
      <c r="G9116" t="s">
        <v>515</v>
      </c>
    </row>
    <row r="9117" spans="1:7" x14ac:dyDescent="0.25">
      <c r="A9117" s="1" t="str">
        <f>"520454"</f>
        <v>520454</v>
      </c>
      <c r="B9117" s="2" t="str">
        <f>"DISJUNTOR TRIFASICO 20 A CURVA C"</f>
        <v>DISJUNTOR TRIFASICO 20 A CURVA C</v>
      </c>
      <c r="C9117" s="2" t="str">
        <f t="shared" si="350"/>
        <v>UN</v>
      </c>
      <c r="D9117" s="7">
        <v>900</v>
      </c>
      <c r="E9117" s="3">
        <v>8</v>
      </c>
      <c r="F9117" s="2">
        <v>6</v>
      </c>
      <c r="G9117" t="s">
        <v>514</v>
      </c>
    </row>
    <row r="9118" spans="1:7" x14ac:dyDescent="0.25">
      <c r="A9118" s="1" t="str">
        <f>"520234"</f>
        <v>520234</v>
      </c>
      <c r="B9118" s="2" t="str">
        <f>"DISJUNTOR TRIFASICO C/ CX MOLDADA 250A"</f>
        <v>DISJUNTOR TRIFASICO C/ CX MOLDADA 250A</v>
      </c>
      <c r="C9118" s="2" t="str">
        <f t="shared" si="350"/>
        <v>UN</v>
      </c>
      <c r="D9118" s="7">
        <v>811</v>
      </c>
      <c r="E9118" s="3">
        <v>10</v>
      </c>
      <c r="F9118" s="2">
        <v>6</v>
      </c>
      <c r="G9118" t="s">
        <v>512</v>
      </c>
    </row>
    <row r="9119" spans="1:7" x14ac:dyDescent="0.25">
      <c r="A9119" s="1" t="str">
        <f>"507069"</f>
        <v>507069</v>
      </c>
      <c r="B9119" s="2" t="str">
        <f>"DISJUNTOR TRIFASICO MOELLER LZM54 1500A"</f>
        <v>DISJUNTOR TRIFASICO MOELLER LZM54 1500A</v>
      </c>
      <c r="C9119" s="2" t="str">
        <f t="shared" si="350"/>
        <v>UN</v>
      </c>
      <c r="D9119" s="7">
        <v>811</v>
      </c>
      <c r="E9119" s="3">
        <v>8</v>
      </c>
      <c r="F9119" s="2">
        <v>2</v>
      </c>
      <c r="G9119" t="s">
        <v>513</v>
      </c>
    </row>
    <row r="9120" spans="1:7" x14ac:dyDescent="0.25">
      <c r="A9120" s="1" t="str">
        <f>"525463"</f>
        <v>525463</v>
      </c>
      <c r="B9120" s="2" t="str">
        <f>"DISJUNTOR TRIFASICO SCHNEIDER 500A"</f>
        <v>DISJUNTOR TRIFASICO SCHNEIDER 500A</v>
      </c>
      <c r="C9120" s="2" t="str">
        <f t="shared" si="350"/>
        <v>UN</v>
      </c>
      <c r="D9120" s="7">
        <v>811</v>
      </c>
      <c r="E9120" s="3">
        <v>8</v>
      </c>
      <c r="F9120" s="2">
        <v>1</v>
      </c>
      <c r="G9120" t="s">
        <v>514</v>
      </c>
    </row>
    <row r="9121" spans="1:7" x14ac:dyDescent="0.25">
      <c r="A9121" s="1" t="str">
        <f>"526738"</f>
        <v>526738</v>
      </c>
      <c r="B9121" s="2" t="str">
        <f>"DISJUNTOR TRIP 50 18K EZC100N3050"</f>
        <v>DISJUNTOR TRIP 50 18K EZC100N3050</v>
      </c>
      <c r="C9121" s="2" t="str">
        <f t="shared" si="350"/>
        <v>UN</v>
      </c>
      <c r="D9121" s="7">
        <v>811</v>
      </c>
      <c r="E9121" s="3">
        <v>8</v>
      </c>
      <c r="F9121" s="2">
        <v>0</v>
      </c>
      <c r="G9121" t="s">
        <v>514</v>
      </c>
    </row>
    <row r="9122" spans="1:7" x14ac:dyDescent="0.25">
      <c r="A9122" s="1" t="str">
        <f>"526737"</f>
        <v>526737</v>
      </c>
      <c r="B9122" s="2" t="str">
        <f>"DISJUNTOR TRIP 60 18K EZC100N3060"</f>
        <v>DISJUNTOR TRIP 60 18K EZC100N3060</v>
      </c>
      <c r="C9122" s="2" t="str">
        <f t="shared" si="350"/>
        <v>UN</v>
      </c>
      <c r="D9122" s="7">
        <v>811</v>
      </c>
      <c r="E9122" s="3">
        <v>8</v>
      </c>
      <c r="F9122" s="2">
        <v>0</v>
      </c>
      <c r="G9122" t="s">
        <v>512</v>
      </c>
    </row>
    <row r="9123" spans="1:7" x14ac:dyDescent="0.25">
      <c r="A9123" s="1" t="str">
        <f>"505624"</f>
        <v>505624</v>
      </c>
      <c r="B9123" s="2" t="str">
        <f>"DISJUNTOR TRIPOLAR DIN 06A"</f>
        <v>DISJUNTOR TRIPOLAR DIN 06A</v>
      </c>
      <c r="C9123" s="2" t="str">
        <f t="shared" si="350"/>
        <v>UN</v>
      </c>
      <c r="D9123" s="7">
        <v>600</v>
      </c>
      <c r="E9123" s="3">
        <v>8</v>
      </c>
      <c r="F9123" s="2">
        <v>0</v>
      </c>
      <c r="G9123" t="s">
        <v>513</v>
      </c>
    </row>
    <row r="9124" spans="1:7" x14ac:dyDescent="0.25">
      <c r="A9124" s="1" t="str">
        <f>"510399"</f>
        <v>510399</v>
      </c>
      <c r="B9124" s="2" t="str">
        <f>"DISJUNTOR TRIPOLAR DIN 100A"</f>
        <v>DISJUNTOR TRIPOLAR DIN 100A</v>
      </c>
      <c r="C9124" s="2" t="str">
        <f t="shared" si="350"/>
        <v>UN</v>
      </c>
      <c r="D9124" s="7">
        <v>600</v>
      </c>
      <c r="E9124" s="3">
        <v>8</v>
      </c>
      <c r="F9124" s="2">
        <v>3</v>
      </c>
      <c r="G9124" t="s">
        <v>514</v>
      </c>
    </row>
    <row r="9125" spans="1:7" x14ac:dyDescent="0.25">
      <c r="A9125" s="1" t="str">
        <f>"507666"</f>
        <v>507666</v>
      </c>
      <c r="B9125" s="2" t="str">
        <f>"DISJUNTOR TRIPOLAR DIN 10A"</f>
        <v>DISJUNTOR TRIPOLAR DIN 10A</v>
      </c>
      <c r="C9125" s="2" t="str">
        <f>"PC"</f>
        <v>PC</v>
      </c>
      <c r="D9125" s="7">
        <v>600</v>
      </c>
      <c r="E9125" s="3">
        <v>8</v>
      </c>
      <c r="F9125" s="5">
        <v>5</v>
      </c>
      <c r="G9125" t="s">
        <v>514</v>
      </c>
    </row>
    <row r="9126" spans="1:7" x14ac:dyDescent="0.25">
      <c r="A9126" s="1" t="str">
        <f>"505080"</f>
        <v>505080</v>
      </c>
      <c r="B9126" s="2" t="str">
        <f>"DISJUNTOR TRIPOLAR DIN 125A SCHNEIDER"</f>
        <v>DISJUNTOR TRIPOLAR DIN 125A SCHNEIDER</v>
      </c>
      <c r="C9126" s="2" t="str">
        <f t="shared" ref="C9126:C9153" si="351">"UN"</f>
        <v>UN</v>
      </c>
      <c r="D9126" s="7">
        <v>811</v>
      </c>
      <c r="E9126" s="3">
        <v>8</v>
      </c>
      <c r="F9126" s="2">
        <v>3</v>
      </c>
      <c r="G9126" t="s">
        <v>514</v>
      </c>
    </row>
    <row r="9127" spans="1:7" x14ac:dyDescent="0.25">
      <c r="A9127" s="1" t="str">
        <f>"509665"</f>
        <v>509665</v>
      </c>
      <c r="B9127" s="2" t="str">
        <f>"DISJUNTOR TRIPOLAR DIN 13A"</f>
        <v>DISJUNTOR TRIPOLAR DIN 13A</v>
      </c>
      <c r="C9127" s="2" t="str">
        <f t="shared" si="351"/>
        <v>UN</v>
      </c>
      <c r="D9127" s="7">
        <v>600</v>
      </c>
      <c r="E9127" s="3">
        <v>8</v>
      </c>
      <c r="F9127" s="2">
        <v>8</v>
      </c>
      <c r="G9127" t="s">
        <v>513</v>
      </c>
    </row>
    <row r="9128" spans="1:7" x14ac:dyDescent="0.25">
      <c r="A9128" s="1" t="str">
        <f>"519140"</f>
        <v>519140</v>
      </c>
      <c r="B9128" s="2" t="str">
        <f>"DISJUNTOR TRIPOLAR DIN 160A"</f>
        <v>DISJUNTOR TRIPOLAR DIN 160A</v>
      </c>
      <c r="C9128" s="2" t="str">
        <f t="shared" si="351"/>
        <v>UN</v>
      </c>
      <c r="D9128" s="7">
        <v>600</v>
      </c>
      <c r="E9128" s="3">
        <v>8</v>
      </c>
      <c r="F9128" s="2">
        <v>6</v>
      </c>
      <c r="G9128" t="s">
        <v>512</v>
      </c>
    </row>
    <row r="9129" spans="1:7" x14ac:dyDescent="0.25">
      <c r="A9129" s="1" t="str">
        <f>"502534"</f>
        <v>502534</v>
      </c>
      <c r="B9129" s="2" t="str">
        <f>"DISJUNTOR TRIPOLAR DIN 16A"</f>
        <v>DISJUNTOR TRIPOLAR DIN 16A</v>
      </c>
      <c r="C9129" s="2" t="str">
        <f t="shared" si="351"/>
        <v>UN</v>
      </c>
      <c r="D9129" s="7">
        <v>600</v>
      </c>
      <c r="E9129" s="3">
        <v>8</v>
      </c>
      <c r="F9129" s="2">
        <v>4</v>
      </c>
      <c r="G9129" t="s">
        <v>513</v>
      </c>
    </row>
    <row r="9130" spans="1:7" x14ac:dyDescent="0.25">
      <c r="A9130" s="1" t="str">
        <f>"513032"</f>
        <v>513032</v>
      </c>
      <c r="B9130" s="2" t="str">
        <f>"DISJUNTOR TRIPOLAR DIN 16A CURVA C"</f>
        <v>DISJUNTOR TRIPOLAR DIN 16A CURVA C</v>
      </c>
      <c r="C9130" s="2" t="str">
        <f t="shared" si="351"/>
        <v>UN</v>
      </c>
      <c r="D9130" s="7">
        <v>600</v>
      </c>
      <c r="E9130" s="3">
        <v>8</v>
      </c>
      <c r="F9130" s="2">
        <v>1</v>
      </c>
      <c r="G9130" t="s">
        <v>514</v>
      </c>
    </row>
    <row r="9131" spans="1:7" x14ac:dyDescent="0.25">
      <c r="A9131" s="1" t="str">
        <f>"527916"</f>
        <v>527916</v>
      </c>
      <c r="B9131" s="2" t="str">
        <f>"DISJUNTOR TRIPOLAR DIN 16A CURVA C"</f>
        <v>DISJUNTOR TRIPOLAR DIN 16A CURVA C</v>
      </c>
      <c r="C9131" s="2" t="str">
        <f t="shared" si="351"/>
        <v>UN</v>
      </c>
      <c r="D9131" s="7">
        <v>600</v>
      </c>
      <c r="E9131" s="3">
        <v>8</v>
      </c>
      <c r="F9131" s="2">
        <v>2</v>
      </c>
      <c r="G9131" t="s">
        <v>514</v>
      </c>
    </row>
    <row r="9132" spans="1:7" x14ac:dyDescent="0.25">
      <c r="A9132" s="1" t="str">
        <f>"505008"</f>
        <v>505008</v>
      </c>
      <c r="B9132" s="2" t="str">
        <f>"DISJUNTOR TRIPOLAR DIN 200A"</f>
        <v>DISJUNTOR TRIPOLAR DIN 200A</v>
      </c>
      <c r="C9132" s="2" t="str">
        <f t="shared" si="351"/>
        <v>UN</v>
      </c>
      <c r="D9132" s="7">
        <v>811</v>
      </c>
      <c r="E9132" s="3">
        <v>8</v>
      </c>
      <c r="F9132" s="2">
        <v>7</v>
      </c>
      <c r="G9132" t="s">
        <v>514</v>
      </c>
    </row>
    <row r="9133" spans="1:7" x14ac:dyDescent="0.25">
      <c r="A9133" s="1" t="str">
        <f>"509663"</f>
        <v>509663</v>
      </c>
      <c r="B9133" s="2" t="str">
        <f>"DISJUNTOR TRIPOLAR DIN 20A SCHNEIDER EASY 9"</f>
        <v>DISJUNTOR TRIPOLAR DIN 20A SCHNEIDER EASY 9</v>
      </c>
      <c r="C9133" s="2" t="str">
        <f t="shared" si="351"/>
        <v>UN</v>
      </c>
      <c r="D9133" s="7">
        <v>600</v>
      </c>
      <c r="E9133" s="3">
        <v>8</v>
      </c>
      <c r="F9133" s="2">
        <v>9</v>
      </c>
      <c r="G9133" t="s">
        <v>513</v>
      </c>
    </row>
    <row r="9134" spans="1:7" x14ac:dyDescent="0.25">
      <c r="A9134" s="1" t="str">
        <f>"519089"</f>
        <v>519089</v>
      </c>
      <c r="B9134" s="2" t="str">
        <f>"DISJUNTOR TRIPOLAR DIN 250A"</f>
        <v>DISJUNTOR TRIPOLAR DIN 250A</v>
      </c>
      <c r="C9134" s="2" t="str">
        <f t="shared" si="351"/>
        <v>UN</v>
      </c>
      <c r="D9134" s="7">
        <v>811</v>
      </c>
      <c r="E9134" s="3">
        <v>8</v>
      </c>
      <c r="F9134" s="2">
        <v>0</v>
      </c>
      <c r="G9134" t="s">
        <v>513</v>
      </c>
    </row>
    <row r="9135" spans="1:7" x14ac:dyDescent="0.25">
      <c r="A9135" s="1" t="str">
        <f>"504092"</f>
        <v>504092</v>
      </c>
      <c r="B9135" s="2" t="str">
        <f>"DISJUNTOR TRIPOLAR DIN 25A"</f>
        <v>DISJUNTOR TRIPOLAR DIN 25A</v>
      </c>
      <c r="C9135" s="2" t="str">
        <f t="shared" si="351"/>
        <v>UN</v>
      </c>
      <c r="D9135" s="7">
        <v>600</v>
      </c>
      <c r="E9135" s="3">
        <v>8</v>
      </c>
      <c r="F9135" s="2">
        <v>0</v>
      </c>
      <c r="G9135" t="s">
        <v>513</v>
      </c>
    </row>
    <row r="9136" spans="1:7" x14ac:dyDescent="0.25">
      <c r="A9136" s="1" t="str">
        <f>"513031"</f>
        <v>513031</v>
      </c>
      <c r="B9136" s="2" t="str">
        <f>"DISJUNTOR TRIPOLAR DIN 25A CURVA C"</f>
        <v>DISJUNTOR TRIPOLAR DIN 25A CURVA C</v>
      </c>
      <c r="C9136" s="2" t="str">
        <f t="shared" si="351"/>
        <v>UN</v>
      </c>
      <c r="D9136" s="7">
        <v>600</v>
      </c>
      <c r="E9136" s="3">
        <v>8</v>
      </c>
      <c r="F9136" s="2">
        <v>2</v>
      </c>
      <c r="G9136" t="s">
        <v>512</v>
      </c>
    </row>
    <row r="9137" spans="1:7" x14ac:dyDescent="0.25">
      <c r="A9137" s="1" t="str">
        <f>"510096"</f>
        <v>510096</v>
      </c>
      <c r="B9137" s="2" t="str">
        <f>"DISJUNTOR TRIPOLAR DIN 30A"</f>
        <v>DISJUNTOR TRIPOLAR DIN 30A</v>
      </c>
      <c r="C9137" s="2" t="str">
        <f t="shared" si="351"/>
        <v>UN</v>
      </c>
      <c r="D9137" s="7">
        <v>900</v>
      </c>
      <c r="E9137" s="3">
        <v>11</v>
      </c>
      <c r="F9137" s="2">
        <v>5</v>
      </c>
      <c r="G9137" t="s">
        <v>513</v>
      </c>
    </row>
    <row r="9138" spans="1:7" x14ac:dyDescent="0.25">
      <c r="A9138" s="1" t="str">
        <f>"513030"</f>
        <v>513030</v>
      </c>
      <c r="B9138" s="2" t="str">
        <f>"DISJUNTOR TRIPOLAR DIN 32A CURVA C"</f>
        <v>DISJUNTOR TRIPOLAR DIN 32A CURVA C</v>
      </c>
      <c r="C9138" s="2" t="str">
        <f t="shared" si="351"/>
        <v>UN</v>
      </c>
      <c r="D9138" s="7">
        <v>600</v>
      </c>
      <c r="E9138" s="3">
        <v>8</v>
      </c>
      <c r="F9138" s="2">
        <v>6</v>
      </c>
      <c r="G9138" t="s">
        <v>514</v>
      </c>
    </row>
    <row r="9139" spans="1:7" x14ac:dyDescent="0.25">
      <c r="A9139" s="1" t="str">
        <f>"503593"</f>
        <v>503593</v>
      </c>
      <c r="B9139" s="2" t="str">
        <f>"DISJUNTOR TRIPOLAR DIN 32A SCHNEIDER EASY 9"</f>
        <v>DISJUNTOR TRIPOLAR DIN 32A SCHNEIDER EASY 9</v>
      </c>
      <c r="C9139" s="2" t="str">
        <f t="shared" si="351"/>
        <v>UN</v>
      </c>
      <c r="D9139" s="7">
        <v>600</v>
      </c>
      <c r="E9139" s="3">
        <v>8</v>
      </c>
      <c r="F9139" s="2">
        <v>9</v>
      </c>
      <c r="G9139" t="s">
        <v>515</v>
      </c>
    </row>
    <row r="9140" spans="1:7" x14ac:dyDescent="0.25">
      <c r="A9140" s="1" t="str">
        <f>"502535"</f>
        <v>502535</v>
      </c>
      <c r="B9140" s="2" t="str">
        <f>"DISJUNTOR TRIPOLAR DIN 40A"</f>
        <v>DISJUNTOR TRIPOLAR DIN 40A</v>
      </c>
      <c r="C9140" s="2" t="str">
        <f t="shared" si="351"/>
        <v>UN</v>
      </c>
      <c r="D9140" s="7">
        <v>600</v>
      </c>
      <c r="E9140" s="3">
        <v>8</v>
      </c>
      <c r="F9140" s="2">
        <v>5</v>
      </c>
      <c r="G9140" t="s">
        <v>512</v>
      </c>
    </row>
    <row r="9141" spans="1:7" x14ac:dyDescent="0.25">
      <c r="A9141" s="1" t="str">
        <f>"516295"</f>
        <v>516295</v>
      </c>
      <c r="B9141" s="2" t="str">
        <f>"DISJUNTOR TRIPOLAR DIN 50A"</f>
        <v>DISJUNTOR TRIPOLAR DIN 50A</v>
      </c>
      <c r="C9141" s="2" t="str">
        <f t="shared" si="351"/>
        <v>UN</v>
      </c>
      <c r="D9141" s="7">
        <v>811</v>
      </c>
      <c r="E9141" s="3">
        <v>8</v>
      </c>
      <c r="F9141" s="2">
        <v>3</v>
      </c>
      <c r="G9141" t="s">
        <v>516</v>
      </c>
    </row>
    <row r="9142" spans="1:7" x14ac:dyDescent="0.25">
      <c r="A9142" s="1" t="str">
        <f>"505009"</f>
        <v>505009</v>
      </c>
      <c r="B9142" s="2" t="str">
        <f>"DISJUNTOR TRIPOLAR DIN 60A"</f>
        <v>DISJUNTOR TRIPOLAR DIN 60A</v>
      </c>
      <c r="C9142" s="2" t="str">
        <f t="shared" si="351"/>
        <v>UN</v>
      </c>
      <c r="D9142" s="7">
        <v>811</v>
      </c>
      <c r="E9142" s="3">
        <v>8</v>
      </c>
      <c r="F9142" s="2">
        <v>3</v>
      </c>
      <c r="G9142" t="s">
        <v>515</v>
      </c>
    </row>
    <row r="9143" spans="1:7" x14ac:dyDescent="0.25">
      <c r="A9143" s="1" t="str">
        <f>"508416"</f>
        <v>508416</v>
      </c>
      <c r="B9143" s="2" t="str">
        <f>"DISJUNTOR TRIPOLAR DIN 70A"</f>
        <v>DISJUNTOR TRIPOLAR DIN 70A</v>
      </c>
      <c r="C9143" s="2" t="str">
        <f t="shared" si="351"/>
        <v>UN</v>
      </c>
      <c r="D9143" s="7">
        <v>600</v>
      </c>
      <c r="E9143" s="3">
        <v>8</v>
      </c>
      <c r="F9143" s="2">
        <v>2</v>
      </c>
      <c r="G9143" t="s">
        <v>514</v>
      </c>
    </row>
    <row r="9144" spans="1:7" x14ac:dyDescent="0.25">
      <c r="A9144" s="1" t="str">
        <f>"506000"</f>
        <v>506000</v>
      </c>
      <c r="B9144" s="2" t="str">
        <f>"DISJUNTOR TRIPOLAR DIN 80A"</f>
        <v>DISJUNTOR TRIPOLAR DIN 80A</v>
      </c>
      <c r="C9144" s="2" t="str">
        <f t="shared" si="351"/>
        <v>UN</v>
      </c>
      <c r="D9144" s="7">
        <v>600</v>
      </c>
      <c r="E9144" s="3">
        <v>8</v>
      </c>
      <c r="F9144" s="2">
        <v>1</v>
      </c>
      <c r="G9144" t="s">
        <v>512</v>
      </c>
    </row>
    <row r="9145" spans="1:7" x14ac:dyDescent="0.25">
      <c r="A9145" s="1" t="str">
        <f>"510398"</f>
        <v>510398</v>
      </c>
      <c r="B9145" s="2" t="str">
        <f>"DISJUNTOR TRIPOLAR DIN 90A"</f>
        <v>DISJUNTOR TRIPOLAR DIN 90A</v>
      </c>
      <c r="C9145" s="2" t="str">
        <f t="shared" si="351"/>
        <v>UN</v>
      </c>
      <c r="D9145" s="7">
        <v>600</v>
      </c>
      <c r="E9145" s="3">
        <v>8</v>
      </c>
      <c r="F9145" s="2">
        <v>4</v>
      </c>
      <c r="G9145" t="s">
        <v>513</v>
      </c>
    </row>
    <row r="9146" spans="1:7" x14ac:dyDescent="0.25">
      <c r="A9146" s="1" t="str">
        <f>"505777"</f>
        <v>505777</v>
      </c>
      <c r="B9146" s="2" t="str">
        <f>"DISJUNTOR TRIPOLAR SCHNEIDER DIN 63A"</f>
        <v>DISJUNTOR TRIPOLAR SCHNEIDER DIN 63A</v>
      </c>
      <c r="C9146" s="2" t="str">
        <f t="shared" si="351"/>
        <v>UN</v>
      </c>
      <c r="D9146" s="7">
        <v>600</v>
      </c>
      <c r="E9146" s="3">
        <v>8</v>
      </c>
      <c r="F9146" s="2">
        <v>1</v>
      </c>
      <c r="G9146" t="s">
        <v>514</v>
      </c>
    </row>
    <row r="9147" spans="1:7" x14ac:dyDescent="0.25">
      <c r="A9147" s="1" t="str">
        <f>"526248"</f>
        <v>526248</v>
      </c>
      <c r="B9147" s="2" t="str">
        <f>"DISJUNTOR UNIPOLAR 10A 5SY4-110-7"</f>
        <v>DISJUNTOR UNIPOLAR 10A 5SY4-110-7</v>
      </c>
      <c r="C9147" s="2" t="str">
        <f t="shared" si="351"/>
        <v>UN</v>
      </c>
      <c r="D9147" s="7">
        <v>600</v>
      </c>
      <c r="E9147" s="3">
        <v>8</v>
      </c>
      <c r="F9147" s="2">
        <v>2</v>
      </c>
      <c r="G9147" t="s">
        <v>514</v>
      </c>
    </row>
    <row r="9148" spans="1:7" x14ac:dyDescent="0.25">
      <c r="A9148" s="1" t="str">
        <f>"526238"</f>
        <v>526238</v>
      </c>
      <c r="B9148" s="2" t="str">
        <f>"DISJUNTOR UNIPOLAR 20A 5SY4-120-7"</f>
        <v>DISJUNTOR UNIPOLAR 20A 5SY4-120-7</v>
      </c>
      <c r="C9148" s="2" t="str">
        <f t="shared" si="351"/>
        <v>UN</v>
      </c>
      <c r="D9148" s="7">
        <v>600</v>
      </c>
      <c r="E9148" s="3">
        <v>8</v>
      </c>
      <c r="F9148" s="2">
        <v>7</v>
      </c>
      <c r="G9148" t="s">
        <v>512</v>
      </c>
    </row>
    <row r="9149" spans="1:7" x14ac:dyDescent="0.25">
      <c r="A9149" s="1" t="str">
        <f>"503688"</f>
        <v>503688</v>
      </c>
      <c r="B9149" s="2" t="str">
        <f>"DISJUNTOR UNIPOLAR DIN 04A"</f>
        <v>DISJUNTOR UNIPOLAR DIN 04A</v>
      </c>
      <c r="C9149" s="2" t="str">
        <f t="shared" si="351"/>
        <v>UN</v>
      </c>
      <c r="D9149" s="7">
        <v>600</v>
      </c>
      <c r="E9149" s="3">
        <v>8</v>
      </c>
      <c r="F9149" s="2">
        <v>9</v>
      </c>
      <c r="G9149" t="s">
        <v>513</v>
      </c>
    </row>
    <row r="9150" spans="1:7" x14ac:dyDescent="0.25">
      <c r="A9150" s="1" t="str">
        <f>"502307"</f>
        <v>502307</v>
      </c>
      <c r="B9150" s="2" t="str">
        <f>"DISJUNTOR UNIPOLAR DIN 06A SCHNEIDER EASY 9"</f>
        <v>DISJUNTOR UNIPOLAR DIN 06A SCHNEIDER EASY 9</v>
      </c>
      <c r="C9150" s="2" t="str">
        <f t="shared" si="351"/>
        <v>UN</v>
      </c>
      <c r="D9150" s="7">
        <v>600</v>
      </c>
      <c r="E9150" s="3">
        <v>8</v>
      </c>
      <c r="F9150" s="2">
        <v>0</v>
      </c>
      <c r="G9150" t="s">
        <v>514</v>
      </c>
    </row>
    <row r="9151" spans="1:7" x14ac:dyDescent="0.25">
      <c r="A9151" s="1" t="str">
        <f>"527913"</f>
        <v>527913</v>
      </c>
      <c r="B9151" s="2" t="str">
        <f>"DISJUNTOR UNIPOLAR DIN 10A CURVA C"</f>
        <v>DISJUNTOR UNIPOLAR DIN 10A CURVA C</v>
      </c>
      <c r="C9151" s="2" t="str">
        <f t="shared" si="351"/>
        <v>UN</v>
      </c>
      <c r="D9151" s="7">
        <v>600</v>
      </c>
      <c r="E9151" s="3">
        <v>8</v>
      </c>
      <c r="F9151" s="2">
        <v>0</v>
      </c>
      <c r="G9151" t="s">
        <v>514</v>
      </c>
    </row>
    <row r="9152" spans="1:7" x14ac:dyDescent="0.25">
      <c r="A9152" s="1" t="str">
        <f>"507094"</f>
        <v>507094</v>
      </c>
      <c r="B9152" s="2" t="str">
        <f>"DISJUNTOR UNIPOLAR DIN 10A SCHNEIDER EASY 9"</f>
        <v>DISJUNTOR UNIPOLAR DIN 10A SCHNEIDER EASY 9</v>
      </c>
      <c r="C9152" s="2" t="str">
        <f t="shared" si="351"/>
        <v>UN</v>
      </c>
      <c r="D9152" s="7">
        <v>600</v>
      </c>
      <c r="E9152" s="3">
        <v>8</v>
      </c>
      <c r="F9152" s="2">
        <v>4</v>
      </c>
      <c r="G9152" t="s">
        <v>514</v>
      </c>
    </row>
    <row r="9153" spans="1:7" x14ac:dyDescent="0.25">
      <c r="A9153" s="1" t="str">
        <f>"503689"</f>
        <v>503689</v>
      </c>
      <c r="B9153" s="2" t="str">
        <f>"DISJUNTOR UNIPOLAR DIN 13A"</f>
        <v>DISJUNTOR UNIPOLAR DIN 13A</v>
      </c>
      <c r="C9153" s="2" t="str">
        <f t="shared" si="351"/>
        <v>UN</v>
      </c>
      <c r="D9153" s="7">
        <v>600</v>
      </c>
      <c r="E9153" s="3">
        <v>8</v>
      </c>
      <c r="F9153" s="2">
        <v>1</v>
      </c>
      <c r="G9153" t="s">
        <v>513</v>
      </c>
    </row>
    <row r="9154" spans="1:7" x14ac:dyDescent="0.25">
      <c r="A9154" s="1" t="str">
        <f>"508144"</f>
        <v>508144</v>
      </c>
      <c r="B9154" s="2" t="str">
        <f>"DISJUNTOR UNIPOLAR DIN 16A SCHNEIDER EASY 9"</f>
        <v>DISJUNTOR UNIPOLAR DIN 16A SCHNEIDER EASY 9</v>
      </c>
      <c r="C9154" s="2" t="str">
        <f>"PC"</f>
        <v>PC</v>
      </c>
      <c r="D9154" s="7">
        <v>811</v>
      </c>
      <c r="E9154" s="3">
        <v>10</v>
      </c>
      <c r="F9154" s="2">
        <v>2</v>
      </c>
      <c r="G9154" t="s">
        <v>512</v>
      </c>
    </row>
    <row r="9155" spans="1:7" x14ac:dyDescent="0.25">
      <c r="A9155" s="1" t="str">
        <f>"503801"</f>
        <v>503801</v>
      </c>
      <c r="B9155" s="2" t="str">
        <f>"DISJUNTOR UNIPOLAR DIN 20A"</f>
        <v>DISJUNTOR UNIPOLAR DIN 20A</v>
      </c>
      <c r="C9155" s="2" t="str">
        <f>"UN"</f>
        <v>UN</v>
      </c>
      <c r="D9155" s="7">
        <v>600</v>
      </c>
      <c r="E9155" s="3">
        <v>8</v>
      </c>
      <c r="F9155" s="2">
        <v>7</v>
      </c>
      <c r="G9155" t="s">
        <v>513</v>
      </c>
    </row>
    <row r="9156" spans="1:7" x14ac:dyDescent="0.25">
      <c r="A9156" s="1" t="str">
        <f>"527912"</f>
        <v>527912</v>
      </c>
      <c r="B9156" s="2" t="str">
        <f>"DISJUNTOR UNIPOLAR DIN 20A CURVA C"</f>
        <v>DISJUNTOR UNIPOLAR DIN 20A CURVA C</v>
      </c>
      <c r="C9156" s="2" t="str">
        <f>"UN"</f>
        <v>UN</v>
      </c>
      <c r="D9156" s="7">
        <v>600</v>
      </c>
      <c r="E9156" s="3">
        <v>8</v>
      </c>
      <c r="F9156" s="2">
        <v>9</v>
      </c>
      <c r="G9156" t="s">
        <v>514</v>
      </c>
    </row>
    <row r="9157" spans="1:7" x14ac:dyDescent="0.25">
      <c r="A9157" s="1" t="str">
        <f>"507035"</f>
        <v>507035</v>
      </c>
      <c r="B9157" s="2" t="str">
        <f>"DISJUNTOR UNIPOLAR DIN 25A"</f>
        <v>DISJUNTOR UNIPOLAR DIN 25A</v>
      </c>
      <c r="C9157" s="2" t="str">
        <f>"PC"</f>
        <v>PC</v>
      </c>
      <c r="D9157" s="7">
        <v>600</v>
      </c>
      <c r="E9157" s="3">
        <v>8</v>
      </c>
      <c r="F9157" s="5">
        <v>5</v>
      </c>
      <c r="G9157" t="s">
        <v>514</v>
      </c>
    </row>
    <row r="9158" spans="1:7" x14ac:dyDescent="0.25">
      <c r="A9158" s="1" t="str">
        <f>"505762"</f>
        <v>505762</v>
      </c>
      <c r="B9158" s="2" t="str">
        <f>"DISJUNTOR UNIPOLAR DIN 32A"</f>
        <v>DISJUNTOR UNIPOLAR DIN 32A</v>
      </c>
      <c r="C9158" s="2" t="str">
        <f>"UN"</f>
        <v>UN</v>
      </c>
      <c r="D9158" s="7">
        <v>600</v>
      </c>
      <c r="E9158" s="3">
        <v>8</v>
      </c>
      <c r="F9158" s="2">
        <v>3</v>
      </c>
      <c r="G9158" t="s">
        <v>514</v>
      </c>
    </row>
    <row r="9159" spans="1:7" x14ac:dyDescent="0.25">
      <c r="A9159" s="1" t="str">
        <f>"505935"</f>
        <v>505935</v>
      </c>
      <c r="B9159" s="2" t="str">
        <f>"DISJUNTOR UNIPOLAR DIN 50A"</f>
        <v>DISJUNTOR UNIPOLAR DIN 50A</v>
      </c>
      <c r="C9159" s="2" t="str">
        <f>"UN"</f>
        <v>UN</v>
      </c>
      <c r="D9159" s="7">
        <v>600</v>
      </c>
      <c r="E9159" s="3">
        <v>8</v>
      </c>
      <c r="F9159" s="2">
        <v>8</v>
      </c>
      <c r="G9159" t="s">
        <v>513</v>
      </c>
    </row>
    <row r="9160" spans="1:7" x14ac:dyDescent="0.25">
      <c r="A9160" s="1" t="str">
        <f>"507259"</f>
        <v>507259</v>
      </c>
      <c r="B9160" s="2" t="str">
        <f>"DISJUNTOR UNIPOLAR DIN 63A"</f>
        <v>DISJUNTOR UNIPOLAR DIN 63A</v>
      </c>
      <c r="C9160" s="2" t="str">
        <f>"PC"</f>
        <v>PC</v>
      </c>
      <c r="D9160" s="7">
        <v>600</v>
      </c>
      <c r="E9160" s="3">
        <v>8</v>
      </c>
      <c r="F9160" s="2">
        <v>6</v>
      </c>
      <c r="G9160" t="s">
        <v>513</v>
      </c>
    </row>
    <row r="9161" spans="1:7" x14ac:dyDescent="0.25">
      <c r="A9161" s="1" t="str">
        <f>"516336"</f>
        <v>516336</v>
      </c>
      <c r="B9161" s="2" t="str">
        <f>"DISJUNTOR VF100 70A"</f>
        <v>DISJUNTOR VF100 70A</v>
      </c>
      <c r="C9161" s="2" t="str">
        <f t="shared" ref="C9161:C9187" si="352">"UN"</f>
        <v>UN</v>
      </c>
      <c r="D9161" s="7">
        <v>600</v>
      </c>
      <c r="E9161" s="3">
        <v>10</v>
      </c>
      <c r="F9161" s="2">
        <v>4</v>
      </c>
      <c r="G9161" t="s">
        <v>513</v>
      </c>
    </row>
    <row r="9162" spans="1:7" x14ac:dyDescent="0.25">
      <c r="A9162" s="1" t="str">
        <f>"516335"</f>
        <v>516335</v>
      </c>
      <c r="B9162" s="2" t="str">
        <f>"DISJUNTOR VF100 80A"</f>
        <v>DISJUNTOR VF100 80A</v>
      </c>
      <c r="C9162" s="2" t="str">
        <f t="shared" si="352"/>
        <v>UN</v>
      </c>
      <c r="D9162" s="7">
        <v>600</v>
      </c>
      <c r="E9162" s="3">
        <v>10</v>
      </c>
      <c r="F9162" s="2">
        <v>1</v>
      </c>
      <c r="G9162" t="s">
        <v>512</v>
      </c>
    </row>
    <row r="9163" spans="1:7" x14ac:dyDescent="0.25">
      <c r="A9163" s="1" t="str">
        <f>"505123"</f>
        <v>505123</v>
      </c>
      <c r="B9163" s="2" t="str">
        <f>"DISJUTOR MAGNETICO 2P 1A"</f>
        <v>DISJUTOR MAGNETICO 2P 1A</v>
      </c>
      <c r="C9163" s="2" t="str">
        <f t="shared" si="352"/>
        <v>UN</v>
      </c>
      <c r="D9163" s="7">
        <v>900</v>
      </c>
      <c r="E9163" s="3">
        <v>8</v>
      </c>
      <c r="F9163" s="2">
        <v>2</v>
      </c>
      <c r="G9163" t="s">
        <v>513</v>
      </c>
    </row>
    <row r="9164" spans="1:7" x14ac:dyDescent="0.25">
      <c r="A9164" s="1" t="str">
        <f>"520824"</f>
        <v>520824</v>
      </c>
      <c r="B9164" s="2" t="str">
        <f>"DISP. ANALISE 50MM DIAM. COM ADAP. 35, 40 E 45MM DIAM. A/BE"</f>
        <v>DISP. ANALISE 50MM DIAM. COM ADAP. 35, 40 E 45MM DIAM. A/BE</v>
      </c>
      <c r="C9164" s="2" t="str">
        <f t="shared" si="352"/>
        <v>UN</v>
      </c>
      <c r="D9164" s="7">
        <v>1200</v>
      </c>
      <c r="E9164" s="3">
        <v>13</v>
      </c>
      <c r="F9164" s="2">
        <v>7</v>
      </c>
      <c r="G9164" t="s">
        <v>514</v>
      </c>
    </row>
    <row r="9165" spans="1:7" x14ac:dyDescent="0.25">
      <c r="A9165" s="1" t="str">
        <f>"520825"</f>
        <v>520825</v>
      </c>
      <c r="B9165" s="2" t="str">
        <f>"DISP. MEDIR FIRMEZA E DUREZA A/MPP"</f>
        <v>DISP. MEDIR FIRMEZA E DUREZA A/MPP</v>
      </c>
      <c r="C9165" s="2" t="str">
        <f t="shared" si="352"/>
        <v>UN</v>
      </c>
      <c r="D9165" s="7">
        <v>1200</v>
      </c>
      <c r="E9165" s="3">
        <v>13</v>
      </c>
      <c r="F9165" s="2">
        <v>9</v>
      </c>
      <c r="G9165" t="s">
        <v>515</v>
      </c>
    </row>
    <row r="9166" spans="1:7" x14ac:dyDescent="0.25">
      <c r="A9166" s="1" t="str">
        <f>"520975"</f>
        <v>520975</v>
      </c>
      <c r="B9166" s="2" t="str">
        <f>"DISPARADOR 3VT9363-6AB00 630A FIXO"</f>
        <v>DISPARADOR 3VT9363-6AB00 630A FIXO</v>
      </c>
      <c r="C9166" s="2" t="str">
        <f t="shared" si="352"/>
        <v>UN</v>
      </c>
      <c r="D9166" s="7">
        <v>900</v>
      </c>
      <c r="E9166" s="3">
        <v>8</v>
      </c>
      <c r="F9166" s="2">
        <v>0</v>
      </c>
      <c r="G9166" t="s">
        <v>512</v>
      </c>
    </row>
    <row r="9167" spans="1:7" x14ac:dyDescent="0.25">
      <c r="A9167" s="1" t="str">
        <f>"524430"</f>
        <v>524430</v>
      </c>
      <c r="B9167" s="2" t="str">
        <f>"DISPARADOR 3VT93636AC00"</f>
        <v>DISPARADOR 3VT93636AC00</v>
      </c>
      <c r="C9167" s="2" t="str">
        <f t="shared" si="352"/>
        <v>UN</v>
      </c>
      <c r="D9167" s="7">
        <v>811</v>
      </c>
      <c r="E9167" s="3">
        <v>8</v>
      </c>
      <c r="F9167" s="2">
        <v>0</v>
      </c>
      <c r="G9167" t="s">
        <v>516</v>
      </c>
    </row>
    <row r="9168" spans="1:7" x14ac:dyDescent="0.25">
      <c r="A9168" s="1" t="str">
        <f>"515550"</f>
        <v>515550</v>
      </c>
      <c r="B9168" s="2" t="str">
        <f>"DISPARADOR SOBRECARGA"</f>
        <v>DISPARADOR SOBRECARGA</v>
      </c>
      <c r="C9168" s="2" t="str">
        <f t="shared" si="352"/>
        <v>UN</v>
      </c>
      <c r="D9168" s="7">
        <v>811</v>
      </c>
      <c r="E9168" s="3">
        <v>8</v>
      </c>
      <c r="F9168" s="2">
        <v>2</v>
      </c>
      <c r="G9168" t="s">
        <v>515</v>
      </c>
    </row>
    <row r="9169" spans="1:7" x14ac:dyDescent="0.25">
      <c r="A9169" s="1" t="str">
        <f>"513863"</f>
        <v>513863</v>
      </c>
      <c r="B9169" s="2" t="str">
        <f>"DISPENSADOR DE COPOS 1 TUBO"</f>
        <v>DISPENSADOR DE COPOS 1 TUBO</v>
      </c>
      <c r="C9169" s="2" t="str">
        <f t="shared" si="352"/>
        <v>UN</v>
      </c>
      <c r="D9169" s="7">
        <v>99999</v>
      </c>
      <c r="E9169" s="3">
        <v>99</v>
      </c>
      <c r="F9169" s="2">
        <v>5</v>
      </c>
      <c r="G9169" t="s">
        <v>514</v>
      </c>
    </row>
    <row r="9170" spans="1:7" x14ac:dyDescent="0.25">
      <c r="A9170" s="1" t="str">
        <f>"517119"</f>
        <v>517119</v>
      </c>
      <c r="B9170" s="2" t="str">
        <f>"DISPENSADOR P/ SABÃO LIQUIDO DECAMATIC2015 C"</f>
        <v>DISPENSADOR P/ SABÃO LIQUIDO DECAMATIC2015 C</v>
      </c>
      <c r="C9170" s="2" t="str">
        <f t="shared" si="352"/>
        <v>UN</v>
      </c>
      <c r="D9170" s="7">
        <v>917</v>
      </c>
      <c r="E9170" s="3">
        <v>10</v>
      </c>
      <c r="F9170" s="2">
        <v>6</v>
      </c>
      <c r="G9170" t="s">
        <v>512</v>
      </c>
    </row>
    <row r="9171" spans="1:7" x14ac:dyDescent="0.25">
      <c r="A9171" s="1" t="str">
        <f>"522013"</f>
        <v>522013</v>
      </c>
      <c r="B9171" s="2" t="str">
        <f>"DISPENSADOR VOLUME VARIAVEL 1 Á 10 ML"</f>
        <v>DISPENSADOR VOLUME VARIAVEL 1 Á 10 ML</v>
      </c>
      <c r="C9171" s="2" t="str">
        <f t="shared" si="352"/>
        <v>UN</v>
      </c>
      <c r="D9171" s="7">
        <v>406</v>
      </c>
      <c r="E9171" s="3">
        <v>4</v>
      </c>
      <c r="F9171" s="2">
        <v>9</v>
      </c>
      <c r="G9171" t="s">
        <v>513</v>
      </c>
    </row>
    <row r="9172" spans="1:7" x14ac:dyDescent="0.25">
      <c r="A9172" s="1" t="str">
        <f>"515964"</f>
        <v>515964</v>
      </c>
      <c r="B9172" s="2" t="str">
        <f>"DISPENSADOR VOLUME VARIÁVEL 1 A 10ML S/ FRASCO PEQUE10D"</f>
        <v>DISPENSADOR VOLUME VARIÁVEL 1 A 10ML S/ FRASCO PEQUE10D</v>
      </c>
      <c r="C9172" s="2" t="str">
        <f t="shared" si="352"/>
        <v>UN</v>
      </c>
      <c r="D9172" s="7">
        <v>99999</v>
      </c>
      <c r="E9172" s="3">
        <v>99</v>
      </c>
      <c r="F9172" s="2">
        <v>5</v>
      </c>
      <c r="G9172" t="s">
        <v>514</v>
      </c>
    </row>
    <row r="9173" spans="1:7" x14ac:dyDescent="0.25">
      <c r="A9173" s="1" t="str">
        <f>"515478"</f>
        <v>515478</v>
      </c>
      <c r="B9173" s="2" t="str">
        <f>"DISPENSER ACRILICO"</f>
        <v>DISPENSER ACRILICO</v>
      </c>
      <c r="C9173" s="2" t="str">
        <f t="shared" si="352"/>
        <v>UN</v>
      </c>
      <c r="D9173" s="7">
        <v>401</v>
      </c>
      <c r="E9173" s="3">
        <v>4</v>
      </c>
      <c r="F9173" s="2">
        <v>3</v>
      </c>
      <c r="G9173" t="s">
        <v>514</v>
      </c>
    </row>
    <row r="9174" spans="1:7" x14ac:dyDescent="0.25">
      <c r="A9174" s="1" t="str">
        <f>"513653"</f>
        <v>513653</v>
      </c>
      <c r="B9174" s="2" t="str">
        <f>"DISPENSER JSN AÇO INOX PAREDE AGUA"</f>
        <v>DISPENSER JSN AÇO INOX PAREDE AGUA</v>
      </c>
      <c r="C9174" s="2" t="str">
        <f t="shared" si="352"/>
        <v>UN</v>
      </c>
      <c r="D9174" s="7">
        <v>99999</v>
      </c>
      <c r="E9174" s="3">
        <v>99</v>
      </c>
      <c r="F9174" s="2">
        <v>3</v>
      </c>
      <c r="G9174" t="s">
        <v>512</v>
      </c>
    </row>
    <row r="9175" spans="1:7" x14ac:dyDescent="0.25">
      <c r="A9175" s="1" t="str">
        <f>"527284"</f>
        <v>527284</v>
      </c>
      <c r="B9175" s="2" t="str">
        <f>"DISPENSER PVC P/ ALCOOL GEL C/ PEDAL"</f>
        <v>DISPENSER PVC P/ ALCOOL GEL C/ PEDAL</v>
      </c>
      <c r="C9175" s="2" t="str">
        <f t="shared" si="352"/>
        <v>UN</v>
      </c>
      <c r="D9175" s="7">
        <v>99999</v>
      </c>
      <c r="E9175" s="3">
        <v>99</v>
      </c>
      <c r="F9175" s="2">
        <v>2</v>
      </c>
      <c r="G9175" t="s">
        <v>513</v>
      </c>
    </row>
    <row r="9176" spans="1:7" x14ac:dyDescent="0.25">
      <c r="A9176" s="1" t="str">
        <f>"524005"</f>
        <v>524005</v>
      </c>
      <c r="B9176" s="8" t="s">
        <v>370</v>
      </c>
      <c r="C9176" s="2" t="str">
        <f t="shared" si="352"/>
        <v>UN</v>
      </c>
      <c r="D9176" s="7">
        <v>99999</v>
      </c>
      <c r="E9176" s="3">
        <v>99</v>
      </c>
      <c r="F9176" s="2">
        <v>1</v>
      </c>
      <c r="G9176" t="s">
        <v>514</v>
      </c>
    </row>
    <row r="9177" spans="1:7" x14ac:dyDescent="0.25">
      <c r="A9177" s="1" t="str">
        <f>"513080"</f>
        <v>513080</v>
      </c>
      <c r="B9177" s="8" t="s">
        <v>40</v>
      </c>
      <c r="C9177" s="2" t="str">
        <f t="shared" si="352"/>
        <v>UN</v>
      </c>
      <c r="D9177" s="7">
        <v>99999</v>
      </c>
      <c r="E9177" s="3">
        <v>99</v>
      </c>
      <c r="F9177" s="2">
        <v>4</v>
      </c>
      <c r="G9177" t="s">
        <v>514</v>
      </c>
    </row>
    <row r="9178" spans="1:7" x14ac:dyDescent="0.25">
      <c r="A9178" s="1" t="str">
        <f>"527900"</f>
        <v>527900</v>
      </c>
      <c r="B9178" s="2" t="str">
        <f>"DISPENSER TOALHA EM ROLO TITANIUM BRANCO DAD10"</f>
        <v>DISPENSER TOALHA EM ROLO TITANIUM BRANCO DAD10</v>
      </c>
      <c r="C9178" s="2" t="str">
        <f t="shared" si="352"/>
        <v>UN</v>
      </c>
      <c r="D9178" s="7">
        <v>99999</v>
      </c>
      <c r="E9178" s="3">
        <v>99</v>
      </c>
      <c r="F9178" s="2">
        <v>6</v>
      </c>
      <c r="G9178" t="s">
        <v>514</v>
      </c>
    </row>
    <row r="9179" spans="1:7" x14ac:dyDescent="0.25">
      <c r="A9179" s="1" t="str">
        <f>"515196"</f>
        <v>515196</v>
      </c>
      <c r="B9179" s="2" t="str">
        <f>"DISPENSOR DUREX"</f>
        <v>DISPENSOR DUREX</v>
      </c>
      <c r="C9179" s="2" t="str">
        <f t="shared" si="352"/>
        <v>UN</v>
      </c>
      <c r="D9179" s="7">
        <v>401</v>
      </c>
      <c r="E9179" s="3">
        <v>4</v>
      </c>
      <c r="F9179" s="2">
        <v>8</v>
      </c>
      <c r="G9179" t="s">
        <v>513</v>
      </c>
    </row>
    <row r="9180" spans="1:7" x14ac:dyDescent="0.25">
      <c r="A9180" s="1" t="str">
        <f>"519726"</f>
        <v>519726</v>
      </c>
      <c r="B9180" s="2" t="str">
        <f>"DISPLAY BIG NUMBER AZUL COM BAK LIGHT"</f>
        <v>DISPLAY BIG NUMBER AZUL COM BAK LIGHT</v>
      </c>
      <c r="C9180" s="2" t="str">
        <f t="shared" si="352"/>
        <v>UN</v>
      </c>
      <c r="D9180" s="7">
        <v>811</v>
      </c>
      <c r="E9180" s="3">
        <v>8</v>
      </c>
      <c r="F9180" s="2">
        <v>7</v>
      </c>
      <c r="G9180" t="s">
        <v>512</v>
      </c>
    </row>
    <row r="9181" spans="1:7" x14ac:dyDescent="0.25">
      <c r="A9181" s="1" t="str">
        <f>"521709"</f>
        <v>521709</v>
      </c>
      <c r="B9181" s="2" t="str">
        <f>"DISPLAY DE BALCÃO"</f>
        <v>DISPLAY DE BALCÃO</v>
      </c>
      <c r="C9181" s="2" t="str">
        <f t="shared" si="352"/>
        <v>UN</v>
      </c>
      <c r="D9181" s="7">
        <v>99999</v>
      </c>
      <c r="E9181" s="3">
        <v>99</v>
      </c>
      <c r="F9181" s="2">
        <v>6</v>
      </c>
      <c r="G9181" t="s">
        <v>513</v>
      </c>
    </row>
    <row r="9182" spans="1:7" x14ac:dyDescent="0.25">
      <c r="A9182" s="1" t="str">
        <f>"527538"</f>
        <v>527538</v>
      </c>
      <c r="B9182" s="2" t="str">
        <f>"DISPLAY DETECTOR GAS BW MAX XT II"</f>
        <v>DISPLAY DETECTOR GAS BW MAX XT II</v>
      </c>
      <c r="C9182" s="2" t="str">
        <f t="shared" si="352"/>
        <v>UN</v>
      </c>
      <c r="D9182" s="7">
        <v>99999</v>
      </c>
      <c r="E9182" s="3">
        <v>99</v>
      </c>
      <c r="F9182" s="2">
        <v>6</v>
      </c>
      <c r="G9182" t="s">
        <v>514</v>
      </c>
    </row>
    <row r="9183" spans="1:7" x14ac:dyDescent="0.25">
      <c r="A9183" s="1" t="str">
        <f>"518299"</f>
        <v>518299</v>
      </c>
      <c r="B9183" s="2" t="str">
        <f>"DISPLAY MONT INNER"</f>
        <v>DISPLAY MONT INNER</v>
      </c>
      <c r="C9183" s="2" t="str">
        <f t="shared" si="352"/>
        <v>UN</v>
      </c>
      <c r="D9183" s="7">
        <v>811</v>
      </c>
      <c r="E9183" s="3">
        <v>8</v>
      </c>
      <c r="F9183" s="2">
        <v>2</v>
      </c>
      <c r="G9183" t="s">
        <v>514</v>
      </c>
    </row>
    <row r="9184" spans="1:7" x14ac:dyDescent="0.25">
      <c r="A9184" s="1" t="str">
        <f>"517034"</f>
        <v>517034</v>
      </c>
      <c r="B9184" s="2" t="str">
        <f>"DISPLAY REMOTO DR-200 MONTADO VERSAO 1"</f>
        <v>DISPLAY REMOTO DR-200 MONTADO VERSAO 1</v>
      </c>
      <c r="C9184" s="2" t="str">
        <f t="shared" si="352"/>
        <v>UN</v>
      </c>
      <c r="D9184" s="7">
        <v>1300</v>
      </c>
      <c r="E9184" s="3">
        <v>13</v>
      </c>
      <c r="F9184" s="2">
        <v>1</v>
      </c>
      <c r="G9184" t="s">
        <v>514</v>
      </c>
    </row>
    <row r="9185" spans="1:7" x14ac:dyDescent="0.25">
      <c r="A9185" s="1" t="str">
        <f>"513864"</f>
        <v>513864</v>
      </c>
      <c r="B9185" s="2" t="str">
        <f>"DISPONSADOR 1 TUBO AGUA"</f>
        <v>DISPONSADOR 1 TUBO AGUA</v>
      </c>
      <c r="C9185" s="2" t="str">
        <f t="shared" si="352"/>
        <v>UN</v>
      </c>
      <c r="D9185" s="7">
        <v>99999</v>
      </c>
      <c r="E9185" s="3">
        <v>99</v>
      </c>
      <c r="F9185" s="2">
        <v>0</v>
      </c>
      <c r="G9185" t="s">
        <v>513</v>
      </c>
    </row>
    <row r="9186" spans="1:7" x14ac:dyDescent="0.25">
      <c r="A9186" s="1" t="str">
        <f>"520736"</f>
        <v>520736</v>
      </c>
      <c r="B9186" s="2" t="str">
        <f>"DISPOSITIVO BLOQUEIO UNIVERSAL P/ DISJUNTORES"</f>
        <v>DISPOSITIVO BLOQUEIO UNIVERSAL P/ DISJUNTORES</v>
      </c>
      <c r="C9186" s="2" t="str">
        <f t="shared" si="352"/>
        <v>UN</v>
      </c>
      <c r="D9186" s="7">
        <v>817</v>
      </c>
      <c r="E9186" s="3">
        <v>4</v>
      </c>
      <c r="F9186" s="2">
        <v>0</v>
      </c>
      <c r="G9186" t="s">
        <v>513</v>
      </c>
    </row>
    <row r="9187" spans="1:7" x14ac:dyDescent="0.25">
      <c r="A9187" s="1" t="str">
        <f>"526578"</f>
        <v>526578</v>
      </c>
      <c r="B9187" s="2" t="str">
        <f>"DISPOSITIVO DE FIXAÇÃO E11047"</f>
        <v>DISPOSITIVO DE FIXAÇÃO E11047</v>
      </c>
      <c r="C9187" s="2" t="str">
        <f t="shared" si="352"/>
        <v>UN</v>
      </c>
      <c r="D9187" s="7">
        <v>908</v>
      </c>
      <c r="E9187" s="3">
        <v>11</v>
      </c>
      <c r="F9187" s="2">
        <v>0</v>
      </c>
      <c r="G9187" t="s">
        <v>513</v>
      </c>
    </row>
    <row r="9188" spans="1:7" x14ac:dyDescent="0.25">
      <c r="A9188" s="1" t="str">
        <f>"504292"</f>
        <v>504292</v>
      </c>
      <c r="B9188" s="2" t="str">
        <f>"DISPOSITIVO DE MONTAGEM COD.228389 FESTO"</f>
        <v>DISPOSITIVO DE MONTAGEM COD.228389 FESTO</v>
      </c>
      <c r="C9188" s="2" t="str">
        <f>"BR"</f>
        <v>BR</v>
      </c>
      <c r="D9188" s="7">
        <v>808</v>
      </c>
      <c r="E9188" s="3">
        <v>10</v>
      </c>
      <c r="F9188" s="2">
        <v>3</v>
      </c>
      <c r="G9188" t="s">
        <v>512</v>
      </c>
    </row>
    <row r="9189" spans="1:7" x14ac:dyDescent="0.25">
      <c r="A9189" s="1" t="str">
        <f>"527911"</f>
        <v>527911</v>
      </c>
      <c r="B9189" s="2" t="str">
        <f>"DISPOSITIVO DR 4P 40A"</f>
        <v>DISPOSITIVO DR 4P 40A</v>
      </c>
      <c r="C9189" s="2" t="str">
        <f>"UN"</f>
        <v>UN</v>
      </c>
      <c r="D9189" s="7">
        <v>600</v>
      </c>
      <c r="E9189" s="3">
        <v>8</v>
      </c>
      <c r="F9189" s="5">
        <v>5</v>
      </c>
      <c r="G9189" t="s">
        <v>513</v>
      </c>
    </row>
    <row r="9190" spans="1:7" x14ac:dyDescent="0.25">
      <c r="A9190" s="1" t="str">
        <f>"515555"</f>
        <v>515555</v>
      </c>
      <c r="B9190" s="2" t="str">
        <f>"DISPOSITIVO DR TETRA 40A 30MA 5SM13440MB"</f>
        <v>DISPOSITIVO DR TETRA 40A 30MA 5SM13440MB</v>
      </c>
      <c r="C9190" s="2" t="str">
        <f>"UN"</f>
        <v>UN</v>
      </c>
      <c r="D9190" s="7">
        <v>811</v>
      </c>
      <c r="E9190" s="3">
        <v>8</v>
      </c>
      <c r="F9190" s="2">
        <v>3</v>
      </c>
      <c r="G9190" t="s">
        <v>514</v>
      </c>
    </row>
    <row r="9191" spans="1:7" x14ac:dyDescent="0.25">
      <c r="A9191" s="1" t="str">
        <f>"520653"</f>
        <v>520653</v>
      </c>
      <c r="B9191" s="2" t="str">
        <f>"DISPOSITIVO DR TETRA 50A 300MA 08032"</f>
        <v>DISPOSITIVO DR TETRA 50A 300MA 08032</v>
      </c>
      <c r="C9191" s="2" t="str">
        <f>"UN"</f>
        <v>UN</v>
      </c>
      <c r="D9191" s="7">
        <v>811</v>
      </c>
      <c r="E9191" s="3">
        <v>8</v>
      </c>
      <c r="F9191" s="2">
        <v>8</v>
      </c>
      <c r="G9191" t="s">
        <v>515</v>
      </c>
    </row>
    <row r="9192" spans="1:7" x14ac:dyDescent="0.25">
      <c r="A9192" s="1" t="str">
        <f>"523999"</f>
        <v>523999</v>
      </c>
      <c r="B9192" s="2" t="str">
        <f>"DISPOSITIVO MULTIUSO"</f>
        <v>DISPOSITIVO MULTIUSO</v>
      </c>
      <c r="C9192" s="2" t="str">
        <f>"UN"</f>
        <v>UN</v>
      </c>
      <c r="D9192" s="7">
        <v>99999</v>
      </c>
      <c r="E9192" s="3">
        <v>99</v>
      </c>
      <c r="F9192" s="2">
        <v>6</v>
      </c>
      <c r="G9192" t="s">
        <v>512</v>
      </c>
    </row>
    <row r="9193" spans="1:7" x14ac:dyDescent="0.25">
      <c r="A9193" s="1" t="str">
        <f>"525066"</f>
        <v>525066</v>
      </c>
      <c r="B9193" s="2" t="str">
        <f>"DISPOSITIVO SENSOR TEMP. -60°C/250°C XT/TPR"</f>
        <v>DISPOSITIVO SENSOR TEMP. -60°C/250°C XT/TPR</v>
      </c>
      <c r="C9193" s="2" t="str">
        <f>"UN"</f>
        <v>UN</v>
      </c>
      <c r="D9193" s="7">
        <v>406</v>
      </c>
      <c r="E9193" s="3">
        <v>11</v>
      </c>
      <c r="F9193" s="2">
        <v>4</v>
      </c>
      <c r="G9193" t="s">
        <v>516</v>
      </c>
    </row>
    <row r="9194" spans="1:7" x14ac:dyDescent="0.25">
      <c r="A9194" s="1" t="str">
        <f>"515025"</f>
        <v>515025</v>
      </c>
      <c r="B9194" s="2" t="str">
        <f>"DISQUETI (10X1KG)"</f>
        <v>DISQUETI (10X1KG)</v>
      </c>
      <c r="C9194" s="2" t="str">
        <f>"KG"</f>
        <v>KG</v>
      </c>
      <c r="D9194" s="7">
        <v>217</v>
      </c>
      <c r="E9194" s="3">
        <v>2</v>
      </c>
      <c r="F9194" s="2">
        <v>1</v>
      </c>
      <c r="G9194" t="s">
        <v>515</v>
      </c>
    </row>
    <row r="9195" spans="1:7" x14ac:dyDescent="0.25">
      <c r="A9195" s="1" t="str">
        <f>"515027"</f>
        <v>515027</v>
      </c>
      <c r="B9195" s="2" t="str">
        <f>"DISQUETI GIRASSOL (10X500G)"</f>
        <v>DISQUETI GIRASSOL (10X500G)</v>
      </c>
      <c r="C9195" s="2" t="str">
        <f>"KG"</f>
        <v>KG</v>
      </c>
      <c r="D9195" s="7">
        <v>217</v>
      </c>
      <c r="E9195" s="3">
        <v>2</v>
      </c>
      <c r="F9195" s="2">
        <v>2</v>
      </c>
      <c r="G9195" t="s">
        <v>514</v>
      </c>
    </row>
    <row r="9196" spans="1:7" x14ac:dyDescent="0.25">
      <c r="A9196" s="1" t="str">
        <f>"518737"</f>
        <v>518737</v>
      </c>
      <c r="B9196" s="2" t="str">
        <f>"DISQUETI LOVE CORAÇÃO 500GR"</f>
        <v>DISQUETI LOVE CORAÇÃO 500GR</v>
      </c>
      <c r="C9196" s="2" t="str">
        <f>"KG"</f>
        <v>KG</v>
      </c>
      <c r="D9196" s="7">
        <v>217</v>
      </c>
      <c r="E9196" s="3">
        <v>2</v>
      </c>
      <c r="F9196" s="2">
        <v>7</v>
      </c>
      <c r="G9196" t="s">
        <v>512</v>
      </c>
    </row>
    <row r="9197" spans="1:7" x14ac:dyDescent="0.25">
      <c r="A9197" s="1" t="str">
        <f>"511852"</f>
        <v>511852</v>
      </c>
      <c r="B9197" s="2" t="str">
        <f>"DISTAN. MOTOR REDUTOR"</f>
        <v>DISTAN. MOTOR REDUTOR</v>
      </c>
      <c r="C9197" s="2" t="str">
        <f t="shared" ref="C9197:C9207" si="353">"UN"</f>
        <v>UN</v>
      </c>
      <c r="D9197" s="7">
        <v>918</v>
      </c>
      <c r="E9197" s="3">
        <v>11</v>
      </c>
      <c r="F9197" s="2">
        <v>9</v>
      </c>
      <c r="G9197" t="s">
        <v>513</v>
      </c>
    </row>
    <row r="9198" spans="1:7" x14ac:dyDescent="0.25">
      <c r="A9198" s="1" t="str">
        <f>"519036"</f>
        <v>519036</v>
      </c>
      <c r="B9198" s="2" t="str">
        <f>"DISTANCIADOR"</f>
        <v>DISTANCIADOR</v>
      </c>
      <c r="C9198" s="2" t="str">
        <f t="shared" si="353"/>
        <v>UN</v>
      </c>
      <c r="D9198" s="7">
        <v>918</v>
      </c>
      <c r="E9198" s="3">
        <v>11</v>
      </c>
      <c r="F9198" s="2">
        <v>0</v>
      </c>
      <c r="G9198" t="s">
        <v>514</v>
      </c>
    </row>
    <row r="9199" spans="1:7" x14ac:dyDescent="0.25">
      <c r="A9199" s="1" t="str">
        <f>"522953"</f>
        <v>522953</v>
      </c>
      <c r="B9199" s="2" t="str">
        <f>"DISTANCIADOR C/ GARRA 50MM X ACO DE 4,2MM A 16MM"</f>
        <v>DISTANCIADOR C/ GARRA 50MM X ACO DE 4,2MM A 16MM</v>
      </c>
      <c r="C9199" s="2" t="str">
        <f t="shared" si="353"/>
        <v>UN</v>
      </c>
      <c r="D9199" s="7">
        <v>918</v>
      </c>
      <c r="E9199" s="3">
        <v>10</v>
      </c>
      <c r="F9199" s="2">
        <v>0</v>
      </c>
      <c r="G9199" t="s">
        <v>514</v>
      </c>
    </row>
    <row r="9200" spans="1:7" x14ac:dyDescent="0.25">
      <c r="A9200" s="1" t="str">
        <f>"507129"</f>
        <v>507129</v>
      </c>
      <c r="B9200" s="2" t="str">
        <f>"DISTANCIADOR COD. 05.3120.037.50"</f>
        <v>DISTANCIADOR COD. 05.3120.037.50</v>
      </c>
      <c r="C9200" s="2" t="str">
        <f t="shared" si="353"/>
        <v>UN</v>
      </c>
      <c r="D9200" s="7">
        <v>918</v>
      </c>
      <c r="E9200" s="3">
        <v>11</v>
      </c>
      <c r="F9200" s="2">
        <v>2</v>
      </c>
      <c r="G9200" t="s">
        <v>512</v>
      </c>
    </row>
    <row r="9201" spans="1:7" x14ac:dyDescent="0.25">
      <c r="A9201" s="1" t="str">
        <f>"507134"</f>
        <v>507134</v>
      </c>
      <c r="B9201" s="2" t="str">
        <f>"DISTANCIADOR COD. 05.3120.053.50"</f>
        <v>DISTANCIADOR COD. 05.3120.053.50</v>
      </c>
      <c r="C9201" s="2" t="str">
        <f t="shared" si="353"/>
        <v>UN</v>
      </c>
      <c r="D9201" s="7">
        <v>918</v>
      </c>
      <c r="E9201" s="3">
        <v>11</v>
      </c>
      <c r="F9201" s="2">
        <v>5</v>
      </c>
      <c r="G9201" t="s">
        <v>513</v>
      </c>
    </row>
    <row r="9202" spans="1:7" x14ac:dyDescent="0.25">
      <c r="A9202" s="1" t="str">
        <f>"507135"</f>
        <v>507135</v>
      </c>
      <c r="B9202" s="2" t="str">
        <f>"DISTANCIADOR COD. 05.3120.054.50"</f>
        <v>DISTANCIADOR COD. 05.3120.054.50</v>
      </c>
      <c r="C9202" s="2" t="str">
        <f t="shared" si="353"/>
        <v>UN</v>
      </c>
      <c r="D9202" s="7">
        <v>918</v>
      </c>
      <c r="E9202" s="3">
        <v>11</v>
      </c>
      <c r="F9202" s="2">
        <v>6</v>
      </c>
      <c r="G9202" t="s">
        <v>514</v>
      </c>
    </row>
    <row r="9203" spans="1:7" x14ac:dyDescent="0.25">
      <c r="A9203" s="1" t="str">
        <f>"511635"</f>
        <v>511635</v>
      </c>
      <c r="B9203" s="2" t="str">
        <f>"DISTANCIADOR MOTOR REDUTOR BANDA D.E"</f>
        <v>DISTANCIADOR MOTOR REDUTOR BANDA D.E</v>
      </c>
      <c r="C9203" s="2" t="str">
        <f t="shared" si="353"/>
        <v>UN</v>
      </c>
      <c r="D9203" s="7">
        <v>918</v>
      </c>
      <c r="E9203" s="3">
        <v>11</v>
      </c>
      <c r="F9203" s="2">
        <v>9</v>
      </c>
      <c r="G9203" t="s">
        <v>514</v>
      </c>
    </row>
    <row r="9204" spans="1:7" x14ac:dyDescent="0.25">
      <c r="A9204" s="1" t="str">
        <f>"521827"</f>
        <v>521827</v>
      </c>
      <c r="B9204" s="2" t="str">
        <f>"DISTANCIADOR P/ PORTA ETIQUETA 004899.01 GSTO130"</f>
        <v>DISTANCIADOR P/ PORTA ETIQUETA 004899.01 GSTO130</v>
      </c>
      <c r="C9204" s="2" t="str">
        <f t="shared" si="353"/>
        <v>UN</v>
      </c>
      <c r="D9204" s="7">
        <v>99999</v>
      </c>
      <c r="E9204" s="3">
        <v>99</v>
      </c>
      <c r="F9204" s="2">
        <v>5</v>
      </c>
      <c r="G9204" t="s">
        <v>514</v>
      </c>
    </row>
    <row r="9205" spans="1:7" x14ac:dyDescent="0.25">
      <c r="A9205" s="1" t="str">
        <f>"522952"</f>
        <v>522952</v>
      </c>
      <c r="B9205" s="2" t="str">
        <f>"DISTANCIADOR PLASTICO CIRCULAR 25MM X ACO DE 10MM A 16MM"</f>
        <v>DISTANCIADOR PLASTICO CIRCULAR 25MM X ACO DE 10MM A 16MM</v>
      </c>
      <c r="C9205" s="2" t="str">
        <f t="shared" si="353"/>
        <v>UN</v>
      </c>
      <c r="D9205" s="7">
        <v>918</v>
      </c>
      <c r="E9205" s="3">
        <v>10</v>
      </c>
      <c r="F9205" s="2">
        <v>3</v>
      </c>
      <c r="G9205" t="s">
        <v>513</v>
      </c>
    </row>
    <row r="9206" spans="1:7" x14ac:dyDescent="0.25">
      <c r="A9206" s="1" t="str">
        <f>"525360"</f>
        <v>525360</v>
      </c>
      <c r="B9206" s="2" t="str">
        <f>"DISTRIBUDOR TETRAPOLAR 125A 4X15 TERMI. LGY412560"</f>
        <v>DISTRIBUDOR TETRAPOLAR 125A 4X15 TERMI. LGY412560</v>
      </c>
      <c r="C9206" s="2" t="str">
        <f t="shared" si="353"/>
        <v>UN</v>
      </c>
      <c r="D9206" s="7">
        <v>811</v>
      </c>
      <c r="E9206" s="3">
        <v>8</v>
      </c>
      <c r="F9206" s="2">
        <v>3</v>
      </c>
      <c r="G9206" t="s">
        <v>512</v>
      </c>
    </row>
    <row r="9207" spans="1:7" x14ac:dyDescent="0.25">
      <c r="A9207" s="1" t="str">
        <f>"521809"</f>
        <v>521809</v>
      </c>
      <c r="B9207" s="2" t="str">
        <f>"DISTRIBUIDOR 3 SAIDAS 2 C66439"</f>
        <v>DISTRIBUIDOR 3 SAIDAS 2 C66439</v>
      </c>
      <c r="C9207" s="2" t="str">
        <f t="shared" si="353"/>
        <v>UN</v>
      </c>
      <c r="D9207" s="7">
        <v>918</v>
      </c>
      <c r="E9207" s="3">
        <v>11</v>
      </c>
      <c r="F9207" s="2">
        <v>2</v>
      </c>
      <c r="G9207" t="s">
        <v>513</v>
      </c>
    </row>
    <row r="9208" spans="1:7" x14ac:dyDescent="0.25">
      <c r="A9208" s="1" t="str">
        <f>"504128"</f>
        <v>504128</v>
      </c>
      <c r="B9208" s="2" t="str">
        <f>"DISTRIBUIDOR ALIM P/ 2PC 0.200.000.162"</f>
        <v>DISTRIBUIDOR ALIM P/ 2PC 0.200.000.162</v>
      </c>
      <c r="C9208" s="2" t="str">
        <f>"BR"</f>
        <v>BR</v>
      </c>
      <c r="D9208" s="7">
        <v>808</v>
      </c>
      <c r="E9208" s="3">
        <v>10</v>
      </c>
      <c r="F9208" s="2">
        <v>1</v>
      </c>
      <c r="G9208" t="s">
        <v>514</v>
      </c>
    </row>
    <row r="9209" spans="1:7" x14ac:dyDescent="0.25">
      <c r="A9209" s="1" t="str">
        <f>"504141"</f>
        <v>504141</v>
      </c>
      <c r="B9209" s="2" t="str">
        <f>"DISTRIBUIDOR ALIM P/ 3PC 0.200.000.163"</f>
        <v>DISTRIBUIDOR ALIM P/ 3PC 0.200.000.163</v>
      </c>
      <c r="C9209" s="2" t="str">
        <f>"BR"</f>
        <v>BR</v>
      </c>
      <c r="D9209" s="7">
        <v>808</v>
      </c>
      <c r="E9209" s="3">
        <v>10</v>
      </c>
      <c r="F9209" s="2">
        <v>4</v>
      </c>
      <c r="G9209" t="s">
        <v>514</v>
      </c>
    </row>
    <row r="9210" spans="1:7" x14ac:dyDescent="0.25">
      <c r="A9210" s="1" t="str">
        <f>"504140"</f>
        <v>504140</v>
      </c>
      <c r="B9210" s="2" t="str">
        <f>"DISTRIBUIDOR ALIM P/ 5PC 0.200.000.165"</f>
        <v>DISTRIBUIDOR ALIM P/ 5PC 0.200.000.165</v>
      </c>
      <c r="C9210" s="2" t="str">
        <f>"BR"</f>
        <v>BR</v>
      </c>
      <c r="D9210" s="7">
        <v>808</v>
      </c>
      <c r="E9210" s="3">
        <v>10</v>
      </c>
      <c r="F9210" s="2">
        <v>1</v>
      </c>
      <c r="G9210" t="s">
        <v>514</v>
      </c>
    </row>
    <row r="9211" spans="1:7" x14ac:dyDescent="0.25">
      <c r="A9211" s="1" t="str">
        <f>"503542"</f>
        <v>503542</v>
      </c>
      <c r="B9211" s="2" t="str">
        <f>"DISTRIBUIDOR ALIM P/ 6PC 0.200.000.166"</f>
        <v>DISTRIBUIDOR ALIM P/ 6PC 0.200.000.166</v>
      </c>
      <c r="C9211" s="2" t="str">
        <f>"BR"</f>
        <v>BR</v>
      </c>
      <c r="D9211" s="7">
        <v>808</v>
      </c>
      <c r="E9211" s="3">
        <v>10</v>
      </c>
      <c r="F9211" s="2">
        <v>2</v>
      </c>
      <c r="G9211" t="s">
        <v>513</v>
      </c>
    </row>
    <row r="9212" spans="1:7" x14ac:dyDescent="0.25">
      <c r="A9212" s="1" t="str">
        <f>"509574"</f>
        <v>509574</v>
      </c>
      <c r="B9212" s="2" t="str">
        <f>"DISTRIBUIDOR DE AR 1/4"</f>
        <v>DISTRIBUIDOR DE AR 1/4</v>
      </c>
      <c r="C9212" s="2" t="str">
        <f t="shared" ref="C9212:C9243" si="354">"UN"</f>
        <v>UN</v>
      </c>
      <c r="D9212" s="7">
        <v>913</v>
      </c>
      <c r="E9212" s="3">
        <v>11</v>
      </c>
      <c r="F9212" s="2">
        <v>7</v>
      </c>
      <c r="G9212" t="s">
        <v>513</v>
      </c>
    </row>
    <row r="9213" spans="1:7" x14ac:dyDescent="0.25">
      <c r="A9213" s="1" t="str">
        <f>"520915"</f>
        <v>520915</v>
      </c>
      <c r="B9213" s="2" t="str">
        <f>"DISTRIBUIDOR DE LIQUIDO 4010"</f>
        <v>DISTRIBUIDOR DE LIQUIDO 4010</v>
      </c>
      <c r="C9213" s="2" t="str">
        <f t="shared" si="354"/>
        <v>UN</v>
      </c>
      <c r="D9213" s="7">
        <v>1002</v>
      </c>
      <c r="E9213" s="3">
        <v>10</v>
      </c>
      <c r="F9213" s="2">
        <v>9</v>
      </c>
      <c r="G9213" t="s">
        <v>513</v>
      </c>
    </row>
    <row r="9214" spans="1:7" x14ac:dyDescent="0.25">
      <c r="A9214" s="1" t="str">
        <f>"517167"</f>
        <v>517167</v>
      </c>
      <c r="B9214" s="2" t="str">
        <f>"DISTRIBUIDOR DE VIDEO 3 SAIDAS"</f>
        <v>DISTRIBUIDOR DE VIDEO 3 SAIDAS</v>
      </c>
      <c r="C9214" s="2" t="str">
        <f t="shared" si="354"/>
        <v>UN</v>
      </c>
      <c r="D9214" s="7">
        <v>811</v>
      </c>
      <c r="E9214" s="3">
        <v>8</v>
      </c>
      <c r="F9214" s="2">
        <v>0</v>
      </c>
      <c r="G9214" t="s">
        <v>512</v>
      </c>
    </row>
    <row r="9215" spans="1:7" x14ac:dyDescent="0.25">
      <c r="A9215" s="1" t="str">
        <f>"519509"</f>
        <v>519509</v>
      </c>
      <c r="B9215" s="2" t="str">
        <f>"DIV. CALÇO VINCADO ICE CAROLINA 60G"</f>
        <v>DIV. CALÇO VINCADO ICE CAROLINA 60G</v>
      </c>
      <c r="C9215" s="2" t="str">
        <f t="shared" si="354"/>
        <v>UN</v>
      </c>
      <c r="D9215" s="7">
        <v>306</v>
      </c>
      <c r="E9215" s="3">
        <v>1</v>
      </c>
      <c r="F9215" s="2">
        <v>0</v>
      </c>
      <c r="G9215" t="s">
        <v>513</v>
      </c>
    </row>
    <row r="9216" spans="1:7" x14ac:dyDescent="0.25">
      <c r="A9216" s="1" t="str">
        <f>"5800"</f>
        <v>5800</v>
      </c>
      <c r="B9216" s="2" t="str">
        <f>"DIV. CX  DISPLAY 15X100G (PEDAÇOS) DIA%"</f>
        <v>DIV. CX  DISPLAY 15X100G (PEDAÇOS) DIA%</v>
      </c>
      <c r="C9216" s="2" t="str">
        <f t="shared" si="354"/>
        <v>UN</v>
      </c>
      <c r="D9216" s="7">
        <v>306</v>
      </c>
      <c r="E9216" s="3">
        <v>1</v>
      </c>
      <c r="F9216" s="2">
        <v>4</v>
      </c>
      <c r="G9216" t="s">
        <v>514</v>
      </c>
    </row>
    <row r="9217" spans="1:7" x14ac:dyDescent="0.25">
      <c r="A9217" s="1" t="str">
        <f>"9011"</f>
        <v>9011</v>
      </c>
      <c r="B9217" s="2" t="str">
        <f>"DIV. CX  FRASCO 160G"</f>
        <v>DIV. CX  FRASCO 160G</v>
      </c>
      <c r="C9217" s="2" t="str">
        <f t="shared" si="354"/>
        <v>UN</v>
      </c>
      <c r="D9217" s="7">
        <v>306</v>
      </c>
      <c r="E9217" s="3">
        <v>1</v>
      </c>
      <c r="F9217" s="2">
        <v>1</v>
      </c>
      <c r="G9217" t="s">
        <v>515</v>
      </c>
    </row>
    <row r="9218" spans="1:7" x14ac:dyDescent="0.25">
      <c r="A9218" s="1" t="str">
        <f>"4155"</f>
        <v>4155</v>
      </c>
      <c r="B9218" s="2" t="str">
        <f>"DIV. CX 15X110G (DUET)"</f>
        <v>DIV. CX 15X110G (DUET)</v>
      </c>
      <c r="C9218" s="2" t="str">
        <f t="shared" si="354"/>
        <v>UN</v>
      </c>
      <c r="D9218" s="7">
        <v>301</v>
      </c>
      <c r="E9218" s="3">
        <v>1</v>
      </c>
      <c r="F9218" s="2">
        <v>2</v>
      </c>
      <c r="G9218" t="s">
        <v>512</v>
      </c>
    </row>
    <row r="9219" spans="1:7" x14ac:dyDescent="0.25">
      <c r="A9219" s="1" t="str">
        <f>"9012"</f>
        <v>9012</v>
      </c>
      <c r="B9219" s="2" t="str">
        <f>"DIV. CX 24X130G (DUET)"</f>
        <v>DIV. CX 24X130G (DUET)</v>
      </c>
      <c r="C9219" s="2" t="str">
        <f t="shared" si="354"/>
        <v>UN</v>
      </c>
      <c r="D9219" s="7">
        <v>306</v>
      </c>
      <c r="E9219" s="3">
        <v>1</v>
      </c>
      <c r="F9219" s="2">
        <v>7</v>
      </c>
      <c r="G9219" t="s">
        <v>516</v>
      </c>
    </row>
    <row r="9220" spans="1:7" x14ac:dyDescent="0.25">
      <c r="A9220" s="1" t="str">
        <f>"9018"</f>
        <v>9018</v>
      </c>
      <c r="B9220" s="2" t="str">
        <f>"DIV. CX 25X130G (DUET)"</f>
        <v>DIV. CX 25X130G (DUET)</v>
      </c>
      <c r="C9220" s="2" t="str">
        <f t="shared" si="354"/>
        <v>UN</v>
      </c>
      <c r="D9220" s="7">
        <v>306</v>
      </c>
      <c r="E9220" s="3">
        <v>1</v>
      </c>
      <c r="F9220" s="2">
        <v>9</v>
      </c>
      <c r="G9220" t="s">
        <v>515</v>
      </c>
    </row>
    <row r="9221" spans="1:7" x14ac:dyDescent="0.25">
      <c r="A9221" s="1" t="str">
        <f>"6858"</f>
        <v>6858</v>
      </c>
      <c r="B9221" s="2" t="str">
        <f>"DIV.CX  COPO 12X100 - (COLMEIA) - REF.70441-2 YOPLAIT"</f>
        <v>DIV.CX  COPO 12X100 - (COLMEIA) - REF.70441-2 YOPLAIT</v>
      </c>
      <c r="C9221" s="2" t="str">
        <f t="shared" si="354"/>
        <v>UN</v>
      </c>
      <c r="D9221" s="7">
        <v>306</v>
      </c>
      <c r="E9221" s="3">
        <v>1</v>
      </c>
      <c r="F9221" s="2">
        <v>0</v>
      </c>
      <c r="G9221" t="s">
        <v>514</v>
      </c>
    </row>
    <row r="9222" spans="1:7" x14ac:dyDescent="0.25">
      <c r="A9222" s="1" t="str">
        <f>"555"</f>
        <v>555</v>
      </c>
      <c r="B9222" s="2" t="str">
        <f>"DIV.CX BANDEJA"</f>
        <v>DIV.CX BANDEJA</v>
      </c>
      <c r="C9222" s="2" t="str">
        <f t="shared" si="354"/>
        <v>UN</v>
      </c>
      <c r="D9222" s="7">
        <v>306</v>
      </c>
      <c r="E9222" s="3">
        <v>1</v>
      </c>
      <c r="F9222" s="2">
        <v>0</v>
      </c>
      <c r="G9222" t="s">
        <v>512</v>
      </c>
    </row>
    <row r="9223" spans="1:7" x14ac:dyDescent="0.25">
      <c r="A9223" s="1" t="str">
        <f>"3524"</f>
        <v>3524</v>
      </c>
      <c r="B9223" s="2" t="str">
        <f>"DIV.CX COPO 24X130 BIBI BITS (COLMEIA)"</f>
        <v>DIV.CX COPO 24X130 BIBI BITS (COLMEIA)</v>
      </c>
      <c r="C9223" s="2" t="str">
        <f t="shared" si="354"/>
        <v>UN</v>
      </c>
      <c r="D9223" s="7">
        <v>306</v>
      </c>
      <c r="E9223" s="3">
        <v>1</v>
      </c>
      <c r="F9223" s="2">
        <v>2</v>
      </c>
      <c r="G9223" t="s">
        <v>513</v>
      </c>
    </row>
    <row r="9224" spans="1:7" x14ac:dyDescent="0.25">
      <c r="A9224" s="1" t="str">
        <f>"3086"</f>
        <v>3086</v>
      </c>
      <c r="B9224" s="2" t="str">
        <f>"DIV.CX REQ.180/200X20 - CAROLINA (COLMEIA)"</f>
        <v>DIV.CX REQ.180/200X20 - CAROLINA (COLMEIA)</v>
      </c>
      <c r="C9224" s="2" t="str">
        <f t="shared" si="354"/>
        <v>UN</v>
      </c>
      <c r="D9224" s="7">
        <v>306</v>
      </c>
      <c r="E9224" s="3">
        <v>1</v>
      </c>
      <c r="F9224" s="2">
        <v>5</v>
      </c>
      <c r="G9224" t="s">
        <v>514</v>
      </c>
    </row>
    <row r="9225" spans="1:7" x14ac:dyDescent="0.25">
      <c r="A9225" s="1" t="str">
        <f>"918"</f>
        <v>918</v>
      </c>
      <c r="B9225" s="2" t="str">
        <f>"DIV.CX REQ.200/200X24 - (COLMEIA)"</f>
        <v>DIV.CX REQ.200/200X24 - (COLMEIA)</v>
      </c>
      <c r="C9225" s="2" t="str">
        <f t="shared" si="354"/>
        <v>UN</v>
      </c>
      <c r="D9225" s="7">
        <v>306</v>
      </c>
      <c r="E9225" s="3">
        <v>1</v>
      </c>
      <c r="F9225" s="2">
        <v>0</v>
      </c>
      <c r="G9225" t="s">
        <v>514</v>
      </c>
    </row>
    <row r="9226" spans="1:7" x14ac:dyDescent="0.25">
      <c r="A9226" s="1" t="str">
        <f>"3085"</f>
        <v>3085</v>
      </c>
      <c r="B9226" s="2" t="str">
        <f>"DIV.CX REQ.220X240CAROLINA/COOP(COLMEIA)"</f>
        <v>DIV.CX REQ.220X240CAROLINA/COOP(COLMEIA)</v>
      </c>
      <c r="C9226" s="2" t="str">
        <f t="shared" si="354"/>
        <v>UN</v>
      </c>
      <c r="D9226" s="7">
        <v>306</v>
      </c>
      <c r="E9226" s="3">
        <v>1</v>
      </c>
      <c r="F9226" s="2">
        <v>2</v>
      </c>
      <c r="G9226" t="s">
        <v>512</v>
      </c>
    </row>
    <row r="9227" spans="1:7" x14ac:dyDescent="0.25">
      <c r="A9227" s="1" t="str">
        <f>"3307"</f>
        <v>3307</v>
      </c>
      <c r="B9227" s="2" t="str">
        <f>"DIV.CX REQ.36X220 CARRE/SENDAS/VIVER"</f>
        <v>DIV.CX REQ.36X220 CARRE/SENDAS/VIVER</v>
      </c>
      <c r="C9227" s="2" t="str">
        <f t="shared" si="354"/>
        <v>UN</v>
      </c>
      <c r="D9227" s="7">
        <v>306</v>
      </c>
      <c r="E9227" s="3">
        <v>1</v>
      </c>
      <c r="F9227" s="2">
        <v>5</v>
      </c>
      <c r="G9227" t="s">
        <v>513</v>
      </c>
    </row>
    <row r="9228" spans="1:7" x14ac:dyDescent="0.25">
      <c r="A9228" s="1" t="str">
        <f>"6856"</f>
        <v>6856</v>
      </c>
      <c r="B9228" s="2" t="str">
        <f>"DIV.CX SOBRE COPO 12X100 - (COLMEIA) - REF.70440-2 YOPLAIT"</f>
        <v>DIV.CX SOBRE COPO 12X100 - (COLMEIA) - REF.70440-2 YOPLAIT</v>
      </c>
      <c r="C9228" s="2" t="str">
        <f t="shared" si="354"/>
        <v>UN</v>
      </c>
      <c r="D9228" s="7">
        <v>306</v>
      </c>
      <c r="E9228" s="3">
        <v>1</v>
      </c>
      <c r="F9228" s="5">
        <v>5</v>
      </c>
      <c r="G9228" t="s">
        <v>514</v>
      </c>
    </row>
    <row r="9229" spans="1:7" x14ac:dyDescent="0.25">
      <c r="A9229" s="1" t="str">
        <f>"3268"</f>
        <v>3268</v>
      </c>
      <c r="B9229" s="2" t="str">
        <f>"DIV.CX.SAQUINHO 12X850X1000"</f>
        <v>DIV.CX.SAQUINHO 12X850X1000</v>
      </c>
      <c r="C9229" s="2" t="str">
        <f t="shared" si="354"/>
        <v>UN</v>
      </c>
      <c r="D9229" s="7">
        <v>306</v>
      </c>
      <c r="E9229" s="3">
        <v>1</v>
      </c>
      <c r="F9229" s="2">
        <v>3</v>
      </c>
      <c r="G9229" t="s">
        <v>514</v>
      </c>
    </row>
    <row r="9230" spans="1:7" x14ac:dyDescent="0.25">
      <c r="A9230" s="1" t="str">
        <f>"516350"</f>
        <v>516350</v>
      </c>
      <c r="B9230" s="2" t="str">
        <f>"DIV.PAPELAO CAP.CAROLINA 6 SABORES 48G"</f>
        <v>DIV.PAPELAO CAP.CAROLINA 6 SABORES 48G</v>
      </c>
      <c r="C9230" s="2" t="str">
        <f t="shared" si="354"/>
        <v>UN</v>
      </c>
      <c r="D9230" s="7">
        <v>306</v>
      </c>
      <c r="E9230" s="3">
        <v>1</v>
      </c>
      <c r="F9230" s="2">
        <v>8</v>
      </c>
      <c r="G9230" t="s">
        <v>514</v>
      </c>
    </row>
    <row r="9231" spans="1:7" x14ac:dyDescent="0.25">
      <c r="A9231" s="1" t="str">
        <f>"514391"</f>
        <v>514391</v>
      </c>
      <c r="B9231" s="2" t="str">
        <f>"DIV.PAPELAO CAP.CAROLINA 7 SABORES"</f>
        <v>DIV.PAPELAO CAP.CAROLINA 7 SABORES</v>
      </c>
      <c r="C9231" s="2" t="str">
        <f t="shared" si="354"/>
        <v>UN</v>
      </c>
      <c r="D9231" s="7">
        <v>306</v>
      </c>
      <c r="E9231" s="3">
        <v>1</v>
      </c>
      <c r="F9231" s="2">
        <v>6</v>
      </c>
      <c r="G9231" t="s">
        <v>513</v>
      </c>
    </row>
    <row r="9232" spans="1:7" x14ac:dyDescent="0.25">
      <c r="A9232" s="1" t="str">
        <f>"6547"</f>
        <v>6547</v>
      </c>
      <c r="B9232" s="2" t="str">
        <f>"DIV.PAPELAO CAP.CAROLINA 7 SABORES"</f>
        <v>DIV.PAPELAO CAP.CAROLINA 7 SABORES</v>
      </c>
      <c r="C9232" s="2" t="str">
        <f t="shared" si="354"/>
        <v>UN</v>
      </c>
      <c r="D9232" s="7">
        <v>306</v>
      </c>
      <c r="E9232" s="3">
        <v>1</v>
      </c>
      <c r="F9232" s="2">
        <v>4</v>
      </c>
      <c r="G9232" t="s">
        <v>512</v>
      </c>
    </row>
    <row r="9233" spans="1:7" x14ac:dyDescent="0.25">
      <c r="A9233" s="1" t="str">
        <f>"514357"</f>
        <v>514357</v>
      </c>
      <c r="B9233" s="2" t="str">
        <f>"DIV.PAPELAO CAP.CAROLINA 7 SABORES (IN)"</f>
        <v>DIV.PAPELAO CAP.CAROLINA 7 SABORES (IN)</v>
      </c>
      <c r="C9233" s="2" t="str">
        <f t="shared" si="354"/>
        <v>UN</v>
      </c>
      <c r="D9233" s="7">
        <v>306</v>
      </c>
      <c r="E9233" s="3">
        <v>1</v>
      </c>
      <c r="F9233" s="2">
        <v>1</v>
      </c>
      <c r="G9233" t="s">
        <v>513</v>
      </c>
    </row>
    <row r="9234" spans="1:7" x14ac:dyDescent="0.25">
      <c r="A9234" s="1" t="str">
        <f>"519498"</f>
        <v>519498</v>
      </c>
      <c r="B9234" s="2" t="str">
        <f>"DIV.PAPELAO ICE CAROLINA 6 SABORES 48G LC260"</f>
        <v>DIV.PAPELAO ICE CAROLINA 6 SABORES 48G LC260</v>
      </c>
      <c r="C9234" s="2" t="str">
        <f t="shared" si="354"/>
        <v>UN</v>
      </c>
      <c r="D9234" s="7">
        <v>306</v>
      </c>
      <c r="E9234" s="3">
        <v>1</v>
      </c>
      <c r="F9234" s="2">
        <v>2</v>
      </c>
      <c r="G9234" t="s">
        <v>514</v>
      </c>
    </row>
    <row r="9235" spans="1:7" x14ac:dyDescent="0.25">
      <c r="A9235" s="1" t="str">
        <f>"518311"</f>
        <v>518311</v>
      </c>
      <c r="B9235" s="2" t="str">
        <f>"DIVERSOS"</f>
        <v>DIVERSOS</v>
      </c>
      <c r="C9235" s="2" t="str">
        <f t="shared" si="354"/>
        <v>UN</v>
      </c>
      <c r="D9235" s="7">
        <v>99999</v>
      </c>
      <c r="E9235" s="3">
        <v>99</v>
      </c>
      <c r="F9235" s="2">
        <v>7</v>
      </c>
      <c r="G9235" t="s">
        <v>514</v>
      </c>
    </row>
    <row r="9236" spans="1:7" x14ac:dyDescent="0.25">
      <c r="A9236" s="1" t="str">
        <f>"518444"</f>
        <v>518444</v>
      </c>
      <c r="B9236" s="2" t="str">
        <f>"DIVERSOS ASSOCIAÇÃO"</f>
        <v>DIVERSOS ASSOCIAÇÃO</v>
      </c>
      <c r="C9236" s="2" t="str">
        <f t="shared" si="354"/>
        <v>UN</v>
      </c>
      <c r="D9236" s="7">
        <v>99999</v>
      </c>
      <c r="E9236" s="3">
        <v>99</v>
      </c>
      <c r="F9236" s="2">
        <v>9</v>
      </c>
      <c r="G9236" t="s">
        <v>514</v>
      </c>
    </row>
    <row r="9237" spans="1:7" x14ac:dyDescent="0.25">
      <c r="A9237" s="1" t="str">
        <f>"515727"</f>
        <v>515727</v>
      </c>
      <c r="B9237" s="2" t="str">
        <f>"DIVISOR 1/2"</f>
        <v>DIVISOR 1/2</v>
      </c>
      <c r="C9237" s="2" t="str">
        <f t="shared" si="354"/>
        <v>UN</v>
      </c>
      <c r="D9237" s="7">
        <v>401</v>
      </c>
      <c r="E9237" s="3">
        <v>4</v>
      </c>
      <c r="F9237" s="2">
        <v>0</v>
      </c>
      <c r="G9237" t="s">
        <v>513</v>
      </c>
    </row>
    <row r="9238" spans="1:7" x14ac:dyDescent="0.25">
      <c r="A9238" s="1" t="str">
        <f>"515726"</f>
        <v>515726</v>
      </c>
      <c r="B9238" s="2" t="str">
        <f>"DIVISOR 4 SAIDAS"</f>
        <v>DIVISOR 4 SAIDAS</v>
      </c>
      <c r="C9238" s="2" t="str">
        <f t="shared" si="354"/>
        <v>UN</v>
      </c>
      <c r="D9238" s="7">
        <v>401</v>
      </c>
      <c r="E9238" s="3">
        <v>4</v>
      </c>
      <c r="F9238" s="2">
        <v>0</v>
      </c>
      <c r="G9238" t="s">
        <v>513</v>
      </c>
    </row>
    <row r="9239" spans="1:7" x14ac:dyDescent="0.25">
      <c r="A9239" s="1" t="str">
        <f>"515602"</f>
        <v>515602</v>
      </c>
      <c r="B9239" s="2" t="str">
        <f>"DIVISORIA DOBRADICA"</f>
        <v>DIVISORIA DOBRADICA</v>
      </c>
      <c r="C9239" s="2" t="str">
        <f t="shared" si="354"/>
        <v>UN</v>
      </c>
      <c r="D9239" s="7">
        <v>408</v>
      </c>
      <c r="E9239" s="3">
        <v>4</v>
      </c>
      <c r="F9239" s="2">
        <v>2</v>
      </c>
      <c r="G9239" t="s">
        <v>513</v>
      </c>
    </row>
    <row r="9240" spans="1:7" x14ac:dyDescent="0.25">
      <c r="A9240" s="1" t="str">
        <f>"515370"</f>
        <v>515370</v>
      </c>
      <c r="B9240" s="2" t="str">
        <f>"DIVISORIA FICHARIO"</f>
        <v>DIVISORIA FICHARIO</v>
      </c>
      <c r="C9240" s="2" t="str">
        <f t="shared" si="354"/>
        <v>UN</v>
      </c>
      <c r="D9240" s="7">
        <v>401</v>
      </c>
      <c r="E9240" s="3">
        <v>4</v>
      </c>
      <c r="F9240" s="2">
        <v>5</v>
      </c>
      <c r="G9240" t="s">
        <v>512</v>
      </c>
    </row>
    <row r="9241" spans="1:7" x14ac:dyDescent="0.25">
      <c r="A9241" s="1" t="str">
        <f>"515609"</f>
        <v>515609</v>
      </c>
      <c r="B9241" s="2" t="str">
        <f>"DIVISORIA JG BATENTE"</f>
        <v>DIVISORIA JG BATENTE</v>
      </c>
      <c r="C9241" s="2" t="str">
        <f t="shared" si="354"/>
        <v>UN</v>
      </c>
      <c r="D9241" s="7">
        <v>408</v>
      </c>
      <c r="E9241" s="3">
        <v>4</v>
      </c>
      <c r="F9241" s="2">
        <v>6</v>
      </c>
      <c r="G9241" t="s">
        <v>513</v>
      </c>
    </row>
    <row r="9242" spans="1:7" x14ac:dyDescent="0.25">
      <c r="A9242" s="1" t="str">
        <f>"515607"</f>
        <v>515607</v>
      </c>
      <c r="B9242" s="2" t="str">
        <f>"DIVISORIA PERFIL"</f>
        <v>DIVISORIA PERFIL</v>
      </c>
      <c r="C9242" s="2" t="str">
        <f t="shared" si="354"/>
        <v>UN</v>
      </c>
      <c r="D9242" s="7">
        <v>408</v>
      </c>
      <c r="E9242" s="3">
        <v>4</v>
      </c>
      <c r="F9242" s="2">
        <v>9</v>
      </c>
      <c r="G9242" t="s">
        <v>514</v>
      </c>
    </row>
    <row r="9243" spans="1:7" x14ac:dyDescent="0.25">
      <c r="A9243" s="1" t="str">
        <f>"513588"</f>
        <v>513588</v>
      </c>
      <c r="B9243" s="2" t="str">
        <f>"DLINK DNS-320L"</f>
        <v>DLINK DNS-320L</v>
      </c>
      <c r="C9243" s="2" t="str">
        <f t="shared" si="354"/>
        <v>UN</v>
      </c>
      <c r="D9243" s="7">
        <v>99999</v>
      </c>
      <c r="E9243" s="3">
        <v>99</v>
      </c>
      <c r="F9243" s="2">
        <v>5</v>
      </c>
      <c r="G9243" t="s">
        <v>515</v>
      </c>
    </row>
    <row r="9244" spans="1:7" x14ac:dyDescent="0.25">
      <c r="A9244" s="1" t="str">
        <f>"518323"</f>
        <v>518323</v>
      </c>
      <c r="B9244" s="2" t="str">
        <f>"DOAÇÃO"</f>
        <v>DOAÇÃO</v>
      </c>
      <c r="C9244" s="2" t="str">
        <f t="shared" ref="C9244:C9260" si="355">"UN"</f>
        <v>UN</v>
      </c>
      <c r="D9244" s="7">
        <v>99999</v>
      </c>
      <c r="E9244" s="3">
        <v>99</v>
      </c>
      <c r="F9244" s="2">
        <v>3</v>
      </c>
      <c r="G9244" t="s">
        <v>512</v>
      </c>
    </row>
    <row r="9245" spans="1:7" x14ac:dyDescent="0.25">
      <c r="A9245" s="1" t="str">
        <f>"518629"</f>
        <v>518629</v>
      </c>
      <c r="B9245" s="2" t="str">
        <f>"DOBRADIÇA 3 X 2 5/8"</f>
        <v>DOBRADIÇA 3 X 2 5/8</v>
      </c>
      <c r="C9245" s="2" t="str">
        <f t="shared" si="355"/>
        <v>UN</v>
      </c>
      <c r="D9245" s="7">
        <v>1700</v>
      </c>
      <c r="E9245" s="3">
        <v>10</v>
      </c>
      <c r="F9245" s="2">
        <v>3</v>
      </c>
      <c r="G9245" t="s">
        <v>516</v>
      </c>
    </row>
    <row r="9246" spans="1:7" x14ac:dyDescent="0.25">
      <c r="A9246" s="1" t="str">
        <f>"519709"</f>
        <v>519709</v>
      </c>
      <c r="B9246" s="2" t="str">
        <f>"DOBRADIÇA AÇO"</f>
        <v>DOBRADIÇA AÇO</v>
      </c>
      <c r="C9246" s="2" t="str">
        <f t="shared" si="355"/>
        <v>UN</v>
      </c>
      <c r="D9246" s="7">
        <v>918</v>
      </c>
      <c r="E9246" s="3">
        <v>4</v>
      </c>
      <c r="F9246" s="2">
        <v>2</v>
      </c>
      <c r="G9246" t="s">
        <v>515</v>
      </c>
    </row>
    <row r="9247" spans="1:7" x14ac:dyDescent="0.25">
      <c r="A9247" s="1" t="str">
        <f>"521629"</f>
        <v>521629</v>
      </c>
      <c r="B9247" s="2" t="str">
        <f>"DOBRADICA AÇO 50 X 76MM ZAMAK"</f>
        <v>DOBRADICA AÇO 50 X 76MM ZAMAK</v>
      </c>
      <c r="C9247" s="2" t="str">
        <f t="shared" si="355"/>
        <v>UN</v>
      </c>
      <c r="D9247" s="7">
        <v>812</v>
      </c>
      <c r="E9247" s="3">
        <v>10</v>
      </c>
      <c r="F9247" s="2">
        <v>1</v>
      </c>
      <c r="G9247" t="s">
        <v>514</v>
      </c>
    </row>
    <row r="9248" spans="1:7" x14ac:dyDescent="0.25">
      <c r="A9248" s="1" t="str">
        <f>"525081"</f>
        <v>525081</v>
      </c>
      <c r="B9248" s="2" t="str">
        <f>"DOBRADICA CFZ. 97SH 10 ERS"</f>
        <v>DOBRADICA CFZ. 97SH 10 ERS</v>
      </c>
      <c r="C9248" s="2" t="str">
        <f t="shared" si="355"/>
        <v>UN</v>
      </c>
      <c r="D9248" s="7">
        <v>918</v>
      </c>
      <c r="E9248" s="3">
        <v>11</v>
      </c>
      <c r="F9248" s="2">
        <v>4</v>
      </c>
      <c r="G9248" t="s">
        <v>512</v>
      </c>
    </row>
    <row r="9249" spans="1:7" x14ac:dyDescent="0.25">
      <c r="A9249" s="1" t="str">
        <f>"509395"</f>
        <v>509395</v>
      </c>
      <c r="B9249" s="2" t="str">
        <f>"DOBRADIÇA DBM-A7 48X48 TIPO 1 FL"</f>
        <v>DOBRADIÇA DBM-A7 48X48 TIPO 1 FL</v>
      </c>
      <c r="C9249" s="2" t="str">
        <f t="shared" si="355"/>
        <v>UN</v>
      </c>
      <c r="D9249" s="7">
        <v>918</v>
      </c>
      <c r="E9249" s="3">
        <v>11</v>
      </c>
      <c r="F9249" s="2">
        <v>6</v>
      </c>
      <c r="G9249" t="s">
        <v>513</v>
      </c>
    </row>
    <row r="9250" spans="1:7" x14ac:dyDescent="0.25">
      <c r="A9250" s="1" t="str">
        <f>"518352"</f>
        <v>518352</v>
      </c>
      <c r="B9250" s="2" t="str">
        <f>"DOBRADIÇA MERKEL FZ 1 1/2"""</f>
        <v>DOBRADIÇA MERKEL FZ 1 1/2"</v>
      </c>
      <c r="C9250" s="2" t="str">
        <f t="shared" si="355"/>
        <v>UN</v>
      </c>
      <c r="D9250" s="7">
        <v>1700</v>
      </c>
      <c r="E9250" s="3">
        <v>10</v>
      </c>
      <c r="F9250" s="2">
        <v>8</v>
      </c>
      <c r="G9250" t="s">
        <v>514</v>
      </c>
    </row>
    <row r="9251" spans="1:7" x14ac:dyDescent="0.25">
      <c r="A9251" s="1" t="str">
        <f>"525267"</f>
        <v>525267</v>
      </c>
      <c r="B9251" s="2" t="str">
        <f>"DOBRADIÇA MERKEL FZ 2 1/2"""</f>
        <v>DOBRADIÇA MERKEL FZ 2 1/2"</v>
      </c>
      <c r="C9251" s="2" t="str">
        <f t="shared" si="355"/>
        <v>UN</v>
      </c>
      <c r="D9251" s="7">
        <v>1700</v>
      </c>
      <c r="E9251" s="3">
        <v>10</v>
      </c>
      <c r="F9251" s="2">
        <v>7</v>
      </c>
      <c r="G9251" t="s">
        <v>514</v>
      </c>
    </row>
    <row r="9252" spans="1:7" x14ac:dyDescent="0.25">
      <c r="A9252" s="1" t="str">
        <f>"518451"</f>
        <v>518451</v>
      </c>
      <c r="B9252" s="2" t="str">
        <f>"DOBRADIÇA MERKEL FZ 2"""</f>
        <v>DOBRADIÇA MERKEL FZ 2"</v>
      </c>
      <c r="C9252" s="2" t="str">
        <f t="shared" si="355"/>
        <v>UN</v>
      </c>
      <c r="D9252" s="7">
        <v>1700</v>
      </c>
      <c r="E9252" s="3">
        <v>10</v>
      </c>
      <c r="F9252" s="2">
        <v>6</v>
      </c>
      <c r="G9252" t="s">
        <v>512</v>
      </c>
    </row>
    <row r="9253" spans="1:7" x14ac:dyDescent="0.25">
      <c r="A9253" s="1" t="str">
        <f>"517964"</f>
        <v>517964</v>
      </c>
      <c r="B9253" s="2" t="str">
        <f>"DOBRADIÇA MERKEL FZ 3 1/2"""</f>
        <v>DOBRADIÇA MERKEL FZ 3 1/2"</v>
      </c>
      <c r="C9253" s="2" t="str">
        <f t="shared" si="355"/>
        <v>UN</v>
      </c>
      <c r="D9253" s="7">
        <v>1700</v>
      </c>
      <c r="E9253" s="3">
        <v>10</v>
      </c>
      <c r="F9253" s="2">
        <v>6</v>
      </c>
      <c r="G9253" t="s">
        <v>513</v>
      </c>
    </row>
    <row r="9254" spans="1:7" x14ac:dyDescent="0.25">
      <c r="A9254" s="1" t="str">
        <f>"500687"</f>
        <v>500687</v>
      </c>
      <c r="B9254" s="2" t="str">
        <f>"DOBRADICA PEQUENA 48X49 POLIAM COD5101 ASTERBELT"</f>
        <v>DOBRADICA PEQUENA 48X49 POLIAM COD5101 ASTERBELT</v>
      </c>
      <c r="C9254" s="2" t="str">
        <f t="shared" si="355"/>
        <v>UN</v>
      </c>
      <c r="D9254" s="7">
        <v>403</v>
      </c>
      <c r="E9254" s="3">
        <v>4</v>
      </c>
      <c r="F9254" s="2">
        <v>2</v>
      </c>
      <c r="G9254" t="s">
        <v>514</v>
      </c>
    </row>
    <row r="9255" spans="1:7" x14ac:dyDescent="0.25">
      <c r="A9255" s="1" t="str">
        <f>"525263"</f>
        <v>525263</v>
      </c>
      <c r="B9255" s="2" t="str">
        <f>"DOBRADIÇA PORTEIRA Nº3 (PAR)"</f>
        <v>DOBRADIÇA PORTEIRA Nº3 (PAR)</v>
      </c>
      <c r="C9255" s="2" t="str">
        <f t="shared" si="355"/>
        <v>UN</v>
      </c>
      <c r="D9255" s="7">
        <v>1700</v>
      </c>
      <c r="E9255" s="3">
        <v>10</v>
      </c>
      <c r="F9255" s="2">
        <v>1</v>
      </c>
      <c r="G9255" t="s">
        <v>514</v>
      </c>
    </row>
    <row r="9256" spans="1:7" x14ac:dyDescent="0.25">
      <c r="A9256" s="1" t="str">
        <f>"519161"</f>
        <v>519161</v>
      </c>
      <c r="B9256" s="2" t="str">
        <f>"DOBRADIÇA PORTEIRA Nº4 (PAR)"</f>
        <v>DOBRADIÇA PORTEIRA Nº4 (PAR)</v>
      </c>
      <c r="C9256" s="2" t="str">
        <f t="shared" si="355"/>
        <v>UN</v>
      </c>
      <c r="D9256" s="7">
        <v>1700</v>
      </c>
      <c r="E9256" s="3">
        <v>10</v>
      </c>
      <c r="F9256" s="2">
        <v>0</v>
      </c>
      <c r="G9256" t="s">
        <v>514</v>
      </c>
    </row>
    <row r="9257" spans="1:7" x14ac:dyDescent="0.25">
      <c r="A9257" s="1" t="str">
        <f>"513192"</f>
        <v>513192</v>
      </c>
      <c r="B9257" s="2" t="str">
        <f>"DOCE"</f>
        <v>DOCE</v>
      </c>
      <c r="C9257" s="2" t="str">
        <f t="shared" si="355"/>
        <v>UN</v>
      </c>
      <c r="D9257" s="7">
        <v>99999</v>
      </c>
      <c r="E9257" s="3">
        <v>99</v>
      </c>
      <c r="F9257" s="2">
        <v>0</v>
      </c>
      <c r="G9257" t="s">
        <v>513</v>
      </c>
    </row>
    <row r="9258" spans="1:7" x14ac:dyDescent="0.25">
      <c r="A9258" s="1" t="str">
        <f>"518210"</f>
        <v>518210</v>
      </c>
      <c r="B9258" s="2" t="str">
        <f>"DOCE CASADINHO MEIO A MEIO"</f>
        <v>DOCE CASADINHO MEIO A MEIO</v>
      </c>
      <c r="C9258" s="2" t="str">
        <f t="shared" si="355"/>
        <v>UN</v>
      </c>
      <c r="D9258" s="7">
        <v>401</v>
      </c>
      <c r="E9258" s="3">
        <v>4</v>
      </c>
      <c r="F9258" s="2">
        <v>0</v>
      </c>
      <c r="G9258" t="s">
        <v>512</v>
      </c>
    </row>
    <row r="9259" spans="1:7" x14ac:dyDescent="0.25">
      <c r="A9259" s="1" t="str">
        <f>"510870"</f>
        <v>510870</v>
      </c>
      <c r="B9259" s="2" t="str">
        <f>"DOCE DE LEITE"</f>
        <v>DOCE DE LEITE</v>
      </c>
      <c r="C9259" s="2" t="str">
        <f t="shared" si="355"/>
        <v>UN</v>
      </c>
      <c r="D9259" s="7">
        <v>401</v>
      </c>
      <c r="E9259" s="3">
        <v>4</v>
      </c>
      <c r="F9259" s="2">
        <v>3</v>
      </c>
      <c r="G9259" t="s">
        <v>513</v>
      </c>
    </row>
    <row r="9260" spans="1:7" x14ac:dyDescent="0.25">
      <c r="A9260" s="1" t="str">
        <f>"519282"</f>
        <v>519282</v>
      </c>
      <c r="B9260" s="2" t="str">
        <f>"DOMO P/ SECADOR DE LIQUIDO"</f>
        <v>DOMO P/ SECADOR DE LIQUIDO</v>
      </c>
      <c r="C9260" s="2" t="str">
        <f t="shared" si="355"/>
        <v>UN</v>
      </c>
      <c r="D9260" s="7">
        <v>912</v>
      </c>
      <c r="E9260" s="3">
        <v>10</v>
      </c>
      <c r="F9260" s="5">
        <v>5</v>
      </c>
      <c r="G9260" t="s">
        <v>514</v>
      </c>
    </row>
    <row r="9261" spans="1:7" x14ac:dyDescent="0.25">
      <c r="A9261" s="1" t="str">
        <f>"6587"</f>
        <v>6587</v>
      </c>
      <c r="B9261" s="2" t="str">
        <f>"DOREFOS 10"</f>
        <v>DOREFOS 10</v>
      </c>
      <c r="C9261" s="2" t="str">
        <f>"KG"</f>
        <v>KG</v>
      </c>
      <c r="D9261" s="7">
        <v>209</v>
      </c>
      <c r="E9261" s="3">
        <v>2</v>
      </c>
      <c r="F9261" s="2">
        <v>3</v>
      </c>
      <c r="G9261" t="s">
        <v>514</v>
      </c>
    </row>
    <row r="9262" spans="1:7" x14ac:dyDescent="0.25">
      <c r="A9262" s="1" t="str">
        <f>"4133"</f>
        <v>4133</v>
      </c>
      <c r="B9262" s="2" t="str">
        <f>"DOREFOS 9"</f>
        <v>DOREFOS 9</v>
      </c>
      <c r="C9262" s="2" t="str">
        <f>"KG"</f>
        <v>KG</v>
      </c>
      <c r="D9262" s="7">
        <v>223</v>
      </c>
      <c r="E9262" s="3">
        <v>2</v>
      </c>
      <c r="F9262" s="2">
        <v>8</v>
      </c>
      <c r="G9262" t="s">
        <v>514</v>
      </c>
    </row>
    <row r="9263" spans="1:7" x14ac:dyDescent="0.25">
      <c r="A9263" s="1" t="str">
        <f>"901"</f>
        <v>901</v>
      </c>
      <c r="B9263" s="2" t="str">
        <f>"DOREMIX PS CL 2"</f>
        <v>DOREMIX PS CL 2</v>
      </c>
      <c r="C9263" s="2" t="str">
        <f>"KG"</f>
        <v>KG</v>
      </c>
      <c r="D9263" s="7">
        <v>204</v>
      </c>
      <c r="E9263" s="3">
        <v>2</v>
      </c>
      <c r="F9263" s="2">
        <v>6</v>
      </c>
      <c r="G9263" t="s">
        <v>513</v>
      </c>
    </row>
    <row r="9264" spans="1:7" x14ac:dyDescent="0.25">
      <c r="A9264" s="1" t="str">
        <f>"519460"</f>
        <v>519460</v>
      </c>
      <c r="B9264" s="2" t="str">
        <f>"DORILEN CX 12 COMPRIMIOS"</f>
        <v>DORILEN CX 12 COMPRIMIOS</v>
      </c>
      <c r="C9264" s="2" t="str">
        <f t="shared" ref="C9264:C9300" si="356">"UN"</f>
        <v>UN</v>
      </c>
      <c r="D9264" s="7">
        <v>406</v>
      </c>
      <c r="E9264" s="3">
        <v>4</v>
      </c>
      <c r="F9264" s="2">
        <v>4</v>
      </c>
      <c r="G9264" t="s">
        <v>513</v>
      </c>
    </row>
    <row r="9265" spans="1:7" x14ac:dyDescent="0.25">
      <c r="A9265" s="1" t="str">
        <f>"521663"</f>
        <v>521663</v>
      </c>
      <c r="B9265" s="2" t="str">
        <f>"DOSADOR"</f>
        <v>DOSADOR</v>
      </c>
      <c r="C9265" s="2" t="str">
        <f t="shared" si="356"/>
        <v>UN</v>
      </c>
      <c r="D9265" s="7">
        <v>99999</v>
      </c>
      <c r="E9265" s="3">
        <v>99</v>
      </c>
      <c r="F9265" s="2">
        <v>1</v>
      </c>
      <c r="G9265" t="s">
        <v>513</v>
      </c>
    </row>
    <row r="9266" spans="1:7" x14ac:dyDescent="0.25">
      <c r="A9266" s="1" t="str">
        <f>"512975"</f>
        <v>512975</v>
      </c>
      <c r="B9266" s="2" t="str">
        <f>"DOSADOR ALIMENTOS"</f>
        <v>DOSADOR ALIMENTOS</v>
      </c>
      <c r="C9266" s="2" t="str">
        <f t="shared" si="356"/>
        <v>UN</v>
      </c>
      <c r="D9266" s="7">
        <v>99999</v>
      </c>
      <c r="E9266" s="3">
        <v>99</v>
      </c>
      <c r="F9266" s="2">
        <v>2</v>
      </c>
      <c r="G9266" t="s">
        <v>512</v>
      </c>
    </row>
    <row r="9267" spans="1:7" x14ac:dyDescent="0.25">
      <c r="A9267" s="1" t="str">
        <f>"517232"</f>
        <v>517232</v>
      </c>
      <c r="B9267" s="2" t="str">
        <f>"DOSADOR DE BOMBA 10 PISTA MAQ A"</f>
        <v>DOSADOR DE BOMBA 10 PISTA MAQ A</v>
      </c>
      <c r="C9267" s="2" t="str">
        <f t="shared" si="356"/>
        <v>UN</v>
      </c>
      <c r="D9267" s="7">
        <v>918</v>
      </c>
      <c r="E9267" s="3">
        <v>11</v>
      </c>
      <c r="F9267" s="2">
        <v>7</v>
      </c>
      <c r="G9267" t="s">
        <v>513</v>
      </c>
    </row>
    <row r="9268" spans="1:7" x14ac:dyDescent="0.25">
      <c r="A9268" s="1" t="str">
        <f>"517233"</f>
        <v>517233</v>
      </c>
      <c r="B9268" s="2" t="str">
        <f>"DOSADOR DE BOMBA 10 PISTA MAQ B"</f>
        <v>DOSADOR DE BOMBA 10 PISTA MAQ B</v>
      </c>
      <c r="C9268" s="2" t="str">
        <f t="shared" si="356"/>
        <v>UN</v>
      </c>
      <c r="D9268" s="7">
        <v>918</v>
      </c>
      <c r="E9268" s="3">
        <v>11</v>
      </c>
      <c r="F9268" s="2">
        <v>9</v>
      </c>
      <c r="G9268" t="s">
        <v>514</v>
      </c>
    </row>
    <row r="9269" spans="1:7" x14ac:dyDescent="0.25">
      <c r="A9269" s="1" t="str">
        <f>"517234"</f>
        <v>517234</v>
      </c>
      <c r="B9269" s="2" t="str">
        <f>"DOSADOR DE BOMBA 10 PISTA MAQ C"</f>
        <v>DOSADOR DE BOMBA 10 PISTA MAQ C</v>
      </c>
      <c r="C9269" s="2" t="str">
        <f t="shared" si="356"/>
        <v>UN</v>
      </c>
      <c r="D9269" s="7">
        <v>918</v>
      </c>
      <c r="E9269" s="3">
        <v>11</v>
      </c>
      <c r="F9269" s="2">
        <v>0</v>
      </c>
      <c r="G9269" t="s">
        <v>515</v>
      </c>
    </row>
    <row r="9270" spans="1:7" x14ac:dyDescent="0.25">
      <c r="A9270" s="1" t="str">
        <f>"517274"</f>
        <v>517274</v>
      </c>
      <c r="B9270" s="2" t="str">
        <f>"DOSADOR DE BOMBA 10 PISTA MAQ D"</f>
        <v>DOSADOR DE BOMBA 10 PISTA MAQ D</v>
      </c>
      <c r="C9270" s="2" t="str">
        <f t="shared" si="356"/>
        <v>UN</v>
      </c>
      <c r="D9270" s="7">
        <v>918</v>
      </c>
      <c r="E9270" s="3">
        <v>11</v>
      </c>
      <c r="F9270" s="2">
        <v>0</v>
      </c>
      <c r="G9270" t="s">
        <v>512</v>
      </c>
    </row>
    <row r="9271" spans="1:7" x14ac:dyDescent="0.25">
      <c r="A9271" s="1" t="str">
        <f>"517283"</f>
        <v>517283</v>
      </c>
      <c r="B9271" s="2" t="str">
        <f>"DOSADOR DE BOMBA 10 PISTA MAQ E"</f>
        <v>DOSADOR DE BOMBA 10 PISTA MAQ E</v>
      </c>
      <c r="C9271" s="2" t="str">
        <f t="shared" si="356"/>
        <v>UN</v>
      </c>
      <c r="D9271" s="7">
        <v>918</v>
      </c>
      <c r="E9271" s="3">
        <v>11</v>
      </c>
      <c r="F9271" s="2">
        <v>2</v>
      </c>
      <c r="G9271" t="s">
        <v>516</v>
      </c>
    </row>
    <row r="9272" spans="1:7" x14ac:dyDescent="0.25">
      <c r="A9272" s="1" t="str">
        <f>"517293"</f>
        <v>517293</v>
      </c>
      <c r="B9272" s="2" t="str">
        <f>"DOSADOR DE BOMBA 10 PISTA MAQ F"</f>
        <v>DOSADOR DE BOMBA 10 PISTA MAQ F</v>
      </c>
      <c r="C9272" s="2" t="str">
        <f t="shared" si="356"/>
        <v>UN</v>
      </c>
      <c r="D9272" s="7">
        <v>918</v>
      </c>
      <c r="E9272" s="3">
        <v>11</v>
      </c>
      <c r="F9272" s="2">
        <v>5</v>
      </c>
      <c r="G9272" t="s">
        <v>515</v>
      </c>
    </row>
    <row r="9273" spans="1:7" x14ac:dyDescent="0.25">
      <c r="A9273" s="1" t="str">
        <f>"525307"</f>
        <v>525307</v>
      </c>
      <c r="B9273" s="2" t="str">
        <f>"DOSADOR DE SUCRILHOS"</f>
        <v>DOSADOR DE SUCRILHOS</v>
      </c>
      <c r="C9273" s="2" t="str">
        <f t="shared" si="356"/>
        <v>UN</v>
      </c>
      <c r="D9273" s="7">
        <v>918</v>
      </c>
      <c r="E9273" s="3">
        <v>10</v>
      </c>
      <c r="F9273" s="2">
        <v>6</v>
      </c>
      <c r="G9273" t="s">
        <v>514</v>
      </c>
    </row>
    <row r="9274" spans="1:7" x14ac:dyDescent="0.25">
      <c r="A9274" s="1" t="str">
        <f>"525252"</f>
        <v>525252</v>
      </c>
      <c r="B9274" s="2" t="str">
        <f>"DOSADOR INOX 304 P/ FERMENTADO 850G"</f>
        <v>DOSADOR INOX 304 P/ FERMENTADO 850G</v>
      </c>
      <c r="C9274" s="2" t="str">
        <f t="shared" si="356"/>
        <v>UN</v>
      </c>
      <c r="D9274" s="7">
        <v>918</v>
      </c>
      <c r="E9274" s="3">
        <v>10</v>
      </c>
      <c r="F9274" s="2">
        <v>9</v>
      </c>
      <c r="G9274" t="s">
        <v>512</v>
      </c>
    </row>
    <row r="9275" spans="1:7" x14ac:dyDescent="0.25">
      <c r="A9275" s="1" t="str">
        <f>"525388"</f>
        <v>525388</v>
      </c>
      <c r="B9275" s="2" t="str">
        <f>"DOSADOR PRINCIPAL PETIT - ADAPTAÇÃO SISTEMA CIP"</f>
        <v>DOSADOR PRINCIPAL PETIT - ADAPTAÇÃO SISTEMA CIP</v>
      </c>
      <c r="C9275" s="2" t="str">
        <f t="shared" si="356"/>
        <v>UN</v>
      </c>
      <c r="D9275" s="7">
        <v>918</v>
      </c>
      <c r="E9275" s="3">
        <v>10</v>
      </c>
      <c r="F9275" s="2">
        <v>5</v>
      </c>
      <c r="G9275" t="s">
        <v>513</v>
      </c>
    </row>
    <row r="9276" spans="1:7" x14ac:dyDescent="0.25">
      <c r="A9276" s="1" t="str">
        <f>"525389"</f>
        <v>525389</v>
      </c>
      <c r="B9276" s="2" t="str">
        <f>"DOSADOR PRINCIPAL PETIT - ADAPTAÇÃO TUBULAÇÃO TQ EQ/DOSADOR"</f>
        <v>DOSADOR PRINCIPAL PETIT - ADAPTAÇÃO TUBULAÇÃO TQ EQ/DOSADOR</v>
      </c>
      <c r="C9276" s="2" t="str">
        <f t="shared" si="356"/>
        <v>UN</v>
      </c>
      <c r="D9276" s="7">
        <v>918</v>
      </c>
      <c r="E9276" s="3">
        <v>10</v>
      </c>
      <c r="F9276" s="2">
        <v>3</v>
      </c>
      <c r="G9276" t="s">
        <v>514</v>
      </c>
    </row>
    <row r="9277" spans="1:7" x14ac:dyDescent="0.25">
      <c r="A9277" s="1" t="str">
        <f>"523262"</f>
        <v>523262</v>
      </c>
      <c r="B9277" s="2" t="str">
        <f>"DOSADOR PUMP P/ BB 60LT"</f>
        <v>DOSADOR PUMP P/ BB 60LT</v>
      </c>
      <c r="C9277" s="2" t="str">
        <f t="shared" si="356"/>
        <v>UN</v>
      </c>
      <c r="D9277" s="7">
        <v>400</v>
      </c>
      <c r="E9277" s="3">
        <v>4</v>
      </c>
      <c r="F9277" s="2">
        <v>3</v>
      </c>
      <c r="G9277" t="s">
        <v>514</v>
      </c>
    </row>
    <row r="9278" spans="1:7" x14ac:dyDescent="0.25">
      <c r="A9278" s="1" t="str">
        <f>"526175"</f>
        <v>526175</v>
      </c>
      <c r="B9278" s="2" t="str">
        <f>"DOSEADOR"</f>
        <v>DOSEADOR</v>
      </c>
      <c r="C9278" s="2" t="str">
        <f t="shared" si="356"/>
        <v>UN</v>
      </c>
      <c r="D9278" s="7">
        <v>99999</v>
      </c>
      <c r="E9278" s="3">
        <v>99</v>
      </c>
      <c r="F9278" s="2">
        <v>2</v>
      </c>
      <c r="G9278" t="s">
        <v>512</v>
      </c>
    </row>
    <row r="9279" spans="1:7" x14ac:dyDescent="0.25">
      <c r="A9279" s="1" t="str">
        <f>"527921"</f>
        <v>527921</v>
      </c>
      <c r="B9279" s="2" t="str">
        <f>"DPS - DIP PROT SURTOS 45KA"</f>
        <v>DPS - DIP PROT SURTOS 45KA</v>
      </c>
      <c r="C9279" s="2" t="str">
        <f t="shared" si="356"/>
        <v>UN</v>
      </c>
      <c r="D9279" s="7">
        <v>600</v>
      </c>
      <c r="E9279" s="3">
        <v>8</v>
      </c>
      <c r="F9279" s="2">
        <v>1</v>
      </c>
      <c r="G9279" t="s">
        <v>513</v>
      </c>
    </row>
    <row r="9280" spans="1:7" x14ac:dyDescent="0.25">
      <c r="A9280" s="1" t="str">
        <f>"526066"</f>
        <v>526066</v>
      </c>
      <c r="B9280" s="2" t="str">
        <f>"DPS E29L33145 SCHNEIDER"</f>
        <v>DPS E29L33145 SCHNEIDER</v>
      </c>
      <c r="C9280" s="2" t="str">
        <f t="shared" si="356"/>
        <v>UN</v>
      </c>
      <c r="D9280" s="7">
        <v>811</v>
      </c>
      <c r="E9280" s="3">
        <v>8</v>
      </c>
      <c r="F9280" s="2">
        <v>4</v>
      </c>
      <c r="G9280" t="s">
        <v>514</v>
      </c>
    </row>
    <row r="9281" spans="1:7" x14ac:dyDescent="0.25">
      <c r="A9281" s="1" t="str">
        <f>"515912"</f>
        <v>515912</v>
      </c>
      <c r="B9281" s="2" t="str">
        <f>"DPS FN2020-3-06 110/220VAC 3A 40º SCHAFFNER"</f>
        <v>DPS FN2020-3-06 110/220VAC 3A 40º SCHAFFNER</v>
      </c>
      <c r="C9281" s="2" t="str">
        <f t="shared" si="356"/>
        <v>UN</v>
      </c>
      <c r="D9281" s="7">
        <v>99999</v>
      </c>
      <c r="E9281" s="3">
        <v>99</v>
      </c>
      <c r="F9281" s="2">
        <v>1</v>
      </c>
      <c r="G9281" t="s">
        <v>514</v>
      </c>
    </row>
    <row r="9282" spans="1:7" x14ac:dyDescent="0.25">
      <c r="A9282" s="1" t="str">
        <f>"526462"</f>
        <v>526462</v>
      </c>
      <c r="B9282" s="2" t="str">
        <f>"DPS SCHNEIDER 20KA 275VCA CL3 EZ9L33120"</f>
        <v>DPS SCHNEIDER 20KA 275VCA CL3 EZ9L33120</v>
      </c>
      <c r="C9282" s="2" t="str">
        <f t="shared" si="356"/>
        <v>UN</v>
      </c>
      <c r="D9282" s="7">
        <v>811</v>
      </c>
      <c r="E9282" s="3">
        <v>8</v>
      </c>
      <c r="F9282" s="2">
        <v>2</v>
      </c>
      <c r="G9282" t="s">
        <v>514</v>
      </c>
    </row>
    <row r="9283" spans="1:7" x14ac:dyDescent="0.25">
      <c r="A9283" s="1" t="str">
        <f>"512290"</f>
        <v>512290</v>
      </c>
      <c r="B9283" s="2" t="str">
        <f>"DPS SIEMENS 40KA"</f>
        <v>DPS SIEMENS 40KA</v>
      </c>
      <c r="C9283" s="2" t="str">
        <f t="shared" si="356"/>
        <v>UN</v>
      </c>
      <c r="D9283" s="7">
        <v>600</v>
      </c>
      <c r="E9283" s="3">
        <v>8</v>
      </c>
      <c r="F9283" s="2">
        <v>7</v>
      </c>
      <c r="G9283" t="s">
        <v>513</v>
      </c>
    </row>
    <row r="9284" spans="1:7" x14ac:dyDescent="0.25">
      <c r="A9284" s="1" t="str">
        <f>"523845"</f>
        <v>523845</v>
      </c>
      <c r="B9284" s="2" t="str">
        <f>"DQO REAGENTE COD TNT 16MM 200-15000MG/L 150UN HX0001-00622"</f>
        <v>DQO REAGENTE COD TNT 16MM 200-15000MG/L 150UN HX0001-00622</v>
      </c>
      <c r="C9284" s="2" t="str">
        <f t="shared" si="356"/>
        <v>UN</v>
      </c>
      <c r="D9284" s="7">
        <v>99999</v>
      </c>
      <c r="E9284" s="3">
        <v>99</v>
      </c>
      <c r="F9284" s="2">
        <v>9</v>
      </c>
      <c r="G9284" t="s">
        <v>512</v>
      </c>
    </row>
    <row r="9285" spans="1:7" x14ac:dyDescent="0.25">
      <c r="A9285" s="1" t="str">
        <f>"523844"</f>
        <v>523844</v>
      </c>
      <c r="B9285" s="2" t="str">
        <f>"DQO REAGENTE COD TNT 16MM 20-1500MG/L 150UN HX0001-00406"</f>
        <v>DQO REAGENTE COD TNT 16MM 20-1500MG/L 150UN HX0001-00406</v>
      </c>
      <c r="C9285" s="2" t="str">
        <f t="shared" si="356"/>
        <v>UN</v>
      </c>
      <c r="D9285" s="7">
        <v>99999</v>
      </c>
      <c r="E9285" s="3">
        <v>99</v>
      </c>
      <c r="F9285" s="2">
        <v>0</v>
      </c>
      <c r="G9285" t="s">
        <v>513</v>
      </c>
    </row>
    <row r="9286" spans="1:7" x14ac:dyDescent="0.25">
      <c r="A9286" s="1" t="str">
        <f>"524657"</f>
        <v>524657</v>
      </c>
      <c r="B9286" s="2" t="str">
        <f>"DQO REAGENTE COD TNT 16MM 3-1500MG/L 150UN HX0001-00406"</f>
        <v>DQO REAGENTE COD TNT 16MM 3-1500MG/L 150UN HX0001-00406</v>
      </c>
      <c r="C9286" s="2" t="str">
        <f t="shared" si="356"/>
        <v>UN</v>
      </c>
      <c r="D9286" s="7">
        <v>406</v>
      </c>
      <c r="E9286" s="3">
        <v>10</v>
      </c>
      <c r="F9286" s="2">
        <v>0</v>
      </c>
      <c r="G9286" t="s">
        <v>514</v>
      </c>
    </row>
    <row r="9287" spans="1:7" x14ac:dyDescent="0.25">
      <c r="A9287" s="1" t="str">
        <f>"524656"</f>
        <v>524656</v>
      </c>
      <c r="B9287" s="2" t="str">
        <f>"DQO REAGENTE COD TNT 16MM 3-150MG/L 25UN HX0001-00405"</f>
        <v>DQO REAGENTE COD TNT 16MM 3-150MG/L 25UN HX0001-00405</v>
      </c>
      <c r="C9287" s="2" t="str">
        <f t="shared" si="356"/>
        <v>UN</v>
      </c>
      <c r="D9287" s="7">
        <v>406</v>
      </c>
      <c r="E9287" s="3">
        <v>10</v>
      </c>
      <c r="F9287" s="2">
        <v>4</v>
      </c>
      <c r="G9287" t="s">
        <v>514</v>
      </c>
    </row>
    <row r="9288" spans="1:7" x14ac:dyDescent="0.25">
      <c r="A9288" s="1" t="str">
        <f>"528135"</f>
        <v>528135</v>
      </c>
      <c r="B9288" s="2" t="str">
        <f>"DQO REAGENTE COD TNTPLUS 13MM 1200-15000MG/L 25UN"</f>
        <v>DQO REAGENTE COD TNTPLUS 13MM 1200-15000MG/L 25UN</v>
      </c>
      <c r="C9288" s="2" t="str">
        <f t="shared" si="356"/>
        <v>UN</v>
      </c>
      <c r="D9288" s="7">
        <v>99999</v>
      </c>
      <c r="E9288" s="3">
        <v>4</v>
      </c>
      <c r="F9288" s="2">
        <v>1</v>
      </c>
      <c r="G9288" t="s">
        <v>514</v>
      </c>
    </row>
    <row r="9289" spans="1:7" x14ac:dyDescent="0.25">
      <c r="A9289" s="1" t="str">
        <f>"523847"</f>
        <v>523847</v>
      </c>
      <c r="B9289" s="8" t="s">
        <v>368</v>
      </c>
      <c r="C9289" s="2" t="str">
        <f t="shared" si="356"/>
        <v>UN</v>
      </c>
      <c r="D9289" s="7">
        <v>99999</v>
      </c>
      <c r="E9289" s="3">
        <v>99</v>
      </c>
      <c r="F9289" s="2">
        <v>2</v>
      </c>
      <c r="G9289" t="s">
        <v>513</v>
      </c>
    </row>
    <row r="9290" spans="1:7" x14ac:dyDescent="0.25">
      <c r="A9290" s="1" t="str">
        <f>"524614"</f>
        <v>524614</v>
      </c>
      <c r="B9290" s="2" t="str">
        <f>"DQO REAGENTE TNT+ 13MM 20-1000MGL L.MERC. 25UN.HX0001-02197"</f>
        <v>DQO REAGENTE TNT+ 13MM 20-1000MGL L.MERC. 25UN.HX0001-02197</v>
      </c>
      <c r="C9290" s="2" t="str">
        <f t="shared" si="356"/>
        <v>UN</v>
      </c>
      <c r="D9290" s="7">
        <v>406</v>
      </c>
      <c r="E9290" s="3">
        <v>13</v>
      </c>
      <c r="F9290" s="2">
        <v>7</v>
      </c>
      <c r="G9290" t="s">
        <v>513</v>
      </c>
    </row>
    <row r="9291" spans="1:7" x14ac:dyDescent="0.25">
      <c r="A9291" s="1" t="str">
        <f>"524613"</f>
        <v>524613</v>
      </c>
      <c r="B9291" s="8" t="s">
        <v>390</v>
      </c>
      <c r="C9291" s="2" t="str">
        <f t="shared" si="356"/>
        <v>UN</v>
      </c>
      <c r="D9291" s="7">
        <v>406</v>
      </c>
      <c r="E9291" s="3">
        <v>13</v>
      </c>
      <c r="F9291" s="2">
        <v>9</v>
      </c>
      <c r="G9291" t="s">
        <v>513</v>
      </c>
    </row>
    <row r="9292" spans="1:7" x14ac:dyDescent="0.25">
      <c r="A9292" s="1" t="str">
        <f>"524612"</f>
        <v>524612</v>
      </c>
      <c r="B9292" s="8" t="s">
        <v>389</v>
      </c>
      <c r="C9292" s="2" t="str">
        <f t="shared" si="356"/>
        <v>UN</v>
      </c>
      <c r="D9292" s="7">
        <v>99999</v>
      </c>
      <c r="E9292" s="3">
        <v>99</v>
      </c>
      <c r="F9292" s="5">
        <v>5</v>
      </c>
      <c r="G9292" t="s">
        <v>512</v>
      </c>
    </row>
    <row r="9293" spans="1:7" x14ac:dyDescent="0.25">
      <c r="A9293" s="1" t="str">
        <f>"523846"</f>
        <v>523846</v>
      </c>
      <c r="B9293" s="2" t="str">
        <f>"DQO REAGENTE TNT+ 13MM 3-150MGL L.MERC. 25UN.HX0001-02195"</f>
        <v>DQO REAGENTE TNT+ 13MM 3-150MGL L.MERC. 25UN.HX0001-02195</v>
      </c>
      <c r="C9293" s="2" t="str">
        <f t="shared" si="356"/>
        <v>UN</v>
      </c>
      <c r="D9293" s="7">
        <v>99999</v>
      </c>
      <c r="E9293" s="3">
        <v>99</v>
      </c>
      <c r="F9293" s="2">
        <v>3</v>
      </c>
      <c r="G9293" t="s">
        <v>513</v>
      </c>
    </row>
    <row r="9294" spans="1:7" x14ac:dyDescent="0.25">
      <c r="A9294" s="1" t="str">
        <f>"527766"</f>
        <v>527766</v>
      </c>
      <c r="B9294" s="2" t="str">
        <f>"DR BIPOLAR 40A 30MA SCHNEIDER"</f>
        <v>DR BIPOLAR 40A 30MA SCHNEIDER</v>
      </c>
      <c r="C9294" s="2" t="str">
        <f t="shared" si="356"/>
        <v>UN</v>
      </c>
      <c r="D9294" s="7">
        <v>811</v>
      </c>
      <c r="E9294" s="3">
        <v>8</v>
      </c>
      <c r="F9294" s="2">
        <v>8</v>
      </c>
      <c r="G9294" t="s">
        <v>514</v>
      </c>
    </row>
    <row r="9295" spans="1:7" x14ac:dyDescent="0.25">
      <c r="A9295" s="1" t="str">
        <f>"522292"</f>
        <v>522292</v>
      </c>
      <c r="B9295" s="2" t="str">
        <f>"DR MONO 20A 5SM112-0MB"</f>
        <v>DR MONO 20A 5SM112-0MB</v>
      </c>
      <c r="C9295" s="2" t="str">
        <f t="shared" si="356"/>
        <v>UN</v>
      </c>
      <c r="D9295" s="7">
        <v>811</v>
      </c>
      <c r="E9295" s="3">
        <v>8</v>
      </c>
      <c r="F9295" s="2">
        <v>6</v>
      </c>
      <c r="G9295" t="s">
        <v>515</v>
      </c>
    </row>
    <row r="9296" spans="1:7" x14ac:dyDescent="0.25">
      <c r="A9296" s="1" t="str">
        <f>"520963"</f>
        <v>520963</v>
      </c>
      <c r="B9296" s="2" t="str">
        <f>"DR MONOPOLAR 10A 30MA"</f>
        <v>DR MONOPOLAR 10A 30MA</v>
      </c>
      <c r="C9296" s="2" t="str">
        <f t="shared" si="356"/>
        <v>UN</v>
      </c>
      <c r="D9296" s="7">
        <v>811</v>
      </c>
      <c r="E9296" s="3">
        <v>8</v>
      </c>
      <c r="F9296" s="2">
        <v>4</v>
      </c>
      <c r="G9296" t="s">
        <v>512</v>
      </c>
    </row>
    <row r="9297" spans="1:7" x14ac:dyDescent="0.25">
      <c r="A9297" s="1" t="str">
        <f>"520962"</f>
        <v>520962</v>
      </c>
      <c r="B9297" s="2" t="str">
        <f>"DR MONOPOLAR 25A 30MA"</f>
        <v>DR MONOPOLAR 25A 30MA</v>
      </c>
      <c r="C9297" s="2" t="str">
        <f t="shared" si="356"/>
        <v>UN</v>
      </c>
      <c r="D9297" s="7">
        <v>811</v>
      </c>
      <c r="E9297" s="3">
        <v>8</v>
      </c>
      <c r="F9297" s="2">
        <v>1</v>
      </c>
      <c r="G9297" t="s">
        <v>516</v>
      </c>
    </row>
    <row r="9298" spans="1:7" x14ac:dyDescent="0.25">
      <c r="A9298" s="1" t="str">
        <f>"520387"</f>
        <v>520387</v>
      </c>
      <c r="B9298" s="2" t="str">
        <f>"DR SCHNEIDER TETRAPOLAR 100A 30MA"</f>
        <v>DR SCHNEIDER TETRAPOLAR 100A 30MA</v>
      </c>
      <c r="C9298" s="2" t="str">
        <f t="shared" si="356"/>
        <v>UN</v>
      </c>
      <c r="D9298" s="7">
        <v>811</v>
      </c>
      <c r="E9298" s="3">
        <v>8</v>
      </c>
      <c r="F9298" s="2">
        <v>2</v>
      </c>
      <c r="G9298" t="s">
        <v>515</v>
      </c>
    </row>
    <row r="9299" spans="1:7" x14ac:dyDescent="0.25">
      <c r="A9299" s="1" t="str">
        <f>"518659"</f>
        <v>518659</v>
      </c>
      <c r="B9299" s="2" t="str">
        <f>"DR SCHNEIDER TETRAPOLAR 40A 30MA"</f>
        <v>DR SCHNEIDER TETRAPOLAR 40A 30MA</v>
      </c>
      <c r="C9299" s="2" t="str">
        <f t="shared" si="356"/>
        <v>UN</v>
      </c>
      <c r="D9299" s="7">
        <v>811</v>
      </c>
      <c r="E9299" s="3">
        <v>8</v>
      </c>
      <c r="F9299" s="2">
        <v>7</v>
      </c>
      <c r="G9299" t="s">
        <v>514</v>
      </c>
    </row>
    <row r="9300" spans="1:7" x14ac:dyDescent="0.25">
      <c r="A9300" s="1" t="str">
        <f>"518660"</f>
        <v>518660</v>
      </c>
      <c r="B9300" s="2" t="str">
        <f>"DR SCHNEIDER TETRAPOLAR 63A 30MA"</f>
        <v>DR SCHNEIDER TETRAPOLAR 63A 30MA</v>
      </c>
      <c r="C9300" s="2" t="str">
        <f t="shared" si="356"/>
        <v>UN</v>
      </c>
      <c r="D9300" s="7">
        <v>811</v>
      </c>
      <c r="E9300" s="3">
        <v>8</v>
      </c>
      <c r="F9300" s="2">
        <v>9</v>
      </c>
      <c r="G9300" t="s">
        <v>512</v>
      </c>
    </row>
    <row r="9301" spans="1:7" x14ac:dyDescent="0.25">
      <c r="A9301" s="1" t="str">
        <f>"517139"</f>
        <v>517139</v>
      </c>
      <c r="B9301" s="2" t="str">
        <f>"DR SIEMENS 125A"</f>
        <v>DR SIEMENS 125A</v>
      </c>
      <c r="C9301" s="2" t="str">
        <f>"PÇ"</f>
        <v>PÇ</v>
      </c>
      <c r="D9301" s="7">
        <v>811</v>
      </c>
      <c r="E9301" s="3">
        <v>8</v>
      </c>
      <c r="F9301" s="2">
        <v>0</v>
      </c>
      <c r="G9301" t="s">
        <v>513</v>
      </c>
    </row>
    <row r="9302" spans="1:7" x14ac:dyDescent="0.25">
      <c r="A9302" s="1" t="str">
        <f>"515026"</f>
        <v>515026</v>
      </c>
      <c r="B9302" s="2" t="str">
        <f>"DRAGEADO MINI DISQUETI 10X500G - DORI"</f>
        <v>DRAGEADO MINI DISQUETI 10X500G - DORI</v>
      </c>
      <c r="C9302" s="2" t="str">
        <f>"KG"</f>
        <v>KG</v>
      </c>
      <c r="D9302" s="7">
        <v>217</v>
      </c>
      <c r="E9302" s="3">
        <v>2</v>
      </c>
      <c r="F9302" s="2">
        <v>0</v>
      </c>
      <c r="G9302" t="s">
        <v>514</v>
      </c>
    </row>
    <row r="9303" spans="1:7" x14ac:dyDescent="0.25">
      <c r="A9303" s="1" t="str">
        <f>"6677"</f>
        <v>6677</v>
      </c>
      <c r="B9303" s="2" t="str">
        <f>"DRAGEADOS CHOCOLATE AO LEITE 12MM COD. 4165 MAVALERIO"</f>
        <v>DRAGEADOS CHOCOLATE AO LEITE 12MM COD. 4165 MAVALERIO</v>
      </c>
      <c r="C9303" s="2" t="str">
        <f>"KG"</f>
        <v>KG</v>
      </c>
      <c r="D9303" s="7">
        <v>217</v>
      </c>
      <c r="E9303" s="3">
        <v>2</v>
      </c>
      <c r="F9303" s="2">
        <v>2</v>
      </c>
      <c r="G9303" t="s">
        <v>514</v>
      </c>
    </row>
    <row r="9304" spans="1:7" x14ac:dyDescent="0.25">
      <c r="A9304" s="1" t="str">
        <f>"6656"</f>
        <v>6656</v>
      </c>
      <c r="B9304" s="2" t="str">
        <f>"DRAGEADOS CHOCOLATE PRETO E BRANCO"</f>
        <v>DRAGEADOS CHOCOLATE PRETO E BRANCO</v>
      </c>
      <c r="C9304" s="2" t="str">
        <f>"KG"</f>
        <v>KG</v>
      </c>
      <c r="D9304" s="7">
        <v>217</v>
      </c>
      <c r="E9304" s="3">
        <v>2</v>
      </c>
      <c r="F9304" s="2">
        <v>5</v>
      </c>
      <c r="G9304" t="s">
        <v>512</v>
      </c>
    </row>
    <row r="9305" spans="1:7" x14ac:dyDescent="0.25">
      <c r="A9305" s="1" t="str">
        <f>"6154"</f>
        <v>6154</v>
      </c>
      <c r="B9305" s="2" t="str">
        <f>"DRAGEADOS COLORIDO (5 CORES)"</f>
        <v>DRAGEADOS COLORIDO (5 CORES)</v>
      </c>
      <c r="C9305" s="2" t="str">
        <f>"KG"</f>
        <v>KG</v>
      </c>
      <c r="D9305" s="7">
        <v>217</v>
      </c>
      <c r="E9305" s="3">
        <v>2</v>
      </c>
      <c r="F9305" s="2">
        <v>6</v>
      </c>
      <c r="G9305" t="s">
        <v>513</v>
      </c>
    </row>
    <row r="9306" spans="1:7" x14ac:dyDescent="0.25">
      <c r="A9306" s="1" t="str">
        <f>"6163"</f>
        <v>6163</v>
      </c>
      <c r="B9306" s="2" t="str">
        <f>"DRAGEADOS MIX ESTRELA TUTTI FRUTTI"</f>
        <v>DRAGEADOS MIX ESTRELA TUTTI FRUTTI</v>
      </c>
      <c r="C9306" s="2" t="str">
        <f>"KG"</f>
        <v>KG</v>
      </c>
      <c r="D9306" s="7">
        <v>217</v>
      </c>
      <c r="E9306" s="3">
        <v>2</v>
      </c>
      <c r="F9306" s="2">
        <v>9</v>
      </c>
      <c r="G9306" t="s">
        <v>514</v>
      </c>
    </row>
    <row r="9307" spans="1:7" x14ac:dyDescent="0.25">
      <c r="A9307" s="1" t="str">
        <f>"515747"</f>
        <v>515747</v>
      </c>
      <c r="B9307" s="2" t="str">
        <f>"DRBC AGAR"</f>
        <v>DRBC AGAR</v>
      </c>
      <c r="C9307" s="2" t="str">
        <f t="shared" ref="C9307:C9317" si="357">"UN"</f>
        <v>UN</v>
      </c>
      <c r="D9307" s="7">
        <v>406</v>
      </c>
      <c r="E9307" s="3">
        <v>4</v>
      </c>
      <c r="F9307" s="2">
        <v>5</v>
      </c>
      <c r="G9307" t="s">
        <v>514</v>
      </c>
    </row>
    <row r="9308" spans="1:7" x14ac:dyDescent="0.25">
      <c r="A9308" s="1" t="str">
        <f>"519042"</f>
        <v>519042</v>
      </c>
      <c r="B9308" s="2" t="str">
        <f>"DRENO 1/2"" NPT"</f>
        <v>DRENO 1/2" NPT</v>
      </c>
      <c r="C9308" s="2" t="str">
        <f t="shared" si="357"/>
        <v>UN</v>
      </c>
      <c r="D9308" s="7">
        <v>704</v>
      </c>
      <c r="E9308" s="3">
        <v>9</v>
      </c>
      <c r="F9308" s="2">
        <v>3</v>
      </c>
      <c r="G9308" t="s">
        <v>514</v>
      </c>
    </row>
    <row r="9309" spans="1:7" x14ac:dyDescent="0.25">
      <c r="A9309" s="1" t="str">
        <f>"524305"</f>
        <v>524305</v>
      </c>
      <c r="B9309" s="2" t="str">
        <f>"DRINK"</f>
        <v>DRINK</v>
      </c>
      <c r="C9309" s="2" t="str">
        <f t="shared" si="357"/>
        <v>UN</v>
      </c>
      <c r="D9309" s="7">
        <v>99999</v>
      </c>
      <c r="E9309" s="3">
        <v>99</v>
      </c>
      <c r="F9309" s="2">
        <v>3</v>
      </c>
      <c r="G9309" t="s">
        <v>513</v>
      </c>
    </row>
    <row r="9310" spans="1:7" x14ac:dyDescent="0.25">
      <c r="A9310" s="1" t="str">
        <f>"518313"</f>
        <v>518313</v>
      </c>
      <c r="B9310" s="2" t="str">
        <f>"DRIVE MOVITRAC UMRICHTER MCO7B0075-5A3-4-00"</f>
        <v>DRIVE MOVITRAC UMRICHTER MCO7B0075-5A3-4-00</v>
      </c>
      <c r="C9310" s="2" t="str">
        <f t="shared" si="357"/>
        <v>UN</v>
      </c>
      <c r="D9310" s="7">
        <v>811</v>
      </c>
      <c r="E9310" s="3">
        <v>8</v>
      </c>
      <c r="F9310" s="2">
        <v>2</v>
      </c>
      <c r="G9310" t="s">
        <v>512</v>
      </c>
    </row>
    <row r="9311" spans="1:7" x14ac:dyDescent="0.25">
      <c r="A9311" s="1" t="str">
        <f>"520399"</f>
        <v>520399</v>
      </c>
      <c r="B9311" s="8" t="s">
        <v>134</v>
      </c>
      <c r="C9311" s="2" t="str">
        <f t="shared" si="357"/>
        <v>UN</v>
      </c>
      <c r="D9311" s="7">
        <v>918</v>
      </c>
      <c r="E9311" s="3">
        <v>10</v>
      </c>
      <c r="F9311" s="2">
        <v>1</v>
      </c>
      <c r="G9311" t="s">
        <v>513</v>
      </c>
    </row>
    <row r="9312" spans="1:7" x14ac:dyDescent="0.25">
      <c r="A9312" s="1" t="str">
        <f>"522543"</f>
        <v>522543</v>
      </c>
      <c r="B9312" s="8" t="s">
        <v>319</v>
      </c>
      <c r="C9312" s="2" t="str">
        <f t="shared" si="357"/>
        <v>UN</v>
      </c>
      <c r="D9312" s="7">
        <v>918</v>
      </c>
      <c r="E9312" s="3">
        <v>10</v>
      </c>
      <c r="F9312" s="2">
        <v>4</v>
      </c>
      <c r="G9312" t="s">
        <v>514</v>
      </c>
    </row>
    <row r="9313" spans="1:7" x14ac:dyDescent="0.25">
      <c r="A9313" s="1" t="str">
        <f>"527255"</f>
        <v>527255</v>
      </c>
      <c r="B9313" s="2" t="str">
        <f>"DRIVER DIG P/ MOTOR DE PASSO G3 - DM/8,2A/PULSO/150-230VAC"</f>
        <v>DRIVER DIG P/ MOTOR DE PASSO G3 - DM/8,2A/PULSO/150-230VAC</v>
      </c>
      <c r="C9313" s="2" t="str">
        <f t="shared" si="357"/>
        <v>UN</v>
      </c>
      <c r="D9313" s="7">
        <v>600</v>
      </c>
      <c r="E9313" s="3">
        <v>8</v>
      </c>
      <c r="F9313" s="2">
        <v>6</v>
      </c>
      <c r="G9313" t="s">
        <v>514</v>
      </c>
    </row>
    <row r="9314" spans="1:7" x14ac:dyDescent="0.25">
      <c r="A9314" s="1" t="str">
        <f>"514848"</f>
        <v>514848</v>
      </c>
      <c r="B9314" s="2" t="str">
        <f>"DRIVER MOTOR DE PASSO AKDMP5 5A"</f>
        <v>DRIVER MOTOR DE PASSO AKDMP5 5A</v>
      </c>
      <c r="C9314" s="2" t="str">
        <f t="shared" si="357"/>
        <v>UN</v>
      </c>
      <c r="D9314" s="7">
        <v>811</v>
      </c>
      <c r="E9314" s="3">
        <v>8</v>
      </c>
      <c r="F9314" s="2">
        <v>8</v>
      </c>
      <c r="G9314" t="s">
        <v>514</v>
      </c>
    </row>
    <row r="9315" spans="1:7" x14ac:dyDescent="0.25">
      <c r="A9315" s="1" t="str">
        <f>"517332"</f>
        <v>517332</v>
      </c>
      <c r="B9315" s="2" t="str">
        <f>"DRIVER MOTOR PASSO AKDMP16-7,2A"</f>
        <v>DRIVER MOTOR PASSO AKDMP16-7,2A</v>
      </c>
      <c r="C9315" s="2" t="str">
        <f t="shared" si="357"/>
        <v>UN</v>
      </c>
      <c r="D9315" s="7">
        <v>811</v>
      </c>
      <c r="E9315" s="3">
        <v>8</v>
      </c>
      <c r="F9315" s="2">
        <v>7</v>
      </c>
      <c r="G9315" t="s">
        <v>513</v>
      </c>
    </row>
    <row r="9316" spans="1:7" x14ac:dyDescent="0.25">
      <c r="A9316" s="1" t="str">
        <f>"521267"</f>
        <v>521267</v>
      </c>
      <c r="B9316" s="2" t="str">
        <f>"DRIVE-THRU"</f>
        <v>DRIVE-THRU</v>
      </c>
      <c r="C9316" s="2" t="str">
        <f t="shared" si="357"/>
        <v>UN</v>
      </c>
      <c r="D9316" s="7">
        <v>918</v>
      </c>
      <c r="E9316" s="3">
        <v>11</v>
      </c>
      <c r="F9316" s="2">
        <v>6</v>
      </c>
      <c r="G9316" t="s">
        <v>513</v>
      </c>
    </row>
    <row r="9317" spans="1:7" x14ac:dyDescent="0.25">
      <c r="A9317" s="1" t="str">
        <f>"515949"</f>
        <v>515949</v>
      </c>
      <c r="B9317" s="2" t="str">
        <f>"DRIVEWAY PD-4494"</f>
        <v>DRIVEWAY PD-4494</v>
      </c>
      <c r="C9317" s="2" t="str">
        <f t="shared" si="357"/>
        <v>UN</v>
      </c>
      <c r="D9317" s="7">
        <v>99999</v>
      </c>
      <c r="E9317" s="3">
        <v>99</v>
      </c>
      <c r="F9317" s="2">
        <v>6</v>
      </c>
      <c r="G9317" t="s">
        <v>513</v>
      </c>
    </row>
    <row r="9318" spans="1:7" x14ac:dyDescent="0.25">
      <c r="A9318" s="1" t="str">
        <f>"199"</f>
        <v>199</v>
      </c>
      <c r="B9318" s="2" t="str">
        <f>"DRYSAN DUO GALÃO 20 LITROS (20KG) - (ECOLAB)"</f>
        <v>DRYSAN DUO GALÃO 20 LITROS (20KG) - (ECOLAB)</v>
      </c>
      <c r="C9318" s="2" t="str">
        <f>"KG"</f>
        <v>KG</v>
      </c>
      <c r="D9318" s="7">
        <v>400</v>
      </c>
      <c r="E9318" s="3">
        <v>4</v>
      </c>
      <c r="F9318" s="2">
        <v>2</v>
      </c>
      <c r="G9318" t="s">
        <v>512</v>
      </c>
    </row>
    <row r="9319" spans="1:7" x14ac:dyDescent="0.25">
      <c r="A9319" s="1" t="str">
        <f>"512121"</f>
        <v>512121</v>
      </c>
      <c r="B9319" s="2" t="str">
        <f>"DS VL SUC-SMC 100"</f>
        <v>DS VL SUC-SMC 100</v>
      </c>
      <c r="C9319" s="2" t="str">
        <f t="shared" ref="C9319:C9332" si="358">"UN"</f>
        <v>UN</v>
      </c>
      <c r="D9319" s="7">
        <v>918</v>
      </c>
      <c r="E9319" s="3">
        <v>11</v>
      </c>
      <c r="F9319" s="2">
        <v>1</v>
      </c>
      <c r="G9319" t="s">
        <v>513</v>
      </c>
    </row>
    <row r="9320" spans="1:7" x14ac:dyDescent="0.25">
      <c r="A9320" s="1" t="str">
        <f>"9999999"</f>
        <v>9999999</v>
      </c>
      <c r="B9320" s="2" t="str">
        <f>"dsadasdas"</f>
        <v>dsadasdas</v>
      </c>
      <c r="C9320" s="2" t="str">
        <f t="shared" si="358"/>
        <v>UN</v>
      </c>
      <c r="D9320" s="7">
        <v>99999</v>
      </c>
      <c r="E9320" s="3">
        <v>99</v>
      </c>
      <c r="F9320" s="2">
        <v>0</v>
      </c>
      <c r="G9320" t="s">
        <v>514</v>
      </c>
    </row>
    <row r="9321" spans="1:7" x14ac:dyDescent="0.25">
      <c r="A9321" s="1" t="str">
        <f>"518731"</f>
        <v>518731</v>
      </c>
      <c r="B9321" s="2" t="str">
        <f>"DUCHA ADVANCED ELETRONICA 220V X 7500W"</f>
        <v>DUCHA ADVANCED ELETRONICA 220V X 7500W</v>
      </c>
      <c r="C9321" s="2" t="str">
        <f t="shared" si="358"/>
        <v>UN</v>
      </c>
      <c r="D9321" s="7">
        <v>811</v>
      </c>
      <c r="E9321" s="3">
        <v>8</v>
      </c>
      <c r="F9321" s="2">
        <v>0</v>
      </c>
      <c r="G9321" t="s">
        <v>515</v>
      </c>
    </row>
    <row r="9322" spans="1:7" x14ac:dyDescent="0.25">
      <c r="A9322" s="1" t="str">
        <f>"513278"</f>
        <v>513278</v>
      </c>
      <c r="B9322" s="2" t="str">
        <f>"DUCHA ALUMINIO 12"""</f>
        <v>DUCHA ALUMINIO 12"</v>
      </c>
      <c r="C9322" s="2" t="str">
        <f t="shared" si="358"/>
        <v>UN</v>
      </c>
      <c r="D9322" s="7">
        <v>917</v>
      </c>
      <c r="E9322" s="3">
        <v>11</v>
      </c>
      <c r="F9322" s="2">
        <v>0</v>
      </c>
      <c r="G9322" t="s">
        <v>512</v>
      </c>
    </row>
    <row r="9323" spans="1:7" x14ac:dyDescent="0.25">
      <c r="A9323" s="1" t="str">
        <f>"514218"</f>
        <v>514218</v>
      </c>
      <c r="B9323" s="2" t="str">
        <f>"DUCHA BELLA 4TEMP. 220V/6800W"</f>
        <v>DUCHA BELLA 4TEMP. 220V/6800W</v>
      </c>
      <c r="C9323" s="2" t="str">
        <f t="shared" si="358"/>
        <v>UN</v>
      </c>
      <c r="D9323" s="7">
        <v>917</v>
      </c>
      <c r="E9323" s="3">
        <v>11</v>
      </c>
      <c r="F9323" s="2">
        <v>3</v>
      </c>
      <c r="G9323" t="s">
        <v>516</v>
      </c>
    </row>
    <row r="9324" spans="1:7" x14ac:dyDescent="0.25">
      <c r="A9324" s="1" t="str">
        <f>"524280"</f>
        <v>524280</v>
      </c>
      <c r="B9324" s="2" t="str">
        <f>"DUOFLAM AMPOLA"</f>
        <v>DUOFLAM AMPOLA</v>
      </c>
      <c r="C9324" s="2" t="str">
        <f t="shared" si="358"/>
        <v>UN</v>
      </c>
      <c r="D9324" s="7">
        <v>99999</v>
      </c>
      <c r="E9324" s="3">
        <v>99</v>
      </c>
      <c r="F9324" s="5">
        <v>5</v>
      </c>
      <c r="G9324" t="s">
        <v>515</v>
      </c>
    </row>
    <row r="9325" spans="1:7" x14ac:dyDescent="0.25">
      <c r="A9325" s="1" t="str">
        <f>"517277"</f>
        <v>517277</v>
      </c>
      <c r="B9325" s="2" t="str">
        <f>"DUP EMB 2007-03 MAQ DE 13 MAQ E"</f>
        <v>DUP EMB 2007-03 MAQ DE 13 MAQ E</v>
      </c>
      <c r="C9325" s="2" t="str">
        <f t="shared" si="358"/>
        <v>UN</v>
      </c>
      <c r="D9325" s="7">
        <v>918</v>
      </c>
      <c r="E9325" s="3">
        <v>11</v>
      </c>
      <c r="F9325" s="2">
        <v>3</v>
      </c>
      <c r="G9325" t="s">
        <v>514</v>
      </c>
    </row>
    <row r="9326" spans="1:7" x14ac:dyDescent="0.25">
      <c r="A9326" s="1" t="str">
        <f>"517262"</f>
        <v>517262</v>
      </c>
      <c r="B9326" s="2" t="str">
        <f>"DUPLA EMB BERMAQ 013-0706 MAQ C"</f>
        <v>DUPLA EMB BERMAQ 013-0706 MAQ C</v>
      </c>
      <c r="C9326" s="2" t="str">
        <f t="shared" si="358"/>
        <v>UN</v>
      </c>
      <c r="D9326" s="7">
        <v>918</v>
      </c>
      <c r="E9326" s="3">
        <v>11</v>
      </c>
      <c r="F9326" s="2">
        <v>8</v>
      </c>
      <c r="G9326" t="s">
        <v>512</v>
      </c>
    </row>
    <row r="9327" spans="1:7" x14ac:dyDescent="0.25">
      <c r="A9327" s="1" t="str">
        <f>"517287"</f>
        <v>517287</v>
      </c>
      <c r="B9327" s="2" t="str">
        <f>"DUPLA EMB BERMAQ B10 MAQ F"</f>
        <v>DUPLA EMB BERMAQ B10 MAQ F</v>
      </c>
      <c r="C9327" s="2" t="str">
        <f t="shared" si="358"/>
        <v>UN</v>
      </c>
      <c r="D9327" s="7">
        <v>918</v>
      </c>
      <c r="E9327" s="3">
        <v>11</v>
      </c>
      <c r="F9327" s="2">
        <v>6</v>
      </c>
      <c r="G9327" t="s">
        <v>513</v>
      </c>
    </row>
    <row r="9328" spans="1:7" x14ac:dyDescent="0.25">
      <c r="A9328" s="1" t="str">
        <f>"517240"</f>
        <v>517240</v>
      </c>
      <c r="B9328" s="2" t="str">
        <f>"DUPLA EMB MAQUING B10 MAQ A"</f>
        <v>DUPLA EMB MAQUING B10 MAQ A</v>
      </c>
      <c r="C9328" s="2" t="str">
        <f t="shared" si="358"/>
        <v>UN</v>
      </c>
      <c r="D9328" s="7">
        <v>918</v>
      </c>
      <c r="E9328" s="3">
        <v>11</v>
      </c>
      <c r="F9328" s="2">
        <v>4</v>
      </c>
      <c r="G9328" t="s">
        <v>514</v>
      </c>
    </row>
    <row r="9329" spans="1:7" x14ac:dyDescent="0.25">
      <c r="A9329" s="1" t="str">
        <f>"517256"</f>
        <v>517256</v>
      </c>
      <c r="B9329" s="2" t="str">
        <f>"DUPLA EMB MAQUING B10 MAQ B"</f>
        <v>DUPLA EMB MAQUING B10 MAQ B</v>
      </c>
      <c r="C9329" s="2" t="str">
        <f t="shared" si="358"/>
        <v>UN</v>
      </c>
      <c r="D9329" s="7">
        <v>918</v>
      </c>
      <c r="E9329" s="3">
        <v>11</v>
      </c>
      <c r="F9329" s="2">
        <v>1</v>
      </c>
      <c r="G9329" t="s">
        <v>514</v>
      </c>
    </row>
    <row r="9330" spans="1:7" x14ac:dyDescent="0.25">
      <c r="A9330" s="1" t="str">
        <f>"517268"</f>
        <v>517268</v>
      </c>
      <c r="B9330" s="2" t="str">
        <f>"DUPLA EMB MAQUING B10 MAQ D"</f>
        <v>DUPLA EMB MAQUING B10 MAQ D</v>
      </c>
      <c r="C9330" s="2" t="str">
        <f t="shared" si="358"/>
        <v>UN</v>
      </c>
      <c r="D9330" s="7">
        <v>918</v>
      </c>
      <c r="E9330" s="3">
        <v>11</v>
      </c>
      <c r="F9330" s="2">
        <v>2</v>
      </c>
      <c r="G9330" t="s">
        <v>512</v>
      </c>
    </row>
    <row r="9331" spans="1:7" x14ac:dyDescent="0.25">
      <c r="A9331" s="1" t="str">
        <f>"500198"</f>
        <v>500198</v>
      </c>
      <c r="B9331" s="2" t="str">
        <f>"DUREPOX - CX (PEQUENA)"</f>
        <v>DUREPOX - CX (PEQUENA)</v>
      </c>
      <c r="C9331" s="2" t="str">
        <f t="shared" si="358"/>
        <v>UN</v>
      </c>
      <c r="D9331" s="7">
        <v>402</v>
      </c>
      <c r="E9331" s="3">
        <v>4</v>
      </c>
      <c r="F9331" s="2">
        <v>7</v>
      </c>
      <c r="G9331" t="s">
        <v>513</v>
      </c>
    </row>
    <row r="9332" spans="1:7" x14ac:dyDescent="0.25">
      <c r="A9332" s="1" t="str">
        <f>"518098"</f>
        <v>518098</v>
      </c>
      <c r="B9332" s="2" t="str">
        <f>"DUREX"</f>
        <v>DUREX</v>
      </c>
      <c r="C9332" s="2" t="str">
        <f t="shared" si="358"/>
        <v>UN</v>
      </c>
      <c r="D9332" s="7">
        <v>401</v>
      </c>
      <c r="E9332" s="3">
        <v>4</v>
      </c>
      <c r="F9332" s="2">
        <v>9</v>
      </c>
      <c r="G9332" t="s">
        <v>514</v>
      </c>
    </row>
    <row r="9333" spans="1:7" x14ac:dyDescent="0.25">
      <c r="A9333" s="1" t="str">
        <f>"514794"</f>
        <v>514794</v>
      </c>
      <c r="B9333" s="2" t="str">
        <f>"DUTO KANAFLEX CINZA 4"""</f>
        <v>DUTO KANAFLEX CINZA 4"</v>
      </c>
      <c r="C9333" s="2" t="str">
        <f>"MT"</f>
        <v>MT</v>
      </c>
      <c r="D9333" s="7">
        <v>811</v>
      </c>
      <c r="E9333" s="3">
        <v>8</v>
      </c>
      <c r="F9333" s="2">
        <v>0</v>
      </c>
      <c r="G9333" t="s">
        <v>514</v>
      </c>
    </row>
    <row r="9334" spans="1:7" x14ac:dyDescent="0.25">
      <c r="A9334" s="1" t="str">
        <f>"517187"</f>
        <v>517187</v>
      </c>
      <c r="B9334" s="2" t="str">
        <f>"DUTOS AÇO INOX 304 1255X1250MM"</f>
        <v>DUTOS AÇO INOX 304 1255X1250MM</v>
      </c>
      <c r="C9334" s="2" t="str">
        <f t="shared" ref="C9334:C9343" si="359">"UN"</f>
        <v>UN</v>
      </c>
      <c r="D9334" s="7">
        <v>915</v>
      </c>
      <c r="E9334" s="3">
        <v>10</v>
      </c>
      <c r="F9334" s="2">
        <v>0</v>
      </c>
      <c r="G9334" t="s">
        <v>514</v>
      </c>
    </row>
    <row r="9335" spans="1:7" x14ac:dyDescent="0.25">
      <c r="A9335" s="1" t="str">
        <f>"517188"</f>
        <v>517188</v>
      </c>
      <c r="B9335" s="2" t="str">
        <f>"DUTOS AÇO INOX 304 1255X750MM"</f>
        <v>DUTOS AÇO INOX 304 1255X750MM</v>
      </c>
      <c r="C9335" s="2" t="str">
        <f t="shared" si="359"/>
        <v>UN</v>
      </c>
      <c r="D9335" s="7">
        <v>915</v>
      </c>
      <c r="E9335" s="3">
        <v>10</v>
      </c>
      <c r="F9335" s="2">
        <v>2</v>
      </c>
      <c r="G9335" t="s">
        <v>513</v>
      </c>
    </row>
    <row r="9336" spans="1:7" x14ac:dyDescent="0.25">
      <c r="A9336" s="1" t="str">
        <f>"513137"</f>
        <v>513137</v>
      </c>
      <c r="B9336" s="2" t="str">
        <f>"DUTOS GALVANIZADOS PARA VENTILAÇAO"</f>
        <v>DUTOS GALVANIZADOS PARA VENTILAÇAO</v>
      </c>
      <c r="C9336" s="2" t="str">
        <f t="shared" si="359"/>
        <v>UN</v>
      </c>
      <c r="D9336" s="7">
        <v>917</v>
      </c>
      <c r="E9336" s="3">
        <v>11</v>
      </c>
      <c r="F9336" s="2">
        <v>5</v>
      </c>
      <c r="G9336" t="s">
        <v>512</v>
      </c>
    </row>
    <row r="9337" spans="1:7" x14ac:dyDescent="0.25">
      <c r="A9337" s="1" t="str">
        <f>"527770"</f>
        <v>527770</v>
      </c>
      <c r="B9337" s="2" t="str">
        <f>"DUTOTEC MODULO TOMADA 2P+T 10A"</f>
        <v>DUTOTEC MODULO TOMADA 2P+T 10A</v>
      </c>
      <c r="C9337" s="2" t="str">
        <f t="shared" si="359"/>
        <v>UN</v>
      </c>
      <c r="D9337" s="7">
        <v>601</v>
      </c>
      <c r="E9337" s="3">
        <v>8</v>
      </c>
      <c r="F9337" s="2">
        <v>6</v>
      </c>
      <c r="G9337" t="s">
        <v>513</v>
      </c>
    </row>
    <row r="9338" spans="1:7" x14ac:dyDescent="0.25">
      <c r="A9338" s="1" t="str">
        <f>"526133"</f>
        <v>526133</v>
      </c>
      <c r="B9338" s="2" t="str">
        <f>"DUTOTEC PERFIL DUPLO 25MM TIPO D BRANCO 3M"</f>
        <v>DUTOTEC PERFIL DUPLO 25MM TIPO D BRANCO 3M</v>
      </c>
      <c r="C9338" s="2" t="str">
        <f t="shared" si="359"/>
        <v>UN</v>
      </c>
      <c r="D9338" s="7">
        <v>601</v>
      </c>
      <c r="E9338" s="3">
        <v>8</v>
      </c>
      <c r="F9338" s="2">
        <v>9</v>
      </c>
      <c r="G9338" t="s">
        <v>514</v>
      </c>
    </row>
    <row r="9339" spans="1:7" x14ac:dyDescent="0.25">
      <c r="A9339" s="1" t="str">
        <f>"526134"</f>
        <v>526134</v>
      </c>
      <c r="B9339" s="2" t="str">
        <f>"DUTOTEC PERFIL TAMPA RACHADURA BRANCO 3M"</f>
        <v>DUTOTEC PERFIL TAMPA RACHADURA BRANCO 3M</v>
      </c>
      <c r="C9339" s="2" t="str">
        <f t="shared" si="359"/>
        <v>UN</v>
      </c>
      <c r="D9339" s="7">
        <v>601</v>
      </c>
      <c r="E9339" s="3">
        <v>8</v>
      </c>
      <c r="F9339" s="2">
        <v>5</v>
      </c>
      <c r="G9339" t="s">
        <v>514</v>
      </c>
    </row>
    <row r="9340" spans="1:7" x14ac:dyDescent="0.25">
      <c r="A9340" s="1" t="str">
        <f>"527771"</f>
        <v>527771</v>
      </c>
      <c r="B9340" s="2" t="str">
        <f>"DUTOTEC PORTA EQUIPAMENTO STANDARD 03 BLOCOS BRANCO"</f>
        <v>DUTOTEC PORTA EQUIPAMENTO STANDARD 03 BLOCOS BRANCO</v>
      </c>
      <c r="C9340" s="2" t="str">
        <f t="shared" si="359"/>
        <v>UN</v>
      </c>
      <c r="D9340" s="7">
        <v>601</v>
      </c>
      <c r="E9340" s="3">
        <v>8</v>
      </c>
      <c r="F9340" s="2">
        <v>3</v>
      </c>
      <c r="G9340" t="s">
        <v>514</v>
      </c>
    </row>
    <row r="9341" spans="1:7" x14ac:dyDescent="0.25">
      <c r="A9341" s="1" t="str">
        <f>"527769"</f>
        <v>527769</v>
      </c>
      <c r="B9341" s="2" t="str">
        <f>"DUTOTEC TAMPA - 25MM - 3M"</f>
        <v>DUTOTEC TAMPA - 25MM - 3M</v>
      </c>
      <c r="C9341" s="2" t="str">
        <f t="shared" si="359"/>
        <v>UN</v>
      </c>
      <c r="D9341" s="7">
        <v>601</v>
      </c>
      <c r="E9341" s="3">
        <v>8</v>
      </c>
      <c r="F9341" s="2">
        <v>3</v>
      </c>
      <c r="G9341" t="s">
        <v>513</v>
      </c>
    </row>
    <row r="9342" spans="1:7" x14ac:dyDescent="0.25">
      <c r="A9342" s="1" t="str">
        <f>"510837"</f>
        <v>510837</v>
      </c>
      <c r="B9342" s="2" t="str">
        <f>"DVD BRITANIA FAMA6"</f>
        <v>DVD BRITANIA FAMA6</v>
      </c>
      <c r="C9342" s="2" t="str">
        <f t="shared" si="359"/>
        <v>UN</v>
      </c>
      <c r="D9342" s="7">
        <v>401</v>
      </c>
      <c r="E9342" s="3">
        <v>4</v>
      </c>
      <c r="F9342" s="2">
        <v>2</v>
      </c>
      <c r="G9342" t="s">
        <v>513</v>
      </c>
    </row>
    <row r="9343" spans="1:7" x14ac:dyDescent="0.25">
      <c r="A9343" s="1" t="str">
        <f>"515195"</f>
        <v>515195</v>
      </c>
      <c r="B9343" s="2" t="str">
        <f>"DVD EQUIPAMENTO DE PROTECAO INDIVIDUAL"</f>
        <v>DVD EQUIPAMENTO DE PROTECAO INDIVIDUAL</v>
      </c>
      <c r="C9343" s="2" t="str">
        <f t="shared" si="359"/>
        <v>UN</v>
      </c>
      <c r="D9343" s="7">
        <v>401</v>
      </c>
      <c r="E9343" s="3">
        <v>4</v>
      </c>
      <c r="F9343" s="2">
        <v>1</v>
      </c>
      <c r="G9343" t="s">
        <v>513</v>
      </c>
    </row>
    <row r="9344" spans="1:7" x14ac:dyDescent="0.25">
      <c r="A9344" s="1" t="str">
        <f>"520891"</f>
        <v>520891</v>
      </c>
      <c r="B9344" s="2" t="str">
        <f>"DVD GRAVADOR DIG. IMAGEM 8 CANAIS TECVOZ"</f>
        <v>DVD GRAVADOR DIG. IMAGEM 8 CANAIS TECVOZ</v>
      </c>
      <c r="C9344" s="2" t="str">
        <f>"MT"</f>
        <v>MT</v>
      </c>
      <c r="D9344" s="7">
        <v>602</v>
      </c>
      <c r="E9344" s="3">
        <v>8</v>
      </c>
      <c r="F9344" s="2">
        <v>4</v>
      </c>
      <c r="G9344" t="s">
        <v>512</v>
      </c>
    </row>
    <row r="9345" spans="1:7" x14ac:dyDescent="0.25">
      <c r="A9345" s="1" t="str">
        <f>"518410"</f>
        <v>518410</v>
      </c>
      <c r="B9345" s="2" t="str">
        <f>"DVD HIGIENE NA INDUSTRIA DE ALIMENTOS"</f>
        <v>DVD HIGIENE NA INDUSTRIA DE ALIMENTOS</v>
      </c>
      <c r="C9345" s="2" t="str">
        <f t="shared" ref="C9345:C9354" si="360">"UN"</f>
        <v>UN</v>
      </c>
      <c r="D9345" s="7">
        <v>401</v>
      </c>
      <c r="E9345" s="3">
        <v>4</v>
      </c>
      <c r="F9345" s="2">
        <v>1</v>
      </c>
      <c r="G9345" t="s">
        <v>513</v>
      </c>
    </row>
    <row r="9346" spans="1:7" x14ac:dyDescent="0.25">
      <c r="A9346" s="1" t="str">
        <f>"513772"</f>
        <v>513772</v>
      </c>
      <c r="B9346" s="2" t="str">
        <f>"DVD MULTILASER"</f>
        <v>DVD MULTILASER</v>
      </c>
      <c r="C9346" s="2" t="str">
        <f t="shared" si="360"/>
        <v>UN</v>
      </c>
      <c r="D9346" s="7">
        <v>401</v>
      </c>
      <c r="E9346" s="3">
        <v>4</v>
      </c>
      <c r="F9346" s="2">
        <v>2</v>
      </c>
      <c r="G9346" t="s">
        <v>514</v>
      </c>
    </row>
    <row r="9347" spans="1:7" x14ac:dyDescent="0.25">
      <c r="A9347" s="1" t="str">
        <f>"515194"</f>
        <v>515194</v>
      </c>
      <c r="B9347" s="2" t="str">
        <f>"DVD PROTECAO PESSOAL CONTRA QUEDAS"</f>
        <v>DVD PROTECAO PESSOAL CONTRA QUEDAS</v>
      </c>
      <c r="C9347" s="2" t="str">
        <f t="shared" si="360"/>
        <v>UN</v>
      </c>
      <c r="D9347" s="7">
        <v>401</v>
      </c>
      <c r="E9347" s="3">
        <v>4</v>
      </c>
      <c r="F9347" s="2">
        <v>7</v>
      </c>
      <c r="G9347" t="s">
        <v>515</v>
      </c>
    </row>
    <row r="9348" spans="1:7" x14ac:dyDescent="0.25">
      <c r="A9348" s="1" t="str">
        <f>"519861"</f>
        <v>519861</v>
      </c>
      <c r="B9348" s="2" t="str">
        <f>"DVR STAND ALONE H264 LIGHT 480/480 FPS 16C TEC VOZ"</f>
        <v>DVR STAND ALONE H264 LIGHT 480/480 FPS 16C TEC VOZ</v>
      </c>
      <c r="C9348" s="2" t="str">
        <f t="shared" si="360"/>
        <v>UN</v>
      </c>
      <c r="D9348" s="7">
        <v>814</v>
      </c>
      <c r="E9348" s="3">
        <v>8</v>
      </c>
      <c r="F9348" s="2">
        <v>9</v>
      </c>
      <c r="G9348" t="s">
        <v>512</v>
      </c>
    </row>
    <row r="9349" spans="1:7" x14ac:dyDescent="0.25">
      <c r="A9349" s="1" t="str">
        <f>"515670"</f>
        <v>515670</v>
      </c>
      <c r="B9349" s="2" t="str">
        <f>"E.V.A. CORTIÇA"</f>
        <v>E.V.A. CORTIÇA</v>
      </c>
      <c r="C9349" s="2" t="str">
        <f t="shared" si="360"/>
        <v>UN</v>
      </c>
      <c r="D9349" s="7">
        <v>401</v>
      </c>
      <c r="E9349" s="3">
        <v>4</v>
      </c>
      <c r="F9349" s="2">
        <v>0</v>
      </c>
      <c r="G9349" t="s">
        <v>516</v>
      </c>
    </row>
    <row r="9350" spans="1:7" x14ac:dyDescent="0.25">
      <c r="A9350" s="1" t="str">
        <f>"505855"</f>
        <v>505855</v>
      </c>
      <c r="B9350" s="2" t="str">
        <f>"EBULIDOR INOX 1400 220V 3000W"</f>
        <v>EBULIDOR INOX 1400 220V 3000W</v>
      </c>
      <c r="C9350" s="2" t="str">
        <f t="shared" si="360"/>
        <v>UN</v>
      </c>
      <c r="D9350" s="7">
        <v>402</v>
      </c>
      <c r="E9350" s="3">
        <v>4</v>
      </c>
      <c r="F9350" s="2">
        <v>0</v>
      </c>
      <c r="G9350" t="s">
        <v>515</v>
      </c>
    </row>
    <row r="9351" spans="1:7" x14ac:dyDescent="0.25">
      <c r="A9351" s="1" t="str">
        <f>"515745"</f>
        <v>515745</v>
      </c>
      <c r="B9351" s="2" t="str">
        <f>"EC MEDIUM"</f>
        <v>EC MEDIUM</v>
      </c>
      <c r="C9351" s="2" t="str">
        <f t="shared" si="360"/>
        <v>UN</v>
      </c>
      <c r="D9351" s="7">
        <v>406</v>
      </c>
      <c r="E9351" s="3">
        <v>4</v>
      </c>
      <c r="F9351" s="2">
        <v>4</v>
      </c>
      <c r="G9351" t="s">
        <v>514</v>
      </c>
    </row>
    <row r="9352" spans="1:7" x14ac:dyDescent="0.25">
      <c r="A9352" s="1" t="str">
        <f>"515039"</f>
        <v>515039</v>
      </c>
      <c r="B9352" s="2" t="str">
        <f>"ECLIPSE 50"</f>
        <v>ECLIPSE 50</v>
      </c>
      <c r="C9352" s="2" t="str">
        <f t="shared" si="360"/>
        <v>UN</v>
      </c>
      <c r="D9352" s="7">
        <v>406</v>
      </c>
      <c r="E9352" s="3">
        <v>4</v>
      </c>
      <c r="F9352" s="2">
        <v>1</v>
      </c>
      <c r="G9352" t="s">
        <v>512</v>
      </c>
    </row>
    <row r="9353" spans="1:7" x14ac:dyDescent="0.25">
      <c r="A9353" s="1" t="str">
        <f>"523678"</f>
        <v>523678</v>
      </c>
      <c r="B9353" s="2" t="str">
        <f>"ECO FLAGS VELA 2M SOLO D. FACE"</f>
        <v>ECO FLAGS VELA 2M SOLO D. FACE</v>
      </c>
      <c r="C9353" s="2" t="str">
        <f t="shared" si="360"/>
        <v>UN</v>
      </c>
      <c r="D9353" s="7">
        <v>99999</v>
      </c>
      <c r="E9353" s="3">
        <v>99</v>
      </c>
      <c r="F9353" s="2">
        <v>2</v>
      </c>
      <c r="G9353" t="s">
        <v>513</v>
      </c>
    </row>
    <row r="9354" spans="1:7" x14ac:dyDescent="0.25">
      <c r="A9354" s="1" t="str">
        <f>"515488"</f>
        <v>515488</v>
      </c>
      <c r="B9354" s="2" t="str">
        <f>"EDGE 3.5L V6 DURATEC"</f>
        <v>EDGE 3.5L V6 DURATEC</v>
      </c>
      <c r="C9354" s="2" t="str">
        <f t="shared" si="360"/>
        <v>UN</v>
      </c>
      <c r="D9354" s="7">
        <v>2000</v>
      </c>
      <c r="E9354" s="3">
        <v>16</v>
      </c>
      <c r="F9354" s="2">
        <v>7</v>
      </c>
      <c r="G9354" t="s">
        <v>514</v>
      </c>
    </row>
    <row r="9355" spans="1:7" x14ac:dyDescent="0.25">
      <c r="A9355" s="1" t="str">
        <f>"515854"</f>
        <v>515854</v>
      </c>
      <c r="B9355" s="2" t="str">
        <f>"EDULCORANTE KK EDULMIX SAK 90 - DOC 009"</f>
        <v>EDULCORANTE KK EDULMIX SAK 90 - DOC 009</v>
      </c>
      <c r="C9355" s="2" t="str">
        <f>"KG"</f>
        <v>KG</v>
      </c>
      <c r="D9355" s="7">
        <v>1102</v>
      </c>
      <c r="E9355" s="3">
        <v>2</v>
      </c>
      <c r="F9355" s="2">
        <v>9</v>
      </c>
      <c r="G9355" t="s">
        <v>514</v>
      </c>
    </row>
    <row r="9356" spans="1:7" x14ac:dyDescent="0.25">
      <c r="A9356" s="1" t="str">
        <f>"786"</f>
        <v>786</v>
      </c>
      <c r="B9356" s="2" t="str">
        <f>"EDULCORANTE KK EDULMIX SSC - 40"</f>
        <v>EDULCORANTE KK EDULMIX SSC - 40</v>
      </c>
      <c r="C9356" s="2" t="str">
        <f>"KG"</f>
        <v>KG</v>
      </c>
      <c r="D9356" s="7">
        <v>1102</v>
      </c>
      <c r="E9356" s="3">
        <v>2</v>
      </c>
      <c r="F9356" s="5">
        <v>5</v>
      </c>
      <c r="G9356" t="s">
        <v>512</v>
      </c>
    </row>
    <row r="9357" spans="1:7" x14ac:dyDescent="0.25">
      <c r="A9357" s="1" t="str">
        <f>"5909"</f>
        <v>5909</v>
      </c>
      <c r="B9357" s="2" t="str">
        <f>"EDULCORANTES KK EDULMIX LBV 80 - KRAKI"</f>
        <v>EDULCORANTES KK EDULMIX LBV 80 - KRAKI</v>
      </c>
      <c r="C9357" s="2" t="str">
        <f>"KG"</f>
        <v>KG</v>
      </c>
      <c r="D9357" s="7">
        <v>1102</v>
      </c>
      <c r="E9357" s="3">
        <v>2</v>
      </c>
      <c r="F9357" s="2">
        <v>3</v>
      </c>
      <c r="G9357" t="s">
        <v>513</v>
      </c>
    </row>
    <row r="9358" spans="1:7" x14ac:dyDescent="0.25">
      <c r="A9358" s="1" t="str">
        <f>"515008"</f>
        <v>515008</v>
      </c>
      <c r="B9358" s="2" t="str">
        <f>"EIXO"</f>
        <v>EIXO</v>
      </c>
      <c r="C9358" s="2" t="str">
        <f t="shared" ref="C9358:C9393" si="361">"UN"</f>
        <v>UN</v>
      </c>
      <c r="D9358" s="7">
        <v>704</v>
      </c>
      <c r="E9358" s="3">
        <v>9</v>
      </c>
      <c r="F9358" s="2">
        <v>8</v>
      </c>
      <c r="G9358" t="s">
        <v>514</v>
      </c>
    </row>
    <row r="9359" spans="1:7" x14ac:dyDescent="0.25">
      <c r="A9359" s="1" t="str">
        <f>"525279"</f>
        <v>525279</v>
      </c>
      <c r="B9359" s="2" t="str">
        <f>"EIXO  COD. 004227 CONF. COD. 03-29-00-004"</f>
        <v>EIXO  COD. 004227 CONF. COD. 03-29-00-004</v>
      </c>
      <c r="C9359" s="2" t="str">
        <f t="shared" si="361"/>
        <v>UN</v>
      </c>
      <c r="D9359" s="7">
        <v>918</v>
      </c>
      <c r="E9359" s="3">
        <v>11</v>
      </c>
      <c r="F9359" s="2">
        <v>6</v>
      </c>
      <c r="G9359" t="s">
        <v>514</v>
      </c>
    </row>
    <row r="9360" spans="1:7" x14ac:dyDescent="0.25">
      <c r="A9360" s="1" t="str">
        <f>"512229"</f>
        <v>512229</v>
      </c>
      <c r="B9360" s="2" t="str">
        <f>"EIXO 227907"</f>
        <v>EIXO 227907</v>
      </c>
      <c r="C9360" s="2" t="str">
        <f t="shared" si="361"/>
        <v>UN</v>
      </c>
      <c r="D9360" s="7">
        <v>918</v>
      </c>
      <c r="E9360" s="3">
        <v>11</v>
      </c>
      <c r="F9360" s="2">
        <v>4</v>
      </c>
      <c r="G9360" t="s">
        <v>514</v>
      </c>
    </row>
    <row r="9361" spans="1:7" x14ac:dyDescent="0.25">
      <c r="A9361" s="1" t="str">
        <f>"519809"</f>
        <v>519809</v>
      </c>
      <c r="B9361" s="2" t="str">
        <f>"EIXO 25MM X 730MM"</f>
        <v>EIXO 25MM X 730MM</v>
      </c>
      <c r="C9361" s="2" t="str">
        <f t="shared" si="361"/>
        <v>UN</v>
      </c>
      <c r="D9361" s="7">
        <v>918</v>
      </c>
      <c r="E9361" s="3">
        <v>11</v>
      </c>
      <c r="F9361" s="2">
        <v>1</v>
      </c>
      <c r="G9361" t="s">
        <v>513</v>
      </c>
    </row>
    <row r="9362" spans="1:7" x14ac:dyDescent="0.25">
      <c r="A9362" s="1" t="str">
        <f>"519810"</f>
        <v>519810</v>
      </c>
      <c r="B9362" s="2" t="str">
        <f>"EIXO 25MM X 850MM"</f>
        <v>EIXO 25MM X 850MM</v>
      </c>
      <c r="C9362" s="2" t="str">
        <f t="shared" si="361"/>
        <v>UN</v>
      </c>
      <c r="D9362" s="7">
        <v>918</v>
      </c>
      <c r="E9362" s="3">
        <v>11</v>
      </c>
      <c r="F9362" s="2">
        <v>2</v>
      </c>
      <c r="G9362" t="s">
        <v>512</v>
      </c>
    </row>
    <row r="9363" spans="1:7" x14ac:dyDescent="0.25">
      <c r="A9363" s="1" t="str">
        <f>"511465"</f>
        <v>511465</v>
      </c>
      <c r="B9363" s="2" t="str">
        <f>"EIXO 47162 - PALETEIRO TOYOTA"</f>
        <v>EIXO 47162 - PALETEIRO TOYOTA</v>
      </c>
      <c r="C9363" s="2" t="str">
        <f t="shared" si="361"/>
        <v>UN</v>
      </c>
      <c r="D9363" s="7">
        <v>918</v>
      </c>
      <c r="E9363" s="3">
        <v>11</v>
      </c>
      <c r="F9363" s="2">
        <v>7</v>
      </c>
      <c r="G9363" t="s">
        <v>513</v>
      </c>
    </row>
    <row r="9364" spans="1:7" x14ac:dyDescent="0.25">
      <c r="A9364" s="1" t="str">
        <f>"516083"</f>
        <v>516083</v>
      </c>
      <c r="B9364" s="2" t="str">
        <f>"EIXO ACIONAMENTO 33016"</f>
        <v>EIXO ACIONAMENTO 33016</v>
      </c>
      <c r="C9364" s="2" t="str">
        <f t="shared" si="361"/>
        <v>UN</v>
      </c>
      <c r="D9364" s="7">
        <v>812</v>
      </c>
      <c r="E9364" s="3">
        <v>11</v>
      </c>
      <c r="F9364" s="2">
        <v>9</v>
      </c>
      <c r="G9364" t="s">
        <v>514</v>
      </c>
    </row>
    <row r="9365" spans="1:7" x14ac:dyDescent="0.25">
      <c r="A9365" s="1" t="str">
        <f>"512311"</f>
        <v>512311</v>
      </c>
      <c r="B9365" s="2" t="str">
        <f>"EIXO ACL B NM021 955826"</f>
        <v>EIXO ACL B NM021 955826</v>
      </c>
      <c r="C9365" s="2" t="str">
        <f t="shared" si="361"/>
        <v>UN</v>
      </c>
      <c r="D9365" s="7">
        <v>918</v>
      </c>
      <c r="E9365" s="3">
        <v>11</v>
      </c>
      <c r="F9365" s="2">
        <v>0</v>
      </c>
      <c r="G9365" t="s">
        <v>514</v>
      </c>
    </row>
    <row r="9366" spans="1:7" x14ac:dyDescent="0.25">
      <c r="A9366" s="1" t="str">
        <f>"512312"</f>
        <v>512312</v>
      </c>
      <c r="B9366" s="2" t="str">
        <f>"EIXO ACL B NM031 NDB4961131"</f>
        <v>EIXO ACL B NM031 NDB4961131</v>
      </c>
      <c r="C9366" s="2" t="str">
        <f t="shared" si="361"/>
        <v>UN</v>
      </c>
      <c r="D9366" s="7">
        <v>918</v>
      </c>
      <c r="E9366" s="3">
        <v>11</v>
      </c>
      <c r="F9366" s="2">
        <v>0</v>
      </c>
      <c r="G9366" t="s">
        <v>514</v>
      </c>
    </row>
    <row r="9367" spans="1:7" x14ac:dyDescent="0.25">
      <c r="A9367" s="1" t="str">
        <f>"512313"</f>
        <v>512313</v>
      </c>
      <c r="B9367" s="2" t="str">
        <f>"EIXO ACL B NM038 NDB4958792"</f>
        <v>EIXO ACL B NM038 NDB4958792</v>
      </c>
      <c r="C9367" s="2" t="str">
        <f t="shared" si="361"/>
        <v>UN</v>
      </c>
      <c r="D9367" s="7">
        <v>918</v>
      </c>
      <c r="E9367" s="3">
        <v>11</v>
      </c>
      <c r="F9367" s="2">
        <v>2</v>
      </c>
      <c r="G9367" t="s">
        <v>513</v>
      </c>
    </row>
    <row r="9368" spans="1:7" x14ac:dyDescent="0.25">
      <c r="A9368" s="1" t="str">
        <f>"512314"</f>
        <v>512314</v>
      </c>
      <c r="B9368" s="2" t="str">
        <f>"EIXO ACL B NM045 NDB4958793"</f>
        <v>EIXO ACL B NM045 NDB4958793</v>
      </c>
      <c r="C9368" s="2" t="str">
        <f t="shared" si="361"/>
        <v>UN</v>
      </c>
      <c r="D9368" s="7">
        <v>918</v>
      </c>
      <c r="E9368" s="3">
        <v>11</v>
      </c>
      <c r="F9368" s="2">
        <v>5</v>
      </c>
      <c r="G9368" t="s">
        <v>513</v>
      </c>
    </row>
    <row r="9369" spans="1:7" x14ac:dyDescent="0.25">
      <c r="A9369" s="1" t="str">
        <f>"508311"</f>
        <v>508311</v>
      </c>
      <c r="B9369" s="2" t="str">
        <f>"EIXO ACL B NM053 NDB4959068"</f>
        <v>EIXO ACL B NM053 NDB4959068</v>
      </c>
      <c r="C9369" s="2" t="str">
        <f t="shared" si="361"/>
        <v>UN</v>
      </c>
      <c r="D9369" s="7">
        <v>918</v>
      </c>
      <c r="E9369" s="3">
        <v>11</v>
      </c>
      <c r="F9369" s="2">
        <v>6</v>
      </c>
      <c r="G9369" t="s">
        <v>513</v>
      </c>
    </row>
    <row r="9370" spans="1:7" x14ac:dyDescent="0.25">
      <c r="A9370" s="1" t="str">
        <f>"512315"</f>
        <v>512315</v>
      </c>
      <c r="B9370" s="2" t="str">
        <f>"EIXO ACL B NM063 NDB4959250"</f>
        <v>EIXO ACL B NM063 NDB4959250</v>
      </c>
      <c r="C9370" s="2" t="str">
        <f t="shared" si="361"/>
        <v>UN</v>
      </c>
      <c r="D9370" s="7">
        <v>918</v>
      </c>
      <c r="E9370" s="3">
        <v>11</v>
      </c>
      <c r="F9370" s="2">
        <v>9</v>
      </c>
      <c r="G9370" t="s">
        <v>512</v>
      </c>
    </row>
    <row r="9371" spans="1:7" x14ac:dyDescent="0.25">
      <c r="A9371" s="1" t="str">
        <f>"511715"</f>
        <v>511715</v>
      </c>
      <c r="B9371" s="2" t="str">
        <f>"EIXO ACL B NM063-H(P) REF. NDB.4959249"</f>
        <v>EIXO ACL B NM063-H(P) REF. NDB.4959249</v>
      </c>
      <c r="C9371" s="2" t="str">
        <f t="shared" si="361"/>
        <v>UN</v>
      </c>
      <c r="D9371" s="7">
        <v>918</v>
      </c>
      <c r="E9371" s="3">
        <v>11</v>
      </c>
      <c r="F9371" s="2">
        <v>5</v>
      </c>
      <c r="G9371" t="s">
        <v>513</v>
      </c>
    </row>
    <row r="9372" spans="1:7" x14ac:dyDescent="0.25">
      <c r="A9372" s="1" t="str">
        <f>"521858"</f>
        <v>521858</v>
      </c>
      <c r="B9372" s="2" t="str">
        <f>"EIXO ACL B NM090BH01L06N NDB4958991"</f>
        <v>EIXO ACL B NM090BH01L06N NDB4958991</v>
      </c>
      <c r="C9372" s="2" t="str">
        <f t="shared" si="361"/>
        <v>UN</v>
      </c>
      <c r="D9372" s="7">
        <v>918</v>
      </c>
      <c r="E9372" s="3">
        <v>11</v>
      </c>
      <c r="F9372" s="2">
        <v>3</v>
      </c>
      <c r="G9372" t="s">
        <v>514</v>
      </c>
    </row>
    <row r="9373" spans="1:7" x14ac:dyDescent="0.25">
      <c r="A9373" s="1" t="str">
        <f>"508393"</f>
        <v>508393</v>
      </c>
      <c r="B9373" s="2" t="str">
        <f>"EIXO ACL B NMO38-B-H(P) 304 POLIDO NDB4959526 NETZSCH"</f>
        <v>EIXO ACL B NMO38-B-H(P) 304 POLIDO NDB4959526 NETZSCH</v>
      </c>
      <c r="C9373" s="2" t="str">
        <f t="shared" si="361"/>
        <v>UN</v>
      </c>
      <c r="D9373" s="7">
        <v>918</v>
      </c>
      <c r="E9373" s="3">
        <v>11</v>
      </c>
      <c r="F9373" s="2">
        <v>3</v>
      </c>
      <c r="G9373" t="s">
        <v>515</v>
      </c>
    </row>
    <row r="9374" spans="1:7" x14ac:dyDescent="0.25">
      <c r="A9374" s="1" t="str">
        <f>"525497"</f>
        <v>525497</v>
      </c>
      <c r="B9374" s="2" t="str">
        <f>"EIXO ACOPLAMENTO BNM 090-1214 304 POL NDB 4958991"</f>
        <v>EIXO ACOPLAMENTO BNM 090-1214 304 POL NDB 4958991</v>
      </c>
      <c r="C9374" s="2" t="str">
        <f t="shared" si="361"/>
        <v>UN</v>
      </c>
      <c r="D9374" s="7">
        <v>918</v>
      </c>
      <c r="E9374" s="3">
        <v>11</v>
      </c>
      <c r="F9374" s="2">
        <v>2</v>
      </c>
      <c r="G9374" t="s">
        <v>512</v>
      </c>
    </row>
    <row r="9375" spans="1:7" x14ac:dyDescent="0.25">
      <c r="A9375" s="1" t="str">
        <f>"508019"</f>
        <v>508019</v>
      </c>
      <c r="B9375" s="2" t="str">
        <f>"EIXO ACOPLAMENTO NM090-14V"</f>
        <v>EIXO ACOPLAMENTO NM090-14V</v>
      </c>
      <c r="C9375" s="2" t="str">
        <f t="shared" si="361"/>
        <v>UN</v>
      </c>
      <c r="D9375" s="7">
        <v>918</v>
      </c>
      <c r="E9375" s="3">
        <v>11</v>
      </c>
      <c r="F9375" s="2">
        <v>1</v>
      </c>
      <c r="G9375" t="s">
        <v>516</v>
      </c>
    </row>
    <row r="9376" spans="1:7" x14ac:dyDescent="0.25">
      <c r="A9376" s="1" t="str">
        <f>"527125"</f>
        <v>527125</v>
      </c>
      <c r="B9376" s="2" t="str">
        <f>"EIXO AGITADOR"</f>
        <v>EIXO AGITADOR</v>
      </c>
      <c r="C9376" s="2" t="str">
        <f t="shared" si="361"/>
        <v>UN</v>
      </c>
      <c r="D9376" s="7">
        <v>1300</v>
      </c>
      <c r="E9376" s="3">
        <v>13</v>
      </c>
      <c r="F9376" s="2">
        <v>4</v>
      </c>
      <c r="G9376" t="s">
        <v>515</v>
      </c>
    </row>
    <row r="9377" spans="1:7" x14ac:dyDescent="0.25">
      <c r="A9377" s="1" t="str">
        <f>"511607"</f>
        <v>511607</v>
      </c>
      <c r="B9377" s="2" t="str">
        <f>"EIXO ARTICULADOR 207-4272"</f>
        <v>EIXO ARTICULADOR 207-4272</v>
      </c>
      <c r="C9377" s="2" t="str">
        <f t="shared" si="361"/>
        <v>UN</v>
      </c>
      <c r="D9377" s="7">
        <v>704</v>
      </c>
      <c r="E9377" s="3">
        <v>9</v>
      </c>
      <c r="F9377" s="2">
        <v>6</v>
      </c>
      <c r="G9377" t="s">
        <v>514</v>
      </c>
    </row>
    <row r="9378" spans="1:7" x14ac:dyDescent="0.25">
      <c r="A9378" s="1" t="str">
        <f>"524673"</f>
        <v>524673</v>
      </c>
      <c r="B9378" s="2" t="str">
        <f>"EIXO AUXILIAR LA160040 BOMBA DW4"</f>
        <v>EIXO AUXILIAR LA160040 BOMBA DW4</v>
      </c>
      <c r="C9378" s="2" t="str">
        <f t="shared" si="361"/>
        <v>UN</v>
      </c>
      <c r="D9378" s="7">
        <v>813</v>
      </c>
      <c r="E9378" s="3">
        <v>11</v>
      </c>
      <c r="F9378" s="2">
        <v>8</v>
      </c>
      <c r="G9378" t="s">
        <v>512</v>
      </c>
    </row>
    <row r="9379" spans="1:7" x14ac:dyDescent="0.25">
      <c r="A9379" s="1" t="str">
        <f>"512967"</f>
        <v>512967</v>
      </c>
      <c r="B9379" s="2" t="str">
        <f>"EIXO BOMBA 32200"</f>
        <v>EIXO BOMBA 32200</v>
      </c>
      <c r="C9379" s="2" t="str">
        <f t="shared" si="361"/>
        <v>UN</v>
      </c>
      <c r="D9379" s="7">
        <v>918</v>
      </c>
      <c r="E9379" s="3">
        <v>11</v>
      </c>
      <c r="F9379" s="2">
        <v>7</v>
      </c>
      <c r="G9379" t="s">
        <v>513</v>
      </c>
    </row>
    <row r="9380" spans="1:7" x14ac:dyDescent="0.25">
      <c r="A9380" s="1" t="str">
        <f>"512558"</f>
        <v>512558</v>
      </c>
      <c r="B9380" s="2" t="str">
        <f>"EIXO BOMBA GI PONTA REBAIXADA"</f>
        <v>EIXO BOMBA GI PONTA REBAIXADA</v>
      </c>
      <c r="C9380" s="2" t="str">
        <f t="shared" si="361"/>
        <v>UN</v>
      </c>
      <c r="D9380" s="7">
        <v>918</v>
      </c>
      <c r="E9380" s="3">
        <v>11</v>
      </c>
      <c r="F9380" s="2">
        <v>6</v>
      </c>
      <c r="G9380" t="s">
        <v>514</v>
      </c>
    </row>
    <row r="9381" spans="1:7" x14ac:dyDescent="0.25">
      <c r="A9381" s="1" t="str">
        <f>"508004"</f>
        <v>508004</v>
      </c>
      <c r="B9381" s="2" t="str">
        <f>"EIXO BOMBA OLEO DA TOMADA FORÇA TAKARADA MC1 (505512)"</f>
        <v>EIXO BOMBA OLEO DA TOMADA FORÇA TAKARADA MC1 (505512)</v>
      </c>
      <c r="C9381" s="2" t="str">
        <f t="shared" si="361"/>
        <v>UN</v>
      </c>
      <c r="D9381" s="7">
        <v>812</v>
      </c>
      <c r="E9381" s="3">
        <v>11</v>
      </c>
      <c r="F9381" s="2">
        <v>6</v>
      </c>
      <c r="G9381" t="s">
        <v>514</v>
      </c>
    </row>
    <row r="9382" spans="1:7" x14ac:dyDescent="0.25">
      <c r="A9382" s="1" t="str">
        <f>"526644"</f>
        <v>526644</v>
      </c>
      <c r="B9382" s="2" t="str">
        <f>"EIXO CENTRAL DO GARFO"</f>
        <v>EIXO CENTRAL DO GARFO</v>
      </c>
      <c r="C9382" s="2" t="str">
        <f t="shared" si="361"/>
        <v>UN</v>
      </c>
      <c r="D9382" s="7">
        <v>918</v>
      </c>
      <c r="E9382" s="3">
        <v>11</v>
      </c>
      <c r="F9382" s="2">
        <v>2</v>
      </c>
      <c r="G9382" t="s">
        <v>512</v>
      </c>
    </row>
    <row r="9383" spans="1:7" x14ac:dyDescent="0.25">
      <c r="A9383" s="1" t="str">
        <f>"525278"</f>
        <v>525278</v>
      </c>
      <c r="B9383" s="2" t="str">
        <f>"EIXO COD. 004994 CONF COD 03-20-00-013"</f>
        <v>EIXO COD. 004994 CONF COD 03-20-00-013</v>
      </c>
      <c r="C9383" s="2" t="str">
        <f t="shared" si="361"/>
        <v>UN</v>
      </c>
      <c r="D9383" s="7">
        <v>918</v>
      </c>
      <c r="E9383" s="3">
        <v>11</v>
      </c>
      <c r="F9383" s="2">
        <v>1</v>
      </c>
      <c r="G9383" t="s">
        <v>513</v>
      </c>
    </row>
    <row r="9384" spans="1:7" x14ac:dyDescent="0.25">
      <c r="A9384" s="1" t="str">
        <f>"525276"</f>
        <v>525276</v>
      </c>
      <c r="B9384" s="2" t="str">
        <f>"EIXO COD.035739 CONF. COD. 03-20-00-005"</f>
        <v>EIXO COD.035739 CONF. COD. 03-20-00-005</v>
      </c>
      <c r="C9384" s="2" t="str">
        <f t="shared" si="361"/>
        <v>UN</v>
      </c>
      <c r="D9384" s="7">
        <v>918</v>
      </c>
      <c r="E9384" s="3">
        <v>11</v>
      </c>
      <c r="F9384" s="2">
        <v>0</v>
      </c>
      <c r="G9384" t="s">
        <v>514</v>
      </c>
    </row>
    <row r="9385" spans="1:7" x14ac:dyDescent="0.25">
      <c r="A9385" s="1" t="str">
        <f>"504930"</f>
        <v>504930</v>
      </c>
      <c r="B9385" s="2" t="str">
        <f>"EIXO COMANDO VALVULAS 4G63"</f>
        <v>EIXO COMANDO VALVULAS 4G63</v>
      </c>
      <c r="C9385" s="2" t="str">
        <f t="shared" si="361"/>
        <v>UN</v>
      </c>
      <c r="D9385" s="7">
        <v>918</v>
      </c>
      <c r="E9385" s="3">
        <v>11</v>
      </c>
      <c r="F9385" s="2">
        <v>0</v>
      </c>
      <c r="G9385" t="s">
        <v>514</v>
      </c>
    </row>
    <row r="9386" spans="1:7" x14ac:dyDescent="0.25">
      <c r="A9386" s="1" t="str">
        <f>"501747"</f>
        <v>501747</v>
      </c>
      <c r="B9386" s="2" t="str">
        <f>"EIXO DA BOMBA INJETORA"</f>
        <v>EIXO DA BOMBA INJETORA</v>
      </c>
      <c r="C9386" s="2" t="str">
        <f t="shared" si="361"/>
        <v>UN</v>
      </c>
      <c r="D9386" s="7">
        <v>704</v>
      </c>
      <c r="E9386" s="3">
        <v>9</v>
      </c>
      <c r="F9386" s="2">
        <v>0</v>
      </c>
      <c r="G9386" t="s">
        <v>514</v>
      </c>
    </row>
    <row r="9387" spans="1:7" x14ac:dyDescent="0.25">
      <c r="A9387" s="1" t="str">
        <f>"509092"</f>
        <v>509092</v>
      </c>
      <c r="B9387" s="2" t="str">
        <f>"EIXO DA ORELINHA 008000304"</f>
        <v>EIXO DA ORELINHA 008000304</v>
      </c>
      <c r="C9387" s="2" t="str">
        <f t="shared" si="361"/>
        <v>UN</v>
      </c>
      <c r="D9387" s="7">
        <v>918</v>
      </c>
      <c r="E9387" s="3">
        <v>11</v>
      </c>
      <c r="F9387" s="2">
        <v>3</v>
      </c>
      <c r="G9387" t="s">
        <v>513</v>
      </c>
    </row>
    <row r="9388" spans="1:7" x14ac:dyDescent="0.25">
      <c r="A9388" s="1" t="str">
        <f>"517919"</f>
        <v>517919</v>
      </c>
      <c r="B9388" s="2" t="str">
        <f>"EIXO DA RODA"</f>
        <v>EIXO DA RODA</v>
      </c>
      <c r="C9388" s="2" t="str">
        <f t="shared" si="361"/>
        <v>UN</v>
      </c>
      <c r="D9388" s="7">
        <v>918</v>
      </c>
      <c r="E9388" s="3">
        <v>11</v>
      </c>
      <c r="F9388" s="5">
        <v>5</v>
      </c>
      <c r="G9388" t="s">
        <v>512</v>
      </c>
    </row>
    <row r="9389" spans="1:7" x14ac:dyDescent="0.25">
      <c r="A9389" s="1" t="str">
        <f>"509050"</f>
        <v>509050</v>
      </c>
      <c r="B9389" s="2" t="str">
        <f>"EIXO DA RODA DIRECIONAL 008000401"</f>
        <v>EIXO DA RODA DIRECIONAL 008000401</v>
      </c>
      <c r="C9389" s="2" t="str">
        <f t="shared" si="361"/>
        <v>UN</v>
      </c>
      <c r="D9389" s="7">
        <v>918</v>
      </c>
      <c r="E9389" s="3">
        <v>11</v>
      </c>
      <c r="F9389" s="2">
        <v>3</v>
      </c>
      <c r="G9389" t="s">
        <v>513</v>
      </c>
    </row>
    <row r="9390" spans="1:7" x14ac:dyDescent="0.25">
      <c r="A9390" s="1" t="str">
        <f>"509070"</f>
        <v>509070</v>
      </c>
      <c r="B9390" s="2" t="str">
        <f>"EIXO DA RODA DIRECIONAL 008000401"</f>
        <v>EIXO DA RODA DIRECIONAL 008000401</v>
      </c>
      <c r="C9390" s="2" t="str">
        <f t="shared" si="361"/>
        <v>UN</v>
      </c>
      <c r="D9390" s="7">
        <v>918</v>
      </c>
      <c r="E9390" s="3">
        <v>11</v>
      </c>
      <c r="F9390" s="2">
        <v>8</v>
      </c>
      <c r="G9390" t="s">
        <v>514</v>
      </c>
    </row>
    <row r="9391" spans="1:7" x14ac:dyDescent="0.25">
      <c r="A9391" s="1" t="str">
        <f>"509064"</f>
        <v>509064</v>
      </c>
      <c r="B9391" s="2" t="str">
        <f>"EIXO DA RODA DUPLA 008000452"</f>
        <v>EIXO DA RODA DUPLA 008000452</v>
      </c>
      <c r="C9391" s="2" t="str">
        <f t="shared" si="361"/>
        <v>UN</v>
      </c>
      <c r="D9391" s="7">
        <v>918</v>
      </c>
      <c r="E9391" s="3">
        <v>11</v>
      </c>
      <c r="F9391" s="2">
        <v>6</v>
      </c>
      <c r="G9391" t="s">
        <v>514</v>
      </c>
    </row>
    <row r="9392" spans="1:7" x14ac:dyDescent="0.25">
      <c r="A9392" s="1" t="str">
        <f>"509091"</f>
        <v>509091</v>
      </c>
      <c r="B9392" s="2" t="str">
        <f>"EIXO DA RODA SIMPLES 00800509"</f>
        <v>EIXO DA RODA SIMPLES 00800509</v>
      </c>
      <c r="C9392" s="2" t="str">
        <f t="shared" si="361"/>
        <v>UN</v>
      </c>
      <c r="D9392" s="7">
        <v>918</v>
      </c>
      <c r="E9392" s="3">
        <v>11</v>
      </c>
      <c r="F9392" s="2">
        <v>4</v>
      </c>
      <c r="G9392" t="s">
        <v>514</v>
      </c>
    </row>
    <row r="9393" spans="1:7" x14ac:dyDescent="0.25">
      <c r="A9393" s="1" t="str">
        <f>"500831"</f>
        <v>500831</v>
      </c>
      <c r="B9393" s="2" t="str">
        <f>"EIXO DA TRACAO DA FBRE EMPILHADEIRA TOYO"</f>
        <v>EIXO DA TRACAO DA FBRE EMPILHADEIRA TOYO</v>
      </c>
      <c r="C9393" s="2" t="str">
        <f t="shared" si="361"/>
        <v>UN</v>
      </c>
      <c r="D9393" s="7">
        <v>918</v>
      </c>
      <c r="E9393" s="3">
        <v>11</v>
      </c>
      <c r="F9393" s="2">
        <v>1</v>
      </c>
      <c r="G9393" t="s">
        <v>513</v>
      </c>
    </row>
    <row r="9394" spans="1:7" x14ac:dyDescent="0.25">
      <c r="A9394" s="1" t="str">
        <f>"527031"</f>
        <v>527031</v>
      </c>
      <c r="B9394" s="2" t="str">
        <f>"EIXO DE INOX DA BOMBA DE AMONIA"</f>
        <v>EIXO DE INOX DA BOMBA DE AMONIA</v>
      </c>
      <c r="C9394" s="2" t="str">
        <f>"PÇ"</f>
        <v>PÇ</v>
      </c>
      <c r="D9394" s="7">
        <v>809</v>
      </c>
      <c r="E9394" s="3">
        <v>10</v>
      </c>
      <c r="F9394" s="2">
        <v>2</v>
      </c>
      <c r="G9394" t="s">
        <v>513</v>
      </c>
    </row>
    <row r="9395" spans="1:7" x14ac:dyDescent="0.25">
      <c r="A9395" s="1" t="str">
        <f>"510407"</f>
        <v>510407</v>
      </c>
      <c r="B9395" s="2" t="str">
        <f>"EIXO DE INOX PARA BOMBA SANITARIA LI"</f>
        <v>EIXO DE INOX PARA BOMBA SANITARIA LI</v>
      </c>
      <c r="C9395" s="2" t="str">
        <f t="shared" ref="C9395:C9410" si="362">"UN"</f>
        <v>UN</v>
      </c>
      <c r="D9395" s="7">
        <v>918</v>
      </c>
      <c r="E9395" s="3">
        <v>11</v>
      </c>
      <c r="F9395" s="2">
        <v>7</v>
      </c>
      <c r="G9395" t="s">
        <v>513</v>
      </c>
    </row>
    <row r="9396" spans="1:7" x14ac:dyDescent="0.25">
      <c r="A9396" s="1" t="str">
        <f>"520019"</f>
        <v>520019</v>
      </c>
      <c r="B9396" s="2" t="str">
        <f>"EIXO DE LIGACAO B NM045B-H(P) 304 POLIDO NDB4959093 NETZSCH"</f>
        <v>EIXO DE LIGACAO B NM045B-H(P) 304 POLIDO NDB4959093 NETZSCH</v>
      </c>
      <c r="C9396" s="2" t="str">
        <f t="shared" si="362"/>
        <v>UN</v>
      </c>
      <c r="D9396" s="7">
        <v>918</v>
      </c>
      <c r="E9396" s="3">
        <v>11</v>
      </c>
      <c r="F9396" s="2">
        <v>9</v>
      </c>
      <c r="G9396" t="s">
        <v>512</v>
      </c>
    </row>
    <row r="9397" spans="1:7" x14ac:dyDescent="0.25">
      <c r="A9397" s="1" t="str">
        <f>"509096"</f>
        <v>509096</v>
      </c>
      <c r="B9397" s="2" t="str">
        <f>"EIXO DE SUPORTE 008000665"</f>
        <v>EIXO DE SUPORTE 008000665</v>
      </c>
      <c r="C9397" s="2" t="str">
        <f t="shared" si="362"/>
        <v>UN</v>
      </c>
      <c r="D9397" s="7">
        <v>918</v>
      </c>
      <c r="E9397" s="3">
        <v>11</v>
      </c>
      <c r="F9397" s="2">
        <v>0</v>
      </c>
      <c r="G9397" t="s">
        <v>513</v>
      </c>
    </row>
    <row r="9398" spans="1:7" x14ac:dyDescent="0.25">
      <c r="A9398" s="1" t="str">
        <f>"509074"</f>
        <v>509074</v>
      </c>
      <c r="B9398" s="2" t="str">
        <f>"EIXO DE SUPORTE DO BRACO 008000703"</f>
        <v>EIXO DE SUPORTE DO BRACO 008000703</v>
      </c>
      <c r="C9398" s="2" t="str">
        <f t="shared" si="362"/>
        <v>UN</v>
      </c>
      <c r="D9398" s="7">
        <v>918</v>
      </c>
      <c r="E9398" s="3">
        <v>11</v>
      </c>
      <c r="F9398" s="2">
        <v>0</v>
      </c>
      <c r="G9398" t="s">
        <v>514</v>
      </c>
    </row>
    <row r="9399" spans="1:7" x14ac:dyDescent="0.25">
      <c r="A9399" s="1" t="str">
        <f>"517725"</f>
        <v>517725</v>
      </c>
      <c r="B9399" s="2" t="str">
        <f>"EIXO DESENROLADOR DO MOTOR"</f>
        <v>EIXO DESENROLADOR DO MOTOR</v>
      </c>
      <c r="C9399" s="2" t="str">
        <f t="shared" si="362"/>
        <v>UN</v>
      </c>
      <c r="D9399" s="7">
        <v>811</v>
      </c>
      <c r="E9399" s="3">
        <v>8</v>
      </c>
      <c r="F9399" s="2">
        <v>2</v>
      </c>
      <c r="G9399" t="s">
        <v>515</v>
      </c>
    </row>
    <row r="9400" spans="1:7" x14ac:dyDescent="0.25">
      <c r="A9400" s="1" t="str">
        <f>"514029"</f>
        <v>514029</v>
      </c>
      <c r="B9400" s="2" t="str">
        <f>"EIXO DO BRAÇO"</f>
        <v>EIXO DO BRAÇO</v>
      </c>
      <c r="C9400" s="2" t="str">
        <f t="shared" si="362"/>
        <v>UN</v>
      </c>
      <c r="D9400" s="7">
        <v>918</v>
      </c>
      <c r="E9400" s="3">
        <v>11</v>
      </c>
      <c r="F9400" s="2">
        <v>5</v>
      </c>
      <c r="G9400" t="s">
        <v>512</v>
      </c>
    </row>
    <row r="9401" spans="1:7" x14ac:dyDescent="0.25">
      <c r="A9401" s="1" t="str">
        <f>"522536"</f>
        <v>522536</v>
      </c>
      <c r="B9401" s="8" t="s">
        <v>312</v>
      </c>
      <c r="C9401" s="2" t="str">
        <f t="shared" si="362"/>
        <v>UN</v>
      </c>
      <c r="D9401" s="7">
        <v>918</v>
      </c>
      <c r="E9401" s="3">
        <v>11</v>
      </c>
      <c r="F9401" s="2">
        <v>6</v>
      </c>
      <c r="G9401" t="s">
        <v>516</v>
      </c>
    </row>
    <row r="9402" spans="1:7" x14ac:dyDescent="0.25">
      <c r="A9402" s="1" t="str">
        <f>"526641"</f>
        <v>526641</v>
      </c>
      <c r="B9402" s="2" t="str">
        <f>"EIXO DO CAME"</f>
        <v>EIXO DO CAME</v>
      </c>
      <c r="C9402" s="2" t="str">
        <f t="shared" si="362"/>
        <v>UN</v>
      </c>
      <c r="D9402" s="7">
        <v>918</v>
      </c>
      <c r="E9402" s="3">
        <v>11</v>
      </c>
      <c r="F9402" s="2">
        <v>9</v>
      </c>
      <c r="G9402" t="s">
        <v>515</v>
      </c>
    </row>
    <row r="9403" spans="1:7" x14ac:dyDescent="0.25">
      <c r="A9403" s="1" t="str">
        <f>"510938"</f>
        <v>510938</v>
      </c>
      <c r="B9403" s="2" t="str">
        <f>"EIXO DO CAME 105MM X 22MM"</f>
        <v>EIXO DO CAME 105MM X 22MM</v>
      </c>
      <c r="C9403" s="2" t="str">
        <f t="shared" si="362"/>
        <v>UN</v>
      </c>
      <c r="D9403" s="7">
        <v>918</v>
      </c>
      <c r="E9403" s="3">
        <v>11</v>
      </c>
      <c r="F9403" s="2">
        <v>5</v>
      </c>
      <c r="G9403" t="s">
        <v>514</v>
      </c>
    </row>
    <row r="9404" spans="1:7" x14ac:dyDescent="0.25">
      <c r="A9404" s="1" t="str">
        <f>"514896"</f>
        <v>514896</v>
      </c>
      <c r="B9404" s="2" t="str">
        <f>"EIXO DO CAME 60MM  X 22MM - PETIT"</f>
        <v>EIXO DO CAME 60MM  X 22MM - PETIT</v>
      </c>
      <c r="C9404" s="2" t="str">
        <f t="shared" si="362"/>
        <v>UN</v>
      </c>
      <c r="D9404" s="7">
        <v>812</v>
      </c>
      <c r="E9404" s="3">
        <v>11</v>
      </c>
      <c r="F9404" s="2">
        <v>3</v>
      </c>
      <c r="G9404" t="s">
        <v>512</v>
      </c>
    </row>
    <row r="9405" spans="1:7" x14ac:dyDescent="0.25">
      <c r="A9405" s="1" t="str">
        <f>"510937"</f>
        <v>510937</v>
      </c>
      <c r="B9405" s="2" t="str">
        <f>"EIXO DO CAME 90MM  X 20MM"</f>
        <v>EIXO DO CAME 90MM  X 20MM</v>
      </c>
      <c r="C9405" s="2" t="str">
        <f t="shared" si="362"/>
        <v>UN</v>
      </c>
      <c r="D9405" s="7">
        <v>918</v>
      </c>
      <c r="E9405" s="3">
        <v>11</v>
      </c>
      <c r="F9405" s="2">
        <v>3</v>
      </c>
      <c r="G9405" t="s">
        <v>513</v>
      </c>
    </row>
    <row r="9406" spans="1:7" x14ac:dyDescent="0.25">
      <c r="A9406" s="1" t="str">
        <f>"505746"</f>
        <v>505746</v>
      </c>
      <c r="B9406" s="2" t="str">
        <f>"EIXO DO GARFO"</f>
        <v>EIXO DO GARFO</v>
      </c>
      <c r="C9406" s="2" t="str">
        <f t="shared" si="362"/>
        <v>UN</v>
      </c>
      <c r="D9406" s="7">
        <v>704</v>
      </c>
      <c r="E9406" s="3">
        <v>9</v>
      </c>
      <c r="F9406" s="2">
        <v>2</v>
      </c>
      <c r="G9406" t="s">
        <v>514</v>
      </c>
    </row>
    <row r="9407" spans="1:7" x14ac:dyDescent="0.25">
      <c r="A9407" s="1" t="str">
        <f>"509093"</f>
        <v>509093</v>
      </c>
      <c r="B9407" s="2" t="str">
        <f>"EIXO DO GARFO 008001106"</f>
        <v>EIXO DO GARFO 008001106</v>
      </c>
      <c r="C9407" s="2" t="str">
        <f t="shared" si="362"/>
        <v>UN</v>
      </c>
      <c r="D9407" s="7">
        <v>918</v>
      </c>
      <c r="E9407" s="3">
        <v>11</v>
      </c>
      <c r="F9407" s="2">
        <v>1</v>
      </c>
      <c r="G9407" t="s">
        <v>514</v>
      </c>
    </row>
    <row r="9408" spans="1:7" x14ac:dyDescent="0.25">
      <c r="A9408" s="1" t="str">
        <f>"520845"</f>
        <v>520845</v>
      </c>
      <c r="B9408" s="2" t="str">
        <f>"EIXO DO GARFO 1/1/1433/113"</f>
        <v>EIXO DO GARFO 1/1/1433/113</v>
      </c>
      <c r="C9408" s="2" t="str">
        <f t="shared" si="362"/>
        <v>UN</v>
      </c>
      <c r="D9408" s="7">
        <v>1300</v>
      </c>
      <c r="E9408" s="3">
        <v>11</v>
      </c>
      <c r="F9408" s="2">
        <v>4</v>
      </c>
      <c r="G9408" t="s">
        <v>512</v>
      </c>
    </row>
    <row r="9409" spans="1:7" x14ac:dyDescent="0.25">
      <c r="A9409" s="1" t="str">
        <f>"510326"</f>
        <v>510326</v>
      </c>
      <c r="B9409" s="2" t="str">
        <f>"EIXO DO GARFO U 008001107"</f>
        <v>EIXO DO GARFO U 008001107</v>
      </c>
      <c r="C9409" s="2" t="str">
        <f t="shared" si="362"/>
        <v>UN</v>
      </c>
      <c r="D9409" s="7">
        <v>918</v>
      </c>
      <c r="E9409" s="3">
        <v>11</v>
      </c>
      <c r="F9409" s="2">
        <v>1</v>
      </c>
      <c r="G9409" t="s">
        <v>513</v>
      </c>
    </row>
    <row r="9410" spans="1:7" x14ac:dyDescent="0.25">
      <c r="A9410" s="1" t="str">
        <f>"527574"</f>
        <v>527574</v>
      </c>
      <c r="B9410" s="2" t="str">
        <f>"EIXO DO RASPADOR DA TAMPA"</f>
        <v>EIXO DO RASPADOR DA TAMPA</v>
      </c>
      <c r="C9410" s="2" t="str">
        <f t="shared" si="362"/>
        <v>UN</v>
      </c>
      <c r="D9410" s="7">
        <v>918</v>
      </c>
      <c r="E9410" s="3">
        <v>11</v>
      </c>
      <c r="F9410" s="2">
        <v>2</v>
      </c>
      <c r="G9410" t="s">
        <v>514</v>
      </c>
    </row>
    <row r="9411" spans="1:7" x14ac:dyDescent="0.25">
      <c r="A9411" s="1" t="str">
        <f>"527030"</f>
        <v>527030</v>
      </c>
      <c r="B9411" s="2" t="str">
        <f>"EIXO DO REDUTOR DA 8000"</f>
        <v>EIXO DO REDUTOR DA 8000</v>
      </c>
      <c r="C9411" s="2" t="str">
        <f>"PÇ"</f>
        <v>PÇ</v>
      </c>
      <c r="D9411" s="7">
        <v>809</v>
      </c>
      <c r="E9411" s="3">
        <v>10</v>
      </c>
      <c r="F9411" s="2">
        <v>7</v>
      </c>
      <c r="G9411" t="s">
        <v>514</v>
      </c>
    </row>
    <row r="9412" spans="1:7" x14ac:dyDescent="0.25">
      <c r="A9412" s="1" t="str">
        <f>"509076"</f>
        <v>509076</v>
      </c>
      <c r="B9412" s="2" t="str">
        <f>"EIXO DO ROLETE 008001300"</f>
        <v>EIXO DO ROLETE 008001300</v>
      </c>
      <c r="C9412" s="2" t="str">
        <f t="shared" ref="C9412:C9443" si="363">"UN"</f>
        <v>UN</v>
      </c>
      <c r="D9412" s="7">
        <v>918</v>
      </c>
      <c r="E9412" s="3">
        <v>11</v>
      </c>
      <c r="F9412" s="2">
        <v>9</v>
      </c>
      <c r="G9412" t="s">
        <v>514</v>
      </c>
    </row>
    <row r="9413" spans="1:7" x14ac:dyDescent="0.25">
      <c r="A9413" s="1" t="str">
        <f>"503746"</f>
        <v>503746</v>
      </c>
      <c r="B9413" s="2" t="str">
        <f>"EIXO DO ROLETE 05.3121.067.00"</f>
        <v>EIXO DO ROLETE 05.3121.067.00</v>
      </c>
      <c r="C9413" s="2" t="str">
        <f t="shared" si="363"/>
        <v>UN</v>
      </c>
      <c r="D9413" s="7">
        <v>918</v>
      </c>
      <c r="E9413" s="3">
        <v>11</v>
      </c>
      <c r="F9413" s="2">
        <v>0</v>
      </c>
      <c r="G9413" t="s">
        <v>513</v>
      </c>
    </row>
    <row r="9414" spans="1:7" x14ac:dyDescent="0.25">
      <c r="A9414" s="1" t="str">
        <f>"504197"</f>
        <v>504197</v>
      </c>
      <c r="B9414" s="2" t="str">
        <f>"EIXO DO ROLINHO DATADOR BANDEJA"</f>
        <v>EIXO DO ROLINHO DATADOR BANDEJA</v>
      </c>
      <c r="C9414" s="2" t="str">
        <f t="shared" si="363"/>
        <v>UN</v>
      </c>
      <c r="D9414" s="7">
        <v>918</v>
      </c>
      <c r="E9414" s="3">
        <v>11</v>
      </c>
      <c r="F9414" s="2">
        <v>0</v>
      </c>
      <c r="G9414" t="s">
        <v>512</v>
      </c>
    </row>
    <row r="9415" spans="1:7" x14ac:dyDescent="0.25">
      <c r="A9415" s="1" t="str">
        <f>"526764"</f>
        <v>526764</v>
      </c>
      <c r="B9415" s="2" t="str">
        <f>"EIXO DO ROTOR COD.10030"</f>
        <v>EIXO DO ROTOR COD.10030</v>
      </c>
      <c r="C9415" s="2" t="str">
        <f t="shared" si="363"/>
        <v>UN</v>
      </c>
      <c r="D9415" s="7">
        <v>918</v>
      </c>
      <c r="E9415" s="3">
        <v>11</v>
      </c>
      <c r="F9415" s="2">
        <v>4</v>
      </c>
      <c r="G9415" t="s">
        <v>513</v>
      </c>
    </row>
    <row r="9416" spans="1:7" x14ac:dyDescent="0.25">
      <c r="A9416" s="1" t="str">
        <f>"525180"</f>
        <v>525180</v>
      </c>
      <c r="B9416" s="8" t="s">
        <v>439</v>
      </c>
      <c r="C9416" s="2" t="str">
        <f t="shared" si="363"/>
        <v>UN</v>
      </c>
      <c r="D9416" s="7">
        <v>901</v>
      </c>
      <c r="E9416" s="3">
        <v>11</v>
      </c>
      <c r="F9416" s="2">
        <v>1</v>
      </c>
      <c r="G9416" t="s">
        <v>514</v>
      </c>
    </row>
    <row r="9417" spans="1:7" x14ac:dyDescent="0.25">
      <c r="A9417" s="1" t="str">
        <f>"525179"</f>
        <v>525179</v>
      </c>
      <c r="B9417" s="8" t="s">
        <v>438</v>
      </c>
      <c r="C9417" s="2" t="str">
        <f t="shared" si="363"/>
        <v>UN</v>
      </c>
      <c r="D9417" s="7">
        <v>901</v>
      </c>
      <c r="E9417" s="3">
        <v>11</v>
      </c>
      <c r="F9417" s="2">
        <v>2</v>
      </c>
      <c r="G9417" t="s">
        <v>514</v>
      </c>
    </row>
    <row r="9418" spans="1:7" x14ac:dyDescent="0.25">
      <c r="A9418" s="1" t="str">
        <f>"518069"</f>
        <v>518069</v>
      </c>
      <c r="B9418" s="2" t="str">
        <f>"EIXO E ROLO BORRACHA INFERIOR SUBIDA FILME 97MM"</f>
        <v>EIXO E ROLO BORRACHA INFERIOR SUBIDA FILME 97MM</v>
      </c>
      <c r="C9418" s="2" t="str">
        <f t="shared" si="363"/>
        <v>UN</v>
      </c>
      <c r="D9418" s="7">
        <v>918</v>
      </c>
      <c r="E9418" s="3">
        <v>11</v>
      </c>
      <c r="F9418" s="2">
        <v>7</v>
      </c>
      <c r="G9418" t="s">
        <v>514</v>
      </c>
    </row>
    <row r="9419" spans="1:7" x14ac:dyDescent="0.25">
      <c r="A9419" s="1" t="str">
        <f>"518068"</f>
        <v>518068</v>
      </c>
      <c r="B9419" s="2" t="str">
        <f>"EIXO E ROLO BORRACHA SUPERIOR SUBIDA FILME 100MM"</f>
        <v>EIXO E ROLO BORRACHA SUPERIOR SUBIDA FILME 100MM</v>
      </c>
      <c r="C9419" s="2" t="str">
        <f t="shared" si="363"/>
        <v>UN</v>
      </c>
      <c r="D9419" s="7">
        <v>918</v>
      </c>
      <c r="E9419" s="3">
        <v>11</v>
      </c>
      <c r="F9419" s="2">
        <v>9</v>
      </c>
      <c r="G9419" t="s">
        <v>513</v>
      </c>
    </row>
    <row r="9420" spans="1:7" x14ac:dyDescent="0.25">
      <c r="A9420" s="1" t="str">
        <f>"503460"</f>
        <v>503460</v>
      </c>
      <c r="B9420" s="2" t="str">
        <f>"EIXO ENGRE ESTICA DES.52612 COD.202218-3"</f>
        <v>EIXO ENGRE ESTICA DES.52612 COD.202218-3</v>
      </c>
      <c r="C9420" s="2" t="str">
        <f t="shared" si="363"/>
        <v>UN</v>
      </c>
      <c r="D9420" s="7">
        <v>918</v>
      </c>
      <c r="E9420" s="3">
        <v>11</v>
      </c>
      <c r="F9420" s="2">
        <v>0</v>
      </c>
      <c r="G9420" t="s">
        <v>513</v>
      </c>
    </row>
    <row r="9421" spans="1:7" x14ac:dyDescent="0.25">
      <c r="A9421" s="1" t="str">
        <f>"519811"</f>
        <v>519811</v>
      </c>
      <c r="B9421" s="2" t="str">
        <f>"EIXO ENGRENAGEM"</f>
        <v>EIXO ENGRENAGEM</v>
      </c>
      <c r="C9421" s="2" t="str">
        <f t="shared" si="363"/>
        <v>UN</v>
      </c>
      <c r="D9421" s="7">
        <v>918</v>
      </c>
      <c r="E9421" s="3">
        <v>11</v>
      </c>
      <c r="F9421" s="2">
        <v>0</v>
      </c>
      <c r="G9421" t="s">
        <v>513</v>
      </c>
    </row>
    <row r="9422" spans="1:7" x14ac:dyDescent="0.25">
      <c r="A9422" s="1" t="str">
        <f>"519590"</f>
        <v>519590</v>
      </c>
      <c r="B9422" s="2" t="str">
        <f>"EIXO ESTEIRA MAQ SAQUINHO (MAIOR)"</f>
        <v>EIXO ESTEIRA MAQ SAQUINHO (MAIOR)</v>
      </c>
      <c r="C9422" s="2" t="str">
        <f t="shared" si="363"/>
        <v>UN</v>
      </c>
      <c r="D9422" s="7">
        <v>918</v>
      </c>
      <c r="E9422" s="3">
        <v>11</v>
      </c>
      <c r="F9422" s="2">
        <v>2</v>
      </c>
      <c r="G9422" t="s">
        <v>512</v>
      </c>
    </row>
    <row r="9423" spans="1:7" x14ac:dyDescent="0.25">
      <c r="A9423" s="1" t="str">
        <f>"519591"</f>
        <v>519591</v>
      </c>
      <c r="B9423" s="2" t="str">
        <f>"EIXO ESTEIRA MAQ SAQUINHO (MENOR)"</f>
        <v>EIXO ESTEIRA MAQ SAQUINHO (MENOR)</v>
      </c>
      <c r="C9423" s="2" t="str">
        <f t="shared" si="363"/>
        <v>UN</v>
      </c>
      <c r="D9423" s="7">
        <v>918</v>
      </c>
      <c r="E9423" s="3">
        <v>11</v>
      </c>
      <c r="F9423" s="2">
        <v>5</v>
      </c>
      <c r="G9423" t="s">
        <v>513</v>
      </c>
    </row>
    <row r="9424" spans="1:7" x14ac:dyDescent="0.25">
      <c r="A9424" s="1" t="str">
        <f>"524970"</f>
        <v>524970</v>
      </c>
      <c r="B9424" s="2" t="str">
        <f>"EIXO EXPANSIVO C-66258"</f>
        <v>EIXO EXPANSIVO C-66258</v>
      </c>
      <c r="C9424" s="2" t="str">
        <f t="shared" si="363"/>
        <v>UN</v>
      </c>
      <c r="D9424" s="7">
        <v>811</v>
      </c>
      <c r="E9424" s="3">
        <v>11</v>
      </c>
      <c r="F9424" s="2">
        <v>0</v>
      </c>
      <c r="G9424" t="s">
        <v>514</v>
      </c>
    </row>
    <row r="9425" spans="1:7" x14ac:dyDescent="0.25">
      <c r="A9425" s="1" t="str">
        <f>"519176"</f>
        <v>519176</v>
      </c>
      <c r="B9425" s="2" t="str">
        <f>"EIXO EXPANSIVO EM ALUMINIO DINI 550"</f>
        <v>EIXO EXPANSIVO EM ALUMINIO DINI 550</v>
      </c>
      <c r="C9425" s="2" t="str">
        <f t="shared" si="363"/>
        <v>UN</v>
      </c>
      <c r="D9425" s="7">
        <v>918</v>
      </c>
      <c r="E9425" s="3">
        <v>11</v>
      </c>
      <c r="F9425" s="2">
        <v>2</v>
      </c>
      <c r="G9425" t="s">
        <v>515</v>
      </c>
    </row>
    <row r="9426" spans="1:7" x14ac:dyDescent="0.25">
      <c r="A9426" s="1" t="str">
        <f>"518304"</f>
        <v>518304</v>
      </c>
      <c r="B9426" s="2" t="str">
        <f>"EIXO FESTO MFH-5-1/4"</f>
        <v>EIXO FESTO MFH-5-1/4</v>
      </c>
      <c r="C9426" s="2" t="str">
        <f t="shared" si="363"/>
        <v>UN</v>
      </c>
      <c r="D9426" s="7">
        <v>913</v>
      </c>
      <c r="E9426" s="3">
        <v>11</v>
      </c>
      <c r="F9426" s="2">
        <v>5</v>
      </c>
      <c r="G9426" t="s">
        <v>512</v>
      </c>
    </row>
    <row r="9427" spans="1:7" x14ac:dyDescent="0.25">
      <c r="A9427" s="1" t="str">
        <f>"504881"</f>
        <v>504881</v>
      </c>
      <c r="B9427" s="2" t="str">
        <f>"EIXO GUIA CARRO DES.37191 COD.134935-3"</f>
        <v>EIXO GUIA CARRO DES.37191 COD.134935-3</v>
      </c>
      <c r="C9427" s="2" t="str">
        <f t="shared" si="363"/>
        <v>UN</v>
      </c>
      <c r="D9427" s="7">
        <v>918</v>
      </c>
      <c r="E9427" s="3">
        <v>11</v>
      </c>
      <c r="F9427" s="5">
        <v>5</v>
      </c>
      <c r="G9427" t="s">
        <v>516</v>
      </c>
    </row>
    <row r="9428" spans="1:7" x14ac:dyDescent="0.25">
      <c r="A9428" s="1" t="str">
        <f>"526643"</f>
        <v>526643</v>
      </c>
      <c r="B9428" s="2" t="str">
        <f>"EIXO GUIA FIXA"</f>
        <v>EIXO GUIA FIXA</v>
      </c>
      <c r="C9428" s="2" t="str">
        <f t="shared" si="363"/>
        <v>UN</v>
      </c>
      <c r="D9428" s="7">
        <v>918</v>
      </c>
      <c r="E9428" s="3">
        <v>11</v>
      </c>
      <c r="F9428" s="2">
        <v>3</v>
      </c>
      <c r="G9428" t="s">
        <v>515</v>
      </c>
    </row>
    <row r="9429" spans="1:7" x14ac:dyDescent="0.25">
      <c r="A9429" s="1" t="str">
        <f>"519808"</f>
        <v>519808</v>
      </c>
      <c r="B9429" s="8" t="s">
        <v>120</v>
      </c>
      <c r="C9429" s="2" t="str">
        <f t="shared" si="363"/>
        <v>UN</v>
      </c>
      <c r="D9429" s="7">
        <v>918</v>
      </c>
      <c r="E9429" s="3">
        <v>11</v>
      </c>
      <c r="F9429" s="2">
        <v>8</v>
      </c>
      <c r="G9429" t="s">
        <v>514</v>
      </c>
    </row>
    <row r="9430" spans="1:7" x14ac:dyDescent="0.25">
      <c r="A9430" s="1" t="str">
        <f>"523788"</f>
        <v>523788</v>
      </c>
      <c r="B9430" s="2" t="str">
        <f>"EIXO INOX"</f>
        <v>EIXO INOX</v>
      </c>
      <c r="C9430" s="2" t="str">
        <f t="shared" si="363"/>
        <v>UN</v>
      </c>
      <c r="D9430" s="7">
        <v>99999</v>
      </c>
      <c r="E9430" s="3">
        <v>99</v>
      </c>
      <c r="F9430" s="2">
        <v>6</v>
      </c>
      <c r="G9430" t="s">
        <v>512</v>
      </c>
    </row>
    <row r="9431" spans="1:7" x14ac:dyDescent="0.25">
      <c r="A9431" s="1" t="str">
        <f>"527139"</f>
        <v>527139</v>
      </c>
      <c r="B9431" s="2" t="str">
        <f>"EIXO JUMELO"</f>
        <v>EIXO JUMELO</v>
      </c>
      <c r="C9431" s="2" t="str">
        <f t="shared" si="363"/>
        <v>UN</v>
      </c>
      <c r="D9431" s="7">
        <v>917</v>
      </c>
      <c r="E9431" s="3">
        <v>11</v>
      </c>
      <c r="F9431" s="2">
        <v>4</v>
      </c>
      <c r="G9431" t="s">
        <v>513</v>
      </c>
    </row>
    <row r="9432" spans="1:7" x14ac:dyDescent="0.25">
      <c r="A9432" s="1" t="str">
        <f>"518019"</f>
        <v>518019</v>
      </c>
      <c r="B9432" s="2" t="str">
        <f>"EIXO KSB MEGACHEM SAE 1045 A50 PARAFUSO 201028747"</f>
        <v>EIXO KSB MEGACHEM SAE 1045 A50 PARAFUSO 201028747</v>
      </c>
      <c r="C9432" s="2" t="str">
        <f t="shared" si="363"/>
        <v>UN</v>
      </c>
      <c r="D9432" s="7">
        <v>1400</v>
      </c>
      <c r="E9432" s="3">
        <v>11</v>
      </c>
      <c r="F9432" s="2">
        <v>1</v>
      </c>
      <c r="G9432" t="s">
        <v>514</v>
      </c>
    </row>
    <row r="9433" spans="1:7" x14ac:dyDescent="0.25">
      <c r="A9433" s="1" t="str">
        <f>"526642"</f>
        <v>526642</v>
      </c>
      <c r="B9433" s="2" t="str">
        <f>"EIXO LATERAL DO GARFO"</f>
        <v>EIXO LATERAL DO GARFO</v>
      </c>
      <c r="C9433" s="2" t="str">
        <f t="shared" si="363"/>
        <v>UN</v>
      </c>
      <c r="D9433" s="7">
        <v>918</v>
      </c>
      <c r="E9433" s="3">
        <v>11</v>
      </c>
      <c r="F9433" s="2">
        <v>2</v>
      </c>
      <c r="G9433" t="s">
        <v>514</v>
      </c>
    </row>
    <row r="9434" spans="1:7" x14ac:dyDescent="0.25">
      <c r="A9434" s="1" t="str">
        <f>"511684"</f>
        <v>511684</v>
      </c>
      <c r="B9434" s="2" t="str">
        <f>"EIXO LIG B NMO53B-H(P) REF. NDB.4959756"</f>
        <v>EIXO LIG B NMO53B-H(P) REF. NDB.4959756</v>
      </c>
      <c r="C9434" s="2" t="str">
        <f t="shared" si="363"/>
        <v>UN</v>
      </c>
      <c r="D9434" s="7">
        <v>918</v>
      </c>
      <c r="E9434" s="3">
        <v>11</v>
      </c>
      <c r="F9434" s="2">
        <v>7</v>
      </c>
      <c r="G9434" t="s">
        <v>512</v>
      </c>
    </row>
    <row r="9435" spans="1:7" x14ac:dyDescent="0.25">
      <c r="A9435" s="1" t="str">
        <f>"508015"</f>
        <v>508015</v>
      </c>
      <c r="B9435" s="2" t="str">
        <f>"EIXO LIG B NMO90 NDB4961286"</f>
        <v>EIXO LIG B NMO90 NDB4961286</v>
      </c>
      <c r="C9435" s="2" t="str">
        <f t="shared" si="363"/>
        <v>UN</v>
      </c>
      <c r="D9435" s="7">
        <v>918</v>
      </c>
      <c r="E9435" s="3">
        <v>11</v>
      </c>
      <c r="F9435" s="2">
        <v>9</v>
      </c>
      <c r="G9435" t="s">
        <v>513</v>
      </c>
    </row>
    <row r="9436" spans="1:7" x14ac:dyDescent="0.25">
      <c r="A9436" s="1" t="str">
        <f>"519680"</f>
        <v>519680</v>
      </c>
      <c r="B9436" s="2" t="str">
        <f>"EIXO MAQUINA 5000"</f>
        <v>EIXO MAQUINA 5000</v>
      </c>
      <c r="C9436" s="2" t="str">
        <f t="shared" si="363"/>
        <v>UN</v>
      </c>
      <c r="D9436" s="7">
        <v>918</v>
      </c>
      <c r="E9436" s="3">
        <v>11</v>
      </c>
      <c r="F9436" s="2">
        <v>0</v>
      </c>
      <c r="G9436" t="s">
        <v>514</v>
      </c>
    </row>
    <row r="9437" spans="1:7" x14ac:dyDescent="0.25">
      <c r="A9437" s="1" t="str">
        <f>"519521"</f>
        <v>519521</v>
      </c>
      <c r="B9437" s="2" t="str">
        <f>"EIXO MC1 60/21 13Z (105290)"</f>
        <v>EIXO MC1 60/21 13Z (105290)</v>
      </c>
      <c r="C9437" s="2" t="str">
        <f t="shared" si="363"/>
        <v>UN</v>
      </c>
      <c r="D9437" s="7">
        <v>812</v>
      </c>
      <c r="E9437" s="3">
        <v>11</v>
      </c>
      <c r="F9437" s="2">
        <v>0</v>
      </c>
      <c r="G9437" t="s">
        <v>514</v>
      </c>
    </row>
    <row r="9438" spans="1:7" x14ac:dyDescent="0.25">
      <c r="A9438" s="1" t="str">
        <f>"503463"</f>
        <v>503463</v>
      </c>
      <c r="B9438" s="2" t="str">
        <f>"EIXO MESA PORTA COPO D.32166 COD184707-3"</f>
        <v>EIXO MESA PORTA COPO D.32166 COD184707-3</v>
      </c>
      <c r="C9438" s="2" t="str">
        <f t="shared" si="363"/>
        <v>UN</v>
      </c>
      <c r="D9438" s="7">
        <v>918</v>
      </c>
      <c r="E9438" s="3">
        <v>11</v>
      </c>
      <c r="F9438" s="2">
        <v>2</v>
      </c>
      <c r="G9438" t="s">
        <v>514</v>
      </c>
    </row>
    <row r="9439" spans="1:7" x14ac:dyDescent="0.25">
      <c r="A9439" s="1" t="str">
        <f>"507145"</f>
        <v>507145</v>
      </c>
      <c r="B9439" s="2" t="str">
        <f>"EIXO P/ CARRETEL COD. 05.3120.069.50"</f>
        <v>EIXO P/ CARRETEL COD. 05.3120.069.50</v>
      </c>
      <c r="C9439" s="2" t="str">
        <f t="shared" si="363"/>
        <v>UN</v>
      </c>
      <c r="D9439" s="7">
        <v>918</v>
      </c>
      <c r="E9439" s="3">
        <v>11</v>
      </c>
      <c r="F9439" s="2">
        <v>5</v>
      </c>
      <c r="G9439" t="s">
        <v>513</v>
      </c>
    </row>
    <row r="9440" spans="1:7" x14ac:dyDescent="0.25">
      <c r="A9440" s="1" t="str">
        <f>"507128"</f>
        <v>507128</v>
      </c>
      <c r="B9440" s="2" t="str">
        <f>"EIXO P/ CONTRA RECUO COD 05.3120.035.50"</f>
        <v>EIXO P/ CONTRA RECUO COD 05.3120.035.50</v>
      </c>
      <c r="C9440" s="2" t="str">
        <f t="shared" si="363"/>
        <v>UN</v>
      </c>
      <c r="D9440" s="7">
        <v>918</v>
      </c>
      <c r="E9440" s="3">
        <v>11</v>
      </c>
      <c r="F9440" s="2">
        <v>6</v>
      </c>
      <c r="G9440" t="s">
        <v>512</v>
      </c>
    </row>
    <row r="9441" spans="1:7" x14ac:dyDescent="0.25">
      <c r="A9441" s="1" t="str">
        <f>"512480"</f>
        <v>512480</v>
      </c>
      <c r="B9441" s="2" t="str">
        <f>"EIXO P/ GRAFILADOS"</f>
        <v>EIXO P/ GRAFILADOS</v>
      </c>
      <c r="C9441" s="2" t="str">
        <f t="shared" si="363"/>
        <v>UN</v>
      </c>
      <c r="D9441" s="7">
        <v>918</v>
      </c>
      <c r="E9441" s="3">
        <v>11</v>
      </c>
      <c r="F9441" s="2">
        <v>9</v>
      </c>
      <c r="G9441" t="s">
        <v>513</v>
      </c>
    </row>
    <row r="9442" spans="1:7" x14ac:dyDescent="0.25">
      <c r="A9442" s="1" t="str">
        <f>"509031"</f>
        <v>509031</v>
      </c>
      <c r="B9442" s="2" t="str">
        <f>"EIXO PARA ROLO 05.3120.013.050"</f>
        <v>EIXO PARA ROLO 05.3120.013.050</v>
      </c>
      <c r="C9442" s="2" t="str">
        <f t="shared" si="363"/>
        <v>UN</v>
      </c>
      <c r="D9442" s="7">
        <v>918</v>
      </c>
      <c r="E9442" s="3">
        <v>11</v>
      </c>
      <c r="F9442" s="2">
        <v>5</v>
      </c>
      <c r="G9442" t="s">
        <v>514</v>
      </c>
    </row>
    <row r="9443" spans="1:7" x14ac:dyDescent="0.25">
      <c r="A9443" s="1" t="str">
        <f>"507123"</f>
        <v>507123</v>
      </c>
      <c r="B9443" s="2" t="str">
        <f>"EIXO PARA ROLOS COD. 05.3120.013.50"</f>
        <v>EIXO PARA ROLOS COD. 05.3120.013.50</v>
      </c>
      <c r="C9443" s="2" t="str">
        <f t="shared" si="363"/>
        <v>UN</v>
      </c>
      <c r="D9443" s="7">
        <v>918</v>
      </c>
      <c r="E9443" s="3">
        <v>11</v>
      </c>
      <c r="F9443" s="2">
        <v>3</v>
      </c>
      <c r="G9443" t="s">
        <v>514</v>
      </c>
    </row>
    <row r="9444" spans="1:7" x14ac:dyDescent="0.25">
      <c r="A9444" s="1" t="str">
        <f>"518595"</f>
        <v>518595</v>
      </c>
      <c r="B9444" s="8" t="s">
        <v>100</v>
      </c>
      <c r="C9444" s="2" t="str">
        <f t="shared" ref="C9444:C9470" si="364">"UN"</f>
        <v>UN</v>
      </c>
      <c r="D9444" s="7">
        <v>918</v>
      </c>
      <c r="E9444" s="3">
        <v>11</v>
      </c>
      <c r="F9444" s="2">
        <v>3</v>
      </c>
      <c r="G9444" t="s">
        <v>514</v>
      </c>
    </row>
    <row r="9445" spans="1:7" x14ac:dyDescent="0.25">
      <c r="A9445" s="1" t="str">
        <f>"515554"</f>
        <v>515554</v>
      </c>
      <c r="B9445" s="2" t="str">
        <f>"EIXO PROLONGADOR"</f>
        <v>EIXO PROLONGADOR</v>
      </c>
      <c r="C9445" s="2" t="str">
        <f t="shared" si="364"/>
        <v>UN</v>
      </c>
      <c r="D9445" s="7">
        <v>811</v>
      </c>
      <c r="E9445" s="3">
        <v>8</v>
      </c>
      <c r="F9445" s="2">
        <v>2</v>
      </c>
      <c r="G9445" t="s">
        <v>513</v>
      </c>
    </row>
    <row r="9446" spans="1:7" x14ac:dyDescent="0.25">
      <c r="A9446" s="1" t="str">
        <f>"520977"</f>
        <v>520977</v>
      </c>
      <c r="B9446" s="2" t="str">
        <f>"EIXO PROLONGADOR 365MM 3VT9300-3HJ10"</f>
        <v>EIXO PROLONGADOR 365MM 3VT9300-3HJ10</v>
      </c>
      <c r="C9446" s="2" t="str">
        <f t="shared" si="364"/>
        <v>UN</v>
      </c>
      <c r="D9446" s="7">
        <v>900</v>
      </c>
      <c r="E9446" s="3">
        <v>8</v>
      </c>
      <c r="F9446" s="2">
        <v>1</v>
      </c>
      <c r="G9446" t="s">
        <v>513</v>
      </c>
    </row>
    <row r="9447" spans="1:7" x14ac:dyDescent="0.25">
      <c r="A9447" s="1" t="str">
        <f>"519586"</f>
        <v>519586</v>
      </c>
      <c r="B9447" s="2" t="str">
        <f>"EIXO QUADRADO INOX (MAIOR)"</f>
        <v>EIXO QUADRADO INOX (MAIOR)</v>
      </c>
      <c r="C9447" s="2" t="str">
        <f t="shared" si="364"/>
        <v>UN</v>
      </c>
      <c r="D9447" s="7">
        <v>918</v>
      </c>
      <c r="E9447" s="3">
        <v>11</v>
      </c>
      <c r="F9447" s="2">
        <v>4</v>
      </c>
      <c r="G9447" t="s">
        <v>513</v>
      </c>
    </row>
    <row r="9448" spans="1:7" x14ac:dyDescent="0.25">
      <c r="A9448" s="1" t="str">
        <f>"519587"</f>
        <v>519587</v>
      </c>
      <c r="B9448" s="2" t="str">
        <f>"EIXO QUADRADO INOX (MENOR)"</f>
        <v>EIXO QUADRADO INOX (MENOR)</v>
      </c>
      <c r="C9448" s="2" t="str">
        <f t="shared" si="364"/>
        <v>UN</v>
      </c>
      <c r="D9448" s="7">
        <v>918</v>
      </c>
      <c r="E9448" s="3">
        <v>11</v>
      </c>
      <c r="F9448" s="2">
        <v>6</v>
      </c>
      <c r="G9448" t="s">
        <v>512</v>
      </c>
    </row>
    <row r="9449" spans="1:7" x14ac:dyDescent="0.25">
      <c r="A9449" s="1" t="str">
        <f>"519846"</f>
        <v>519846</v>
      </c>
      <c r="B9449" s="2" t="str">
        <f>"EIXO QUADRADO INOX MAQUINA BIBIBITS"</f>
        <v>EIXO QUADRADO INOX MAQUINA BIBIBITS</v>
      </c>
      <c r="C9449" s="2" t="str">
        <f t="shared" si="364"/>
        <v>UN</v>
      </c>
      <c r="D9449" s="7">
        <v>918</v>
      </c>
      <c r="E9449" s="3">
        <v>11</v>
      </c>
      <c r="F9449" s="2">
        <v>8</v>
      </c>
      <c r="G9449" t="s">
        <v>513</v>
      </c>
    </row>
    <row r="9450" spans="1:7" x14ac:dyDescent="0.25">
      <c r="A9450" s="1" t="str">
        <f>"527247"</f>
        <v>527247</v>
      </c>
      <c r="B9450" s="2" t="str">
        <f>"EIXO QUADRADO PARA ESTEIRA"</f>
        <v>EIXO QUADRADO PARA ESTEIRA</v>
      </c>
      <c r="C9450" s="2" t="str">
        <f t="shared" si="364"/>
        <v>UN</v>
      </c>
      <c r="D9450" s="7">
        <v>918</v>
      </c>
      <c r="E9450" s="3">
        <v>11</v>
      </c>
      <c r="F9450" s="2">
        <v>7</v>
      </c>
      <c r="G9450" t="s">
        <v>514</v>
      </c>
    </row>
    <row r="9451" spans="1:7" x14ac:dyDescent="0.25">
      <c r="A9451" s="1" t="str">
        <f>"518107"</f>
        <v>518107</v>
      </c>
      <c r="B9451" s="2" t="str">
        <f>"EIXO REPOSIÇÃO BRASKOP 5000"</f>
        <v>EIXO REPOSIÇÃO BRASKOP 5000</v>
      </c>
      <c r="C9451" s="2" t="str">
        <f t="shared" si="364"/>
        <v>UN</v>
      </c>
      <c r="D9451" s="7">
        <v>918</v>
      </c>
      <c r="E9451" s="3">
        <v>11</v>
      </c>
      <c r="F9451" s="2">
        <v>6</v>
      </c>
      <c r="G9451" t="s">
        <v>515</v>
      </c>
    </row>
    <row r="9452" spans="1:7" x14ac:dyDescent="0.25">
      <c r="A9452" s="1" t="str">
        <f>"509081"</f>
        <v>509081</v>
      </c>
      <c r="B9452" s="2" t="str">
        <f>"EIXO RODA DUPLA EVOLUT.008000502 03/2008"</f>
        <v>EIXO RODA DUPLA EVOLUT.008000502 03/2008</v>
      </c>
      <c r="C9452" s="2" t="str">
        <f t="shared" si="364"/>
        <v>UN</v>
      </c>
      <c r="D9452" s="7">
        <v>918</v>
      </c>
      <c r="E9452" s="3">
        <v>11</v>
      </c>
      <c r="F9452" s="2">
        <v>6</v>
      </c>
      <c r="G9452" t="s">
        <v>512</v>
      </c>
    </row>
    <row r="9453" spans="1:7" x14ac:dyDescent="0.25">
      <c r="A9453" s="1" t="str">
        <f>"505223"</f>
        <v>505223</v>
      </c>
      <c r="B9453" s="2" t="str">
        <f>"EIXO RODOAR 60CM"</f>
        <v>EIXO RODOAR 60CM</v>
      </c>
      <c r="C9453" s="2" t="str">
        <f t="shared" si="364"/>
        <v>UN</v>
      </c>
      <c r="D9453" s="7">
        <v>704</v>
      </c>
      <c r="E9453" s="3">
        <v>9</v>
      </c>
      <c r="F9453" s="2">
        <v>2</v>
      </c>
      <c r="G9453" t="s">
        <v>516</v>
      </c>
    </row>
    <row r="9454" spans="1:7" x14ac:dyDescent="0.25">
      <c r="A9454" s="1" t="str">
        <f>"509025"</f>
        <v>509025</v>
      </c>
      <c r="B9454" s="2" t="str">
        <f>"EIXO ROLETE 05.3121.067.00"</f>
        <v>EIXO ROLETE 05.3121.067.00</v>
      </c>
      <c r="C9454" s="2" t="str">
        <f t="shared" si="364"/>
        <v>UN</v>
      </c>
      <c r="D9454" s="7">
        <v>918</v>
      </c>
      <c r="E9454" s="3">
        <v>11</v>
      </c>
      <c r="F9454" s="2">
        <v>1</v>
      </c>
      <c r="G9454" t="s">
        <v>515</v>
      </c>
    </row>
    <row r="9455" spans="1:7" x14ac:dyDescent="0.25">
      <c r="A9455" s="1" t="str">
        <f>"509745"</f>
        <v>509745</v>
      </c>
      <c r="B9455" s="2" t="str">
        <f>"EIXO ROLO MOV D 48219 19132303"</f>
        <v>EIXO ROLO MOV D 48219 19132303</v>
      </c>
      <c r="C9455" s="2" t="str">
        <f t="shared" si="364"/>
        <v>UN</v>
      </c>
      <c r="D9455" s="7">
        <v>918</v>
      </c>
      <c r="E9455" s="3">
        <v>11</v>
      </c>
      <c r="F9455" s="2">
        <v>0</v>
      </c>
      <c r="G9455" t="s">
        <v>514</v>
      </c>
    </row>
    <row r="9456" spans="1:7" x14ac:dyDescent="0.25">
      <c r="A9456" s="1" t="str">
        <f>"519522"</f>
        <v>519522</v>
      </c>
      <c r="B9456" s="2" t="str">
        <f>"EIXO SAIDA Z=13 (1401)"</f>
        <v>EIXO SAIDA Z=13 (1401)</v>
      </c>
      <c r="C9456" s="2" t="str">
        <f t="shared" si="364"/>
        <v>UN</v>
      </c>
      <c r="D9456" s="7">
        <v>812</v>
      </c>
      <c r="E9456" s="3">
        <v>11</v>
      </c>
      <c r="F9456" s="2">
        <v>0</v>
      </c>
      <c r="G9456" t="s">
        <v>512</v>
      </c>
    </row>
    <row r="9457" spans="1:7" x14ac:dyDescent="0.25">
      <c r="A9457" s="1" t="str">
        <f>"524798"</f>
        <v>524798</v>
      </c>
      <c r="B9457" s="2" t="str">
        <f>"EIXO SUPORTE BOBNA"</f>
        <v>EIXO SUPORTE BOBNA</v>
      </c>
      <c r="C9457" s="2" t="str">
        <f t="shared" si="364"/>
        <v>UN</v>
      </c>
      <c r="D9457" s="7">
        <v>99999</v>
      </c>
      <c r="E9457" s="3">
        <v>99</v>
      </c>
      <c r="F9457" s="2">
        <v>0</v>
      </c>
      <c r="G9457" t="s">
        <v>513</v>
      </c>
    </row>
    <row r="9458" spans="1:7" x14ac:dyDescent="0.25">
      <c r="A9458" s="1" t="str">
        <f>"511636"</f>
        <v>511636</v>
      </c>
      <c r="B9458" s="2" t="str">
        <f>"EIXO THOMPSON"</f>
        <v>EIXO THOMPSON</v>
      </c>
      <c r="C9458" s="2" t="str">
        <f t="shared" si="364"/>
        <v>UN</v>
      </c>
      <c r="D9458" s="7">
        <v>918</v>
      </c>
      <c r="E9458" s="3">
        <v>11</v>
      </c>
      <c r="F9458" s="2">
        <v>3</v>
      </c>
      <c r="G9458" t="s">
        <v>514</v>
      </c>
    </row>
    <row r="9459" spans="1:7" x14ac:dyDescent="0.25">
      <c r="A9459" s="1" t="str">
        <f>"508003"</f>
        <v>508003</v>
      </c>
      <c r="B9459" s="2" t="str">
        <f>"EIXO TOMADA DE FORÇA TAKARADA Z-13 (1401)"</f>
        <v>EIXO TOMADA DE FORÇA TAKARADA Z-13 (1401)</v>
      </c>
      <c r="C9459" s="2" t="str">
        <f t="shared" si="364"/>
        <v>UN</v>
      </c>
      <c r="D9459" s="7">
        <v>812</v>
      </c>
      <c r="E9459" s="3">
        <v>11</v>
      </c>
      <c r="F9459" s="5">
        <v>5</v>
      </c>
      <c r="G9459" t="s">
        <v>514</v>
      </c>
    </row>
    <row r="9460" spans="1:7" x14ac:dyDescent="0.25">
      <c r="A9460" s="1" t="str">
        <f>"511853"</f>
        <v>511853</v>
      </c>
      <c r="B9460" s="2" t="str">
        <f>"EIXO TOPSON"</f>
        <v>EIXO TOPSON</v>
      </c>
      <c r="C9460" s="2" t="str">
        <f t="shared" si="364"/>
        <v>UN</v>
      </c>
      <c r="D9460" s="7">
        <v>918</v>
      </c>
      <c r="E9460" s="3">
        <v>11</v>
      </c>
      <c r="F9460" s="2">
        <v>3</v>
      </c>
      <c r="G9460" t="s">
        <v>512</v>
      </c>
    </row>
    <row r="9461" spans="1:7" x14ac:dyDescent="0.25">
      <c r="A9461" s="1" t="str">
        <f>"503734"</f>
        <v>503734</v>
      </c>
      <c r="B9461" s="2" t="str">
        <f>"EIXO TRACIONARIO DO FILME"</f>
        <v>EIXO TRACIONARIO DO FILME</v>
      </c>
      <c r="C9461" s="2" t="str">
        <f t="shared" si="364"/>
        <v>UN</v>
      </c>
      <c r="D9461" s="7">
        <v>918</v>
      </c>
      <c r="E9461" s="3">
        <v>11</v>
      </c>
      <c r="F9461" s="2">
        <v>8</v>
      </c>
      <c r="G9461" t="s">
        <v>513</v>
      </c>
    </row>
    <row r="9462" spans="1:7" x14ac:dyDescent="0.25">
      <c r="A9462" s="1" t="str">
        <f>"521542"</f>
        <v>521542</v>
      </c>
      <c r="B9462" s="2" t="str">
        <f>"EIXO TRANSMISSÃO"</f>
        <v>EIXO TRANSMISSÃO</v>
      </c>
      <c r="C9462" s="2" t="str">
        <f t="shared" si="364"/>
        <v>UN</v>
      </c>
      <c r="D9462" s="7">
        <v>99999</v>
      </c>
      <c r="E9462" s="3">
        <v>99</v>
      </c>
      <c r="F9462" s="2">
        <v>6</v>
      </c>
      <c r="G9462" t="s">
        <v>514</v>
      </c>
    </row>
    <row r="9463" spans="1:7" x14ac:dyDescent="0.25">
      <c r="A9463" s="1" t="str">
        <f>"501942"</f>
        <v>501942</v>
      </c>
      <c r="B9463" s="2" t="str">
        <f>"EIXO TRAVAM. CABINE"</f>
        <v>EIXO TRAVAM. CABINE</v>
      </c>
      <c r="C9463" s="2" t="str">
        <f t="shared" si="364"/>
        <v>UN</v>
      </c>
      <c r="D9463" s="7">
        <v>704</v>
      </c>
      <c r="E9463" s="3">
        <v>9</v>
      </c>
      <c r="F9463" s="2">
        <v>4</v>
      </c>
      <c r="G9463" t="s">
        <v>514</v>
      </c>
    </row>
    <row r="9464" spans="1:7" x14ac:dyDescent="0.25">
      <c r="A9464" s="1" t="str">
        <f>"521183"</f>
        <v>521183</v>
      </c>
      <c r="B9464" s="2" t="str">
        <f>"EIXO VAZADO C/ COROA M04-1507M50408540"</f>
        <v>EIXO VAZADO C/ COROA M04-1507M50408540</v>
      </c>
      <c r="C9464" s="2" t="str">
        <f t="shared" si="364"/>
        <v>UN</v>
      </c>
      <c r="D9464" s="7">
        <v>918</v>
      </c>
      <c r="E9464" s="3">
        <v>11</v>
      </c>
      <c r="F9464" s="2">
        <v>1</v>
      </c>
      <c r="G9464" t="s">
        <v>514</v>
      </c>
    </row>
    <row r="9465" spans="1:7" x14ac:dyDescent="0.25">
      <c r="A9465" s="1" t="str">
        <f>"506169"</f>
        <v>506169</v>
      </c>
      <c r="B9465" s="2" t="str">
        <f>"EJETOR COMPLETO DA MITRI APLICADOR AUTO."</f>
        <v>EJETOR COMPLETO DA MITRI APLICADOR AUTO.</v>
      </c>
      <c r="C9465" s="2" t="str">
        <f t="shared" si="364"/>
        <v>UN</v>
      </c>
      <c r="D9465" s="7">
        <v>918</v>
      </c>
      <c r="E9465" s="3">
        <v>11</v>
      </c>
      <c r="F9465" s="2">
        <v>2</v>
      </c>
      <c r="G9465" t="s">
        <v>513</v>
      </c>
    </row>
    <row r="9466" spans="1:7" x14ac:dyDescent="0.25">
      <c r="A9466" s="1" t="str">
        <f>"511077"</f>
        <v>511077</v>
      </c>
      <c r="B9466" s="2" t="str">
        <f>"EJETOR OLEO LUBRIFICANTE"</f>
        <v>EJETOR OLEO LUBRIFICANTE</v>
      </c>
      <c r="C9466" s="2" t="str">
        <f t="shared" si="364"/>
        <v>UN</v>
      </c>
      <c r="D9466" s="7">
        <v>704</v>
      </c>
      <c r="E9466" s="3">
        <v>9</v>
      </c>
      <c r="F9466" s="2">
        <v>7</v>
      </c>
      <c r="G9466" t="s">
        <v>512</v>
      </c>
    </row>
    <row r="9467" spans="1:7" x14ac:dyDescent="0.25">
      <c r="A9467" s="1" t="str">
        <f>"513876"</f>
        <v>513876</v>
      </c>
      <c r="B9467" s="2" t="str">
        <f>"EKO DAY (LIMPEZA ALCALINA)"</f>
        <v>EKO DAY (LIMPEZA ALCALINA)</v>
      </c>
      <c r="C9467" s="2" t="str">
        <f t="shared" si="364"/>
        <v>UN</v>
      </c>
      <c r="D9467" s="7">
        <v>406</v>
      </c>
      <c r="E9467" s="3">
        <v>4</v>
      </c>
      <c r="F9467" s="2">
        <v>9</v>
      </c>
      <c r="G9467" t="s">
        <v>513</v>
      </c>
    </row>
    <row r="9468" spans="1:7" x14ac:dyDescent="0.25">
      <c r="A9468" s="1" t="str">
        <f>"514420"</f>
        <v>514420</v>
      </c>
      <c r="B9468" s="2" t="str">
        <f>"EKO WEEK - LIMPEZA SEMANAL"</f>
        <v>EKO WEEK - LIMPEZA SEMANAL</v>
      </c>
      <c r="C9468" s="2" t="str">
        <f t="shared" si="364"/>
        <v>UN</v>
      </c>
      <c r="D9468" s="7">
        <v>406</v>
      </c>
      <c r="E9468" s="3">
        <v>4</v>
      </c>
      <c r="F9468" s="2">
        <v>0</v>
      </c>
      <c r="G9468" t="s">
        <v>514</v>
      </c>
    </row>
    <row r="9469" spans="1:7" x14ac:dyDescent="0.25">
      <c r="A9469" s="1" t="str">
        <f>"514534"</f>
        <v>514534</v>
      </c>
      <c r="B9469" s="2" t="str">
        <f>"EKOMILK M ANALISADOR LEITE ULTRASONICO CAP-LAB 2461"</f>
        <v>EKOMILK M ANALISADOR LEITE ULTRASONICO CAP-LAB 2461</v>
      </c>
      <c r="C9469" s="2" t="str">
        <f t="shared" si="364"/>
        <v>UN</v>
      </c>
      <c r="D9469" s="7">
        <v>1300</v>
      </c>
      <c r="E9469" s="3">
        <v>13</v>
      </c>
      <c r="F9469" s="2">
        <v>0</v>
      </c>
      <c r="G9469" t="s">
        <v>514</v>
      </c>
    </row>
    <row r="9470" spans="1:7" x14ac:dyDescent="0.25">
      <c r="A9470" s="1" t="str">
        <f>"521318"</f>
        <v>521318</v>
      </c>
      <c r="B9470" s="2" t="str">
        <f>"EKOMILK TOTAL CAP-LAB 20607"</f>
        <v>EKOMILK TOTAL CAP-LAB 20607</v>
      </c>
      <c r="C9470" s="2" t="str">
        <f t="shared" si="364"/>
        <v>UN</v>
      </c>
      <c r="D9470" s="7">
        <v>1300</v>
      </c>
      <c r="E9470" s="3">
        <v>13</v>
      </c>
      <c r="F9470" s="2">
        <v>2</v>
      </c>
      <c r="G9470" t="s">
        <v>514</v>
      </c>
    </row>
    <row r="9471" spans="1:7" x14ac:dyDescent="0.25">
      <c r="A9471" s="1" t="str">
        <f>"503677"</f>
        <v>503677</v>
      </c>
      <c r="B9471" s="2" t="str">
        <f>"ELAB 16-12 P/ MANGUEIRA HIDR"</f>
        <v>ELAB 16-12 P/ MANGUEIRA HIDR</v>
      </c>
      <c r="C9471" s="2" t="str">
        <f>"MT"</f>
        <v>MT</v>
      </c>
      <c r="D9471" s="7">
        <v>810</v>
      </c>
      <c r="E9471" s="3">
        <v>10</v>
      </c>
      <c r="F9471" s="2">
        <v>5</v>
      </c>
      <c r="G9471" t="s">
        <v>513</v>
      </c>
    </row>
    <row r="9472" spans="1:7" x14ac:dyDescent="0.25">
      <c r="A9472" s="1" t="str">
        <f>"523036"</f>
        <v>523036</v>
      </c>
      <c r="B9472" s="2" t="str">
        <f>"ELASTICO"</f>
        <v>ELASTICO</v>
      </c>
      <c r="C9472" s="2" t="str">
        <f>"UN"</f>
        <v>UN</v>
      </c>
      <c r="D9472" s="7">
        <v>99999</v>
      </c>
      <c r="E9472" s="3">
        <v>99</v>
      </c>
      <c r="F9472" s="2">
        <v>6</v>
      </c>
      <c r="G9472" t="s">
        <v>513</v>
      </c>
    </row>
    <row r="9473" spans="1:7" x14ac:dyDescent="0.25">
      <c r="A9473" s="1" t="str">
        <f>"2201"</f>
        <v>2201</v>
      </c>
      <c r="B9473" s="2" t="str">
        <f>"ELASTICO 500 GRS"</f>
        <v>ELASTICO 500 GRS</v>
      </c>
      <c r="C9473" s="2" t="str">
        <f>"UN"</f>
        <v>UN</v>
      </c>
      <c r="D9473" s="7">
        <v>401</v>
      </c>
      <c r="E9473" s="3">
        <v>4</v>
      </c>
      <c r="F9473" s="2">
        <v>9</v>
      </c>
      <c r="G9473" t="s">
        <v>513</v>
      </c>
    </row>
    <row r="9474" spans="1:7" x14ac:dyDescent="0.25">
      <c r="A9474" s="1" t="str">
        <f>"523398"</f>
        <v>523398</v>
      </c>
      <c r="B9474" s="2" t="str">
        <f>"ELASTOMEROS OR FPM DN-50"</f>
        <v>ELASTOMEROS OR FPM DN-50</v>
      </c>
      <c r="C9474" s="2" t="str">
        <f>"BR"</f>
        <v>BR</v>
      </c>
      <c r="D9474" s="7">
        <v>807</v>
      </c>
      <c r="E9474" s="3">
        <v>10</v>
      </c>
      <c r="F9474" s="2">
        <v>5</v>
      </c>
      <c r="G9474" t="s">
        <v>512</v>
      </c>
    </row>
    <row r="9475" spans="1:7" x14ac:dyDescent="0.25">
      <c r="A9475" s="1" t="str">
        <f>"505059"</f>
        <v>505059</v>
      </c>
      <c r="B9475" s="2" t="str">
        <f>"ELC2 12 P/ MANGUEIRA HIDRAULICA"</f>
        <v>ELC2 12 P/ MANGUEIRA HIDRAULICA</v>
      </c>
      <c r="C9475" s="2" t="str">
        <f>"MT"</f>
        <v>MT</v>
      </c>
      <c r="D9475" s="7">
        <v>810</v>
      </c>
      <c r="E9475" s="3">
        <v>10</v>
      </c>
      <c r="F9475" s="2">
        <v>3</v>
      </c>
      <c r="G9475" t="s">
        <v>513</v>
      </c>
    </row>
    <row r="9476" spans="1:7" x14ac:dyDescent="0.25">
      <c r="A9476" s="1" t="str">
        <f>"526505"</f>
        <v>526505</v>
      </c>
      <c r="B9476" s="2" t="str">
        <f>"ELEM FILTRO COALESCER MBC-9434-01 (ESPIRALADO) 107410000164"</f>
        <v>ELEM FILTRO COALESCER MBC-9434-01 (ESPIRALADO) 107410000164</v>
      </c>
      <c r="C9476" s="2" t="str">
        <f t="shared" ref="C9476:C9483" si="365">"UN"</f>
        <v>UN</v>
      </c>
      <c r="D9476" s="7">
        <v>918</v>
      </c>
      <c r="E9476" s="3">
        <v>11</v>
      </c>
      <c r="F9476" s="2">
        <v>3</v>
      </c>
      <c r="G9476" t="s">
        <v>514</v>
      </c>
    </row>
    <row r="9477" spans="1:7" x14ac:dyDescent="0.25">
      <c r="A9477" s="1" t="str">
        <f>"526906"</f>
        <v>526906</v>
      </c>
      <c r="B9477" s="2" t="str">
        <f>"ELEM. FILTRANTE MALHA 4 1,24MM 0,5MM 100MM INTER. COMPR 469M"</f>
        <v>ELEM. FILTRANTE MALHA 4 1,24MM 0,5MM 100MM INTER. COMPR 469M</v>
      </c>
      <c r="C9477" s="2" t="str">
        <f t="shared" si="365"/>
        <v>UN</v>
      </c>
      <c r="D9477" s="7">
        <v>807</v>
      </c>
      <c r="E9477" s="3">
        <v>11</v>
      </c>
      <c r="F9477" s="2">
        <v>2</v>
      </c>
      <c r="G9477" t="s">
        <v>515</v>
      </c>
    </row>
    <row r="9478" spans="1:7" x14ac:dyDescent="0.25">
      <c r="A9478" s="1" t="str">
        <f>"526002"</f>
        <v>526002</v>
      </c>
      <c r="B9478" s="2" t="str">
        <f>"ELEM. FILTRANTE P/ FILTRO DE LINHA P860 DN50 0,3MM"</f>
        <v>ELEM. FILTRANTE P/ FILTRO DE LINHA P860 DN50 0,3MM</v>
      </c>
      <c r="C9478" s="2" t="str">
        <f t="shared" si="365"/>
        <v>UN</v>
      </c>
      <c r="D9478" s="7">
        <v>807</v>
      </c>
      <c r="E9478" s="3">
        <v>11</v>
      </c>
      <c r="F9478" s="2">
        <v>1</v>
      </c>
      <c r="G9478" t="s">
        <v>512</v>
      </c>
    </row>
    <row r="9479" spans="1:7" x14ac:dyDescent="0.25">
      <c r="A9479" s="1" t="str">
        <f>"524702"</f>
        <v>524702</v>
      </c>
      <c r="B9479" s="2" t="str">
        <f>"ELEM. FILTRANTE P/ FILTRO DE LINHA P860 DN50 0,5MM 396705"</f>
        <v>ELEM. FILTRANTE P/ FILTRO DE LINHA P860 DN50 0,5MM 396705</v>
      </c>
      <c r="C9479" s="2" t="str">
        <f t="shared" si="365"/>
        <v>UN</v>
      </c>
      <c r="D9479" s="7">
        <v>807</v>
      </c>
      <c r="E9479" s="3">
        <v>11</v>
      </c>
      <c r="F9479" s="2">
        <v>4</v>
      </c>
      <c r="G9479" t="s">
        <v>516</v>
      </c>
    </row>
    <row r="9480" spans="1:7" x14ac:dyDescent="0.25">
      <c r="A9480" s="1" t="str">
        <f>"524703"</f>
        <v>524703</v>
      </c>
      <c r="B9480" s="2" t="str">
        <f>"ELEM. FILTRANTE P/ FILTRO DE LINHA P860 DN50 1,0MM 396713"</f>
        <v>ELEM. FILTRANTE P/ FILTRO DE LINHA P860 DN50 1,0MM 396713</v>
      </c>
      <c r="C9480" s="2" t="str">
        <f t="shared" si="365"/>
        <v>UN</v>
      </c>
      <c r="D9480" s="7">
        <v>807</v>
      </c>
      <c r="E9480" s="3">
        <v>11</v>
      </c>
      <c r="F9480" s="2">
        <v>1</v>
      </c>
      <c r="G9480" t="s">
        <v>515</v>
      </c>
    </row>
    <row r="9481" spans="1:7" x14ac:dyDescent="0.25">
      <c r="A9481" s="1" t="str">
        <f>"524718"</f>
        <v>524718</v>
      </c>
      <c r="B9481" s="2" t="str">
        <f>"ELEM. FILTRANTE P/ FILTRO DE LINHA P860 DN65 1,0MM 396713"</f>
        <v>ELEM. FILTRANTE P/ FILTRO DE LINHA P860 DN65 1,0MM 396713</v>
      </c>
      <c r="C9481" s="2" t="str">
        <f t="shared" si="365"/>
        <v>UN</v>
      </c>
      <c r="D9481" s="7">
        <v>807</v>
      </c>
      <c r="E9481" s="3">
        <v>11</v>
      </c>
      <c r="F9481" s="2">
        <v>2</v>
      </c>
      <c r="G9481" t="s">
        <v>514</v>
      </c>
    </row>
    <row r="9482" spans="1:7" x14ac:dyDescent="0.25">
      <c r="A9482" s="1" t="str">
        <f>"524690"</f>
        <v>524690</v>
      </c>
      <c r="B9482" s="2" t="str">
        <f>"ELEM. FILTRANTE P/ FILTRO DE LINHA P860 DN80 0,3MM 2141109"</f>
        <v>ELEM. FILTRANTE P/ FILTRO DE LINHA P860 DN80 0,3MM 2141109</v>
      </c>
      <c r="C9482" s="2" t="str">
        <f t="shared" si="365"/>
        <v>UN</v>
      </c>
      <c r="D9482" s="7">
        <v>807</v>
      </c>
      <c r="E9482" s="3">
        <v>11</v>
      </c>
      <c r="F9482" s="2">
        <v>7</v>
      </c>
      <c r="G9482" t="s">
        <v>512</v>
      </c>
    </row>
    <row r="9483" spans="1:7" x14ac:dyDescent="0.25">
      <c r="A9483" s="1" t="str">
        <f>"526073"</f>
        <v>526073</v>
      </c>
      <c r="B9483" s="2" t="str">
        <f>"ELEM. FILTRANTE P/ FILTRO DE LINHA P860 DN80 1,0MM 0968735"</f>
        <v>ELEM. FILTRANTE P/ FILTRO DE LINHA P860 DN80 1,0MM 0968735</v>
      </c>
      <c r="C9483" s="2" t="str">
        <f t="shared" si="365"/>
        <v>UN</v>
      </c>
      <c r="D9483" s="7">
        <v>807</v>
      </c>
      <c r="E9483" s="3">
        <v>11</v>
      </c>
      <c r="F9483" s="2">
        <v>9</v>
      </c>
      <c r="G9483" t="s">
        <v>513</v>
      </c>
    </row>
    <row r="9484" spans="1:7" x14ac:dyDescent="0.25">
      <c r="A9484" s="1" t="str">
        <f>"509760"</f>
        <v>509760</v>
      </c>
      <c r="B9484" s="2" t="str">
        <f>"ELEM.FILTRA.AR 21M3/MIN COD.1613950300-J"</f>
        <v>ELEM.FILTRA.AR 21M3/MIN COD.1613950300-J</v>
      </c>
      <c r="C9484" s="2" t="str">
        <f>"PC"</f>
        <v>PC</v>
      </c>
      <c r="D9484" s="7">
        <v>902</v>
      </c>
      <c r="E9484" s="3">
        <v>11</v>
      </c>
      <c r="F9484" s="2">
        <v>0</v>
      </c>
      <c r="G9484" t="s">
        <v>514</v>
      </c>
    </row>
    <row r="9485" spans="1:7" x14ac:dyDescent="0.25">
      <c r="A9485" s="1" t="str">
        <f>"526907"</f>
        <v>526907</v>
      </c>
      <c r="B9485" s="2" t="str">
        <f>"ELEM.FILTRANTE MALHA 250 FIO 0,045 ABERT.0,056MM 100MMX469M"</f>
        <v>ELEM.FILTRANTE MALHA 250 FIO 0,045 ABERT.0,056MM 100MMX469M</v>
      </c>
      <c r="C9485" s="2" t="str">
        <f>"UN"</f>
        <v>UN</v>
      </c>
      <c r="D9485" s="7">
        <v>807</v>
      </c>
      <c r="E9485" s="3">
        <v>11</v>
      </c>
      <c r="F9485" s="2">
        <v>0</v>
      </c>
      <c r="G9485" t="s">
        <v>514</v>
      </c>
    </row>
    <row r="9486" spans="1:7" x14ac:dyDescent="0.25">
      <c r="A9486" s="1" t="str">
        <f>"505585"</f>
        <v>505585</v>
      </c>
      <c r="B9486" s="2" t="str">
        <f>"ELEMENTO"</f>
        <v>ELEMENTO</v>
      </c>
      <c r="C9486" s="2" t="str">
        <f>"UN"</f>
        <v>UN</v>
      </c>
      <c r="D9486" s="7">
        <v>704</v>
      </c>
      <c r="E9486" s="3">
        <v>9</v>
      </c>
      <c r="F9486" s="2">
        <v>4</v>
      </c>
      <c r="G9486" t="s">
        <v>512</v>
      </c>
    </row>
    <row r="9487" spans="1:7" x14ac:dyDescent="0.25">
      <c r="A9487" s="1" t="str">
        <f>"504536"</f>
        <v>504536</v>
      </c>
      <c r="B9487" s="2" t="str">
        <f>"ELEMENTO CHAPA FURO 0,1MM F-1500"</f>
        <v>ELEMENTO CHAPA FURO 0,1MM F-1500</v>
      </c>
      <c r="C9487" s="2" t="str">
        <f>"BR"</f>
        <v>BR</v>
      </c>
      <c r="D9487" s="7">
        <v>807</v>
      </c>
      <c r="E9487" s="3">
        <v>10</v>
      </c>
      <c r="F9487" s="2">
        <v>1</v>
      </c>
      <c r="G9487" t="s">
        <v>513</v>
      </c>
    </row>
    <row r="9488" spans="1:7" x14ac:dyDescent="0.25">
      <c r="A9488" s="1" t="str">
        <f>"505344"</f>
        <v>505344</v>
      </c>
      <c r="B9488" s="2" t="str">
        <f>"ELEMENTO CHAPA FURO 0,5MM F-1200 304"</f>
        <v>ELEMENTO CHAPA FURO 0,5MM F-1200 304</v>
      </c>
      <c r="C9488" s="2" t="str">
        <f>"BR"</f>
        <v>BR</v>
      </c>
      <c r="D9488" s="7">
        <v>807</v>
      </c>
      <c r="E9488" s="3">
        <v>10</v>
      </c>
      <c r="F9488" s="2">
        <v>2</v>
      </c>
      <c r="G9488" t="s">
        <v>514</v>
      </c>
    </row>
    <row r="9489" spans="1:7" x14ac:dyDescent="0.25">
      <c r="A9489" s="1" t="str">
        <f>"522095"</f>
        <v>522095</v>
      </c>
      <c r="B9489" s="2" t="str">
        <f>"ELEMENTO CHAPA FURO 0,5MM F-600 304"</f>
        <v>ELEMENTO CHAPA FURO 0,5MM F-600 304</v>
      </c>
      <c r="C9489" s="2" t="str">
        <f>"BR"</f>
        <v>BR</v>
      </c>
      <c r="D9489" s="7">
        <v>807</v>
      </c>
      <c r="E9489" s="3">
        <v>10</v>
      </c>
      <c r="F9489" s="2">
        <v>7</v>
      </c>
      <c r="G9489" t="s">
        <v>514</v>
      </c>
    </row>
    <row r="9490" spans="1:7" x14ac:dyDescent="0.25">
      <c r="A9490" s="1" t="str">
        <f>"504521"</f>
        <v>504521</v>
      </c>
      <c r="B9490" s="2" t="str">
        <f>"ELEMENTO CHAPA FURO 1,0MM F-1500 304"</f>
        <v>ELEMENTO CHAPA FURO 1,0MM F-1500 304</v>
      </c>
      <c r="C9490" s="2" t="str">
        <f>"BR"</f>
        <v>BR</v>
      </c>
      <c r="D9490" s="7">
        <v>807</v>
      </c>
      <c r="E9490" s="3">
        <v>10</v>
      </c>
      <c r="F9490" s="2">
        <v>9</v>
      </c>
      <c r="G9490" t="s">
        <v>514</v>
      </c>
    </row>
    <row r="9491" spans="1:7" x14ac:dyDescent="0.25">
      <c r="A9491" s="1" t="str">
        <f>"522087"</f>
        <v>522087</v>
      </c>
      <c r="B9491" s="2" t="str">
        <f>"ELEMENTO CHAPA PERF. FURO 0,5MM INOX 304 F-600"</f>
        <v>ELEMENTO CHAPA PERF. FURO 0,5MM INOX 304 F-600</v>
      </c>
      <c r="C9491" s="2" t="str">
        <f>"BR"</f>
        <v>BR</v>
      </c>
      <c r="D9491" s="7">
        <v>807</v>
      </c>
      <c r="E9491" s="3">
        <v>10</v>
      </c>
      <c r="F9491" s="5">
        <v>5</v>
      </c>
      <c r="G9491" t="s">
        <v>513</v>
      </c>
    </row>
    <row r="9492" spans="1:7" x14ac:dyDescent="0.25">
      <c r="A9492" s="1" t="str">
        <f>"514800"</f>
        <v>514800</v>
      </c>
      <c r="B9492" s="2" t="str">
        <f>"ELEMENTO COALESCENTE 88343272 GP-481"</f>
        <v>ELEMENTO COALESCENTE 88343272 GP-481</v>
      </c>
      <c r="C9492" s="2" t="str">
        <f t="shared" ref="C9492:C9497" si="366">"UN"</f>
        <v>UN</v>
      </c>
      <c r="D9492" s="7">
        <v>913</v>
      </c>
      <c r="E9492" s="3">
        <v>11</v>
      </c>
      <c r="F9492" s="2">
        <v>3</v>
      </c>
      <c r="G9492" t="s">
        <v>512</v>
      </c>
    </row>
    <row r="9493" spans="1:7" x14ac:dyDescent="0.25">
      <c r="A9493" s="1" t="str">
        <f>"514894"</f>
        <v>514894</v>
      </c>
      <c r="B9493" s="2" t="str">
        <f>"ELEMENTO COALESCENTE 88343306 HE-481"</f>
        <v>ELEMENTO COALESCENTE 88343306 HE-481</v>
      </c>
      <c r="C9493" s="2" t="str">
        <f t="shared" si="366"/>
        <v>UN</v>
      </c>
      <c r="D9493" s="7">
        <v>808</v>
      </c>
      <c r="E9493" s="3">
        <v>10</v>
      </c>
      <c r="F9493" s="2">
        <v>8</v>
      </c>
      <c r="G9493" t="s">
        <v>513</v>
      </c>
    </row>
    <row r="9494" spans="1:7" x14ac:dyDescent="0.25">
      <c r="A9494" s="1" t="str">
        <f>"515849"</f>
        <v>515849</v>
      </c>
      <c r="B9494" s="2" t="str">
        <f>"ELEMENTO CONTATO  NAS-PL42"</f>
        <v>ELEMENTO CONTATO  NAS-PL42</v>
      </c>
      <c r="C9494" s="2" t="str">
        <f t="shared" si="366"/>
        <v>UN</v>
      </c>
      <c r="D9494" s="7">
        <v>99999</v>
      </c>
      <c r="E9494" s="3">
        <v>99</v>
      </c>
      <c r="F9494" s="2">
        <v>6</v>
      </c>
      <c r="G9494" t="s">
        <v>514</v>
      </c>
    </row>
    <row r="9495" spans="1:7" x14ac:dyDescent="0.25">
      <c r="A9495" s="1" t="str">
        <f>"501340"</f>
        <v>501340</v>
      </c>
      <c r="B9495" s="2" t="str">
        <f>"ELEMENTO CONTATO 3RV1901-1E"</f>
        <v>ELEMENTO CONTATO 3RV1901-1E</v>
      </c>
      <c r="C9495" s="2" t="str">
        <f t="shared" si="366"/>
        <v>UN</v>
      </c>
      <c r="D9495" s="7">
        <v>811</v>
      </c>
      <c r="E9495" s="3">
        <v>8</v>
      </c>
      <c r="F9495" s="2">
        <v>4</v>
      </c>
      <c r="G9495" t="s">
        <v>514</v>
      </c>
    </row>
    <row r="9496" spans="1:7" x14ac:dyDescent="0.25">
      <c r="A9496" s="1" t="str">
        <f>"515850"</f>
        <v>515850</v>
      </c>
      <c r="B9496" s="2" t="str">
        <f>"ELEMENTO CONTATO NCS-PL41"</f>
        <v>ELEMENTO CONTATO NCS-PL41</v>
      </c>
      <c r="C9496" s="2" t="str">
        <f t="shared" si="366"/>
        <v>UN</v>
      </c>
      <c r="D9496" s="7">
        <v>99999</v>
      </c>
      <c r="E9496" s="3">
        <v>99</v>
      </c>
      <c r="F9496" s="2">
        <v>1</v>
      </c>
      <c r="G9496" t="s">
        <v>514</v>
      </c>
    </row>
    <row r="9497" spans="1:7" x14ac:dyDescent="0.25">
      <c r="A9497" s="1" t="str">
        <f>"522855"</f>
        <v>522855</v>
      </c>
      <c r="B9497" s="2" t="str">
        <f>"ELEMENTO CSF 16 2""H 5 MICRA EPDM-HT O'RING"</f>
        <v>ELEMENTO CSF 16 2"H 5 MICRA EPDM-HT O'RING</v>
      </c>
      <c r="C9497" s="2" t="str">
        <f t="shared" si="366"/>
        <v>UN</v>
      </c>
      <c r="D9497" s="7">
        <v>600</v>
      </c>
      <c r="E9497" s="3">
        <v>8</v>
      </c>
      <c r="F9497" s="2">
        <v>2</v>
      </c>
      <c r="G9497" t="s">
        <v>513</v>
      </c>
    </row>
    <row r="9498" spans="1:7" x14ac:dyDescent="0.25">
      <c r="A9498" s="1" t="str">
        <f>"527702"</f>
        <v>527702</v>
      </c>
      <c r="B9498" s="2" t="str">
        <f>"ELEMENTO DA RESISTENCIA INFERIOR C-64976 PLACA GREGO"</f>
        <v>ELEMENTO DA RESISTENCIA INFERIOR C-64976 PLACA GREGO</v>
      </c>
      <c r="C9498" s="2" t="str">
        <f>"PC"</f>
        <v>PC</v>
      </c>
      <c r="D9498" s="7">
        <v>1300</v>
      </c>
      <c r="E9498" s="3">
        <v>13</v>
      </c>
      <c r="F9498" s="2">
        <v>7</v>
      </c>
      <c r="G9498" t="s">
        <v>513</v>
      </c>
    </row>
    <row r="9499" spans="1:7" x14ac:dyDescent="0.25">
      <c r="A9499" s="1" t="str">
        <f>"527703"</f>
        <v>527703</v>
      </c>
      <c r="B9499" s="2" t="str">
        <f>"ELEMENTO DA RESISTENCIA SUPERIOR C-64980 PLACA GREGO"</f>
        <v>ELEMENTO DA RESISTENCIA SUPERIOR C-64980 PLACA GREGO</v>
      </c>
      <c r="C9499" s="2" t="str">
        <f>"PC"</f>
        <v>PC</v>
      </c>
      <c r="D9499" s="7">
        <v>1300</v>
      </c>
      <c r="E9499" s="3">
        <v>13</v>
      </c>
      <c r="F9499" s="2">
        <v>9</v>
      </c>
      <c r="G9499" t="s">
        <v>513</v>
      </c>
    </row>
    <row r="9500" spans="1:7" x14ac:dyDescent="0.25">
      <c r="A9500" s="1" t="str">
        <f>"501740"</f>
        <v>501740</v>
      </c>
      <c r="B9500" s="2" t="str">
        <f>"ELEMENTO DE BOMBA INJETORA"</f>
        <v>ELEMENTO DE BOMBA INJETORA</v>
      </c>
      <c r="C9500" s="2" t="str">
        <f>"UN"</f>
        <v>UN</v>
      </c>
      <c r="D9500" s="7">
        <v>704</v>
      </c>
      <c r="E9500" s="3">
        <v>9</v>
      </c>
      <c r="F9500" s="2">
        <v>0</v>
      </c>
      <c r="G9500" t="s">
        <v>512</v>
      </c>
    </row>
    <row r="9501" spans="1:7" x14ac:dyDescent="0.25">
      <c r="A9501" s="1" t="str">
        <f>"527794"</f>
        <v>527794</v>
      </c>
      <c r="B9501" s="2" t="str">
        <f>"ELEMENTO DE BORRACHA PARA ACOPLAMENTO E148"</f>
        <v>ELEMENTO DE BORRACHA PARA ACOPLAMENTO E148</v>
      </c>
      <c r="C9501" s="2" t="str">
        <f>"UN"</f>
        <v>UN</v>
      </c>
      <c r="D9501" s="7">
        <v>704</v>
      </c>
      <c r="E9501" s="3">
        <v>9</v>
      </c>
      <c r="F9501" s="2">
        <v>0</v>
      </c>
      <c r="G9501" t="s">
        <v>513</v>
      </c>
    </row>
    <row r="9502" spans="1:7" x14ac:dyDescent="0.25">
      <c r="A9502" s="1" t="str">
        <f>"515544"</f>
        <v>515544</v>
      </c>
      <c r="B9502" s="2" t="str">
        <f>"ELEMENTO DE CONTATO"</f>
        <v>ELEMENTO DE CONTATO</v>
      </c>
      <c r="C9502" s="2" t="str">
        <f>"UN"</f>
        <v>UN</v>
      </c>
      <c r="D9502" s="7">
        <v>811</v>
      </c>
      <c r="E9502" s="3">
        <v>8</v>
      </c>
      <c r="F9502" s="2">
        <v>2</v>
      </c>
      <c r="G9502" t="s">
        <v>514</v>
      </c>
    </row>
    <row r="9503" spans="1:7" x14ac:dyDescent="0.25">
      <c r="A9503" s="1" t="str">
        <f>"507019"</f>
        <v>507019</v>
      </c>
      <c r="B9503" s="2" t="str">
        <f>"ELEMENTO DE CONTATO 3SB34 00-0D"</f>
        <v>ELEMENTO DE CONTATO 3SB34 00-0D</v>
      </c>
      <c r="C9503" s="2" t="str">
        <f>"UN"</f>
        <v>UN</v>
      </c>
      <c r="D9503" s="7">
        <v>600</v>
      </c>
      <c r="E9503" s="3">
        <v>8</v>
      </c>
      <c r="F9503" s="2">
        <v>5</v>
      </c>
      <c r="G9503" t="s">
        <v>515</v>
      </c>
    </row>
    <row r="9504" spans="1:7" x14ac:dyDescent="0.25">
      <c r="A9504" s="1" t="str">
        <f>"508058"</f>
        <v>508058</v>
      </c>
      <c r="B9504" s="2" t="str">
        <f>"ELEMENTO DE FILTRO COALECENTE P/ CPFX-30"</f>
        <v>ELEMENTO DE FILTRO COALECENTE P/ CPFX-30</v>
      </c>
      <c r="C9504" s="2" t="str">
        <f>"PC"</f>
        <v>PC</v>
      </c>
      <c r="D9504" s="7">
        <v>902</v>
      </c>
      <c r="E9504" s="3">
        <v>11</v>
      </c>
      <c r="F9504" s="2">
        <v>6</v>
      </c>
      <c r="G9504" t="s">
        <v>512</v>
      </c>
    </row>
    <row r="9505" spans="1:7" x14ac:dyDescent="0.25">
      <c r="A9505" s="1" t="str">
        <f>"513366"</f>
        <v>513366</v>
      </c>
      <c r="B9505" s="2" t="str">
        <f>"ELEMENTO DE REPOSICAO 000.962"</f>
        <v>ELEMENTO DE REPOSICAO 000.962</v>
      </c>
      <c r="C9505" s="2" t="str">
        <f t="shared" ref="C9505:C9511" si="367">"UN"</f>
        <v>UN</v>
      </c>
      <c r="D9505" s="7">
        <v>918</v>
      </c>
      <c r="E9505" s="3">
        <v>11</v>
      </c>
      <c r="F9505" s="2">
        <v>9</v>
      </c>
      <c r="G9505" t="s">
        <v>516</v>
      </c>
    </row>
    <row r="9506" spans="1:7" x14ac:dyDescent="0.25">
      <c r="A9506" s="1" t="str">
        <f>"511680"</f>
        <v>511680</v>
      </c>
      <c r="B9506" s="2" t="str">
        <f>"ELEMENTO EL133"</f>
        <v>ELEMENTO EL133</v>
      </c>
      <c r="C9506" s="2" t="str">
        <f t="shared" si="367"/>
        <v>UN</v>
      </c>
      <c r="D9506" s="7">
        <v>600</v>
      </c>
      <c r="E9506" s="3">
        <v>8</v>
      </c>
      <c r="F9506" s="2">
        <v>5</v>
      </c>
      <c r="G9506" t="s">
        <v>515</v>
      </c>
    </row>
    <row r="9507" spans="1:7" x14ac:dyDescent="0.25">
      <c r="A9507" s="1" t="str">
        <f>"518823"</f>
        <v>518823</v>
      </c>
      <c r="B9507" s="2" t="str">
        <f>"ELEMENTO ELASTICO ROTEX GS-19 98SHA"</f>
        <v>ELEMENTO ELASTICO ROTEX GS-19 98SHA</v>
      </c>
      <c r="C9507" s="2" t="str">
        <f t="shared" si="367"/>
        <v>UN</v>
      </c>
      <c r="D9507" s="7">
        <v>918</v>
      </c>
      <c r="E9507" s="3">
        <v>11</v>
      </c>
      <c r="F9507" s="2">
        <v>3</v>
      </c>
      <c r="G9507" t="s">
        <v>514</v>
      </c>
    </row>
    <row r="9508" spans="1:7" x14ac:dyDescent="0.25">
      <c r="A9508" s="1" t="str">
        <f>"506224"</f>
        <v>506224</v>
      </c>
      <c r="B9508" s="2" t="str">
        <f>"ELEMENTO ESTERELIZANTE  MOD. MER-AZ"</f>
        <v>ELEMENTO ESTERELIZANTE  MOD. MER-AZ</v>
      </c>
      <c r="C9508" s="2" t="str">
        <f t="shared" si="367"/>
        <v>UN</v>
      </c>
      <c r="D9508" s="7">
        <v>918</v>
      </c>
      <c r="E9508" s="3">
        <v>11</v>
      </c>
      <c r="F9508" s="2">
        <v>3</v>
      </c>
      <c r="G9508" t="s">
        <v>512</v>
      </c>
    </row>
    <row r="9509" spans="1:7" x14ac:dyDescent="0.25">
      <c r="A9509" s="1" t="str">
        <f>"520206"</f>
        <v>520206</v>
      </c>
      <c r="B9509" s="2" t="str">
        <f>"ELEMENTO ESTERILIZANTE MER-BZ"</f>
        <v>ELEMENTO ESTERILIZANTE MER-BZ</v>
      </c>
      <c r="C9509" s="2" t="str">
        <f t="shared" si="367"/>
        <v>UN</v>
      </c>
      <c r="D9509" s="7">
        <v>704</v>
      </c>
      <c r="E9509" s="3">
        <v>9</v>
      </c>
      <c r="F9509" s="2">
        <v>2</v>
      </c>
      <c r="G9509" t="s">
        <v>513</v>
      </c>
    </row>
    <row r="9510" spans="1:7" x14ac:dyDescent="0.25">
      <c r="A9510" s="1" t="str">
        <f>"526977"</f>
        <v>526977</v>
      </c>
      <c r="B9510" s="2" t="str">
        <f>"ELEMENTO FILTRANTE 304 MALHA 40MESH (ABERTURA DE 0,4MM)"</f>
        <v>ELEMENTO FILTRANTE 304 MALHA 40MESH (ABERTURA DE 0,4MM)</v>
      </c>
      <c r="C9510" s="2" t="str">
        <f t="shared" si="367"/>
        <v>UN</v>
      </c>
      <c r="D9510" s="7">
        <v>807</v>
      </c>
      <c r="E9510" s="3">
        <v>10</v>
      </c>
      <c r="F9510" s="2">
        <v>1</v>
      </c>
      <c r="G9510" t="s">
        <v>514</v>
      </c>
    </row>
    <row r="9511" spans="1:7" x14ac:dyDescent="0.25">
      <c r="A9511" s="1" t="str">
        <f>"519080"</f>
        <v>519080</v>
      </c>
      <c r="B9511" s="2" t="str">
        <f>"ELEMENTO FILTRANTE CHAPA FURO 0,5MM F-600 INOX 304"</f>
        <v>ELEMENTO FILTRANTE CHAPA FURO 0,5MM F-600 INOX 304</v>
      </c>
      <c r="C9511" s="2" t="str">
        <f t="shared" si="367"/>
        <v>UN</v>
      </c>
      <c r="D9511" s="7">
        <v>915</v>
      </c>
      <c r="E9511" s="3">
        <v>10</v>
      </c>
      <c r="F9511" s="2">
        <v>4</v>
      </c>
      <c r="G9511" t="s">
        <v>514</v>
      </c>
    </row>
    <row r="9512" spans="1:7" x14ac:dyDescent="0.25">
      <c r="A9512" s="1" t="str">
        <f>"504534"</f>
        <v>504534</v>
      </c>
      <c r="B9512" s="2" t="str">
        <f>"ELEMENTO FILTRANTE CHAPA FURO 1,0MM F-600 INOX 304"</f>
        <v>ELEMENTO FILTRANTE CHAPA FURO 1,0MM F-600 INOX 304</v>
      </c>
      <c r="C9512" s="2" t="str">
        <f>"BR"</f>
        <v>BR</v>
      </c>
      <c r="D9512" s="7">
        <v>807</v>
      </c>
      <c r="E9512" s="3">
        <v>10</v>
      </c>
      <c r="F9512" s="2">
        <v>6</v>
      </c>
      <c r="G9512" t="s">
        <v>512</v>
      </c>
    </row>
    <row r="9513" spans="1:7" x14ac:dyDescent="0.25">
      <c r="A9513" s="1" t="str">
        <f>"521551"</f>
        <v>521551</v>
      </c>
      <c r="B9513" s="2" t="str">
        <f>"ELEMENTO FILTRANTE CHAPA FURO 2,0MM F-600 INOX 304"</f>
        <v>ELEMENTO FILTRANTE CHAPA FURO 2,0MM F-600 INOX 304</v>
      </c>
      <c r="C9513" s="2" t="str">
        <f>"UN"</f>
        <v>UN</v>
      </c>
      <c r="D9513" s="7">
        <v>807</v>
      </c>
      <c r="E9513" s="3">
        <v>10</v>
      </c>
      <c r="F9513" s="2">
        <v>8</v>
      </c>
      <c r="G9513" t="s">
        <v>513</v>
      </c>
    </row>
    <row r="9514" spans="1:7" x14ac:dyDescent="0.25">
      <c r="A9514" s="1" t="str">
        <f>"521552"</f>
        <v>521552</v>
      </c>
      <c r="B9514" s="2" t="str">
        <f>"ELEMENTO FILTRANTE CHAPA PERF. 5MM INOX 304 P/ F-600 MALHA"</f>
        <v>ELEMENTO FILTRANTE CHAPA PERF. 5MM INOX 304 P/ F-600 MALHA</v>
      </c>
      <c r="C9514" s="2" t="str">
        <f>"UN"</f>
        <v>UN</v>
      </c>
      <c r="D9514" s="7">
        <v>807</v>
      </c>
      <c r="E9514" s="3">
        <v>10</v>
      </c>
      <c r="F9514" s="2">
        <v>7</v>
      </c>
      <c r="G9514" t="s">
        <v>514</v>
      </c>
    </row>
    <row r="9515" spans="1:7" x14ac:dyDescent="0.25">
      <c r="A9515" s="1" t="str">
        <f>"528035"</f>
        <v>528035</v>
      </c>
      <c r="B9515" s="2" t="str">
        <f>"ELEMENTO FILTRANTE COALESCER MOD. STD - OPEN ENDS 9.4X34 POL"</f>
        <v>ELEMENTO FILTRANTE COALESCER MOD. STD - OPEN ENDS 9.4X34 POL</v>
      </c>
      <c r="C9515" s="2" t="str">
        <f>"UN"</f>
        <v>UN</v>
      </c>
      <c r="D9515" s="7">
        <v>918</v>
      </c>
      <c r="E9515" s="3">
        <v>11</v>
      </c>
      <c r="F9515" s="2">
        <v>6</v>
      </c>
      <c r="G9515" t="s">
        <v>514</v>
      </c>
    </row>
    <row r="9516" spans="1:7" x14ac:dyDescent="0.25">
      <c r="A9516" s="1" t="str">
        <f>"520485"</f>
        <v>520485</v>
      </c>
      <c r="B9516" s="8" t="s">
        <v>148</v>
      </c>
      <c r="C9516" s="2" t="str">
        <f>"UN"</f>
        <v>UN</v>
      </c>
      <c r="D9516" s="7">
        <v>901</v>
      </c>
      <c r="E9516" s="3">
        <v>11</v>
      </c>
      <c r="F9516" s="2">
        <v>6</v>
      </c>
      <c r="G9516" t="s">
        <v>514</v>
      </c>
    </row>
    <row r="9517" spans="1:7" x14ac:dyDescent="0.25">
      <c r="A9517" s="1" t="str">
        <f>"527577"</f>
        <v>527577</v>
      </c>
      <c r="B9517" s="2" t="str">
        <f>"ELEMENTO FILTRANTE ESPECIAL 304 MALHA 30"</f>
        <v>ELEMENTO FILTRANTE ESPECIAL 304 MALHA 30</v>
      </c>
      <c r="C9517" s="2" t="str">
        <f>"UN"</f>
        <v>UN</v>
      </c>
      <c r="D9517" s="7">
        <v>807</v>
      </c>
      <c r="E9517" s="3">
        <v>10</v>
      </c>
      <c r="F9517" s="2">
        <v>2</v>
      </c>
      <c r="G9517" t="s">
        <v>513</v>
      </c>
    </row>
    <row r="9518" spans="1:7" x14ac:dyDescent="0.25">
      <c r="A9518" s="1" t="str">
        <f>"504520"</f>
        <v>504520</v>
      </c>
      <c r="B9518" s="2" t="str">
        <f>"ELEMENTO FILTRANTE F-1500 FURO 1MM"</f>
        <v>ELEMENTO FILTRANTE F-1500 FURO 1MM</v>
      </c>
      <c r="C9518" s="2" t="str">
        <f>"BR"</f>
        <v>BR</v>
      </c>
      <c r="D9518" s="7">
        <v>807</v>
      </c>
      <c r="E9518" s="3">
        <v>10</v>
      </c>
      <c r="F9518" s="2">
        <v>1</v>
      </c>
      <c r="G9518" t="s">
        <v>512</v>
      </c>
    </row>
    <row r="9519" spans="1:7" x14ac:dyDescent="0.25">
      <c r="A9519" s="1" t="str">
        <f>"516474"</f>
        <v>516474</v>
      </c>
      <c r="B9519" s="2" t="str">
        <f>"ELEMENTO FILTRANTE F-600 PERFURADA 1MM"</f>
        <v>ELEMENTO FILTRANTE F-600 PERFURADA 1MM</v>
      </c>
      <c r="C9519" s="2" t="str">
        <f>"UN"</f>
        <v>UN</v>
      </c>
      <c r="D9519" s="7">
        <v>820</v>
      </c>
      <c r="E9519" s="3">
        <v>10</v>
      </c>
      <c r="F9519" s="2">
        <v>0</v>
      </c>
      <c r="G9519" t="s">
        <v>513</v>
      </c>
    </row>
    <row r="9520" spans="1:7" x14ac:dyDescent="0.25">
      <c r="A9520" s="1" t="str">
        <f>"521550"</f>
        <v>521550</v>
      </c>
      <c r="B9520" s="2" t="str">
        <f>"ELEMENTO FILTRANTE INOX 304 P/ F-1200 MALHA 35 MANGA"</f>
        <v>ELEMENTO FILTRANTE INOX 304 P/ F-1200 MALHA 35 MANGA</v>
      </c>
      <c r="C9520" s="2" t="str">
        <f>"UN"</f>
        <v>UN</v>
      </c>
      <c r="D9520" s="7">
        <v>807</v>
      </c>
      <c r="E9520" s="3">
        <v>10</v>
      </c>
      <c r="F9520" s="2">
        <v>0</v>
      </c>
      <c r="G9520" t="s">
        <v>514</v>
      </c>
    </row>
    <row r="9521" spans="1:7" x14ac:dyDescent="0.25">
      <c r="A9521" s="1" t="str">
        <f>"523049"</f>
        <v>523049</v>
      </c>
      <c r="B9521" s="2" t="str">
        <f>"ELEMENTO FILTRANTE MALHA 120 P/ F600 RETO 1"" HINOXLINE"</f>
        <v>ELEMENTO FILTRANTE MALHA 120 P/ F600 RETO 1" HINOXLINE</v>
      </c>
      <c r="C9521" s="2" t="str">
        <f>"UN"</f>
        <v>UN</v>
      </c>
      <c r="D9521" s="7">
        <v>807</v>
      </c>
      <c r="E9521" s="3">
        <v>10</v>
      </c>
      <c r="F9521" s="2">
        <v>0</v>
      </c>
      <c r="G9521" t="s">
        <v>514</v>
      </c>
    </row>
    <row r="9522" spans="1:7" x14ac:dyDescent="0.25">
      <c r="A9522" s="1" t="str">
        <f>"523510"</f>
        <v>523510</v>
      </c>
      <c r="B9522" s="2" t="str">
        <f>"ELEMENTO FILTRANTE MALHA 16 - F600"</f>
        <v>ELEMENTO FILTRANTE MALHA 16 - F600</v>
      </c>
      <c r="C9522" s="2" t="str">
        <f>"BR"</f>
        <v>BR</v>
      </c>
      <c r="D9522" s="7">
        <v>807</v>
      </c>
      <c r="E9522" s="3">
        <v>10</v>
      </c>
      <c r="F9522" s="2">
        <v>3</v>
      </c>
      <c r="G9522" t="s">
        <v>514</v>
      </c>
    </row>
    <row r="9523" spans="1:7" x14ac:dyDescent="0.25">
      <c r="A9523" s="1" t="str">
        <f>"523511"</f>
        <v>523511</v>
      </c>
      <c r="B9523" s="2" t="str">
        <f>"ELEMENTO FILTRANTE MALHA 20 - F600"</f>
        <v>ELEMENTO FILTRANTE MALHA 20 - F600</v>
      </c>
      <c r="C9523" s="2" t="str">
        <f>"BR"</f>
        <v>BR</v>
      </c>
      <c r="D9523" s="7">
        <v>807</v>
      </c>
      <c r="E9523" s="3">
        <v>10</v>
      </c>
      <c r="F9523" s="5">
        <v>5</v>
      </c>
      <c r="G9523" t="s">
        <v>513</v>
      </c>
    </row>
    <row r="9524" spans="1:7" x14ac:dyDescent="0.25">
      <c r="A9524" s="1" t="str">
        <f>"520648"</f>
        <v>520648</v>
      </c>
      <c r="B9524" s="2" t="str">
        <f>"ELEMENTO FILTRANTE PETROPURO ADVANCED N1250"</f>
        <v>ELEMENTO FILTRANTE PETROPURO ADVANCED N1250</v>
      </c>
      <c r="C9524" s="2" t="str">
        <f>"UN"</f>
        <v>UN</v>
      </c>
      <c r="D9524" s="7">
        <v>820</v>
      </c>
      <c r="E9524" s="3">
        <v>13</v>
      </c>
      <c r="F9524" s="2">
        <v>3</v>
      </c>
      <c r="G9524" t="s">
        <v>513</v>
      </c>
    </row>
    <row r="9525" spans="1:7" x14ac:dyDescent="0.25">
      <c r="A9525" s="1" t="str">
        <f>"512525"</f>
        <v>512525</v>
      </c>
      <c r="B9525" s="2" t="str">
        <f>"ELEMENTO FILTRANTE ZVA-01A-BBE-BR"</f>
        <v>ELEMENTO FILTRANTE ZVA-01A-BBE-BR</v>
      </c>
      <c r="C9525" s="2" t="str">
        <f>"PC"</f>
        <v>PC</v>
      </c>
      <c r="D9525" s="7">
        <v>902</v>
      </c>
      <c r="E9525" s="3">
        <v>11</v>
      </c>
      <c r="F9525" s="2">
        <v>8</v>
      </c>
      <c r="G9525" t="s">
        <v>513</v>
      </c>
    </row>
    <row r="9526" spans="1:7" x14ac:dyDescent="0.25">
      <c r="A9526" s="1" t="str">
        <f>"520211"</f>
        <v>520211</v>
      </c>
      <c r="B9526" s="2" t="str">
        <f>"ELEMENTO FILTRO 1613950300 - COMPRESSOR GA-90"</f>
        <v>ELEMENTO FILTRO 1613950300 - COMPRESSOR GA-90</v>
      </c>
      <c r="C9526" s="2" t="str">
        <f>"PC"</f>
        <v>PC</v>
      </c>
      <c r="D9526" s="7">
        <v>902</v>
      </c>
      <c r="E9526" s="3">
        <v>11</v>
      </c>
      <c r="F9526" s="2">
        <v>6</v>
      </c>
      <c r="G9526" t="s">
        <v>512</v>
      </c>
    </row>
    <row r="9527" spans="1:7" x14ac:dyDescent="0.25">
      <c r="A9527" s="1" t="str">
        <f>"504906"</f>
        <v>504906</v>
      </c>
      <c r="B9527" s="2" t="str">
        <f>"ELEMENTO FILTRO AR"</f>
        <v>ELEMENTO FILTRO AR</v>
      </c>
      <c r="C9527" s="2" t="str">
        <f>"UN"</f>
        <v>UN</v>
      </c>
      <c r="D9527" s="7">
        <v>704</v>
      </c>
      <c r="E9527" s="3">
        <v>9</v>
      </c>
      <c r="F9527" s="2">
        <v>4</v>
      </c>
      <c r="G9527" t="s">
        <v>513</v>
      </c>
    </row>
    <row r="9528" spans="1:7" x14ac:dyDescent="0.25">
      <c r="A9528" s="1" t="str">
        <f>"507473"</f>
        <v>507473</v>
      </c>
      <c r="B9528" s="2" t="str">
        <f>"ELEMENTO FILTRO AR 2200640551"</f>
        <v>ELEMENTO FILTRO AR 2200640551</v>
      </c>
      <c r="C9528" s="2" t="str">
        <f>"PC"</f>
        <v>PC</v>
      </c>
      <c r="D9528" s="7">
        <v>902</v>
      </c>
      <c r="E9528" s="3">
        <v>11</v>
      </c>
      <c r="F9528" s="2">
        <v>1</v>
      </c>
      <c r="G9528" t="s">
        <v>514</v>
      </c>
    </row>
    <row r="9529" spans="1:7" x14ac:dyDescent="0.25">
      <c r="A9529" s="1" t="str">
        <f>"518513"</f>
        <v>518513</v>
      </c>
      <c r="B9529" s="2" t="str">
        <f>"ELEMENTO FILTRO AR 2903101501"</f>
        <v>ELEMENTO FILTRO AR 2903101501</v>
      </c>
      <c r="C9529" s="2" t="str">
        <f>"UN"</f>
        <v>UN</v>
      </c>
      <c r="D9529" s="7">
        <v>918</v>
      </c>
      <c r="E9529" s="3">
        <v>11</v>
      </c>
      <c r="F9529" s="2">
        <v>2</v>
      </c>
      <c r="G9529" t="s">
        <v>515</v>
      </c>
    </row>
    <row r="9530" spans="1:7" x14ac:dyDescent="0.25">
      <c r="A9530" s="1" t="str">
        <f>"501408"</f>
        <v>501408</v>
      </c>
      <c r="B9530" s="2" t="str">
        <f>"ELEMENTO FILTRO AR DIREITA"</f>
        <v>ELEMENTO FILTRO AR DIREITA</v>
      </c>
      <c r="C9530" s="2" t="str">
        <f>"UN"</f>
        <v>UN</v>
      </c>
      <c r="D9530" s="7">
        <v>918</v>
      </c>
      <c r="E9530" s="3">
        <v>9</v>
      </c>
      <c r="F9530" s="2">
        <v>7</v>
      </c>
      <c r="G9530" t="s">
        <v>512</v>
      </c>
    </row>
    <row r="9531" spans="1:7" x14ac:dyDescent="0.25">
      <c r="A9531" s="1" t="str">
        <f>"501407"</f>
        <v>501407</v>
      </c>
      <c r="B9531" s="2" t="str">
        <f>"ELEMENTO FILTRO AR ESQUERDA"</f>
        <v>ELEMENTO FILTRO AR ESQUERDA</v>
      </c>
      <c r="C9531" s="2" t="str">
        <f>"UN"</f>
        <v>UN</v>
      </c>
      <c r="D9531" s="7">
        <v>918</v>
      </c>
      <c r="E9531" s="3">
        <v>9</v>
      </c>
      <c r="F9531" s="2">
        <v>9</v>
      </c>
      <c r="G9531" t="s">
        <v>516</v>
      </c>
    </row>
    <row r="9532" spans="1:7" x14ac:dyDescent="0.25">
      <c r="A9532" s="1" t="str">
        <f>"507468"</f>
        <v>507468</v>
      </c>
      <c r="B9532" s="2" t="str">
        <f>"ELEMENTO FILTRO AR SSR50HP"</f>
        <v>ELEMENTO FILTRO AR SSR50HP</v>
      </c>
      <c r="C9532" s="2" t="str">
        <f>"PC"</f>
        <v>PC</v>
      </c>
      <c r="D9532" s="7">
        <v>902</v>
      </c>
      <c r="E9532" s="3">
        <v>11</v>
      </c>
      <c r="F9532" s="2">
        <v>0</v>
      </c>
      <c r="G9532" t="s">
        <v>515</v>
      </c>
    </row>
    <row r="9533" spans="1:7" x14ac:dyDescent="0.25">
      <c r="A9533" s="1" t="str">
        <f>"527388"</f>
        <v>527388</v>
      </c>
      <c r="B9533" s="2" t="str">
        <f>"ELEMENTO FILTRO AR/OLEO"</f>
        <v>ELEMENTO FILTRO AR/OLEO</v>
      </c>
      <c r="C9533" s="2" t="str">
        <f>"UN"</f>
        <v>UN</v>
      </c>
      <c r="D9533" s="7">
        <v>704</v>
      </c>
      <c r="E9533" s="3">
        <v>9</v>
      </c>
      <c r="F9533" s="2">
        <v>0</v>
      </c>
      <c r="G9533" t="s">
        <v>514</v>
      </c>
    </row>
    <row r="9534" spans="1:7" x14ac:dyDescent="0.25">
      <c r="A9534" s="1" t="str">
        <f>"527791"</f>
        <v>527791</v>
      </c>
      <c r="B9534" s="2" t="str">
        <f>"ELEMENTO FILTRO COALESCENTE DDX/DDXP325 E DD/DDP360"</f>
        <v>ELEMENTO FILTRO COALESCENTE DDX/DDXP325 E DD/DDP360</v>
      </c>
      <c r="C9534" s="2" t="str">
        <f>"UN"</f>
        <v>UN</v>
      </c>
      <c r="D9534" s="7">
        <v>913</v>
      </c>
      <c r="E9534" s="3">
        <v>11</v>
      </c>
      <c r="F9534" s="2">
        <v>2</v>
      </c>
      <c r="G9534" t="s">
        <v>512</v>
      </c>
    </row>
    <row r="9535" spans="1:7" x14ac:dyDescent="0.25">
      <c r="A9535" s="1" t="str">
        <f>"507474"</f>
        <v>507474</v>
      </c>
      <c r="B9535" s="2" t="str">
        <f>"ELEMENTO FILTRO DE OLEO 1031400226"</f>
        <v>ELEMENTO FILTRO DE OLEO 1031400226</v>
      </c>
      <c r="C9535" s="2" t="str">
        <f>"PC"</f>
        <v>PC</v>
      </c>
      <c r="D9535" s="7">
        <v>902</v>
      </c>
      <c r="E9535" s="3">
        <v>11</v>
      </c>
      <c r="F9535" s="2">
        <v>5</v>
      </c>
      <c r="G9535" t="s">
        <v>513</v>
      </c>
    </row>
    <row r="9536" spans="1:7" x14ac:dyDescent="0.25">
      <c r="A9536" s="1" t="str">
        <f>"512518"</f>
        <v>512518</v>
      </c>
      <c r="B9536" s="2" t="str">
        <f>"ELEMENTO FILTRO OLEO"</f>
        <v>ELEMENTO FILTRO OLEO</v>
      </c>
      <c r="C9536" s="2" t="str">
        <f>"PC"</f>
        <v>PC</v>
      </c>
      <c r="D9536" s="7">
        <v>902</v>
      </c>
      <c r="E9536" s="3">
        <v>11</v>
      </c>
      <c r="F9536" s="2">
        <v>6</v>
      </c>
      <c r="G9536" t="s">
        <v>514</v>
      </c>
    </row>
    <row r="9537" spans="1:7" x14ac:dyDescent="0.25">
      <c r="A9537" s="1" t="str">
        <f>"507802"</f>
        <v>507802</v>
      </c>
      <c r="B9537" s="2" t="str">
        <f>"ELEMENTO FILTRO OLEO 4AT 100"</f>
        <v>ELEMENTO FILTRO OLEO 4AT 100</v>
      </c>
      <c r="C9537" s="2" t="str">
        <f>"PC"</f>
        <v>PC</v>
      </c>
      <c r="D9537" s="7">
        <v>902</v>
      </c>
      <c r="E9537" s="3">
        <v>11</v>
      </c>
      <c r="F9537" s="3">
        <v>11</v>
      </c>
      <c r="G9537" t="s">
        <v>514</v>
      </c>
    </row>
    <row r="9538" spans="1:7" x14ac:dyDescent="0.25">
      <c r="A9538" s="1" t="str">
        <f>"517380"</f>
        <v>517380</v>
      </c>
      <c r="B9538" s="2" t="str">
        <f>"ELEMENTO FILTRO OLEO CARTER TIPO A - IP"</f>
        <v>ELEMENTO FILTRO OLEO CARTER TIPO A - IP</v>
      </c>
      <c r="C9538" s="2" t="str">
        <f>"UN"</f>
        <v>UN</v>
      </c>
      <c r="D9538" s="7">
        <v>918</v>
      </c>
      <c r="E9538" s="3">
        <v>11</v>
      </c>
      <c r="F9538" s="3">
        <v>11</v>
      </c>
      <c r="G9538" t="s">
        <v>512</v>
      </c>
    </row>
    <row r="9539" spans="1:7" x14ac:dyDescent="0.25">
      <c r="A9539" s="1" t="str">
        <f>"527512"</f>
        <v>527512</v>
      </c>
      <c r="B9539" s="2" t="str">
        <f>"ELEMENTO FILTRO PARA VAPOR CULINÁRIO SPIRAX SARCO SARCOCSF16"</f>
        <v>ELEMENTO FILTRO PARA VAPOR CULINÁRIO SPIRAX SARCO SARCOCSF16</v>
      </c>
      <c r="C9539" s="2" t="str">
        <f>"UN"</f>
        <v>UN</v>
      </c>
      <c r="D9539" s="7">
        <v>820</v>
      </c>
      <c r="E9539" s="3">
        <v>10</v>
      </c>
      <c r="F9539" s="3">
        <v>10</v>
      </c>
      <c r="G9539" t="s">
        <v>513</v>
      </c>
    </row>
    <row r="9540" spans="1:7" x14ac:dyDescent="0.25">
      <c r="A9540" s="1" t="str">
        <f>"518962"</f>
        <v>518962</v>
      </c>
      <c r="B9540" s="2" t="str">
        <f>"ELEMENTO FILTRO PETROPURO ADVANCED N1250"</f>
        <v>ELEMENTO FILTRO PETROPURO ADVANCED N1250</v>
      </c>
      <c r="C9540" s="2" t="str">
        <f>"UN"</f>
        <v>UN</v>
      </c>
      <c r="D9540" s="7">
        <v>820</v>
      </c>
      <c r="E9540" s="3">
        <v>13</v>
      </c>
      <c r="F9540" s="3">
        <v>13</v>
      </c>
      <c r="G9540" t="s">
        <v>514</v>
      </c>
    </row>
    <row r="9541" spans="1:7" x14ac:dyDescent="0.25">
      <c r="A9541" s="1" t="str">
        <f>"512060"</f>
        <v>512060</v>
      </c>
      <c r="B9541" s="2" t="str">
        <f>"ELEMENTO FILTRO SEP. 2901056622-J - COMPRESSOR GA-90"</f>
        <v>ELEMENTO FILTRO SEP. 2901056622-J - COMPRESSOR GA-90</v>
      </c>
      <c r="C9541" s="2" t="str">
        <f>"PC"</f>
        <v>PC</v>
      </c>
      <c r="D9541" s="7">
        <v>902</v>
      </c>
      <c r="E9541" s="3">
        <v>11</v>
      </c>
      <c r="F9541" s="3">
        <v>11</v>
      </c>
      <c r="G9541" t="s">
        <v>514</v>
      </c>
    </row>
    <row r="9542" spans="1:7" x14ac:dyDescent="0.25">
      <c r="A9542" s="1" t="str">
        <f>"520360"</f>
        <v>520360</v>
      </c>
      <c r="B9542" s="2" t="str">
        <f>"ELEMENTO PARA ACOPLAMENTO DE GARRA E112"</f>
        <v>ELEMENTO PARA ACOPLAMENTO DE GARRA E112</v>
      </c>
      <c r="C9542" s="2" t="str">
        <f>"UN"</f>
        <v>UN</v>
      </c>
      <c r="D9542" s="7">
        <v>704</v>
      </c>
      <c r="E9542" s="3">
        <v>9</v>
      </c>
      <c r="F9542" s="3">
        <v>9</v>
      </c>
      <c r="G9542" t="s">
        <v>514</v>
      </c>
    </row>
    <row r="9543" spans="1:7" x14ac:dyDescent="0.25">
      <c r="A9543" s="1" t="str">
        <f>"520363"</f>
        <v>520363</v>
      </c>
      <c r="B9543" s="2" t="str">
        <f>"ELEMENTO PARA ACOPLAMENTO DE GARRA E-50"</f>
        <v>ELEMENTO PARA ACOPLAMENTO DE GARRA E-50</v>
      </c>
      <c r="C9543" s="2" t="str">
        <f>"UN"</f>
        <v>UN</v>
      </c>
      <c r="D9543" s="7">
        <v>704</v>
      </c>
      <c r="E9543" s="3">
        <v>9</v>
      </c>
      <c r="F9543" s="3">
        <v>9</v>
      </c>
      <c r="G9543" t="s">
        <v>513</v>
      </c>
    </row>
    <row r="9544" spans="1:7" x14ac:dyDescent="0.25">
      <c r="A9544" s="1" t="str">
        <f>"507922"</f>
        <v>507922</v>
      </c>
      <c r="B9544" s="2" t="str">
        <f>"ELEMENTO PARA ACOPLAMENTO DE GARRA E67"</f>
        <v>ELEMENTO PARA ACOPLAMENTO DE GARRA E67</v>
      </c>
      <c r="C9544" s="2" t="str">
        <f>"PC"</f>
        <v>PC</v>
      </c>
      <c r="D9544" s="7">
        <v>902</v>
      </c>
      <c r="E9544" s="3">
        <v>11</v>
      </c>
      <c r="F9544" s="3">
        <v>11</v>
      </c>
      <c r="G9544" t="s">
        <v>512</v>
      </c>
    </row>
    <row r="9545" spans="1:7" x14ac:dyDescent="0.25">
      <c r="A9545" s="1" t="str">
        <f>"520361"</f>
        <v>520361</v>
      </c>
      <c r="B9545" s="2" t="str">
        <f>"ELEMENTO PARA ACOPLAMENTO DE GARRA E97"</f>
        <v>ELEMENTO PARA ACOPLAMENTO DE GARRA E97</v>
      </c>
      <c r="C9545" s="2" t="str">
        <f>"UN"</f>
        <v>UN</v>
      </c>
      <c r="D9545" s="7">
        <v>704</v>
      </c>
      <c r="E9545" s="3">
        <v>9</v>
      </c>
      <c r="F9545" s="3">
        <v>9</v>
      </c>
      <c r="G9545" t="s">
        <v>513</v>
      </c>
    </row>
    <row r="9546" spans="1:7" x14ac:dyDescent="0.25">
      <c r="A9546" s="1" t="str">
        <f>"522018"</f>
        <v>522018</v>
      </c>
      <c r="B9546" s="2" t="str">
        <f>"ELEMENTO P-BEII 20/30"</f>
        <v>ELEMENTO P-BEII 20/30</v>
      </c>
      <c r="C9546" s="2" t="str">
        <f>"BR"</f>
        <v>BR</v>
      </c>
      <c r="D9546" s="7">
        <v>807</v>
      </c>
      <c r="E9546" s="3">
        <v>10</v>
      </c>
      <c r="F9546" s="3">
        <v>10</v>
      </c>
      <c r="G9546" t="s">
        <v>514</v>
      </c>
    </row>
    <row r="9547" spans="1:7" x14ac:dyDescent="0.25">
      <c r="A9547" s="1" t="str">
        <f>"527650"</f>
        <v>527650</v>
      </c>
      <c r="B9547" s="2" t="str">
        <f>"ELEMENTO RESISTENCIA"</f>
        <v>ELEMENTO RESISTENCIA</v>
      </c>
      <c r="C9547" s="2" t="str">
        <f>"UN"</f>
        <v>UN</v>
      </c>
      <c r="D9547" s="7">
        <v>1200</v>
      </c>
      <c r="E9547" s="3">
        <v>4</v>
      </c>
      <c r="F9547" s="3">
        <v>4</v>
      </c>
      <c r="G9547" t="s">
        <v>514</v>
      </c>
    </row>
    <row r="9548" spans="1:7" x14ac:dyDescent="0.25">
      <c r="A9548" s="1" t="str">
        <f>"527704"</f>
        <v>527704</v>
      </c>
      <c r="B9548" s="2" t="str">
        <f>"ELEMENTO RESISTENCIA SELAGEM D-64915 GREGO"</f>
        <v>ELEMENTO RESISTENCIA SELAGEM D-64915 GREGO</v>
      </c>
      <c r="C9548" s="2" t="str">
        <f>"PC"</f>
        <v>PC</v>
      </c>
      <c r="D9548" s="7">
        <v>1300</v>
      </c>
      <c r="E9548" s="3">
        <v>13</v>
      </c>
      <c r="F9548" s="3">
        <v>13</v>
      </c>
      <c r="G9548" t="s">
        <v>514</v>
      </c>
    </row>
    <row r="9549" spans="1:7" x14ac:dyDescent="0.25">
      <c r="A9549" s="1" t="str">
        <f>"515940"</f>
        <v>515940</v>
      </c>
      <c r="B9549" s="2" t="str">
        <f>"ELEMENTO SIEMENS 3SB34 00-0D"</f>
        <v>ELEMENTO SIEMENS 3SB34 00-0D</v>
      </c>
      <c r="C9549" s="2" t="str">
        <f t="shared" ref="C9549:C9580" si="368">"UN"</f>
        <v>UN</v>
      </c>
      <c r="D9549" s="7">
        <v>99999</v>
      </c>
      <c r="E9549" s="3">
        <v>99</v>
      </c>
      <c r="F9549" s="3">
        <v>99</v>
      </c>
      <c r="G9549" t="s">
        <v>513</v>
      </c>
    </row>
    <row r="9550" spans="1:7" x14ac:dyDescent="0.25">
      <c r="A9550" s="1" t="str">
        <f>"506171"</f>
        <v>506171</v>
      </c>
      <c r="B9550" s="2" t="str">
        <f>"ELEMENTO SIEMENS CONTATO 3SB34 00-0B 1NA"</f>
        <v>ELEMENTO SIEMENS CONTATO 3SB34 00-0B 1NA</v>
      </c>
      <c r="C9550" s="2" t="str">
        <f t="shared" si="368"/>
        <v>UN</v>
      </c>
      <c r="D9550" s="7">
        <v>600</v>
      </c>
      <c r="E9550" s="3">
        <v>8</v>
      </c>
      <c r="F9550" s="3">
        <v>8</v>
      </c>
      <c r="G9550" t="s">
        <v>513</v>
      </c>
    </row>
    <row r="9551" spans="1:7" x14ac:dyDescent="0.25">
      <c r="A9551" s="1" t="str">
        <f>"506176"</f>
        <v>506176</v>
      </c>
      <c r="B9551" s="2" t="str">
        <f>"ELEMENTO SIEMENS CONTATO 3SB34 00-0C 1NF"</f>
        <v>ELEMENTO SIEMENS CONTATO 3SB34 00-0C 1NF</v>
      </c>
      <c r="C9551" s="2" t="str">
        <f t="shared" si="368"/>
        <v>UN</v>
      </c>
      <c r="D9551" s="7">
        <v>600</v>
      </c>
      <c r="E9551" s="3">
        <v>8</v>
      </c>
      <c r="F9551" s="3">
        <v>8</v>
      </c>
      <c r="G9551" t="s">
        <v>513</v>
      </c>
    </row>
    <row r="9552" spans="1:7" x14ac:dyDescent="0.25">
      <c r="A9552" s="1" t="str">
        <f>"516219"</f>
        <v>516219</v>
      </c>
      <c r="B9552" s="2" t="str">
        <f>"ELEMENTO SIEMENS CONTATO 3SB34 00-0D 2NA"</f>
        <v>ELEMENTO SIEMENS CONTATO 3SB34 00-0D 2NA</v>
      </c>
      <c r="C9552" s="2" t="str">
        <f t="shared" si="368"/>
        <v>UN</v>
      </c>
      <c r="D9552" s="7">
        <v>600</v>
      </c>
      <c r="E9552" s="3">
        <v>8</v>
      </c>
      <c r="F9552" s="3">
        <v>8</v>
      </c>
      <c r="G9552" t="s">
        <v>512</v>
      </c>
    </row>
    <row r="9553" spans="1:7" x14ac:dyDescent="0.25">
      <c r="A9553" s="1" t="str">
        <f>"515941"</f>
        <v>515941</v>
      </c>
      <c r="B9553" s="2" t="str">
        <f>"ELEMENTO SIEMENS CONTATO 3SB34 00-0E DUPLO"</f>
        <v>ELEMENTO SIEMENS CONTATO 3SB34 00-0E DUPLO</v>
      </c>
      <c r="C9553" s="2" t="str">
        <f t="shared" si="368"/>
        <v>UN</v>
      </c>
      <c r="D9553" s="7">
        <v>99999</v>
      </c>
      <c r="E9553" s="3">
        <v>99</v>
      </c>
      <c r="F9553" s="3">
        <v>99</v>
      </c>
      <c r="G9553" t="s">
        <v>513</v>
      </c>
    </row>
    <row r="9554" spans="1:7" x14ac:dyDescent="0.25">
      <c r="A9554" s="1" t="str">
        <f>"521041"</f>
        <v>521041</v>
      </c>
      <c r="B9554" s="2" t="str">
        <f>"ELET PH JUNÇÃO ABERTA SOL.ELET.VISC.CONBCNFC240B CALIB,. REQ"</f>
        <v>ELET PH JUNÇÃO ABERTA SOL.ELET.VISC.CONBCNFC240B CALIB,. REQ</v>
      </c>
      <c r="C9554" s="2" t="str">
        <f t="shared" si="368"/>
        <v>UN</v>
      </c>
      <c r="D9554" s="7">
        <v>406</v>
      </c>
      <c r="E9554" s="3">
        <v>4</v>
      </c>
      <c r="F9554" s="3">
        <v>4</v>
      </c>
      <c r="G9554" t="s">
        <v>514</v>
      </c>
    </row>
    <row r="9555" spans="1:7" x14ac:dyDescent="0.25">
      <c r="A9555" s="1" t="str">
        <f>"515593"</f>
        <v>515593</v>
      </c>
      <c r="B9555" s="2" t="str">
        <f>"ELETRIFICADOR CERCA"</f>
        <v>ELETRIFICADOR CERCA</v>
      </c>
      <c r="C9555" s="2" t="str">
        <f t="shared" si="368"/>
        <v>UN</v>
      </c>
      <c r="D9555" s="7">
        <v>917</v>
      </c>
      <c r="E9555" s="3">
        <v>4</v>
      </c>
      <c r="F9555" s="3">
        <v>4</v>
      </c>
      <c r="G9555" t="s">
        <v>515</v>
      </c>
    </row>
    <row r="9556" spans="1:7" x14ac:dyDescent="0.25">
      <c r="A9556" s="1" t="str">
        <f>"514516"</f>
        <v>514516</v>
      </c>
      <c r="B9556" s="2" t="str">
        <f>"ELETRO VENTILADOR 10"" 12V"</f>
        <v>ELETRO VENTILADOR 10" 12V</v>
      </c>
      <c r="C9556" s="2" t="str">
        <f t="shared" si="368"/>
        <v>UN</v>
      </c>
      <c r="D9556" s="7">
        <v>704</v>
      </c>
      <c r="E9556" s="3">
        <v>9</v>
      </c>
      <c r="F9556" s="3">
        <v>9</v>
      </c>
      <c r="G9556" t="s">
        <v>512</v>
      </c>
    </row>
    <row r="9557" spans="1:7" x14ac:dyDescent="0.25">
      <c r="A9557" s="1" t="str">
        <f>"513659"</f>
        <v>513659</v>
      </c>
      <c r="B9557" s="2" t="str">
        <f>"ELETRO VENTILADOR VW1.0 SAVEIRO"</f>
        <v>ELETRO VENTILADOR VW1.0 SAVEIRO</v>
      </c>
      <c r="C9557" s="2" t="str">
        <f t="shared" si="368"/>
        <v>UN</v>
      </c>
      <c r="D9557" s="7">
        <v>99999</v>
      </c>
      <c r="E9557" s="3">
        <v>99</v>
      </c>
      <c r="F9557" s="3">
        <v>99</v>
      </c>
      <c r="G9557" t="s">
        <v>516</v>
      </c>
    </row>
    <row r="9558" spans="1:7" x14ac:dyDescent="0.25">
      <c r="A9558" s="1" t="str">
        <f>"523035"</f>
        <v>523035</v>
      </c>
      <c r="B9558" s="2" t="str">
        <f>"ELETROBOMBA 24V"</f>
        <v>ELETROBOMBA 24V</v>
      </c>
      <c r="C9558" s="2" t="str">
        <f t="shared" si="368"/>
        <v>UN</v>
      </c>
      <c r="D9558" s="7">
        <v>99999</v>
      </c>
      <c r="E9558" s="3">
        <v>99</v>
      </c>
      <c r="F9558" s="3">
        <v>99</v>
      </c>
      <c r="G9558" t="s">
        <v>515</v>
      </c>
    </row>
    <row r="9559" spans="1:7" x14ac:dyDescent="0.25">
      <c r="A9559" s="1" t="str">
        <f>"507062"</f>
        <v>507062</v>
      </c>
      <c r="B9559" s="2" t="str">
        <f>"ELETROBOMBA ELETROLUX 40MM 127V"</f>
        <v>ELETROBOMBA ELETROLUX 40MM 127V</v>
      </c>
      <c r="C9559" s="2" t="str">
        <f t="shared" si="368"/>
        <v>UN</v>
      </c>
      <c r="D9559" s="7">
        <v>811</v>
      </c>
      <c r="E9559" s="3">
        <v>8</v>
      </c>
      <c r="F9559" s="3">
        <v>8</v>
      </c>
      <c r="G9559" t="s">
        <v>514</v>
      </c>
    </row>
    <row r="9560" spans="1:7" x14ac:dyDescent="0.25">
      <c r="A9560" s="1" t="str">
        <f>"525590"</f>
        <v>525590</v>
      </c>
      <c r="B9560" s="2" t="str">
        <f>"ELETROCALHA ARAMADA 400X100X3000MM 3/16"</f>
        <v>ELETROCALHA ARAMADA 400X100X3000MM 3/16</v>
      </c>
      <c r="C9560" s="2" t="str">
        <f t="shared" si="368"/>
        <v>UN</v>
      </c>
      <c r="D9560" s="7">
        <v>900</v>
      </c>
      <c r="E9560" s="3">
        <v>11</v>
      </c>
      <c r="F9560" s="3">
        <v>11</v>
      </c>
      <c r="G9560" t="s">
        <v>512</v>
      </c>
    </row>
    <row r="9561" spans="1:7" x14ac:dyDescent="0.25">
      <c r="A9561" s="1" t="str">
        <f>"522414"</f>
        <v>522414</v>
      </c>
      <c r="B9561" s="2" t="str">
        <f>"ELETROCALHA ARAMADA BM014"</f>
        <v>ELETROCALHA ARAMADA BM014</v>
      </c>
      <c r="C9561" s="2" t="str">
        <f t="shared" si="368"/>
        <v>UN</v>
      </c>
      <c r="D9561" s="7">
        <v>601</v>
      </c>
      <c r="E9561" s="3">
        <v>8</v>
      </c>
      <c r="F9561" s="3">
        <v>8</v>
      </c>
      <c r="G9561" t="s">
        <v>513</v>
      </c>
    </row>
    <row r="9562" spans="1:7" x14ac:dyDescent="0.25">
      <c r="A9562" s="1" t="str">
        <f>"508388"</f>
        <v>508388</v>
      </c>
      <c r="B9562" s="2" t="str">
        <f>"ELETROCALHA COTOVELO RETO 200X100"</f>
        <v>ELETROCALHA COTOVELO RETO 200X100</v>
      </c>
      <c r="C9562" s="2" t="str">
        <f t="shared" si="368"/>
        <v>UN</v>
      </c>
      <c r="D9562" s="7">
        <v>811</v>
      </c>
      <c r="E9562" s="3">
        <v>10</v>
      </c>
      <c r="F9562" s="3">
        <v>10</v>
      </c>
      <c r="G9562" t="s">
        <v>514</v>
      </c>
    </row>
    <row r="9563" spans="1:7" x14ac:dyDescent="0.25">
      <c r="A9563" s="1" t="str">
        <f>"510047"</f>
        <v>510047</v>
      </c>
      <c r="B9563" s="2" t="str">
        <f>"ELETROCALHA COTOVELO RETO 300X100"</f>
        <v>ELETROCALHA COTOVELO RETO 300X100</v>
      </c>
      <c r="C9563" s="2" t="str">
        <f t="shared" si="368"/>
        <v>UN</v>
      </c>
      <c r="D9563" s="7">
        <v>601</v>
      </c>
      <c r="E9563" s="3">
        <v>8</v>
      </c>
      <c r="F9563" s="3">
        <v>8</v>
      </c>
      <c r="G9563" t="s">
        <v>514</v>
      </c>
    </row>
    <row r="9564" spans="1:7" x14ac:dyDescent="0.25">
      <c r="A9564" s="1" t="str">
        <f>"505410"</f>
        <v>505410</v>
      </c>
      <c r="B9564" s="2" t="str">
        <f>"ELETROCALHA CURVA E-17 100X50MM C/TAMPA"</f>
        <v>ELETROCALHA CURVA E-17 100X50MM C/TAMPA</v>
      </c>
      <c r="C9564" s="2" t="str">
        <f t="shared" si="368"/>
        <v>UN</v>
      </c>
      <c r="D9564" s="7">
        <v>601</v>
      </c>
      <c r="E9564" s="3">
        <v>8</v>
      </c>
      <c r="F9564" s="3">
        <v>8</v>
      </c>
      <c r="G9564" t="s">
        <v>512</v>
      </c>
    </row>
    <row r="9565" spans="1:7" x14ac:dyDescent="0.25">
      <c r="A9565" s="1" t="str">
        <f>"505409"</f>
        <v>505409</v>
      </c>
      <c r="B9565" s="2" t="str">
        <f>"ELETROCALHA CURVA E-17 200X100MM C/TAMPA"</f>
        <v>ELETROCALHA CURVA E-17 200X100MM C/TAMPA</v>
      </c>
      <c r="C9565" s="2" t="str">
        <f t="shared" si="368"/>
        <v>UN</v>
      </c>
      <c r="D9565" s="7">
        <v>601</v>
      </c>
      <c r="E9565" s="3">
        <v>8</v>
      </c>
      <c r="F9565" s="3">
        <v>8</v>
      </c>
      <c r="G9565" t="s">
        <v>513</v>
      </c>
    </row>
    <row r="9566" spans="1:7" x14ac:dyDescent="0.25">
      <c r="A9566" s="1" t="str">
        <f>"505411"</f>
        <v>505411</v>
      </c>
      <c r="B9566" s="2" t="str">
        <f>"ELETROCALHA CURVA E-18 100X50MM C/TAMPA"</f>
        <v>ELETROCALHA CURVA E-18 100X50MM C/TAMPA</v>
      </c>
      <c r="C9566" s="2" t="str">
        <f t="shared" si="368"/>
        <v>UN</v>
      </c>
      <c r="D9566" s="7">
        <v>600</v>
      </c>
      <c r="E9566" s="3">
        <v>8</v>
      </c>
      <c r="F9566" s="3">
        <v>8</v>
      </c>
      <c r="G9566" t="s">
        <v>514</v>
      </c>
    </row>
    <row r="9567" spans="1:7" x14ac:dyDescent="0.25">
      <c r="A9567" s="1" t="str">
        <f>"505408"</f>
        <v>505408</v>
      </c>
      <c r="B9567" s="2" t="str">
        <f>"ELETROCALHA CURVA HORIZONTAL E-06 100X100MM"</f>
        <v>ELETROCALHA CURVA HORIZONTAL E-06 100X100MM</v>
      </c>
      <c r="C9567" s="2" t="str">
        <f t="shared" si="368"/>
        <v>UN</v>
      </c>
      <c r="D9567" s="7">
        <v>601</v>
      </c>
      <c r="E9567" s="3">
        <v>8</v>
      </c>
      <c r="F9567" s="3">
        <v>8</v>
      </c>
      <c r="G9567" t="s">
        <v>514</v>
      </c>
    </row>
    <row r="9568" spans="1:7" x14ac:dyDescent="0.25">
      <c r="A9568" s="1" t="str">
        <f>"510550"</f>
        <v>510550</v>
      </c>
      <c r="B9568" s="2" t="str">
        <f>"ELETROCALHA CURVA PAS.SUBIDA 90º 200X100"</f>
        <v>ELETROCALHA CURVA PAS.SUBIDA 90º 200X100</v>
      </c>
      <c r="C9568" s="2" t="str">
        <f t="shared" si="368"/>
        <v>UN</v>
      </c>
      <c r="D9568" s="7">
        <v>601</v>
      </c>
      <c r="E9568" s="3">
        <v>8</v>
      </c>
      <c r="F9568" s="3">
        <v>8</v>
      </c>
      <c r="G9568" t="s">
        <v>514</v>
      </c>
    </row>
    <row r="9569" spans="1:7" x14ac:dyDescent="0.25">
      <c r="A9569" s="1" t="str">
        <f>"510561"</f>
        <v>510561</v>
      </c>
      <c r="B9569" s="2" t="str">
        <f>"ELETROCALHA CURVA PAS.SUBIDA 90º 300X100"</f>
        <v>ELETROCALHA CURVA PAS.SUBIDA 90º 300X100</v>
      </c>
      <c r="C9569" s="2" t="str">
        <f t="shared" si="368"/>
        <v>UN</v>
      </c>
      <c r="D9569" s="7">
        <v>601</v>
      </c>
      <c r="E9569" s="3">
        <v>8</v>
      </c>
      <c r="F9569" s="3">
        <v>8</v>
      </c>
      <c r="G9569" t="s">
        <v>513</v>
      </c>
    </row>
    <row r="9570" spans="1:7" x14ac:dyDescent="0.25">
      <c r="A9570" s="1" t="str">
        <f>"506061"</f>
        <v>506061</v>
      </c>
      <c r="B9570" s="2" t="str">
        <f>"ELETROCALHA CURVA VERT EXTERNA 100X50MM"</f>
        <v>ELETROCALHA CURVA VERT EXTERNA 100X50MM</v>
      </c>
      <c r="C9570" s="2" t="str">
        <f t="shared" si="368"/>
        <v>UN</v>
      </c>
      <c r="D9570" s="7">
        <v>601</v>
      </c>
      <c r="E9570" s="3">
        <v>8</v>
      </c>
      <c r="F9570" s="3">
        <v>8</v>
      </c>
      <c r="G9570" t="s">
        <v>512</v>
      </c>
    </row>
    <row r="9571" spans="1:7" x14ac:dyDescent="0.25">
      <c r="A9571" s="1" t="str">
        <f>"509458"</f>
        <v>509458</v>
      </c>
      <c r="B9571" s="2" t="str">
        <f>"ELETROCALHA CURVA VERT. INT 90º 300X100"</f>
        <v>ELETROCALHA CURVA VERT. INT 90º 300X100</v>
      </c>
      <c r="C9571" s="2" t="str">
        <f t="shared" si="368"/>
        <v>UN</v>
      </c>
      <c r="D9571" s="7">
        <v>601</v>
      </c>
      <c r="E9571" s="3">
        <v>8</v>
      </c>
      <c r="F9571" s="3">
        <v>8</v>
      </c>
      <c r="G9571" t="s">
        <v>513</v>
      </c>
    </row>
    <row r="9572" spans="1:7" x14ac:dyDescent="0.25">
      <c r="A9572" s="1" t="str">
        <f>"523906"</f>
        <v>523906</v>
      </c>
      <c r="B9572" s="2" t="str">
        <f>"ELETROCALHA CURVA VERTICAL E-06 100X100MM"</f>
        <v>ELETROCALHA CURVA VERTICAL E-06 100X100MM</v>
      </c>
      <c r="C9572" s="2" t="str">
        <f t="shared" si="368"/>
        <v>UN</v>
      </c>
      <c r="D9572" s="7">
        <v>601</v>
      </c>
      <c r="E9572" s="3">
        <v>8</v>
      </c>
      <c r="F9572" s="3">
        <v>8</v>
      </c>
      <c r="G9572" t="s">
        <v>514</v>
      </c>
    </row>
    <row r="9573" spans="1:7" x14ac:dyDescent="0.25">
      <c r="A9573" s="1" t="str">
        <f>"510094"</f>
        <v>510094</v>
      </c>
      <c r="B9573" s="2" t="str">
        <f>"ELETROCALHA EMENDA 300 X 100"</f>
        <v>ELETROCALHA EMENDA 300 X 100</v>
      </c>
      <c r="C9573" s="2" t="str">
        <f t="shared" si="368"/>
        <v>UN</v>
      </c>
      <c r="D9573" s="7">
        <v>917</v>
      </c>
      <c r="E9573" s="3">
        <v>11</v>
      </c>
      <c r="F9573" s="3">
        <v>11</v>
      </c>
      <c r="G9573" t="s">
        <v>514</v>
      </c>
    </row>
    <row r="9574" spans="1:7" x14ac:dyDescent="0.25">
      <c r="A9574" s="1" t="str">
        <f>"526265"</f>
        <v>526265</v>
      </c>
      <c r="B9574" s="2" t="str">
        <f>"ELETROCALHA GALV 100x100"</f>
        <v>ELETROCALHA GALV 100x100</v>
      </c>
      <c r="C9574" s="2" t="str">
        <f t="shared" si="368"/>
        <v>UN</v>
      </c>
      <c r="D9574" s="7">
        <v>811</v>
      </c>
      <c r="E9574" s="3">
        <v>8</v>
      </c>
      <c r="F9574" s="3">
        <v>8</v>
      </c>
      <c r="G9574" t="s">
        <v>514</v>
      </c>
    </row>
    <row r="9575" spans="1:7" x14ac:dyDescent="0.25">
      <c r="A9575" s="1" t="str">
        <f>"511337"</f>
        <v>511337</v>
      </c>
      <c r="B9575" s="2" t="str">
        <f>"ELETROCALHA GALV 38X38 BASE 4 FUROS"</f>
        <v>ELETROCALHA GALV 38X38 BASE 4 FUROS</v>
      </c>
      <c r="C9575" s="2" t="str">
        <f t="shared" si="368"/>
        <v>UN</v>
      </c>
      <c r="D9575" s="7">
        <v>601</v>
      </c>
      <c r="E9575" s="3">
        <v>8</v>
      </c>
      <c r="F9575" s="3">
        <v>8</v>
      </c>
      <c r="G9575" t="s">
        <v>513</v>
      </c>
    </row>
    <row r="9576" spans="1:7" x14ac:dyDescent="0.25">
      <c r="A9576" s="1" t="str">
        <f>"511340"</f>
        <v>511340</v>
      </c>
      <c r="B9576" s="2" t="str">
        <f>"ELETROCALHA GALV 38X38 CANTONEIRA ZZ"</f>
        <v>ELETROCALHA GALV 38X38 CANTONEIRA ZZ</v>
      </c>
      <c r="C9576" s="2" t="str">
        <f t="shared" si="368"/>
        <v>UN</v>
      </c>
      <c r="D9576" s="7">
        <v>601</v>
      </c>
      <c r="E9576" s="3">
        <v>8</v>
      </c>
      <c r="F9576" s="3">
        <v>8</v>
      </c>
      <c r="G9576" t="s">
        <v>513</v>
      </c>
    </row>
    <row r="9577" spans="1:7" x14ac:dyDescent="0.25">
      <c r="A9577" s="1" t="str">
        <f>"509453"</f>
        <v>509453</v>
      </c>
      <c r="B9577" s="2" t="str">
        <f>"ELETROCALHA GALV CALHA PERF 100X50"</f>
        <v>ELETROCALHA GALV CALHA PERF 100X50</v>
      </c>
      <c r="C9577" s="2" t="str">
        <f t="shared" si="368"/>
        <v>UN</v>
      </c>
      <c r="D9577" s="7">
        <v>601</v>
      </c>
      <c r="E9577" s="3">
        <v>8</v>
      </c>
      <c r="F9577" s="3">
        <v>8</v>
      </c>
      <c r="G9577" t="s">
        <v>513</v>
      </c>
    </row>
    <row r="9578" spans="1:7" x14ac:dyDescent="0.25">
      <c r="A9578" s="1" t="str">
        <f>"508862"</f>
        <v>508862</v>
      </c>
      <c r="B9578" s="2" t="str">
        <f>"ELETROCALHA GALV CALHA PERF 200X100"</f>
        <v>ELETROCALHA GALV CALHA PERF 200X100</v>
      </c>
      <c r="C9578" s="2" t="str">
        <f t="shared" si="368"/>
        <v>UN</v>
      </c>
      <c r="D9578" s="7">
        <v>601</v>
      </c>
      <c r="E9578" s="3">
        <v>8</v>
      </c>
      <c r="F9578" s="3">
        <v>8</v>
      </c>
      <c r="G9578" t="s">
        <v>512</v>
      </c>
    </row>
    <row r="9579" spans="1:7" x14ac:dyDescent="0.25">
      <c r="A9579" s="1" t="str">
        <f>"518398"</f>
        <v>518398</v>
      </c>
      <c r="B9579" s="2" t="str">
        <f>"ELETROCALHA GALV CALHA PERF 200X50"</f>
        <v>ELETROCALHA GALV CALHA PERF 200X50</v>
      </c>
      <c r="C9579" s="2" t="str">
        <f t="shared" si="368"/>
        <v>UN</v>
      </c>
      <c r="D9579" s="7">
        <v>601</v>
      </c>
      <c r="E9579" s="3">
        <v>8</v>
      </c>
      <c r="F9579" s="3">
        <v>8</v>
      </c>
      <c r="G9579" t="s">
        <v>513</v>
      </c>
    </row>
    <row r="9580" spans="1:7" x14ac:dyDescent="0.25">
      <c r="A9580" s="1" t="str">
        <f>"508608"</f>
        <v>508608</v>
      </c>
      <c r="B9580" s="2" t="str">
        <f>"ELETROCALHA GALV CALHA PERF 300X100"</f>
        <v>ELETROCALHA GALV CALHA PERF 300X100</v>
      </c>
      <c r="C9580" s="2" t="str">
        <f t="shared" si="368"/>
        <v>UN</v>
      </c>
      <c r="D9580" s="7">
        <v>917</v>
      </c>
      <c r="E9580" s="3">
        <v>11</v>
      </c>
      <c r="F9580" s="3">
        <v>11</v>
      </c>
      <c r="G9580" t="s">
        <v>514</v>
      </c>
    </row>
    <row r="9581" spans="1:7" x14ac:dyDescent="0.25">
      <c r="A9581" s="1" t="str">
        <f>"511339"</f>
        <v>511339</v>
      </c>
      <c r="B9581" s="2" t="str">
        <f>"ELETROCALHA GALV CALHA PERF 38X38"</f>
        <v>ELETROCALHA GALV CALHA PERF 38X38</v>
      </c>
      <c r="C9581" s="2" t="str">
        <f t="shared" ref="C9581:C9612" si="369">"UN"</f>
        <v>UN</v>
      </c>
      <c r="D9581" s="7">
        <v>601</v>
      </c>
      <c r="E9581" s="3">
        <v>8</v>
      </c>
      <c r="F9581" s="3">
        <v>8</v>
      </c>
      <c r="G9581" t="s">
        <v>515</v>
      </c>
    </row>
    <row r="9582" spans="1:7" x14ac:dyDescent="0.25">
      <c r="A9582" s="1" t="str">
        <f>"511830"</f>
        <v>511830</v>
      </c>
      <c r="B9582" s="2" t="str">
        <f>"ELETROCALHA GALV CALHA PERF 50X50"</f>
        <v>ELETROCALHA GALV CALHA PERF 50X50</v>
      </c>
      <c r="C9582" s="2" t="str">
        <f t="shared" si="369"/>
        <v>UN</v>
      </c>
      <c r="D9582" s="7">
        <v>601</v>
      </c>
      <c r="E9582" s="3">
        <v>8</v>
      </c>
      <c r="F9582" s="3">
        <v>8</v>
      </c>
      <c r="G9582" t="s">
        <v>512</v>
      </c>
    </row>
    <row r="9583" spans="1:7" x14ac:dyDescent="0.25">
      <c r="A9583" s="1" t="str">
        <f>"511168"</f>
        <v>511168</v>
      </c>
      <c r="B9583" s="2" t="str">
        <f>"ELETROCALHA GALV CURVA HOR EX 100X50 45º"</f>
        <v>ELETROCALHA GALV CURVA HOR EX 100X50 45º</v>
      </c>
      <c r="C9583" s="2" t="str">
        <f t="shared" si="369"/>
        <v>UN</v>
      </c>
      <c r="D9583" s="7">
        <v>601</v>
      </c>
      <c r="E9583" s="3">
        <v>8</v>
      </c>
      <c r="F9583" s="3">
        <v>8</v>
      </c>
      <c r="G9583" t="s">
        <v>516</v>
      </c>
    </row>
    <row r="9584" spans="1:7" x14ac:dyDescent="0.25">
      <c r="A9584" s="1" t="str">
        <f>"506338"</f>
        <v>506338</v>
      </c>
      <c r="B9584" s="2" t="str">
        <f>"ELETROCALHA GALV CURVA HORIZ 100X50"</f>
        <v>ELETROCALHA GALV CURVA HORIZ 100X50</v>
      </c>
      <c r="C9584" s="2" t="str">
        <f t="shared" si="369"/>
        <v>UN</v>
      </c>
      <c r="D9584" s="7">
        <v>601</v>
      </c>
      <c r="E9584" s="3">
        <v>8</v>
      </c>
      <c r="F9584" s="3">
        <v>8</v>
      </c>
      <c r="G9584" t="s">
        <v>515</v>
      </c>
    </row>
    <row r="9585" spans="1:7" x14ac:dyDescent="0.25">
      <c r="A9585" s="1" t="str">
        <f>"506335"</f>
        <v>506335</v>
      </c>
      <c r="B9585" s="2" t="str">
        <f>"ELETROCALHA GALV CURVA HORIZ 200X100"</f>
        <v>ELETROCALHA GALV CURVA HORIZ 200X100</v>
      </c>
      <c r="C9585" s="2" t="str">
        <f t="shared" si="369"/>
        <v>UN</v>
      </c>
      <c r="D9585" s="7">
        <v>601</v>
      </c>
      <c r="E9585" s="3">
        <v>8</v>
      </c>
      <c r="F9585" s="3">
        <v>8</v>
      </c>
      <c r="G9585" t="s">
        <v>514</v>
      </c>
    </row>
    <row r="9586" spans="1:7" x14ac:dyDescent="0.25">
      <c r="A9586" s="1" t="str">
        <f>"511872"</f>
        <v>511872</v>
      </c>
      <c r="B9586" s="2" t="str">
        <f>"ELETROCALHA GALV CURVA HORIZ 38X38"</f>
        <v>ELETROCALHA GALV CURVA HORIZ 38X38</v>
      </c>
      <c r="C9586" s="2" t="str">
        <f t="shared" si="369"/>
        <v>UN</v>
      </c>
      <c r="D9586" s="7">
        <v>601</v>
      </c>
      <c r="E9586" s="3">
        <v>8</v>
      </c>
      <c r="F9586" s="3">
        <v>8</v>
      </c>
      <c r="G9586" t="s">
        <v>512</v>
      </c>
    </row>
    <row r="9587" spans="1:7" x14ac:dyDescent="0.25">
      <c r="A9587" s="1" t="str">
        <f>"518359"</f>
        <v>518359</v>
      </c>
      <c r="B9587" s="2" t="str">
        <f>"ELETROCALHA GALV CURVA HORIZ. 50X50"</f>
        <v>ELETROCALHA GALV CURVA HORIZ. 50X50</v>
      </c>
      <c r="C9587" s="2" t="str">
        <f t="shared" si="369"/>
        <v>UN</v>
      </c>
      <c r="D9587" s="7">
        <v>601</v>
      </c>
      <c r="E9587" s="3">
        <v>8</v>
      </c>
      <c r="F9587" s="3">
        <v>8</v>
      </c>
      <c r="G9587" t="s">
        <v>513</v>
      </c>
    </row>
    <row r="9588" spans="1:7" x14ac:dyDescent="0.25">
      <c r="A9588" s="1" t="str">
        <f>"511348"</f>
        <v>511348</v>
      </c>
      <c r="B9588" s="2" t="str">
        <f>"ELETROCALHA GALV CURVA INV 200X100"</f>
        <v>ELETROCALHA GALV CURVA INV 200X100</v>
      </c>
      <c r="C9588" s="2" t="str">
        <f t="shared" si="369"/>
        <v>UN</v>
      </c>
      <c r="D9588" s="7">
        <v>601</v>
      </c>
      <c r="E9588" s="3">
        <v>8</v>
      </c>
      <c r="F9588" s="3">
        <v>8</v>
      </c>
      <c r="G9588" t="s">
        <v>514</v>
      </c>
    </row>
    <row r="9589" spans="1:7" x14ac:dyDescent="0.25">
      <c r="A9589" s="1" t="str">
        <f>"511167"</f>
        <v>511167</v>
      </c>
      <c r="B9589" s="2" t="str">
        <f>"ELETROCALHA GALV CURVA VER IN 100X50 45º"</f>
        <v>ELETROCALHA GALV CURVA VER IN 100X50 45º</v>
      </c>
      <c r="C9589" s="2" t="str">
        <f t="shared" si="369"/>
        <v>UN</v>
      </c>
      <c r="D9589" s="7">
        <v>601</v>
      </c>
      <c r="E9589" s="3">
        <v>8</v>
      </c>
      <c r="F9589" s="3">
        <v>8</v>
      </c>
      <c r="G9589" t="s">
        <v>514</v>
      </c>
    </row>
    <row r="9590" spans="1:7" x14ac:dyDescent="0.25">
      <c r="A9590" s="1" t="str">
        <f>"510587"</f>
        <v>510587</v>
      </c>
      <c r="B9590" s="2" t="str">
        <f>"ELETROCALHA GALV CURVA VERT 200X100"</f>
        <v>ELETROCALHA GALV CURVA VERT 200X100</v>
      </c>
      <c r="C9590" s="2" t="str">
        <f t="shared" si="369"/>
        <v>UN</v>
      </c>
      <c r="D9590" s="7">
        <v>601</v>
      </c>
      <c r="E9590" s="3">
        <v>8</v>
      </c>
      <c r="F9590" s="3">
        <v>8</v>
      </c>
      <c r="G9590" t="s">
        <v>512</v>
      </c>
    </row>
    <row r="9591" spans="1:7" x14ac:dyDescent="0.25">
      <c r="A9591" s="1" t="str">
        <f>"516434"</f>
        <v>516434</v>
      </c>
      <c r="B9591" s="2" t="str">
        <f>"ELETROCALHA GALV CURVA VERT EXT 100X50"</f>
        <v>ELETROCALHA GALV CURVA VERT EXT 100X50</v>
      </c>
      <c r="C9591" s="2" t="str">
        <f t="shared" si="369"/>
        <v>UN</v>
      </c>
      <c r="D9591" s="7">
        <v>811</v>
      </c>
      <c r="E9591" s="3">
        <v>8</v>
      </c>
      <c r="F9591" s="3">
        <v>8</v>
      </c>
      <c r="G9591" t="s">
        <v>513</v>
      </c>
    </row>
    <row r="9592" spans="1:7" x14ac:dyDescent="0.25">
      <c r="A9592" s="1" t="str">
        <f>"518657"</f>
        <v>518657</v>
      </c>
      <c r="B9592" s="2" t="str">
        <f>"ELETROCALHA GALV CURVA VERT EXT 200X100"</f>
        <v>ELETROCALHA GALV CURVA VERT EXT 200X100</v>
      </c>
      <c r="C9592" s="2" t="str">
        <f t="shared" si="369"/>
        <v>UN</v>
      </c>
      <c r="D9592" s="7">
        <v>601</v>
      </c>
      <c r="E9592" s="3">
        <v>8</v>
      </c>
      <c r="F9592" s="3">
        <v>8</v>
      </c>
      <c r="G9592" t="s">
        <v>514</v>
      </c>
    </row>
    <row r="9593" spans="1:7" x14ac:dyDescent="0.25">
      <c r="A9593" s="1" t="str">
        <f>"509679"</f>
        <v>509679</v>
      </c>
      <c r="B9593" s="2" t="str">
        <f>"ELETROCALHA GALV CURVA VERT EXT 300X100"</f>
        <v>ELETROCALHA GALV CURVA VERT EXT 300X100</v>
      </c>
      <c r="C9593" s="2" t="str">
        <f t="shared" si="369"/>
        <v>UN</v>
      </c>
      <c r="D9593" s="7">
        <v>601</v>
      </c>
      <c r="E9593" s="3">
        <v>8</v>
      </c>
      <c r="F9593" s="3">
        <v>8</v>
      </c>
      <c r="G9593" t="s">
        <v>514</v>
      </c>
    </row>
    <row r="9594" spans="1:7" x14ac:dyDescent="0.25">
      <c r="A9594" s="1" t="str">
        <f>"511874"</f>
        <v>511874</v>
      </c>
      <c r="B9594" s="2" t="str">
        <f>"ELETROCALHA GALV CURVA VERT EXT 38X38"</f>
        <v>ELETROCALHA GALV CURVA VERT EXT 38X38</v>
      </c>
      <c r="C9594" s="2" t="str">
        <f t="shared" si="369"/>
        <v>UN</v>
      </c>
      <c r="D9594" s="7">
        <v>601</v>
      </c>
      <c r="E9594" s="3">
        <v>8</v>
      </c>
      <c r="F9594" s="3">
        <v>8</v>
      </c>
      <c r="G9594" t="s">
        <v>514</v>
      </c>
    </row>
    <row r="9595" spans="1:7" x14ac:dyDescent="0.25">
      <c r="A9595" s="1" t="str">
        <f>"518358"</f>
        <v>518358</v>
      </c>
      <c r="B9595" s="2" t="str">
        <f>"ELETROCALHA GALV CURVA VERT EXT 50X50"</f>
        <v>ELETROCALHA GALV CURVA VERT EXT 50X50</v>
      </c>
      <c r="C9595" s="2" t="str">
        <f t="shared" si="369"/>
        <v>UN</v>
      </c>
      <c r="D9595" s="7">
        <v>601</v>
      </c>
      <c r="E9595" s="3">
        <v>8</v>
      </c>
      <c r="F9595" s="3">
        <v>8</v>
      </c>
      <c r="G9595" t="s">
        <v>513</v>
      </c>
    </row>
    <row r="9596" spans="1:7" x14ac:dyDescent="0.25">
      <c r="A9596" s="1" t="str">
        <f>"509680"</f>
        <v>509680</v>
      </c>
      <c r="B9596" s="2" t="str">
        <f>"ELETROCALHA GALV CURVA VERT EXT 90G 300"</f>
        <v>ELETROCALHA GALV CURVA VERT EXT 90G 300</v>
      </c>
      <c r="C9596" s="2" t="str">
        <f t="shared" si="369"/>
        <v>UN</v>
      </c>
      <c r="D9596" s="7">
        <v>601</v>
      </c>
      <c r="E9596" s="3">
        <v>8</v>
      </c>
      <c r="F9596" s="3">
        <v>8</v>
      </c>
      <c r="G9596" t="s">
        <v>512</v>
      </c>
    </row>
    <row r="9597" spans="1:7" x14ac:dyDescent="0.25">
      <c r="A9597" s="1" t="str">
        <f>"510980"</f>
        <v>510980</v>
      </c>
      <c r="B9597" s="2" t="str">
        <f>"ELETROCALHA GALV CURVA VERT INT 100X50"</f>
        <v>ELETROCALHA GALV CURVA VERT INT 100X50</v>
      </c>
      <c r="C9597" s="2" t="str">
        <f t="shared" si="369"/>
        <v>UN</v>
      </c>
      <c r="D9597" s="7">
        <v>601</v>
      </c>
      <c r="E9597" s="3">
        <v>8</v>
      </c>
      <c r="F9597" s="3">
        <v>8</v>
      </c>
      <c r="G9597" t="s">
        <v>513</v>
      </c>
    </row>
    <row r="9598" spans="1:7" x14ac:dyDescent="0.25">
      <c r="A9598" s="1" t="str">
        <f>"511873"</f>
        <v>511873</v>
      </c>
      <c r="B9598" s="2" t="str">
        <f>"ELETROCALHA GALV CURVA VERT INT 38X38"</f>
        <v>ELETROCALHA GALV CURVA VERT INT 38X38</v>
      </c>
      <c r="C9598" s="2" t="str">
        <f t="shared" si="369"/>
        <v>UN</v>
      </c>
      <c r="D9598" s="7">
        <v>601</v>
      </c>
      <c r="E9598" s="3">
        <v>8</v>
      </c>
      <c r="F9598" s="3">
        <v>8</v>
      </c>
      <c r="G9598" t="s">
        <v>514</v>
      </c>
    </row>
    <row r="9599" spans="1:7" x14ac:dyDescent="0.25">
      <c r="A9599" s="1" t="str">
        <f>"518357"</f>
        <v>518357</v>
      </c>
      <c r="B9599" s="2" t="str">
        <f>"ELETROCALHA GALV CURVA VERT INT 50X50"</f>
        <v>ELETROCALHA GALV CURVA VERT INT 50X50</v>
      </c>
      <c r="C9599" s="2" t="str">
        <f t="shared" si="369"/>
        <v>UN</v>
      </c>
      <c r="D9599" s="7">
        <v>601</v>
      </c>
      <c r="E9599" s="3">
        <v>8</v>
      </c>
      <c r="F9599" s="3">
        <v>8</v>
      </c>
      <c r="G9599" t="s">
        <v>514</v>
      </c>
    </row>
    <row r="9600" spans="1:7" x14ac:dyDescent="0.25">
      <c r="A9600" s="1" t="str">
        <f>"515857"</f>
        <v>515857</v>
      </c>
      <c r="B9600" s="2" t="str">
        <f>"ELETROCALHA GALV CURVA VERTICAL 100X50 45º"</f>
        <v>ELETROCALHA GALV CURVA VERTICAL 100X50 45º</v>
      </c>
      <c r="C9600" s="2" t="str">
        <f t="shared" si="369"/>
        <v>UN</v>
      </c>
      <c r="D9600" s="7">
        <v>99999</v>
      </c>
      <c r="E9600" s="3">
        <v>99</v>
      </c>
      <c r="F9600" s="3">
        <v>99</v>
      </c>
      <c r="G9600" t="s">
        <v>514</v>
      </c>
    </row>
    <row r="9601" spans="1:7" x14ac:dyDescent="0.25">
      <c r="A9601" s="1" t="str">
        <f>"511831"</f>
        <v>511831</v>
      </c>
      <c r="B9601" s="2" t="str">
        <f>"ELETROCALHA GALV ELENDA U 50X50"</f>
        <v>ELETROCALHA GALV ELENDA U 50X50</v>
      </c>
      <c r="C9601" s="2" t="str">
        <f t="shared" si="369"/>
        <v>UN</v>
      </c>
      <c r="D9601" s="7">
        <v>601</v>
      </c>
      <c r="E9601" s="3">
        <v>8</v>
      </c>
      <c r="F9601" s="3">
        <v>8</v>
      </c>
      <c r="G9601" t="s">
        <v>513</v>
      </c>
    </row>
    <row r="9602" spans="1:7" x14ac:dyDescent="0.25">
      <c r="A9602" s="1" t="str">
        <f>"515855"</f>
        <v>515855</v>
      </c>
      <c r="B9602" s="2" t="str">
        <f>"ELETROCALHA GALV EMENDA I 38X38"</f>
        <v>ELETROCALHA GALV EMENDA I 38X38</v>
      </c>
      <c r="C9602" s="2" t="str">
        <f t="shared" si="369"/>
        <v>UN</v>
      </c>
      <c r="D9602" s="7">
        <v>99999</v>
      </c>
      <c r="E9602" s="3">
        <v>99</v>
      </c>
      <c r="F9602" s="3">
        <v>99</v>
      </c>
      <c r="G9602" t="s">
        <v>513</v>
      </c>
    </row>
    <row r="9603" spans="1:7" x14ac:dyDescent="0.25">
      <c r="A9603" s="1" t="str">
        <f>"515846"</f>
        <v>515846</v>
      </c>
      <c r="B9603" s="2" t="str">
        <f>"ELETROCALHA GALV EMENDA L 38X38"</f>
        <v>ELETROCALHA GALV EMENDA L 38X38</v>
      </c>
      <c r="C9603" s="2" t="str">
        <f t="shared" si="369"/>
        <v>UN</v>
      </c>
      <c r="D9603" s="7">
        <v>99999</v>
      </c>
      <c r="E9603" s="3">
        <v>99</v>
      </c>
      <c r="F9603" s="3">
        <v>99</v>
      </c>
      <c r="G9603" t="s">
        <v>513</v>
      </c>
    </row>
    <row r="9604" spans="1:7" x14ac:dyDescent="0.25">
      <c r="A9604" s="1" t="str">
        <f>"511367"</f>
        <v>511367</v>
      </c>
      <c r="B9604" s="2" t="str">
        <f>"ELETROCALHA GALV EMENDA REDUÇAO 300X100"</f>
        <v>ELETROCALHA GALV EMENDA REDUÇAO 300X100</v>
      </c>
      <c r="C9604" s="2" t="str">
        <f t="shared" si="369"/>
        <v>UN</v>
      </c>
      <c r="D9604" s="7">
        <v>601</v>
      </c>
      <c r="E9604" s="3">
        <v>8</v>
      </c>
      <c r="F9604" s="3">
        <v>8</v>
      </c>
      <c r="G9604" t="s">
        <v>512</v>
      </c>
    </row>
    <row r="9605" spans="1:7" x14ac:dyDescent="0.25">
      <c r="A9605" s="1" t="str">
        <f>"511875"</f>
        <v>511875</v>
      </c>
      <c r="B9605" s="2" t="str">
        <f>"ELETROCALHA GALV EMENDA T 38X38"</f>
        <v>ELETROCALHA GALV EMENDA T 38X38</v>
      </c>
      <c r="C9605" s="2" t="str">
        <f t="shared" si="369"/>
        <v>UN</v>
      </c>
      <c r="D9605" s="7">
        <v>601</v>
      </c>
      <c r="E9605" s="3">
        <v>8</v>
      </c>
      <c r="F9605" s="3">
        <v>8</v>
      </c>
      <c r="G9605" t="s">
        <v>513</v>
      </c>
    </row>
    <row r="9606" spans="1:7" x14ac:dyDescent="0.25">
      <c r="A9606" s="1" t="str">
        <f>"515914"</f>
        <v>515914</v>
      </c>
      <c r="B9606" s="2" t="str">
        <f>"ELETROCALHA GALV EMENDA U 100X50"</f>
        <v>ELETROCALHA GALV EMENDA U 100X50</v>
      </c>
      <c r="C9606" s="2" t="str">
        <f t="shared" si="369"/>
        <v>UN</v>
      </c>
      <c r="D9606" s="7">
        <v>99999</v>
      </c>
      <c r="E9606" s="3">
        <v>99</v>
      </c>
      <c r="F9606" s="3">
        <v>99</v>
      </c>
      <c r="G9606" t="s">
        <v>514</v>
      </c>
    </row>
    <row r="9607" spans="1:7" x14ac:dyDescent="0.25">
      <c r="A9607" s="1" t="str">
        <f>"516134"</f>
        <v>516134</v>
      </c>
      <c r="B9607" s="2" t="str">
        <f>"ELETROCALHA GALV EMENDA U 200x100"</f>
        <v>ELETROCALHA GALV EMENDA U 200x100</v>
      </c>
      <c r="C9607" s="2" t="str">
        <f t="shared" si="369"/>
        <v>UN</v>
      </c>
      <c r="D9607" s="7">
        <v>601</v>
      </c>
      <c r="E9607" s="3">
        <v>8</v>
      </c>
      <c r="F9607" s="3">
        <v>8</v>
      </c>
      <c r="G9607" t="s">
        <v>515</v>
      </c>
    </row>
    <row r="9608" spans="1:7" x14ac:dyDescent="0.25">
      <c r="A9608" s="1" t="str">
        <f>"518336"</f>
        <v>518336</v>
      </c>
      <c r="B9608" s="2" t="str">
        <f>"ELETROCALHA GALV EMENDA U 200X50"</f>
        <v>ELETROCALHA GALV EMENDA U 200X50</v>
      </c>
      <c r="C9608" s="2" t="str">
        <f t="shared" si="369"/>
        <v>UN</v>
      </c>
      <c r="D9608" s="7">
        <v>601</v>
      </c>
      <c r="E9608" s="3">
        <v>8</v>
      </c>
      <c r="F9608" s="3">
        <v>8</v>
      </c>
      <c r="G9608" t="s">
        <v>512</v>
      </c>
    </row>
    <row r="9609" spans="1:7" x14ac:dyDescent="0.25">
      <c r="A9609" s="1" t="str">
        <f>"512432"</f>
        <v>512432</v>
      </c>
      <c r="B9609" s="2" t="str">
        <f>"ELETROCALHA GALV EMENDA U 38X38"</f>
        <v>ELETROCALHA GALV EMENDA U 38X38</v>
      </c>
      <c r="C9609" s="2" t="str">
        <f t="shared" si="369"/>
        <v>UN</v>
      </c>
      <c r="D9609" s="7">
        <v>601</v>
      </c>
      <c r="E9609" s="3">
        <v>8</v>
      </c>
      <c r="F9609" s="3">
        <v>8</v>
      </c>
      <c r="G9609" t="s">
        <v>516</v>
      </c>
    </row>
    <row r="9610" spans="1:7" x14ac:dyDescent="0.25">
      <c r="A9610" s="1" t="str">
        <f>"516435"</f>
        <v>516435</v>
      </c>
      <c r="B9610" s="2" t="str">
        <f>"ELETROCALHA GALV EMENDA U 50X50"</f>
        <v>ELETROCALHA GALV EMENDA U 50X50</v>
      </c>
      <c r="C9610" s="2" t="str">
        <f t="shared" si="369"/>
        <v>UN</v>
      </c>
      <c r="D9610" s="7">
        <v>811</v>
      </c>
      <c r="E9610" s="3">
        <v>8</v>
      </c>
      <c r="F9610" s="3">
        <v>8</v>
      </c>
      <c r="G9610" t="s">
        <v>515</v>
      </c>
    </row>
    <row r="9611" spans="1:7" x14ac:dyDescent="0.25">
      <c r="A9611" s="1" t="str">
        <f>"511349"</f>
        <v>511349</v>
      </c>
      <c r="B9611" s="2" t="str">
        <f>"ELETROCALHA GALV FLANGE 200X100"</f>
        <v>ELETROCALHA GALV FLANGE 200X100</v>
      </c>
      <c r="C9611" s="2" t="str">
        <f t="shared" si="369"/>
        <v>UN</v>
      </c>
      <c r="D9611" s="7">
        <v>601</v>
      </c>
      <c r="E9611" s="3">
        <v>8</v>
      </c>
      <c r="F9611" s="3">
        <v>8</v>
      </c>
      <c r="G9611" t="s">
        <v>514</v>
      </c>
    </row>
    <row r="9612" spans="1:7" x14ac:dyDescent="0.25">
      <c r="A9612" s="1" t="str">
        <f>"512383"</f>
        <v>512383</v>
      </c>
      <c r="B9612" s="2" t="str">
        <f>"ELETROCALHA GALV GRAMPO C 38X38"</f>
        <v>ELETROCALHA GALV GRAMPO C 38X38</v>
      </c>
      <c r="C9612" s="2" t="str">
        <f t="shared" si="369"/>
        <v>UN</v>
      </c>
      <c r="D9612" s="7">
        <v>601</v>
      </c>
      <c r="E9612" s="3">
        <v>8</v>
      </c>
      <c r="F9612" s="3">
        <v>8</v>
      </c>
      <c r="G9612" t="s">
        <v>512</v>
      </c>
    </row>
    <row r="9613" spans="1:7" x14ac:dyDescent="0.25">
      <c r="A9613" s="1" t="str">
        <f>"512382"</f>
        <v>512382</v>
      </c>
      <c r="B9613" s="2" t="str">
        <f>"ELETROCALHA GALV GRAMPO CURTO 38X38"</f>
        <v>ELETROCALHA GALV GRAMPO CURTO 38X38</v>
      </c>
      <c r="C9613" s="2" t="str">
        <f t="shared" ref="C9613:C9644" si="370">"UN"</f>
        <v>UN</v>
      </c>
      <c r="D9613" s="7">
        <v>601</v>
      </c>
      <c r="E9613" s="3">
        <v>8</v>
      </c>
      <c r="F9613" s="3">
        <v>8</v>
      </c>
      <c r="G9613" t="s">
        <v>513</v>
      </c>
    </row>
    <row r="9614" spans="1:7" x14ac:dyDescent="0.25">
      <c r="A9614" s="1" t="str">
        <f>"511341"</f>
        <v>511341</v>
      </c>
      <c r="B9614" s="2" t="str">
        <f>"ELETROCALHA GALV LUVA EMENDA VERG. 1/4"""</f>
        <v>ELETROCALHA GALV LUVA EMENDA VERG. 1/4"</v>
      </c>
      <c r="C9614" s="2" t="str">
        <f t="shared" si="370"/>
        <v>UN</v>
      </c>
      <c r="D9614" s="7">
        <v>601</v>
      </c>
      <c r="E9614" s="3">
        <v>8</v>
      </c>
      <c r="F9614" s="3">
        <v>8</v>
      </c>
      <c r="G9614" t="s">
        <v>514</v>
      </c>
    </row>
    <row r="9615" spans="1:7" x14ac:dyDescent="0.25">
      <c r="A9615" s="1" t="str">
        <f>"511343"</f>
        <v>511343</v>
      </c>
      <c r="B9615" s="2" t="str">
        <f>"ELETROCALHA GALV LUVA EMENDA VERG. 3/8"""</f>
        <v>ELETROCALHA GALV LUVA EMENDA VERG. 3/8"</v>
      </c>
      <c r="C9615" s="2" t="str">
        <f t="shared" si="370"/>
        <v>UN</v>
      </c>
      <c r="D9615" s="7">
        <v>601</v>
      </c>
      <c r="E9615" s="3">
        <v>8</v>
      </c>
      <c r="F9615" s="3">
        <v>8</v>
      </c>
      <c r="G9615" t="s">
        <v>514</v>
      </c>
    </row>
    <row r="9616" spans="1:7" x14ac:dyDescent="0.25">
      <c r="A9616" s="1" t="str">
        <f>"509677"</f>
        <v>509677</v>
      </c>
      <c r="B9616" s="2" t="str">
        <f>"ELETROCALHA GALV MAO FRANCESA 200X100"</f>
        <v>ELETROCALHA GALV MAO FRANCESA 200X100</v>
      </c>
      <c r="C9616" s="2" t="str">
        <f t="shared" si="370"/>
        <v>UN</v>
      </c>
      <c r="D9616" s="7">
        <v>601</v>
      </c>
      <c r="E9616" s="3">
        <v>8</v>
      </c>
      <c r="F9616" s="3">
        <v>8</v>
      </c>
      <c r="G9616" t="s">
        <v>512</v>
      </c>
    </row>
    <row r="9617" spans="1:7" x14ac:dyDescent="0.25">
      <c r="A9617" s="1" t="str">
        <f>"510560"</f>
        <v>510560</v>
      </c>
      <c r="B9617" s="2" t="str">
        <f>"ELETROCALHA GALV MAO FRANCESA 300X100"</f>
        <v>ELETROCALHA GALV MAO FRANCESA 300X100</v>
      </c>
      <c r="C9617" s="2" t="str">
        <f t="shared" si="370"/>
        <v>UN</v>
      </c>
      <c r="D9617" s="7">
        <v>601</v>
      </c>
      <c r="E9617" s="3">
        <v>8</v>
      </c>
      <c r="F9617" s="3">
        <v>8</v>
      </c>
      <c r="G9617" t="s">
        <v>513</v>
      </c>
    </row>
    <row r="9618" spans="1:7" x14ac:dyDescent="0.25">
      <c r="A9618" s="1" t="str">
        <f>"510916"</f>
        <v>510916</v>
      </c>
      <c r="B9618" s="2" t="str">
        <f>"ELETROCALHA GALV RED. DIREITA  200X100"</f>
        <v>ELETROCALHA GALV RED. DIREITA  200X100</v>
      </c>
      <c r="C9618" s="2" t="str">
        <f t="shared" si="370"/>
        <v>UN</v>
      </c>
      <c r="D9618" s="7">
        <v>601</v>
      </c>
      <c r="E9618" s="3">
        <v>8</v>
      </c>
      <c r="F9618" s="3">
        <v>8</v>
      </c>
      <c r="G9618" t="s">
        <v>514</v>
      </c>
    </row>
    <row r="9619" spans="1:7" x14ac:dyDescent="0.25">
      <c r="A9619" s="1" t="str">
        <f>"510915"</f>
        <v>510915</v>
      </c>
      <c r="B9619" s="2" t="str">
        <f>"ELETROCALHA GALV RED. ESQUERDA 200X100"</f>
        <v>ELETROCALHA GALV RED. ESQUERDA 200X100</v>
      </c>
      <c r="C9619" s="2" t="str">
        <f t="shared" si="370"/>
        <v>UN</v>
      </c>
      <c r="D9619" s="7">
        <v>601</v>
      </c>
      <c r="E9619" s="3">
        <v>8</v>
      </c>
      <c r="F9619" s="3">
        <v>8</v>
      </c>
      <c r="G9619" t="s">
        <v>514</v>
      </c>
    </row>
    <row r="9620" spans="1:7" x14ac:dyDescent="0.25">
      <c r="A9620" s="1" t="str">
        <f>"511170"</f>
        <v>511170</v>
      </c>
      <c r="B9620" s="2" t="str">
        <f>"ELETROCALHA GALV REDUÇAO 200X100"</f>
        <v>ELETROCALHA GALV REDUÇAO 200X100</v>
      </c>
      <c r="C9620" s="2" t="str">
        <f t="shared" si="370"/>
        <v>UN</v>
      </c>
      <c r="D9620" s="7">
        <v>601</v>
      </c>
      <c r="E9620" s="3">
        <v>8</v>
      </c>
      <c r="F9620" s="3">
        <v>8</v>
      </c>
      <c r="G9620" t="s">
        <v>514</v>
      </c>
    </row>
    <row r="9621" spans="1:7" x14ac:dyDescent="0.25">
      <c r="A9621" s="1" t="str">
        <f>"510179"</f>
        <v>510179</v>
      </c>
      <c r="B9621" s="2" t="str">
        <f>"ELETROCALHA GALV SUPORTE HORIZ 200X100"</f>
        <v>ELETROCALHA GALV SUPORTE HORIZ 200X100</v>
      </c>
      <c r="C9621" s="2" t="str">
        <f t="shared" si="370"/>
        <v>UN</v>
      </c>
      <c r="D9621" s="7">
        <v>601</v>
      </c>
      <c r="E9621" s="3">
        <v>8</v>
      </c>
      <c r="F9621" s="3">
        <v>8</v>
      </c>
      <c r="G9621" t="s">
        <v>513</v>
      </c>
    </row>
    <row r="9622" spans="1:7" x14ac:dyDescent="0.25">
      <c r="A9622" s="1" t="str">
        <f>"511346"</f>
        <v>511346</v>
      </c>
      <c r="B9622" s="2" t="str">
        <f>"ELETROCALHA GALV TAMPA 200"</f>
        <v>ELETROCALHA GALV TAMPA 200</v>
      </c>
      <c r="C9622" s="2" t="str">
        <f t="shared" si="370"/>
        <v>UN</v>
      </c>
      <c r="D9622" s="7">
        <v>601</v>
      </c>
      <c r="E9622" s="3">
        <v>8</v>
      </c>
      <c r="F9622" s="3">
        <v>8</v>
      </c>
      <c r="G9622" t="s">
        <v>512</v>
      </c>
    </row>
    <row r="9623" spans="1:7" x14ac:dyDescent="0.25">
      <c r="A9623" s="1" t="str">
        <f>"510860"</f>
        <v>510860</v>
      </c>
      <c r="B9623" s="2" t="str">
        <f>"ELETROCALHA GALV TAMPA CALHA 100X50"</f>
        <v>ELETROCALHA GALV TAMPA CALHA 100X50</v>
      </c>
      <c r="C9623" s="2" t="str">
        <f t="shared" si="370"/>
        <v>UN</v>
      </c>
      <c r="D9623" s="7">
        <v>601</v>
      </c>
      <c r="E9623" s="3">
        <v>8</v>
      </c>
      <c r="F9623" s="3">
        <v>8</v>
      </c>
      <c r="G9623" t="s">
        <v>513</v>
      </c>
    </row>
    <row r="9624" spans="1:7" x14ac:dyDescent="0.25">
      <c r="A9624" s="1" t="str">
        <f>"511522"</f>
        <v>511522</v>
      </c>
      <c r="B9624" s="2" t="str">
        <f>"ELETROCALHA GALV TAMPA CURVA H EXT 200"</f>
        <v>ELETROCALHA GALV TAMPA CURVA H EXT 200</v>
      </c>
      <c r="C9624" s="2" t="str">
        <f t="shared" si="370"/>
        <v>UN</v>
      </c>
      <c r="D9624" s="7">
        <v>601</v>
      </c>
      <c r="E9624" s="3">
        <v>8</v>
      </c>
      <c r="F9624" s="3">
        <v>8</v>
      </c>
      <c r="G9624" t="s">
        <v>514</v>
      </c>
    </row>
    <row r="9625" spans="1:7" x14ac:dyDescent="0.25">
      <c r="A9625" s="1" t="str">
        <f>"511350"</f>
        <v>511350</v>
      </c>
      <c r="B9625" s="2" t="str">
        <f>"ELETROCALHA GALV TAMPA CURVA V EXT 200"</f>
        <v>ELETROCALHA GALV TAMPA CURVA V EXT 200</v>
      </c>
      <c r="C9625" s="2" t="str">
        <f t="shared" si="370"/>
        <v>UN</v>
      </c>
      <c r="D9625" s="7">
        <v>601</v>
      </c>
      <c r="E9625" s="3">
        <v>8</v>
      </c>
      <c r="F9625" s="3">
        <v>8</v>
      </c>
      <c r="G9625" t="s">
        <v>514</v>
      </c>
    </row>
    <row r="9626" spans="1:7" x14ac:dyDescent="0.25">
      <c r="A9626" s="1" t="str">
        <f>"518752"</f>
        <v>518752</v>
      </c>
      <c r="B9626" s="2" t="str">
        <f>"ELETROCALHA GALV TAMPA CURVA V INT 100"</f>
        <v>ELETROCALHA GALV TAMPA CURVA V INT 100</v>
      </c>
      <c r="C9626" s="2" t="str">
        <f t="shared" si="370"/>
        <v>UN</v>
      </c>
      <c r="D9626" s="7">
        <v>601</v>
      </c>
      <c r="E9626" s="3">
        <v>8</v>
      </c>
      <c r="F9626" s="3">
        <v>8</v>
      </c>
      <c r="G9626" t="s">
        <v>514</v>
      </c>
    </row>
    <row r="9627" spans="1:7" x14ac:dyDescent="0.25">
      <c r="A9627" s="1" t="str">
        <f>"511352"</f>
        <v>511352</v>
      </c>
      <c r="B9627" s="2" t="str">
        <f>"ELETROCALHA GALV TAMPA CURVA V INT 200"</f>
        <v>ELETROCALHA GALV TAMPA CURVA V INT 200</v>
      </c>
      <c r="C9627" s="2" t="str">
        <f t="shared" si="370"/>
        <v>UN</v>
      </c>
      <c r="D9627" s="7">
        <v>601</v>
      </c>
      <c r="E9627" s="3">
        <v>8</v>
      </c>
      <c r="F9627" s="3">
        <v>8</v>
      </c>
      <c r="G9627" t="s">
        <v>513</v>
      </c>
    </row>
    <row r="9628" spans="1:7" x14ac:dyDescent="0.25">
      <c r="A9628" s="1" t="str">
        <f>"511351"</f>
        <v>511351</v>
      </c>
      <c r="B9628" s="2" t="str">
        <f>"ELETROCALHA GALV TAMPA CURVA V INV 200"</f>
        <v>ELETROCALHA GALV TAMPA CURVA V INV 200</v>
      </c>
      <c r="C9628" s="2" t="str">
        <f t="shared" si="370"/>
        <v>UN</v>
      </c>
      <c r="D9628" s="7">
        <v>601</v>
      </c>
      <c r="E9628" s="3">
        <v>8</v>
      </c>
      <c r="F9628" s="3">
        <v>8</v>
      </c>
      <c r="G9628" t="s">
        <v>513</v>
      </c>
    </row>
    <row r="9629" spans="1:7" x14ac:dyDescent="0.25">
      <c r="A9629" s="1" t="str">
        <f>"511368"</f>
        <v>511368</v>
      </c>
      <c r="B9629" s="2" t="str">
        <f>"ELETROCALHA GALV TAMPA REDUÇAO 300X100"</f>
        <v>ELETROCALHA GALV TAMPA REDUÇAO 300X100</v>
      </c>
      <c r="C9629" s="2" t="str">
        <f t="shared" si="370"/>
        <v>UN</v>
      </c>
      <c r="D9629" s="7">
        <v>601</v>
      </c>
      <c r="E9629" s="3">
        <v>8</v>
      </c>
      <c r="F9629" s="3">
        <v>8</v>
      </c>
      <c r="G9629" t="s">
        <v>513</v>
      </c>
    </row>
    <row r="9630" spans="1:7" x14ac:dyDescent="0.25">
      <c r="A9630" s="1" t="str">
        <f>"511353"</f>
        <v>511353</v>
      </c>
      <c r="B9630" s="2" t="str">
        <f>"ELETROCALHA GALV TAMPA T DESCIDA"</f>
        <v>ELETROCALHA GALV TAMPA T DESCIDA</v>
      </c>
      <c r="C9630" s="2" t="str">
        <f t="shared" si="370"/>
        <v>UN</v>
      </c>
      <c r="D9630" s="7">
        <v>601</v>
      </c>
      <c r="E9630" s="3">
        <v>8</v>
      </c>
      <c r="F9630" s="3">
        <v>8</v>
      </c>
      <c r="G9630" t="s">
        <v>512</v>
      </c>
    </row>
    <row r="9631" spans="1:7" x14ac:dyDescent="0.25">
      <c r="A9631" s="1" t="str">
        <f>"518753"</f>
        <v>518753</v>
      </c>
      <c r="B9631" s="2" t="str">
        <f>"ELETROCALHA GALV TAMPA T HORIZONTAL 100"</f>
        <v>ELETROCALHA GALV TAMPA T HORIZONTAL 100</v>
      </c>
      <c r="C9631" s="2" t="str">
        <f t="shared" si="370"/>
        <v>UN</v>
      </c>
      <c r="D9631" s="7">
        <v>601</v>
      </c>
      <c r="E9631" s="3">
        <v>8</v>
      </c>
      <c r="F9631" s="3">
        <v>8</v>
      </c>
      <c r="G9631" t="s">
        <v>513</v>
      </c>
    </row>
    <row r="9632" spans="1:7" x14ac:dyDescent="0.25">
      <c r="A9632" s="1" t="str">
        <f>"511347"</f>
        <v>511347</v>
      </c>
      <c r="B9632" s="2" t="str">
        <f>"ELETROCALHA GALV TAMPA T HORIZONTAL 200"</f>
        <v>ELETROCALHA GALV TAMPA T HORIZONTAL 200</v>
      </c>
      <c r="C9632" s="2" t="str">
        <f t="shared" si="370"/>
        <v>UN</v>
      </c>
      <c r="D9632" s="7">
        <v>601</v>
      </c>
      <c r="E9632" s="3">
        <v>8</v>
      </c>
      <c r="F9632" s="3">
        <v>8</v>
      </c>
      <c r="G9632" t="s">
        <v>514</v>
      </c>
    </row>
    <row r="9633" spans="1:7" x14ac:dyDescent="0.25">
      <c r="A9633" s="1" t="str">
        <f>"510981"</f>
        <v>510981</v>
      </c>
      <c r="B9633" s="2" t="str">
        <f>"ELETROCALHA GALV TE DESC LAT 100X50"</f>
        <v>ELETROCALHA GALV TE DESC LAT 100X50</v>
      </c>
      <c r="C9633" s="2" t="str">
        <f t="shared" si="370"/>
        <v>UN</v>
      </c>
      <c r="D9633" s="7">
        <v>601</v>
      </c>
      <c r="E9633" s="3">
        <v>8</v>
      </c>
      <c r="F9633" s="3">
        <v>8</v>
      </c>
      <c r="G9633" t="s">
        <v>515</v>
      </c>
    </row>
    <row r="9634" spans="1:7" x14ac:dyDescent="0.25">
      <c r="A9634" s="1" t="str">
        <f>"506331"</f>
        <v>506331</v>
      </c>
      <c r="B9634" s="2" t="str">
        <f>"ELETROCALHA GALV TE HORIZ 100X50"</f>
        <v>ELETROCALHA GALV TE HORIZ 100X50</v>
      </c>
      <c r="C9634" s="2" t="str">
        <f t="shared" si="370"/>
        <v>UN</v>
      </c>
      <c r="D9634" s="7">
        <v>601</v>
      </c>
      <c r="E9634" s="3">
        <v>8</v>
      </c>
      <c r="F9634" s="3">
        <v>8</v>
      </c>
      <c r="G9634" t="s">
        <v>512</v>
      </c>
    </row>
    <row r="9635" spans="1:7" x14ac:dyDescent="0.25">
      <c r="A9635" s="1" t="str">
        <f>"516135"</f>
        <v>516135</v>
      </c>
      <c r="B9635" s="2" t="str">
        <f>"ELETROCALHA GALV TE HORIZ 90 200X100"</f>
        <v>ELETROCALHA GALV TE HORIZ 90 200X100</v>
      </c>
      <c r="C9635" s="2" t="str">
        <f t="shared" si="370"/>
        <v>UN</v>
      </c>
      <c r="D9635" s="7">
        <v>601</v>
      </c>
      <c r="E9635" s="3">
        <v>8</v>
      </c>
      <c r="F9635" s="3">
        <v>8</v>
      </c>
      <c r="G9635" t="s">
        <v>516</v>
      </c>
    </row>
    <row r="9636" spans="1:7" x14ac:dyDescent="0.25">
      <c r="A9636" s="1" t="str">
        <f>"518335"</f>
        <v>518335</v>
      </c>
      <c r="B9636" s="2" t="str">
        <f>"ELETROCALHA GALV TE HORIZ 90 200X50"</f>
        <v>ELETROCALHA GALV TE HORIZ 90 200X50</v>
      </c>
      <c r="C9636" s="2" t="str">
        <f t="shared" si="370"/>
        <v>UN</v>
      </c>
      <c r="D9636" s="7">
        <v>601</v>
      </c>
      <c r="E9636" s="3">
        <v>8</v>
      </c>
      <c r="F9636" s="3">
        <v>8</v>
      </c>
      <c r="G9636" t="s">
        <v>515</v>
      </c>
    </row>
    <row r="9637" spans="1:7" x14ac:dyDescent="0.25">
      <c r="A9637" s="1" t="str">
        <f>"511354"</f>
        <v>511354</v>
      </c>
      <c r="B9637" s="2" t="str">
        <f>"ELETROCALHA GALV TE HORIZ 90 300X100"</f>
        <v>ELETROCALHA GALV TE HORIZ 90 300X100</v>
      </c>
      <c r="C9637" s="2" t="str">
        <f t="shared" si="370"/>
        <v>UN</v>
      </c>
      <c r="D9637" s="7">
        <v>601</v>
      </c>
      <c r="E9637" s="3">
        <v>8</v>
      </c>
      <c r="F9637" s="3">
        <v>8</v>
      </c>
      <c r="G9637" t="s">
        <v>514</v>
      </c>
    </row>
    <row r="9638" spans="1:7" x14ac:dyDescent="0.25">
      <c r="A9638" s="1" t="str">
        <f>"517506"</f>
        <v>517506</v>
      </c>
      <c r="B9638" s="2" t="str">
        <f>"ELETROCALHA GALV TE LAT DESC 200X100"</f>
        <v>ELETROCALHA GALV TE LAT DESC 200X100</v>
      </c>
      <c r="C9638" s="2" t="str">
        <f t="shared" si="370"/>
        <v>UN</v>
      </c>
      <c r="D9638" s="7">
        <v>811</v>
      </c>
      <c r="E9638" s="3">
        <v>8</v>
      </c>
      <c r="F9638" s="3">
        <v>8</v>
      </c>
      <c r="G9638" t="s">
        <v>512</v>
      </c>
    </row>
    <row r="9639" spans="1:7" x14ac:dyDescent="0.25">
      <c r="A9639" s="1" t="str">
        <f>"506330"</f>
        <v>506330</v>
      </c>
      <c r="B9639" s="2" t="str">
        <f>"ELETROCALHA GALV TE RETO 90º 300X100"</f>
        <v>ELETROCALHA GALV TE RETO 90º 300X100</v>
      </c>
      <c r="C9639" s="2" t="str">
        <f t="shared" si="370"/>
        <v>UN</v>
      </c>
      <c r="D9639" s="7">
        <v>601</v>
      </c>
      <c r="E9639" s="3">
        <v>8</v>
      </c>
      <c r="F9639" s="3">
        <v>8</v>
      </c>
      <c r="G9639" t="s">
        <v>513</v>
      </c>
    </row>
    <row r="9640" spans="1:7" x14ac:dyDescent="0.25">
      <c r="A9640" s="1" t="str">
        <f>"509678"</f>
        <v>509678</v>
      </c>
      <c r="B9640" s="2" t="str">
        <f>"ELETROCALHA GALV TE VERT 300X100"</f>
        <v>ELETROCALHA GALV TE VERT 300X100</v>
      </c>
      <c r="C9640" s="2" t="str">
        <f t="shared" si="370"/>
        <v>UN</v>
      </c>
      <c r="D9640" s="7">
        <v>601</v>
      </c>
      <c r="E9640" s="3">
        <v>8</v>
      </c>
      <c r="F9640" s="3">
        <v>8</v>
      </c>
      <c r="G9640" t="s">
        <v>514</v>
      </c>
    </row>
    <row r="9641" spans="1:7" x14ac:dyDescent="0.25">
      <c r="A9641" s="1" t="str">
        <f>"511355"</f>
        <v>511355</v>
      </c>
      <c r="B9641" s="2" t="str">
        <f>"ELETROCALHA GALV TE VERT DESC 200X100"</f>
        <v>ELETROCALHA GALV TE VERT DESC 200X100</v>
      </c>
      <c r="C9641" s="2" t="str">
        <f t="shared" si="370"/>
        <v>UN</v>
      </c>
      <c r="D9641" s="7">
        <v>601</v>
      </c>
      <c r="E9641" s="3">
        <v>8</v>
      </c>
      <c r="F9641" s="3">
        <v>8</v>
      </c>
      <c r="G9641" t="s">
        <v>514</v>
      </c>
    </row>
    <row r="9642" spans="1:7" x14ac:dyDescent="0.25">
      <c r="A9642" s="1" t="str">
        <f>"511356"</f>
        <v>511356</v>
      </c>
      <c r="B9642" s="2" t="str">
        <f>"ELETROCALHA GALV TE VERT DESC 200X100 LI"</f>
        <v>ELETROCALHA GALV TE VERT DESC 200X100 LI</v>
      </c>
      <c r="C9642" s="2" t="str">
        <f t="shared" si="370"/>
        <v>UN</v>
      </c>
      <c r="D9642" s="7">
        <v>601</v>
      </c>
      <c r="E9642" s="3">
        <v>8</v>
      </c>
      <c r="F9642" s="3">
        <v>8</v>
      </c>
      <c r="G9642" t="s">
        <v>512</v>
      </c>
    </row>
    <row r="9643" spans="1:7" x14ac:dyDescent="0.25">
      <c r="A9643" s="1" t="str">
        <f>"510982"</f>
        <v>510982</v>
      </c>
      <c r="B9643" s="2" t="str">
        <f>"ELETROCALHA GALV TE VERT DESCIDA 100X50"</f>
        <v>ELETROCALHA GALV TE VERT DESCIDA 100X50</v>
      </c>
      <c r="C9643" s="2" t="str">
        <f t="shared" si="370"/>
        <v>UN</v>
      </c>
      <c r="D9643" s="7">
        <v>601</v>
      </c>
      <c r="E9643" s="3">
        <v>8</v>
      </c>
      <c r="F9643" s="3">
        <v>8</v>
      </c>
      <c r="G9643" t="s">
        <v>513</v>
      </c>
    </row>
    <row r="9644" spans="1:7" x14ac:dyDescent="0.25">
      <c r="A9644" s="1" t="str">
        <f>"513120"</f>
        <v>513120</v>
      </c>
      <c r="B9644" s="2" t="str">
        <f>"ELETROCALHA GALV TEE 90 38X38"</f>
        <v>ELETROCALHA GALV TEE 90 38X38</v>
      </c>
      <c r="C9644" s="2" t="str">
        <f t="shared" si="370"/>
        <v>UN</v>
      </c>
      <c r="D9644" s="7">
        <v>601</v>
      </c>
      <c r="E9644" s="3">
        <v>8</v>
      </c>
      <c r="F9644" s="3">
        <v>8</v>
      </c>
      <c r="G9644" t="s">
        <v>514</v>
      </c>
    </row>
    <row r="9645" spans="1:7" x14ac:dyDescent="0.25">
      <c r="A9645" s="1" t="str">
        <f>"511169"</f>
        <v>511169</v>
      </c>
      <c r="B9645" s="2" t="str">
        <f>"ELETROCALHA GALV TEE VERT SUBIDA 200X100"</f>
        <v>ELETROCALHA GALV TEE VERT SUBIDA 200X100</v>
      </c>
      <c r="C9645" s="2" t="str">
        <f t="shared" ref="C9645:C9678" si="371">"UN"</f>
        <v>UN</v>
      </c>
      <c r="D9645" s="7">
        <v>601</v>
      </c>
      <c r="E9645" s="3">
        <v>8</v>
      </c>
      <c r="F9645" s="3">
        <v>8</v>
      </c>
      <c r="G9645" t="s">
        <v>514</v>
      </c>
    </row>
    <row r="9646" spans="1:7" x14ac:dyDescent="0.25">
      <c r="A9646" s="1" t="str">
        <f>"511357"</f>
        <v>511357</v>
      </c>
      <c r="B9646" s="2" t="str">
        <f>"ELETROCALHA GALV TERMINAL 100X200"</f>
        <v>ELETROCALHA GALV TERMINAL 100X200</v>
      </c>
      <c r="C9646" s="2" t="str">
        <f t="shared" si="371"/>
        <v>UN</v>
      </c>
      <c r="D9646" s="7">
        <v>601</v>
      </c>
      <c r="E9646" s="3">
        <v>8</v>
      </c>
      <c r="F9646" s="3">
        <v>8</v>
      </c>
      <c r="G9646" t="s">
        <v>514</v>
      </c>
    </row>
    <row r="9647" spans="1:7" x14ac:dyDescent="0.25">
      <c r="A9647" s="1" t="str">
        <f>"506337"</f>
        <v>506337</v>
      </c>
      <c r="B9647" s="2" t="str">
        <f>"ELETROCALHA GALV TEVERT DESC 200X100"</f>
        <v>ELETROCALHA GALV TEVERT DESC 200X100</v>
      </c>
      <c r="C9647" s="2" t="str">
        <f t="shared" si="371"/>
        <v>UN</v>
      </c>
      <c r="D9647" s="7">
        <v>601</v>
      </c>
      <c r="E9647" s="3">
        <v>8</v>
      </c>
      <c r="F9647" s="3">
        <v>8</v>
      </c>
      <c r="G9647" t="s">
        <v>513</v>
      </c>
    </row>
    <row r="9648" spans="1:7" x14ac:dyDescent="0.25">
      <c r="A9648" s="1" t="str">
        <f>"509676"</f>
        <v>509676</v>
      </c>
      <c r="B9648" s="2" t="str">
        <f>"ELETROCALHA GALV VERGALHAO C/ ROSCA 1/4"</f>
        <v>ELETROCALHA GALV VERGALHAO C/ ROSCA 1/4</v>
      </c>
      <c r="C9648" s="2" t="str">
        <f t="shared" si="371"/>
        <v>UN</v>
      </c>
      <c r="D9648" s="7">
        <v>601</v>
      </c>
      <c r="E9648" s="3">
        <v>8</v>
      </c>
      <c r="F9648" s="3">
        <v>8</v>
      </c>
      <c r="G9648" t="s">
        <v>512</v>
      </c>
    </row>
    <row r="9649" spans="1:7" x14ac:dyDescent="0.25">
      <c r="A9649" s="1" t="str">
        <f>"509751"</f>
        <v>509751</v>
      </c>
      <c r="B9649" s="2" t="str">
        <f>"ELETROCALHA GALV, CURVA 90º 200X100"</f>
        <v>ELETROCALHA GALV, CURVA 90º 200X100</v>
      </c>
      <c r="C9649" s="2" t="str">
        <f t="shared" si="371"/>
        <v>UN</v>
      </c>
      <c r="D9649" s="7">
        <v>601</v>
      </c>
      <c r="E9649" s="3">
        <v>8</v>
      </c>
      <c r="F9649" s="3">
        <v>8</v>
      </c>
      <c r="G9649" t="s">
        <v>513</v>
      </c>
    </row>
    <row r="9650" spans="1:7" x14ac:dyDescent="0.25">
      <c r="A9650" s="1" t="str">
        <f>"509750"</f>
        <v>509750</v>
      </c>
      <c r="B9650" s="2" t="str">
        <f>"ELETROCALHA GALV. C/ TAMPA 200X100"</f>
        <v>ELETROCALHA GALV. C/ TAMPA 200X100</v>
      </c>
      <c r="C9650" s="2" t="str">
        <f t="shared" si="371"/>
        <v>UN</v>
      </c>
      <c r="D9650" s="7">
        <v>601</v>
      </c>
      <c r="E9650" s="3">
        <v>8</v>
      </c>
      <c r="F9650" s="3">
        <v>8</v>
      </c>
      <c r="G9650" t="s">
        <v>514</v>
      </c>
    </row>
    <row r="9651" spans="1:7" x14ac:dyDescent="0.25">
      <c r="A9651" s="1" t="str">
        <f>"509456"</f>
        <v>509456</v>
      </c>
      <c r="B9651" s="2" t="str">
        <f>"ELETROCALHA GALV. CURVA VERT INT 100X50"</f>
        <v>ELETROCALHA GALV. CURVA VERT INT 100X50</v>
      </c>
      <c r="C9651" s="2" t="str">
        <f t="shared" si="371"/>
        <v>UN</v>
      </c>
      <c r="D9651" s="7">
        <v>601</v>
      </c>
      <c r="E9651" s="3">
        <v>8</v>
      </c>
      <c r="F9651" s="3">
        <v>8</v>
      </c>
      <c r="G9651" t="s">
        <v>514</v>
      </c>
    </row>
    <row r="9652" spans="1:7" x14ac:dyDescent="0.25">
      <c r="A9652" s="1" t="str">
        <f>"509457"</f>
        <v>509457</v>
      </c>
      <c r="B9652" s="2" t="str">
        <f>"ELETROCALHA GALV. CURVA VERT. 45º 100X50"</f>
        <v>ELETROCALHA GALV. CURVA VERT. 45º 100X50</v>
      </c>
      <c r="C9652" s="2" t="str">
        <f t="shared" si="371"/>
        <v>UN</v>
      </c>
      <c r="D9652" s="7">
        <v>601</v>
      </c>
      <c r="E9652" s="3">
        <v>8</v>
      </c>
      <c r="F9652" s="3">
        <v>8</v>
      </c>
      <c r="G9652" t="s">
        <v>514</v>
      </c>
    </row>
    <row r="9653" spans="1:7" x14ac:dyDescent="0.25">
      <c r="A9653" s="1" t="str">
        <f>"526167"</f>
        <v>526167</v>
      </c>
      <c r="B9653" s="2" t="str">
        <f>"ELETROCALHA INOX 150X100X1/4"</f>
        <v>ELETROCALHA INOX 150X100X1/4</v>
      </c>
      <c r="C9653" s="2" t="str">
        <f t="shared" si="371"/>
        <v>UN</v>
      </c>
      <c r="D9653" s="7">
        <v>601</v>
      </c>
      <c r="E9653" s="3">
        <v>8</v>
      </c>
      <c r="F9653" s="3">
        <v>8</v>
      </c>
      <c r="G9653" t="s">
        <v>513</v>
      </c>
    </row>
    <row r="9654" spans="1:7" x14ac:dyDescent="0.25">
      <c r="A9654" s="1" t="str">
        <f>"526163"</f>
        <v>526163</v>
      </c>
      <c r="B9654" s="2" t="str">
        <f>"ELETROCALHA INOX 50X50X1/4"</f>
        <v>ELETROCALHA INOX 50X50X1/4</v>
      </c>
      <c r="C9654" s="2" t="str">
        <f t="shared" si="371"/>
        <v>UN</v>
      </c>
      <c r="D9654" s="7">
        <v>811</v>
      </c>
      <c r="E9654" s="3">
        <v>10</v>
      </c>
      <c r="F9654" s="3">
        <v>10</v>
      </c>
      <c r="G9654" t="s">
        <v>513</v>
      </c>
    </row>
    <row r="9655" spans="1:7" x14ac:dyDescent="0.25">
      <c r="A9655" s="1" t="str">
        <f>"526168"</f>
        <v>526168</v>
      </c>
      <c r="B9655" s="2" t="str">
        <f>"ELETROCALHA INOX CURVA 150X100X1/4 HORIZ. EXT90"</f>
        <v>ELETROCALHA INOX CURVA 150X100X1/4 HORIZ. EXT90</v>
      </c>
      <c r="C9655" s="2" t="str">
        <f t="shared" si="371"/>
        <v>UN</v>
      </c>
      <c r="D9655" s="7">
        <v>601</v>
      </c>
      <c r="E9655" s="3">
        <v>8</v>
      </c>
      <c r="F9655" s="3">
        <v>8</v>
      </c>
      <c r="G9655" t="s">
        <v>513</v>
      </c>
    </row>
    <row r="9656" spans="1:7" x14ac:dyDescent="0.25">
      <c r="A9656" s="1" t="str">
        <f>"526169"</f>
        <v>526169</v>
      </c>
      <c r="B9656" s="2" t="str">
        <f>"ELETROCALHA INOX CURVA 150X100X1/4 HORIZ. INTER.90"</f>
        <v>ELETROCALHA INOX CURVA 150X100X1/4 HORIZ. INTER.90</v>
      </c>
      <c r="C9656" s="2" t="str">
        <f t="shared" si="371"/>
        <v>UN</v>
      </c>
      <c r="D9656" s="7">
        <v>601</v>
      </c>
      <c r="E9656" s="3">
        <v>8</v>
      </c>
      <c r="F9656" s="3">
        <v>8</v>
      </c>
      <c r="G9656" t="s">
        <v>512</v>
      </c>
    </row>
    <row r="9657" spans="1:7" x14ac:dyDescent="0.25">
      <c r="A9657" s="1" t="str">
        <f>"526170"</f>
        <v>526170</v>
      </c>
      <c r="B9657" s="2" t="str">
        <f>"ELETROCALHA INOX CURVA 150X100X1/4 VERT.90"</f>
        <v>ELETROCALHA INOX CURVA 150X100X1/4 VERT.90</v>
      </c>
      <c r="C9657" s="2" t="str">
        <f t="shared" si="371"/>
        <v>UN</v>
      </c>
      <c r="D9657" s="7">
        <v>601</v>
      </c>
      <c r="E9657" s="3">
        <v>8</v>
      </c>
      <c r="F9657" s="3">
        <v>8</v>
      </c>
      <c r="G9657" t="s">
        <v>513</v>
      </c>
    </row>
    <row r="9658" spans="1:7" x14ac:dyDescent="0.25">
      <c r="A9658" s="1" t="str">
        <f>"526164"</f>
        <v>526164</v>
      </c>
      <c r="B9658" s="2" t="str">
        <f>"ELETROCALHA INOX CURVA 50X50X1/4 HORIZ. EXT. 90º"</f>
        <v>ELETROCALHA INOX CURVA 50X50X1/4 HORIZ. EXT. 90º</v>
      </c>
      <c r="C9658" s="2" t="str">
        <f t="shared" si="371"/>
        <v>UN</v>
      </c>
      <c r="D9658" s="7">
        <v>811</v>
      </c>
      <c r="E9658" s="3">
        <v>10</v>
      </c>
      <c r="F9658" s="3">
        <v>10</v>
      </c>
      <c r="G9658" t="s">
        <v>514</v>
      </c>
    </row>
    <row r="9659" spans="1:7" x14ac:dyDescent="0.25">
      <c r="A9659" s="1" t="str">
        <f>"526165"</f>
        <v>526165</v>
      </c>
      <c r="B9659" s="2" t="str">
        <f>"ELETROCALHA INOX CURVA 50X50X1/4 HORZ. INTER. 90º"</f>
        <v>ELETROCALHA INOX CURVA 50X50X1/4 HORZ. INTER. 90º</v>
      </c>
      <c r="C9659" s="2" t="str">
        <f t="shared" si="371"/>
        <v>UN</v>
      </c>
      <c r="D9659" s="7">
        <v>811</v>
      </c>
      <c r="E9659" s="3">
        <v>10</v>
      </c>
      <c r="F9659" s="3">
        <v>10</v>
      </c>
      <c r="G9659" t="s">
        <v>515</v>
      </c>
    </row>
    <row r="9660" spans="1:7" x14ac:dyDescent="0.25">
      <c r="A9660" s="1" t="str">
        <f>"526166"</f>
        <v>526166</v>
      </c>
      <c r="B9660" s="2" t="str">
        <f>"ELETROCALHA INOX CURVA 50X50X1/4 VERT.90º"</f>
        <v>ELETROCALHA INOX CURVA 50X50X1/4 VERT.90º</v>
      </c>
      <c r="C9660" s="2" t="str">
        <f t="shared" si="371"/>
        <v>UN</v>
      </c>
      <c r="D9660" s="7">
        <v>811</v>
      </c>
      <c r="E9660" s="3">
        <v>10</v>
      </c>
      <c r="F9660" s="3">
        <v>10</v>
      </c>
      <c r="G9660" t="s">
        <v>512</v>
      </c>
    </row>
    <row r="9661" spans="1:7" x14ac:dyDescent="0.25">
      <c r="A9661" s="1" t="str">
        <f>"526171"</f>
        <v>526171</v>
      </c>
      <c r="B9661" s="2" t="str">
        <f>"ELETROCALHA INOX TEE 150X100X1/4"</f>
        <v>ELETROCALHA INOX TEE 150X100X1/4</v>
      </c>
      <c r="C9661" s="2" t="str">
        <f t="shared" si="371"/>
        <v>UN</v>
      </c>
      <c r="D9661" s="7">
        <v>601</v>
      </c>
      <c r="E9661" s="3">
        <v>8</v>
      </c>
      <c r="F9661" s="3">
        <v>8</v>
      </c>
      <c r="G9661" t="s">
        <v>516</v>
      </c>
    </row>
    <row r="9662" spans="1:7" x14ac:dyDescent="0.25">
      <c r="A9662" s="1" t="str">
        <f>"502840"</f>
        <v>502840</v>
      </c>
      <c r="B9662" s="2" t="str">
        <f>"ELETROCALHA JUNCAO E-27 200X100MM"</f>
        <v>ELETROCALHA JUNCAO E-27 200X100MM</v>
      </c>
      <c r="C9662" s="2" t="str">
        <f t="shared" si="371"/>
        <v>UN</v>
      </c>
      <c r="D9662" s="7">
        <v>601</v>
      </c>
      <c r="E9662" s="3">
        <v>8</v>
      </c>
      <c r="F9662" s="3">
        <v>8</v>
      </c>
      <c r="G9662" t="s">
        <v>515</v>
      </c>
    </row>
    <row r="9663" spans="1:7" x14ac:dyDescent="0.25">
      <c r="A9663" s="1" t="str">
        <f>"522427"</f>
        <v>522427</v>
      </c>
      <c r="B9663" s="2" t="str">
        <f>"ELETROCALHA P.T. C 100X100X3000MM GF"</f>
        <v>ELETROCALHA P.T. C 100X100X3000MM GF</v>
      </c>
      <c r="C9663" s="2" t="str">
        <f t="shared" si="371"/>
        <v>UN</v>
      </c>
      <c r="D9663" s="7">
        <v>811</v>
      </c>
      <c r="E9663" s="3">
        <v>10</v>
      </c>
      <c r="F9663" s="3">
        <v>10</v>
      </c>
      <c r="G9663" t="s">
        <v>514</v>
      </c>
    </row>
    <row r="9664" spans="1:7" x14ac:dyDescent="0.25">
      <c r="A9664" s="1" t="str">
        <f>"501003"</f>
        <v>501003</v>
      </c>
      <c r="B9664" s="2" t="str">
        <f>"ELETROCALHA PERFILADO 50X50MM CHAPA 18"</f>
        <v>ELETROCALHA PERFILADO 50X50MM CHAPA 18</v>
      </c>
      <c r="C9664" s="2" t="str">
        <f t="shared" si="371"/>
        <v>UN</v>
      </c>
      <c r="D9664" s="7">
        <v>601</v>
      </c>
      <c r="E9664" s="3">
        <v>8</v>
      </c>
      <c r="F9664" s="3">
        <v>8</v>
      </c>
      <c r="G9664" t="s">
        <v>512</v>
      </c>
    </row>
    <row r="9665" spans="1:7" x14ac:dyDescent="0.25">
      <c r="A9665" s="1" t="str">
        <f>"527746"</f>
        <v>527746</v>
      </c>
      <c r="B9665" s="2" t="str">
        <f>"ELETROCALHA PERFILADO INOX CURVA HORIZ 90 38X38"</f>
        <v>ELETROCALHA PERFILADO INOX CURVA HORIZ 90 38X38</v>
      </c>
      <c r="C9665" s="2" t="str">
        <f t="shared" si="371"/>
        <v>UN</v>
      </c>
      <c r="D9665" s="7">
        <v>601</v>
      </c>
      <c r="E9665" s="3">
        <v>8</v>
      </c>
      <c r="F9665" s="3">
        <v>8</v>
      </c>
      <c r="G9665" t="s">
        <v>513</v>
      </c>
    </row>
    <row r="9666" spans="1:7" x14ac:dyDescent="0.25">
      <c r="A9666" s="1" t="str">
        <f>"527747"</f>
        <v>527747</v>
      </c>
      <c r="B9666" s="2" t="str">
        <f>"ELETROCALHA PERFILADO INOX TEE EMENDA INTERNA 38X38"</f>
        <v>ELETROCALHA PERFILADO INOX TEE EMENDA INTERNA 38X38</v>
      </c>
      <c r="C9666" s="2" t="str">
        <f t="shared" si="371"/>
        <v>UN</v>
      </c>
      <c r="D9666" s="7">
        <v>601</v>
      </c>
      <c r="E9666" s="3">
        <v>8</v>
      </c>
      <c r="F9666" s="3">
        <v>8</v>
      </c>
      <c r="G9666" t="s">
        <v>514</v>
      </c>
    </row>
    <row r="9667" spans="1:7" x14ac:dyDescent="0.25">
      <c r="A9667" s="1" t="str">
        <f>"502838"</f>
        <v>502838</v>
      </c>
      <c r="B9667" s="2" t="str">
        <f>"ELETROCALHA PERFURADO 100X100MM CHAPA 18"</f>
        <v>ELETROCALHA PERFURADO 100X100MM CHAPA 18</v>
      </c>
      <c r="C9667" s="2" t="str">
        <f t="shared" si="371"/>
        <v>UN</v>
      </c>
      <c r="D9667" s="7">
        <v>601</v>
      </c>
      <c r="E9667" s="3">
        <v>8</v>
      </c>
      <c r="F9667" s="3">
        <v>8</v>
      </c>
      <c r="G9667" t="s">
        <v>514</v>
      </c>
    </row>
    <row r="9668" spans="1:7" x14ac:dyDescent="0.25">
      <c r="A9668" s="1" t="str">
        <f>"502841"</f>
        <v>502841</v>
      </c>
      <c r="B9668" s="2" t="str">
        <f>"ELETROCALHA PERFURADO E-151 200X100MM"</f>
        <v>ELETROCALHA PERFURADO E-151 200X100MM</v>
      </c>
      <c r="C9668" s="2" t="str">
        <f t="shared" si="371"/>
        <v>UN</v>
      </c>
      <c r="D9668" s="7">
        <v>601</v>
      </c>
      <c r="E9668" s="3">
        <v>8</v>
      </c>
      <c r="F9668" s="3">
        <v>8</v>
      </c>
      <c r="G9668" t="s">
        <v>512</v>
      </c>
    </row>
    <row r="9669" spans="1:7" x14ac:dyDescent="0.25">
      <c r="A9669" s="1" t="str">
        <f>"505412"</f>
        <v>505412</v>
      </c>
      <c r="B9669" s="2" t="str">
        <f>"ELETROCALHA REDUÇAO 200X100MM"</f>
        <v>ELETROCALHA REDUÇAO 200X100MM</v>
      </c>
      <c r="C9669" s="2" t="str">
        <f t="shared" si="371"/>
        <v>UN</v>
      </c>
      <c r="D9669" s="7">
        <v>601</v>
      </c>
      <c r="E9669" s="3">
        <v>8</v>
      </c>
      <c r="F9669" s="3">
        <v>8</v>
      </c>
      <c r="G9669" t="s">
        <v>513</v>
      </c>
    </row>
    <row r="9670" spans="1:7" x14ac:dyDescent="0.25">
      <c r="A9670" s="1" t="str">
        <f>"508391"</f>
        <v>508391</v>
      </c>
      <c r="B9670" s="2" t="str">
        <f>"ELETROCALHA REDUÇAO 300X200MM"</f>
        <v>ELETROCALHA REDUÇAO 300X200MM</v>
      </c>
      <c r="C9670" s="2" t="str">
        <f t="shared" si="371"/>
        <v>UN</v>
      </c>
      <c r="D9670" s="7">
        <v>811</v>
      </c>
      <c r="E9670" s="3">
        <v>10</v>
      </c>
      <c r="F9670" s="3">
        <v>10</v>
      </c>
      <c r="G9670" t="s">
        <v>514</v>
      </c>
    </row>
    <row r="9671" spans="1:7" x14ac:dyDescent="0.25">
      <c r="A9671" s="1" t="str">
        <f>"508392"</f>
        <v>508392</v>
      </c>
      <c r="B9671" s="2" t="str">
        <f>"ELETROCALHA TAMPA 200X100"</f>
        <v>ELETROCALHA TAMPA 200X100</v>
      </c>
      <c r="C9671" s="2" t="str">
        <f t="shared" si="371"/>
        <v>UN</v>
      </c>
      <c r="D9671" s="7">
        <v>811</v>
      </c>
      <c r="E9671" s="3">
        <v>10</v>
      </c>
      <c r="F9671" s="3">
        <v>10</v>
      </c>
      <c r="G9671" t="s">
        <v>514</v>
      </c>
    </row>
    <row r="9672" spans="1:7" x14ac:dyDescent="0.25">
      <c r="A9672" s="1" t="str">
        <f>"501004"</f>
        <v>501004</v>
      </c>
      <c r="B9672" s="2" t="str">
        <f>"ELETROCALHA TEE HORIZ A.I 200 X 100"</f>
        <v>ELETROCALHA TEE HORIZ A.I 200 X 100</v>
      </c>
      <c r="C9672" s="2" t="str">
        <f t="shared" si="371"/>
        <v>UN</v>
      </c>
      <c r="D9672" s="7">
        <v>811</v>
      </c>
      <c r="E9672" s="3">
        <v>10</v>
      </c>
      <c r="F9672" s="3">
        <v>10</v>
      </c>
      <c r="G9672" t="s">
        <v>514</v>
      </c>
    </row>
    <row r="9673" spans="1:7" x14ac:dyDescent="0.25">
      <c r="A9673" s="1" t="str">
        <f>"508390"</f>
        <v>508390</v>
      </c>
      <c r="B9673" s="2" t="str">
        <f>"ELETROCALHA TEE VERT LATERAL 200X100"</f>
        <v>ELETROCALHA TEE VERT LATERAL 200X100</v>
      </c>
      <c r="C9673" s="2" t="str">
        <f t="shared" si="371"/>
        <v>UN</v>
      </c>
      <c r="D9673" s="7">
        <v>811</v>
      </c>
      <c r="E9673" s="3">
        <v>10</v>
      </c>
      <c r="F9673" s="3">
        <v>10</v>
      </c>
      <c r="G9673" t="s">
        <v>513</v>
      </c>
    </row>
    <row r="9674" spans="1:7" x14ac:dyDescent="0.25">
      <c r="A9674" s="1" t="str">
        <f>"510098"</f>
        <v>510098</v>
      </c>
      <c r="B9674" s="2" t="str">
        <f>"ELETROCALHA VERGALHAO C/ ROSCA 5/16"</f>
        <v>ELETROCALHA VERGALHAO C/ ROSCA 5/16</v>
      </c>
      <c r="C9674" s="2" t="str">
        <f t="shared" si="371"/>
        <v>UN</v>
      </c>
      <c r="D9674" s="7">
        <v>917</v>
      </c>
      <c r="E9674" s="3">
        <v>11</v>
      </c>
      <c r="F9674" s="3">
        <v>11</v>
      </c>
      <c r="G9674" t="s">
        <v>512</v>
      </c>
    </row>
    <row r="9675" spans="1:7" x14ac:dyDescent="0.25">
      <c r="A9675" s="1" t="str">
        <f>"501002"</f>
        <v>501002</v>
      </c>
      <c r="B9675" s="2" t="str">
        <f>"ELETROCALHA VERTICAL E-09 200X100MM"</f>
        <v>ELETROCALHA VERTICAL E-09 200X100MM</v>
      </c>
      <c r="C9675" s="2" t="str">
        <f t="shared" si="371"/>
        <v>UN</v>
      </c>
      <c r="D9675" s="7">
        <v>601</v>
      </c>
      <c r="E9675" s="3">
        <v>8</v>
      </c>
      <c r="F9675" s="3">
        <v>8</v>
      </c>
      <c r="G9675" t="s">
        <v>513</v>
      </c>
    </row>
    <row r="9676" spans="1:7" x14ac:dyDescent="0.25">
      <c r="A9676" s="1" t="str">
        <f>"511342"</f>
        <v>511342</v>
      </c>
      <c r="B9676" s="2" t="str">
        <f>"ELETROCLAHA GALV TAMPA T HORIZONTAL"</f>
        <v>ELETROCLAHA GALV TAMPA T HORIZONTAL</v>
      </c>
      <c r="C9676" s="2" t="str">
        <f t="shared" si="371"/>
        <v>UN</v>
      </c>
      <c r="D9676" s="7">
        <v>601</v>
      </c>
      <c r="E9676" s="3">
        <v>8</v>
      </c>
      <c r="F9676" s="3">
        <v>8</v>
      </c>
      <c r="G9676" t="s">
        <v>514</v>
      </c>
    </row>
    <row r="9677" spans="1:7" x14ac:dyDescent="0.25">
      <c r="A9677" s="1" t="str">
        <f>"501413"</f>
        <v>501413</v>
      </c>
      <c r="B9677" s="2" t="str">
        <f>"ELETRODO"</f>
        <v>ELETRODO</v>
      </c>
      <c r="C9677" s="2" t="str">
        <f t="shared" si="371"/>
        <v>UN</v>
      </c>
      <c r="D9677" s="7">
        <v>918</v>
      </c>
      <c r="E9677" s="3">
        <v>9</v>
      </c>
      <c r="F9677" s="3">
        <v>9</v>
      </c>
      <c r="G9677" t="s">
        <v>514</v>
      </c>
    </row>
    <row r="9678" spans="1:7" x14ac:dyDescent="0.25">
      <c r="A9678" s="1" t="str">
        <f>"505035"</f>
        <v>505035</v>
      </c>
      <c r="B9678" s="2" t="str">
        <f>"ELETRODO 2245 - 2,5MM 5P OK"</f>
        <v>ELETRODO 2245 - 2,5MM 5P OK</v>
      </c>
      <c r="C9678" s="2" t="str">
        <f t="shared" si="371"/>
        <v>UN</v>
      </c>
      <c r="D9678" s="7">
        <v>816</v>
      </c>
      <c r="E9678" s="3">
        <v>10</v>
      </c>
      <c r="F9678" s="3">
        <v>10</v>
      </c>
      <c r="G9678" t="s">
        <v>514</v>
      </c>
    </row>
    <row r="9679" spans="1:7" x14ac:dyDescent="0.25">
      <c r="A9679" s="1" t="str">
        <f>"509536"</f>
        <v>509536</v>
      </c>
      <c r="B9679" s="2" t="str">
        <f>"ELETRODO COMBINADO UNIVERSAL SC09"</f>
        <v>ELETRODO COMBINADO UNIVERSAL SC09</v>
      </c>
      <c r="C9679" s="2" t="str">
        <f>"PC"</f>
        <v>PC</v>
      </c>
      <c r="D9679" s="7">
        <v>406</v>
      </c>
      <c r="E9679" s="3">
        <v>4</v>
      </c>
      <c r="F9679" s="3">
        <v>4</v>
      </c>
      <c r="G9679" t="s">
        <v>513</v>
      </c>
    </row>
    <row r="9680" spans="1:7" x14ac:dyDescent="0.25">
      <c r="A9680" s="1" t="str">
        <f>"524606"</f>
        <v>524606</v>
      </c>
      <c r="B9680" s="8" t="s">
        <v>383</v>
      </c>
      <c r="C9680" s="2" t="str">
        <f>"UN"</f>
        <v>UN</v>
      </c>
      <c r="D9680" s="7">
        <v>406</v>
      </c>
      <c r="E9680" s="3">
        <v>13</v>
      </c>
      <c r="F9680" s="3">
        <v>13</v>
      </c>
      <c r="G9680" t="s">
        <v>513</v>
      </c>
    </row>
    <row r="9681" spans="1:7" x14ac:dyDescent="0.25">
      <c r="A9681" s="1" t="str">
        <f>"501143"</f>
        <v>501143</v>
      </c>
      <c r="B9681" s="2" t="str">
        <f>"ELETRODO CONTROLE DE NIVEL MAIOR"</f>
        <v>ELETRODO CONTROLE DE NIVEL MAIOR</v>
      </c>
      <c r="C9681" s="2" t="str">
        <f>"UN"</f>
        <v>UN</v>
      </c>
      <c r="D9681" s="7">
        <v>900</v>
      </c>
      <c r="E9681" s="3">
        <v>11</v>
      </c>
      <c r="F9681" s="3">
        <v>11</v>
      </c>
      <c r="G9681" t="s">
        <v>513</v>
      </c>
    </row>
    <row r="9682" spans="1:7" x14ac:dyDescent="0.25">
      <c r="A9682" s="1" t="str">
        <f>"527489"</f>
        <v>527489</v>
      </c>
      <c r="B9682" s="2" t="str">
        <f>"ELETRODO DA SELAGEM DINI 350 20/68/2604/MB6599-64663"</f>
        <v>ELETRODO DA SELAGEM DINI 350 20/68/2604/MB6599-64663</v>
      </c>
      <c r="C9682" s="2" t="str">
        <f>"PC"</f>
        <v>PC</v>
      </c>
      <c r="D9682" s="7">
        <v>1300</v>
      </c>
      <c r="E9682" s="3">
        <v>13</v>
      </c>
      <c r="F9682" s="3">
        <v>13</v>
      </c>
      <c r="G9682" t="s">
        <v>512</v>
      </c>
    </row>
    <row r="9683" spans="1:7" x14ac:dyDescent="0.25">
      <c r="A9683" s="1" t="str">
        <f>"526558"</f>
        <v>526558</v>
      </c>
      <c r="B9683" s="2" t="str">
        <f>"ELETRODO DE SELAGEM B-64663"</f>
        <v>ELETRODO DE SELAGEM B-64663</v>
      </c>
      <c r="C9683" s="2" t="str">
        <f>"PC"</f>
        <v>PC</v>
      </c>
      <c r="D9683" s="7">
        <v>918</v>
      </c>
      <c r="E9683" s="3">
        <v>11</v>
      </c>
      <c r="F9683" s="3">
        <v>11</v>
      </c>
      <c r="G9683" t="s">
        <v>513</v>
      </c>
    </row>
    <row r="9684" spans="1:7" x14ac:dyDescent="0.25">
      <c r="A9684" s="1" t="str">
        <f>"505032"</f>
        <v>505032</v>
      </c>
      <c r="B9684" s="2" t="str">
        <f>"ELETRODO FERRO FUNDIDO 1/8"</f>
        <v>ELETRODO FERRO FUNDIDO 1/8</v>
      </c>
      <c r="C9684" s="2" t="str">
        <f t="shared" ref="C9684:C9696" si="372">"UN"</f>
        <v>UN</v>
      </c>
      <c r="D9684" s="7">
        <v>402</v>
      </c>
      <c r="E9684" s="3">
        <v>4</v>
      </c>
      <c r="F9684" s="3">
        <v>4</v>
      </c>
      <c r="G9684" t="s">
        <v>514</v>
      </c>
    </row>
    <row r="9685" spans="1:7" x14ac:dyDescent="0.25">
      <c r="A9685" s="1" t="str">
        <f>"510222"</f>
        <v>510222</v>
      </c>
      <c r="B9685" s="2" t="str">
        <f>"ELETRODO HORIZONTAL C/ SUPORTE"</f>
        <v>ELETRODO HORIZONTAL C/ SUPORTE</v>
      </c>
      <c r="C9685" s="2" t="str">
        <f t="shared" si="372"/>
        <v>UN</v>
      </c>
      <c r="D9685" s="7">
        <v>900</v>
      </c>
      <c r="E9685" s="3">
        <v>11</v>
      </c>
      <c r="F9685" s="3">
        <v>11</v>
      </c>
      <c r="G9685" t="s">
        <v>515</v>
      </c>
    </row>
    <row r="9686" spans="1:7" x14ac:dyDescent="0.25">
      <c r="A9686" s="1" t="str">
        <f>"501549"</f>
        <v>501549</v>
      </c>
      <c r="B9686" s="2" t="str">
        <f>"ELETRODO INOX 2,5MM"</f>
        <v>ELETRODO INOX 2,5MM</v>
      </c>
      <c r="C9686" s="2" t="str">
        <f t="shared" si="372"/>
        <v>UN</v>
      </c>
      <c r="D9686" s="7">
        <v>402</v>
      </c>
      <c r="E9686" s="3">
        <v>4</v>
      </c>
      <c r="F9686" s="3">
        <v>4</v>
      </c>
      <c r="G9686" t="s">
        <v>512</v>
      </c>
    </row>
    <row r="9687" spans="1:7" x14ac:dyDescent="0.25">
      <c r="A9687" s="1" t="str">
        <f>"524607"</f>
        <v>524607</v>
      </c>
      <c r="B9687" s="8" t="s">
        <v>384</v>
      </c>
      <c r="C9687" s="2" t="str">
        <f t="shared" si="372"/>
        <v>UN</v>
      </c>
      <c r="D9687" s="7">
        <v>406</v>
      </c>
      <c r="E9687" s="3">
        <v>13</v>
      </c>
      <c r="F9687" s="3">
        <v>13</v>
      </c>
      <c r="G9687" t="s">
        <v>516</v>
      </c>
    </row>
    <row r="9688" spans="1:7" x14ac:dyDescent="0.25">
      <c r="A9688" s="1" t="str">
        <f>"503835"</f>
        <v>503835</v>
      </c>
      <c r="B9688" s="2" t="str">
        <f>"ELETRODO NIVEL TIPO HASTE INOX 303 300MM EF COEL"</f>
        <v>ELETRODO NIVEL TIPO HASTE INOX 303 300MM EF COEL</v>
      </c>
      <c r="C9688" s="2" t="str">
        <f t="shared" si="372"/>
        <v>UN</v>
      </c>
      <c r="D9688" s="7">
        <v>811</v>
      </c>
      <c r="E9688" s="3">
        <v>11</v>
      </c>
      <c r="F9688" s="3">
        <v>11</v>
      </c>
      <c r="G9688" t="s">
        <v>515</v>
      </c>
    </row>
    <row r="9689" spans="1:7" x14ac:dyDescent="0.25">
      <c r="A9689" s="1" t="str">
        <f>"500361"</f>
        <v>500361</v>
      </c>
      <c r="B9689" s="2" t="str">
        <f>"ELETRODO OK 46 DE 2,5MM"</f>
        <v>ELETRODO OK 46 DE 2,5MM</v>
      </c>
      <c r="C9689" s="2" t="str">
        <f t="shared" si="372"/>
        <v>UN</v>
      </c>
      <c r="D9689" s="7">
        <v>402</v>
      </c>
      <c r="E9689" s="3">
        <v>4</v>
      </c>
      <c r="F9689" s="3">
        <v>4</v>
      </c>
      <c r="G9689" t="s">
        <v>514</v>
      </c>
    </row>
    <row r="9690" spans="1:7" x14ac:dyDescent="0.25">
      <c r="A9690" s="1" t="str">
        <f>"504356"</f>
        <v>504356</v>
      </c>
      <c r="B9690" s="2" t="str">
        <f>"ELETRODO OK 46 DE 3,25MM"</f>
        <v>ELETRODO OK 46 DE 3,25MM</v>
      </c>
      <c r="C9690" s="2" t="str">
        <f t="shared" si="372"/>
        <v>UN</v>
      </c>
      <c r="D9690" s="7">
        <v>99999</v>
      </c>
      <c r="E9690" s="3">
        <v>10</v>
      </c>
      <c r="F9690" s="3">
        <v>10</v>
      </c>
      <c r="G9690" t="s">
        <v>512</v>
      </c>
    </row>
    <row r="9691" spans="1:7" x14ac:dyDescent="0.25">
      <c r="A9691" s="1" t="str">
        <f>"505096"</f>
        <v>505096</v>
      </c>
      <c r="B9691" s="2" t="str">
        <f>"ELETRODO OK 48 DE 2,5MM"</f>
        <v>ELETRODO OK 48 DE 2,5MM</v>
      </c>
      <c r="C9691" s="2" t="str">
        <f t="shared" si="372"/>
        <v>UN</v>
      </c>
      <c r="D9691" s="7">
        <v>402</v>
      </c>
      <c r="E9691" s="3">
        <v>4</v>
      </c>
      <c r="F9691" s="3">
        <v>4</v>
      </c>
      <c r="G9691" t="s">
        <v>513</v>
      </c>
    </row>
    <row r="9692" spans="1:7" x14ac:dyDescent="0.25">
      <c r="A9692" s="1" t="str">
        <f>"506442"</f>
        <v>506442</v>
      </c>
      <c r="B9692" s="2" t="str">
        <f>"ELETRODO OK 48 DE 3,25MM"</f>
        <v>ELETRODO OK 48 DE 3,25MM</v>
      </c>
      <c r="C9692" s="2" t="str">
        <f t="shared" si="372"/>
        <v>UN</v>
      </c>
      <c r="D9692" s="7">
        <v>99999</v>
      </c>
      <c r="E9692" s="3">
        <v>10</v>
      </c>
      <c r="F9692" s="3">
        <v>10</v>
      </c>
      <c r="G9692" t="s">
        <v>514</v>
      </c>
    </row>
    <row r="9693" spans="1:7" x14ac:dyDescent="0.25">
      <c r="A9693" s="1" t="str">
        <f>"515074"</f>
        <v>515074</v>
      </c>
      <c r="B9693" s="2" t="str">
        <f>"ELETRODO PARA TOCHA PLASMA"</f>
        <v>ELETRODO PARA TOCHA PLASMA</v>
      </c>
      <c r="C9693" s="2" t="str">
        <f t="shared" si="372"/>
        <v>UN</v>
      </c>
      <c r="D9693" s="7">
        <v>402</v>
      </c>
      <c r="E9693" s="3">
        <v>4</v>
      </c>
      <c r="F9693" s="3">
        <v>4</v>
      </c>
      <c r="G9693" t="s">
        <v>514</v>
      </c>
    </row>
    <row r="9694" spans="1:7" x14ac:dyDescent="0.25">
      <c r="A9694" s="1" t="str">
        <f>"524605"</f>
        <v>524605</v>
      </c>
      <c r="B9694" s="8" t="s">
        <v>382</v>
      </c>
      <c r="C9694" s="2" t="str">
        <f t="shared" si="372"/>
        <v>UN</v>
      </c>
      <c r="D9694" s="7">
        <v>406</v>
      </c>
      <c r="E9694" s="3">
        <v>13</v>
      </c>
      <c r="F9694" s="3">
        <v>13</v>
      </c>
      <c r="G9694" t="s">
        <v>512</v>
      </c>
    </row>
    <row r="9695" spans="1:7" x14ac:dyDescent="0.25">
      <c r="A9695" s="1" t="str">
        <f>"520613"</f>
        <v>520613</v>
      </c>
      <c r="B9695" s="2" t="str">
        <f>"ELETRODO PH DUP JUNÇÃO SOL. EVOL.VIS. BCN FC210B (CALIBRADO)"</f>
        <v>ELETRODO PH DUP JUNÇÃO SOL. EVOL.VIS. BCN FC210B (CALIBRADO)</v>
      </c>
      <c r="C9695" s="2" t="str">
        <f t="shared" si="372"/>
        <v>UN</v>
      </c>
      <c r="D9695" s="7">
        <v>406</v>
      </c>
      <c r="E9695" s="3">
        <v>4</v>
      </c>
      <c r="F9695" s="3">
        <v>4</v>
      </c>
      <c r="G9695" t="s">
        <v>513</v>
      </c>
    </row>
    <row r="9696" spans="1:7" x14ac:dyDescent="0.25">
      <c r="A9696" s="1" t="str">
        <f>"520612"</f>
        <v>520612</v>
      </c>
      <c r="B9696" s="2" t="str">
        <f>"ELETRODO PH JUNÇÃO ABERTA SOL. EVOL. VIS. DIN 7 POLOS FC201D"</f>
        <v>ELETRODO PH JUNÇÃO ABERTA SOL. EVOL. VIS. DIN 7 POLOS FC201D</v>
      </c>
      <c r="C9696" s="2" t="str">
        <f t="shared" si="372"/>
        <v>UN</v>
      </c>
      <c r="D9696" s="7">
        <v>406</v>
      </c>
      <c r="E9696" s="3">
        <v>4</v>
      </c>
      <c r="F9696" s="3">
        <v>4</v>
      </c>
      <c r="G9696" t="s">
        <v>514</v>
      </c>
    </row>
    <row r="9697" spans="1:7" x14ac:dyDescent="0.25">
      <c r="A9697" s="1" t="str">
        <f>"526350"</f>
        <v>526350</v>
      </c>
      <c r="B9697" s="2" t="str">
        <f>"ELETRODO PH P/ LIQUIDOS BNC"</f>
        <v>ELETRODO PH P/ LIQUIDOS BNC</v>
      </c>
      <c r="C9697" s="2" t="str">
        <f>"PC"</f>
        <v>PC</v>
      </c>
      <c r="D9697" s="7">
        <v>406</v>
      </c>
      <c r="E9697" s="3">
        <v>4</v>
      </c>
      <c r="F9697" s="3">
        <v>4</v>
      </c>
      <c r="G9697" t="s">
        <v>514</v>
      </c>
    </row>
    <row r="9698" spans="1:7" x14ac:dyDescent="0.25">
      <c r="A9698" s="1" t="str">
        <f>"526349"</f>
        <v>526349</v>
      </c>
      <c r="B9698" s="2" t="str">
        <f>"ELETRODO PH P/ SEMISSOLIDOS BNC S175CD"</f>
        <v>ELETRODO PH P/ SEMISSOLIDOS BNC S175CD</v>
      </c>
      <c r="C9698" s="2" t="str">
        <f>"PC"</f>
        <v>PC</v>
      </c>
      <c r="D9698" s="7">
        <v>406</v>
      </c>
      <c r="E9698" s="3">
        <v>4</v>
      </c>
      <c r="F9698" s="3">
        <v>4</v>
      </c>
      <c r="G9698" t="s">
        <v>514</v>
      </c>
    </row>
    <row r="9699" spans="1:7" x14ac:dyDescent="0.25">
      <c r="A9699" s="1" t="str">
        <f>"521223"</f>
        <v>521223</v>
      </c>
      <c r="B9699" s="2" t="str">
        <f>"ELETRODO PH SERIE STARTER OHAUS"</f>
        <v>ELETRODO PH SERIE STARTER OHAUS</v>
      </c>
      <c r="C9699" s="2" t="str">
        <f t="shared" ref="C9699:C9705" si="373">"UN"</f>
        <v>UN</v>
      </c>
      <c r="D9699" s="7">
        <v>406</v>
      </c>
      <c r="E9699" s="3">
        <v>4</v>
      </c>
      <c r="F9699" s="3">
        <v>4</v>
      </c>
      <c r="G9699" t="s">
        <v>513</v>
      </c>
    </row>
    <row r="9700" spans="1:7" x14ac:dyDescent="0.25">
      <c r="A9700" s="1" t="str">
        <f>"521683"</f>
        <v>521683</v>
      </c>
      <c r="B9700" s="2" t="str">
        <f>"ELETRODO PLASMA S45"</f>
        <v>ELETRODO PLASMA S45</v>
      </c>
      <c r="C9700" s="2" t="str">
        <f t="shared" si="373"/>
        <v>UN</v>
      </c>
      <c r="D9700" s="7">
        <v>99999</v>
      </c>
      <c r="E9700" s="3">
        <v>99</v>
      </c>
      <c r="F9700" s="3">
        <v>99</v>
      </c>
      <c r="G9700" t="s">
        <v>512</v>
      </c>
    </row>
    <row r="9701" spans="1:7" x14ac:dyDescent="0.25">
      <c r="A9701" s="1" t="str">
        <f>"521684"</f>
        <v>521684</v>
      </c>
      <c r="B9701" s="2" t="str">
        <f>"ELETRODO PLASMA S45 PR105 MOD LPH 35/37 MEDIO"</f>
        <v>ELETRODO PLASMA S45 PR105 MOD LPH 35/37 MEDIO</v>
      </c>
      <c r="C9701" s="2" t="str">
        <f t="shared" si="373"/>
        <v>UN</v>
      </c>
      <c r="D9701" s="7">
        <v>99999</v>
      </c>
      <c r="E9701" s="3">
        <v>99</v>
      </c>
      <c r="F9701" s="3">
        <v>99</v>
      </c>
      <c r="G9701" t="s">
        <v>513</v>
      </c>
    </row>
    <row r="9702" spans="1:7" x14ac:dyDescent="0.25">
      <c r="A9702" s="1" t="str">
        <f>"505164"</f>
        <v>505164</v>
      </c>
      <c r="B9702" s="2" t="str">
        <f>"ELETRODO SELAGEM BANDEJA DMAX (PAR)"</f>
        <v>ELETRODO SELAGEM BANDEJA DMAX (PAR)</v>
      </c>
      <c r="C9702" s="2" t="str">
        <f t="shared" si="373"/>
        <v>UN</v>
      </c>
      <c r="D9702" s="7">
        <v>900</v>
      </c>
      <c r="E9702" s="3">
        <v>11</v>
      </c>
      <c r="F9702" s="3">
        <v>11</v>
      </c>
      <c r="G9702" t="s">
        <v>514</v>
      </c>
    </row>
    <row r="9703" spans="1:7" x14ac:dyDescent="0.25">
      <c r="A9703" s="1" t="str">
        <f>"517535"</f>
        <v>517535</v>
      </c>
      <c r="B9703" s="2" t="str">
        <f>"ELETRODO SELAGEM DINI 550MM POS 5/1433/8A4399-57007"</f>
        <v>ELETRODO SELAGEM DINI 550MM POS 5/1433/8A4399-57007</v>
      </c>
      <c r="C9703" s="2" t="str">
        <f t="shared" si="373"/>
        <v>UN</v>
      </c>
      <c r="D9703" s="7">
        <v>918</v>
      </c>
      <c r="E9703" s="3">
        <v>11</v>
      </c>
      <c r="F9703" s="3">
        <v>11</v>
      </c>
      <c r="G9703" t="s">
        <v>514</v>
      </c>
    </row>
    <row r="9704" spans="1:7" x14ac:dyDescent="0.25">
      <c r="A9704" s="1" t="str">
        <f>"509565"</f>
        <v>509565</v>
      </c>
      <c r="B9704" s="2" t="str">
        <f>"ELETRODO SELAGEM PETIT (PAR)"</f>
        <v>ELETRODO SELAGEM PETIT (PAR)</v>
      </c>
      <c r="C9704" s="2" t="str">
        <f t="shared" si="373"/>
        <v>UN</v>
      </c>
      <c r="D9704" s="7">
        <v>900</v>
      </c>
      <c r="E9704" s="3">
        <v>11</v>
      </c>
      <c r="F9704" s="3">
        <v>11</v>
      </c>
      <c r="G9704" t="s">
        <v>514</v>
      </c>
    </row>
    <row r="9705" spans="1:7" x14ac:dyDescent="0.25">
      <c r="A9705" s="1" t="str">
        <f>"521224"</f>
        <v>521224</v>
      </c>
      <c r="B9705" s="2" t="str">
        <f>"ELETRODO SERIE STARTER PLAST PH 0 A 14 TEMP 0 A 80ºC - ST310"</f>
        <v>ELETRODO SERIE STARTER PLAST PH 0 A 14 TEMP 0 A 80ºC - ST310</v>
      </c>
      <c r="C9705" s="2" t="str">
        <f t="shared" si="373"/>
        <v>UN</v>
      </c>
      <c r="D9705" s="7">
        <v>406</v>
      </c>
      <c r="E9705" s="3">
        <v>4</v>
      </c>
      <c r="F9705" s="3">
        <v>4</v>
      </c>
      <c r="G9705" t="s">
        <v>513</v>
      </c>
    </row>
    <row r="9706" spans="1:7" x14ac:dyDescent="0.25">
      <c r="A9706" s="1" t="str">
        <f>"521086"</f>
        <v>521086</v>
      </c>
      <c r="B9706" s="2" t="str">
        <f>"ELETRODO SERIE STARTER PLASTICO PH 0 A 14 TEMP 0 A 80C ST320"</f>
        <v>ELETRODO SERIE STARTER PLASTICO PH 0 A 14 TEMP 0 A 80C ST320</v>
      </c>
      <c r="C9706" s="2" t="str">
        <f>"PC"</f>
        <v>PC</v>
      </c>
      <c r="D9706" s="7">
        <v>406</v>
      </c>
      <c r="E9706" s="3">
        <v>4</v>
      </c>
      <c r="F9706" s="3">
        <v>4</v>
      </c>
      <c r="G9706" t="s">
        <v>513</v>
      </c>
    </row>
    <row r="9707" spans="1:7" x14ac:dyDescent="0.25">
      <c r="A9707" s="1" t="str">
        <f>"514480"</f>
        <v>514480</v>
      </c>
      <c r="B9707" s="2" t="str">
        <f>"ELETRODO SOLDA ELETRICA"</f>
        <v>ELETRODO SOLDA ELETRICA</v>
      </c>
      <c r="C9707" s="2" t="str">
        <f>"UN"</f>
        <v>UN</v>
      </c>
      <c r="D9707" s="7">
        <v>704</v>
      </c>
      <c r="E9707" s="3">
        <v>9</v>
      </c>
      <c r="F9707" s="3">
        <v>9</v>
      </c>
      <c r="G9707" t="s">
        <v>513</v>
      </c>
    </row>
    <row r="9708" spans="1:7" x14ac:dyDescent="0.25">
      <c r="A9708" s="1" t="str">
        <f>"519842"</f>
        <v>519842</v>
      </c>
      <c r="B9708" s="2" t="str">
        <f>"ELETRODO TIPO ESPADA BNC-SC02"</f>
        <v>ELETRODO TIPO ESPADA BNC-SC02</v>
      </c>
      <c r="C9708" s="2" t="str">
        <f>"PC"</f>
        <v>PC</v>
      </c>
      <c r="D9708" s="7">
        <v>406</v>
      </c>
      <c r="E9708" s="3">
        <v>4</v>
      </c>
      <c r="F9708" s="3">
        <v>4</v>
      </c>
      <c r="G9708" t="s">
        <v>512</v>
      </c>
    </row>
    <row r="9709" spans="1:7" x14ac:dyDescent="0.25">
      <c r="A9709" s="1" t="str">
        <f>"514421"</f>
        <v>514421</v>
      </c>
      <c r="B9709" s="2" t="str">
        <f>"ELETRODO TIPO SPADAMI 200B"</f>
        <v>ELETRODO TIPO SPADAMI 200B</v>
      </c>
      <c r="C9709" s="2" t="str">
        <f t="shared" ref="C9709:C9720" si="374">"UN"</f>
        <v>UN</v>
      </c>
      <c r="D9709" s="7">
        <v>406</v>
      </c>
      <c r="E9709" s="3">
        <v>4</v>
      </c>
      <c r="F9709" s="3">
        <v>4</v>
      </c>
      <c r="G9709" t="s">
        <v>513</v>
      </c>
    </row>
    <row r="9710" spans="1:7" x14ac:dyDescent="0.25">
      <c r="A9710" s="1" t="str">
        <f>"503048"</f>
        <v>503048</v>
      </c>
      <c r="B9710" s="2" t="str">
        <f>"ELETRODO TUNGST.C/TORIO 2,40MM INOX"</f>
        <v>ELETRODO TUNGST.C/TORIO 2,40MM INOX</v>
      </c>
      <c r="C9710" s="2" t="str">
        <f t="shared" si="374"/>
        <v>UN</v>
      </c>
      <c r="D9710" s="7">
        <v>402</v>
      </c>
      <c r="E9710" s="3">
        <v>4</v>
      </c>
      <c r="F9710" s="3">
        <v>4</v>
      </c>
      <c r="G9710" t="s">
        <v>514</v>
      </c>
    </row>
    <row r="9711" spans="1:7" x14ac:dyDescent="0.25">
      <c r="A9711" s="1" t="str">
        <f>"522411"</f>
        <v>522411</v>
      </c>
      <c r="B9711" s="2" t="str">
        <f>"ELETRODO UNIVERSAL CAP-LAB (GEHAKA)"</f>
        <v>ELETRODO UNIVERSAL CAP-LAB (GEHAKA)</v>
      </c>
      <c r="C9711" s="2" t="str">
        <f t="shared" si="374"/>
        <v>UN</v>
      </c>
      <c r="D9711" s="7">
        <v>406</v>
      </c>
      <c r="E9711" s="3">
        <v>4</v>
      </c>
      <c r="F9711" s="3">
        <v>4</v>
      </c>
      <c r="G9711" t="s">
        <v>515</v>
      </c>
    </row>
    <row r="9712" spans="1:7" x14ac:dyDescent="0.25">
      <c r="A9712" s="1" t="str">
        <f>"502243"</f>
        <v>502243</v>
      </c>
      <c r="B9712" s="2" t="str">
        <f>"ELETRODO VERTICAL COMPLETO C/BORNE RESI"</f>
        <v>ELETRODO VERTICAL COMPLETO C/BORNE RESI</v>
      </c>
      <c r="C9712" s="2" t="str">
        <f t="shared" si="374"/>
        <v>UN</v>
      </c>
      <c r="D9712" s="7">
        <v>900</v>
      </c>
      <c r="E9712" s="3">
        <v>11</v>
      </c>
      <c r="F9712" s="3">
        <v>11</v>
      </c>
      <c r="G9712" t="s">
        <v>512</v>
      </c>
    </row>
    <row r="9713" spans="1:7" x14ac:dyDescent="0.25">
      <c r="A9713" s="1" t="str">
        <f>"513362"</f>
        <v>513362</v>
      </c>
      <c r="B9713" s="2" t="str">
        <f>"ELETRODUTO"</f>
        <v>ELETRODUTO</v>
      </c>
      <c r="C9713" s="2" t="str">
        <f t="shared" si="374"/>
        <v>UN</v>
      </c>
      <c r="D9713" s="7">
        <v>917</v>
      </c>
      <c r="E9713" s="3">
        <v>11</v>
      </c>
      <c r="F9713" s="3">
        <v>11</v>
      </c>
      <c r="G9713" t="s">
        <v>516</v>
      </c>
    </row>
    <row r="9714" spans="1:7" x14ac:dyDescent="0.25">
      <c r="A9714" s="1" t="str">
        <f>"512381"</f>
        <v>512381</v>
      </c>
      <c r="B9714" s="2" t="str">
        <f>"ELETRODUTO CORRUGADO 1"""</f>
        <v>ELETRODUTO CORRUGADO 1"</v>
      </c>
      <c r="C9714" s="2" t="str">
        <f t="shared" si="374"/>
        <v>UN</v>
      </c>
      <c r="D9714" s="7">
        <v>601</v>
      </c>
      <c r="E9714" s="3">
        <v>8</v>
      </c>
      <c r="F9714" s="3">
        <v>8</v>
      </c>
      <c r="G9714" t="s">
        <v>515</v>
      </c>
    </row>
    <row r="9715" spans="1:7" x14ac:dyDescent="0.25">
      <c r="A9715" s="1" t="str">
        <f>"573781"</f>
        <v>573781</v>
      </c>
      <c r="B9715" s="2" t="str">
        <f>"ELETRODUTO CORRUGADO 4"" POLEGADA"</f>
        <v>ELETRODUTO CORRUGADO 4" POLEGADA</v>
      </c>
      <c r="C9715" s="2" t="str">
        <f t="shared" si="374"/>
        <v>UN</v>
      </c>
      <c r="D9715" s="7">
        <v>601</v>
      </c>
      <c r="E9715" s="3">
        <v>8</v>
      </c>
      <c r="F9715" s="3">
        <v>8</v>
      </c>
      <c r="G9715" t="s">
        <v>514</v>
      </c>
    </row>
    <row r="9716" spans="1:7" x14ac:dyDescent="0.25">
      <c r="A9716" s="1" t="str">
        <f>"509885"</f>
        <v>509885</v>
      </c>
      <c r="B9716" s="2" t="str">
        <f>"ELETRODUTO GALVANIZADO 1"""</f>
        <v>ELETRODUTO GALVANIZADO 1"</v>
      </c>
      <c r="C9716" s="2" t="str">
        <f t="shared" si="374"/>
        <v>UN</v>
      </c>
      <c r="D9716" s="7">
        <v>601</v>
      </c>
      <c r="E9716" s="3">
        <v>8</v>
      </c>
      <c r="F9716" s="3">
        <v>8</v>
      </c>
      <c r="G9716" t="s">
        <v>512</v>
      </c>
    </row>
    <row r="9717" spans="1:7" x14ac:dyDescent="0.25">
      <c r="A9717" s="1" t="str">
        <f>"506827"</f>
        <v>506827</v>
      </c>
      <c r="B9717" s="2" t="str">
        <f>"ELETRODUTO GALVANIZADO 3/4"""</f>
        <v>ELETRODUTO GALVANIZADO 3/4"</v>
      </c>
      <c r="C9717" s="2" t="str">
        <f t="shared" si="374"/>
        <v>UN</v>
      </c>
      <c r="D9717" s="7">
        <v>917</v>
      </c>
      <c r="E9717" s="3">
        <v>11</v>
      </c>
      <c r="F9717" s="3">
        <v>11</v>
      </c>
      <c r="G9717" t="s">
        <v>513</v>
      </c>
    </row>
    <row r="9718" spans="1:7" x14ac:dyDescent="0.25">
      <c r="A9718" s="1" t="str">
        <f>"523914"</f>
        <v>523914</v>
      </c>
      <c r="B9718" s="2" t="str">
        <f>"ELETRODUTO GALVANIZADO A FOGO 1"" X 3000"</f>
        <v>ELETRODUTO GALVANIZADO A FOGO 1" X 3000</v>
      </c>
      <c r="C9718" s="2" t="str">
        <f t="shared" si="374"/>
        <v>UN</v>
      </c>
      <c r="D9718" s="7">
        <v>601</v>
      </c>
      <c r="E9718" s="3">
        <v>8</v>
      </c>
      <c r="F9718" s="3">
        <v>8</v>
      </c>
      <c r="G9718" t="s">
        <v>514</v>
      </c>
    </row>
    <row r="9719" spans="1:7" x14ac:dyDescent="0.25">
      <c r="A9719" s="1" t="str">
        <f>"513029"</f>
        <v>513029</v>
      </c>
      <c r="B9719" s="2" t="str">
        <f>"ELETRODUTO GALVANIZADO A FOGO 3/4"" X 3000"</f>
        <v>ELETRODUTO GALVANIZADO A FOGO 3/4" X 3000</v>
      </c>
      <c r="C9719" s="2" t="str">
        <f t="shared" si="374"/>
        <v>UN</v>
      </c>
      <c r="D9719" s="7">
        <v>601</v>
      </c>
      <c r="E9719" s="3">
        <v>8</v>
      </c>
      <c r="F9719" s="3">
        <v>8</v>
      </c>
      <c r="G9719" t="s">
        <v>514</v>
      </c>
    </row>
    <row r="9720" spans="1:7" x14ac:dyDescent="0.25">
      <c r="A9720" s="1" t="str">
        <f>"519039"</f>
        <v>519039</v>
      </c>
      <c r="B9720" s="2" t="str">
        <f>"ELETRODUTO GALVANIZADO A FOGO 4"" X 6MM"</f>
        <v>ELETRODUTO GALVANIZADO A FOGO 4" X 6MM</v>
      </c>
      <c r="C9720" s="2" t="str">
        <f t="shared" si="374"/>
        <v>UN</v>
      </c>
      <c r="D9720" s="7">
        <v>601</v>
      </c>
      <c r="E9720" s="3">
        <v>8</v>
      </c>
      <c r="F9720" s="3">
        <v>8</v>
      </c>
      <c r="G9720" t="s">
        <v>512</v>
      </c>
    </row>
    <row r="9721" spans="1:7" x14ac:dyDescent="0.25">
      <c r="A9721" s="1" t="str">
        <f>"522780"</f>
        <v>522780</v>
      </c>
      <c r="B9721" s="2" t="str">
        <f>"ELETRODUTO GALVANIZADO ELETROLLICO PESADO 2 1/2"""</f>
        <v>ELETRODUTO GALVANIZADO ELETROLLICO PESADO 2 1/2"</v>
      </c>
      <c r="C9721" s="2" t="str">
        <f>"BR"</f>
        <v>BR</v>
      </c>
      <c r="D9721" s="7">
        <v>601</v>
      </c>
      <c r="E9721" s="3">
        <v>8</v>
      </c>
      <c r="F9721" s="3">
        <v>8</v>
      </c>
      <c r="G9721" t="s">
        <v>513</v>
      </c>
    </row>
    <row r="9722" spans="1:7" x14ac:dyDescent="0.25">
      <c r="A9722" s="1" t="str">
        <f>"527261"</f>
        <v>527261</v>
      </c>
      <c r="B9722" s="2" t="str">
        <f>"ELETRODUTO GALVANIZADO FOGO 1 PESADO NBR5598"</f>
        <v>ELETRODUTO GALVANIZADO FOGO 1 PESADO NBR5598</v>
      </c>
      <c r="C9722" s="2" t="str">
        <f>"BR"</f>
        <v>BR</v>
      </c>
      <c r="D9722" s="7">
        <v>601</v>
      </c>
      <c r="E9722" s="3">
        <v>8</v>
      </c>
      <c r="F9722" s="3">
        <v>8</v>
      </c>
      <c r="G9722" t="s">
        <v>514</v>
      </c>
    </row>
    <row r="9723" spans="1:7" x14ac:dyDescent="0.25">
      <c r="A9723" s="1" t="str">
        <f>"523913"</f>
        <v>523913</v>
      </c>
      <c r="B9723" s="2" t="str">
        <f>"ELETRODUTO INOX 1"""</f>
        <v>ELETRODUTO INOX 1"</v>
      </c>
      <c r="C9723" s="2" t="str">
        <f t="shared" ref="C9723:C9732" si="375">"UN"</f>
        <v>UN</v>
      </c>
      <c r="D9723" s="7">
        <v>601</v>
      </c>
      <c r="E9723" s="3">
        <v>8</v>
      </c>
      <c r="F9723" s="3">
        <v>8</v>
      </c>
      <c r="G9723" t="s">
        <v>514</v>
      </c>
    </row>
    <row r="9724" spans="1:7" x14ac:dyDescent="0.25">
      <c r="A9724" s="1" t="str">
        <f>"521764"</f>
        <v>521764</v>
      </c>
      <c r="B9724" s="2" t="str">
        <f>"ELETRODUTO PESADO  1X3000MM GF NBR5598"</f>
        <v>ELETRODUTO PESADO  1X3000MM GF NBR5598</v>
      </c>
      <c r="C9724" s="2" t="str">
        <f t="shared" si="375"/>
        <v>UN</v>
      </c>
      <c r="D9724" s="7">
        <v>601</v>
      </c>
      <c r="E9724" s="3">
        <v>8</v>
      </c>
      <c r="F9724" s="3">
        <v>8</v>
      </c>
      <c r="G9724" t="s">
        <v>514</v>
      </c>
    </row>
    <row r="9725" spans="1:7" x14ac:dyDescent="0.25">
      <c r="A9725" s="1" t="str">
        <f>"509838"</f>
        <v>509838</v>
      </c>
      <c r="B9725" s="2" t="str">
        <f>"ELETRODUTO PVC 1 1/2"" - PRETO"</f>
        <v>ELETRODUTO PVC 1 1/2" - PRETO</v>
      </c>
      <c r="C9725" s="2" t="str">
        <f t="shared" si="375"/>
        <v>UN</v>
      </c>
      <c r="D9725" s="7">
        <v>601</v>
      </c>
      <c r="E9725" s="3">
        <v>8</v>
      </c>
      <c r="F9725" s="3">
        <v>8</v>
      </c>
      <c r="G9725" t="s">
        <v>513</v>
      </c>
    </row>
    <row r="9726" spans="1:7" x14ac:dyDescent="0.25">
      <c r="A9726" s="1" t="str">
        <f>"506966"</f>
        <v>506966</v>
      </c>
      <c r="B9726" s="2" t="str">
        <f>"ELETRODUTO PVC 1""   S/ ROSCA - CINZA"</f>
        <v>ELETRODUTO PVC 1"   S/ ROSCA - CINZA</v>
      </c>
      <c r="C9726" s="2" t="str">
        <f t="shared" si="375"/>
        <v>UN</v>
      </c>
      <c r="D9726" s="7">
        <v>917</v>
      </c>
      <c r="E9726" s="3">
        <v>11</v>
      </c>
      <c r="F9726" s="3">
        <v>11</v>
      </c>
      <c r="G9726" t="s">
        <v>512</v>
      </c>
    </row>
    <row r="9727" spans="1:7" x14ac:dyDescent="0.25">
      <c r="A9727" s="1" t="str">
        <f>"509424"</f>
        <v>509424</v>
      </c>
      <c r="B9727" s="2" t="str">
        <f>"ELETRODUTO PVC 1/2"" S/ ROSCA - CINZA"</f>
        <v>ELETRODUTO PVC 1/2" S/ ROSCA - CINZA</v>
      </c>
      <c r="C9727" s="2" t="str">
        <f t="shared" si="375"/>
        <v>UN</v>
      </c>
      <c r="D9727" s="7">
        <v>601</v>
      </c>
      <c r="E9727" s="3">
        <v>8</v>
      </c>
      <c r="F9727" s="3">
        <v>8</v>
      </c>
      <c r="G9727" t="s">
        <v>513</v>
      </c>
    </row>
    <row r="9728" spans="1:7" x14ac:dyDescent="0.25">
      <c r="A9728" s="1" t="str">
        <f>"509846"</f>
        <v>509846</v>
      </c>
      <c r="B9728" s="2" t="str">
        <f>"ELETRODUTO PVC 2 1/2"""</f>
        <v>ELETRODUTO PVC 2 1/2"</v>
      </c>
      <c r="C9728" s="2" t="str">
        <f t="shared" si="375"/>
        <v>UN</v>
      </c>
      <c r="D9728" s="7">
        <v>601</v>
      </c>
      <c r="E9728" s="3">
        <v>8</v>
      </c>
      <c r="F9728" s="3">
        <v>8</v>
      </c>
      <c r="G9728" t="s">
        <v>514</v>
      </c>
    </row>
    <row r="9729" spans="1:7" x14ac:dyDescent="0.25">
      <c r="A9729" s="1" t="str">
        <f>"506967"</f>
        <v>506967</v>
      </c>
      <c r="B9729" s="2" t="str">
        <f>"ELETRODUTO PVC 2"""</f>
        <v>ELETRODUTO PVC 2"</v>
      </c>
      <c r="C9729" s="2" t="str">
        <f t="shared" si="375"/>
        <v>UN</v>
      </c>
      <c r="D9729" s="7">
        <v>917</v>
      </c>
      <c r="E9729" s="3">
        <v>11</v>
      </c>
      <c r="F9729" s="3">
        <v>11</v>
      </c>
      <c r="G9729" t="s">
        <v>514</v>
      </c>
    </row>
    <row r="9730" spans="1:7" x14ac:dyDescent="0.25">
      <c r="A9730" s="1" t="str">
        <f>"510851"</f>
        <v>510851</v>
      </c>
      <c r="B9730" s="2" t="str">
        <f>"ELETRODUTO PVC 3"""</f>
        <v>ELETRODUTO PVC 3"</v>
      </c>
      <c r="C9730" s="2" t="str">
        <f t="shared" si="375"/>
        <v>UN</v>
      </c>
      <c r="D9730" s="7">
        <v>601</v>
      </c>
      <c r="E9730" s="3">
        <v>8</v>
      </c>
      <c r="F9730" s="3">
        <v>8</v>
      </c>
      <c r="G9730" t="s">
        <v>514</v>
      </c>
    </row>
    <row r="9731" spans="1:7" x14ac:dyDescent="0.25">
      <c r="A9731" s="1" t="str">
        <f>"505613"</f>
        <v>505613</v>
      </c>
      <c r="B9731" s="2" t="str">
        <f>"ELETRODUTO PVC 3/4"" S/ ROSCA - CINZA"</f>
        <v>ELETRODUTO PVC 3/4" S/ ROSCA - CINZA</v>
      </c>
      <c r="C9731" s="2" t="str">
        <f t="shared" si="375"/>
        <v>UN</v>
      </c>
      <c r="D9731" s="7">
        <v>601</v>
      </c>
      <c r="E9731" s="3">
        <v>8</v>
      </c>
      <c r="F9731" s="3">
        <v>8</v>
      </c>
      <c r="G9731" t="s">
        <v>513</v>
      </c>
    </row>
    <row r="9732" spans="1:7" x14ac:dyDescent="0.25">
      <c r="A9732" s="1" t="str">
        <f>"510393"</f>
        <v>510393</v>
      </c>
      <c r="B9732" s="2" t="str">
        <f>"ELETRODUTO PVC 4"""</f>
        <v>ELETRODUTO PVC 4"</v>
      </c>
      <c r="C9732" s="2" t="str">
        <f t="shared" si="375"/>
        <v>UN</v>
      </c>
      <c r="D9732" s="7">
        <v>601</v>
      </c>
      <c r="E9732" s="3">
        <v>8</v>
      </c>
      <c r="F9732" s="3">
        <v>8</v>
      </c>
      <c r="G9732" t="s">
        <v>513</v>
      </c>
    </row>
    <row r="9733" spans="1:7" x14ac:dyDescent="0.25">
      <c r="A9733" s="1" t="str">
        <f>"522667"</f>
        <v>522667</v>
      </c>
      <c r="B9733" s="2" t="str">
        <f>"ELETRODUTO SEMI PESADO GALVANIZADO ELETRÓLICO 1"""</f>
        <v>ELETRODUTO SEMI PESADO GALVANIZADO ELETRÓLICO 1"</v>
      </c>
      <c r="C9733" s="2" t="str">
        <f>"BR"</f>
        <v>BR</v>
      </c>
      <c r="D9733" s="7">
        <v>811</v>
      </c>
      <c r="E9733" s="3">
        <v>10</v>
      </c>
      <c r="F9733" s="3">
        <v>10</v>
      </c>
      <c r="G9733" t="s">
        <v>513</v>
      </c>
    </row>
    <row r="9734" spans="1:7" x14ac:dyDescent="0.25">
      <c r="A9734" s="1" t="str">
        <f>"522666"</f>
        <v>522666</v>
      </c>
      <c r="B9734" s="2" t="str">
        <f>"ELETRODUTO SEMI PESADO GALVANIZADO ELETRÓLICO 3/4"</f>
        <v>ELETRODUTO SEMI PESADO GALVANIZADO ELETRÓLICO 3/4</v>
      </c>
      <c r="C9734" s="2" t="str">
        <f>"BR"</f>
        <v>BR</v>
      </c>
      <c r="D9734" s="7">
        <v>811</v>
      </c>
      <c r="E9734" s="3">
        <v>10</v>
      </c>
      <c r="F9734" s="3">
        <v>10</v>
      </c>
      <c r="G9734" t="s">
        <v>512</v>
      </c>
    </row>
    <row r="9735" spans="1:7" x14ac:dyDescent="0.25">
      <c r="A9735" s="1" t="str">
        <f>"513455"</f>
        <v>513455</v>
      </c>
      <c r="B9735" s="2" t="str">
        <f>"ELETROLDO DE SELAGEM A-57007 DINI 550M"</f>
        <v>ELETROLDO DE SELAGEM A-57007 DINI 550M</v>
      </c>
      <c r="C9735" s="2" t="str">
        <f>"UN"</f>
        <v>UN</v>
      </c>
      <c r="D9735" s="7">
        <v>918</v>
      </c>
      <c r="E9735" s="3">
        <v>11</v>
      </c>
      <c r="F9735" s="3">
        <v>11</v>
      </c>
      <c r="G9735" t="s">
        <v>513</v>
      </c>
    </row>
    <row r="9736" spans="1:7" x14ac:dyDescent="0.25">
      <c r="A9736" s="1" t="str">
        <f>"510771"</f>
        <v>510771</v>
      </c>
      <c r="B9736" s="2" t="str">
        <f>"ELETRONICOS"</f>
        <v>ELETRONICOS</v>
      </c>
      <c r="C9736" s="2" t="str">
        <f>"UN"</f>
        <v>UN</v>
      </c>
      <c r="D9736" s="7">
        <v>600</v>
      </c>
      <c r="E9736" s="3">
        <v>8</v>
      </c>
      <c r="F9736" s="3">
        <v>8</v>
      </c>
      <c r="G9736" t="s">
        <v>514</v>
      </c>
    </row>
    <row r="9737" spans="1:7" x14ac:dyDescent="0.25">
      <c r="A9737" s="1" t="str">
        <f>"509569"</f>
        <v>509569</v>
      </c>
      <c r="B9737" s="2" t="str">
        <f>"ELETROVALVULA 916 B PRENSA"</f>
        <v>ELETROVALVULA 916 B PRENSA</v>
      </c>
      <c r="C9737" s="2" t="str">
        <f>"UN"</f>
        <v>UN</v>
      </c>
      <c r="D9737" s="7">
        <v>900</v>
      </c>
      <c r="E9737" s="3">
        <v>11</v>
      </c>
      <c r="F9737" s="3">
        <v>11</v>
      </c>
      <c r="G9737" t="s">
        <v>515</v>
      </c>
    </row>
    <row r="9738" spans="1:7" x14ac:dyDescent="0.25">
      <c r="A9738" s="1" t="str">
        <f>"502973"</f>
        <v>502973</v>
      </c>
      <c r="B9738" s="2" t="str">
        <f>"ELETRO-VALVULA G1/4 5V2P C/ BOBINA 220V"</f>
        <v>ELETRO-VALVULA G1/4 5V2P C/ BOBINA 220V</v>
      </c>
      <c r="C9738" s="2" t="str">
        <f>"BR"</f>
        <v>BR</v>
      </c>
      <c r="D9738" s="7">
        <v>808</v>
      </c>
      <c r="E9738" s="3">
        <v>10</v>
      </c>
      <c r="F9738" s="3">
        <v>10</v>
      </c>
      <c r="G9738" t="s">
        <v>512</v>
      </c>
    </row>
    <row r="9739" spans="1:7" x14ac:dyDescent="0.25">
      <c r="A9739" s="1" t="str">
        <f>"502974"</f>
        <v>502974</v>
      </c>
      <c r="B9739" s="2" t="str">
        <f>"ELETRO-VALVULA G1/8 5V2P C/ BOBINA 220V"</f>
        <v>ELETRO-VALVULA G1/8 5V2P C/ BOBINA 220V</v>
      </c>
      <c r="C9739" s="2" t="str">
        <f>"BR"</f>
        <v>BR</v>
      </c>
      <c r="D9739" s="7">
        <v>808</v>
      </c>
      <c r="E9739" s="3">
        <v>10</v>
      </c>
      <c r="F9739" s="3">
        <v>10</v>
      </c>
      <c r="G9739" t="s">
        <v>516</v>
      </c>
    </row>
    <row r="9740" spans="1:7" x14ac:dyDescent="0.25">
      <c r="A9740" s="1" t="str">
        <f>"501189"</f>
        <v>501189</v>
      </c>
      <c r="B9740" s="2" t="str">
        <f>"ELETRO-VALVULA REXROTH 5VIAS 10MM"</f>
        <v>ELETRO-VALVULA REXROTH 5VIAS 10MM</v>
      </c>
      <c r="C9740" s="2" t="str">
        <f>"BR"</f>
        <v>BR</v>
      </c>
      <c r="D9740" s="7">
        <v>808</v>
      </c>
      <c r="E9740" s="3">
        <v>10</v>
      </c>
      <c r="F9740" s="3">
        <v>10</v>
      </c>
      <c r="G9740" t="s">
        <v>515</v>
      </c>
    </row>
    <row r="9741" spans="1:7" x14ac:dyDescent="0.25">
      <c r="A9741" s="1" t="str">
        <f>"523373"</f>
        <v>523373</v>
      </c>
      <c r="B9741" s="2" t="str">
        <f>"ELEVADOR HIDRAULICO EXCLUSIVO DE CARGA 1000KG"</f>
        <v>ELEVADOR HIDRAULICO EXCLUSIVO DE CARGA 1000KG</v>
      </c>
      <c r="C9741" s="2" t="str">
        <f t="shared" ref="C9741:C9774" si="376">"UN"</f>
        <v>UN</v>
      </c>
      <c r="D9741" s="7">
        <v>403</v>
      </c>
      <c r="E9741" s="3">
        <v>10</v>
      </c>
      <c r="F9741" s="3">
        <v>10</v>
      </c>
      <c r="G9741" t="s">
        <v>514</v>
      </c>
    </row>
    <row r="9742" spans="1:7" x14ac:dyDescent="0.25">
      <c r="A9742" s="1" t="str">
        <f>"519142"</f>
        <v>519142</v>
      </c>
      <c r="B9742" s="2" t="str">
        <f>"ELEVADOR HIDRAULICO EXCLUSIVO DE CARGA 1500KG"</f>
        <v>ELEVADOR HIDRAULICO EXCLUSIVO DE CARGA 1500KG</v>
      </c>
      <c r="C9742" s="2" t="str">
        <f t="shared" si="376"/>
        <v>UN</v>
      </c>
      <c r="D9742" s="7">
        <v>1300</v>
      </c>
      <c r="E9742" s="3">
        <v>13</v>
      </c>
      <c r="F9742" s="3">
        <v>13</v>
      </c>
      <c r="G9742" t="s">
        <v>512</v>
      </c>
    </row>
    <row r="9743" spans="1:7" x14ac:dyDescent="0.25">
      <c r="A9743" s="1" t="str">
        <f>"519650"</f>
        <v>519650</v>
      </c>
      <c r="B9743" s="2" t="str">
        <f>"ELEVADOR HIDRAULICO EXCLUSIVO P/ CARGA 1500KG"</f>
        <v>ELEVADOR HIDRAULICO EXCLUSIVO P/ CARGA 1500KG</v>
      </c>
      <c r="C9743" s="2" t="str">
        <f t="shared" si="376"/>
        <v>UN</v>
      </c>
      <c r="D9743" s="7">
        <v>99999</v>
      </c>
      <c r="E9743" s="3">
        <v>99</v>
      </c>
      <c r="F9743" s="3">
        <v>99</v>
      </c>
      <c r="G9743" t="s">
        <v>513</v>
      </c>
    </row>
    <row r="9744" spans="1:7" x14ac:dyDescent="0.25">
      <c r="A9744" s="1" t="str">
        <f>"526535"</f>
        <v>526535</v>
      </c>
      <c r="B9744" s="2" t="str">
        <f>"ELIMINADORA DE AR ALFA LAVAL/TETRAPAK LKUV-2"</f>
        <v>ELIMINADORA DE AR ALFA LAVAL/TETRAPAK LKUV-2</v>
      </c>
      <c r="C9744" s="2" t="str">
        <f t="shared" si="376"/>
        <v>UN</v>
      </c>
      <c r="D9744" s="7">
        <v>913</v>
      </c>
      <c r="E9744" s="3">
        <v>11</v>
      </c>
      <c r="F9744" s="3">
        <v>11</v>
      </c>
      <c r="G9744" t="s">
        <v>514</v>
      </c>
    </row>
    <row r="9745" spans="1:7" x14ac:dyDescent="0.25">
      <c r="A9745" s="1" t="str">
        <f>"501160"</f>
        <v>501160</v>
      </c>
      <c r="B9745" s="2" t="str">
        <f>"ELO ESTEIRA IN2NT 16829403 92669 30300"</f>
        <v>ELO ESTEIRA IN2NT 16829403 92669 30300</v>
      </c>
      <c r="C9745" s="2" t="str">
        <f t="shared" si="376"/>
        <v>UN</v>
      </c>
      <c r="D9745" s="7">
        <v>918</v>
      </c>
      <c r="E9745" s="3">
        <v>11</v>
      </c>
      <c r="F9745" s="3">
        <v>11</v>
      </c>
      <c r="G9745" t="s">
        <v>514</v>
      </c>
    </row>
    <row r="9746" spans="1:7" x14ac:dyDescent="0.25">
      <c r="A9746" s="1" t="str">
        <f>"520173"</f>
        <v>520173</v>
      </c>
      <c r="B9746" s="2" t="str">
        <f>"ELO FUSIVEL DE DISTRIBUICAO"</f>
        <v>ELO FUSIVEL DE DISTRIBUICAO</v>
      </c>
      <c r="C9746" s="2" t="str">
        <f t="shared" si="376"/>
        <v>UN</v>
      </c>
      <c r="D9746" s="7">
        <v>811</v>
      </c>
      <c r="E9746" s="3">
        <v>11</v>
      </c>
      <c r="F9746" s="3">
        <v>11</v>
      </c>
      <c r="G9746" t="s">
        <v>512</v>
      </c>
    </row>
    <row r="9747" spans="1:7" x14ac:dyDescent="0.25">
      <c r="A9747" s="1" t="str">
        <f>"500981"</f>
        <v>500981</v>
      </c>
      <c r="B9747" s="2" t="str">
        <f>"ELO NYLON TAMANHO 38.82 P/ ESTEIRA"</f>
        <v>ELO NYLON TAMANHO 38.82 P/ ESTEIRA</v>
      </c>
      <c r="C9747" s="2" t="str">
        <f t="shared" si="376"/>
        <v>UN</v>
      </c>
      <c r="D9747" s="7">
        <v>918</v>
      </c>
      <c r="E9747" s="3">
        <v>11</v>
      </c>
      <c r="F9747" s="3">
        <v>11</v>
      </c>
      <c r="G9747" t="s">
        <v>513</v>
      </c>
    </row>
    <row r="9748" spans="1:7" x14ac:dyDescent="0.25">
      <c r="A9748" s="1" t="str">
        <f>"517264"</f>
        <v>517264</v>
      </c>
      <c r="B9748" s="2" t="str">
        <f>"EMB MAQING 2006-03 TB28 MAQ C"</f>
        <v>EMB MAQING 2006-03 TB28 MAQ C</v>
      </c>
      <c r="C9748" s="2" t="str">
        <f t="shared" si="376"/>
        <v>UN</v>
      </c>
      <c r="D9748" s="7">
        <v>918</v>
      </c>
      <c r="E9748" s="3">
        <v>11</v>
      </c>
      <c r="F9748" s="3">
        <v>11</v>
      </c>
      <c r="G9748" t="s">
        <v>514</v>
      </c>
    </row>
    <row r="9749" spans="1:7" x14ac:dyDescent="0.25">
      <c r="A9749" s="1" t="str">
        <f>"515458"</f>
        <v>515458</v>
      </c>
      <c r="B9749" s="2" t="str">
        <f>"EMB. FREEZER"</f>
        <v>EMB. FREEZER</v>
      </c>
      <c r="C9749" s="2" t="str">
        <f t="shared" si="376"/>
        <v>UN</v>
      </c>
      <c r="D9749" s="7">
        <v>401</v>
      </c>
      <c r="E9749" s="3">
        <v>4</v>
      </c>
      <c r="F9749" s="3">
        <v>4</v>
      </c>
      <c r="G9749" t="s">
        <v>514</v>
      </c>
    </row>
    <row r="9750" spans="1:7" x14ac:dyDescent="0.25">
      <c r="A9750" s="1" t="str">
        <f>"829"</f>
        <v>829</v>
      </c>
      <c r="B9750" s="2" t="str">
        <f>"EMB.B.L. CAROLINA BIBI BITS CHOCO LATCO 200ML"</f>
        <v>EMB.B.L. CAROLINA BIBI BITS CHOCO LATCO 200ML</v>
      </c>
      <c r="C9750" s="2" t="str">
        <f t="shared" si="376"/>
        <v>UN</v>
      </c>
      <c r="D9750" s="7">
        <v>301</v>
      </c>
      <c r="E9750" s="3">
        <v>1</v>
      </c>
      <c r="F9750" s="3">
        <v>1</v>
      </c>
      <c r="G9750" t="s">
        <v>514</v>
      </c>
    </row>
    <row r="9751" spans="1:7" x14ac:dyDescent="0.25">
      <c r="A9751" s="1" t="str">
        <f>"515257"</f>
        <v>515257</v>
      </c>
      <c r="B9751" s="2" t="str">
        <f>"EMBALADORA AUTOMATICA"</f>
        <v>EMBALADORA AUTOMATICA</v>
      </c>
      <c r="C9751" s="2" t="str">
        <f t="shared" si="376"/>
        <v>UN</v>
      </c>
      <c r="D9751" s="7">
        <v>1300</v>
      </c>
      <c r="E9751" s="3">
        <v>13</v>
      </c>
      <c r="F9751" s="3">
        <v>13</v>
      </c>
      <c r="G9751" t="s">
        <v>513</v>
      </c>
    </row>
    <row r="9752" spans="1:7" x14ac:dyDescent="0.25">
      <c r="A9752" s="1" t="str">
        <f>"515251"</f>
        <v>515251</v>
      </c>
      <c r="B9752" s="8" t="s">
        <v>47</v>
      </c>
      <c r="C9752" s="2" t="str">
        <f t="shared" si="376"/>
        <v>UN</v>
      </c>
      <c r="D9752" s="7">
        <v>1300</v>
      </c>
      <c r="E9752" s="3">
        <v>13</v>
      </c>
      <c r="F9752" s="3">
        <v>13</v>
      </c>
      <c r="G9752" t="s">
        <v>512</v>
      </c>
    </row>
    <row r="9753" spans="1:7" x14ac:dyDescent="0.25">
      <c r="A9753" s="1" t="str">
        <f>"515254"</f>
        <v>515254</v>
      </c>
      <c r="B9753" s="8" t="s">
        <v>50</v>
      </c>
      <c r="C9753" s="2" t="str">
        <f t="shared" si="376"/>
        <v>UN</v>
      </c>
      <c r="D9753" s="7">
        <v>1300</v>
      </c>
      <c r="E9753" s="3">
        <v>13</v>
      </c>
      <c r="F9753" s="3">
        <v>13</v>
      </c>
      <c r="G9753" t="s">
        <v>513</v>
      </c>
    </row>
    <row r="9754" spans="1:7" x14ac:dyDescent="0.25">
      <c r="A9754" s="1" t="str">
        <f>"515253"</f>
        <v>515253</v>
      </c>
      <c r="B9754" s="8" t="s">
        <v>49</v>
      </c>
      <c r="C9754" s="2" t="str">
        <f t="shared" si="376"/>
        <v>UN</v>
      </c>
      <c r="D9754" s="7">
        <v>1300</v>
      </c>
      <c r="E9754" s="3">
        <v>13</v>
      </c>
      <c r="F9754" s="3">
        <v>13</v>
      </c>
      <c r="G9754" t="s">
        <v>514</v>
      </c>
    </row>
    <row r="9755" spans="1:7" x14ac:dyDescent="0.25">
      <c r="A9755" s="1" t="str">
        <f>"515256"</f>
        <v>515256</v>
      </c>
      <c r="B9755" s="8" t="s">
        <v>52</v>
      </c>
      <c r="C9755" s="2" t="str">
        <f t="shared" si="376"/>
        <v>UN</v>
      </c>
      <c r="D9755" s="7">
        <v>1300</v>
      </c>
      <c r="E9755" s="3">
        <v>13</v>
      </c>
      <c r="F9755" s="3">
        <v>13</v>
      </c>
      <c r="G9755" t="s">
        <v>514</v>
      </c>
    </row>
    <row r="9756" spans="1:7" x14ac:dyDescent="0.25">
      <c r="A9756" s="1" t="str">
        <f>"515252"</f>
        <v>515252</v>
      </c>
      <c r="B9756" s="8" t="s">
        <v>48</v>
      </c>
      <c r="C9756" s="2" t="str">
        <f t="shared" si="376"/>
        <v>UN</v>
      </c>
      <c r="D9756" s="7">
        <v>1300</v>
      </c>
      <c r="E9756" s="3">
        <v>13</v>
      </c>
      <c r="F9756" s="3">
        <v>13</v>
      </c>
      <c r="G9756" t="s">
        <v>514</v>
      </c>
    </row>
    <row r="9757" spans="1:7" x14ac:dyDescent="0.25">
      <c r="A9757" s="1" t="str">
        <f>"515255"</f>
        <v>515255</v>
      </c>
      <c r="B9757" s="8" t="s">
        <v>51</v>
      </c>
      <c r="C9757" s="2" t="str">
        <f t="shared" si="376"/>
        <v>UN</v>
      </c>
      <c r="D9757" s="7">
        <v>1300</v>
      </c>
      <c r="E9757" s="3">
        <v>13</v>
      </c>
      <c r="F9757" s="3">
        <v>13</v>
      </c>
      <c r="G9757" t="s">
        <v>513</v>
      </c>
    </row>
    <row r="9758" spans="1:7" x14ac:dyDescent="0.25">
      <c r="A9758" s="1" t="str">
        <f>"509769"</f>
        <v>509769</v>
      </c>
      <c r="B9758" s="2" t="str">
        <f>"EMBALADORA BUNDLING AUTOMATICA 600MM"</f>
        <v>EMBALADORA BUNDLING AUTOMATICA 600MM</v>
      </c>
      <c r="C9758" s="2" t="str">
        <f t="shared" si="376"/>
        <v>UN</v>
      </c>
      <c r="D9758" s="7">
        <v>1300</v>
      </c>
      <c r="E9758" s="3">
        <v>13</v>
      </c>
      <c r="F9758" s="3">
        <v>13</v>
      </c>
      <c r="G9758" t="s">
        <v>513</v>
      </c>
    </row>
    <row r="9759" spans="1:7" x14ac:dyDescent="0.25">
      <c r="A9759" s="1" t="str">
        <f>"524106"</f>
        <v>524106</v>
      </c>
      <c r="B9759" s="2" t="str">
        <f>"EMBALAGEM"</f>
        <v>EMBALAGEM</v>
      </c>
      <c r="C9759" s="2" t="str">
        <f t="shared" si="376"/>
        <v>UN</v>
      </c>
      <c r="D9759" s="7">
        <v>99999</v>
      </c>
      <c r="E9759" s="3">
        <v>99</v>
      </c>
      <c r="F9759" s="3">
        <v>99</v>
      </c>
      <c r="G9759" t="s">
        <v>513</v>
      </c>
    </row>
    <row r="9760" spans="1:7" x14ac:dyDescent="0.25">
      <c r="A9760" s="1" t="str">
        <f>"522398"</f>
        <v>522398</v>
      </c>
      <c r="B9760" s="2" t="str">
        <f>"EMBALAGEM AUTOMOTIVO 3600ML"</f>
        <v>EMBALAGEM AUTOMOTIVO 3600ML</v>
      </c>
      <c r="C9760" s="2" t="str">
        <f t="shared" si="376"/>
        <v>UN</v>
      </c>
      <c r="D9760" s="7">
        <v>99999</v>
      </c>
      <c r="E9760" s="3">
        <v>99</v>
      </c>
      <c r="F9760" s="3">
        <v>99</v>
      </c>
      <c r="G9760" t="s">
        <v>512</v>
      </c>
    </row>
    <row r="9761" spans="1:7" x14ac:dyDescent="0.25">
      <c r="A9761" s="1" t="str">
        <f>"248"</f>
        <v>248</v>
      </c>
      <c r="B9761" s="2" t="str">
        <f>"EMBALAGEM DE BARRINHA 900GR (CAROLINA)"</f>
        <v>EMBALAGEM DE BARRINHA 900GR (CAROLINA)</v>
      </c>
      <c r="C9761" s="2" t="str">
        <f t="shared" si="376"/>
        <v>UN</v>
      </c>
      <c r="D9761" s="7">
        <v>106</v>
      </c>
      <c r="E9761" s="3">
        <v>1</v>
      </c>
      <c r="F9761" s="3">
        <v>1</v>
      </c>
      <c r="G9761" t="s">
        <v>513</v>
      </c>
    </row>
    <row r="9762" spans="1:7" x14ac:dyDescent="0.25">
      <c r="A9762" s="1" t="str">
        <f>"252"</f>
        <v>252</v>
      </c>
      <c r="B9762" s="2" t="str">
        <f>"EMBALAGEM DE MUSSARELA 24x45,10 (CAROLINA)"</f>
        <v>EMBALAGEM DE MUSSARELA 24x45,10 (CAROLINA)</v>
      </c>
      <c r="C9762" s="2" t="str">
        <f t="shared" si="376"/>
        <v>UN</v>
      </c>
      <c r="D9762" s="7">
        <v>106</v>
      </c>
      <c r="E9762" s="3">
        <v>1</v>
      </c>
      <c r="F9762" s="3">
        <v>1</v>
      </c>
      <c r="G9762" t="s">
        <v>514</v>
      </c>
    </row>
    <row r="9763" spans="1:7" x14ac:dyDescent="0.25">
      <c r="A9763" s="1" t="str">
        <f>"513776"</f>
        <v>513776</v>
      </c>
      <c r="B9763" s="2" t="str">
        <f>"EMBALAGEM PARA PRESENTE"</f>
        <v>EMBALAGEM PARA PRESENTE</v>
      </c>
      <c r="C9763" s="2" t="str">
        <f t="shared" si="376"/>
        <v>UN</v>
      </c>
      <c r="D9763" s="7">
        <v>401</v>
      </c>
      <c r="E9763" s="3">
        <v>4</v>
      </c>
      <c r="F9763" s="3">
        <v>4</v>
      </c>
      <c r="G9763" t="s">
        <v>515</v>
      </c>
    </row>
    <row r="9764" spans="1:7" x14ac:dyDescent="0.25">
      <c r="A9764" s="1" t="str">
        <f>"4193"</f>
        <v>4193</v>
      </c>
      <c r="B9764" s="2" t="str">
        <f>"EMBALAGEM REQUEIJAO BISNAGA CAROLINA 400G"</f>
        <v>EMBALAGEM REQUEIJAO BISNAGA CAROLINA 400G</v>
      </c>
      <c r="C9764" s="2" t="str">
        <f t="shared" si="376"/>
        <v>UN</v>
      </c>
      <c r="D9764" s="7">
        <v>115</v>
      </c>
      <c r="E9764" s="3">
        <v>1</v>
      </c>
      <c r="F9764" s="3">
        <v>1</v>
      </c>
      <c r="G9764" t="s">
        <v>512</v>
      </c>
    </row>
    <row r="9765" spans="1:7" x14ac:dyDescent="0.25">
      <c r="A9765" s="1" t="str">
        <f>"519249"</f>
        <v>519249</v>
      </c>
      <c r="B9765" s="2" t="str">
        <f>"EMBALAGEM VAZIA 3,6 LT UNIVERSAL"</f>
        <v>EMBALAGEM VAZIA 3,6 LT UNIVERSAL</v>
      </c>
      <c r="C9765" s="2" t="str">
        <f t="shared" si="376"/>
        <v>UN</v>
      </c>
      <c r="D9765" s="7">
        <v>917</v>
      </c>
      <c r="E9765" s="3">
        <v>4</v>
      </c>
      <c r="F9765" s="3">
        <v>4</v>
      </c>
      <c r="G9765" t="s">
        <v>516</v>
      </c>
    </row>
    <row r="9766" spans="1:7" x14ac:dyDescent="0.25">
      <c r="A9766" s="1" t="str">
        <f>"515355"</f>
        <v>515355</v>
      </c>
      <c r="B9766" s="2" t="str">
        <f>"EMBLEMA"</f>
        <v>EMBLEMA</v>
      </c>
      <c r="C9766" s="2" t="str">
        <f t="shared" si="376"/>
        <v>UN</v>
      </c>
      <c r="D9766" s="7">
        <v>704</v>
      </c>
      <c r="E9766" s="3">
        <v>9</v>
      </c>
      <c r="F9766" s="3">
        <v>9</v>
      </c>
      <c r="G9766" t="s">
        <v>515</v>
      </c>
    </row>
    <row r="9767" spans="1:7" x14ac:dyDescent="0.25">
      <c r="A9767" s="1" t="str">
        <f>"502844"</f>
        <v>502844</v>
      </c>
      <c r="B9767" s="2" t="str">
        <f>"EMBLEMA 4X4"</f>
        <v>EMBLEMA 4X4</v>
      </c>
      <c r="C9767" s="2" t="str">
        <f t="shared" si="376"/>
        <v>UN</v>
      </c>
      <c r="D9767" s="7">
        <v>704</v>
      </c>
      <c r="E9767" s="3">
        <v>9</v>
      </c>
      <c r="F9767" s="3">
        <v>9</v>
      </c>
      <c r="G9767" t="s">
        <v>514</v>
      </c>
    </row>
    <row r="9768" spans="1:7" x14ac:dyDescent="0.25">
      <c r="A9768" s="1" t="str">
        <f>"519628"</f>
        <v>519628</v>
      </c>
      <c r="B9768" s="2" t="str">
        <f>"EMBLEMA CARGO 1722E"</f>
        <v>EMBLEMA CARGO 1722E</v>
      </c>
      <c r="C9768" s="2" t="str">
        <f t="shared" si="376"/>
        <v>UN</v>
      </c>
      <c r="D9768" s="7">
        <v>704</v>
      </c>
      <c r="E9768" s="3">
        <v>9</v>
      </c>
      <c r="F9768" s="3">
        <v>9</v>
      </c>
      <c r="G9768" t="s">
        <v>512</v>
      </c>
    </row>
    <row r="9769" spans="1:7" x14ac:dyDescent="0.25">
      <c r="A9769" s="1" t="str">
        <f>"519629"</f>
        <v>519629</v>
      </c>
      <c r="B9769" s="2" t="str">
        <f>"EMBLEMA CARGO 2009"</f>
        <v>EMBLEMA CARGO 2009</v>
      </c>
      <c r="C9769" s="2" t="str">
        <f t="shared" si="376"/>
        <v>UN</v>
      </c>
      <c r="D9769" s="7">
        <v>704</v>
      </c>
      <c r="E9769" s="3">
        <v>9</v>
      </c>
      <c r="F9769" s="3">
        <v>9</v>
      </c>
      <c r="G9769" t="s">
        <v>513</v>
      </c>
    </row>
    <row r="9770" spans="1:7" x14ac:dyDescent="0.25">
      <c r="A9770" s="1" t="str">
        <f>"504171"</f>
        <v>504171</v>
      </c>
      <c r="B9770" s="2" t="str">
        <f>"EMBLEMA CARGO COD. 2C45 16605 XA"</f>
        <v>EMBLEMA CARGO COD. 2C45 16605 XA</v>
      </c>
      <c r="C9770" s="2" t="str">
        <f t="shared" si="376"/>
        <v>UN</v>
      </c>
      <c r="D9770" s="7">
        <v>704</v>
      </c>
      <c r="E9770" s="3">
        <v>9</v>
      </c>
      <c r="F9770" s="3">
        <v>9</v>
      </c>
      <c r="G9770" t="s">
        <v>514</v>
      </c>
    </row>
    <row r="9771" spans="1:7" x14ac:dyDescent="0.25">
      <c r="A9771" s="1" t="str">
        <f>"509550"</f>
        <v>509550</v>
      </c>
      <c r="B9771" s="2" t="str">
        <f>"EMBLEMA FORD XC45/8K141/AA/"</f>
        <v>EMBLEMA FORD XC45/8K141/AA/</v>
      </c>
      <c r="C9771" s="2" t="str">
        <f t="shared" si="376"/>
        <v>UN</v>
      </c>
      <c r="D9771" s="7">
        <v>918</v>
      </c>
      <c r="E9771" s="3">
        <v>11</v>
      </c>
      <c r="F9771" s="3">
        <v>11</v>
      </c>
      <c r="G9771" t="s">
        <v>514</v>
      </c>
    </row>
    <row r="9772" spans="1:7" x14ac:dyDescent="0.25">
      <c r="A9772" s="1" t="str">
        <f>"509548"</f>
        <v>509548</v>
      </c>
      <c r="B9772" s="2" t="str">
        <f>"EMBLEMA FRONTAL 4C45/16B986/AB"</f>
        <v>EMBLEMA FRONTAL 4C45/16B986/AB</v>
      </c>
      <c r="C9772" s="2" t="str">
        <f t="shared" si="376"/>
        <v>UN</v>
      </c>
      <c r="D9772" s="7">
        <v>918</v>
      </c>
      <c r="E9772" s="3">
        <v>11</v>
      </c>
      <c r="F9772" s="3">
        <v>11</v>
      </c>
      <c r="G9772" t="s">
        <v>512</v>
      </c>
    </row>
    <row r="9773" spans="1:7" x14ac:dyDescent="0.25">
      <c r="A9773" s="1" t="str">
        <f>"509549"</f>
        <v>509549</v>
      </c>
      <c r="B9773" s="2" t="str">
        <f>"EMBLEMA FRONTAL 6C45/16605/KA/"</f>
        <v>EMBLEMA FRONTAL 6C45/16605/KA/</v>
      </c>
      <c r="C9773" s="2" t="str">
        <f t="shared" si="376"/>
        <v>UN</v>
      </c>
      <c r="D9773" s="7">
        <v>918</v>
      </c>
      <c r="E9773" s="3">
        <v>11</v>
      </c>
      <c r="F9773" s="3">
        <v>11</v>
      </c>
      <c r="G9773" t="s">
        <v>513</v>
      </c>
    </row>
    <row r="9774" spans="1:7" x14ac:dyDescent="0.25">
      <c r="A9774" s="1" t="str">
        <f>"511629"</f>
        <v>511629</v>
      </c>
      <c r="B9774" s="2" t="str">
        <f>"EMBOLO"</f>
        <v>EMBOLO</v>
      </c>
      <c r="C9774" s="2" t="str">
        <f t="shared" si="376"/>
        <v>UN</v>
      </c>
      <c r="D9774" s="7">
        <v>918</v>
      </c>
      <c r="E9774" s="3">
        <v>11</v>
      </c>
      <c r="F9774" s="3">
        <v>11</v>
      </c>
      <c r="G9774" t="s">
        <v>514</v>
      </c>
    </row>
    <row r="9775" spans="1:7" x14ac:dyDescent="0.25">
      <c r="A9775" s="1" t="str">
        <f>"526557"</f>
        <v>526557</v>
      </c>
      <c r="B9775" s="2" t="str">
        <f>"EMBOLO 30 D-59086"</f>
        <v>EMBOLO 30 D-59086</v>
      </c>
      <c r="C9775" s="2" t="str">
        <f>"PC"</f>
        <v>PC</v>
      </c>
      <c r="D9775" s="7">
        <v>918</v>
      </c>
      <c r="E9775" s="3">
        <v>11</v>
      </c>
      <c r="F9775" s="3">
        <v>11</v>
      </c>
      <c r="G9775" t="s">
        <v>514</v>
      </c>
    </row>
    <row r="9776" spans="1:7" x14ac:dyDescent="0.25">
      <c r="A9776" s="1" t="str">
        <f>"526556"</f>
        <v>526556</v>
      </c>
      <c r="B9776" s="2" t="str">
        <f>"EMBOLO 60 D-60898"</f>
        <v>EMBOLO 60 D-60898</v>
      </c>
      <c r="C9776" s="2" t="str">
        <f>"PC"</f>
        <v>PC</v>
      </c>
      <c r="D9776" s="7">
        <v>918</v>
      </c>
      <c r="E9776" s="3">
        <v>11</v>
      </c>
      <c r="F9776" s="3">
        <v>11</v>
      </c>
      <c r="G9776" t="s">
        <v>514</v>
      </c>
    </row>
    <row r="9777" spans="1:7" x14ac:dyDescent="0.25">
      <c r="A9777" s="1" t="str">
        <f>"508775"</f>
        <v>508775</v>
      </c>
      <c r="B9777" s="2" t="str">
        <f>"EMBOLO CILINDRO DESCARGA 2309405-3"</f>
        <v>EMBOLO CILINDRO DESCARGA 2309405-3</v>
      </c>
      <c r="C9777" s="2" t="str">
        <f t="shared" ref="C9777:C9782" si="377">"UN"</f>
        <v>UN</v>
      </c>
      <c r="D9777" s="7">
        <v>918</v>
      </c>
      <c r="E9777" s="3">
        <v>11</v>
      </c>
      <c r="F9777" s="3">
        <v>11</v>
      </c>
      <c r="G9777" t="s">
        <v>513</v>
      </c>
    </row>
    <row r="9778" spans="1:7" x14ac:dyDescent="0.25">
      <c r="A9778" s="1" t="str">
        <f>"504032"</f>
        <v>504032</v>
      </c>
      <c r="B9778" s="2" t="str">
        <f>"EMBOLO CROMADO HOMO TM-3"</f>
        <v>EMBOLO CROMADO HOMO TM-3</v>
      </c>
      <c r="C9778" s="2" t="str">
        <f t="shared" si="377"/>
        <v>UN</v>
      </c>
      <c r="D9778" s="7">
        <v>918</v>
      </c>
      <c r="E9778" s="3">
        <v>11</v>
      </c>
      <c r="F9778" s="3">
        <v>11</v>
      </c>
      <c r="G9778" t="s">
        <v>512</v>
      </c>
    </row>
    <row r="9779" spans="1:7" x14ac:dyDescent="0.25">
      <c r="A9779" s="1" t="str">
        <f>"511774"</f>
        <v>511774</v>
      </c>
      <c r="B9779" s="2" t="str">
        <f>"EMBOLO IGE 00154"</f>
        <v>EMBOLO IGE 00154</v>
      </c>
      <c r="C9779" s="2" t="str">
        <f t="shared" si="377"/>
        <v>UN</v>
      </c>
      <c r="D9779" s="7">
        <v>918</v>
      </c>
      <c r="E9779" s="3">
        <v>11</v>
      </c>
      <c r="F9779" s="3">
        <v>11</v>
      </c>
      <c r="G9779" t="s">
        <v>513</v>
      </c>
    </row>
    <row r="9780" spans="1:7" x14ac:dyDescent="0.25">
      <c r="A9780" s="1" t="str">
        <f>"522268"</f>
        <v>522268</v>
      </c>
      <c r="B9780" s="2" t="str">
        <f>"EMBOLO PLASTICO JACTO - PAR"</f>
        <v>EMBOLO PLASTICO JACTO - PAR</v>
      </c>
      <c r="C9780" s="2" t="str">
        <f t="shared" si="377"/>
        <v>UN</v>
      </c>
      <c r="D9780" s="7">
        <v>99999</v>
      </c>
      <c r="E9780" s="3">
        <v>99</v>
      </c>
      <c r="F9780" s="3">
        <v>99</v>
      </c>
      <c r="G9780" t="s">
        <v>514</v>
      </c>
    </row>
    <row r="9781" spans="1:7" x14ac:dyDescent="0.25">
      <c r="A9781" s="1" t="str">
        <f>"526713"</f>
        <v>526713</v>
      </c>
      <c r="B9781" s="2" t="str">
        <f>"EMBOLO PORTA PUNÇÃO EM FOFO"</f>
        <v>EMBOLO PORTA PUNÇÃO EM FOFO</v>
      </c>
      <c r="C9781" s="2" t="str">
        <f t="shared" si="377"/>
        <v>UN</v>
      </c>
      <c r="D9781" s="7">
        <v>918</v>
      </c>
      <c r="E9781" s="3">
        <v>11</v>
      </c>
      <c r="F9781" s="3">
        <v>11</v>
      </c>
      <c r="G9781" t="s">
        <v>514</v>
      </c>
    </row>
    <row r="9782" spans="1:7" x14ac:dyDescent="0.25">
      <c r="A9782" s="1" t="str">
        <f>"510303"</f>
        <v>510303</v>
      </c>
      <c r="B9782" s="2" t="str">
        <f>"EMBOLO REVEST. CROMO DURO 56MM APF-1678"</f>
        <v>EMBOLO REVEST. CROMO DURO 56MM APF-1678</v>
      </c>
      <c r="C9782" s="2" t="str">
        <f t="shared" si="377"/>
        <v>UN</v>
      </c>
      <c r="D9782" s="7">
        <v>918</v>
      </c>
      <c r="E9782" s="3">
        <v>11</v>
      </c>
      <c r="F9782" s="3">
        <v>11</v>
      </c>
      <c r="G9782" t="s">
        <v>514</v>
      </c>
    </row>
    <row r="9783" spans="1:7" x14ac:dyDescent="0.25">
      <c r="A9783" s="1" t="str">
        <f>"504291"</f>
        <v>504291</v>
      </c>
      <c r="B9783" s="2" t="str">
        <f>"EMBOLO VULCANIZADO 2143 MAQ. DINI/PETIT"</f>
        <v>EMBOLO VULCANIZADO 2143 MAQ. DINI/PETIT</v>
      </c>
      <c r="C9783" s="2" t="str">
        <f>"PC"</f>
        <v>PC</v>
      </c>
      <c r="D9783" s="7">
        <v>918</v>
      </c>
      <c r="E9783" s="3">
        <v>11</v>
      </c>
      <c r="F9783" s="3">
        <v>11</v>
      </c>
      <c r="G9783" t="s">
        <v>513</v>
      </c>
    </row>
    <row r="9784" spans="1:7" x14ac:dyDescent="0.25">
      <c r="A9784" s="1" t="str">
        <f>"505030"</f>
        <v>505030</v>
      </c>
      <c r="B9784" s="2" t="str">
        <f>"EMBOLO VULCANIZADO 2160 MAQ. DINI/DMAX"</f>
        <v>EMBOLO VULCANIZADO 2160 MAQ. DINI/DMAX</v>
      </c>
      <c r="C9784" s="2" t="str">
        <f>"UN"</f>
        <v>UN</v>
      </c>
      <c r="D9784" s="7">
        <v>918</v>
      </c>
      <c r="E9784" s="3">
        <v>11</v>
      </c>
      <c r="F9784" s="3">
        <v>11</v>
      </c>
      <c r="G9784" t="s">
        <v>513</v>
      </c>
    </row>
    <row r="9785" spans="1:7" x14ac:dyDescent="0.25">
      <c r="A9785" s="1" t="str">
        <f>"520430"</f>
        <v>520430</v>
      </c>
      <c r="B9785" s="2" t="str">
        <f>"EMBOLO VULCANIZADO 32MM VITON D67428 21078603"</f>
        <v>EMBOLO VULCANIZADO 32MM VITON D67428 21078603</v>
      </c>
      <c r="C9785" s="2" t="str">
        <f>"PC"</f>
        <v>PC</v>
      </c>
      <c r="D9785" s="7">
        <v>918</v>
      </c>
      <c r="E9785" s="3">
        <v>11</v>
      </c>
      <c r="F9785" s="3">
        <v>11</v>
      </c>
      <c r="G9785" t="s">
        <v>513</v>
      </c>
    </row>
    <row r="9786" spans="1:7" x14ac:dyDescent="0.25">
      <c r="A9786" s="1" t="str">
        <f>"520431"</f>
        <v>520431</v>
      </c>
      <c r="B9786" s="2" t="str">
        <f>"EMBOLO VULCANIZADO 59,5 EXPORTACAO VITON"</f>
        <v>EMBOLO VULCANIZADO 59,5 EXPORTACAO VITON</v>
      </c>
      <c r="C9786" s="2" t="str">
        <f>"PC"</f>
        <v>PC</v>
      </c>
      <c r="D9786" s="7">
        <v>918</v>
      </c>
      <c r="E9786" s="3">
        <v>11</v>
      </c>
      <c r="F9786" s="3">
        <v>11</v>
      </c>
      <c r="G9786" t="s">
        <v>512</v>
      </c>
    </row>
    <row r="9787" spans="1:7" x14ac:dyDescent="0.25">
      <c r="A9787" s="1" t="str">
        <f>"521845"</f>
        <v>521845</v>
      </c>
      <c r="B9787" s="8" t="s">
        <v>229</v>
      </c>
      <c r="C9787" s="2" t="str">
        <f t="shared" ref="C9787:C9793" si="378">"UN"</f>
        <v>UN</v>
      </c>
      <c r="D9787" s="7">
        <v>918</v>
      </c>
      <c r="E9787" s="3">
        <v>11</v>
      </c>
      <c r="F9787" s="3">
        <v>11</v>
      </c>
      <c r="G9787" t="s">
        <v>513</v>
      </c>
    </row>
    <row r="9788" spans="1:7" x14ac:dyDescent="0.25">
      <c r="A9788" s="1" t="str">
        <f>"521846"</f>
        <v>521846</v>
      </c>
      <c r="B9788" s="2" t="str">
        <f>"EMBOLO VULCANIZADO DOSADOR DO PRODUTO DIA.62MM DINI/GREGO"</f>
        <v>EMBOLO VULCANIZADO DOSADOR DO PRODUTO DIA.62MM DINI/GREGO</v>
      </c>
      <c r="C9788" s="2" t="str">
        <f t="shared" si="378"/>
        <v>UN</v>
      </c>
      <c r="D9788" s="7">
        <v>918</v>
      </c>
      <c r="E9788" s="3">
        <v>11</v>
      </c>
      <c r="F9788" s="3">
        <v>11</v>
      </c>
      <c r="G9788" t="s">
        <v>514</v>
      </c>
    </row>
    <row r="9789" spans="1:7" x14ac:dyDescent="0.25">
      <c r="A9789" s="1" t="str">
        <f>"501656"</f>
        <v>501656</v>
      </c>
      <c r="B9789" s="2" t="str">
        <f>"EMBOLO VULCANIZADO MAQ COPO COD.18850203 2192"</f>
        <v>EMBOLO VULCANIZADO MAQ COPO COD.18850203 2192</v>
      </c>
      <c r="C9789" s="2" t="str">
        <f t="shared" si="378"/>
        <v>UN</v>
      </c>
      <c r="D9789" s="7">
        <v>918</v>
      </c>
      <c r="E9789" s="3">
        <v>11</v>
      </c>
      <c r="F9789" s="3">
        <v>11</v>
      </c>
      <c r="G9789" t="s">
        <v>515</v>
      </c>
    </row>
    <row r="9790" spans="1:7" x14ac:dyDescent="0.25">
      <c r="A9790" s="1" t="str">
        <f>"510908"</f>
        <v>510908</v>
      </c>
      <c r="B9790" s="2" t="str">
        <f>"EMBORRACHAMENTO"</f>
        <v>EMBORRACHAMENTO</v>
      </c>
      <c r="C9790" s="2" t="str">
        <f t="shared" si="378"/>
        <v>UN</v>
      </c>
      <c r="D9790" s="7">
        <v>918</v>
      </c>
      <c r="E9790" s="3">
        <v>11</v>
      </c>
      <c r="F9790" s="3">
        <v>11</v>
      </c>
      <c r="G9790" t="s">
        <v>512</v>
      </c>
    </row>
    <row r="9791" spans="1:7" x14ac:dyDescent="0.25">
      <c r="A9791" s="1" t="str">
        <f>"505965"</f>
        <v>505965</v>
      </c>
      <c r="B9791" s="2" t="str">
        <f>"EMBREAGEM"</f>
        <v>EMBREAGEM</v>
      </c>
      <c r="C9791" s="2" t="str">
        <f t="shared" si="378"/>
        <v>UN</v>
      </c>
      <c r="D9791" s="7">
        <v>704</v>
      </c>
      <c r="E9791" s="3">
        <v>9</v>
      </c>
      <c r="F9791" s="3">
        <v>9</v>
      </c>
      <c r="G9791" t="s">
        <v>516</v>
      </c>
    </row>
    <row r="9792" spans="1:7" x14ac:dyDescent="0.25">
      <c r="A9792" s="1" t="str">
        <f>"518269"</f>
        <v>518269</v>
      </c>
      <c r="B9792" s="2" t="str">
        <f>"EMBREAGEM 007 SS MP FE VD 24CC"</f>
        <v>EMBREAGEM 007 SS MP FE VD 24CC</v>
      </c>
      <c r="C9792" s="2" t="str">
        <f t="shared" si="378"/>
        <v>UN</v>
      </c>
      <c r="D9792" s="7">
        <v>918</v>
      </c>
      <c r="E9792" s="3">
        <v>11</v>
      </c>
      <c r="F9792" s="3">
        <v>11</v>
      </c>
      <c r="G9792" t="s">
        <v>515</v>
      </c>
    </row>
    <row r="9793" spans="1:7" x14ac:dyDescent="0.25">
      <c r="A9793" s="1" t="str">
        <f>"511313"</f>
        <v>511313</v>
      </c>
      <c r="B9793" s="2" t="str">
        <f>"EMBUCHAMENTO"</f>
        <v>EMBUCHAMENTO</v>
      </c>
      <c r="C9793" s="2" t="str">
        <f t="shared" si="378"/>
        <v>UN</v>
      </c>
      <c r="D9793" s="7">
        <v>704</v>
      </c>
      <c r="E9793" s="3">
        <v>9</v>
      </c>
      <c r="F9793" s="3">
        <v>9</v>
      </c>
      <c r="G9793" t="s">
        <v>514</v>
      </c>
    </row>
    <row r="9794" spans="1:7" x14ac:dyDescent="0.25">
      <c r="A9794" s="1" t="str">
        <f>"527029"</f>
        <v>527029</v>
      </c>
      <c r="B9794" s="2" t="str">
        <f>"EMBUCHAMENTO DOSADOR"</f>
        <v>EMBUCHAMENTO DOSADOR</v>
      </c>
      <c r="C9794" s="2" t="str">
        <f>"PÇ"</f>
        <v>PÇ</v>
      </c>
      <c r="D9794" s="7">
        <v>809</v>
      </c>
      <c r="E9794" s="3">
        <v>10</v>
      </c>
      <c r="F9794" s="3">
        <v>10</v>
      </c>
      <c r="G9794" t="s">
        <v>512</v>
      </c>
    </row>
    <row r="9795" spans="1:7" x14ac:dyDescent="0.25">
      <c r="A9795" s="1" t="str">
        <f>"511594"</f>
        <v>511594</v>
      </c>
      <c r="B9795" s="2" t="str">
        <f>"EMBUCHAMENTO E REFORÇO P/ SUP. BOB. PS"</f>
        <v>EMBUCHAMENTO E REFORÇO P/ SUP. BOB. PS</v>
      </c>
      <c r="C9795" s="2" t="str">
        <f t="shared" ref="C9795:C9817" si="379">"UN"</f>
        <v>UN</v>
      </c>
      <c r="D9795" s="7">
        <v>812</v>
      </c>
      <c r="E9795" s="3">
        <v>10</v>
      </c>
      <c r="F9795" s="3">
        <v>10</v>
      </c>
      <c r="G9795" t="s">
        <v>513</v>
      </c>
    </row>
    <row r="9796" spans="1:7" x14ac:dyDescent="0.25">
      <c r="A9796" s="1" t="str">
        <f>"502150"</f>
        <v>502150</v>
      </c>
      <c r="B9796" s="2" t="str">
        <f>"EMBUXAMENTO DAS RODAS DO WOSKVAGEM 8.100"</f>
        <v>EMBUXAMENTO DAS RODAS DO WOSKVAGEM 8.100</v>
      </c>
      <c r="C9796" s="2" t="str">
        <f t="shared" si="379"/>
        <v>UN</v>
      </c>
      <c r="D9796" s="7">
        <v>704</v>
      </c>
      <c r="E9796" s="3">
        <v>9</v>
      </c>
      <c r="F9796" s="3">
        <v>9</v>
      </c>
      <c r="G9796" t="s">
        <v>514</v>
      </c>
    </row>
    <row r="9797" spans="1:7" x14ac:dyDescent="0.25">
      <c r="A9797" s="1" t="str">
        <f>"514985"</f>
        <v>514985</v>
      </c>
      <c r="B9797" s="2" t="str">
        <f>"EMENDA"</f>
        <v>EMENDA</v>
      </c>
      <c r="C9797" s="2" t="str">
        <f t="shared" si="379"/>
        <v>UN</v>
      </c>
      <c r="D9797" s="7">
        <v>704</v>
      </c>
      <c r="E9797" s="3">
        <v>9</v>
      </c>
      <c r="F9797" s="3">
        <v>9</v>
      </c>
      <c r="G9797" t="s">
        <v>514</v>
      </c>
    </row>
    <row r="9798" spans="1:7" x14ac:dyDescent="0.25">
      <c r="A9798" s="1" t="str">
        <f>"519579"</f>
        <v>519579</v>
      </c>
      <c r="B9798" s="2" t="str">
        <f>"EMENDA 3/4 ASA 60  SIMPLES"</f>
        <v>EMENDA 3/4 ASA 60  SIMPLES</v>
      </c>
      <c r="C9798" s="2" t="str">
        <f t="shared" si="379"/>
        <v>UN</v>
      </c>
      <c r="D9798" s="7">
        <v>918</v>
      </c>
      <c r="E9798" s="3">
        <v>11</v>
      </c>
      <c r="F9798" s="3">
        <v>11</v>
      </c>
      <c r="G9798" t="s">
        <v>512</v>
      </c>
    </row>
    <row r="9799" spans="1:7" x14ac:dyDescent="0.25">
      <c r="A9799" s="1" t="str">
        <f>"521002"</f>
        <v>521002</v>
      </c>
      <c r="B9799" s="2" t="str">
        <f>"EMENDA ARTICULADA - GF"</f>
        <v>EMENDA ARTICULADA - GF</v>
      </c>
      <c r="C9799" s="2" t="str">
        <f t="shared" si="379"/>
        <v>UN</v>
      </c>
      <c r="D9799" s="7">
        <v>811</v>
      </c>
      <c r="E9799" s="3">
        <v>8</v>
      </c>
      <c r="F9799" s="3">
        <v>8</v>
      </c>
      <c r="G9799" t="s">
        <v>513</v>
      </c>
    </row>
    <row r="9800" spans="1:7" x14ac:dyDescent="0.25">
      <c r="A9800" s="1" t="str">
        <f>"521008"</f>
        <v>521008</v>
      </c>
      <c r="B9800" s="2" t="str">
        <f>"EMENDA ARTICULADA - GF"</f>
        <v>EMENDA ARTICULADA - GF</v>
      </c>
      <c r="C9800" s="2" t="str">
        <f t="shared" si="379"/>
        <v>UN</v>
      </c>
      <c r="D9800" s="7">
        <v>811</v>
      </c>
      <c r="E9800" s="3">
        <v>8</v>
      </c>
      <c r="F9800" s="3">
        <v>8</v>
      </c>
      <c r="G9800" t="s">
        <v>514</v>
      </c>
    </row>
    <row r="9801" spans="1:7" x14ac:dyDescent="0.25">
      <c r="A9801" s="1" t="str">
        <f>"518053"</f>
        <v>518053</v>
      </c>
      <c r="B9801" s="2" t="str">
        <f>"EMENDA ARTICULADA 7030"</f>
        <v>EMENDA ARTICULADA 7030</v>
      </c>
      <c r="C9801" s="2" t="str">
        <f t="shared" si="379"/>
        <v>UN</v>
      </c>
      <c r="D9801" s="7">
        <v>811</v>
      </c>
      <c r="E9801" s="3">
        <v>8</v>
      </c>
      <c r="F9801" s="3">
        <v>8</v>
      </c>
      <c r="G9801" t="s">
        <v>514</v>
      </c>
    </row>
    <row r="9802" spans="1:7" x14ac:dyDescent="0.25">
      <c r="A9802" s="1" t="str">
        <f>"519577"</f>
        <v>519577</v>
      </c>
      <c r="B9802" s="2" t="str">
        <f>"EMENDA ASA 50/2 RCC DUPLA"</f>
        <v>EMENDA ASA 50/2 RCC DUPLA</v>
      </c>
      <c r="C9802" s="2" t="str">
        <f t="shared" si="379"/>
        <v>UN</v>
      </c>
      <c r="D9802" s="7">
        <v>918</v>
      </c>
      <c r="E9802" s="3">
        <v>11</v>
      </c>
      <c r="F9802" s="3">
        <v>11</v>
      </c>
      <c r="G9802" t="s">
        <v>514</v>
      </c>
    </row>
    <row r="9803" spans="1:7" x14ac:dyDescent="0.25">
      <c r="A9803" s="1" t="str">
        <f>"518567"</f>
        <v>518567</v>
      </c>
      <c r="B9803" s="2" t="str">
        <f>"EMENDA CALHA PISO DN200"</f>
        <v>EMENDA CALHA PISO DN200</v>
      </c>
      <c r="C9803" s="2" t="str">
        <f t="shared" si="379"/>
        <v>UN</v>
      </c>
      <c r="D9803" s="7">
        <v>917</v>
      </c>
      <c r="E9803" s="3">
        <v>10</v>
      </c>
      <c r="F9803" s="3">
        <v>10</v>
      </c>
      <c r="G9803" t="s">
        <v>513</v>
      </c>
    </row>
    <row r="9804" spans="1:7" x14ac:dyDescent="0.25">
      <c r="A9804" s="1" t="str">
        <f>"513596"</f>
        <v>513596</v>
      </c>
      <c r="B9804" s="2" t="str">
        <f>"EMENDA CORRENTE 1/4 ESPECIAL"</f>
        <v>EMENDA CORRENTE 1/4 ESPECIAL</v>
      </c>
      <c r="C9804" s="2" t="str">
        <f t="shared" si="379"/>
        <v>UN</v>
      </c>
      <c r="D9804" s="7">
        <v>817</v>
      </c>
      <c r="E9804" s="3">
        <v>4</v>
      </c>
      <c r="F9804" s="3">
        <v>4</v>
      </c>
      <c r="G9804" t="s">
        <v>512</v>
      </c>
    </row>
    <row r="9805" spans="1:7" x14ac:dyDescent="0.25">
      <c r="A9805" s="1" t="str">
        <f>"519588"</f>
        <v>519588</v>
      </c>
      <c r="B9805" s="2" t="str">
        <f>"EMENDA CORRENTE QUEIJAMATIC"</f>
        <v>EMENDA CORRENTE QUEIJAMATIC</v>
      </c>
      <c r="C9805" s="2" t="str">
        <f t="shared" si="379"/>
        <v>UN</v>
      </c>
      <c r="D9805" s="7">
        <v>918</v>
      </c>
      <c r="E9805" s="3">
        <v>11</v>
      </c>
      <c r="F9805" s="3">
        <v>11</v>
      </c>
      <c r="G9805" t="s">
        <v>513</v>
      </c>
    </row>
    <row r="9806" spans="1:7" x14ac:dyDescent="0.25">
      <c r="A9806" s="1" t="str">
        <f>"522237"</f>
        <v>522237</v>
      </c>
      <c r="B9806" s="2" t="str">
        <f>"EMENDA DUPLA CD 50"</f>
        <v>EMENDA DUPLA CD 50</v>
      </c>
      <c r="C9806" s="2" t="str">
        <f t="shared" si="379"/>
        <v>UN</v>
      </c>
      <c r="D9806" s="7">
        <v>1400</v>
      </c>
      <c r="E9806" s="3">
        <v>8</v>
      </c>
      <c r="F9806" s="3">
        <v>8</v>
      </c>
      <c r="G9806" t="s">
        <v>514</v>
      </c>
    </row>
    <row r="9807" spans="1:7" x14ac:dyDescent="0.25">
      <c r="A9807" s="1" t="str">
        <f>"528127"</f>
        <v>528127</v>
      </c>
      <c r="B9807" s="2" t="str">
        <f>"EMENDA DUPLA PASSO 1- ASA 80"</f>
        <v>EMENDA DUPLA PASSO 1- ASA 80</v>
      </c>
      <c r="C9807" s="2" t="str">
        <f t="shared" si="379"/>
        <v>UN</v>
      </c>
      <c r="D9807" s="7">
        <v>917</v>
      </c>
      <c r="E9807" s="3">
        <v>10</v>
      </c>
      <c r="F9807" s="3">
        <v>10</v>
      </c>
      <c r="G9807" t="s">
        <v>514</v>
      </c>
    </row>
    <row r="9808" spans="1:7" x14ac:dyDescent="0.25">
      <c r="A9808" s="1" t="str">
        <f>"505759"</f>
        <v>505759</v>
      </c>
      <c r="B9808" s="2" t="str">
        <f>"EMENDA INOX P/ PERFILADO 38X38MM"</f>
        <v>EMENDA INOX P/ PERFILADO 38X38MM</v>
      </c>
      <c r="C9808" s="2" t="str">
        <f t="shared" si="379"/>
        <v>UN</v>
      </c>
      <c r="D9808" s="7">
        <v>601</v>
      </c>
      <c r="E9808" s="3">
        <v>8</v>
      </c>
      <c r="F9808" s="3">
        <v>8</v>
      </c>
      <c r="G9808" t="s">
        <v>514</v>
      </c>
    </row>
    <row r="9809" spans="1:7" x14ac:dyDescent="0.25">
      <c r="A9809" s="1" t="str">
        <f>"522576"</f>
        <v>522576</v>
      </c>
      <c r="B9809" s="2" t="str">
        <f>"EMENDA INTERNA ""T"" P/ PERFILADO 36 X 36MM"</f>
        <v>EMENDA INTERNA "T" P/ PERFILADO 36 X 36MM</v>
      </c>
      <c r="C9809" s="2" t="str">
        <f t="shared" si="379"/>
        <v>UN</v>
      </c>
      <c r="D9809" s="7">
        <v>600</v>
      </c>
      <c r="E9809" s="3">
        <v>10</v>
      </c>
      <c r="F9809" s="3">
        <v>10</v>
      </c>
      <c r="G9809" t="s">
        <v>513</v>
      </c>
    </row>
    <row r="9810" spans="1:7" x14ac:dyDescent="0.25">
      <c r="A9810" s="1" t="str">
        <f>"522577"</f>
        <v>522577</v>
      </c>
      <c r="B9810" s="2" t="str">
        <f>"EMENDA INTERNA ""U"" P/ PERFILADO 36 X 36MM"</f>
        <v>EMENDA INTERNA "U" P/ PERFILADO 36 X 36MM</v>
      </c>
      <c r="C9810" s="2" t="str">
        <f t="shared" si="379"/>
        <v>UN</v>
      </c>
      <c r="D9810" s="7">
        <v>600</v>
      </c>
      <c r="E9810" s="3">
        <v>10</v>
      </c>
      <c r="F9810" s="3">
        <v>10</v>
      </c>
      <c r="G9810" t="s">
        <v>513</v>
      </c>
    </row>
    <row r="9811" spans="1:7" x14ac:dyDescent="0.25">
      <c r="A9811" s="1" t="str">
        <f>"522575"</f>
        <v>522575</v>
      </c>
      <c r="B9811" s="2" t="str">
        <f>"EMENDA INTERNA P/ PERFILADO 36 X 36MM"</f>
        <v>EMENDA INTERNA P/ PERFILADO 36 X 36MM</v>
      </c>
      <c r="C9811" s="2" t="str">
        <f t="shared" si="379"/>
        <v>UN</v>
      </c>
      <c r="D9811" s="7">
        <v>600</v>
      </c>
      <c r="E9811" s="3">
        <v>10</v>
      </c>
      <c r="F9811" s="3">
        <v>10</v>
      </c>
      <c r="G9811" t="s">
        <v>513</v>
      </c>
    </row>
    <row r="9812" spans="1:7" x14ac:dyDescent="0.25">
      <c r="A9812" s="1" t="str">
        <f>"510622"</f>
        <v>510622</v>
      </c>
      <c r="B9812" s="2" t="str">
        <f>"EMENDA L P/ PERFILADO 38X38MM"</f>
        <v>EMENDA L P/ PERFILADO 38X38MM</v>
      </c>
      <c r="C9812" s="2" t="str">
        <f t="shared" si="379"/>
        <v>UN</v>
      </c>
      <c r="D9812" s="7">
        <v>601</v>
      </c>
      <c r="E9812" s="3">
        <v>8</v>
      </c>
      <c r="F9812" s="3">
        <v>8</v>
      </c>
      <c r="G9812" t="s">
        <v>512</v>
      </c>
    </row>
    <row r="9813" spans="1:7" x14ac:dyDescent="0.25">
      <c r="A9813" s="1" t="str">
        <f>"518953"</f>
        <v>518953</v>
      </c>
      <c r="B9813" s="2" t="str">
        <f>"EMENDA P/ BARRA ROSQUEADA 1/4"</f>
        <v>EMENDA P/ BARRA ROSQUEADA 1/4</v>
      </c>
      <c r="C9813" s="2" t="str">
        <f t="shared" si="379"/>
        <v>UN</v>
      </c>
      <c r="D9813" s="7">
        <v>811</v>
      </c>
      <c r="E9813" s="3">
        <v>8</v>
      </c>
      <c r="F9813" s="3">
        <v>8</v>
      </c>
      <c r="G9813" t="s">
        <v>513</v>
      </c>
    </row>
    <row r="9814" spans="1:7" x14ac:dyDescent="0.25">
      <c r="A9814" s="1" t="str">
        <f>"517942"</f>
        <v>517942</v>
      </c>
      <c r="B9814" s="2" t="str">
        <f>"EMENDA P/ CABO 185MM (LUVA)"</f>
        <v>EMENDA P/ CABO 185MM (LUVA)</v>
      </c>
      <c r="C9814" s="2" t="str">
        <f t="shared" si="379"/>
        <v>UN</v>
      </c>
      <c r="D9814" s="7">
        <v>811</v>
      </c>
      <c r="E9814" s="3">
        <v>8</v>
      </c>
      <c r="F9814" s="3">
        <v>8</v>
      </c>
      <c r="G9814" t="s">
        <v>514</v>
      </c>
    </row>
    <row r="9815" spans="1:7" x14ac:dyDescent="0.25">
      <c r="A9815" s="1" t="str">
        <f>"512832"</f>
        <v>512832</v>
      </c>
      <c r="B9815" s="2" t="str">
        <f>"EMENDA P/ CALHA ARAMADA 100X50"</f>
        <v>EMENDA P/ CALHA ARAMADA 100X50</v>
      </c>
      <c r="C9815" s="2" t="str">
        <f t="shared" si="379"/>
        <v>UN</v>
      </c>
      <c r="D9815" s="7">
        <v>811</v>
      </c>
      <c r="E9815" s="3">
        <v>8</v>
      </c>
      <c r="F9815" s="3">
        <v>8</v>
      </c>
      <c r="G9815" t="s">
        <v>515</v>
      </c>
    </row>
    <row r="9816" spans="1:7" x14ac:dyDescent="0.25">
      <c r="A9816" s="1" t="str">
        <f>"512831"</f>
        <v>512831</v>
      </c>
      <c r="B9816" s="2" t="str">
        <f>"EMENDA P/ CALHA ARAMADA 50X50"</f>
        <v>EMENDA P/ CALHA ARAMADA 50X50</v>
      </c>
      <c r="C9816" s="2" t="str">
        <f t="shared" si="379"/>
        <v>UN</v>
      </c>
      <c r="D9816" s="7">
        <v>811</v>
      </c>
      <c r="E9816" s="3">
        <v>8</v>
      </c>
      <c r="F9816" s="3">
        <v>8</v>
      </c>
      <c r="G9816" t="s">
        <v>512</v>
      </c>
    </row>
    <row r="9817" spans="1:7" x14ac:dyDescent="0.25">
      <c r="A9817" s="1" t="str">
        <f>"509613"</f>
        <v>509613</v>
      </c>
      <c r="B9817" s="2" t="str">
        <f>"EMENDA P/ CONECTOR RJ45"</f>
        <v>EMENDA P/ CONECTOR RJ45</v>
      </c>
      <c r="C9817" s="2" t="str">
        <f t="shared" si="379"/>
        <v>UN</v>
      </c>
      <c r="D9817" s="7">
        <v>601</v>
      </c>
      <c r="E9817" s="3">
        <v>8</v>
      </c>
      <c r="F9817" s="3">
        <v>8</v>
      </c>
      <c r="G9817" t="s">
        <v>516</v>
      </c>
    </row>
    <row r="9818" spans="1:7" x14ac:dyDescent="0.25">
      <c r="A9818" s="1" t="str">
        <f>"519408"</f>
        <v>519408</v>
      </c>
      <c r="B9818" s="2" t="str">
        <f>"EMENDA P/ MANG. 1"""</f>
        <v>EMENDA P/ MANG. 1"</v>
      </c>
      <c r="C9818" s="2" t="str">
        <f t="shared" ref="C9818:C9823" si="380">"MT"</f>
        <v>MT</v>
      </c>
      <c r="D9818" s="7">
        <v>810</v>
      </c>
      <c r="E9818" s="3">
        <v>10</v>
      </c>
      <c r="F9818" s="3">
        <v>10</v>
      </c>
      <c r="G9818" t="s">
        <v>515</v>
      </c>
    </row>
    <row r="9819" spans="1:7" x14ac:dyDescent="0.25">
      <c r="A9819" s="1" t="str">
        <f>"502378"</f>
        <v>502378</v>
      </c>
      <c r="B9819" s="2" t="str">
        <f>"EMENDA P/ MANG. 1/2"</f>
        <v>EMENDA P/ MANG. 1/2</v>
      </c>
      <c r="C9819" s="2" t="str">
        <f t="shared" si="380"/>
        <v>MT</v>
      </c>
      <c r="D9819" s="7">
        <v>810</v>
      </c>
      <c r="E9819" s="3">
        <v>10</v>
      </c>
      <c r="F9819" s="3">
        <v>10</v>
      </c>
      <c r="G9819" t="s">
        <v>514</v>
      </c>
    </row>
    <row r="9820" spans="1:7" x14ac:dyDescent="0.25">
      <c r="A9820" s="1" t="str">
        <f>"505263"</f>
        <v>505263</v>
      </c>
      <c r="B9820" s="2" t="str">
        <f>"EMENDA P/ MANG. 3/4"</f>
        <v>EMENDA P/ MANG. 3/4</v>
      </c>
      <c r="C9820" s="2" t="str">
        <f t="shared" si="380"/>
        <v>MT</v>
      </c>
      <c r="D9820" s="7">
        <v>810</v>
      </c>
      <c r="E9820" s="3">
        <v>10</v>
      </c>
      <c r="F9820" s="3">
        <v>10</v>
      </c>
      <c r="G9820" t="s">
        <v>512</v>
      </c>
    </row>
    <row r="9821" spans="1:7" x14ac:dyDescent="0.25">
      <c r="A9821" s="1" t="str">
        <f>"510117"</f>
        <v>510117</v>
      </c>
      <c r="B9821" s="2" t="str">
        <f>"EMENDA P/ MANGUEIRA 1 1/2"</f>
        <v>EMENDA P/ MANGUEIRA 1 1/2</v>
      </c>
      <c r="C9821" s="2" t="str">
        <f t="shared" si="380"/>
        <v>MT</v>
      </c>
      <c r="D9821" s="7">
        <v>810</v>
      </c>
      <c r="E9821" s="3">
        <v>10</v>
      </c>
      <c r="F9821" s="3">
        <v>10</v>
      </c>
      <c r="G9821" t="s">
        <v>513</v>
      </c>
    </row>
    <row r="9822" spans="1:7" x14ac:dyDescent="0.25">
      <c r="A9822" s="1" t="str">
        <f>"520246"</f>
        <v>520246</v>
      </c>
      <c r="B9822" s="2" t="str">
        <f>"EMENDA P/ MANGUEIRA 2"""</f>
        <v>EMENDA P/ MANGUEIRA 2"</v>
      </c>
      <c r="C9822" s="2" t="str">
        <f t="shared" si="380"/>
        <v>MT</v>
      </c>
      <c r="D9822" s="7">
        <v>810</v>
      </c>
      <c r="E9822" s="3">
        <v>10</v>
      </c>
      <c r="F9822" s="3">
        <v>10</v>
      </c>
      <c r="G9822" t="s">
        <v>514</v>
      </c>
    </row>
    <row r="9823" spans="1:7" x14ac:dyDescent="0.25">
      <c r="A9823" s="1" t="str">
        <f>"513457"</f>
        <v>513457</v>
      </c>
      <c r="B9823" s="2" t="str">
        <f>"EMENDA P/ MANGUEIRA 3"""</f>
        <v>EMENDA P/ MANGUEIRA 3"</v>
      </c>
      <c r="C9823" s="2" t="str">
        <f t="shared" si="380"/>
        <v>MT</v>
      </c>
      <c r="D9823" s="7">
        <v>810</v>
      </c>
      <c r="E9823" s="3">
        <v>10</v>
      </c>
      <c r="F9823" s="3">
        <v>10</v>
      </c>
      <c r="G9823" t="s">
        <v>514</v>
      </c>
    </row>
    <row r="9824" spans="1:7" x14ac:dyDescent="0.25">
      <c r="A9824" s="1" t="str">
        <f>"501613"</f>
        <v>501613</v>
      </c>
      <c r="B9824" s="2" t="str">
        <f>"EMENDA P/CORRRENTE EMPILHADEIRA FBRE 15"</f>
        <v>EMENDA P/CORRRENTE EMPILHADEIRA FBRE 15</v>
      </c>
      <c r="C9824" s="2" t="str">
        <f>"UN"</f>
        <v>UN</v>
      </c>
      <c r="D9824" s="7">
        <v>918</v>
      </c>
      <c r="E9824" s="3">
        <v>11</v>
      </c>
      <c r="F9824" s="3">
        <v>11</v>
      </c>
      <c r="G9824" t="s">
        <v>512</v>
      </c>
    </row>
    <row r="9825" spans="1:7" x14ac:dyDescent="0.25">
      <c r="A9825" s="1" t="str">
        <f>"513416"</f>
        <v>513416</v>
      </c>
      <c r="B9825" s="2" t="str">
        <f>"EMENDA PARA CABO COAXIAL"</f>
        <v>EMENDA PARA CABO COAXIAL</v>
      </c>
      <c r="C9825" s="2" t="str">
        <f>"UN"</f>
        <v>UN</v>
      </c>
      <c r="D9825" s="7">
        <v>803</v>
      </c>
      <c r="E9825" s="3">
        <v>4</v>
      </c>
      <c r="F9825" s="3">
        <v>4</v>
      </c>
      <c r="G9825" t="s">
        <v>513</v>
      </c>
    </row>
    <row r="9826" spans="1:7" x14ac:dyDescent="0.25">
      <c r="A9826" s="1" t="str">
        <f>"500657"</f>
        <v>500657</v>
      </c>
      <c r="B9826" s="2" t="str">
        <f>"EMENDA PARA MANGUEIRA DE PRESSAO"</f>
        <v>EMENDA PARA MANGUEIRA DE PRESSAO</v>
      </c>
      <c r="C9826" s="2" t="str">
        <f>"UN"</f>
        <v>UN</v>
      </c>
      <c r="D9826" s="7">
        <v>704</v>
      </c>
      <c r="E9826" s="3">
        <v>9</v>
      </c>
      <c r="F9826" s="3">
        <v>9</v>
      </c>
      <c r="G9826" t="s">
        <v>514</v>
      </c>
    </row>
    <row r="9827" spans="1:7" x14ac:dyDescent="0.25">
      <c r="A9827" s="1" t="str">
        <f>"505264"</f>
        <v>505264</v>
      </c>
      <c r="B9827" s="2" t="str">
        <f>"EMENDA RED 3/4 - 1/2 P/ MANGUEIRA"</f>
        <v>EMENDA RED 3/4 - 1/2 P/ MANGUEIRA</v>
      </c>
      <c r="C9827" s="2" t="str">
        <f>"BR"</f>
        <v>BR</v>
      </c>
      <c r="D9827" s="7">
        <v>808</v>
      </c>
      <c r="E9827" s="3">
        <v>10</v>
      </c>
      <c r="F9827" s="3">
        <v>10</v>
      </c>
      <c r="G9827" t="s">
        <v>514</v>
      </c>
    </row>
    <row r="9828" spans="1:7" x14ac:dyDescent="0.25">
      <c r="A9828" s="1" t="str">
        <f>"518952"</f>
        <v>518952</v>
      </c>
      <c r="B9828" s="2" t="str">
        <f>"EMENDA RETA 60MM"</f>
        <v>EMENDA RETA 60MM</v>
      </c>
      <c r="C9828" s="2" t="str">
        <f t="shared" ref="C9828:C9870" si="381">"UN"</f>
        <v>UN</v>
      </c>
      <c r="D9828" s="7">
        <v>811</v>
      </c>
      <c r="E9828" s="3">
        <v>8</v>
      </c>
      <c r="F9828" s="3">
        <v>8</v>
      </c>
      <c r="G9828" t="s">
        <v>514</v>
      </c>
    </row>
    <row r="9829" spans="1:7" x14ac:dyDescent="0.25">
      <c r="A9829" s="1" t="str">
        <f>"518052"</f>
        <v>518052</v>
      </c>
      <c r="B9829" s="2" t="str">
        <f>"EMENDA RETA 7079"</f>
        <v>EMENDA RETA 7079</v>
      </c>
      <c r="C9829" s="2" t="str">
        <f t="shared" si="381"/>
        <v>UN</v>
      </c>
      <c r="D9829" s="7">
        <v>811</v>
      </c>
      <c r="E9829" s="3">
        <v>8</v>
      </c>
      <c r="F9829" s="3">
        <v>8</v>
      </c>
      <c r="G9829" t="s">
        <v>513</v>
      </c>
    </row>
    <row r="9830" spans="1:7" x14ac:dyDescent="0.25">
      <c r="A9830" s="1" t="str">
        <f>"513048"</f>
        <v>513048</v>
      </c>
      <c r="B9830" s="2" t="str">
        <f>"EMENDA U 75MM"</f>
        <v>EMENDA U 75MM</v>
      </c>
      <c r="C9830" s="2" t="str">
        <f t="shared" si="381"/>
        <v>UN</v>
      </c>
      <c r="D9830" s="7">
        <v>811</v>
      </c>
      <c r="E9830" s="3">
        <v>8</v>
      </c>
      <c r="F9830" s="3">
        <v>8</v>
      </c>
      <c r="G9830" t="s">
        <v>512</v>
      </c>
    </row>
    <row r="9831" spans="1:7" x14ac:dyDescent="0.25">
      <c r="A9831" s="1" t="str">
        <f>"521463"</f>
        <v>521463</v>
      </c>
      <c r="B9831" s="2" t="str">
        <f>"EMENDAS ARTICULADAS P/ CALHAS ARAMADAS"</f>
        <v>EMENDAS ARTICULADAS P/ CALHAS ARAMADAS</v>
      </c>
      <c r="C9831" s="2" t="str">
        <f t="shared" si="381"/>
        <v>UN</v>
      </c>
      <c r="D9831" s="7">
        <v>811</v>
      </c>
      <c r="E9831" s="3">
        <v>8</v>
      </c>
      <c r="F9831" s="3">
        <v>8</v>
      </c>
      <c r="G9831" t="s">
        <v>513</v>
      </c>
    </row>
    <row r="9832" spans="1:7" x14ac:dyDescent="0.25">
      <c r="A9832" s="1" t="str">
        <f>"521292"</f>
        <v>521292</v>
      </c>
      <c r="B9832" s="2" t="str">
        <f>"EMENDAS GF"</f>
        <v>EMENDAS GF</v>
      </c>
      <c r="C9832" s="2" t="str">
        <f t="shared" si="381"/>
        <v>UN</v>
      </c>
      <c r="D9832" s="7">
        <v>811</v>
      </c>
      <c r="E9832" s="3">
        <v>8</v>
      </c>
      <c r="F9832" s="3">
        <v>8</v>
      </c>
      <c r="G9832" t="s">
        <v>514</v>
      </c>
    </row>
    <row r="9833" spans="1:7" x14ac:dyDescent="0.25">
      <c r="A9833" s="1" t="str">
        <f>"521462"</f>
        <v>521462</v>
      </c>
      <c r="B9833" s="2" t="str">
        <f>"EMENDAS P/ CALHAS ARAMADAS"</f>
        <v>EMENDAS P/ CALHAS ARAMADAS</v>
      </c>
      <c r="C9833" s="2" t="str">
        <f t="shared" si="381"/>
        <v>UN</v>
      </c>
      <c r="D9833" s="7">
        <v>811</v>
      </c>
      <c r="E9833" s="3">
        <v>8</v>
      </c>
      <c r="F9833" s="3">
        <v>8</v>
      </c>
      <c r="G9833" t="s">
        <v>514</v>
      </c>
    </row>
    <row r="9834" spans="1:7" x14ac:dyDescent="0.25">
      <c r="A9834" s="1" t="str">
        <f>"521820"</f>
        <v>521820</v>
      </c>
      <c r="B9834" s="8" t="s">
        <v>227</v>
      </c>
      <c r="C9834" s="2" t="str">
        <f t="shared" si="381"/>
        <v>UN</v>
      </c>
      <c r="D9834" s="7">
        <v>918</v>
      </c>
      <c r="E9834" s="3">
        <v>10</v>
      </c>
      <c r="F9834" s="3">
        <v>10</v>
      </c>
      <c r="G9834" t="s">
        <v>514</v>
      </c>
    </row>
    <row r="9835" spans="1:7" x14ac:dyDescent="0.25">
      <c r="A9835" s="1" t="str">
        <f>"525275"</f>
        <v>525275</v>
      </c>
      <c r="B9835" s="2" t="str">
        <f>"EMGRENAGEM COD.009766 CONF. COD. 02-16-16-04-04-056"</f>
        <v>EMGRENAGEM COD.009766 CONF. COD. 02-16-16-04-04-056</v>
      </c>
      <c r="C9835" s="2" t="str">
        <f t="shared" si="381"/>
        <v>UN</v>
      </c>
      <c r="D9835" s="7">
        <v>918</v>
      </c>
      <c r="E9835" s="3">
        <v>11</v>
      </c>
      <c r="F9835" s="3">
        <v>11</v>
      </c>
      <c r="G9835" t="s">
        <v>513</v>
      </c>
    </row>
    <row r="9836" spans="1:7" x14ac:dyDescent="0.25">
      <c r="A9836" s="1" t="str">
        <f>"517279"</f>
        <v>517279</v>
      </c>
      <c r="B9836" s="2" t="str">
        <f>"EMP MAQUING 2003-07 MAQ E"</f>
        <v>EMP MAQUING 2003-07 MAQ E</v>
      </c>
      <c r="C9836" s="2" t="str">
        <f t="shared" si="381"/>
        <v>UN</v>
      </c>
      <c r="D9836" s="7">
        <v>918</v>
      </c>
      <c r="E9836" s="3">
        <v>11</v>
      </c>
      <c r="F9836" s="3">
        <v>11</v>
      </c>
      <c r="G9836" t="s">
        <v>513</v>
      </c>
    </row>
    <row r="9837" spans="1:7" x14ac:dyDescent="0.25">
      <c r="A9837" s="1" t="str">
        <f>"517289"</f>
        <v>517289</v>
      </c>
      <c r="B9837" s="2" t="str">
        <f>"EMP MAQUING 2003-107 MAQ F"</f>
        <v>EMP MAQUING 2003-107 MAQ F</v>
      </c>
      <c r="C9837" s="2" t="str">
        <f t="shared" si="381"/>
        <v>UN</v>
      </c>
      <c r="D9837" s="7">
        <v>918</v>
      </c>
      <c r="E9837" s="3">
        <v>11</v>
      </c>
      <c r="F9837" s="3">
        <v>11</v>
      </c>
      <c r="G9837" t="s">
        <v>513</v>
      </c>
    </row>
    <row r="9838" spans="1:7" x14ac:dyDescent="0.25">
      <c r="A9838" s="1" t="str">
        <f>"517258"</f>
        <v>517258</v>
      </c>
      <c r="B9838" s="2" t="str">
        <f>"EMP MAQUING 2006-04 0664 MAQ B"</f>
        <v>EMP MAQUING 2006-04 0664 MAQ B</v>
      </c>
      <c r="C9838" s="2" t="str">
        <f t="shared" si="381"/>
        <v>UN</v>
      </c>
      <c r="D9838" s="7">
        <v>918</v>
      </c>
      <c r="E9838" s="3">
        <v>11</v>
      </c>
      <c r="F9838" s="3">
        <v>11</v>
      </c>
      <c r="G9838" t="s">
        <v>512</v>
      </c>
    </row>
    <row r="9839" spans="1:7" x14ac:dyDescent="0.25">
      <c r="A9839" s="1" t="str">
        <f>"517270"</f>
        <v>517270</v>
      </c>
      <c r="B9839" s="2" t="str">
        <f>"EMP MAQUING2003-07 S007 MAQ D"</f>
        <v>EMP MAQUING2003-07 S007 MAQ D</v>
      </c>
      <c r="C9839" s="2" t="str">
        <f t="shared" si="381"/>
        <v>UN</v>
      </c>
      <c r="D9839" s="7">
        <v>918</v>
      </c>
      <c r="E9839" s="3">
        <v>11</v>
      </c>
      <c r="F9839" s="3">
        <v>11</v>
      </c>
      <c r="G9839" t="s">
        <v>513</v>
      </c>
    </row>
    <row r="9840" spans="1:7" x14ac:dyDescent="0.25">
      <c r="A9840" s="1" t="str">
        <f>"517242"</f>
        <v>517242</v>
      </c>
      <c r="B9840" s="2" t="str">
        <f>"EMP. MAQUING 2003-07 MAQ A"</f>
        <v>EMP. MAQUING 2003-07 MAQ A</v>
      </c>
      <c r="C9840" s="2" t="str">
        <f t="shared" si="381"/>
        <v>UN</v>
      </c>
      <c r="D9840" s="7">
        <v>918</v>
      </c>
      <c r="E9840" s="3">
        <v>11</v>
      </c>
      <c r="F9840" s="3">
        <v>11</v>
      </c>
      <c r="G9840" t="s">
        <v>514</v>
      </c>
    </row>
    <row r="9841" spans="1:7" x14ac:dyDescent="0.25">
      <c r="A9841" s="1" t="str">
        <f>"528082"</f>
        <v>528082</v>
      </c>
      <c r="B9841" s="2" t="str">
        <f>"EMPACOTADORA FRONTAL 1500 PACOTES/HORA 150/170GR"</f>
        <v>EMPACOTADORA FRONTAL 1500 PACOTES/HORA 150/170GR</v>
      </c>
      <c r="C9841" s="2" t="str">
        <f t="shared" si="381"/>
        <v>UN</v>
      </c>
      <c r="D9841" s="7">
        <v>99999</v>
      </c>
      <c r="E9841" s="3">
        <v>13</v>
      </c>
      <c r="F9841" s="3">
        <v>13</v>
      </c>
      <c r="G9841" t="s">
        <v>515</v>
      </c>
    </row>
    <row r="9842" spans="1:7" x14ac:dyDescent="0.25">
      <c r="A9842" s="1" t="str">
        <f>"528083"</f>
        <v>528083</v>
      </c>
      <c r="B9842" s="2" t="str">
        <f>"EMPACOTADORA FRONTAL 1500 PACOTES/HORA 900/1250GR"</f>
        <v>EMPACOTADORA FRONTAL 1500 PACOTES/HORA 900/1250GR</v>
      </c>
      <c r="C9842" s="2" t="str">
        <f t="shared" si="381"/>
        <v>UN</v>
      </c>
      <c r="D9842" s="7">
        <v>99999</v>
      </c>
      <c r="E9842" s="3">
        <v>13</v>
      </c>
      <c r="F9842" s="3">
        <v>13</v>
      </c>
      <c r="G9842" t="s">
        <v>512</v>
      </c>
    </row>
    <row r="9843" spans="1:7" x14ac:dyDescent="0.25">
      <c r="A9843" s="1" t="str">
        <f>"514853"</f>
        <v>514853</v>
      </c>
      <c r="B9843" s="2" t="str">
        <f>"EMPACOTADORA ZWA/25 FD-SBO PISTA SIMPLES - TUNEL 2 SESSÃO BX"</f>
        <v>EMPACOTADORA ZWA/25 FD-SBO PISTA SIMPLES - TUNEL 2 SESSÃO BX</v>
      </c>
      <c r="C9843" s="2" t="str">
        <f t="shared" si="381"/>
        <v>UN</v>
      </c>
      <c r="D9843" s="7">
        <v>1300</v>
      </c>
      <c r="E9843" s="3">
        <v>13</v>
      </c>
      <c r="F9843" s="3">
        <v>13</v>
      </c>
      <c r="G9843" t="s">
        <v>516</v>
      </c>
    </row>
    <row r="9844" spans="1:7" x14ac:dyDescent="0.25">
      <c r="A9844" s="1" t="str">
        <f>"523606"</f>
        <v>523606</v>
      </c>
      <c r="B9844" s="2" t="str">
        <f>"EMPADÃO"</f>
        <v>EMPADÃO</v>
      </c>
      <c r="C9844" s="2" t="str">
        <f t="shared" si="381"/>
        <v>UN</v>
      </c>
      <c r="D9844" s="7">
        <v>99999</v>
      </c>
      <c r="E9844" s="3">
        <v>99</v>
      </c>
      <c r="F9844" s="3">
        <v>99</v>
      </c>
      <c r="G9844" t="s">
        <v>515</v>
      </c>
    </row>
    <row r="9845" spans="1:7" x14ac:dyDescent="0.25">
      <c r="A9845" s="1" t="str">
        <f>"523445"</f>
        <v>523445</v>
      </c>
      <c r="B9845" s="2" t="str">
        <f>"EMPILHADEIRA CLARK CMP25L GLP TRIP 4.8MT CAP 2500KG"</f>
        <v>EMPILHADEIRA CLARK CMP25L GLP TRIP 4.8MT CAP 2500KG</v>
      </c>
      <c r="C9845" s="2" t="str">
        <f t="shared" si="381"/>
        <v>UN</v>
      </c>
      <c r="D9845" s="7">
        <v>1300</v>
      </c>
      <c r="E9845" s="3">
        <v>13</v>
      </c>
      <c r="F9845" s="3">
        <v>13</v>
      </c>
      <c r="G9845" t="s">
        <v>514</v>
      </c>
    </row>
    <row r="9846" spans="1:7" x14ac:dyDescent="0.25">
      <c r="A9846" s="1" t="str">
        <f>"519259"</f>
        <v>519259</v>
      </c>
      <c r="B9846" s="2" t="str">
        <f>"EMPILHADEIRA ELETRICA BT"</f>
        <v>EMPILHADEIRA ELETRICA BT</v>
      </c>
      <c r="C9846" s="2" t="str">
        <f t="shared" si="381"/>
        <v>UN</v>
      </c>
      <c r="D9846" s="7">
        <v>1300</v>
      </c>
      <c r="E9846" s="3">
        <v>13</v>
      </c>
      <c r="F9846" s="3">
        <v>13</v>
      </c>
      <c r="G9846" t="s">
        <v>512</v>
      </c>
    </row>
    <row r="9847" spans="1:7" x14ac:dyDescent="0.25">
      <c r="A9847" s="1" t="str">
        <f>"524304"</f>
        <v>524304</v>
      </c>
      <c r="B9847" s="2" t="str">
        <f>"EMPILHADEIRA ELETRICA FROTA 40"</f>
        <v>EMPILHADEIRA ELETRICA FROTA 40</v>
      </c>
      <c r="C9847" s="2" t="str">
        <f t="shared" si="381"/>
        <v>UN</v>
      </c>
      <c r="D9847" s="7">
        <v>1300</v>
      </c>
      <c r="E9847" s="3">
        <v>13</v>
      </c>
      <c r="F9847" s="3">
        <v>13</v>
      </c>
      <c r="G9847" t="s">
        <v>513</v>
      </c>
    </row>
    <row r="9848" spans="1:7" x14ac:dyDescent="0.25">
      <c r="A9848" s="1" t="str">
        <f>"527631"</f>
        <v>527631</v>
      </c>
      <c r="B9848" s="2" t="str">
        <f>"EMPILHADEIRA ELETRICA HYSTER E60 XM"</f>
        <v>EMPILHADEIRA ELETRICA HYSTER E60 XM</v>
      </c>
      <c r="C9848" s="2" t="str">
        <f t="shared" si="381"/>
        <v>UN</v>
      </c>
      <c r="D9848" s="7">
        <v>99999</v>
      </c>
      <c r="E9848" s="3">
        <v>99</v>
      </c>
      <c r="F9848" s="3">
        <v>99</v>
      </c>
      <c r="G9848" t="s">
        <v>514</v>
      </c>
    </row>
    <row r="9849" spans="1:7" x14ac:dyDescent="0.25">
      <c r="A9849" s="1" t="str">
        <f>"515583"</f>
        <v>515583</v>
      </c>
      <c r="B9849" s="2" t="str">
        <f>"EMPILHADEIRA FMX17"</f>
        <v>EMPILHADEIRA FMX17</v>
      </c>
      <c r="C9849" s="2" t="str">
        <f t="shared" si="381"/>
        <v>UN</v>
      </c>
      <c r="D9849" s="7">
        <v>1300</v>
      </c>
      <c r="E9849" s="3">
        <v>13</v>
      </c>
      <c r="F9849" s="3">
        <v>13</v>
      </c>
      <c r="G9849" t="s">
        <v>514</v>
      </c>
    </row>
    <row r="9850" spans="1:7" x14ac:dyDescent="0.25">
      <c r="A9850" s="1" t="str">
        <f>"522310"</f>
        <v>522310</v>
      </c>
      <c r="B9850" s="2" t="str">
        <f>"EMPILHADEIRA HANGCHA-XE GLP CPQD25N 4517"</f>
        <v>EMPILHADEIRA HANGCHA-XE GLP CPQD25N 4517</v>
      </c>
      <c r="C9850" s="2" t="str">
        <f t="shared" si="381"/>
        <v>UN</v>
      </c>
      <c r="D9850" s="7">
        <v>1300</v>
      </c>
      <c r="E9850" s="3">
        <v>13</v>
      </c>
      <c r="F9850" s="3">
        <v>13</v>
      </c>
      <c r="G9850" t="s">
        <v>512</v>
      </c>
    </row>
    <row r="9851" spans="1:7" x14ac:dyDescent="0.25">
      <c r="A9851" s="1" t="str">
        <f>"521371"</f>
        <v>521371</v>
      </c>
      <c r="B9851" s="2" t="str">
        <f>"EMPILHADEIRA HANGCHA-XE GLP TRIPLEX 4800MM GARFO 1800MM"</f>
        <v>EMPILHADEIRA HANGCHA-XE GLP TRIPLEX 4800MM GARFO 1800MM</v>
      </c>
      <c r="C9851" s="2" t="str">
        <f t="shared" si="381"/>
        <v>UN</v>
      </c>
      <c r="D9851" s="7">
        <v>1300</v>
      </c>
      <c r="E9851" s="3">
        <v>13</v>
      </c>
      <c r="F9851" s="3">
        <v>13</v>
      </c>
      <c r="G9851" t="s">
        <v>513</v>
      </c>
    </row>
    <row r="9852" spans="1:7" x14ac:dyDescent="0.25">
      <c r="A9852" s="1" t="str">
        <f>"514438"</f>
        <v>514438</v>
      </c>
      <c r="B9852" s="2" t="str">
        <f>"EMPILHADEIRA MITSUBISHI MOD. FG-25 - CAP. 2.300 KG"</f>
        <v>EMPILHADEIRA MITSUBISHI MOD. FG-25 - CAP. 2.300 KG</v>
      </c>
      <c r="C9852" s="2" t="str">
        <f t="shared" si="381"/>
        <v>UN</v>
      </c>
      <c r="D9852" s="7">
        <v>1300</v>
      </c>
      <c r="E9852" s="3">
        <v>13</v>
      </c>
      <c r="F9852" s="3">
        <v>13</v>
      </c>
      <c r="G9852" t="s">
        <v>514</v>
      </c>
    </row>
    <row r="9853" spans="1:7" x14ac:dyDescent="0.25">
      <c r="A9853" s="1" t="str">
        <f>"528137"</f>
        <v>528137</v>
      </c>
      <c r="B9853" s="2" t="str">
        <f>"EMPILHADEIRA RETRATIL 5A238218 (ESR5260-2.0-R)"</f>
        <v>EMPILHADEIRA RETRATIL 5A238218 (ESR5260-2.0-R)</v>
      </c>
      <c r="C9853" s="2" t="str">
        <f t="shared" si="381"/>
        <v>UN</v>
      </c>
      <c r="D9853" s="7">
        <v>1300</v>
      </c>
      <c r="E9853" s="3">
        <v>13</v>
      </c>
      <c r="F9853" s="3">
        <v>13</v>
      </c>
      <c r="G9853" t="s">
        <v>514</v>
      </c>
    </row>
    <row r="9854" spans="1:7" x14ac:dyDescent="0.25">
      <c r="A9854" s="1" t="str">
        <f>"527122"</f>
        <v>527122</v>
      </c>
      <c r="B9854" s="2" t="str">
        <f>"EMPILHADEIRA STILL EGV16 2007"</f>
        <v>EMPILHADEIRA STILL EGV16 2007</v>
      </c>
      <c r="C9854" s="2" t="str">
        <f t="shared" si="381"/>
        <v>UN</v>
      </c>
      <c r="D9854" s="7">
        <v>1300</v>
      </c>
      <c r="E9854" s="3">
        <v>13</v>
      </c>
      <c r="F9854" s="3">
        <v>13</v>
      </c>
      <c r="G9854" t="s">
        <v>514</v>
      </c>
    </row>
    <row r="9855" spans="1:7" x14ac:dyDescent="0.25">
      <c r="A9855" s="1" t="str">
        <f>"521465"</f>
        <v>521465</v>
      </c>
      <c r="B9855" s="2" t="str">
        <f>"EMPILHADEIRA TOYOTA ELÉTRICA DIGITAL STAXIO SWE140 C/PLATAFO"</f>
        <v>EMPILHADEIRA TOYOTA ELÉTRICA DIGITAL STAXIO SWE140 C/PLATAFO</v>
      </c>
      <c r="C9855" s="2" t="str">
        <f t="shared" si="381"/>
        <v>UN</v>
      </c>
      <c r="D9855" s="7">
        <v>1300</v>
      </c>
      <c r="E9855" s="3">
        <v>13</v>
      </c>
      <c r="F9855" s="3">
        <v>13</v>
      </c>
      <c r="G9855" t="s">
        <v>513</v>
      </c>
    </row>
    <row r="9856" spans="1:7" x14ac:dyDescent="0.25">
      <c r="A9856" s="1" t="str">
        <f>"516958"</f>
        <v>516958</v>
      </c>
      <c r="B9856" s="2" t="str">
        <f>"EMPILHADEIRA TOYOTA FBRE"</f>
        <v>EMPILHADEIRA TOYOTA FBRE</v>
      </c>
      <c r="C9856" s="2" t="str">
        <f t="shared" si="381"/>
        <v>UN</v>
      </c>
      <c r="D9856" s="7">
        <v>1300</v>
      </c>
      <c r="E9856" s="3">
        <v>13</v>
      </c>
      <c r="F9856" s="3">
        <v>13</v>
      </c>
      <c r="G9856" t="s">
        <v>512</v>
      </c>
    </row>
    <row r="9857" spans="1:7" x14ac:dyDescent="0.25">
      <c r="A9857" s="1" t="str">
        <f>"516150"</f>
        <v>516150</v>
      </c>
      <c r="B9857" s="2" t="str">
        <f>"EMPILHADEIRA TOYOTA MOD. 8FGU25 A GAS GLP"</f>
        <v>EMPILHADEIRA TOYOTA MOD. 8FGU25 A GAS GLP</v>
      </c>
      <c r="C9857" s="2" t="str">
        <f t="shared" si="381"/>
        <v>UN</v>
      </c>
      <c r="D9857" s="7">
        <v>1300</v>
      </c>
      <c r="E9857" s="3">
        <v>13</v>
      </c>
      <c r="F9857" s="3">
        <v>13</v>
      </c>
      <c r="G9857" t="s">
        <v>513</v>
      </c>
    </row>
    <row r="9858" spans="1:7" x14ac:dyDescent="0.25">
      <c r="A9858" s="1" t="str">
        <f>"521464"</f>
        <v>521464</v>
      </c>
      <c r="B9858" s="2" t="str">
        <f>"EMPILHADEIRA TOYOTA RETRÁTIL MOD. BT RRE160 9500MM"</f>
        <v>EMPILHADEIRA TOYOTA RETRÁTIL MOD. BT RRE160 9500MM</v>
      </c>
      <c r="C9858" s="2" t="str">
        <f t="shared" si="381"/>
        <v>UN</v>
      </c>
      <c r="D9858" s="7">
        <v>1300</v>
      </c>
      <c r="E9858" s="3">
        <v>13</v>
      </c>
      <c r="F9858" s="3">
        <v>13</v>
      </c>
      <c r="G9858" t="s">
        <v>514</v>
      </c>
    </row>
    <row r="9859" spans="1:7" x14ac:dyDescent="0.25">
      <c r="A9859" s="1" t="str">
        <f>"523101"</f>
        <v>523101</v>
      </c>
      <c r="B9859" s="2" t="str">
        <f>"EMPILHADEIRA YALE 50VX, SERIE A975Y0522, GLP, CAP 2"</f>
        <v>EMPILHADEIRA YALE 50VX, SERIE A975Y0522, GLP, CAP 2</v>
      </c>
      <c r="C9859" s="2" t="str">
        <f t="shared" si="381"/>
        <v>UN</v>
      </c>
      <c r="D9859" s="7">
        <v>1300</v>
      </c>
      <c r="E9859" s="3">
        <v>13</v>
      </c>
      <c r="F9859" s="3">
        <v>13</v>
      </c>
      <c r="G9859" t="s">
        <v>514</v>
      </c>
    </row>
    <row r="9860" spans="1:7" x14ac:dyDescent="0.25">
      <c r="A9860" s="1" t="str">
        <f>"524457"</f>
        <v>524457</v>
      </c>
      <c r="B9860" s="2" t="str">
        <f>"EMULSIFICADOR Z5"</f>
        <v>EMULSIFICADOR Z5</v>
      </c>
      <c r="C9860" s="2" t="str">
        <f t="shared" si="381"/>
        <v>UN</v>
      </c>
      <c r="D9860" s="7">
        <v>1300</v>
      </c>
      <c r="E9860" s="3">
        <v>13</v>
      </c>
      <c r="F9860" s="3">
        <v>13</v>
      </c>
      <c r="G9860" t="s">
        <v>514</v>
      </c>
    </row>
    <row r="9861" spans="1:7" x14ac:dyDescent="0.25">
      <c r="A9861" s="1" t="str">
        <f>"513959"</f>
        <v>513959</v>
      </c>
      <c r="B9861" s="2" t="str">
        <f>"ENCADERNACAO"</f>
        <v>ENCADERNACAO</v>
      </c>
      <c r="C9861" s="2" t="str">
        <f t="shared" si="381"/>
        <v>UN</v>
      </c>
      <c r="D9861" s="7">
        <v>99999</v>
      </c>
      <c r="E9861" s="3">
        <v>99</v>
      </c>
      <c r="F9861" s="3">
        <v>99</v>
      </c>
      <c r="G9861" t="s">
        <v>513</v>
      </c>
    </row>
    <row r="9862" spans="1:7" x14ac:dyDescent="0.25">
      <c r="A9862" s="1" t="str">
        <f>"515262"</f>
        <v>515262</v>
      </c>
      <c r="B9862" s="2" t="str">
        <f>"ENCARTUCHADEIRA AUTOMATICA"</f>
        <v>ENCARTUCHADEIRA AUTOMATICA</v>
      </c>
      <c r="C9862" s="2" t="str">
        <f t="shared" si="381"/>
        <v>UN</v>
      </c>
      <c r="D9862" s="7">
        <v>1300</v>
      </c>
      <c r="E9862" s="3">
        <v>13</v>
      </c>
      <c r="F9862" s="3">
        <v>13</v>
      </c>
      <c r="G9862" t="s">
        <v>513</v>
      </c>
    </row>
    <row r="9863" spans="1:7" x14ac:dyDescent="0.25">
      <c r="A9863" s="1" t="str">
        <f>"515258"</f>
        <v>515258</v>
      </c>
      <c r="B9863" s="8" t="s">
        <v>53</v>
      </c>
      <c r="C9863" s="2" t="str">
        <f t="shared" si="381"/>
        <v>UN</v>
      </c>
      <c r="D9863" s="7">
        <v>1300</v>
      </c>
      <c r="E9863" s="3">
        <v>13</v>
      </c>
      <c r="F9863" s="3">
        <v>13</v>
      </c>
      <c r="G9863" t="s">
        <v>513</v>
      </c>
    </row>
    <row r="9864" spans="1:7" x14ac:dyDescent="0.25">
      <c r="A9864" s="1" t="str">
        <f>"515261"</f>
        <v>515261</v>
      </c>
      <c r="B9864" s="8" t="s">
        <v>56</v>
      </c>
      <c r="C9864" s="2" t="str">
        <f t="shared" si="381"/>
        <v>UN</v>
      </c>
      <c r="D9864" s="7">
        <v>1300</v>
      </c>
      <c r="E9864" s="3">
        <v>13</v>
      </c>
      <c r="F9864" s="3">
        <v>13</v>
      </c>
      <c r="G9864" t="s">
        <v>512</v>
      </c>
    </row>
    <row r="9865" spans="1:7" x14ac:dyDescent="0.25">
      <c r="A9865" s="1" t="str">
        <f>"515260"</f>
        <v>515260</v>
      </c>
      <c r="B9865" s="8" t="s">
        <v>55</v>
      </c>
      <c r="C9865" s="2" t="str">
        <f t="shared" si="381"/>
        <v>UN</v>
      </c>
      <c r="D9865" s="7">
        <v>1300</v>
      </c>
      <c r="E9865" s="3">
        <v>13</v>
      </c>
      <c r="F9865" s="3">
        <v>13</v>
      </c>
      <c r="G9865" t="s">
        <v>513</v>
      </c>
    </row>
    <row r="9866" spans="1:7" x14ac:dyDescent="0.25">
      <c r="A9866" s="1" t="str">
        <f>"515259"</f>
        <v>515259</v>
      </c>
      <c r="B9866" s="8" t="s">
        <v>54</v>
      </c>
      <c r="C9866" s="2" t="str">
        <f t="shared" si="381"/>
        <v>UN</v>
      </c>
      <c r="D9866" s="7">
        <v>1300</v>
      </c>
      <c r="E9866" s="3">
        <v>13</v>
      </c>
      <c r="F9866" s="3">
        <v>13</v>
      </c>
      <c r="G9866" t="s">
        <v>514</v>
      </c>
    </row>
    <row r="9867" spans="1:7" x14ac:dyDescent="0.25">
      <c r="A9867" s="1" t="str">
        <f>"510921"</f>
        <v>510921</v>
      </c>
      <c r="B9867" s="2" t="str">
        <f>"ENCHADA FUZIL 30"</f>
        <v>ENCHADA FUZIL 30</v>
      </c>
      <c r="C9867" s="2" t="str">
        <f t="shared" si="381"/>
        <v>UN</v>
      </c>
      <c r="D9867" s="7">
        <v>403</v>
      </c>
      <c r="E9867" s="3">
        <v>4</v>
      </c>
      <c r="F9867" s="3">
        <v>4</v>
      </c>
      <c r="G9867" t="s">
        <v>515</v>
      </c>
    </row>
    <row r="9868" spans="1:7" x14ac:dyDescent="0.25">
      <c r="A9868" s="1" t="str">
        <f>"512870"</f>
        <v>512870</v>
      </c>
      <c r="B9868" s="2" t="str">
        <f>"ENCHADA FUZIL 32"</f>
        <v>ENCHADA FUZIL 32</v>
      </c>
      <c r="C9868" s="2" t="str">
        <f t="shared" si="381"/>
        <v>UN</v>
      </c>
      <c r="D9868" s="7">
        <v>403</v>
      </c>
      <c r="E9868" s="3">
        <v>4</v>
      </c>
      <c r="F9868" s="3">
        <v>4</v>
      </c>
      <c r="G9868" t="s">
        <v>512</v>
      </c>
    </row>
    <row r="9869" spans="1:7" x14ac:dyDescent="0.25">
      <c r="A9869" s="1" t="str">
        <f>"500660"</f>
        <v>500660</v>
      </c>
      <c r="B9869" s="2" t="str">
        <f>"ENCHADAO FUZIL C/ CABO"</f>
        <v>ENCHADAO FUZIL C/ CABO</v>
      </c>
      <c r="C9869" s="2" t="str">
        <f t="shared" si="381"/>
        <v>UN</v>
      </c>
      <c r="D9869" s="7">
        <v>403</v>
      </c>
      <c r="E9869" s="3">
        <v>4</v>
      </c>
      <c r="F9869" s="3">
        <v>4</v>
      </c>
      <c r="G9869" t="s">
        <v>516</v>
      </c>
    </row>
    <row r="9870" spans="1:7" x14ac:dyDescent="0.25">
      <c r="A9870" s="1" t="str">
        <f>"514698"</f>
        <v>514698</v>
      </c>
      <c r="B9870" s="2" t="str">
        <f>"ENCHIMENTO FRONTAL"</f>
        <v>ENCHIMENTO FRONTAL</v>
      </c>
      <c r="C9870" s="2" t="str">
        <f t="shared" si="381"/>
        <v>UN</v>
      </c>
      <c r="D9870" s="7">
        <v>704</v>
      </c>
      <c r="E9870" s="3">
        <v>9</v>
      </c>
      <c r="F9870" s="3">
        <v>9</v>
      </c>
      <c r="G9870" t="s">
        <v>515</v>
      </c>
    </row>
    <row r="9871" spans="1:7" x14ac:dyDescent="0.25">
      <c r="A9871" s="1" t="str">
        <f>"509797"</f>
        <v>509797</v>
      </c>
      <c r="B9871" s="2" t="str">
        <f>"ENCODER 5820-0912-1000 (BANDEJA DINIEPER)"</f>
        <v>ENCODER 5820-0912-1000 (BANDEJA DINIEPER)</v>
      </c>
      <c r="C9871" s="2" t="str">
        <f>"PC"</f>
        <v>PC</v>
      </c>
      <c r="D9871" s="7">
        <v>918</v>
      </c>
      <c r="E9871" s="3">
        <v>11</v>
      </c>
      <c r="F9871" s="3">
        <v>11</v>
      </c>
      <c r="G9871" t="s">
        <v>514</v>
      </c>
    </row>
    <row r="9872" spans="1:7" x14ac:dyDescent="0.25">
      <c r="A9872" s="1" t="str">
        <f>"516857"</f>
        <v>516857</v>
      </c>
      <c r="B9872" s="2" t="str">
        <f>"ENCODER C/ CONECTOR COD. CO-04045 OP10/1/1433/59"</f>
        <v>ENCODER C/ CONECTOR COD. CO-04045 OP10/1/1433/59</v>
      </c>
      <c r="C9872" s="2" t="str">
        <f>"UN"</f>
        <v>UN</v>
      </c>
      <c r="D9872" s="7">
        <v>900</v>
      </c>
      <c r="E9872" s="3">
        <v>11</v>
      </c>
      <c r="F9872" s="3">
        <v>11</v>
      </c>
      <c r="G9872" t="s">
        <v>512</v>
      </c>
    </row>
    <row r="9873" spans="1:7" x14ac:dyDescent="0.25">
      <c r="A9873" s="1" t="str">
        <f>"522520"</f>
        <v>522520</v>
      </c>
      <c r="B9873" s="8" t="s">
        <v>302</v>
      </c>
      <c r="C9873" s="2" t="str">
        <f>"UN"</f>
        <v>UN</v>
      </c>
      <c r="D9873" s="7">
        <v>600</v>
      </c>
      <c r="E9873" s="3">
        <v>10</v>
      </c>
      <c r="F9873" s="3">
        <v>10</v>
      </c>
      <c r="G9873" t="s">
        <v>513</v>
      </c>
    </row>
    <row r="9874" spans="1:7" x14ac:dyDescent="0.25">
      <c r="A9874" s="1" t="str">
        <f>"513980"</f>
        <v>513980</v>
      </c>
      <c r="B9874" s="2" t="str">
        <f>"ENCODER DKS40 E5J00360"</f>
        <v>ENCODER DKS40 E5J00360</v>
      </c>
      <c r="C9874" s="2" t="str">
        <f>"UN"</f>
        <v>UN</v>
      </c>
      <c r="D9874" s="7">
        <v>918</v>
      </c>
      <c r="E9874" s="3">
        <v>11</v>
      </c>
      <c r="F9874" s="3">
        <v>11</v>
      </c>
      <c r="G9874" t="s">
        <v>514</v>
      </c>
    </row>
    <row r="9875" spans="1:7" x14ac:dyDescent="0.25">
      <c r="A9875" s="1" t="str">
        <f>"512465"</f>
        <v>512465</v>
      </c>
      <c r="B9875" s="2" t="str">
        <f>"ENCODER HOHNER 39085 11/8 651010120256"</f>
        <v>ENCODER HOHNER 39085 11/8 651010120256</v>
      </c>
      <c r="C9875" s="2" t="str">
        <f>"PC"</f>
        <v>PC</v>
      </c>
      <c r="D9875" s="7">
        <v>918</v>
      </c>
      <c r="E9875" s="3">
        <v>11</v>
      </c>
      <c r="F9875" s="3">
        <v>11</v>
      </c>
      <c r="G9875" t="s">
        <v>514</v>
      </c>
    </row>
    <row r="9876" spans="1:7" x14ac:dyDescent="0.25">
      <c r="A9876" s="1" t="str">
        <f>"500746"</f>
        <v>500746</v>
      </c>
      <c r="B9876" s="2" t="str">
        <f>"ENCODER HOHNER IH37N1000"</f>
        <v>ENCODER HOHNER IH37N1000</v>
      </c>
      <c r="C9876" s="2" t="str">
        <f t="shared" ref="C9876:C9893" si="382">"UN"</f>
        <v>UN</v>
      </c>
      <c r="D9876" s="7">
        <v>918</v>
      </c>
      <c r="E9876" s="3">
        <v>11</v>
      </c>
      <c r="F9876" s="3">
        <v>11</v>
      </c>
      <c r="G9876" t="s">
        <v>512</v>
      </c>
    </row>
    <row r="9877" spans="1:7" x14ac:dyDescent="0.25">
      <c r="A9877" s="1" t="str">
        <f>"520240"</f>
        <v>520240</v>
      </c>
      <c r="B9877" s="2" t="str">
        <f>"ENCODER INCREMENTAL DYNAPAR B58N0360KABC00"</f>
        <v>ENCODER INCREMENTAL DYNAPAR B58N0360KABC00</v>
      </c>
      <c r="C9877" s="2" t="str">
        <f t="shared" si="382"/>
        <v>UN</v>
      </c>
      <c r="D9877" s="7">
        <v>918</v>
      </c>
      <c r="E9877" s="3">
        <v>11</v>
      </c>
      <c r="F9877" s="3">
        <v>11</v>
      </c>
      <c r="G9877" t="s">
        <v>513</v>
      </c>
    </row>
    <row r="9878" spans="1:7" x14ac:dyDescent="0.25">
      <c r="A9878" s="1" t="str">
        <f>"528080"</f>
        <v>528080</v>
      </c>
      <c r="B9878" s="2" t="str">
        <f>"ENCODER P/ EMPILHADEIRA"</f>
        <v>ENCODER P/ EMPILHADEIRA</v>
      </c>
      <c r="C9878" s="2" t="str">
        <f t="shared" si="382"/>
        <v>UN</v>
      </c>
      <c r="D9878" s="7">
        <v>918</v>
      </c>
      <c r="E9878" s="3">
        <v>11</v>
      </c>
      <c r="F9878" s="3">
        <v>11</v>
      </c>
      <c r="G9878" t="s">
        <v>514</v>
      </c>
    </row>
    <row r="9879" spans="1:7" x14ac:dyDescent="0.25">
      <c r="A9879" s="1" t="str">
        <f>"511006"</f>
        <v>511006</v>
      </c>
      <c r="B9879" s="2" t="str">
        <f>"ENCOSTO ESPUMA DIRETOR"</f>
        <v>ENCOSTO ESPUMA DIRETOR</v>
      </c>
      <c r="C9879" s="2" t="str">
        <f t="shared" si="382"/>
        <v>UN</v>
      </c>
      <c r="D9879" s="7">
        <v>401</v>
      </c>
      <c r="E9879" s="3">
        <v>4</v>
      </c>
      <c r="F9879" s="3">
        <v>4</v>
      </c>
      <c r="G9879" t="s">
        <v>514</v>
      </c>
    </row>
    <row r="9880" spans="1:7" x14ac:dyDescent="0.25">
      <c r="A9880" s="1" t="str">
        <f>"513342"</f>
        <v>513342</v>
      </c>
      <c r="B9880" s="2" t="str">
        <f>"END. SKYMIX PU SKYLACK"</f>
        <v>END. SKYMIX PU SKYLACK</v>
      </c>
      <c r="C9880" s="2" t="str">
        <f t="shared" si="382"/>
        <v>UN</v>
      </c>
      <c r="D9880" s="7">
        <v>804</v>
      </c>
      <c r="E9880" s="3">
        <v>10</v>
      </c>
      <c r="F9880" s="3">
        <v>10</v>
      </c>
      <c r="G9880" t="s">
        <v>514</v>
      </c>
    </row>
    <row r="9881" spans="1:7" x14ac:dyDescent="0.25">
      <c r="A9881" s="1" t="str">
        <f>"518982"</f>
        <v>518982</v>
      </c>
      <c r="B9881" s="2" t="str">
        <f>"END. VERNIZ 2K 150ML"</f>
        <v>END. VERNIZ 2K 150ML</v>
      </c>
      <c r="C9881" s="2" t="str">
        <f t="shared" si="382"/>
        <v>UN</v>
      </c>
      <c r="D9881" s="7">
        <v>812</v>
      </c>
      <c r="E9881" s="3">
        <v>4</v>
      </c>
      <c r="F9881" s="3">
        <v>4</v>
      </c>
      <c r="G9881" t="s">
        <v>513</v>
      </c>
    </row>
    <row r="9882" spans="1:7" x14ac:dyDescent="0.25">
      <c r="A9882" s="1" t="str">
        <f>"521051"</f>
        <v>521051</v>
      </c>
      <c r="B9882" s="2" t="str">
        <f>"ENDURECEDOR 0.9LT PPG IN601 INDUSTRAN"</f>
        <v>ENDURECEDOR 0.9LT PPG IN601 INDUSTRAN</v>
      </c>
      <c r="C9882" s="2" t="str">
        <f t="shared" si="382"/>
        <v>UN</v>
      </c>
      <c r="D9882" s="7">
        <v>804</v>
      </c>
      <c r="E9882" s="3">
        <v>10</v>
      </c>
      <c r="F9882" s="3">
        <v>10</v>
      </c>
      <c r="G9882" t="s">
        <v>512</v>
      </c>
    </row>
    <row r="9883" spans="1:7" x14ac:dyDescent="0.25">
      <c r="A9883" s="1" t="str">
        <f>"515990"</f>
        <v>515990</v>
      </c>
      <c r="B9883" s="2" t="str">
        <f>"ENDURECEDOR 900ML"</f>
        <v>ENDURECEDOR 900ML</v>
      </c>
      <c r="C9883" s="2" t="str">
        <f t="shared" si="382"/>
        <v>UN</v>
      </c>
      <c r="D9883" s="7">
        <v>99999</v>
      </c>
      <c r="E9883" s="3">
        <v>10</v>
      </c>
      <c r="F9883" s="3">
        <v>10</v>
      </c>
      <c r="G9883" t="s">
        <v>513</v>
      </c>
    </row>
    <row r="9884" spans="1:7" x14ac:dyDescent="0.25">
      <c r="A9884" s="1" t="str">
        <f>"523377"</f>
        <v>523377</v>
      </c>
      <c r="B9884" s="2" t="str">
        <f>"ENDURECEDOR DE SUPERFICIE QUIMICO"</f>
        <v>ENDURECEDOR DE SUPERFICIE QUIMICO</v>
      </c>
      <c r="C9884" s="2" t="str">
        <f t="shared" si="382"/>
        <v>UN</v>
      </c>
      <c r="D9884" s="7">
        <v>803</v>
      </c>
      <c r="E9884" s="3">
        <v>10</v>
      </c>
      <c r="F9884" s="3">
        <v>10</v>
      </c>
      <c r="G9884" t="s">
        <v>514</v>
      </c>
    </row>
    <row r="9885" spans="1:7" x14ac:dyDescent="0.25">
      <c r="A9885" s="1" t="str">
        <f>"515357"</f>
        <v>515357</v>
      </c>
      <c r="B9885" s="2" t="str">
        <f>"ENERGETICO"</f>
        <v>ENERGETICO</v>
      </c>
      <c r="C9885" s="2" t="str">
        <f t="shared" si="382"/>
        <v>UN</v>
      </c>
      <c r="D9885" s="7">
        <v>401</v>
      </c>
      <c r="E9885" s="3">
        <v>4</v>
      </c>
      <c r="F9885" s="3">
        <v>4</v>
      </c>
      <c r="G9885" t="s">
        <v>514</v>
      </c>
    </row>
    <row r="9886" spans="1:7" x14ac:dyDescent="0.25">
      <c r="A9886" s="1" t="str">
        <f>"510248"</f>
        <v>510248</v>
      </c>
      <c r="B9886" s="2" t="str">
        <f>"ENERGIA ELETRICA - FABRICA"</f>
        <v>ENERGIA ELETRICA - FABRICA</v>
      </c>
      <c r="C9886" s="2" t="str">
        <f t="shared" si="382"/>
        <v>UN</v>
      </c>
      <c r="D9886" s="7">
        <v>99999</v>
      </c>
      <c r="E9886" s="3">
        <v>4</v>
      </c>
      <c r="F9886" s="3">
        <v>4</v>
      </c>
      <c r="G9886" t="s">
        <v>514</v>
      </c>
    </row>
    <row r="9887" spans="1:7" x14ac:dyDescent="0.25">
      <c r="A9887" s="1" t="str">
        <f>"517790"</f>
        <v>517790</v>
      </c>
      <c r="B9887" s="2" t="str">
        <f>"ENERGSOL PLUS 220V"</f>
        <v>ENERGSOL PLUS 220V</v>
      </c>
      <c r="C9887" s="2" t="str">
        <f t="shared" si="382"/>
        <v>UN</v>
      </c>
      <c r="D9887" s="7">
        <v>811</v>
      </c>
      <c r="E9887" s="3">
        <v>8</v>
      </c>
      <c r="F9887" s="3">
        <v>8</v>
      </c>
      <c r="G9887" t="s">
        <v>513</v>
      </c>
    </row>
    <row r="9888" spans="1:7" x14ac:dyDescent="0.25">
      <c r="A9888" s="1" t="str">
        <f>"514781"</f>
        <v>514781</v>
      </c>
      <c r="B9888" s="2" t="str">
        <f>"ENFEITE NATAL"</f>
        <v>ENFEITE NATAL</v>
      </c>
      <c r="C9888" s="2" t="str">
        <f t="shared" si="382"/>
        <v>UN</v>
      </c>
      <c r="D9888" s="7">
        <v>401</v>
      </c>
      <c r="E9888" s="3">
        <v>4</v>
      </c>
      <c r="F9888" s="3">
        <v>4</v>
      </c>
      <c r="G9888" t="s">
        <v>513</v>
      </c>
    </row>
    <row r="9889" spans="1:7" x14ac:dyDescent="0.25">
      <c r="A9889" s="1" t="str">
        <f>"514135"</f>
        <v>514135</v>
      </c>
      <c r="B9889" s="2" t="str">
        <f>"ENGATE DO REBOQUE"</f>
        <v>ENGATE DO REBOQUE</v>
      </c>
      <c r="C9889" s="2" t="str">
        <f t="shared" si="382"/>
        <v>UN</v>
      </c>
      <c r="D9889" s="7">
        <v>704</v>
      </c>
      <c r="E9889" s="3">
        <v>9</v>
      </c>
      <c r="F9889" s="3">
        <v>9</v>
      </c>
      <c r="G9889" t="s">
        <v>513</v>
      </c>
    </row>
    <row r="9890" spans="1:7" x14ac:dyDescent="0.25">
      <c r="A9890" s="1" t="str">
        <f>"514409"</f>
        <v>514409</v>
      </c>
      <c r="B9890" s="2" t="str">
        <f>"ENGATE FLEXIVEL 40CM"</f>
        <v>ENGATE FLEXIVEL 40CM</v>
      </c>
      <c r="C9890" s="2" t="str">
        <f t="shared" si="382"/>
        <v>UN</v>
      </c>
      <c r="D9890" s="7">
        <v>803</v>
      </c>
      <c r="E9890" s="3">
        <v>4</v>
      </c>
      <c r="F9890" s="3">
        <v>4</v>
      </c>
      <c r="G9890" t="s">
        <v>512</v>
      </c>
    </row>
    <row r="9891" spans="1:7" x14ac:dyDescent="0.25">
      <c r="A9891" s="1" t="str">
        <f>"523696"</f>
        <v>523696</v>
      </c>
      <c r="B9891" s="2" t="str">
        <f>"ENGATE FLEXIVEL CROMADO P/ DUCHA HIGIENICA 1/2"" 1,2MT"</f>
        <v>ENGATE FLEXIVEL CROMADO P/ DUCHA HIGIENICA 1/2" 1,2MT</v>
      </c>
      <c r="C9891" s="2" t="str">
        <f t="shared" si="382"/>
        <v>UN</v>
      </c>
      <c r="D9891" s="7">
        <v>803</v>
      </c>
      <c r="E9891" s="3">
        <v>4</v>
      </c>
      <c r="F9891" s="3">
        <v>4</v>
      </c>
      <c r="G9891" t="s">
        <v>513</v>
      </c>
    </row>
    <row r="9892" spans="1:7" x14ac:dyDescent="0.25">
      <c r="A9892" s="1" t="str">
        <f>"514151"</f>
        <v>514151</v>
      </c>
      <c r="B9892" s="2" t="str">
        <f>"ENGATE RAPIDO 1/4"</f>
        <v>ENGATE RAPIDO 1/4</v>
      </c>
      <c r="C9892" s="2" t="str">
        <f t="shared" si="382"/>
        <v>UN</v>
      </c>
      <c r="D9892" s="7">
        <v>704</v>
      </c>
      <c r="E9892" s="3">
        <v>9</v>
      </c>
      <c r="F9892" s="3">
        <v>9</v>
      </c>
      <c r="G9892" t="s">
        <v>514</v>
      </c>
    </row>
    <row r="9893" spans="1:7" x14ac:dyDescent="0.25">
      <c r="A9893" s="1" t="str">
        <f>"521563"</f>
        <v>521563</v>
      </c>
      <c r="B9893" s="2" t="str">
        <f>"ENGATE RAPIDO 3"" AI 304 ESPIGA 3"""</f>
        <v>ENGATE RAPIDO 3" AI 304 ESPIGA 3"</v>
      </c>
      <c r="C9893" s="2" t="str">
        <f t="shared" si="382"/>
        <v>UN</v>
      </c>
      <c r="D9893" s="7">
        <v>918</v>
      </c>
      <c r="E9893" s="3">
        <v>10</v>
      </c>
      <c r="F9893" s="3">
        <v>10</v>
      </c>
      <c r="G9893" t="s">
        <v>515</v>
      </c>
    </row>
    <row r="9894" spans="1:7" x14ac:dyDescent="0.25">
      <c r="A9894" s="1" t="str">
        <f>"502208"</f>
        <v>502208</v>
      </c>
      <c r="B9894" s="2" t="str">
        <f>"ENGATE RAPIDO FEMEA 1/4 ROSCA MACHO 1/4"""</f>
        <v>ENGATE RAPIDO FEMEA 1/4 ROSCA MACHO 1/4"</v>
      </c>
      <c r="C9894" s="2" t="str">
        <f>"BR"</f>
        <v>BR</v>
      </c>
      <c r="D9894" s="7">
        <v>808</v>
      </c>
      <c r="E9894" s="3">
        <v>10</v>
      </c>
      <c r="F9894" s="3">
        <v>10</v>
      </c>
      <c r="G9894" t="s">
        <v>512</v>
      </c>
    </row>
    <row r="9895" spans="1:7" x14ac:dyDescent="0.25">
      <c r="A9895" s="1" t="str">
        <f>"514004"</f>
        <v>514004</v>
      </c>
      <c r="B9895" s="2" t="str">
        <f>"ENGATE RAPIDO FEMEA ORIGO"</f>
        <v>ENGATE RAPIDO FEMEA ORIGO</v>
      </c>
      <c r="C9895" s="2" t="str">
        <f>"UN"</f>
        <v>UN</v>
      </c>
      <c r="D9895" s="7">
        <v>811</v>
      </c>
      <c r="E9895" s="3">
        <v>8</v>
      </c>
      <c r="F9895" s="3">
        <v>8</v>
      </c>
      <c r="G9895" t="s">
        <v>516</v>
      </c>
    </row>
    <row r="9896" spans="1:7" x14ac:dyDescent="0.25">
      <c r="A9896" s="1" t="str">
        <f>"500789"</f>
        <v>500789</v>
      </c>
      <c r="B9896" s="2" t="str">
        <f>"ENGATE RAPIDO KD-1/8"" FEMEA"</f>
        <v>ENGATE RAPIDO KD-1/8" FEMEA</v>
      </c>
      <c r="C9896" s="2" t="str">
        <f>"BR"</f>
        <v>BR</v>
      </c>
      <c r="D9896" s="7">
        <v>808</v>
      </c>
      <c r="E9896" s="3">
        <v>10</v>
      </c>
      <c r="F9896" s="3">
        <v>10</v>
      </c>
      <c r="G9896" t="s">
        <v>515</v>
      </c>
    </row>
    <row r="9897" spans="1:7" x14ac:dyDescent="0.25">
      <c r="A9897" s="1" t="str">
        <f>"500791"</f>
        <v>500791</v>
      </c>
      <c r="B9897" s="2" t="str">
        <f>"ENGATE RAPIDO KD-3/8"" FEMEA"</f>
        <v>ENGATE RAPIDO KD-3/8" FEMEA</v>
      </c>
      <c r="C9897" s="2" t="str">
        <f>"BR"</f>
        <v>BR</v>
      </c>
      <c r="D9897" s="7">
        <v>808</v>
      </c>
      <c r="E9897" s="3">
        <v>10</v>
      </c>
      <c r="F9897" s="3">
        <v>10</v>
      </c>
      <c r="G9897" t="s">
        <v>514</v>
      </c>
    </row>
    <row r="9898" spans="1:7" x14ac:dyDescent="0.25">
      <c r="A9898" s="1" t="str">
        <f>"500792"</f>
        <v>500792</v>
      </c>
      <c r="B9898" s="2" t="str">
        <f>"ENGATE RAPIDO KS-3/8"" MACHO"</f>
        <v>ENGATE RAPIDO KS-3/8" MACHO</v>
      </c>
      <c r="C9898" s="2" t="str">
        <f>"BR"</f>
        <v>BR</v>
      </c>
      <c r="D9898" s="7">
        <v>808</v>
      </c>
      <c r="E9898" s="3">
        <v>10</v>
      </c>
      <c r="F9898" s="3">
        <v>10</v>
      </c>
      <c r="G9898" t="s">
        <v>512</v>
      </c>
    </row>
    <row r="9899" spans="1:7" x14ac:dyDescent="0.25">
      <c r="A9899" s="1" t="str">
        <f>"500790"</f>
        <v>500790</v>
      </c>
      <c r="B9899" s="2" t="str">
        <f>"ENGATE RAPIDO KS-PK-6-1/8"" MACHO"</f>
        <v>ENGATE RAPIDO KS-PK-6-1/8" MACHO</v>
      </c>
      <c r="C9899" s="2" t="str">
        <f>"BR"</f>
        <v>BR</v>
      </c>
      <c r="D9899" s="7">
        <v>808</v>
      </c>
      <c r="E9899" s="3">
        <v>10</v>
      </c>
      <c r="F9899" s="3">
        <v>10</v>
      </c>
      <c r="G9899" t="s">
        <v>513</v>
      </c>
    </row>
    <row r="9900" spans="1:7" x14ac:dyDescent="0.25">
      <c r="A9900" s="1" t="str">
        <f>"514003"</f>
        <v>514003</v>
      </c>
      <c r="B9900" s="2" t="str">
        <f>"ENGATE RAPIDO MACHO 09MM CABO"</f>
        <v>ENGATE RAPIDO MACHO 09MM CABO</v>
      </c>
      <c r="C9900" s="2" t="str">
        <f>"UN"</f>
        <v>UN</v>
      </c>
      <c r="D9900" s="7">
        <v>811</v>
      </c>
      <c r="E9900" s="3">
        <v>8</v>
      </c>
      <c r="F9900" s="3">
        <v>8</v>
      </c>
      <c r="G9900" t="s">
        <v>514</v>
      </c>
    </row>
    <row r="9901" spans="1:7" x14ac:dyDescent="0.25">
      <c r="A9901" s="1" t="str">
        <f>"502017"</f>
        <v>502017</v>
      </c>
      <c r="B9901" s="2" t="str">
        <f>"ENGATE RAPIDO MACHO P/ AR 1/4 FF"</f>
        <v>ENGATE RAPIDO MACHO P/ AR 1/4 FF</v>
      </c>
      <c r="C9901" s="2" t="str">
        <f>"BR"</f>
        <v>BR</v>
      </c>
      <c r="D9901" s="7">
        <v>808</v>
      </c>
      <c r="E9901" s="3">
        <v>10</v>
      </c>
      <c r="F9901" s="3">
        <v>10</v>
      </c>
      <c r="G9901" t="s">
        <v>514</v>
      </c>
    </row>
    <row r="9902" spans="1:7" x14ac:dyDescent="0.25">
      <c r="A9902" s="1" t="str">
        <f>"504340"</f>
        <v>504340</v>
      </c>
      <c r="B9902" s="2" t="str">
        <f>"ENGATE RAPIDO MAO DE AMIGO MODERNO"</f>
        <v>ENGATE RAPIDO MAO DE AMIGO MODERNO</v>
      </c>
      <c r="C9902" s="2" t="str">
        <f t="shared" ref="C9902:C9913" si="383">"UN"</f>
        <v>UN</v>
      </c>
      <c r="D9902" s="7">
        <v>704</v>
      </c>
      <c r="E9902" s="3">
        <v>9</v>
      </c>
      <c r="F9902" s="3">
        <v>9</v>
      </c>
      <c r="G9902" t="s">
        <v>512</v>
      </c>
    </row>
    <row r="9903" spans="1:7" x14ac:dyDescent="0.25">
      <c r="A9903" s="1" t="str">
        <f>"527379"</f>
        <v>527379</v>
      </c>
      <c r="B9903" s="2" t="str">
        <f>"ENGATE RAPIDO PVC PARA MANGUEIRA 1/2 (AGUA)"</f>
        <v>ENGATE RAPIDO PVC PARA MANGUEIRA 1/2 (AGUA)</v>
      </c>
      <c r="C9903" s="2" t="str">
        <f t="shared" si="383"/>
        <v>UN</v>
      </c>
      <c r="D9903" s="7">
        <v>919</v>
      </c>
      <c r="E9903" s="3">
        <v>10</v>
      </c>
      <c r="F9903" s="3">
        <v>10</v>
      </c>
      <c r="G9903" t="s">
        <v>513</v>
      </c>
    </row>
    <row r="9904" spans="1:7" x14ac:dyDescent="0.25">
      <c r="A9904" s="1" t="str">
        <f>"527763"</f>
        <v>527763</v>
      </c>
      <c r="B9904" s="2" t="str">
        <f>"ENGATE RAPIDO PVC PARA MANGUEIRA 3/4 (AGUA)"</f>
        <v>ENGATE RAPIDO PVC PARA MANGUEIRA 3/4 (AGUA)</v>
      </c>
      <c r="C9904" s="2" t="str">
        <f t="shared" si="383"/>
        <v>UN</v>
      </c>
      <c r="D9904" s="7">
        <v>919</v>
      </c>
      <c r="E9904" s="3">
        <v>10</v>
      </c>
      <c r="F9904" s="3">
        <v>10</v>
      </c>
      <c r="G9904" t="s">
        <v>514</v>
      </c>
    </row>
    <row r="9905" spans="1:7" x14ac:dyDescent="0.25">
      <c r="A9905" s="1" t="str">
        <f>"502296"</f>
        <v>502296</v>
      </c>
      <c r="B9905" s="2" t="str">
        <f>"ENGRAXADEIRA"</f>
        <v>ENGRAXADEIRA</v>
      </c>
      <c r="C9905" s="2" t="str">
        <f t="shared" si="383"/>
        <v>UN</v>
      </c>
      <c r="D9905" s="7">
        <v>402</v>
      </c>
      <c r="E9905" s="3">
        <v>4</v>
      </c>
      <c r="F9905" s="3">
        <v>4</v>
      </c>
      <c r="G9905" t="s">
        <v>514</v>
      </c>
    </row>
    <row r="9906" spans="1:7" x14ac:dyDescent="0.25">
      <c r="A9906" s="1" t="str">
        <f>"502297"</f>
        <v>502297</v>
      </c>
      <c r="B9906" s="2" t="str">
        <f>"ENGRAXADEIRA MANUAL 7KG C/ MANGUEIRA 300PSI"</f>
        <v>ENGRAXADEIRA MANUAL 7KG C/ MANGUEIRA 300PSI</v>
      </c>
      <c r="C9906" s="2" t="str">
        <f t="shared" si="383"/>
        <v>UN</v>
      </c>
      <c r="D9906" s="7">
        <v>402</v>
      </c>
      <c r="E9906" s="3">
        <v>4</v>
      </c>
      <c r="F9906" s="3">
        <v>4</v>
      </c>
      <c r="G9906" t="s">
        <v>514</v>
      </c>
    </row>
    <row r="9907" spans="1:7" x14ac:dyDescent="0.25">
      <c r="A9907" s="1" t="str">
        <f>"514258"</f>
        <v>514258</v>
      </c>
      <c r="B9907" s="2" t="str">
        <f>"ENGRENAGEM"</f>
        <v>ENGRENAGEM</v>
      </c>
      <c r="C9907" s="2" t="str">
        <f t="shared" si="383"/>
        <v>UN</v>
      </c>
      <c r="D9907" s="7">
        <v>402</v>
      </c>
      <c r="E9907" s="3">
        <v>8</v>
      </c>
      <c r="F9907" s="3">
        <v>8</v>
      </c>
      <c r="G9907" t="s">
        <v>513</v>
      </c>
    </row>
    <row r="9908" spans="1:7" x14ac:dyDescent="0.25">
      <c r="A9908" s="1" t="str">
        <f>"512186"</f>
        <v>512186</v>
      </c>
      <c r="B9908" s="2" t="str">
        <f>"ENGRENAGEM 1.35.15 ASA"</f>
        <v>ENGRENAGEM 1.35.15 ASA</v>
      </c>
      <c r="C9908" s="2" t="str">
        <f t="shared" si="383"/>
        <v>UN</v>
      </c>
      <c r="D9908" s="7">
        <v>918</v>
      </c>
      <c r="E9908" s="3">
        <v>11</v>
      </c>
      <c r="F9908" s="3">
        <v>11</v>
      </c>
      <c r="G9908" t="s">
        <v>512</v>
      </c>
    </row>
    <row r="9909" spans="1:7" x14ac:dyDescent="0.25">
      <c r="A9909" s="1" t="str">
        <f>"512185"</f>
        <v>512185</v>
      </c>
      <c r="B9909" s="2" t="str">
        <f>"ENGRENAGEM 1.35.15 AT1 SIMPLES 3/8"""</f>
        <v>ENGRENAGEM 1.35.15 AT1 SIMPLES 3/8"</v>
      </c>
      <c r="C9909" s="2" t="str">
        <f t="shared" si="383"/>
        <v>UN</v>
      </c>
      <c r="D9909" s="7">
        <v>918</v>
      </c>
      <c r="E9909" s="3">
        <v>11</v>
      </c>
      <c r="F9909" s="3">
        <v>11</v>
      </c>
      <c r="G9909" t="s">
        <v>513</v>
      </c>
    </row>
    <row r="9910" spans="1:7" x14ac:dyDescent="0.25">
      <c r="A9910" s="1" t="str">
        <f>"512187"</f>
        <v>512187</v>
      </c>
      <c r="B9910" s="2" t="str">
        <f>"ENGRENAGEM 1.35.16 ASA"</f>
        <v>ENGRENAGEM 1.35.16 ASA</v>
      </c>
      <c r="C9910" s="2" t="str">
        <f t="shared" si="383"/>
        <v>UN</v>
      </c>
      <c r="D9910" s="7">
        <v>918</v>
      </c>
      <c r="E9910" s="3">
        <v>11</v>
      </c>
      <c r="F9910" s="3">
        <v>11</v>
      </c>
      <c r="G9910" t="s">
        <v>514</v>
      </c>
    </row>
    <row r="9911" spans="1:7" x14ac:dyDescent="0.25">
      <c r="A9911" s="1" t="str">
        <f>"512188"</f>
        <v>512188</v>
      </c>
      <c r="B9911" s="2" t="str">
        <f>"ENGRENAGEM 1.35.18 ASA"</f>
        <v>ENGRENAGEM 1.35.18 ASA</v>
      </c>
      <c r="C9911" s="2" t="str">
        <f t="shared" si="383"/>
        <v>UN</v>
      </c>
      <c r="D9911" s="7">
        <v>918</v>
      </c>
      <c r="E9911" s="3">
        <v>11</v>
      </c>
      <c r="F9911" s="3">
        <v>11</v>
      </c>
      <c r="G9911" t="s">
        <v>514</v>
      </c>
    </row>
    <row r="9912" spans="1:7" x14ac:dyDescent="0.25">
      <c r="A9912" s="1" t="str">
        <f>"512190"</f>
        <v>512190</v>
      </c>
      <c r="B9912" s="2" t="str">
        <f>"ENGRENAGEM 1.35.20 ASA"</f>
        <v>ENGRENAGEM 1.35.20 ASA</v>
      </c>
      <c r="C9912" s="2" t="str">
        <f t="shared" si="383"/>
        <v>UN</v>
      </c>
      <c r="D9912" s="7">
        <v>918</v>
      </c>
      <c r="E9912" s="3">
        <v>11</v>
      </c>
      <c r="F9912" s="3">
        <v>11</v>
      </c>
      <c r="G9912" t="s">
        <v>514</v>
      </c>
    </row>
    <row r="9913" spans="1:7" x14ac:dyDescent="0.25">
      <c r="A9913" s="1" t="str">
        <f>"512189"</f>
        <v>512189</v>
      </c>
      <c r="B9913" s="2" t="str">
        <f>"ENGRENAGEM 1.35.22 ASA"</f>
        <v>ENGRENAGEM 1.35.22 ASA</v>
      </c>
      <c r="C9913" s="2" t="str">
        <f t="shared" si="383"/>
        <v>UN</v>
      </c>
      <c r="D9913" s="7">
        <v>918</v>
      </c>
      <c r="E9913" s="3">
        <v>11</v>
      </c>
      <c r="F9913" s="3">
        <v>11</v>
      </c>
      <c r="G9913" t="s">
        <v>513</v>
      </c>
    </row>
    <row r="9914" spans="1:7" x14ac:dyDescent="0.25">
      <c r="A9914" s="1" t="str">
        <f>"522033"</f>
        <v>522033</v>
      </c>
      <c r="B9914" s="8" t="s">
        <v>276</v>
      </c>
      <c r="C9914" s="2" t="str">
        <f>"PÇ"</f>
        <v>PÇ</v>
      </c>
      <c r="D9914" s="7">
        <v>918</v>
      </c>
      <c r="E9914" s="3">
        <v>11</v>
      </c>
      <c r="F9914" s="3">
        <v>11</v>
      </c>
      <c r="G9914" t="s">
        <v>513</v>
      </c>
    </row>
    <row r="9915" spans="1:7" x14ac:dyDescent="0.25">
      <c r="A9915" s="1" t="str">
        <f>"510226"</f>
        <v>510226</v>
      </c>
      <c r="B9915" s="8" t="s">
        <v>24</v>
      </c>
      <c r="C9915" s="2" t="str">
        <f>"UN"</f>
        <v>UN</v>
      </c>
      <c r="D9915" s="7">
        <v>918</v>
      </c>
      <c r="E9915" s="3">
        <v>11</v>
      </c>
      <c r="F9915" s="3">
        <v>11</v>
      </c>
      <c r="G9915" t="s">
        <v>513</v>
      </c>
    </row>
    <row r="9916" spans="1:7" x14ac:dyDescent="0.25">
      <c r="A9916" s="1" t="str">
        <f>"522034"</f>
        <v>522034</v>
      </c>
      <c r="B9916" s="8" t="s">
        <v>277</v>
      </c>
      <c r="C9916" s="2" t="str">
        <f>"PÇ"</f>
        <v>PÇ</v>
      </c>
      <c r="D9916" s="7">
        <v>918</v>
      </c>
      <c r="E9916" s="3">
        <v>11</v>
      </c>
      <c r="F9916" s="3">
        <v>11</v>
      </c>
      <c r="G9916" t="s">
        <v>512</v>
      </c>
    </row>
    <row r="9917" spans="1:7" x14ac:dyDescent="0.25">
      <c r="A9917" s="1" t="str">
        <f>"522035"</f>
        <v>522035</v>
      </c>
      <c r="B9917" s="8" t="s">
        <v>278</v>
      </c>
      <c r="C9917" s="2" t="str">
        <f>"PÇ"</f>
        <v>PÇ</v>
      </c>
      <c r="D9917" s="7">
        <v>918</v>
      </c>
      <c r="E9917" s="3">
        <v>11</v>
      </c>
      <c r="F9917" s="3">
        <v>11</v>
      </c>
      <c r="G9917" t="s">
        <v>513</v>
      </c>
    </row>
    <row r="9918" spans="1:7" x14ac:dyDescent="0.25">
      <c r="A9918" s="1" t="str">
        <f>"520378"</f>
        <v>520378</v>
      </c>
      <c r="B9918" s="2" t="str">
        <f>"ENGRENAGEM 881TAB/A6000 Z21 DF 25MM C/C 2401PBI"</f>
        <v>ENGRENAGEM 881TAB/A6000 Z21 DF 25MM C/C 2401PBI</v>
      </c>
      <c r="C9918" s="2" t="str">
        <f t="shared" ref="C9918:C9936" si="384">"UN"</f>
        <v>UN</v>
      </c>
      <c r="D9918" s="7">
        <v>918</v>
      </c>
      <c r="E9918" s="3">
        <v>11</v>
      </c>
      <c r="F9918" s="3">
        <v>11</v>
      </c>
      <c r="G9918" t="s">
        <v>514</v>
      </c>
    </row>
    <row r="9919" spans="1:7" x14ac:dyDescent="0.25">
      <c r="A9919" s="1" t="str">
        <f>"519705"</f>
        <v>519705</v>
      </c>
      <c r="B9919" s="2" t="str">
        <f>"ENGRENAGEM ASA 50 30 DENTES"</f>
        <v>ENGRENAGEM ASA 50 30 DENTES</v>
      </c>
      <c r="C9919" s="2" t="str">
        <f t="shared" si="384"/>
        <v>UN</v>
      </c>
      <c r="D9919" s="7">
        <v>918</v>
      </c>
      <c r="E9919" s="3">
        <v>11</v>
      </c>
      <c r="F9919" s="3">
        <v>11</v>
      </c>
      <c r="G9919" t="s">
        <v>515</v>
      </c>
    </row>
    <row r="9920" spans="1:7" x14ac:dyDescent="0.25">
      <c r="A9920" s="1" t="str">
        <f>"519706"</f>
        <v>519706</v>
      </c>
      <c r="B9920" s="2" t="str">
        <f>"ENGRENAGEM ASA 50 45 DENTES"</f>
        <v>ENGRENAGEM ASA 50 45 DENTES</v>
      </c>
      <c r="C9920" s="2" t="str">
        <f t="shared" si="384"/>
        <v>UN</v>
      </c>
      <c r="D9920" s="7">
        <v>918</v>
      </c>
      <c r="E9920" s="3">
        <v>11</v>
      </c>
      <c r="F9920" s="3">
        <v>11</v>
      </c>
      <c r="G9920" t="s">
        <v>512</v>
      </c>
    </row>
    <row r="9921" spans="1:7" x14ac:dyDescent="0.25">
      <c r="A9921" s="1" t="str">
        <f>"519574"</f>
        <v>519574</v>
      </c>
      <c r="B9921" s="2" t="str">
        <f>"ENGRENAGEM ASA 60 1 IMPORT"</f>
        <v>ENGRENAGEM ASA 60 1 IMPORT</v>
      </c>
      <c r="C9921" s="2" t="str">
        <f t="shared" si="384"/>
        <v>UN</v>
      </c>
      <c r="D9921" s="7">
        <v>918</v>
      </c>
      <c r="E9921" s="3">
        <v>11</v>
      </c>
      <c r="F9921" s="3">
        <v>11</v>
      </c>
      <c r="G9921" t="s">
        <v>516</v>
      </c>
    </row>
    <row r="9922" spans="1:7" x14ac:dyDescent="0.25">
      <c r="A9922" s="1" t="str">
        <f>"519573"</f>
        <v>519573</v>
      </c>
      <c r="B9922" s="2" t="str">
        <f>"ENGRENAGEM ASA 60 14 DENTES"</f>
        <v>ENGRENAGEM ASA 60 14 DENTES</v>
      </c>
      <c r="C9922" s="2" t="str">
        <f t="shared" si="384"/>
        <v>UN</v>
      </c>
      <c r="D9922" s="7">
        <v>918</v>
      </c>
      <c r="E9922" s="3">
        <v>11</v>
      </c>
      <c r="F9922" s="3">
        <v>11</v>
      </c>
      <c r="G9922" t="s">
        <v>515</v>
      </c>
    </row>
    <row r="9923" spans="1:7" x14ac:dyDescent="0.25">
      <c r="A9923" s="1" t="str">
        <f>"520377"</f>
        <v>520377</v>
      </c>
      <c r="B9923" s="2" t="str">
        <f>"ENGRENAGEM BI-PARTIDA A129 B25 Z21 PU CASTROSUL"</f>
        <v>ENGRENAGEM BI-PARTIDA A129 B25 Z21 PU CASTROSUL</v>
      </c>
      <c r="C9923" s="2" t="str">
        <f t="shared" si="384"/>
        <v>UN</v>
      </c>
      <c r="D9923" s="7">
        <v>918</v>
      </c>
      <c r="E9923" s="3">
        <v>11</v>
      </c>
      <c r="F9923" s="3">
        <v>11</v>
      </c>
      <c r="G9923" t="s">
        <v>514</v>
      </c>
    </row>
    <row r="9924" spans="1:7" x14ac:dyDescent="0.25">
      <c r="A9924" s="1" t="str">
        <f>"504929"</f>
        <v>504929</v>
      </c>
      <c r="B9924" s="2" t="str">
        <f>"ENGRENAGEM BOMBA OLEO MOTOR"</f>
        <v>ENGRENAGEM BOMBA OLEO MOTOR</v>
      </c>
      <c r="C9924" s="2" t="str">
        <f t="shared" si="384"/>
        <v>UN</v>
      </c>
      <c r="D9924" s="7">
        <v>918</v>
      </c>
      <c r="E9924" s="3">
        <v>11</v>
      </c>
      <c r="F9924" s="3">
        <v>11</v>
      </c>
      <c r="G9924" t="s">
        <v>512</v>
      </c>
    </row>
    <row r="9925" spans="1:7" x14ac:dyDescent="0.25">
      <c r="A9925" s="1" t="str">
        <f>"518070"</f>
        <v>518070</v>
      </c>
      <c r="B9925" s="2" t="str">
        <f>"ENGRENAGEM CB6 Z41M2 PACKMATIC"</f>
        <v>ENGRENAGEM CB6 Z41M2 PACKMATIC</v>
      </c>
      <c r="C9925" s="2" t="str">
        <f t="shared" si="384"/>
        <v>UN</v>
      </c>
      <c r="D9925" s="7">
        <v>918</v>
      </c>
      <c r="E9925" s="3">
        <v>11</v>
      </c>
      <c r="F9925" s="3">
        <v>11</v>
      </c>
      <c r="G9925" t="s">
        <v>513</v>
      </c>
    </row>
    <row r="9926" spans="1:7" x14ac:dyDescent="0.25">
      <c r="A9926" s="1" t="str">
        <f>"525113"</f>
        <v>525113</v>
      </c>
      <c r="B9926" s="8" t="s">
        <v>435</v>
      </c>
      <c r="C9926" s="2" t="str">
        <f t="shared" si="384"/>
        <v>UN</v>
      </c>
      <c r="D9926" s="7">
        <v>918</v>
      </c>
      <c r="E9926" s="3">
        <v>10</v>
      </c>
      <c r="F9926" s="3">
        <v>10</v>
      </c>
      <c r="G9926" t="s">
        <v>514</v>
      </c>
    </row>
    <row r="9927" spans="1:7" x14ac:dyDescent="0.25">
      <c r="A9927" s="1" t="str">
        <f>"525114"</f>
        <v>525114</v>
      </c>
      <c r="B9927" s="8" t="s">
        <v>436</v>
      </c>
      <c r="C9927" s="2" t="str">
        <f t="shared" si="384"/>
        <v>UN</v>
      </c>
      <c r="D9927" s="7">
        <v>918</v>
      </c>
      <c r="E9927" s="3">
        <v>10</v>
      </c>
      <c r="F9927" s="3">
        <v>10</v>
      </c>
      <c r="G9927" t="s">
        <v>514</v>
      </c>
    </row>
    <row r="9928" spans="1:7" x14ac:dyDescent="0.25">
      <c r="A9928" s="1" t="str">
        <f>"522521"</f>
        <v>522521</v>
      </c>
      <c r="B9928" s="8" t="s">
        <v>303</v>
      </c>
      <c r="C9928" s="2" t="str">
        <f t="shared" si="384"/>
        <v>UN</v>
      </c>
      <c r="D9928" s="7">
        <v>812</v>
      </c>
      <c r="E9928" s="3">
        <v>10</v>
      </c>
      <c r="F9928" s="3">
        <v>10</v>
      </c>
      <c r="G9928" t="s">
        <v>512</v>
      </c>
    </row>
    <row r="9929" spans="1:7" x14ac:dyDescent="0.25">
      <c r="A9929" s="1" t="str">
        <f>"522522"</f>
        <v>522522</v>
      </c>
      <c r="B9929" s="8" t="s">
        <v>304</v>
      </c>
      <c r="C9929" s="2" t="str">
        <f t="shared" si="384"/>
        <v>UN</v>
      </c>
      <c r="D9929" s="7">
        <v>812</v>
      </c>
      <c r="E9929" s="3">
        <v>10</v>
      </c>
      <c r="F9929" s="3">
        <v>10</v>
      </c>
      <c r="G9929" t="s">
        <v>513</v>
      </c>
    </row>
    <row r="9930" spans="1:7" x14ac:dyDescent="0.25">
      <c r="A9930" s="1" t="str">
        <f>"504023"</f>
        <v>504023</v>
      </c>
      <c r="B9930" s="2" t="str">
        <f>"ENGRENAGEM CON. HELICOIDAL D-43949"</f>
        <v>ENGRENAGEM CON. HELICOIDAL D-43949</v>
      </c>
      <c r="C9930" s="2" t="str">
        <f t="shared" si="384"/>
        <v>UN</v>
      </c>
      <c r="D9930" s="7">
        <v>918</v>
      </c>
      <c r="E9930" s="3">
        <v>11</v>
      </c>
      <c r="F9930" s="3">
        <v>11</v>
      </c>
      <c r="G9930" t="s">
        <v>514</v>
      </c>
    </row>
    <row r="9931" spans="1:7" x14ac:dyDescent="0.25">
      <c r="A9931" s="1" t="str">
        <f>"505557"</f>
        <v>505557</v>
      </c>
      <c r="B9931" s="2" t="str">
        <f>"ENGRENAGEM CONICA D43949 HELIC DIR. BRASKOP 5000 E 2000"</f>
        <v>ENGRENAGEM CONICA D43949 HELIC DIR. BRASKOP 5000 E 2000</v>
      </c>
      <c r="C9931" s="2" t="str">
        <f t="shared" si="384"/>
        <v>UN</v>
      </c>
      <c r="D9931" s="7">
        <v>918</v>
      </c>
      <c r="E9931" s="3">
        <v>11</v>
      </c>
      <c r="F9931" s="3">
        <v>11</v>
      </c>
      <c r="G9931" t="s">
        <v>514</v>
      </c>
    </row>
    <row r="9932" spans="1:7" x14ac:dyDescent="0.25">
      <c r="A9932" s="1" t="str">
        <f>"504013"</f>
        <v>504013</v>
      </c>
      <c r="B9932" s="2" t="str">
        <f>"ENGRENAGEM CONICA HELICOIDAL ESQUERDA BRASKOP 5000 E 2000"</f>
        <v>ENGRENAGEM CONICA HELICOIDAL ESQUERDA BRASKOP 5000 E 2000</v>
      </c>
      <c r="C9932" s="2" t="str">
        <f t="shared" si="384"/>
        <v>UN</v>
      </c>
      <c r="D9932" s="7">
        <v>918</v>
      </c>
      <c r="E9932" s="3">
        <v>11</v>
      </c>
      <c r="F9932" s="3">
        <v>11</v>
      </c>
      <c r="G9932" t="s">
        <v>514</v>
      </c>
    </row>
    <row r="9933" spans="1:7" x14ac:dyDescent="0.25">
      <c r="A9933" s="1" t="str">
        <f>"520289"</f>
        <v>520289</v>
      </c>
      <c r="B9933" s="8" t="s">
        <v>124</v>
      </c>
      <c r="C9933" s="2" t="str">
        <f t="shared" si="384"/>
        <v>UN</v>
      </c>
      <c r="D9933" s="7">
        <v>918</v>
      </c>
      <c r="E9933" s="3">
        <v>11</v>
      </c>
      <c r="F9933" s="3">
        <v>11</v>
      </c>
      <c r="G9933" t="s">
        <v>513</v>
      </c>
    </row>
    <row r="9934" spans="1:7" x14ac:dyDescent="0.25">
      <c r="A9934" s="1" t="str">
        <f>"509015"</f>
        <v>509015</v>
      </c>
      <c r="B9934" s="2" t="str">
        <f>"ENGRENAGEM DA BETORNEIRA"</f>
        <v>ENGRENAGEM DA BETORNEIRA</v>
      </c>
      <c r="C9934" s="2" t="str">
        <f t="shared" si="384"/>
        <v>UN</v>
      </c>
      <c r="D9934" s="7">
        <v>402</v>
      </c>
      <c r="E9934" s="3">
        <v>4</v>
      </c>
      <c r="F9934" s="3">
        <v>4</v>
      </c>
      <c r="G9934" t="s">
        <v>512</v>
      </c>
    </row>
    <row r="9935" spans="1:7" x14ac:dyDescent="0.25">
      <c r="A9935" s="1" t="str">
        <f>"505239"</f>
        <v>505239</v>
      </c>
      <c r="B9935" s="2" t="str">
        <f>"ENGRENAGEM DA BOMBA INJETORA"</f>
        <v>ENGRENAGEM DA BOMBA INJETORA</v>
      </c>
      <c r="C9935" s="2" t="str">
        <f t="shared" si="384"/>
        <v>UN</v>
      </c>
      <c r="D9935" s="7">
        <v>704</v>
      </c>
      <c r="E9935" s="3">
        <v>9</v>
      </c>
      <c r="F9935" s="3">
        <v>9</v>
      </c>
      <c r="G9935" t="s">
        <v>513</v>
      </c>
    </row>
    <row r="9936" spans="1:7" x14ac:dyDescent="0.25">
      <c r="A9936" s="1" t="str">
        <f>"505444"</f>
        <v>505444</v>
      </c>
      <c r="B9936" s="2" t="str">
        <f>"ENGRENAGEM DO COMANDO"</f>
        <v>ENGRENAGEM DO COMANDO</v>
      </c>
      <c r="C9936" s="2" t="str">
        <f t="shared" si="384"/>
        <v>UN</v>
      </c>
      <c r="D9936" s="7">
        <v>704</v>
      </c>
      <c r="E9936" s="3">
        <v>9</v>
      </c>
      <c r="F9936" s="3">
        <v>9</v>
      </c>
      <c r="G9936" t="s">
        <v>514</v>
      </c>
    </row>
    <row r="9937" spans="1:7" x14ac:dyDescent="0.25">
      <c r="A9937" s="1" t="str">
        <f>"506773"</f>
        <v>506773</v>
      </c>
      <c r="B9937" s="2" t="str">
        <f>"ENGRENAGEM DO ENCODER"</f>
        <v>ENGRENAGEM DO ENCODER</v>
      </c>
      <c r="C9937" s="2" t="str">
        <f>"PC"</f>
        <v>PC</v>
      </c>
      <c r="D9937" s="7">
        <v>918</v>
      </c>
      <c r="E9937" s="3">
        <v>11</v>
      </c>
      <c r="F9937" s="3">
        <v>11</v>
      </c>
      <c r="G9937" t="s">
        <v>514</v>
      </c>
    </row>
    <row r="9938" spans="1:7" x14ac:dyDescent="0.25">
      <c r="A9938" s="1" t="str">
        <f>"519575"</f>
        <v>519575</v>
      </c>
      <c r="B9938" s="2" t="str">
        <f>"ENGRENAGEM DUPLA ASA 50 31 DENTES"</f>
        <v>ENGRENAGEM DUPLA ASA 50 31 DENTES</v>
      </c>
      <c r="C9938" s="2" t="str">
        <f t="shared" ref="C9938:C9964" si="385">"UN"</f>
        <v>UN</v>
      </c>
      <c r="D9938" s="7">
        <v>918</v>
      </c>
      <c r="E9938" s="3">
        <v>11</v>
      </c>
      <c r="F9938" s="3">
        <v>11</v>
      </c>
      <c r="G9938" t="s">
        <v>514</v>
      </c>
    </row>
    <row r="9939" spans="1:7" x14ac:dyDescent="0.25">
      <c r="A9939" s="1" t="str">
        <f>"522235"</f>
        <v>522235</v>
      </c>
      <c r="B9939" s="2" t="str">
        <f>"ENGRENAGEM DUPLA PASSO 5/8 Z-19 AT2"</f>
        <v>ENGRENAGEM DUPLA PASSO 5/8 Z-19 AT2</v>
      </c>
      <c r="C9939" s="2" t="str">
        <f t="shared" si="385"/>
        <v>UN</v>
      </c>
      <c r="D9939" s="7">
        <v>1400</v>
      </c>
      <c r="E9939" s="3">
        <v>8</v>
      </c>
      <c r="F9939" s="3">
        <v>8</v>
      </c>
      <c r="G9939" t="s">
        <v>513</v>
      </c>
    </row>
    <row r="9940" spans="1:7" x14ac:dyDescent="0.25">
      <c r="A9940" s="1" t="str">
        <f>"522234"</f>
        <v>522234</v>
      </c>
      <c r="B9940" s="2" t="str">
        <f>"ENGRENAGEM DUPLA PASSO 5/8 Z-38 AT2"</f>
        <v>ENGRENAGEM DUPLA PASSO 5/8 Z-38 AT2</v>
      </c>
      <c r="C9940" s="2" t="str">
        <f t="shared" si="385"/>
        <v>UN</v>
      </c>
      <c r="D9940" s="7">
        <v>1400</v>
      </c>
      <c r="E9940" s="3">
        <v>8</v>
      </c>
      <c r="F9940" s="3">
        <v>8</v>
      </c>
      <c r="G9940" t="s">
        <v>513</v>
      </c>
    </row>
    <row r="9941" spans="1:7" x14ac:dyDescent="0.25">
      <c r="A9941" s="1" t="str">
        <f>"527008"</f>
        <v>527008</v>
      </c>
      <c r="B9941" s="2" t="str">
        <f>"ENGRENAGEM INOX COM BUCHA - GFAD 75I"</f>
        <v>ENGRENAGEM INOX COM BUCHA - GFAD 75I</v>
      </c>
      <c r="C9941" s="2" t="str">
        <f t="shared" si="385"/>
        <v>UN</v>
      </c>
      <c r="D9941" s="7">
        <v>704</v>
      </c>
      <c r="E9941" s="3">
        <v>9</v>
      </c>
      <c r="F9941" s="3">
        <v>9</v>
      </c>
      <c r="G9941" t="s">
        <v>513</v>
      </c>
    </row>
    <row r="9942" spans="1:7" x14ac:dyDescent="0.25">
      <c r="A9942" s="1" t="str">
        <f>"518075"</f>
        <v>518075</v>
      </c>
      <c r="B9942" s="2" t="str">
        <f>"ENGRENAGEM M2 Z64 NYLON"</f>
        <v>ENGRENAGEM M2 Z64 NYLON</v>
      </c>
      <c r="C9942" s="2" t="str">
        <f t="shared" si="385"/>
        <v>UN</v>
      </c>
      <c r="D9942" s="7">
        <v>918</v>
      </c>
      <c r="E9942" s="3">
        <v>11</v>
      </c>
      <c r="F9942" s="3">
        <v>11</v>
      </c>
      <c r="G9942" t="s">
        <v>512</v>
      </c>
    </row>
    <row r="9943" spans="1:7" x14ac:dyDescent="0.25">
      <c r="A9943" s="1" t="str">
        <f>"519849"</f>
        <v>519849</v>
      </c>
      <c r="B9943" s="2" t="str">
        <f>"ENGRENAGEM MAQUINA CREME"</f>
        <v>ENGRENAGEM MAQUINA CREME</v>
      </c>
      <c r="C9943" s="2" t="str">
        <f t="shared" si="385"/>
        <v>UN</v>
      </c>
      <c r="D9943" s="7">
        <v>918</v>
      </c>
      <c r="E9943" s="3">
        <v>11</v>
      </c>
      <c r="F9943" s="3">
        <v>11</v>
      </c>
      <c r="G9943" t="s">
        <v>513</v>
      </c>
    </row>
    <row r="9944" spans="1:7" x14ac:dyDescent="0.25">
      <c r="A9944" s="1" t="str">
        <f>"517910"</f>
        <v>517910</v>
      </c>
      <c r="B9944" s="2" t="str">
        <f>"ENGRENAGEM MOTOR SISTEMA CORTE SERVO"</f>
        <v>ENGRENAGEM MOTOR SISTEMA CORTE SERVO</v>
      </c>
      <c r="C9944" s="2" t="str">
        <f t="shared" si="385"/>
        <v>UN</v>
      </c>
      <c r="D9944" s="7">
        <v>811</v>
      </c>
      <c r="E9944" s="3">
        <v>8</v>
      </c>
      <c r="F9944" s="3">
        <v>8</v>
      </c>
      <c r="G9944" t="s">
        <v>514</v>
      </c>
    </row>
    <row r="9945" spans="1:7" x14ac:dyDescent="0.25">
      <c r="A9945" s="1" t="str">
        <f>"512514"</f>
        <v>512514</v>
      </c>
      <c r="B9945" s="2" t="str">
        <f>"ENGRENAGEM MOTORA B OLEO - 100"</f>
        <v>ENGRENAGEM MOTORA B OLEO - 100</v>
      </c>
      <c r="C9945" s="2" t="str">
        <f t="shared" si="385"/>
        <v>UN</v>
      </c>
      <c r="D9945" s="7">
        <v>918</v>
      </c>
      <c r="E9945" s="3">
        <v>11</v>
      </c>
      <c r="F9945" s="3">
        <v>11</v>
      </c>
      <c r="G9945" t="s">
        <v>515</v>
      </c>
    </row>
    <row r="9946" spans="1:7" x14ac:dyDescent="0.25">
      <c r="A9946" s="1" t="str">
        <f>"512515"</f>
        <v>512515</v>
      </c>
      <c r="B9946" s="2" t="str">
        <f>"ENGRENAGEM MOVIDA B OLEO - 100"</f>
        <v>ENGRENAGEM MOVIDA B OLEO - 100</v>
      </c>
      <c r="C9946" s="2" t="str">
        <f t="shared" si="385"/>
        <v>UN</v>
      </c>
      <c r="D9946" s="7">
        <v>918</v>
      </c>
      <c r="E9946" s="3">
        <v>11</v>
      </c>
      <c r="F9946" s="3">
        <v>11</v>
      </c>
      <c r="G9946" t="s">
        <v>512</v>
      </c>
    </row>
    <row r="9947" spans="1:7" x14ac:dyDescent="0.25">
      <c r="A9947" s="1" t="str">
        <f>"527906"</f>
        <v>527906</v>
      </c>
      <c r="B9947" s="2" t="str">
        <f>"ENGRENAGEM PASSO 1"" Z12"</f>
        <v>ENGRENAGEM PASSO 1" Z12</v>
      </c>
      <c r="C9947" s="2" t="str">
        <f t="shared" si="385"/>
        <v>UN</v>
      </c>
      <c r="D9947" s="7">
        <v>812</v>
      </c>
      <c r="E9947" s="3">
        <v>11</v>
      </c>
      <c r="F9947" s="3">
        <v>11</v>
      </c>
      <c r="G9947" t="s">
        <v>516</v>
      </c>
    </row>
    <row r="9948" spans="1:7" x14ac:dyDescent="0.25">
      <c r="A9948" s="1" t="str">
        <f>"527907"</f>
        <v>527907</v>
      </c>
      <c r="B9948" s="2" t="str">
        <f>"ENGRENAGEM PASSO 1"" Z16"</f>
        <v>ENGRENAGEM PASSO 1" Z16</v>
      </c>
      <c r="C9948" s="2" t="str">
        <f t="shared" si="385"/>
        <v>UN</v>
      </c>
      <c r="D9948" s="7">
        <v>812</v>
      </c>
      <c r="E9948" s="3">
        <v>11</v>
      </c>
      <c r="F9948" s="3">
        <v>11</v>
      </c>
      <c r="G9948" t="s">
        <v>515</v>
      </c>
    </row>
    <row r="9949" spans="1:7" x14ac:dyDescent="0.25">
      <c r="A9949" s="1" t="str">
        <f>"527007"</f>
        <v>527007</v>
      </c>
      <c r="B9949" s="2" t="str">
        <f>"ENGRENAGEM PASSO LONGO AISI304 EIXO 60M"</f>
        <v>ENGRENAGEM PASSO LONGO AISI304 EIXO 60M</v>
      </c>
      <c r="C9949" s="2" t="str">
        <f t="shared" si="385"/>
        <v>UN</v>
      </c>
      <c r="D9949" s="7">
        <v>704</v>
      </c>
      <c r="E9949" s="3">
        <v>9</v>
      </c>
      <c r="F9949" s="3">
        <v>9</v>
      </c>
      <c r="G9949" t="s">
        <v>514</v>
      </c>
    </row>
    <row r="9950" spans="1:7" x14ac:dyDescent="0.25">
      <c r="A9950" s="1" t="str">
        <f>"516929"</f>
        <v>516929</v>
      </c>
      <c r="B9950" s="2" t="str">
        <f>"ENGRENAGEM PLASTICA Z12 DF25 C/ CHAVETA COD2210 ASTERBELT"</f>
        <v>ENGRENAGEM PLASTICA Z12 DF25 C/ CHAVETA COD2210 ASTERBELT</v>
      </c>
      <c r="C9950" s="2" t="str">
        <f t="shared" si="385"/>
        <v>UN</v>
      </c>
      <c r="D9950" s="7">
        <v>918</v>
      </c>
      <c r="E9950" s="3">
        <v>11</v>
      </c>
      <c r="F9950" s="3">
        <v>11</v>
      </c>
      <c r="G9950" t="s">
        <v>512</v>
      </c>
    </row>
    <row r="9951" spans="1:7" x14ac:dyDescent="0.25">
      <c r="A9951" s="1" t="str">
        <f>"512171"</f>
        <v>512171</v>
      </c>
      <c r="B9951" s="2" t="str">
        <f>"ENGRENAGEM PLASTICA Z21 DF25 C/ CHAVETA COD2101 ASTERBELT"</f>
        <v>ENGRENAGEM PLASTICA Z21 DF25 C/ CHAVETA COD2101 ASTERBELT</v>
      </c>
      <c r="C9951" s="2" t="str">
        <f t="shared" si="385"/>
        <v>UN</v>
      </c>
      <c r="D9951" s="7">
        <v>918</v>
      </c>
      <c r="E9951" s="3">
        <v>11</v>
      </c>
      <c r="F9951" s="3">
        <v>11</v>
      </c>
      <c r="G9951" t="s">
        <v>513</v>
      </c>
    </row>
    <row r="9952" spans="1:7" x14ac:dyDescent="0.25">
      <c r="A9952" s="1" t="str">
        <f>"512393"</f>
        <v>512393</v>
      </c>
      <c r="B9952" s="2" t="str">
        <f>"ENGRENAGEM PLASTICA Z25 DF25 C/ CHAVETA COD2121 ASTERBELT"</f>
        <v>ENGRENAGEM PLASTICA Z25 DF25 C/ CHAVETA COD2121 ASTERBELT</v>
      </c>
      <c r="C9952" s="2" t="str">
        <f t="shared" si="385"/>
        <v>UN</v>
      </c>
      <c r="D9952" s="7">
        <v>918</v>
      </c>
      <c r="E9952" s="3">
        <v>11</v>
      </c>
      <c r="F9952" s="3">
        <v>11</v>
      </c>
      <c r="G9952" t="s">
        <v>514</v>
      </c>
    </row>
    <row r="9953" spans="1:7" x14ac:dyDescent="0.25">
      <c r="A9953" s="1" t="str">
        <f>"520376"</f>
        <v>520376</v>
      </c>
      <c r="B9953" s="2" t="str">
        <f>"ENGRENAGEM PLASTICA Z25 DF25 S/CHAVETA COD2126 ASTERBELT"</f>
        <v>ENGRENAGEM PLASTICA Z25 DF25 S/CHAVETA COD2126 ASTERBELT</v>
      </c>
      <c r="C9953" s="2" t="str">
        <f t="shared" si="385"/>
        <v>UN</v>
      </c>
      <c r="D9953" s="7">
        <v>918</v>
      </c>
      <c r="E9953" s="3">
        <v>11</v>
      </c>
      <c r="F9953" s="3">
        <v>11</v>
      </c>
      <c r="G9953" t="s">
        <v>514</v>
      </c>
    </row>
    <row r="9954" spans="1:7" x14ac:dyDescent="0.25">
      <c r="A9954" s="1" t="str">
        <f>"501697"</f>
        <v>501697</v>
      </c>
      <c r="B9954" s="2" t="str">
        <f>"ENGRENAGEM PLASTICO MAQ SAQUINHO"</f>
        <v>ENGRENAGEM PLASTICO MAQ SAQUINHO</v>
      </c>
      <c r="C9954" s="2" t="str">
        <f t="shared" si="385"/>
        <v>UN</v>
      </c>
      <c r="D9954" s="7">
        <v>918</v>
      </c>
      <c r="E9954" s="3">
        <v>11</v>
      </c>
      <c r="F9954" s="3">
        <v>11</v>
      </c>
      <c r="G9954" t="s">
        <v>512</v>
      </c>
    </row>
    <row r="9955" spans="1:7" x14ac:dyDescent="0.25">
      <c r="A9955" s="1" t="str">
        <f>"519592"</f>
        <v>519592</v>
      </c>
      <c r="B9955" s="2" t="str">
        <f>"ENGRENAGEM PORTÃO CAMARA FRIA"</f>
        <v>ENGRENAGEM PORTÃO CAMARA FRIA</v>
      </c>
      <c r="C9955" s="2" t="str">
        <f t="shared" si="385"/>
        <v>UN</v>
      </c>
      <c r="D9955" s="7">
        <v>918</v>
      </c>
      <c r="E9955" s="3">
        <v>11</v>
      </c>
      <c r="F9955" s="3">
        <v>11</v>
      </c>
      <c r="G9955" t="s">
        <v>513</v>
      </c>
    </row>
    <row r="9956" spans="1:7" x14ac:dyDescent="0.25">
      <c r="A9956" s="1" t="str">
        <f>"522961"</f>
        <v>522961</v>
      </c>
      <c r="B9956" s="8" t="s">
        <v>351</v>
      </c>
      <c r="C9956" s="2" t="str">
        <f t="shared" si="385"/>
        <v>UN</v>
      </c>
      <c r="D9956" s="7">
        <v>918</v>
      </c>
      <c r="E9956" s="3">
        <v>10</v>
      </c>
      <c r="F9956" s="3">
        <v>10</v>
      </c>
      <c r="G9956" t="s">
        <v>514</v>
      </c>
    </row>
    <row r="9957" spans="1:7" x14ac:dyDescent="0.25">
      <c r="A9957" s="1" t="str">
        <f>"527048"</f>
        <v>527048</v>
      </c>
      <c r="B9957" s="2" t="str">
        <f>"ENGRENAGEM S300 Z-11 FQ 40MM"</f>
        <v>ENGRENAGEM S300 Z-11 FQ 40MM</v>
      </c>
      <c r="C9957" s="2" t="str">
        <f t="shared" si="385"/>
        <v>UN</v>
      </c>
      <c r="D9957" s="7">
        <v>918</v>
      </c>
      <c r="E9957" s="3">
        <v>11</v>
      </c>
      <c r="F9957" s="3">
        <v>11</v>
      </c>
      <c r="G9957" t="s">
        <v>514</v>
      </c>
    </row>
    <row r="9958" spans="1:7" x14ac:dyDescent="0.25">
      <c r="A9958" s="1" t="str">
        <f>"521700"</f>
        <v>521700</v>
      </c>
      <c r="B9958" s="8" t="s">
        <v>218</v>
      </c>
      <c r="C9958" s="2" t="str">
        <f t="shared" si="385"/>
        <v>UN</v>
      </c>
      <c r="D9958" s="7">
        <v>904</v>
      </c>
      <c r="E9958" s="3">
        <v>10</v>
      </c>
      <c r="F9958" s="3">
        <v>10</v>
      </c>
      <c r="G9958" t="s">
        <v>514</v>
      </c>
    </row>
    <row r="9959" spans="1:7" x14ac:dyDescent="0.25">
      <c r="A9959" s="1" t="str">
        <f>"524853"</f>
        <v>524853</v>
      </c>
      <c r="B9959" s="2" t="str">
        <f>"ENGRENAGEM SAE 1045 GALV 1.60.23 B T2"</f>
        <v>ENGRENAGEM SAE 1045 GALV 1.60.23 B T2</v>
      </c>
      <c r="C9959" s="2" t="str">
        <f t="shared" si="385"/>
        <v>UN</v>
      </c>
      <c r="D9959" s="7">
        <v>918</v>
      </c>
      <c r="E9959" s="3">
        <v>10</v>
      </c>
      <c r="F9959" s="3">
        <v>10</v>
      </c>
      <c r="G9959" t="s">
        <v>513</v>
      </c>
    </row>
    <row r="9960" spans="1:7" x14ac:dyDescent="0.25">
      <c r="A9960" s="1" t="str">
        <f>"520492"</f>
        <v>520492</v>
      </c>
      <c r="B9960" s="8" t="s">
        <v>153</v>
      </c>
      <c r="C9960" s="2" t="str">
        <f t="shared" si="385"/>
        <v>UN</v>
      </c>
      <c r="D9960" s="7">
        <v>918</v>
      </c>
      <c r="E9960" s="3">
        <v>11</v>
      </c>
      <c r="F9960" s="3">
        <v>11</v>
      </c>
      <c r="G9960" t="s">
        <v>512</v>
      </c>
    </row>
    <row r="9961" spans="1:7" x14ac:dyDescent="0.25">
      <c r="A9961" s="1" t="str">
        <f>"520491"</f>
        <v>520491</v>
      </c>
      <c r="B9961" s="8" t="s">
        <v>152</v>
      </c>
      <c r="C9961" s="2" t="str">
        <f t="shared" si="385"/>
        <v>UN</v>
      </c>
      <c r="D9961" s="7">
        <v>918</v>
      </c>
      <c r="E9961" s="3">
        <v>11</v>
      </c>
      <c r="F9961" s="3">
        <v>11</v>
      </c>
      <c r="G9961" t="s">
        <v>513</v>
      </c>
    </row>
    <row r="9962" spans="1:7" x14ac:dyDescent="0.25">
      <c r="A9962" s="1" t="str">
        <f>"520490"</f>
        <v>520490</v>
      </c>
      <c r="B9962" s="8" t="s">
        <v>151</v>
      </c>
      <c r="C9962" s="2" t="str">
        <f t="shared" si="385"/>
        <v>UN</v>
      </c>
      <c r="D9962" s="7">
        <v>918</v>
      </c>
      <c r="E9962" s="3">
        <v>11</v>
      </c>
      <c r="F9962" s="3">
        <v>11</v>
      </c>
      <c r="G9962" t="s">
        <v>514</v>
      </c>
    </row>
    <row r="9963" spans="1:7" x14ac:dyDescent="0.25">
      <c r="A9963" s="1" t="str">
        <f>"518071"</f>
        <v>518071</v>
      </c>
      <c r="B9963" s="2" t="str">
        <f>"ENGRENAGEM TRAÇÃO CB6 Z80M2 PACKMATIC"</f>
        <v>ENGRENAGEM TRAÇÃO CB6 Z80M2 PACKMATIC</v>
      </c>
      <c r="C9963" s="2" t="str">
        <f t="shared" si="385"/>
        <v>UN</v>
      </c>
      <c r="D9963" s="7">
        <v>918</v>
      </c>
      <c r="E9963" s="3">
        <v>11</v>
      </c>
      <c r="F9963" s="3">
        <v>11</v>
      </c>
      <c r="G9963" t="s">
        <v>514</v>
      </c>
    </row>
    <row r="9964" spans="1:7" x14ac:dyDescent="0.25">
      <c r="A9964" s="1" t="str">
        <f>"505618"</f>
        <v>505618</v>
      </c>
      <c r="B9964" s="2" t="str">
        <f>"ENGRENAGEM TRACAO CORRENTE ROTUL. JPJ"</f>
        <v>ENGRENAGEM TRACAO CORRENTE ROTUL. JPJ</v>
      </c>
      <c r="C9964" s="2" t="str">
        <f t="shared" si="385"/>
        <v>UN</v>
      </c>
      <c r="D9964" s="7">
        <v>918</v>
      </c>
      <c r="E9964" s="3">
        <v>11</v>
      </c>
      <c r="F9964" s="3">
        <v>11</v>
      </c>
      <c r="G9964" t="s">
        <v>514</v>
      </c>
    </row>
    <row r="9965" spans="1:7" x14ac:dyDescent="0.25">
      <c r="A9965" s="1" t="str">
        <f>"520242"</f>
        <v>520242</v>
      </c>
      <c r="B9965" s="2" t="str">
        <f>"ENGRENAGEM TRACAO ESTEIRA Z38 NYLON DUPLA PACKMATIC"</f>
        <v>ENGRENAGEM TRACAO ESTEIRA Z38 NYLON DUPLA PACKMATIC</v>
      </c>
      <c r="C9965" s="2" t="str">
        <f>"PC"</f>
        <v>PC</v>
      </c>
      <c r="D9965" s="7">
        <v>918</v>
      </c>
      <c r="E9965" s="3">
        <v>11</v>
      </c>
      <c r="F9965" s="3">
        <v>11</v>
      </c>
      <c r="G9965" t="s">
        <v>513</v>
      </c>
    </row>
    <row r="9966" spans="1:7" x14ac:dyDescent="0.25">
      <c r="A9966" s="1" t="str">
        <f>"504928"</f>
        <v>504928</v>
      </c>
      <c r="B9966" s="2" t="str">
        <f>"ENGRENAGEM VIRABREQUIM"</f>
        <v>ENGRENAGEM VIRABREQUIM</v>
      </c>
      <c r="C9966" s="2" t="str">
        <f>"UN"</f>
        <v>UN</v>
      </c>
      <c r="D9966" s="7">
        <v>918</v>
      </c>
      <c r="E9966" s="3">
        <v>11</v>
      </c>
      <c r="F9966" s="3">
        <v>11</v>
      </c>
      <c r="G9966" t="s">
        <v>513</v>
      </c>
    </row>
    <row r="9967" spans="1:7" x14ac:dyDescent="0.25">
      <c r="A9967" s="1" t="str">
        <f>"519784"</f>
        <v>519784</v>
      </c>
      <c r="B9967" s="2" t="str">
        <f>"ENGRENAGEM Z-11 38,1 P/S-300"</f>
        <v>ENGRENAGEM Z-11 38,1 P/S-300</v>
      </c>
      <c r="C9967" s="2" t="str">
        <f>"UN"</f>
        <v>UN</v>
      </c>
      <c r="D9967" s="7">
        <v>918</v>
      </c>
      <c r="E9967" s="3">
        <v>11</v>
      </c>
      <c r="F9967" s="3">
        <v>11</v>
      </c>
      <c r="G9967" t="s">
        <v>513</v>
      </c>
    </row>
    <row r="9968" spans="1:7" x14ac:dyDescent="0.25">
      <c r="A9968" s="1" t="str">
        <f>"512402"</f>
        <v>512402</v>
      </c>
      <c r="B9968" s="2" t="str">
        <f>"ENGRENAGEM Z-11 38,1 P/S-300 106,5"</f>
        <v>ENGRENAGEM Z-11 38,1 P/S-300 106,5</v>
      </c>
      <c r="C9968" s="2" t="str">
        <f>"UN"</f>
        <v>UN</v>
      </c>
      <c r="D9968" s="7">
        <v>918</v>
      </c>
      <c r="E9968" s="3">
        <v>11</v>
      </c>
      <c r="F9968" s="3">
        <v>11</v>
      </c>
      <c r="G9968" t="s">
        <v>512</v>
      </c>
    </row>
    <row r="9969" spans="1:7" x14ac:dyDescent="0.25">
      <c r="A9969" s="1" t="str">
        <f>"520237"</f>
        <v>520237</v>
      </c>
      <c r="B9969" s="2" t="str">
        <f>"ENGRENAGEM Z21 1/2 DUPLA PACKMATIC"</f>
        <v>ENGRENAGEM Z21 1/2 DUPLA PACKMATIC</v>
      </c>
      <c r="C9969" s="2" t="str">
        <f>"UN"</f>
        <v>UN</v>
      </c>
      <c r="D9969" s="7">
        <v>918</v>
      </c>
      <c r="E9969" s="3">
        <v>11</v>
      </c>
      <c r="F9969" s="3">
        <v>11</v>
      </c>
      <c r="G9969" t="s">
        <v>513</v>
      </c>
    </row>
    <row r="9970" spans="1:7" x14ac:dyDescent="0.25">
      <c r="A9970" s="1" t="str">
        <f>"520238"</f>
        <v>520238</v>
      </c>
      <c r="B9970" s="2" t="str">
        <f>"ENGRENAGEM Z23 1/2 DUPLA PACKMATIC"</f>
        <v>ENGRENAGEM Z23 1/2 DUPLA PACKMATIC</v>
      </c>
      <c r="C9970" s="2" t="str">
        <f>"UN"</f>
        <v>UN</v>
      </c>
      <c r="D9970" s="7">
        <v>918</v>
      </c>
      <c r="E9970" s="3">
        <v>11</v>
      </c>
      <c r="F9970" s="3">
        <v>11</v>
      </c>
      <c r="G9970" t="s">
        <v>514</v>
      </c>
    </row>
    <row r="9971" spans="1:7" x14ac:dyDescent="0.25">
      <c r="A9971" s="1" t="str">
        <f>"520239"</f>
        <v>520239</v>
      </c>
      <c r="B9971" s="2" t="str">
        <f>"ENGRENAGEM Z29 1/2 PACKMATIC"</f>
        <v>ENGRENAGEM Z29 1/2 PACKMATIC</v>
      </c>
      <c r="C9971" s="2" t="str">
        <f>"PC"</f>
        <v>PC</v>
      </c>
      <c r="D9971" s="7">
        <v>918</v>
      </c>
      <c r="E9971" s="3">
        <v>11</v>
      </c>
      <c r="F9971" s="3">
        <v>11</v>
      </c>
      <c r="G9971" t="s">
        <v>515</v>
      </c>
    </row>
    <row r="9972" spans="1:7" x14ac:dyDescent="0.25">
      <c r="A9972" s="1" t="str">
        <f>"520236"</f>
        <v>520236</v>
      </c>
      <c r="B9972" s="2" t="str">
        <f>"ENGRENAGEM Z64M2 NYLON PACKMATIC"</f>
        <v>ENGRENAGEM Z64M2 NYLON PACKMATIC</v>
      </c>
      <c r="C9972" s="2" t="str">
        <f t="shared" ref="C9972:C9991" si="386">"UN"</f>
        <v>UN</v>
      </c>
      <c r="D9972" s="7">
        <v>918</v>
      </c>
      <c r="E9972" s="3">
        <v>11</v>
      </c>
      <c r="F9972" s="3">
        <v>11</v>
      </c>
      <c r="G9972" t="s">
        <v>512</v>
      </c>
    </row>
    <row r="9973" spans="1:7" x14ac:dyDescent="0.25">
      <c r="A9973" s="1" t="str">
        <f>"520231"</f>
        <v>520231</v>
      </c>
      <c r="B9973" s="2" t="str">
        <f>"ENGRENAGEM Z80M2 AÇO PACKMATIC"</f>
        <v>ENGRENAGEM Z80M2 AÇO PACKMATIC</v>
      </c>
      <c r="C9973" s="2" t="str">
        <f t="shared" si="386"/>
        <v>UN</v>
      </c>
      <c r="D9973" s="7">
        <v>918</v>
      </c>
      <c r="E9973" s="3">
        <v>11</v>
      </c>
      <c r="F9973" s="3">
        <v>11</v>
      </c>
      <c r="G9973" t="s">
        <v>516</v>
      </c>
    </row>
    <row r="9974" spans="1:7" x14ac:dyDescent="0.25">
      <c r="A9974" s="1" t="str">
        <f>"520230"</f>
        <v>520230</v>
      </c>
      <c r="B9974" s="2" t="str">
        <f>"ENGRENAGEM Z80M2 NYLON PACKMATIC"</f>
        <v>ENGRENAGEM Z80M2 NYLON PACKMATIC</v>
      </c>
      <c r="C9974" s="2" t="str">
        <f t="shared" si="386"/>
        <v>UN</v>
      </c>
      <c r="D9974" s="7">
        <v>918</v>
      </c>
      <c r="E9974" s="3">
        <v>11</v>
      </c>
      <c r="F9974" s="3">
        <v>11</v>
      </c>
      <c r="G9974" t="s">
        <v>515</v>
      </c>
    </row>
    <row r="9975" spans="1:7" x14ac:dyDescent="0.25">
      <c r="A9975" s="1" t="str">
        <f>"528173"</f>
        <v>528173</v>
      </c>
      <c r="B9975" s="2" t="str">
        <f>"ENV CELULA DE CARGA C/ T ECCT18.20/10 MOD - SERIE 2204 IMSB"</f>
        <v>ENV CELULA DE CARGA C/ T ECCT18.20/10 MOD - SERIE 2204 IMSB</v>
      </c>
      <c r="C9975" s="2" t="str">
        <f t="shared" si="386"/>
        <v>UN</v>
      </c>
      <c r="D9975" s="7">
        <v>1300</v>
      </c>
      <c r="E9975" s="3">
        <v>13</v>
      </c>
      <c r="F9975" s="3">
        <v>13</v>
      </c>
      <c r="G9975" t="s">
        <v>514</v>
      </c>
    </row>
    <row r="9976" spans="1:7" x14ac:dyDescent="0.25">
      <c r="A9976" s="1" t="str">
        <f>"517276"</f>
        <v>517276</v>
      </c>
      <c r="B9976" s="2" t="str">
        <f>"ENVASADORA 2321 MAQ E"</f>
        <v>ENVASADORA 2321 MAQ E</v>
      </c>
      <c r="C9976" s="2" t="str">
        <f t="shared" si="386"/>
        <v>UN</v>
      </c>
      <c r="D9976" s="7">
        <v>918</v>
      </c>
      <c r="E9976" s="3">
        <v>11</v>
      </c>
      <c r="F9976" s="3">
        <v>11</v>
      </c>
      <c r="G9976" t="s">
        <v>512</v>
      </c>
    </row>
    <row r="9977" spans="1:7" x14ac:dyDescent="0.25">
      <c r="A9977" s="1" t="str">
        <f>"517286"</f>
        <v>517286</v>
      </c>
      <c r="B9977" s="2" t="str">
        <f>"ENVASADORA 2322 MAQ F"</f>
        <v>ENVASADORA 2322 MAQ F</v>
      </c>
      <c r="C9977" s="2" t="str">
        <f t="shared" si="386"/>
        <v>UN</v>
      </c>
      <c r="D9977" s="7">
        <v>918</v>
      </c>
      <c r="E9977" s="3">
        <v>11</v>
      </c>
      <c r="F9977" s="3">
        <v>11</v>
      </c>
      <c r="G9977" t="s">
        <v>513</v>
      </c>
    </row>
    <row r="9978" spans="1:7" x14ac:dyDescent="0.25">
      <c r="A9978" s="1" t="str">
        <f>"517267"</f>
        <v>517267</v>
      </c>
      <c r="B9978" s="2" t="str">
        <f>"ENVASADORA 2400 MAQ D"</f>
        <v>ENVASADORA 2400 MAQ D</v>
      </c>
      <c r="C9978" s="2" t="str">
        <f t="shared" si="386"/>
        <v>UN</v>
      </c>
      <c r="D9978" s="7">
        <v>918</v>
      </c>
      <c r="E9978" s="3">
        <v>11</v>
      </c>
      <c r="F9978" s="3">
        <v>11</v>
      </c>
      <c r="G9978" t="s">
        <v>514</v>
      </c>
    </row>
    <row r="9979" spans="1:7" x14ac:dyDescent="0.25">
      <c r="A9979" s="1" t="str">
        <f>"517261"</f>
        <v>517261</v>
      </c>
      <c r="B9979" s="2" t="str">
        <f>"ENVASADORA 2406 MAQ C"</f>
        <v>ENVASADORA 2406 MAQ C</v>
      </c>
      <c r="C9979" s="2" t="str">
        <f t="shared" si="386"/>
        <v>UN</v>
      </c>
      <c r="D9979" s="7">
        <v>918</v>
      </c>
      <c r="E9979" s="3">
        <v>11</v>
      </c>
      <c r="F9979" s="3">
        <v>11</v>
      </c>
      <c r="G9979" t="s">
        <v>514</v>
      </c>
    </row>
    <row r="9980" spans="1:7" x14ac:dyDescent="0.25">
      <c r="A9980" s="1" t="str">
        <f>"517255"</f>
        <v>517255</v>
      </c>
      <c r="B9980" s="2" t="str">
        <f>"ENVASADORA 4058 MAQ B"</f>
        <v>ENVASADORA 4058 MAQ B</v>
      </c>
      <c r="C9980" s="2" t="str">
        <f t="shared" si="386"/>
        <v>UN</v>
      </c>
      <c r="D9980" s="7">
        <v>918</v>
      </c>
      <c r="E9980" s="3">
        <v>11</v>
      </c>
      <c r="F9980" s="3">
        <v>11</v>
      </c>
      <c r="G9980" t="s">
        <v>512</v>
      </c>
    </row>
    <row r="9981" spans="1:7" x14ac:dyDescent="0.25">
      <c r="A9981" s="1" t="str">
        <f>"517239"</f>
        <v>517239</v>
      </c>
      <c r="B9981" s="2" t="str">
        <f>"ENVASADORA 4121 MAQ A"</f>
        <v>ENVASADORA 4121 MAQ A</v>
      </c>
      <c r="C9981" s="2" t="str">
        <f t="shared" si="386"/>
        <v>UN</v>
      </c>
      <c r="D9981" s="7">
        <v>918</v>
      </c>
      <c r="E9981" s="3">
        <v>11</v>
      </c>
      <c r="F9981" s="3">
        <v>11</v>
      </c>
      <c r="G9981" t="s">
        <v>513</v>
      </c>
    </row>
    <row r="9982" spans="1:7" x14ac:dyDescent="0.25">
      <c r="A9982" s="1" t="str">
        <f>"515267"</f>
        <v>515267</v>
      </c>
      <c r="B9982" s="2" t="str">
        <f>"ENVASADORA AUTOMATICA"</f>
        <v>ENVASADORA AUTOMATICA</v>
      </c>
      <c r="C9982" s="2" t="str">
        <f t="shared" si="386"/>
        <v>UN</v>
      </c>
      <c r="D9982" s="7">
        <v>1300</v>
      </c>
      <c r="E9982" s="3">
        <v>13</v>
      </c>
      <c r="F9982" s="3">
        <v>13</v>
      </c>
      <c r="G9982" t="s">
        <v>514</v>
      </c>
    </row>
    <row r="9983" spans="1:7" x14ac:dyDescent="0.25">
      <c r="A9983" s="1" t="str">
        <f>"515268"</f>
        <v>515268</v>
      </c>
      <c r="B9983" s="8" t="s">
        <v>61</v>
      </c>
      <c r="C9983" s="2" t="str">
        <f t="shared" si="386"/>
        <v>UN</v>
      </c>
      <c r="D9983" s="7">
        <v>1300</v>
      </c>
      <c r="E9983" s="3">
        <v>13</v>
      </c>
      <c r="F9983" s="3">
        <v>13</v>
      </c>
      <c r="G9983" t="s">
        <v>514</v>
      </c>
    </row>
    <row r="9984" spans="1:7" x14ac:dyDescent="0.25">
      <c r="A9984" s="1" t="str">
        <f>"521606"</f>
        <v>521606</v>
      </c>
      <c r="B9984" s="2" t="str">
        <f>"ENVASADORA AUTOMÁTICA ROTATIVA MOD. AT-5000"</f>
        <v>ENVASADORA AUTOMÁTICA ROTATIVA MOD. AT-5000</v>
      </c>
      <c r="C9984" s="2" t="str">
        <f t="shared" si="386"/>
        <v>UN</v>
      </c>
      <c r="D9984" s="7">
        <v>1300</v>
      </c>
      <c r="E9984" s="3">
        <v>13</v>
      </c>
      <c r="F9984" s="3">
        <v>13</v>
      </c>
      <c r="G9984" t="s">
        <v>514</v>
      </c>
    </row>
    <row r="9985" spans="1:7" x14ac:dyDescent="0.25">
      <c r="A9985" s="1" t="str">
        <f>"515269"</f>
        <v>515269</v>
      </c>
      <c r="B9985" s="8" t="s">
        <v>62</v>
      </c>
      <c r="C9985" s="2" t="str">
        <f t="shared" si="386"/>
        <v>UN</v>
      </c>
      <c r="D9985" s="7">
        <v>1300</v>
      </c>
      <c r="E9985" s="3">
        <v>13</v>
      </c>
      <c r="F9985" s="3">
        <v>13</v>
      </c>
      <c r="G9985" t="s">
        <v>513</v>
      </c>
    </row>
    <row r="9986" spans="1:7" x14ac:dyDescent="0.25">
      <c r="A9986" s="1" t="str">
        <f>"515264"</f>
        <v>515264</v>
      </c>
      <c r="B9986" s="8" t="s">
        <v>58</v>
      </c>
      <c r="C9986" s="2" t="str">
        <f t="shared" si="386"/>
        <v>UN</v>
      </c>
      <c r="D9986" s="7">
        <v>1300</v>
      </c>
      <c r="E9986" s="3">
        <v>13</v>
      </c>
      <c r="F9986" s="3">
        <v>13</v>
      </c>
      <c r="G9986" t="s">
        <v>512</v>
      </c>
    </row>
    <row r="9987" spans="1:7" x14ac:dyDescent="0.25">
      <c r="A9987" s="1" t="str">
        <f>"515266"</f>
        <v>515266</v>
      </c>
      <c r="B9987" s="8" t="s">
        <v>60</v>
      </c>
      <c r="C9987" s="2" t="str">
        <f t="shared" si="386"/>
        <v>UN</v>
      </c>
      <c r="D9987" s="7">
        <v>1300</v>
      </c>
      <c r="E9987" s="3">
        <v>13</v>
      </c>
      <c r="F9987" s="3">
        <v>13</v>
      </c>
      <c r="G9987" t="s">
        <v>513</v>
      </c>
    </row>
    <row r="9988" spans="1:7" x14ac:dyDescent="0.25">
      <c r="A9988" s="1" t="str">
        <f>"515265"</f>
        <v>515265</v>
      </c>
      <c r="B9988" s="8" t="s">
        <v>59</v>
      </c>
      <c r="C9988" s="2" t="str">
        <f t="shared" si="386"/>
        <v>UN</v>
      </c>
      <c r="D9988" s="7">
        <v>1300</v>
      </c>
      <c r="E9988" s="3">
        <v>13</v>
      </c>
      <c r="F9988" s="3">
        <v>13</v>
      </c>
      <c r="G9988" t="s">
        <v>514</v>
      </c>
    </row>
    <row r="9989" spans="1:7" x14ac:dyDescent="0.25">
      <c r="A9989" s="1" t="str">
        <f>"515263"</f>
        <v>515263</v>
      </c>
      <c r="B9989" s="8" t="s">
        <v>57</v>
      </c>
      <c r="C9989" s="2" t="str">
        <f t="shared" si="386"/>
        <v>UN</v>
      </c>
      <c r="D9989" s="7">
        <v>1300</v>
      </c>
      <c r="E9989" s="3">
        <v>13</v>
      </c>
      <c r="F9989" s="3">
        <v>13</v>
      </c>
      <c r="G9989" t="s">
        <v>514</v>
      </c>
    </row>
    <row r="9990" spans="1:7" x14ac:dyDescent="0.25">
      <c r="A9990" s="1" t="str">
        <f>"512534"</f>
        <v>512534</v>
      </c>
      <c r="B9990" s="2" t="str">
        <f>"ENVASADORA CEL.CARGA C/ TAMP. ECCT18.8/4"</f>
        <v>ENVASADORA CEL.CARGA C/ TAMP. ECCT18.8/4</v>
      </c>
      <c r="C9990" s="2" t="str">
        <f t="shared" si="386"/>
        <v>UN</v>
      </c>
      <c r="D9990" s="7">
        <v>704</v>
      </c>
      <c r="E9990" s="3">
        <v>9</v>
      </c>
      <c r="F9990" s="3">
        <v>9</v>
      </c>
      <c r="G9990" t="s">
        <v>514</v>
      </c>
    </row>
    <row r="9991" spans="1:7" x14ac:dyDescent="0.25">
      <c r="A9991" s="1" t="str">
        <f>"515728"</f>
        <v>515728</v>
      </c>
      <c r="B9991" s="2" t="str">
        <f>"ENVELOPAMENTO VEICULO"</f>
        <v>ENVELOPAMENTO VEICULO</v>
      </c>
      <c r="C9991" s="2" t="str">
        <f t="shared" si="386"/>
        <v>UN</v>
      </c>
      <c r="D9991" s="7">
        <v>401</v>
      </c>
      <c r="E9991" s="3">
        <v>4</v>
      </c>
      <c r="F9991" s="3">
        <v>4</v>
      </c>
      <c r="G9991" t="s">
        <v>513</v>
      </c>
    </row>
    <row r="9992" spans="1:7" x14ac:dyDescent="0.25">
      <c r="A9992" s="1" t="str">
        <f>"2243"</f>
        <v>2243</v>
      </c>
      <c r="B9992" s="2" t="str">
        <f>"ENVELOPE CARTA 114X162MM"</f>
        <v>ENVELOPE CARTA 114X162MM</v>
      </c>
      <c r="C9992" s="2" t="str">
        <f>"PC"</f>
        <v>PC</v>
      </c>
      <c r="D9992" s="7">
        <v>401</v>
      </c>
      <c r="E9992" s="3">
        <v>4</v>
      </c>
      <c r="F9992" s="3">
        <v>4</v>
      </c>
      <c r="G9992" t="s">
        <v>513</v>
      </c>
    </row>
    <row r="9993" spans="1:7" x14ac:dyDescent="0.25">
      <c r="A9993" s="1" t="str">
        <f>"6240"</f>
        <v>6240</v>
      </c>
      <c r="B9993" s="2" t="str">
        <f>"ENVELOPE CARTA 114X229 OFICIO"</f>
        <v>ENVELOPE CARTA 114X229 OFICIO</v>
      </c>
      <c r="C9993" s="2" t="str">
        <f>"CX"</f>
        <v>CX</v>
      </c>
      <c r="D9993" s="7">
        <v>401</v>
      </c>
      <c r="E9993" s="3">
        <v>4</v>
      </c>
      <c r="F9993" s="3">
        <v>4</v>
      </c>
      <c r="G9993" t="s">
        <v>513</v>
      </c>
    </row>
    <row r="9994" spans="1:7" x14ac:dyDescent="0.25">
      <c r="A9994" s="1" t="str">
        <f>"513781"</f>
        <v>513781</v>
      </c>
      <c r="B9994" s="2" t="str">
        <f>"ENVELOPE CD"</f>
        <v>ENVELOPE CD</v>
      </c>
      <c r="C9994" s="2" t="str">
        <f t="shared" ref="C9994:C10007" si="387">"UN"</f>
        <v>UN</v>
      </c>
      <c r="D9994" s="7">
        <v>401</v>
      </c>
      <c r="E9994" s="3">
        <v>4</v>
      </c>
      <c r="F9994" s="3">
        <v>4</v>
      </c>
      <c r="G9994" t="s">
        <v>512</v>
      </c>
    </row>
    <row r="9995" spans="1:7" x14ac:dyDescent="0.25">
      <c r="A9995" s="1" t="str">
        <f>"513780"</f>
        <v>513780</v>
      </c>
      <c r="B9995" s="2" t="str">
        <f>"ENVELOPE OURO"</f>
        <v>ENVELOPE OURO</v>
      </c>
      <c r="C9995" s="2" t="str">
        <f t="shared" si="387"/>
        <v>UN</v>
      </c>
      <c r="D9995" s="7">
        <v>401</v>
      </c>
      <c r="E9995" s="3">
        <v>4</v>
      </c>
      <c r="F9995" s="3">
        <v>4</v>
      </c>
      <c r="G9995" t="s">
        <v>513</v>
      </c>
    </row>
    <row r="9996" spans="1:7" x14ac:dyDescent="0.25">
      <c r="A9996" s="1" t="str">
        <f>"6331"</f>
        <v>6331</v>
      </c>
      <c r="B9996" s="2" t="str">
        <f>"ENVELOPE PLASTICO 4 FUROS 240X330MM"</f>
        <v>ENVELOPE PLASTICO 4 FUROS 240X330MM</v>
      </c>
      <c r="C9996" s="2" t="str">
        <f t="shared" si="387"/>
        <v>UN</v>
      </c>
      <c r="D9996" s="7">
        <v>401</v>
      </c>
      <c r="E9996" s="3">
        <v>4</v>
      </c>
      <c r="F9996" s="3">
        <v>4</v>
      </c>
      <c r="G9996" t="s">
        <v>514</v>
      </c>
    </row>
    <row r="9997" spans="1:7" x14ac:dyDescent="0.25">
      <c r="A9997" s="1" t="str">
        <f>"523100"</f>
        <v>523100</v>
      </c>
      <c r="B9997" s="2" t="str">
        <f>"ENVELOPE PLASTICO S/ FURO"</f>
        <v>ENVELOPE PLASTICO S/ FURO</v>
      </c>
      <c r="C9997" s="2" t="str">
        <f t="shared" si="387"/>
        <v>UN</v>
      </c>
      <c r="D9997" s="7">
        <v>401</v>
      </c>
      <c r="E9997" s="3">
        <v>4</v>
      </c>
      <c r="F9997" s="3">
        <v>4</v>
      </c>
      <c r="G9997" t="s">
        <v>515</v>
      </c>
    </row>
    <row r="9998" spans="1:7" x14ac:dyDescent="0.25">
      <c r="A9998" s="1" t="str">
        <f>"518099"</f>
        <v>518099</v>
      </c>
      <c r="B9998" s="2" t="str">
        <f>"ENVELOPE RECICLADO"</f>
        <v>ENVELOPE RECICLADO</v>
      </c>
      <c r="C9998" s="2" t="str">
        <f t="shared" si="387"/>
        <v>UN</v>
      </c>
      <c r="D9998" s="7">
        <v>401</v>
      </c>
      <c r="E9998" s="3">
        <v>4</v>
      </c>
      <c r="F9998" s="3">
        <v>4</v>
      </c>
      <c r="G9998" t="s">
        <v>512</v>
      </c>
    </row>
    <row r="9999" spans="1:7" x14ac:dyDescent="0.25">
      <c r="A9999" s="1" t="str">
        <f>"6310"</f>
        <v>6310</v>
      </c>
      <c r="B9999" s="2" t="str">
        <f>"ENVELOPE SACO KN 162X229"</f>
        <v>ENVELOPE SACO KN 162X229</v>
      </c>
      <c r="C9999" s="2" t="str">
        <f t="shared" si="387"/>
        <v>UN</v>
      </c>
      <c r="D9999" s="7">
        <v>401</v>
      </c>
      <c r="E9999" s="3">
        <v>4</v>
      </c>
      <c r="F9999" s="3">
        <v>4</v>
      </c>
      <c r="G9999" t="s">
        <v>516</v>
      </c>
    </row>
    <row r="10000" spans="1:7" x14ac:dyDescent="0.25">
      <c r="A10000" s="1" t="str">
        <f>"2749"</f>
        <v>2749</v>
      </c>
      <c r="B10000" s="2" t="str">
        <f>"ENVELOPE SACO KN25 176X250"</f>
        <v>ENVELOPE SACO KN25 176X250</v>
      </c>
      <c r="C10000" s="2" t="str">
        <f t="shared" si="387"/>
        <v>UN</v>
      </c>
      <c r="D10000" s="7">
        <v>401</v>
      </c>
      <c r="E10000" s="3">
        <v>4</v>
      </c>
      <c r="F10000" s="3">
        <v>4</v>
      </c>
      <c r="G10000" t="s">
        <v>515</v>
      </c>
    </row>
    <row r="10001" spans="1:7" x14ac:dyDescent="0.25">
      <c r="A10001" s="1" t="str">
        <f>"523099"</f>
        <v>523099</v>
      </c>
      <c r="B10001" s="2" t="str">
        <f>"ENVELOPE SACO KN25 185x250"</f>
        <v>ENVELOPE SACO KN25 185x250</v>
      </c>
      <c r="C10001" s="2" t="str">
        <f t="shared" si="387"/>
        <v>UN</v>
      </c>
      <c r="D10001" s="7">
        <v>401</v>
      </c>
      <c r="E10001" s="3">
        <v>4</v>
      </c>
      <c r="F10001" s="3">
        <v>4</v>
      </c>
      <c r="G10001" t="s">
        <v>514</v>
      </c>
    </row>
    <row r="10002" spans="1:7" x14ac:dyDescent="0.25">
      <c r="A10002" s="1" t="str">
        <f>"2746"</f>
        <v>2746</v>
      </c>
      <c r="B10002" s="2" t="str">
        <f>"ENVELOPE SACO KN25 240X340"</f>
        <v>ENVELOPE SACO KN25 240X340</v>
      </c>
      <c r="C10002" s="2" t="str">
        <f t="shared" si="387"/>
        <v>UN</v>
      </c>
      <c r="D10002" s="7">
        <v>401</v>
      </c>
      <c r="E10002" s="3">
        <v>4</v>
      </c>
      <c r="F10002" s="3">
        <v>4</v>
      </c>
      <c r="G10002" t="s">
        <v>512</v>
      </c>
    </row>
    <row r="10003" spans="1:7" x14ac:dyDescent="0.25">
      <c r="A10003" s="1" t="str">
        <f>"519720"</f>
        <v>519720</v>
      </c>
      <c r="B10003" s="2" t="str">
        <f>"ENVELOPE SACO KN25 250X353"</f>
        <v>ENVELOPE SACO KN25 250X353</v>
      </c>
      <c r="C10003" s="2" t="str">
        <f t="shared" si="387"/>
        <v>UN</v>
      </c>
      <c r="D10003" s="7">
        <v>401</v>
      </c>
      <c r="E10003" s="3">
        <v>4</v>
      </c>
      <c r="F10003" s="3">
        <v>4</v>
      </c>
      <c r="G10003" t="s">
        <v>513</v>
      </c>
    </row>
    <row r="10004" spans="1:7" x14ac:dyDescent="0.25">
      <c r="A10004" s="1" t="str">
        <f>"2747"</f>
        <v>2747</v>
      </c>
      <c r="B10004" s="2" t="str">
        <f>"ENVELOPE SACO KN36 360X260"</f>
        <v>ENVELOPE SACO KN36 360X260</v>
      </c>
      <c r="C10004" s="2" t="str">
        <f t="shared" si="387"/>
        <v>UN</v>
      </c>
      <c r="D10004" s="7">
        <v>401</v>
      </c>
      <c r="E10004" s="3">
        <v>4</v>
      </c>
      <c r="F10004" s="3">
        <v>4</v>
      </c>
      <c r="G10004" t="s">
        <v>514</v>
      </c>
    </row>
    <row r="10005" spans="1:7" x14ac:dyDescent="0.25">
      <c r="A10005" s="1" t="str">
        <f>"2750"</f>
        <v>2750</v>
      </c>
      <c r="B10005" s="2" t="str">
        <f>"ENVELOPE SACO KN41 400X300"</f>
        <v>ENVELOPE SACO KN41 400X300</v>
      </c>
      <c r="C10005" s="2" t="str">
        <f t="shared" si="387"/>
        <v>UN</v>
      </c>
      <c r="D10005" s="7">
        <v>401</v>
      </c>
      <c r="E10005" s="3">
        <v>4</v>
      </c>
      <c r="F10005" s="3">
        <v>4</v>
      </c>
      <c r="G10005" t="s">
        <v>514</v>
      </c>
    </row>
    <row r="10006" spans="1:7" x14ac:dyDescent="0.25">
      <c r="A10006" s="1" t="str">
        <f>"527295"</f>
        <v>527295</v>
      </c>
      <c r="B10006" s="2" t="str">
        <f>"ENVELOPE VAI/VEM OF PLASTICO 260X350MM C/ 12 ACRIMET 93920"</f>
        <v>ENVELOPE VAI/VEM OF PLASTICO 260X350MM C/ 12 ACRIMET 93920</v>
      </c>
      <c r="C10006" s="2" t="str">
        <f t="shared" si="387"/>
        <v>UN</v>
      </c>
      <c r="D10006" s="7">
        <v>401</v>
      </c>
      <c r="E10006" s="3">
        <v>4</v>
      </c>
      <c r="F10006" s="3">
        <v>4</v>
      </c>
      <c r="G10006" t="s">
        <v>512</v>
      </c>
    </row>
    <row r="10007" spans="1:7" x14ac:dyDescent="0.25">
      <c r="A10007" s="1" t="str">
        <f>"526367"</f>
        <v>526367</v>
      </c>
      <c r="B10007" s="2" t="str">
        <f>"ENXAGUANTE BUCAL"</f>
        <v>ENXAGUANTE BUCAL</v>
      </c>
      <c r="C10007" s="2" t="str">
        <f t="shared" si="387"/>
        <v>UN</v>
      </c>
      <c r="D10007" s="7">
        <v>99999</v>
      </c>
      <c r="E10007" s="3">
        <v>99</v>
      </c>
      <c r="F10007" s="3">
        <v>99</v>
      </c>
      <c r="G10007" t="s">
        <v>513</v>
      </c>
    </row>
    <row r="10008" spans="1:7" x14ac:dyDescent="0.25">
      <c r="A10008" s="1" t="str">
        <f>"6002"</f>
        <v>6002</v>
      </c>
      <c r="B10008" s="2" t="str">
        <f>"ENZIMA GRANOLACT 6500"</f>
        <v>ENZIMA GRANOLACT 6500</v>
      </c>
      <c r="C10008" s="2" t="str">
        <f>"KG"</f>
        <v>KG</v>
      </c>
      <c r="D10008" s="7">
        <v>221</v>
      </c>
      <c r="E10008" s="3">
        <v>2</v>
      </c>
      <c r="F10008" s="3">
        <v>2</v>
      </c>
      <c r="G10008" t="s">
        <v>514</v>
      </c>
    </row>
    <row r="10009" spans="1:7" x14ac:dyDescent="0.25">
      <c r="A10009" s="1" t="str">
        <f>"6694"</f>
        <v>6694</v>
      </c>
      <c r="B10009" s="2" t="str">
        <f>"ENZIMA HA-LACTASE 5200 GL (LT)"</f>
        <v>ENZIMA HA-LACTASE 5200 GL (LT)</v>
      </c>
      <c r="C10009" s="2" t="str">
        <f>"LT"</f>
        <v>LT</v>
      </c>
      <c r="D10009" s="7">
        <v>221</v>
      </c>
      <c r="E10009" s="3">
        <v>2</v>
      </c>
      <c r="F10009" s="3">
        <v>2</v>
      </c>
      <c r="G10009" t="s">
        <v>514</v>
      </c>
    </row>
    <row r="10010" spans="1:7" x14ac:dyDescent="0.25">
      <c r="A10010" s="1" t="str">
        <f>"6001"</f>
        <v>6001</v>
      </c>
      <c r="B10010" s="2" t="str">
        <f>"ENZIMA MAXILACT LGI 5000 GLOBALFOOD"</f>
        <v>ENZIMA MAXILACT LGI 5000 GLOBALFOOD</v>
      </c>
      <c r="C10010" s="2" t="str">
        <f>"KG"</f>
        <v>KG</v>
      </c>
      <c r="D10010" s="7">
        <v>221</v>
      </c>
      <c r="E10010" s="3">
        <v>2</v>
      </c>
      <c r="F10010" s="3">
        <v>2</v>
      </c>
      <c r="G10010" t="s">
        <v>514</v>
      </c>
    </row>
    <row r="10011" spans="1:7" x14ac:dyDescent="0.25">
      <c r="A10011" s="1" t="str">
        <f>"6218"</f>
        <v>6218</v>
      </c>
      <c r="B10011" s="2" t="str">
        <f>"ENZIMA QUIMOSINA CHYMAX EXTRA 570 IMCU/5 LITROS"</f>
        <v>ENZIMA QUIMOSINA CHYMAX EXTRA 570 IMCU/5 LITROS</v>
      </c>
      <c r="C10011" s="2" t="str">
        <f>"LT"</f>
        <v>LT</v>
      </c>
      <c r="D10011" s="7">
        <v>213</v>
      </c>
      <c r="E10011" s="3">
        <v>2</v>
      </c>
      <c r="F10011" s="3">
        <v>2</v>
      </c>
      <c r="G10011" t="s">
        <v>513</v>
      </c>
    </row>
    <row r="10012" spans="1:7" x14ac:dyDescent="0.25">
      <c r="A10012" s="1" t="str">
        <f>"503152"</f>
        <v>503152</v>
      </c>
      <c r="B10012" s="2" t="str">
        <f>"EP021 06-06 P/ MANGUEIRA HIDR"</f>
        <v>EP021 06-06 P/ MANGUEIRA HIDR</v>
      </c>
      <c r="C10012" s="2" t="str">
        <f>"MT"</f>
        <v>MT</v>
      </c>
      <c r="D10012" s="7">
        <v>810</v>
      </c>
      <c r="E10012" s="3">
        <v>10</v>
      </c>
      <c r="F10012" s="3">
        <v>10</v>
      </c>
      <c r="G10012" t="s">
        <v>512</v>
      </c>
    </row>
    <row r="10013" spans="1:7" x14ac:dyDescent="0.25">
      <c r="A10013" s="1" t="str">
        <f>"505772"</f>
        <v>505772</v>
      </c>
      <c r="B10013" s="2" t="str">
        <f>"EP021 12-10 P/ MANGUEIRA HIDR"</f>
        <v>EP021 12-10 P/ MANGUEIRA HIDR</v>
      </c>
      <c r="C10013" s="2" t="str">
        <f>"UN"</f>
        <v>UN</v>
      </c>
      <c r="D10013" s="7">
        <v>402</v>
      </c>
      <c r="E10013" s="3">
        <v>4</v>
      </c>
      <c r="F10013" s="3">
        <v>4</v>
      </c>
      <c r="G10013" t="s">
        <v>513</v>
      </c>
    </row>
    <row r="10014" spans="1:7" x14ac:dyDescent="0.25">
      <c r="A10014" s="1" t="str">
        <f>"503508"</f>
        <v>503508</v>
      </c>
      <c r="B10014" s="2" t="str">
        <f>"EP021 12-12 P/ MANGUEIRA HIDR."</f>
        <v>EP021 12-12 P/ MANGUEIRA HIDR.</v>
      </c>
      <c r="C10014" s="2" t="str">
        <f t="shared" ref="C10014:C10022" si="388">"MT"</f>
        <v>MT</v>
      </c>
      <c r="D10014" s="7">
        <v>810</v>
      </c>
      <c r="E10014" s="3">
        <v>10</v>
      </c>
      <c r="F10014" s="3">
        <v>10</v>
      </c>
      <c r="G10014" t="s">
        <v>514</v>
      </c>
    </row>
    <row r="10015" spans="1:7" x14ac:dyDescent="0.25">
      <c r="A10015" s="1" t="str">
        <f>"503192"</f>
        <v>503192</v>
      </c>
      <c r="B10015" s="2" t="str">
        <f>"EP022 02-04 P/ MANGUEIRA HIDR"</f>
        <v>EP022 02-04 P/ MANGUEIRA HIDR</v>
      </c>
      <c r="C10015" s="2" t="str">
        <f t="shared" si="388"/>
        <v>MT</v>
      </c>
      <c r="D10015" s="7">
        <v>810</v>
      </c>
      <c r="E10015" s="3">
        <v>10</v>
      </c>
      <c r="F10015" s="3">
        <v>10</v>
      </c>
      <c r="G10015" t="s">
        <v>514</v>
      </c>
    </row>
    <row r="10016" spans="1:7" x14ac:dyDescent="0.25">
      <c r="A10016" s="1" t="str">
        <f>"504433"</f>
        <v>504433</v>
      </c>
      <c r="B10016" s="2" t="str">
        <f>"EP022 06-06"</f>
        <v>EP022 06-06</v>
      </c>
      <c r="C10016" s="2" t="str">
        <f t="shared" si="388"/>
        <v>MT</v>
      </c>
      <c r="D10016" s="7">
        <v>810</v>
      </c>
      <c r="E10016" s="3">
        <v>10</v>
      </c>
      <c r="F10016" s="3">
        <v>10</v>
      </c>
      <c r="G10016" t="s">
        <v>514</v>
      </c>
    </row>
    <row r="10017" spans="1:7" x14ac:dyDescent="0.25">
      <c r="A10017" s="1" t="str">
        <f>"503190"</f>
        <v>503190</v>
      </c>
      <c r="B10017" s="2" t="str">
        <f>"EP025 06-06 P/ MANGUEIRA HIDR"</f>
        <v>EP025 06-06 P/ MANGUEIRA HIDR</v>
      </c>
      <c r="C10017" s="2" t="str">
        <f t="shared" si="388"/>
        <v>MT</v>
      </c>
      <c r="D10017" s="7">
        <v>810</v>
      </c>
      <c r="E10017" s="3">
        <v>10</v>
      </c>
      <c r="F10017" s="3">
        <v>10</v>
      </c>
      <c r="G10017" t="s">
        <v>513</v>
      </c>
    </row>
    <row r="10018" spans="1:7" x14ac:dyDescent="0.25">
      <c r="A10018" s="1" t="str">
        <f>"503655"</f>
        <v>503655</v>
      </c>
      <c r="B10018" s="2" t="str">
        <f>"EP060 04-04 P/ MANGUEIRA HIDR"</f>
        <v>EP060 04-04 P/ MANGUEIRA HIDR</v>
      </c>
      <c r="C10018" s="2" t="str">
        <f t="shared" si="388"/>
        <v>MT</v>
      </c>
      <c r="D10018" s="7">
        <v>810</v>
      </c>
      <c r="E10018" s="3">
        <v>10</v>
      </c>
      <c r="F10018" s="3">
        <v>10</v>
      </c>
      <c r="G10018" t="s">
        <v>513</v>
      </c>
    </row>
    <row r="10019" spans="1:7" x14ac:dyDescent="0.25">
      <c r="A10019" s="1" t="str">
        <f>"502806"</f>
        <v>502806</v>
      </c>
      <c r="B10019" s="2" t="str">
        <f>"EP060 08-08 P/ MANGUEIRA HIDR"</f>
        <v>EP060 08-08 P/ MANGUEIRA HIDR</v>
      </c>
      <c r="C10019" s="2" t="str">
        <f t="shared" si="388"/>
        <v>MT</v>
      </c>
      <c r="D10019" s="7">
        <v>810</v>
      </c>
      <c r="E10019" s="3">
        <v>10</v>
      </c>
      <c r="F10019" s="3">
        <v>10</v>
      </c>
      <c r="G10019" t="s">
        <v>513</v>
      </c>
    </row>
    <row r="10020" spans="1:7" x14ac:dyDescent="0.25">
      <c r="A10020" s="1" t="str">
        <f>"503676"</f>
        <v>503676</v>
      </c>
      <c r="B10020" s="2" t="str">
        <f>"EP064 12-10 P/ MANGUEIRA HIDR"</f>
        <v>EP064 12-10 P/ MANGUEIRA HIDR</v>
      </c>
      <c r="C10020" s="2" t="str">
        <f t="shared" si="388"/>
        <v>MT</v>
      </c>
      <c r="D10020" s="7">
        <v>810</v>
      </c>
      <c r="E10020" s="3">
        <v>10</v>
      </c>
      <c r="F10020" s="3">
        <v>10</v>
      </c>
      <c r="G10020" t="s">
        <v>512</v>
      </c>
    </row>
    <row r="10021" spans="1:7" x14ac:dyDescent="0.25">
      <c r="A10021" s="1" t="str">
        <f>"502938"</f>
        <v>502938</v>
      </c>
      <c r="B10021" s="2" t="str">
        <f>"EP091 - 08 P/ MANGUEIRA HIDR"</f>
        <v>EP091 - 08 P/ MANGUEIRA HIDR</v>
      </c>
      <c r="C10021" s="2" t="str">
        <f t="shared" si="388"/>
        <v>MT</v>
      </c>
      <c r="D10021" s="7">
        <v>810</v>
      </c>
      <c r="E10021" s="3">
        <v>10</v>
      </c>
      <c r="F10021" s="3">
        <v>10</v>
      </c>
      <c r="G10021" t="s">
        <v>513</v>
      </c>
    </row>
    <row r="10022" spans="1:7" x14ac:dyDescent="0.25">
      <c r="A10022" s="1" t="str">
        <f>"502939"</f>
        <v>502939</v>
      </c>
      <c r="B10022" s="2" t="str">
        <f>"EP091 - 12 P/ MANGUEIRA HIDR"</f>
        <v>EP091 - 12 P/ MANGUEIRA HIDR</v>
      </c>
      <c r="C10022" s="2" t="str">
        <f t="shared" si="388"/>
        <v>MT</v>
      </c>
      <c r="D10022" s="7">
        <v>810</v>
      </c>
      <c r="E10022" s="3">
        <v>10</v>
      </c>
      <c r="F10022" s="3">
        <v>10</v>
      </c>
      <c r="G10022" t="s">
        <v>514</v>
      </c>
    </row>
    <row r="10023" spans="1:7" x14ac:dyDescent="0.25">
      <c r="A10023" s="1" t="str">
        <f>"527706"</f>
        <v>527706</v>
      </c>
      <c r="B10023" s="2" t="str">
        <f>"EPI'S CONTAMINADOS"</f>
        <v>EPI'S CONTAMINADOS</v>
      </c>
      <c r="C10023" s="2" t="str">
        <f>"KG"</f>
        <v>KG</v>
      </c>
      <c r="D10023" s="7">
        <v>99999</v>
      </c>
      <c r="E10023" s="3">
        <v>99</v>
      </c>
      <c r="F10023" s="3">
        <v>99</v>
      </c>
      <c r="G10023" t="s">
        <v>515</v>
      </c>
    </row>
    <row r="10024" spans="1:7" x14ac:dyDescent="0.25">
      <c r="A10024" s="1" t="str">
        <f>"515475"</f>
        <v>515475</v>
      </c>
      <c r="B10024" s="2" t="str">
        <f>"EPITEGEL GEL OFT"</f>
        <v>EPITEGEL GEL OFT</v>
      </c>
      <c r="C10024" s="2" t="str">
        <f t="shared" ref="C10024:C10029" si="389">"UN"</f>
        <v>UN</v>
      </c>
      <c r="D10024" s="7">
        <v>406</v>
      </c>
      <c r="E10024" s="3">
        <v>4</v>
      </c>
      <c r="F10024" s="3">
        <v>4</v>
      </c>
      <c r="G10024" t="s">
        <v>512</v>
      </c>
    </row>
    <row r="10025" spans="1:7" x14ac:dyDescent="0.25">
      <c r="A10025" s="1" t="str">
        <f>"505552"</f>
        <v>505552</v>
      </c>
      <c r="B10025" s="2" t="str">
        <f>"EPJ60 06-06 P/ MANGUEIRA HIDR"</f>
        <v>EPJ60 06-06 P/ MANGUEIRA HIDR</v>
      </c>
      <c r="C10025" s="2" t="str">
        <f t="shared" si="389"/>
        <v>UN</v>
      </c>
      <c r="D10025" s="7">
        <v>914</v>
      </c>
      <c r="E10025" s="3">
        <v>11</v>
      </c>
      <c r="F10025" s="3">
        <v>11</v>
      </c>
      <c r="G10025" t="s">
        <v>516</v>
      </c>
    </row>
    <row r="10026" spans="1:7" x14ac:dyDescent="0.25">
      <c r="A10026" s="1" t="str">
        <f>"505928"</f>
        <v>505928</v>
      </c>
      <c r="B10026" s="2" t="str">
        <f>"EPO22 04-04 P/ MANGUEIRA HIDR"</f>
        <v>EPO22 04-04 P/ MANGUEIRA HIDR</v>
      </c>
      <c r="C10026" s="2" t="str">
        <f t="shared" si="389"/>
        <v>UN</v>
      </c>
      <c r="D10026" s="7">
        <v>918</v>
      </c>
      <c r="E10026" s="3">
        <v>11</v>
      </c>
      <c r="F10026" s="3">
        <v>11</v>
      </c>
      <c r="G10026" t="s">
        <v>515</v>
      </c>
    </row>
    <row r="10027" spans="1:7" x14ac:dyDescent="0.25">
      <c r="A10027" s="1" t="str">
        <f>"505771"</f>
        <v>505771</v>
      </c>
      <c r="B10027" s="2" t="str">
        <f>"EPO25 12-10 P/ MANGUEIRA HIDR"</f>
        <v>EPO25 12-10 P/ MANGUEIRA HIDR</v>
      </c>
      <c r="C10027" s="2" t="str">
        <f t="shared" si="389"/>
        <v>UN</v>
      </c>
      <c r="D10027" s="7">
        <v>402</v>
      </c>
      <c r="E10027" s="3">
        <v>4</v>
      </c>
      <c r="F10027" s="3">
        <v>4</v>
      </c>
      <c r="G10027" t="s">
        <v>514</v>
      </c>
    </row>
    <row r="10028" spans="1:7" x14ac:dyDescent="0.25">
      <c r="A10028" s="1" t="str">
        <f>"524533"</f>
        <v>524533</v>
      </c>
      <c r="B10028" s="2" t="str">
        <f>"EPOXI 4X1 POLIAMINA AMARELO SEG. C/CATAL.RIBERLUX"</f>
        <v>EPOXI 4X1 POLIAMINA AMARELO SEG. C/CATAL.RIBERLUX</v>
      </c>
      <c r="C10028" s="2" t="str">
        <f t="shared" si="389"/>
        <v>UN</v>
      </c>
      <c r="D10028" s="7">
        <v>917</v>
      </c>
      <c r="E10028" s="3">
        <v>4</v>
      </c>
      <c r="F10028" s="3">
        <v>4</v>
      </c>
      <c r="G10028" t="s">
        <v>512</v>
      </c>
    </row>
    <row r="10029" spans="1:7" x14ac:dyDescent="0.25">
      <c r="A10029" s="1" t="str">
        <f>"524532"</f>
        <v>524532</v>
      </c>
      <c r="B10029" s="2" t="str">
        <f>"EPOXI 4X1 POLIAMINA CINZA N 6,5. C/CATAL.RIBERLUX"</f>
        <v>EPOXI 4X1 POLIAMINA CINZA N 6,5. C/CATAL.RIBERLUX</v>
      </c>
      <c r="C10029" s="2" t="str">
        <f t="shared" si="389"/>
        <v>UN</v>
      </c>
      <c r="D10029" s="7">
        <v>917</v>
      </c>
      <c r="E10029" s="3">
        <v>4</v>
      </c>
      <c r="F10029" s="3">
        <v>4</v>
      </c>
      <c r="G10029" t="s">
        <v>513</v>
      </c>
    </row>
    <row r="10030" spans="1:7" x14ac:dyDescent="0.25">
      <c r="A10030" s="1" t="str">
        <f>"504434"</f>
        <v>504434</v>
      </c>
      <c r="B10030" s="2" t="str">
        <f>"EPX 18-06"</f>
        <v>EPX 18-06</v>
      </c>
      <c r="C10030" s="2" t="str">
        <f>"MT"</f>
        <v>MT</v>
      </c>
      <c r="D10030" s="7">
        <v>810</v>
      </c>
      <c r="E10030" s="3">
        <v>10</v>
      </c>
      <c r="F10030" s="3">
        <v>10</v>
      </c>
      <c r="G10030" t="s">
        <v>514</v>
      </c>
    </row>
    <row r="10031" spans="1:7" x14ac:dyDescent="0.25">
      <c r="A10031" s="1" t="str">
        <f>"505143"</f>
        <v>505143</v>
      </c>
      <c r="B10031" s="2" t="str">
        <f>"EPX 24-08"</f>
        <v>EPX 24-08</v>
      </c>
      <c r="C10031" s="2" t="str">
        <f>"MT"</f>
        <v>MT</v>
      </c>
      <c r="D10031" s="7">
        <v>810</v>
      </c>
      <c r="E10031" s="3">
        <v>10</v>
      </c>
      <c r="F10031" s="3">
        <v>10</v>
      </c>
      <c r="G10031" t="s">
        <v>514</v>
      </c>
    </row>
    <row r="10032" spans="1:7" x14ac:dyDescent="0.25">
      <c r="A10032" s="1" t="str">
        <f>"505142"</f>
        <v>505142</v>
      </c>
      <c r="B10032" s="2" t="str">
        <f>"EPX 24-08 90º"</f>
        <v>EPX 24-08 90º</v>
      </c>
      <c r="C10032" s="2" t="str">
        <f>"MT"</f>
        <v>MT</v>
      </c>
      <c r="D10032" s="7">
        <v>810</v>
      </c>
      <c r="E10032" s="3">
        <v>10</v>
      </c>
      <c r="F10032" s="3">
        <v>10</v>
      </c>
      <c r="G10032" t="s">
        <v>512</v>
      </c>
    </row>
    <row r="10033" spans="1:7" x14ac:dyDescent="0.25">
      <c r="A10033" s="1" t="str">
        <f>"503244"</f>
        <v>503244</v>
      </c>
      <c r="B10033" s="2" t="str">
        <f>"EPX 30-12 90º"</f>
        <v>EPX 30-12 90º</v>
      </c>
      <c r="C10033" s="2" t="str">
        <f>"MT"</f>
        <v>MT</v>
      </c>
      <c r="D10033" s="7">
        <v>810</v>
      </c>
      <c r="E10033" s="3">
        <v>10</v>
      </c>
      <c r="F10033" s="3">
        <v>10</v>
      </c>
      <c r="G10033" t="s">
        <v>513</v>
      </c>
    </row>
    <row r="10034" spans="1:7" x14ac:dyDescent="0.25">
      <c r="A10034" s="1" t="str">
        <f>"503243"</f>
        <v>503243</v>
      </c>
      <c r="B10034" s="2" t="str">
        <f>"EPX 30-12 P/ MANGUEIRA HIDRAULICA"</f>
        <v>EPX 30-12 P/ MANGUEIRA HIDRAULICA</v>
      </c>
      <c r="C10034" s="2" t="str">
        <f>"MT"</f>
        <v>MT</v>
      </c>
      <c r="D10034" s="7">
        <v>810</v>
      </c>
      <c r="E10034" s="3">
        <v>10</v>
      </c>
      <c r="F10034" s="3">
        <v>10</v>
      </c>
      <c r="G10034" t="s">
        <v>514</v>
      </c>
    </row>
    <row r="10035" spans="1:7" x14ac:dyDescent="0.25">
      <c r="A10035" s="1" t="str">
        <f>"520820"</f>
        <v>520820</v>
      </c>
      <c r="B10035" s="2" t="str">
        <f>"EQUIP. ELET. MICROP. FORÇA 0,1MM ATÉ 5KGF MOD. TA.XT/PLUS/5"</f>
        <v>EQUIP. ELET. MICROP. FORÇA 0,1MM ATÉ 5KGF MOD. TA.XT/PLUS/5</v>
      </c>
      <c r="C10035" s="2" t="str">
        <f t="shared" ref="C10035:C10042" si="390">"UN"</f>
        <v>UN</v>
      </c>
      <c r="D10035" s="7">
        <v>1200</v>
      </c>
      <c r="E10035" s="3">
        <v>13</v>
      </c>
      <c r="F10035" s="3">
        <v>13</v>
      </c>
      <c r="G10035" t="s">
        <v>514</v>
      </c>
    </row>
    <row r="10036" spans="1:7" x14ac:dyDescent="0.25">
      <c r="A10036" s="1" t="str">
        <f>"527198"</f>
        <v>527198</v>
      </c>
      <c r="B10036" s="2" t="str">
        <f>"EQUIPAMENTO AUTONOMO COMPOSITE 300BAR 6,8LT MSA CA-40281"</f>
        <v>EQUIPAMENTO AUTONOMO COMPOSITE 300BAR 6,8LT MSA CA-40281</v>
      </c>
      <c r="C10036" s="2" t="str">
        <f t="shared" si="390"/>
        <v>UN</v>
      </c>
      <c r="D10036" s="7">
        <v>501</v>
      </c>
      <c r="E10036" s="3">
        <v>5</v>
      </c>
      <c r="F10036" s="3">
        <v>5</v>
      </c>
      <c r="G10036" t="s">
        <v>514</v>
      </c>
    </row>
    <row r="10037" spans="1:7" x14ac:dyDescent="0.25">
      <c r="A10037" s="1" t="str">
        <f>"515270"</f>
        <v>515270</v>
      </c>
      <c r="B10037" s="2" t="str">
        <f>"EQUIPAMENTO DOSADOR DE BOMBA PARA USO EM MAQUINA ENVASADORA"</f>
        <v>EQUIPAMENTO DOSADOR DE BOMBA PARA USO EM MAQUINA ENVASADORA</v>
      </c>
      <c r="C10037" s="2" t="str">
        <f t="shared" si="390"/>
        <v>UN</v>
      </c>
      <c r="D10037" s="7">
        <v>1300</v>
      </c>
      <c r="E10037" s="3">
        <v>13</v>
      </c>
      <c r="F10037" s="3">
        <v>13</v>
      </c>
      <c r="G10037" t="s">
        <v>513</v>
      </c>
    </row>
    <row r="10038" spans="1:7" x14ac:dyDescent="0.25">
      <c r="A10038" s="1" t="str">
        <f>"520639"</f>
        <v>520639</v>
      </c>
      <c r="B10038" s="2" t="str">
        <f>"EQUIPAMENTO INFORMATICA AKER"</f>
        <v>EQUIPAMENTO INFORMATICA AKER</v>
      </c>
      <c r="C10038" s="2" t="str">
        <f t="shared" si="390"/>
        <v>UN</v>
      </c>
      <c r="D10038" s="7">
        <v>401</v>
      </c>
      <c r="E10038" s="3">
        <v>4</v>
      </c>
      <c r="F10038" s="3">
        <v>4</v>
      </c>
      <c r="G10038" t="s">
        <v>512</v>
      </c>
    </row>
    <row r="10039" spans="1:7" x14ac:dyDescent="0.25">
      <c r="A10039" s="1" t="str">
        <f>"516007"</f>
        <v>516007</v>
      </c>
      <c r="B10039" s="2" t="str">
        <f>"EQUIPAMENTO REFRIGERAÇÃO THERMO KING MD300"</f>
        <v>EQUIPAMENTO REFRIGERAÇÃO THERMO KING MD300</v>
      </c>
      <c r="C10039" s="2" t="str">
        <f t="shared" si="390"/>
        <v>UN</v>
      </c>
      <c r="D10039" s="7">
        <v>704</v>
      </c>
      <c r="E10039" s="3">
        <v>16</v>
      </c>
      <c r="F10039" s="3">
        <v>16</v>
      </c>
      <c r="G10039" t="s">
        <v>513</v>
      </c>
    </row>
    <row r="10040" spans="1:7" x14ac:dyDescent="0.25">
      <c r="A10040" s="1" t="str">
        <f>"525001"</f>
        <v>525001</v>
      </c>
      <c r="B10040" s="2" t="str">
        <f>"EQUIPAMENTOS PARA MONTAGENS"</f>
        <v>EQUIPAMENTOS PARA MONTAGENS</v>
      </c>
      <c r="C10040" s="2" t="str">
        <f t="shared" si="390"/>
        <v>UN</v>
      </c>
      <c r="D10040" s="7">
        <v>99999</v>
      </c>
      <c r="E10040" s="3">
        <v>99</v>
      </c>
      <c r="F10040" s="3">
        <v>99</v>
      </c>
      <c r="G10040" t="s">
        <v>514</v>
      </c>
    </row>
    <row r="10041" spans="1:7" x14ac:dyDescent="0.25">
      <c r="A10041" s="1" t="str">
        <f>"524629"</f>
        <v>524629</v>
      </c>
      <c r="B10041" s="8" t="s">
        <v>402</v>
      </c>
      <c r="C10041" s="2" t="str">
        <f t="shared" si="390"/>
        <v>UN</v>
      </c>
      <c r="D10041" s="7">
        <v>406</v>
      </c>
      <c r="E10041" s="3">
        <v>13</v>
      </c>
      <c r="F10041" s="3">
        <v>13</v>
      </c>
      <c r="G10041" t="s">
        <v>514</v>
      </c>
    </row>
    <row r="10042" spans="1:7" x14ac:dyDescent="0.25">
      <c r="A10042" s="1" t="str">
        <f>"3528"</f>
        <v>3528</v>
      </c>
      <c r="B10042" s="2" t="str">
        <f>"ERLENMEYER BOCA ESTREITA VIDRO BORO 50ML"</f>
        <v>ERLENMEYER BOCA ESTREITA VIDRO BORO 50ML</v>
      </c>
      <c r="C10042" s="2" t="str">
        <f t="shared" si="390"/>
        <v>UN</v>
      </c>
      <c r="D10042" s="7">
        <v>400</v>
      </c>
      <c r="E10042" s="3">
        <v>4</v>
      </c>
      <c r="F10042" s="3">
        <v>4</v>
      </c>
      <c r="G10042" t="s">
        <v>514</v>
      </c>
    </row>
    <row r="10043" spans="1:7" x14ac:dyDescent="0.25">
      <c r="A10043" s="1" t="str">
        <f>"6134"</f>
        <v>6134</v>
      </c>
      <c r="B10043" s="2" t="str">
        <f>"ERLENMEYER VIDRO 100ML CERTIFICADO"</f>
        <v>ERLENMEYER VIDRO 100ML CERTIFICADO</v>
      </c>
      <c r="C10043" s="2" t="str">
        <f>"PC"</f>
        <v>PC</v>
      </c>
      <c r="D10043" s="7">
        <v>406</v>
      </c>
      <c r="E10043" s="3">
        <v>4</v>
      </c>
      <c r="F10043" s="3">
        <v>4</v>
      </c>
      <c r="G10043" t="s">
        <v>513</v>
      </c>
    </row>
    <row r="10044" spans="1:7" x14ac:dyDescent="0.25">
      <c r="A10044" s="1" t="str">
        <f>"510871"</f>
        <v>510871</v>
      </c>
      <c r="B10044" s="2" t="str">
        <f>"ERVILHA LAR"</f>
        <v>ERVILHA LAR</v>
      </c>
      <c r="C10044" s="2" t="str">
        <f t="shared" ref="C10044:C10075" si="391">"UN"</f>
        <v>UN</v>
      </c>
      <c r="D10044" s="7">
        <v>401</v>
      </c>
      <c r="E10044" s="3">
        <v>4</v>
      </c>
      <c r="F10044" s="3">
        <v>4</v>
      </c>
      <c r="G10044" t="s">
        <v>513</v>
      </c>
    </row>
    <row r="10045" spans="1:7" x14ac:dyDescent="0.25">
      <c r="A10045" s="1" t="str">
        <f>"517281"</f>
        <v>517281</v>
      </c>
      <c r="B10045" s="2" t="str">
        <f>"ESCADA 3  DEGRAUS INOX MAQ E"</f>
        <v>ESCADA 3  DEGRAUS INOX MAQ E</v>
      </c>
      <c r="C10045" s="2" t="str">
        <f t="shared" si="391"/>
        <v>UN</v>
      </c>
      <c r="D10045" s="7">
        <v>918</v>
      </c>
      <c r="E10045" s="3">
        <v>11</v>
      </c>
      <c r="F10045" s="3">
        <v>11</v>
      </c>
      <c r="G10045" t="s">
        <v>513</v>
      </c>
    </row>
    <row r="10046" spans="1:7" x14ac:dyDescent="0.25">
      <c r="A10046" s="1" t="str">
        <f>"517226"</f>
        <v>517226</v>
      </c>
      <c r="B10046" s="2" t="str">
        <f>"ESCADA 3 DEGRAUS INOX MAQ A"</f>
        <v>ESCADA 3 DEGRAUS INOX MAQ A</v>
      </c>
      <c r="C10046" s="2" t="str">
        <f t="shared" si="391"/>
        <v>UN</v>
      </c>
      <c r="D10046" s="7">
        <v>918</v>
      </c>
      <c r="E10046" s="3">
        <v>11</v>
      </c>
      <c r="F10046" s="3">
        <v>11</v>
      </c>
      <c r="G10046" t="s">
        <v>512</v>
      </c>
    </row>
    <row r="10047" spans="1:7" x14ac:dyDescent="0.25">
      <c r="A10047" s="1" t="str">
        <f>"517225"</f>
        <v>517225</v>
      </c>
      <c r="B10047" s="2" t="str">
        <f>"ESCADA 3 DEGRAUS INOX MAQ B"</f>
        <v>ESCADA 3 DEGRAUS INOX MAQ B</v>
      </c>
      <c r="C10047" s="2" t="str">
        <f t="shared" si="391"/>
        <v>UN</v>
      </c>
      <c r="D10047" s="7">
        <v>918</v>
      </c>
      <c r="E10047" s="3">
        <v>11</v>
      </c>
      <c r="F10047" s="3">
        <v>11</v>
      </c>
      <c r="G10047" t="s">
        <v>513</v>
      </c>
    </row>
    <row r="10048" spans="1:7" x14ac:dyDescent="0.25">
      <c r="A10048" s="1" t="str">
        <f>"517227"</f>
        <v>517227</v>
      </c>
      <c r="B10048" s="2" t="str">
        <f>"ESCADA 3 DEGRAUS INOX MAQ C"</f>
        <v>ESCADA 3 DEGRAUS INOX MAQ C</v>
      </c>
      <c r="C10048" s="2" t="str">
        <f t="shared" si="391"/>
        <v>UN</v>
      </c>
      <c r="D10048" s="7">
        <v>918</v>
      </c>
      <c r="E10048" s="3">
        <v>11</v>
      </c>
      <c r="F10048" s="3">
        <v>11</v>
      </c>
      <c r="G10048" t="s">
        <v>514</v>
      </c>
    </row>
    <row r="10049" spans="1:7" x14ac:dyDescent="0.25">
      <c r="A10049" s="1" t="str">
        <f>"517272"</f>
        <v>517272</v>
      </c>
      <c r="B10049" s="2" t="str">
        <f>"ESCADA 3 DEGRAUS INOX MAQ D"</f>
        <v>ESCADA 3 DEGRAUS INOX MAQ D</v>
      </c>
      <c r="C10049" s="2" t="str">
        <f t="shared" si="391"/>
        <v>UN</v>
      </c>
      <c r="D10049" s="7">
        <v>918</v>
      </c>
      <c r="E10049" s="3">
        <v>11</v>
      </c>
      <c r="F10049" s="3">
        <v>11</v>
      </c>
      <c r="G10049" t="s">
        <v>515</v>
      </c>
    </row>
    <row r="10050" spans="1:7" x14ac:dyDescent="0.25">
      <c r="A10050" s="1" t="str">
        <f>"517291"</f>
        <v>517291</v>
      </c>
      <c r="B10050" s="2" t="str">
        <f>"ESCADA 3 DEGRAUS INOX MAQ F"</f>
        <v>ESCADA 3 DEGRAUS INOX MAQ F</v>
      </c>
      <c r="C10050" s="2" t="str">
        <f t="shared" si="391"/>
        <v>UN</v>
      </c>
      <c r="D10050" s="7">
        <v>918</v>
      </c>
      <c r="E10050" s="3">
        <v>11</v>
      </c>
      <c r="F10050" s="3">
        <v>11</v>
      </c>
      <c r="G10050" t="s">
        <v>512</v>
      </c>
    </row>
    <row r="10051" spans="1:7" x14ac:dyDescent="0.25">
      <c r="A10051" s="1" t="str">
        <f>"511468"</f>
        <v>511468</v>
      </c>
      <c r="B10051" s="2" t="str">
        <f>"ESCADA ALUMINIO 2,50 X 4,30MTS EXTENSIVEL"</f>
        <v>ESCADA ALUMINIO 2,50 X 4,30MTS EXTENSIVEL</v>
      </c>
      <c r="C10051" s="2" t="str">
        <f t="shared" si="391"/>
        <v>UN</v>
      </c>
      <c r="D10051" s="7">
        <v>403</v>
      </c>
      <c r="E10051" s="3">
        <v>4</v>
      </c>
      <c r="F10051" s="3">
        <v>4</v>
      </c>
      <c r="G10051" t="s">
        <v>516</v>
      </c>
    </row>
    <row r="10052" spans="1:7" x14ac:dyDescent="0.25">
      <c r="A10052" s="1" t="str">
        <f>"524650"</f>
        <v>524650</v>
      </c>
      <c r="B10052" s="2" t="str">
        <f>"ESCADA ALUMINIO 3 DEGRAUS"</f>
        <v>ESCADA ALUMINIO 3 DEGRAUS</v>
      </c>
      <c r="C10052" s="2" t="str">
        <f t="shared" si="391"/>
        <v>UN</v>
      </c>
      <c r="D10052" s="7">
        <v>99999</v>
      </c>
      <c r="E10052" s="3">
        <v>99</v>
      </c>
      <c r="F10052" s="3">
        <v>99</v>
      </c>
      <c r="G10052" t="s">
        <v>515</v>
      </c>
    </row>
    <row r="10053" spans="1:7" x14ac:dyDescent="0.25">
      <c r="A10053" s="1" t="str">
        <f>"503257"</f>
        <v>503257</v>
      </c>
      <c r="B10053" s="2" t="str">
        <f>"ESCADA ALUMINIO 3,22 METROS EXTENSIVEL"</f>
        <v>ESCADA ALUMINIO 3,22 METROS EXTENSIVEL</v>
      </c>
      <c r="C10053" s="2" t="str">
        <f t="shared" si="391"/>
        <v>UN</v>
      </c>
      <c r="D10053" s="7">
        <v>402</v>
      </c>
      <c r="E10053" s="3">
        <v>4</v>
      </c>
      <c r="F10053" s="3">
        <v>4</v>
      </c>
      <c r="G10053" t="s">
        <v>514</v>
      </c>
    </row>
    <row r="10054" spans="1:7" x14ac:dyDescent="0.25">
      <c r="A10054" s="1" t="str">
        <f>"511826"</f>
        <v>511826</v>
      </c>
      <c r="B10054" s="2" t="str">
        <f>"ESCADA ALUMINIO 4 DEGRAUS"</f>
        <v>ESCADA ALUMINIO 4 DEGRAUS</v>
      </c>
      <c r="C10054" s="2" t="str">
        <f t="shared" si="391"/>
        <v>UN</v>
      </c>
      <c r="D10054" s="7">
        <v>403</v>
      </c>
      <c r="E10054" s="3">
        <v>4</v>
      </c>
      <c r="F10054" s="3">
        <v>4</v>
      </c>
      <c r="G10054" t="s">
        <v>512</v>
      </c>
    </row>
    <row r="10055" spans="1:7" x14ac:dyDescent="0.25">
      <c r="A10055" s="1" t="str">
        <f>"516137"</f>
        <v>516137</v>
      </c>
      <c r="B10055" s="2" t="str">
        <f>"ESCADA ALUMINIO 4,40 METROS EXTENSIVEL"</f>
        <v>ESCADA ALUMINIO 4,40 METROS EXTENSIVEL</v>
      </c>
      <c r="C10055" s="2" t="str">
        <f t="shared" si="391"/>
        <v>UN</v>
      </c>
      <c r="D10055" s="7">
        <v>403</v>
      </c>
      <c r="E10055" s="3">
        <v>4</v>
      </c>
      <c r="F10055" s="3">
        <v>4</v>
      </c>
      <c r="G10055" t="s">
        <v>513</v>
      </c>
    </row>
    <row r="10056" spans="1:7" x14ac:dyDescent="0.25">
      <c r="A10056" s="1" t="str">
        <f>"516138"</f>
        <v>516138</v>
      </c>
      <c r="B10056" s="2" t="str">
        <f>"ESCADA ALUMINIO 6 METROS EXTENSIVEL"</f>
        <v>ESCADA ALUMINIO 6 METROS EXTENSIVEL</v>
      </c>
      <c r="C10056" s="2" t="str">
        <f t="shared" si="391"/>
        <v>UN</v>
      </c>
      <c r="D10056" s="7">
        <v>403</v>
      </c>
      <c r="E10056" s="3">
        <v>4</v>
      </c>
      <c r="F10056" s="3">
        <v>4</v>
      </c>
      <c r="G10056" t="s">
        <v>514</v>
      </c>
    </row>
    <row r="10057" spans="1:7" x14ac:dyDescent="0.25">
      <c r="A10057" s="1" t="str">
        <f>"503258"</f>
        <v>503258</v>
      </c>
      <c r="B10057" s="2" t="str">
        <f>"ESCADA ALUMINIO 6,20 METROS EXTENSIVEL"</f>
        <v>ESCADA ALUMINIO 6,20 METROS EXTENSIVEL</v>
      </c>
      <c r="C10057" s="2" t="str">
        <f t="shared" si="391"/>
        <v>UN</v>
      </c>
      <c r="D10057" s="7">
        <v>402</v>
      </c>
      <c r="E10057" s="3">
        <v>4</v>
      </c>
      <c r="F10057" s="3">
        <v>4</v>
      </c>
      <c r="G10057" t="s">
        <v>514</v>
      </c>
    </row>
    <row r="10058" spans="1:7" x14ac:dyDescent="0.25">
      <c r="A10058" s="1" t="str">
        <f>"516153"</f>
        <v>516153</v>
      </c>
      <c r="B10058" s="2" t="str">
        <f>"ESCADA ALUMINIO ABRE/FECHA 3,22MT"</f>
        <v>ESCADA ALUMINIO ABRE/FECHA 3,22MT</v>
      </c>
      <c r="C10058" s="2" t="str">
        <f t="shared" si="391"/>
        <v>UN</v>
      </c>
      <c r="D10058" s="7">
        <v>403</v>
      </c>
      <c r="E10058" s="3">
        <v>4</v>
      </c>
      <c r="F10058" s="3">
        <v>4</v>
      </c>
      <c r="G10058" t="s">
        <v>512</v>
      </c>
    </row>
    <row r="10059" spans="1:7" x14ac:dyDescent="0.25">
      <c r="A10059" s="1" t="str">
        <f>"516152"</f>
        <v>516152</v>
      </c>
      <c r="B10059" s="2" t="str">
        <f>"ESCADA ALUMINIO ABRE/FECHA 5,02MT"</f>
        <v>ESCADA ALUMINIO ABRE/FECHA 5,02MT</v>
      </c>
      <c r="C10059" s="2" t="str">
        <f t="shared" si="391"/>
        <v>UN</v>
      </c>
      <c r="D10059" s="7">
        <v>403</v>
      </c>
      <c r="E10059" s="3">
        <v>4</v>
      </c>
      <c r="F10059" s="3">
        <v>4</v>
      </c>
      <c r="G10059" t="s">
        <v>513</v>
      </c>
    </row>
    <row r="10060" spans="1:7" x14ac:dyDescent="0.25">
      <c r="A10060" s="1" t="str">
        <f>"516154"</f>
        <v>516154</v>
      </c>
      <c r="B10060" s="2" t="str">
        <f>"ESCADA ALUMINIO ABRE/FECHA 7,42MT"</f>
        <v>ESCADA ALUMINIO ABRE/FECHA 7,42MT</v>
      </c>
      <c r="C10060" s="2" t="str">
        <f t="shared" si="391"/>
        <v>UN</v>
      </c>
      <c r="D10060" s="7">
        <v>403</v>
      </c>
      <c r="E10060" s="3">
        <v>4</v>
      </c>
      <c r="F10060" s="3">
        <v>4</v>
      </c>
      <c r="G10060" t="s">
        <v>514</v>
      </c>
    </row>
    <row r="10061" spans="1:7" x14ac:dyDescent="0.25">
      <c r="A10061" s="1" t="str">
        <f>"525339"</f>
        <v>525339</v>
      </c>
      <c r="B10061" s="2" t="str">
        <f>"ESCADA ALUMINIO DOMESTICA 5 DEGRAUS (BOTAFOGO)"</f>
        <v>ESCADA ALUMINIO DOMESTICA 5 DEGRAUS (BOTAFOGO)</v>
      </c>
      <c r="C10061" s="2" t="str">
        <f t="shared" si="391"/>
        <v>UN</v>
      </c>
      <c r="D10061" s="7">
        <v>403</v>
      </c>
      <c r="E10061" s="3">
        <v>4</v>
      </c>
      <c r="F10061" s="3">
        <v>4</v>
      </c>
      <c r="G10061" t="s">
        <v>514</v>
      </c>
    </row>
    <row r="10062" spans="1:7" x14ac:dyDescent="0.25">
      <c r="A10062" s="1" t="str">
        <f>"525340"</f>
        <v>525340</v>
      </c>
      <c r="B10062" s="2" t="str">
        <f>"ESCADA ALUMINIO DOMESTICA 7 DEGRAUS (BOTAFOGO)"</f>
        <v>ESCADA ALUMINIO DOMESTICA 7 DEGRAUS (BOTAFOGO)</v>
      </c>
      <c r="C10062" s="2" t="str">
        <f t="shared" si="391"/>
        <v>UN</v>
      </c>
      <c r="D10062" s="7">
        <v>403</v>
      </c>
      <c r="E10062" s="3">
        <v>4</v>
      </c>
      <c r="F10062" s="3">
        <v>4</v>
      </c>
      <c r="G10062" t="s">
        <v>514</v>
      </c>
    </row>
    <row r="10063" spans="1:7" x14ac:dyDescent="0.25">
      <c r="A10063" s="1" t="str">
        <f>"523617"</f>
        <v>523617</v>
      </c>
      <c r="B10063" s="2" t="str">
        <f>"ESCADA AMERICANA DUPLA 14 DEG. 4,20MT EAF311"</f>
        <v>ESCADA AMERICANA DUPLA 14 DEG. 4,20MT EAF311</v>
      </c>
      <c r="C10063" s="2" t="str">
        <f t="shared" si="391"/>
        <v>UN</v>
      </c>
      <c r="D10063" s="7">
        <v>402</v>
      </c>
      <c r="E10063" s="3">
        <v>4</v>
      </c>
      <c r="F10063" s="3">
        <v>4</v>
      </c>
      <c r="G10063" t="s">
        <v>513</v>
      </c>
    </row>
    <row r="10064" spans="1:7" x14ac:dyDescent="0.25">
      <c r="A10064" s="1" t="str">
        <f>"523618"</f>
        <v>523618</v>
      </c>
      <c r="B10064" s="2" t="str">
        <f>"ESCADA AMERICANA DUPLA 17 DEG. 5,10MT EAF314"</f>
        <v>ESCADA AMERICANA DUPLA 17 DEG. 5,10MT EAF314</v>
      </c>
      <c r="C10064" s="2" t="str">
        <f t="shared" si="391"/>
        <v>UN</v>
      </c>
      <c r="D10064" s="7">
        <v>402</v>
      </c>
      <c r="E10064" s="3">
        <v>4</v>
      </c>
      <c r="F10064" s="3">
        <v>4</v>
      </c>
      <c r="G10064" t="s">
        <v>512</v>
      </c>
    </row>
    <row r="10065" spans="1:7" x14ac:dyDescent="0.25">
      <c r="A10065" s="1" t="str">
        <f>"522570"</f>
        <v>522570</v>
      </c>
      <c r="B10065" s="2" t="str">
        <f>"ESCADA ANDAIME 2MT 8 DEGRAUS"</f>
        <v>ESCADA ANDAIME 2MT 8 DEGRAUS</v>
      </c>
      <c r="C10065" s="2" t="str">
        <f t="shared" si="391"/>
        <v>UN</v>
      </c>
      <c r="D10065" s="7">
        <v>919</v>
      </c>
      <c r="E10065" s="3">
        <v>4</v>
      </c>
      <c r="F10065" s="3">
        <v>4</v>
      </c>
      <c r="G10065" t="s">
        <v>513</v>
      </c>
    </row>
    <row r="10066" spans="1:7" x14ac:dyDescent="0.25">
      <c r="A10066" s="1" t="str">
        <f>"519151"</f>
        <v>519151</v>
      </c>
      <c r="B10066" s="2" t="str">
        <f>"ESCADA ARTICULADA 4X4 12 DEGRAUS DOBRAVEL"</f>
        <v>ESCADA ARTICULADA 4X4 12 DEGRAUS DOBRAVEL</v>
      </c>
      <c r="C10066" s="2" t="str">
        <f t="shared" si="391"/>
        <v>UN</v>
      </c>
      <c r="D10066" s="7">
        <v>1600</v>
      </c>
      <c r="E10066" s="3">
        <v>4</v>
      </c>
      <c r="F10066" s="3">
        <v>4</v>
      </c>
      <c r="G10066" t="s">
        <v>514</v>
      </c>
    </row>
    <row r="10067" spans="1:7" x14ac:dyDescent="0.25">
      <c r="A10067" s="1" t="str">
        <f>"514690"</f>
        <v>514690</v>
      </c>
      <c r="B10067" s="2" t="str">
        <f>"ESCADA CABINE"</f>
        <v>ESCADA CABINE</v>
      </c>
      <c r="C10067" s="2" t="str">
        <f t="shared" si="391"/>
        <v>UN</v>
      </c>
      <c r="D10067" s="7">
        <v>704</v>
      </c>
      <c r="E10067" s="3">
        <v>9</v>
      </c>
      <c r="F10067" s="3">
        <v>9</v>
      </c>
      <c r="G10067" t="s">
        <v>514</v>
      </c>
    </row>
    <row r="10068" spans="1:7" x14ac:dyDescent="0.25">
      <c r="A10068" s="1" t="str">
        <f>"525226"</f>
        <v>525226</v>
      </c>
      <c r="B10068" s="2" t="str">
        <f>"ESCADA DE ALUMINIO TREPADEIRA 5 DEGRAUS CORRIMAO 2 LADOS 2MT"</f>
        <v>ESCADA DE ALUMINIO TREPADEIRA 5 DEGRAUS CORRIMAO 2 LADOS 2MT</v>
      </c>
      <c r="C10068" s="2" t="str">
        <f t="shared" si="391"/>
        <v>UN</v>
      </c>
      <c r="D10068" s="7">
        <v>920</v>
      </c>
      <c r="E10068" s="3">
        <v>99</v>
      </c>
      <c r="F10068" s="3">
        <v>99</v>
      </c>
      <c r="G10068" t="s">
        <v>514</v>
      </c>
    </row>
    <row r="10069" spans="1:7" x14ac:dyDescent="0.25">
      <c r="A10069" s="1" t="str">
        <f>"524270"</f>
        <v>524270</v>
      </c>
      <c r="B10069" s="2" t="str">
        <f>"ESCADA DE FIBRA EXTENSIVA 3,6 X 6MT EF3,6"</f>
        <v>ESCADA DE FIBRA EXTENSIVA 3,6 X 6MT EF3,6</v>
      </c>
      <c r="C10069" s="2" t="str">
        <f t="shared" si="391"/>
        <v>UN</v>
      </c>
      <c r="D10069" s="7">
        <v>402</v>
      </c>
      <c r="E10069" s="3">
        <v>4</v>
      </c>
      <c r="F10069" s="3">
        <v>4</v>
      </c>
      <c r="G10069" t="s">
        <v>513</v>
      </c>
    </row>
    <row r="10070" spans="1:7" x14ac:dyDescent="0.25">
      <c r="A10070" s="1" t="str">
        <f>"518483"</f>
        <v>518483</v>
      </c>
      <c r="B10070" s="2" t="str">
        <f>"ESCADA DE FIBRA TESOURA SIN. 1,20 X 2,2M 4X6 DEGRAUS"</f>
        <v>ESCADA DE FIBRA TESOURA SIN. 1,20 X 2,2M 4X6 DEGRAUS</v>
      </c>
      <c r="C10070" s="2" t="str">
        <f t="shared" si="391"/>
        <v>UN</v>
      </c>
      <c r="D10070" s="7">
        <v>402</v>
      </c>
      <c r="E10070" s="3">
        <v>4</v>
      </c>
      <c r="F10070" s="3">
        <v>4</v>
      </c>
      <c r="G10070" t="s">
        <v>513</v>
      </c>
    </row>
    <row r="10071" spans="1:7" x14ac:dyDescent="0.25">
      <c r="A10071" s="1" t="str">
        <f>"518485"</f>
        <v>518485</v>
      </c>
      <c r="B10071" s="2" t="str">
        <f>"ESCADA DE FIBRA TESOURA SIN. 2,40 X 4,40M 6 X 14 DEGRAUS"</f>
        <v>ESCADA DE FIBRA TESOURA SIN. 2,40 X 4,40M 6 X 14 DEGRAUS</v>
      </c>
      <c r="C10071" s="2" t="str">
        <f t="shared" si="391"/>
        <v>UN</v>
      </c>
      <c r="D10071" s="7">
        <v>402</v>
      </c>
      <c r="E10071" s="3">
        <v>4</v>
      </c>
      <c r="F10071" s="3">
        <v>4</v>
      </c>
      <c r="G10071" t="s">
        <v>513</v>
      </c>
    </row>
    <row r="10072" spans="1:7" x14ac:dyDescent="0.25">
      <c r="A10072" s="1" t="str">
        <f>"519014"</f>
        <v>519014</v>
      </c>
      <c r="B10072" s="2" t="str">
        <f>"ESCADA DE FIBRA TESOURA SIN. 2,40 X 4,40M 8 X 14 DEGRAUS"</f>
        <v>ESCADA DE FIBRA TESOURA SIN. 2,40 X 4,40M 8 X 14 DEGRAUS</v>
      </c>
      <c r="C10072" s="2" t="str">
        <f t="shared" si="391"/>
        <v>UN</v>
      </c>
      <c r="D10072" s="7">
        <v>402</v>
      </c>
      <c r="E10072" s="3">
        <v>4</v>
      </c>
      <c r="F10072" s="3">
        <v>4</v>
      </c>
      <c r="G10072" t="s">
        <v>512</v>
      </c>
    </row>
    <row r="10073" spans="1:7" x14ac:dyDescent="0.25">
      <c r="A10073" s="1" t="str">
        <f>"518472"</f>
        <v>518472</v>
      </c>
      <c r="B10073" s="2" t="str">
        <f>"ESCADA EXT. FIBRA VAZADA 2,70 X 4,2METROS"</f>
        <v>ESCADA EXT. FIBRA VAZADA 2,70 X 4,2METROS</v>
      </c>
      <c r="C10073" s="2" t="str">
        <f t="shared" si="391"/>
        <v>UN</v>
      </c>
      <c r="D10073" s="7">
        <v>402</v>
      </c>
      <c r="E10073" s="3">
        <v>4</v>
      </c>
      <c r="F10073" s="3">
        <v>4</v>
      </c>
      <c r="G10073" t="s">
        <v>513</v>
      </c>
    </row>
    <row r="10074" spans="1:7" x14ac:dyDescent="0.25">
      <c r="A10074" s="1" t="str">
        <f>"511456"</f>
        <v>511456</v>
      </c>
      <c r="B10074" s="2" t="str">
        <f>"ESCADA EXTENS. MADEIRA LEVE 11 DEGRAIS"</f>
        <v>ESCADA EXTENS. MADEIRA LEVE 11 DEGRAIS</v>
      </c>
      <c r="C10074" s="2" t="str">
        <f t="shared" si="391"/>
        <v>UN</v>
      </c>
      <c r="D10074" s="7">
        <v>403</v>
      </c>
      <c r="E10074" s="3">
        <v>4</v>
      </c>
      <c r="F10074" s="3">
        <v>4</v>
      </c>
      <c r="G10074" t="s">
        <v>514</v>
      </c>
    </row>
    <row r="10075" spans="1:7" x14ac:dyDescent="0.25">
      <c r="A10075" s="1" t="str">
        <f>"507921"</f>
        <v>507921</v>
      </c>
      <c r="B10075" s="2" t="str">
        <f>"ESCADA EXTENSIVEL 7M - ALUMINIO"</f>
        <v>ESCADA EXTENSIVEL 7M - ALUMINIO</v>
      </c>
      <c r="C10075" s="2" t="str">
        <f t="shared" si="391"/>
        <v>UN</v>
      </c>
      <c r="D10075" s="7">
        <v>402</v>
      </c>
      <c r="E10075" s="3">
        <v>4</v>
      </c>
      <c r="F10075" s="3">
        <v>4</v>
      </c>
      <c r="G10075" t="s">
        <v>515</v>
      </c>
    </row>
    <row r="10076" spans="1:7" x14ac:dyDescent="0.25">
      <c r="A10076" s="1" t="str">
        <f>"506132"</f>
        <v>506132</v>
      </c>
      <c r="B10076" s="2" t="str">
        <f>"ESCADA FERRO 3,00M C/PLATAFORMA"</f>
        <v>ESCADA FERRO 3,00M C/PLATAFORMA</v>
      </c>
      <c r="C10076" s="2" t="str">
        <f t="shared" ref="C10076:C10107" si="392">"UN"</f>
        <v>UN</v>
      </c>
      <c r="D10076" s="7">
        <v>402</v>
      </c>
      <c r="E10076" s="3">
        <v>4</v>
      </c>
      <c r="F10076" s="3">
        <v>4</v>
      </c>
      <c r="G10076" t="s">
        <v>512</v>
      </c>
    </row>
    <row r="10077" spans="1:7" x14ac:dyDescent="0.25">
      <c r="A10077" s="1" t="str">
        <f>"518177"</f>
        <v>518177</v>
      </c>
      <c r="B10077" s="2" t="str">
        <f>"ESCADA FIBRA 2X9"</f>
        <v>ESCADA FIBRA 2X9</v>
      </c>
      <c r="C10077" s="2" t="str">
        <f t="shared" si="392"/>
        <v>UN</v>
      </c>
      <c r="D10077" s="7">
        <v>919</v>
      </c>
      <c r="E10077" s="3">
        <v>4</v>
      </c>
      <c r="F10077" s="3">
        <v>4</v>
      </c>
      <c r="G10077" t="s">
        <v>516</v>
      </c>
    </row>
    <row r="10078" spans="1:7" x14ac:dyDescent="0.25">
      <c r="A10078" s="1" t="str">
        <f>"518176"</f>
        <v>518176</v>
      </c>
      <c r="B10078" s="2" t="str">
        <f>"ESCADA FIBRA EXTENSIVEL 3,60 x 6,00M EF-101"</f>
        <v>ESCADA FIBRA EXTENSIVEL 3,60 x 6,00M EF-101</v>
      </c>
      <c r="C10078" s="2" t="str">
        <f t="shared" si="392"/>
        <v>UN</v>
      </c>
      <c r="D10078" s="7">
        <v>919</v>
      </c>
      <c r="E10078" s="3">
        <v>4</v>
      </c>
      <c r="F10078" s="3">
        <v>4</v>
      </c>
      <c r="G10078" t="s">
        <v>515</v>
      </c>
    </row>
    <row r="10079" spans="1:7" x14ac:dyDescent="0.25">
      <c r="A10079" s="1" t="str">
        <f>"518484"</f>
        <v>518484</v>
      </c>
      <c r="B10079" s="2" t="str">
        <f>"ESCADA FIBRA TESOURA SIN. 1,80 X 2,95M ETS-400"</f>
        <v>ESCADA FIBRA TESOURA SIN. 1,80 X 2,95M ETS-400</v>
      </c>
      <c r="C10079" s="2" t="str">
        <f t="shared" si="392"/>
        <v>UN</v>
      </c>
      <c r="D10079" s="7">
        <v>402</v>
      </c>
      <c r="E10079" s="3">
        <v>4</v>
      </c>
      <c r="F10079" s="3">
        <v>4</v>
      </c>
      <c r="G10079" t="s">
        <v>514</v>
      </c>
    </row>
    <row r="10080" spans="1:7" x14ac:dyDescent="0.25">
      <c r="A10080" s="1" t="str">
        <f>"518271"</f>
        <v>518271</v>
      </c>
      <c r="B10080" s="2" t="str">
        <f>"ESCADA MADEIRA 4,00MT 15 DEGRAUS"</f>
        <v>ESCADA MADEIRA 4,00MT 15 DEGRAUS</v>
      </c>
      <c r="C10080" s="2" t="str">
        <f t="shared" si="392"/>
        <v>UN</v>
      </c>
      <c r="D10080" s="7">
        <v>919</v>
      </c>
      <c r="E10080" s="3">
        <v>4</v>
      </c>
      <c r="F10080" s="3">
        <v>4</v>
      </c>
      <c r="G10080" t="s">
        <v>512</v>
      </c>
    </row>
    <row r="10081" spans="1:7" x14ac:dyDescent="0.25">
      <c r="A10081" s="1" t="str">
        <f>"511423"</f>
        <v>511423</v>
      </c>
      <c r="B10081" s="2" t="str">
        <f>"ESCADA MADEIRA EXTENSIVEL 3,60MT"</f>
        <v>ESCADA MADEIRA EXTENSIVEL 3,60MT</v>
      </c>
      <c r="C10081" s="2" t="str">
        <f t="shared" si="392"/>
        <v>UN</v>
      </c>
      <c r="D10081" s="7">
        <v>402</v>
      </c>
      <c r="E10081" s="3">
        <v>4</v>
      </c>
      <c r="F10081" s="3">
        <v>4</v>
      </c>
      <c r="G10081" t="s">
        <v>513</v>
      </c>
    </row>
    <row r="10082" spans="1:7" x14ac:dyDescent="0.25">
      <c r="A10082" s="1" t="str">
        <f>"522818"</f>
        <v>522818</v>
      </c>
      <c r="B10082" s="2" t="str">
        <f>"ESCADA MARINHEIRA C/ GUARDA CORPO"</f>
        <v>ESCADA MARINHEIRA C/ GUARDA CORPO</v>
      </c>
      <c r="C10082" s="2" t="str">
        <f t="shared" si="392"/>
        <v>UN</v>
      </c>
      <c r="D10082" s="7">
        <v>99999</v>
      </c>
      <c r="E10082" s="3">
        <v>99</v>
      </c>
      <c r="F10082" s="3">
        <v>99</v>
      </c>
      <c r="G10082" t="s">
        <v>514</v>
      </c>
    </row>
    <row r="10083" spans="1:7" x14ac:dyDescent="0.25">
      <c r="A10083" s="1" t="str">
        <f>"525323"</f>
        <v>525323</v>
      </c>
      <c r="B10083" s="2" t="str">
        <f>"ESCADA METALICA"</f>
        <v>ESCADA METALICA</v>
      </c>
      <c r="C10083" s="2" t="str">
        <f t="shared" si="392"/>
        <v>UN</v>
      </c>
      <c r="D10083" s="7">
        <v>99999</v>
      </c>
      <c r="E10083" s="3">
        <v>99</v>
      </c>
      <c r="F10083" s="3">
        <v>99</v>
      </c>
      <c r="G10083" t="s">
        <v>514</v>
      </c>
    </row>
    <row r="10084" spans="1:7" x14ac:dyDescent="0.25">
      <c r="A10084" s="1" t="str">
        <f>"573826"</f>
        <v>573826</v>
      </c>
      <c r="B10084" s="2" t="str">
        <f>"ESCADA TIPO A 2M"</f>
        <v>ESCADA TIPO A 2M</v>
      </c>
      <c r="C10084" s="2" t="str">
        <f t="shared" si="392"/>
        <v>UN</v>
      </c>
      <c r="D10084" s="7">
        <v>99999</v>
      </c>
      <c r="E10084" s="3">
        <v>99</v>
      </c>
      <c r="F10084" s="3">
        <v>99</v>
      </c>
      <c r="G10084" t="s">
        <v>512</v>
      </c>
    </row>
    <row r="10085" spans="1:7" x14ac:dyDescent="0.25">
      <c r="A10085" s="1" t="str">
        <f>"505187"</f>
        <v>505187</v>
      </c>
      <c r="B10085" s="2" t="str">
        <f>"ESCADA TRAZEIRA"</f>
        <v>ESCADA TRAZEIRA</v>
      </c>
      <c r="C10085" s="2" t="str">
        <f t="shared" si="392"/>
        <v>UN</v>
      </c>
      <c r="D10085" s="7">
        <v>704</v>
      </c>
      <c r="E10085" s="3">
        <v>9</v>
      </c>
      <c r="F10085" s="3">
        <v>9</v>
      </c>
      <c r="G10085" t="s">
        <v>513</v>
      </c>
    </row>
    <row r="10086" spans="1:7" x14ac:dyDescent="0.25">
      <c r="A10086" s="1" t="str">
        <f>"517722"</f>
        <v>517722</v>
      </c>
      <c r="B10086" s="2" t="str">
        <f>"ESCALA TANQUE 150-680 LITROS EVOLUTION 2007"</f>
        <v>ESCALA TANQUE 150-680 LITROS EVOLUTION 2007</v>
      </c>
      <c r="C10086" s="2" t="str">
        <f t="shared" si="392"/>
        <v>UN</v>
      </c>
      <c r="D10086" s="7">
        <v>915</v>
      </c>
      <c r="E10086" s="3">
        <v>10</v>
      </c>
      <c r="F10086" s="3">
        <v>10</v>
      </c>
      <c r="G10086" t="s">
        <v>514</v>
      </c>
    </row>
    <row r="10087" spans="1:7" x14ac:dyDescent="0.25">
      <c r="A10087" s="1" t="str">
        <f>"523625"</f>
        <v>523625</v>
      </c>
      <c r="B10087" s="2" t="str">
        <f>"ESCANINHO BIG ISOLEAN A4 AMARELO"</f>
        <v>ESCANINHO BIG ISOLEAN A4 AMARELO</v>
      </c>
      <c r="C10087" s="2" t="str">
        <f t="shared" si="392"/>
        <v>UN</v>
      </c>
      <c r="D10087" s="7">
        <v>401</v>
      </c>
      <c r="E10087" s="3">
        <v>4</v>
      </c>
      <c r="F10087" s="3">
        <v>4</v>
      </c>
      <c r="G10087" t="s">
        <v>514</v>
      </c>
    </row>
    <row r="10088" spans="1:7" x14ac:dyDescent="0.25">
      <c r="A10088" s="1" t="str">
        <f>"523624"</f>
        <v>523624</v>
      </c>
      <c r="B10088" s="2" t="str">
        <f>"ESCANINHO BIG ISOLEAN A4 VERDE"</f>
        <v>ESCANINHO BIG ISOLEAN A4 VERDE</v>
      </c>
      <c r="C10088" s="2" t="str">
        <f t="shared" si="392"/>
        <v>UN</v>
      </c>
      <c r="D10088" s="7">
        <v>401</v>
      </c>
      <c r="E10088" s="3">
        <v>4</v>
      </c>
      <c r="F10088" s="3">
        <v>4</v>
      </c>
      <c r="G10088" t="s">
        <v>514</v>
      </c>
    </row>
    <row r="10089" spans="1:7" x14ac:dyDescent="0.25">
      <c r="A10089" s="1" t="str">
        <f>"509856"</f>
        <v>509856</v>
      </c>
      <c r="B10089" s="2" t="str">
        <f>"ESCAPE"</f>
        <v>ESCAPE</v>
      </c>
      <c r="C10089" s="2" t="str">
        <f t="shared" si="392"/>
        <v>UN</v>
      </c>
      <c r="D10089" s="7">
        <v>918</v>
      </c>
      <c r="E10089" s="3">
        <v>11</v>
      </c>
      <c r="F10089" s="3">
        <v>11</v>
      </c>
      <c r="G10089" t="s">
        <v>513</v>
      </c>
    </row>
    <row r="10090" spans="1:7" x14ac:dyDescent="0.25">
      <c r="A10090" s="1" t="str">
        <f>"521891"</f>
        <v>521891</v>
      </c>
      <c r="B10090" s="2" t="str">
        <f>"ESCAPE RAPIDO SE-1/2"</f>
        <v>ESCAPE RAPIDO SE-1/2</v>
      </c>
      <c r="C10090" s="2" t="str">
        <f t="shared" si="392"/>
        <v>UN</v>
      </c>
      <c r="D10090" s="7">
        <v>913</v>
      </c>
      <c r="E10090" s="3">
        <v>11</v>
      </c>
      <c r="F10090" s="3">
        <v>11</v>
      </c>
      <c r="G10090" t="s">
        <v>512</v>
      </c>
    </row>
    <row r="10091" spans="1:7" x14ac:dyDescent="0.25">
      <c r="A10091" s="1" t="str">
        <f>"514833"</f>
        <v>514833</v>
      </c>
      <c r="B10091" s="2" t="str">
        <f>"ESCAPE RAPIDO SE-1/4"</f>
        <v>ESCAPE RAPIDO SE-1/4</v>
      </c>
      <c r="C10091" s="2" t="str">
        <f t="shared" si="392"/>
        <v>UN</v>
      </c>
      <c r="D10091" s="7">
        <v>913</v>
      </c>
      <c r="E10091" s="3">
        <v>11</v>
      </c>
      <c r="F10091" s="3">
        <v>11</v>
      </c>
      <c r="G10091" t="s">
        <v>513</v>
      </c>
    </row>
    <row r="10092" spans="1:7" x14ac:dyDescent="0.25">
      <c r="A10092" s="1" t="str">
        <f>"514834"</f>
        <v>514834</v>
      </c>
      <c r="B10092" s="2" t="str">
        <f>"ESCAPE RAPIDO SE-3/8"</f>
        <v>ESCAPE RAPIDO SE-3/8</v>
      </c>
      <c r="C10092" s="2" t="str">
        <f t="shared" si="392"/>
        <v>UN</v>
      </c>
      <c r="D10092" s="7">
        <v>913</v>
      </c>
      <c r="E10092" s="3">
        <v>11</v>
      </c>
      <c r="F10092" s="3">
        <v>11</v>
      </c>
      <c r="G10092" t="s">
        <v>514</v>
      </c>
    </row>
    <row r="10093" spans="1:7" x14ac:dyDescent="0.25">
      <c r="A10093" s="1" t="str">
        <f>"515128"</f>
        <v>515128</v>
      </c>
      <c r="B10093" s="2" t="str">
        <f>"ESCORA DE EUCALIPTO"</f>
        <v>ESCORA DE EUCALIPTO</v>
      </c>
      <c r="C10093" s="2" t="str">
        <f t="shared" si="392"/>
        <v>UN</v>
      </c>
      <c r="D10093" s="7">
        <v>917</v>
      </c>
      <c r="E10093" s="3">
        <v>10</v>
      </c>
      <c r="F10093" s="3">
        <v>10</v>
      </c>
      <c r="G10093" t="s">
        <v>514</v>
      </c>
    </row>
    <row r="10094" spans="1:7" x14ac:dyDescent="0.25">
      <c r="A10094" s="1" t="str">
        <f>"515410"</f>
        <v>515410</v>
      </c>
      <c r="B10094" s="2" t="str">
        <f>"ESCORREDOR DE LATÃO"</f>
        <v>ESCORREDOR DE LATÃO</v>
      </c>
      <c r="C10094" s="2" t="str">
        <f t="shared" si="392"/>
        <v>UN</v>
      </c>
      <c r="D10094" s="7">
        <v>912</v>
      </c>
      <c r="E10094" s="3">
        <v>4</v>
      </c>
      <c r="F10094" s="3">
        <v>4</v>
      </c>
      <c r="G10094" t="s">
        <v>514</v>
      </c>
    </row>
    <row r="10095" spans="1:7" x14ac:dyDescent="0.25">
      <c r="A10095" s="1" t="str">
        <f>"521082"</f>
        <v>521082</v>
      </c>
      <c r="B10095" s="2" t="str">
        <f>"ESCORREDOR DE LOUÇAS"</f>
        <v>ESCORREDOR DE LOUÇAS</v>
      </c>
      <c r="C10095" s="2" t="str">
        <f t="shared" si="392"/>
        <v>UN</v>
      </c>
      <c r="D10095" s="7">
        <v>99999</v>
      </c>
      <c r="E10095" s="3">
        <v>99</v>
      </c>
      <c r="F10095" s="3">
        <v>99</v>
      </c>
      <c r="G10095" t="s">
        <v>513</v>
      </c>
    </row>
    <row r="10096" spans="1:7" x14ac:dyDescent="0.25">
      <c r="A10096" s="1" t="str">
        <f>"505804"</f>
        <v>505804</v>
      </c>
      <c r="B10096" s="2" t="str">
        <f>"ESCOVA 14115.11500-40 EMPILHADEIRA"</f>
        <v>ESCOVA 14115.11500-40 EMPILHADEIRA</v>
      </c>
      <c r="C10096" s="2" t="str">
        <f t="shared" si="392"/>
        <v>UN</v>
      </c>
      <c r="D10096" s="7">
        <v>900</v>
      </c>
      <c r="E10096" s="3">
        <v>11</v>
      </c>
      <c r="F10096" s="3">
        <v>11</v>
      </c>
      <c r="G10096" t="s">
        <v>513</v>
      </c>
    </row>
    <row r="10097" spans="1:7" x14ac:dyDescent="0.25">
      <c r="A10097" s="1" t="str">
        <f>"509184"</f>
        <v>509184</v>
      </c>
      <c r="B10097" s="2" t="str">
        <f>"ESCOVA A5040A"</f>
        <v>ESCOVA A5040A</v>
      </c>
      <c r="C10097" s="2" t="str">
        <f t="shared" si="392"/>
        <v>UN</v>
      </c>
      <c r="D10097" s="7">
        <v>900</v>
      </c>
      <c r="E10097" s="3">
        <v>11</v>
      </c>
      <c r="F10097" s="3">
        <v>11</v>
      </c>
      <c r="G10097" t="s">
        <v>513</v>
      </c>
    </row>
    <row r="10098" spans="1:7" x14ac:dyDescent="0.25">
      <c r="A10098" s="1" t="str">
        <f>"504580"</f>
        <v>504580</v>
      </c>
      <c r="B10098" s="2" t="str">
        <f>"ESCOVA AÇO COPO 75 X 14MM"</f>
        <v>ESCOVA AÇO COPO 75 X 14MM</v>
      </c>
      <c r="C10098" s="2" t="str">
        <f t="shared" si="392"/>
        <v>UN</v>
      </c>
      <c r="D10098" s="7">
        <v>812</v>
      </c>
      <c r="E10098" s="3">
        <v>9</v>
      </c>
      <c r="F10098" s="3">
        <v>9</v>
      </c>
      <c r="G10098" t="s">
        <v>512</v>
      </c>
    </row>
    <row r="10099" spans="1:7" x14ac:dyDescent="0.25">
      <c r="A10099" s="1" t="str">
        <f>"6273"</f>
        <v>6273</v>
      </c>
      <c r="B10099" s="2" t="str">
        <f>"ESCOVA BUTIROMETRO GERBER"</f>
        <v>ESCOVA BUTIROMETRO GERBER</v>
      </c>
      <c r="C10099" s="2" t="str">
        <f t="shared" si="392"/>
        <v>UN</v>
      </c>
      <c r="D10099" s="7">
        <v>303</v>
      </c>
      <c r="E10099" s="3">
        <v>3</v>
      </c>
      <c r="F10099" s="3">
        <v>3</v>
      </c>
      <c r="G10099" t="s">
        <v>513</v>
      </c>
    </row>
    <row r="10100" spans="1:7" x14ac:dyDescent="0.25">
      <c r="A10100" s="1" t="str">
        <f>"521077"</f>
        <v>521077</v>
      </c>
      <c r="B10100" s="2" t="str">
        <f>"ESCOVA C/ CABO MULTIUSO"</f>
        <v>ESCOVA C/ CABO MULTIUSO</v>
      </c>
      <c r="C10100" s="2" t="str">
        <f t="shared" si="392"/>
        <v>UN</v>
      </c>
      <c r="D10100" s="7">
        <v>400</v>
      </c>
      <c r="E10100" s="3">
        <v>4</v>
      </c>
      <c r="F10100" s="3">
        <v>4</v>
      </c>
      <c r="G10100" t="s">
        <v>514</v>
      </c>
    </row>
    <row r="10101" spans="1:7" x14ac:dyDescent="0.25">
      <c r="A10101" s="1" t="str">
        <f>"523800"</f>
        <v>523800</v>
      </c>
      <c r="B10101" s="2" t="str">
        <f>"ESCOVA CABELO ROTATIVA"</f>
        <v>ESCOVA CABELO ROTATIVA</v>
      </c>
      <c r="C10101" s="2" t="str">
        <f t="shared" si="392"/>
        <v>UN</v>
      </c>
      <c r="D10101" s="7">
        <v>99999</v>
      </c>
      <c r="E10101" s="3">
        <v>99</v>
      </c>
      <c r="F10101" s="3">
        <v>99</v>
      </c>
      <c r="G10101" t="s">
        <v>515</v>
      </c>
    </row>
    <row r="10102" spans="1:7" x14ac:dyDescent="0.25">
      <c r="A10102" s="1" t="str">
        <f>"516377"</f>
        <v>516377</v>
      </c>
      <c r="B10102" s="2" t="str">
        <f>"ESCOVA CARVÃO"</f>
        <v>ESCOVA CARVÃO</v>
      </c>
      <c r="C10102" s="2" t="str">
        <f t="shared" si="392"/>
        <v>UN</v>
      </c>
      <c r="D10102" s="7">
        <v>920</v>
      </c>
      <c r="E10102" s="3">
        <v>4</v>
      </c>
      <c r="F10102" s="3">
        <v>4</v>
      </c>
      <c r="G10102" t="s">
        <v>512</v>
      </c>
    </row>
    <row r="10103" spans="1:7" x14ac:dyDescent="0.25">
      <c r="A10103" s="1" t="str">
        <f>"514525"</f>
        <v>514525</v>
      </c>
      <c r="B10103" s="2" t="str">
        <f>"ESCOVA CB-419"</f>
        <v>ESCOVA CB-419</v>
      </c>
      <c r="C10103" s="2" t="str">
        <f t="shared" si="392"/>
        <v>UN</v>
      </c>
      <c r="D10103" s="7">
        <v>403</v>
      </c>
      <c r="E10103" s="3">
        <v>8</v>
      </c>
      <c r="F10103" s="3">
        <v>8</v>
      </c>
      <c r="G10103" t="s">
        <v>516</v>
      </c>
    </row>
    <row r="10104" spans="1:7" x14ac:dyDescent="0.25">
      <c r="A10104" s="1" t="str">
        <f>"518850"</f>
        <v>518850</v>
      </c>
      <c r="B10104" s="2" t="str">
        <f>"ESCOVA CIRCULAR C/ HASTE 50X08MM"</f>
        <v>ESCOVA CIRCULAR C/ HASTE 50X08MM</v>
      </c>
      <c r="C10104" s="2" t="str">
        <f t="shared" si="392"/>
        <v>UN</v>
      </c>
      <c r="D10104" s="7">
        <v>920</v>
      </c>
      <c r="E10104" s="3">
        <v>4</v>
      </c>
      <c r="F10104" s="3">
        <v>4</v>
      </c>
      <c r="G10104" t="s">
        <v>515</v>
      </c>
    </row>
    <row r="10105" spans="1:7" x14ac:dyDescent="0.25">
      <c r="A10105" s="1" t="str">
        <f>"503626"</f>
        <v>503626</v>
      </c>
      <c r="B10105" s="2" t="str">
        <f>"ESCOVA CIRCULAR ENTRANÇADA 7X1/2"""</f>
        <v>ESCOVA CIRCULAR ENTRANÇADA 7X1/2"</v>
      </c>
      <c r="C10105" s="2" t="str">
        <f t="shared" si="392"/>
        <v>UN</v>
      </c>
      <c r="D10105" s="7">
        <v>402</v>
      </c>
      <c r="E10105" s="3">
        <v>4</v>
      </c>
      <c r="F10105" s="3">
        <v>4</v>
      </c>
      <c r="G10105" t="s">
        <v>514</v>
      </c>
    </row>
    <row r="10106" spans="1:7" x14ac:dyDescent="0.25">
      <c r="A10106" s="1" t="str">
        <f>"507141"</f>
        <v>507141</v>
      </c>
      <c r="B10106" s="2" t="str">
        <f>"ESCOVA CIRCULAR ONDULADA 6"" X 1"" X 1/2"""</f>
        <v>ESCOVA CIRCULAR ONDULADA 6" X 1" X 1/2"</v>
      </c>
      <c r="C10106" s="2" t="str">
        <f t="shared" si="392"/>
        <v>UN</v>
      </c>
      <c r="D10106" s="7">
        <v>900</v>
      </c>
      <c r="E10106" s="3">
        <v>11</v>
      </c>
      <c r="F10106" s="3">
        <v>11</v>
      </c>
      <c r="G10106" t="s">
        <v>512</v>
      </c>
    </row>
    <row r="10107" spans="1:7" x14ac:dyDescent="0.25">
      <c r="A10107" s="1" t="str">
        <f>"509193"</f>
        <v>509193</v>
      </c>
      <c r="B10107" s="8" t="s">
        <v>21</v>
      </c>
      <c r="C10107" s="2" t="str">
        <f t="shared" si="392"/>
        <v>UN</v>
      </c>
      <c r="D10107" s="7">
        <v>900</v>
      </c>
      <c r="E10107" s="3">
        <v>11</v>
      </c>
      <c r="F10107" s="3">
        <v>11</v>
      </c>
      <c r="G10107" t="s">
        <v>513</v>
      </c>
    </row>
    <row r="10108" spans="1:7" x14ac:dyDescent="0.25">
      <c r="A10108" s="1" t="str">
        <f>"521721"</f>
        <v>521721</v>
      </c>
      <c r="B10108" s="2" t="str">
        <f>"ESCOVA CIRCULAR TRANÇADA AÇO CQARB. 4""1/2 X 1/2 X 7/8"</f>
        <v>ESCOVA CIRCULAR TRANÇADA AÇO CQARB. 4"1/2 X 1/2 X 7/8</v>
      </c>
      <c r="C10108" s="2" t="str">
        <f t="shared" ref="C10108:C10139" si="393">"UN"</f>
        <v>UN</v>
      </c>
      <c r="D10108" s="7">
        <v>812</v>
      </c>
      <c r="E10108" s="3">
        <v>11</v>
      </c>
      <c r="F10108" s="3">
        <v>11</v>
      </c>
      <c r="G10108" t="s">
        <v>514</v>
      </c>
    </row>
    <row r="10109" spans="1:7" x14ac:dyDescent="0.25">
      <c r="A10109" s="1" t="str">
        <f>"520684"</f>
        <v>520684</v>
      </c>
      <c r="B10109" s="8" t="s">
        <v>175</v>
      </c>
      <c r="C10109" s="2" t="str">
        <f t="shared" si="393"/>
        <v>UN</v>
      </c>
      <c r="D10109" s="7">
        <v>918</v>
      </c>
      <c r="E10109" s="3">
        <v>11</v>
      </c>
      <c r="F10109" s="3">
        <v>11</v>
      </c>
      <c r="G10109" t="s">
        <v>514</v>
      </c>
    </row>
    <row r="10110" spans="1:7" x14ac:dyDescent="0.25">
      <c r="A10110" s="1" t="str">
        <f>"500325"</f>
        <v>500325</v>
      </c>
      <c r="B10110" s="2" t="str">
        <f>"ESCOVA DE ACO DE 3"" COM CABO"</f>
        <v>ESCOVA DE ACO DE 3" COM CABO</v>
      </c>
      <c r="C10110" s="2" t="str">
        <f t="shared" si="393"/>
        <v>UN</v>
      </c>
      <c r="D10110" s="7">
        <v>99999</v>
      </c>
      <c r="E10110" s="3">
        <v>99</v>
      </c>
      <c r="F10110" s="3">
        <v>99</v>
      </c>
      <c r="G10110" t="s">
        <v>512</v>
      </c>
    </row>
    <row r="10111" spans="1:7" x14ac:dyDescent="0.25">
      <c r="A10111" s="1" t="str">
        <f>"504443"</f>
        <v>504443</v>
      </c>
      <c r="B10111" s="2" t="str">
        <f>"ESCOVA DE ACO TUBO 1""1/2 (CALDEIRA)"</f>
        <v>ESCOVA DE ACO TUBO 1"1/2 (CALDEIRA)</v>
      </c>
      <c r="C10111" s="2" t="str">
        <f t="shared" si="393"/>
        <v>UN</v>
      </c>
      <c r="D10111" s="7">
        <v>920</v>
      </c>
      <c r="E10111" s="3">
        <v>11</v>
      </c>
      <c r="F10111" s="3">
        <v>11</v>
      </c>
      <c r="G10111" t="s">
        <v>513</v>
      </c>
    </row>
    <row r="10112" spans="1:7" x14ac:dyDescent="0.25">
      <c r="A10112" s="1" t="str">
        <f>"518763"</f>
        <v>518763</v>
      </c>
      <c r="B10112" s="2" t="str">
        <f>"ESCOVA DE ACO TUBO 2 1/2 - C/ ROSCA 1/2 (CALDEIRA)"</f>
        <v>ESCOVA DE ACO TUBO 2 1/2 - C/ ROSCA 1/2 (CALDEIRA)</v>
      </c>
      <c r="C10112" s="2" t="str">
        <f t="shared" si="393"/>
        <v>UN</v>
      </c>
      <c r="D10112" s="7">
        <v>920</v>
      </c>
      <c r="E10112" s="3">
        <v>11</v>
      </c>
      <c r="F10112" s="3">
        <v>11</v>
      </c>
      <c r="G10112" t="s">
        <v>514</v>
      </c>
    </row>
    <row r="10113" spans="1:7" x14ac:dyDescent="0.25">
      <c r="A10113" s="1" t="str">
        <f>"509262"</f>
        <v>509262</v>
      </c>
      <c r="B10113" s="2" t="str">
        <f>"ESCOVA DE AÇO TUBO 2 1/4"" (CALDEIRA)"</f>
        <v>ESCOVA DE AÇO TUBO 2 1/4" (CALDEIRA)</v>
      </c>
      <c r="C10113" s="2" t="str">
        <f t="shared" si="393"/>
        <v>UN</v>
      </c>
      <c r="D10113" s="7">
        <v>402</v>
      </c>
      <c r="E10113" s="3">
        <v>4</v>
      </c>
      <c r="F10113" s="3">
        <v>4</v>
      </c>
      <c r="G10113" t="s">
        <v>514</v>
      </c>
    </row>
    <row r="10114" spans="1:7" x14ac:dyDescent="0.25">
      <c r="A10114" s="1" t="str">
        <f>"504442"</f>
        <v>504442</v>
      </c>
      <c r="B10114" s="2" t="str">
        <f>"ESCOVA DE ACO TUBO 2""(CALDEIRA)"</f>
        <v>ESCOVA DE ACO TUBO 2"(CALDEIRA)</v>
      </c>
      <c r="C10114" s="2" t="str">
        <f t="shared" si="393"/>
        <v>UN</v>
      </c>
      <c r="D10114" s="7">
        <v>920</v>
      </c>
      <c r="E10114" s="3">
        <v>11</v>
      </c>
      <c r="F10114" s="3">
        <v>11</v>
      </c>
      <c r="G10114" t="s">
        <v>514</v>
      </c>
    </row>
    <row r="10115" spans="1:7" x14ac:dyDescent="0.25">
      <c r="A10115" s="1" t="str">
        <f>"504445"</f>
        <v>504445</v>
      </c>
      <c r="B10115" s="2" t="str">
        <f>"ESCOVA DE ACO TUBO 2""1/2 (CALDEIRA)"</f>
        <v>ESCOVA DE ACO TUBO 2"1/2 (CALDEIRA)</v>
      </c>
      <c r="C10115" s="2" t="str">
        <f t="shared" si="393"/>
        <v>UN</v>
      </c>
      <c r="D10115" s="7">
        <v>920</v>
      </c>
      <c r="E10115" s="3">
        <v>11</v>
      </c>
      <c r="F10115" s="3">
        <v>11</v>
      </c>
      <c r="G10115" t="s">
        <v>513</v>
      </c>
    </row>
    <row r="10116" spans="1:7" x14ac:dyDescent="0.25">
      <c r="A10116" s="1" t="str">
        <f>"504446"</f>
        <v>504446</v>
      </c>
      <c r="B10116" s="2" t="str">
        <f>"ESCOVA DE ACO TUBO 3"" (CALDEIRA)"</f>
        <v>ESCOVA DE ACO TUBO 3" (CALDEIRA)</v>
      </c>
      <c r="C10116" s="2" t="str">
        <f t="shared" si="393"/>
        <v>UN</v>
      </c>
      <c r="D10116" s="7">
        <v>920</v>
      </c>
      <c r="E10116" s="3">
        <v>11</v>
      </c>
      <c r="F10116" s="3">
        <v>11</v>
      </c>
      <c r="G10116" t="s">
        <v>512</v>
      </c>
    </row>
    <row r="10117" spans="1:7" x14ac:dyDescent="0.25">
      <c r="A10117" s="1" t="str">
        <f>"514572"</f>
        <v>514572</v>
      </c>
      <c r="B10117" s="2" t="str">
        <f>"ESCOVA DE DENTE"</f>
        <v>ESCOVA DE DENTE</v>
      </c>
      <c r="C10117" s="2" t="str">
        <f t="shared" si="393"/>
        <v>UN</v>
      </c>
      <c r="D10117" s="7">
        <v>401</v>
      </c>
      <c r="E10117" s="3">
        <v>4</v>
      </c>
      <c r="F10117" s="3">
        <v>4</v>
      </c>
      <c r="G10117" t="s">
        <v>513</v>
      </c>
    </row>
    <row r="10118" spans="1:7" x14ac:dyDescent="0.25">
      <c r="A10118" s="1" t="str">
        <f>"524850"</f>
        <v>524850</v>
      </c>
      <c r="B10118" s="2" t="str">
        <f>"ESCOVA DE LATÃO COM CABO 3''"</f>
        <v>ESCOVA DE LATÃO COM CABO 3''</v>
      </c>
      <c r="C10118" s="2" t="str">
        <f t="shared" si="393"/>
        <v>UN</v>
      </c>
      <c r="D10118" s="7">
        <v>920</v>
      </c>
      <c r="E10118" s="3">
        <v>10</v>
      </c>
      <c r="F10118" s="3">
        <v>10</v>
      </c>
      <c r="G10118" t="s">
        <v>514</v>
      </c>
    </row>
    <row r="10119" spans="1:7" x14ac:dyDescent="0.25">
      <c r="A10119" s="1" t="str">
        <f>"523822"</f>
        <v>523822</v>
      </c>
      <c r="B10119" s="2" t="str">
        <f>"ESCOVA DE MÃO (COR AZUL CÓD. 10546)"</f>
        <v>ESCOVA DE MÃO (COR AZUL CÓD. 10546)</v>
      </c>
      <c r="C10119" s="2" t="str">
        <f t="shared" si="393"/>
        <v>UN</v>
      </c>
      <c r="D10119" s="7">
        <v>400</v>
      </c>
      <c r="E10119" s="3">
        <v>4</v>
      </c>
      <c r="F10119" s="3">
        <v>4</v>
      </c>
      <c r="G10119" t="s">
        <v>514</v>
      </c>
    </row>
    <row r="10120" spans="1:7" x14ac:dyDescent="0.25">
      <c r="A10120" s="1" t="str">
        <f>"523733"</f>
        <v>523733</v>
      </c>
      <c r="B10120" s="2" t="str">
        <f>"ESCOVA DE MÃO (COR AZUL CÓD. 54134)"</f>
        <v>ESCOVA DE MÃO (COR AZUL CÓD. 54134)</v>
      </c>
      <c r="C10120" s="2" t="str">
        <f t="shared" si="393"/>
        <v>UN</v>
      </c>
      <c r="D10120" s="7">
        <v>400</v>
      </c>
      <c r="E10120" s="3">
        <v>4</v>
      </c>
      <c r="F10120" s="3">
        <v>4</v>
      </c>
      <c r="G10120" t="s">
        <v>514</v>
      </c>
    </row>
    <row r="10121" spans="1:7" x14ac:dyDescent="0.25">
      <c r="A10121" s="1" t="str">
        <f>"523821"</f>
        <v>523821</v>
      </c>
      <c r="B10121" s="2" t="str">
        <f>"ESCOVA DE MÃO (COR PRETO CÓD. 10546)"</f>
        <v>ESCOVA DE MÃO (COR PRETO CÓD. 10546)</v>
      </c>
      <c r="C10121" s="2" t="str">
        <f t="shared" si="393"/>
        <v>UN</v>
      </c>
      <c r="D10121" s="7">
        <v>400</v>
      </c>
      <c r="E10121" s="3">
        <v>4</v>
      </c>
      <c r="F10121" s="3">
        <v>4</v>
      </c>
      <c r="G10121" t="s">
        <v>513</v>
      </c>
    </row>
    <row r="10122" spans="1:7" x14ac:dyDescent="0.25">
      <c r="A10122" s="1" t="str">
        <f>"523492"</f>
        <v>523492</v>
      </c>
      <c r="B10122" s="2" t="str">
        <f>"ESCOVA DE MÃO (COR VERDE CÓD. 10546)"</f>
        <v>ESCOVA DE MÃO (COR VERDE CÓD. 10546)</v>
      </c>
      <c r="C10122" s="2" t="str">
        <f t="shared" si="393"/>
        <v>UN</v>
      </c>
      <c r="D10122" s="7">
        <v>400</v>
      </c>
      <c r="E10122" s="3">
        <v>4</v>
      </c>
      <c r="F10122" s="3">
        <v>4</v>
      </c>
      <c r="G10122" t="s">
        <v>513</v>
      </c>
    </row>
    <row r="10123" spans="1:7" x14ac:dyDescent="0.25">
      <c r="A10123" s="1" t="str">
        <f>"522990"</f>
        <v>522990</v>
      </c>
      <c r="B10123" s="2" t="str">
        <f>"ESCOVA DE MÃO (DETECTÁVEL) (COR AZUL CÓD. 70255)"</f>
        <v>ESCOVA DE MÃO (DETECTÁVEL) (COR AZUL CÓD. 70255)</v>
      </c>
      <c r="C10123" s="2" t="str">
        <f t="shared" si="393"/>
        <v>UN</v>
      </c>
      <c r="D10123" s="7">
        <v>400</v>
      </c>
      <c r="E10123" s="3">
        <v>4</v>
      </c>
      <c r="F10123" s="3">
        <v>4</v>
      </c>
      <c r="G10123" t="s">
        <v>513</v>
      </c>
    </row>
    <row r="10124" spans="1:7" x14ac:dyDescent="0.25">
      <c r="A10124" s="1" t="str">
        <f>"523736"</f>
        <v>523736</v>
      </c>
      <c r="B10124" s="2" t="str">
        <f>"ESCOVA DE MÃO CABO COMPRIDO (COR ROSA CÓD. 10215)"</f>
        <v>ESCOVA DE MÃO CABO COMPRIDO (COR ROSA CÓD. 10215)</v>
      </c>
      <c r="C10124" s="2" t="str">
        <f t="shared" si="393"/>
        <v>UN</v>
      </c>
      <c r="D10124" s="7">
        <v>400</v>
      </c>
      <c r="E10124" s="3">
        <v>4</v>
      </c>
      <c r="F10124" s="3">
        <v>4</v>
      </c>
      <c r="G10124" t="s">
        <v>512</v>
      </c>
    </row>
    <row r="10125" spans="1:7" x14ac:dyDescent="0.25">
      <c r="A10125" s="1" t="str">
        <f>"522994"</f>
        <v>522994</v>
      </c>
      <c r="B10125" s="2" t="str">
        <f>"ESCOVA DE MÃO PEQUENA (COR VERMELHO CÓD. 57159)"</f>
        <v>ESCOVA DE MÃO PEQUENA (COR VERMELHO CÓD. 57159)</v>
      </c>
      <c r="C10125" s="2" t="str">
        <f t="shared" si="393"/>
        <v>UN</v>
      </c>
      <c r="D10125" s="7">
        <v>400</v>
      </c>
      <c r="E10125" s="3">
        <v>4</v>
      </c>
      <c r="F10125" s="3">
        <v>4</v>
      </c>
      <c r="G10125" t="s">
        <v>513</v>
      </c>
    </row>
    <row r="10126" spans="1:7" x14ac:dyDescent="0.25">
      <c r="A10126" s="1" t="str">
        <f>"526325"</f>
        <v>526325</v>
      </c>
      <c r="B10126" s="2" t="str">
        <f>"ESCOVA DE MÃOS (COR PRETO CÓD. 10548)"</f>
        <v>ESCOVA DE MÃOS (COR PRETO CÓD. 10548)</v>
      </c>
      <c r="C10126" s="2" t="str">
        <f t="shared" si="393"/>
        <v>UN</v>
      </c>
      <c r="D10126" s="7">
        <v>400</v>
      </c>
      <c r="E10126" s="3">
        <v>4</v>
      </c>
      <c r="F10126" s="3">
        <v>4</v>
      </c>
      <c r="G10126" t="s">
        <v>514</v>
      </c>
    </row>
    <row r="10127" spans="1:7" x14ac:dyDescent="0.25">
      <c r="A10127" s="1" t="str">
        <f>"510172"</f>
        <v>510172</v>
      </c>
      <c r="B10127" s="2" t="str">
        <f>"ESCOVA DE TANQUE"</f>
        <v>ESCOVA DE TANQUE</v>
      </c>
      <c r="C10127" s="2" t="str">
        <f t="shared" si="393"/>
        <v>UN</v>
      </c>
      <c r="D10127" s="7">
        <v>400</v>
      </c>
      <c r="E10127" s="3">
        <v>4</v>
      </c>
      <c r="F10127" s="3">
        <v>4</v>
      </c>
      <c r="G10127" t="s">
        <v>515</v>
      </c>
    </row>
    <row r="10128" spans="1:7" x14ac:dyDescent="0.25">
      <c r="A10128" s="1" t="str">
        <f>"517442"</f>
        <v>517442</v>
      </c>
      <c r="B10128" s="2" t="str">
        <f>"ESCOVA E.V.A POSICIONADORA 350MM"</f>
        <v>ESCOVA E.V.A POSICIONADORA 350MM</v>
      </c>
      <c r="C10128" s="2" t="str">
        <f t="shared" si="393"/>
        <v>UN</v>
      </c>
      <c r="D10128" s="7">
        <v>918</v>
      </c>
      <c r="E10128" s="3">
        <v>11</v>
      </c>
      <c r="F10128" s="3">
        <v>11</v>
      </c>
      <c r="G10128" t="s">
        <v>512</v>
      </c>
    </row>
    <row r="10129" spans="1:7" x14ac:dyDescent="0.25">
      <c r="A10129" s="1" t="str">
        <f>"521076"</f>
        <v>521076</v>
      </c>
      <c r="B10129" s="2" t="str">
        <f>"ESCOVA ESPANADEIRA"</f>
        <v>ESCOVA ESPANADEIRA</v>
      </c>
      <c r="C10129" s="2" t="str">
        <f t="shared" si="393"/>
        <v>UN</v>
      </c>
      <c r="D10129" s="7">
        <v>400</v>
      </c>
      <c r="E10129" s="3">
        <v>4</v>
      </c>
      <c r="F10129" s="3">
        <v>4</v>
      </c>
      <c r="G10129" t="s">
        <v>516</v>
      </c>
    </row>
    <row r="10130" spans="1:7" x14ac:dyDescent="0.25">
      <c r="A10130" s="1" t="str">
        <f>"515166"</f>
        <v>515166</v>
      </c>
      <c r="B10130" s="2" t="str">
        <f>"ESCOVA LAVAR ROUPAS"</f>
        <v>ESCOVA LAVAR ROUPAS</v>
      </c>
      <c r="C10130" s="2" t="str">
        <f t="shared" si="393"/>
        <v>UN</v>
      </c>
      <c r="D10130" s="7">
        <v>401</v>
      </c>
      <c r="E10130" s="3">
        <v>4</v>
      </c>
      <c r="F10130" s="3">
        <v>4</v>
      </c>
      <c r="G10130" t="s">
        <v>515</v>
      </c>
    </row>
    <row r="10131" spans="1:7" x14ac:dyDescent="0.25">
      <c r="A10131" s="1" t="str">
        <f>"513572"</f>
        <v>513572</v>
      </c>
      <c r="B10131" s="2" t="str">
        <f>"ESCOVA LIMPEZA"</f>
        <v>ESCOVA LIMPEZA</v>
      </c>
      <c r="C10131" s="2" t="str">
        <f t="shared" si="393"/>
        <v>UN</v>
      </c>
      <c r="D10131" s="7">
        <v>99999</v>
      </c>
      <c r="E10131" s="3">
        <v>99</v>
      </c>
      <c r="F10131" s="3">
        <v>99</v>
      </c>
      <c r="G10131" t="s">
        <v>514</v>
      </c>
    </row>
    <row r="10132" spans="1:7" x14ac:dyDescent="0.25">
      <c r="A10132" s="1" t="str">
        <f>"526801"</f>
        <v>526801</v>
      </c>
      <c r="B10132" s="2" t="str">
        <f>"ESCOVA LIMPEZA TUBOS ENSAIO COD 2220-2210-2200"</f>
        <v>ESCOVA LIMPEZA TUBOS ENSAIO COD 2220-2210-2200</v>
      </c>
      <c r="C10132" s="2" t="str">
        <f t="shared" si="393"/>
        <v>UN</v>
      </c>
      <c r="D10132" s="7">
        <v>99999</v>
      </c>
      <c r="E10132" s="3">
        <v>99</v>
      </c>
      <c r="F10132" s="3">
        <v>99</v>
      </c>
      <c r="G10132" t="s">
        <v>512</v>
      </c>
    </row>
    <row r="10133" spans="1:7" x14ac:dyDescent="0.25">
      <c r="A10133" s="1" t="str">
        <f>"520722"</f>
        <v>520722</v>
      </c>
      <c r="B10133" s="2" t="str">
        <f>"ESCOVA LIMPEZA TUBULAÇÃO LEITE 2"""</f>
        <v>ESCOVA LIMPEZA TUBULAÇÃO LEITE 2"</v>
      </c>
      <c r="C10133" s="2" t="str">
        <f t="shared" si="393"/>
        <v>UN</v>
      </c>
      <c r="D10133" s="7">
        <v>817</v>
      </c>
      <c r="E10133" s="3">
        <v>4</v>
      </c>
      <c r="F10133" s="3">
        <v>4</v>
      </c>
      <c r="G10133" t="s">
        <v>513</v>
      </c>
    </row>
    <row r="10134" spans="1:7" x14ac:dyDescent="0.25">
      <c r="A10134" s="1" t="str">
        <f>"524628"</f>
        <v>524628</v>
      </c>
      <c r="B10134" s="8" t="s">
        <v>401</v>
      </c>
      <c r="C10134" s="2" t="str">
        <f t="shared" si="393"/>
        <v>UN</v>
      </c>
      <c r="D10134" s="7">
        <v>406</v>
      </c>
      <c r="E10134" s="3">
        <v>13</v>
      </c>
      <c r="F10134" s="3">
        <v>13</v>
      </c>
      <c r="G10134" t="s">
        <v>514</v>
      </c>
    </row>
    <row r="10135" spans="1:7" x14ac:dyDescent="0.25">
      <c r="A10135" s="1" t="str">
        <f>"511477"</f>
        <v>511477</v>
      </c>
      <c r="B10135" s="2" t="str">
        <f>"ESCOVA LIXADEIRA BOSCH 220V GWS 7-115"</f>
        <v>ESCOVA LIXADEIRA BOSCH 220V GWS 7-115</v>
      </c>
      <c r="C10135" s="2" t="str">
        <f t="shared" si="393"/>
        <v>UN</v>
      </c>
      <c r="D10135" s="7">
        <v>601</v>
      </c>
      <c r="E10135" s="3">
        <v>8</v>
      </c>
      <c r="F10135" s="3">
        <v>8</v>
      </c>
      <c r="G10135" t="s">
        <v>514</v>
      </c>
    </row>
    <row r="10136" spans="1:7" x14ac:dyDescent="0.25">
      <c r="A10136" s="1" t="str">
        <f>"512273"</f>
        <v>512273</v>
      </c>
      <c r="B10136" s="2" t="str">
        <f>"ESCOVA MANUAL 3 FILEIRAS INOX 0,30MM"</f>
        <v>ESCOVA MANUAL 3 FILEIRAS INOX 0,30MM</v>
      </c>
      <c r="C10136" s="2" t="str">
        <f t="shared" si="393"/>
        <v>UN</v>
      </c>
      <c r="D10136" s="7">
        <v>920</v>
      </c>
      <c r="E10136" s="3">
        <v>11</v>
      </c>
      <c r="F10136" s="3">
        <v>11</v>
      </c>
      <c r="G10136" t="s">
        <v>512</v>
      </c>
    </row>
    <row r="10137" spans="1:7" x14ac:dyDescent="0.25">
      <c r="A10137" s="1" t="str">
        <f>"509181"</f>
        <v>509181</v>
      </c>
      <c r="B10137" s="2" t="str">
        <f>"ESCOVA MANUAL 3 FILEIRAS LATAO 0,30MM"</f>
        <v>ESCOVA MANUAL 3 FILEIRAS LATAO 0,30MM</v>
      </c>
      <c r="C10137" s="2" t="str">
        <f t="shared" si="393"/>
        <v>UN</v>
      </c>
      <c r="D10137" s="7">
        <v>920</v>
      </c>
      <c r="E10137" s="3">
        <v>11</v>
      </c>
      <c r="F10137" s="3">
        <v>11</v>
      </c>
      <c r="G10137" t="s">
        <v>513</v>
      </c>
    </row>
    <row r="10138" spans="1:7" x14ac:dyDescent="0.25">
      <c r="A10138" s="1" t="str">
        <f>"510559"</f>
        <v>510559</v>
      </c>
      <c r="B10138" s="2" t="str">
        <f>"ESCOVA MOTOR HIDRAULICO JAG"</f>
        <v>ESCOVA MOTOR HIDRAULICO JAG</v>
      </c>
      <c r="C10138" s="2" t="str">
        <f t="shared" si="393"/>
        <v>UN</v>
      </c>
      <c r="D10138" s="7">
        <v>900</v>
      </c>
      <c r="E10138" s="3">
        <v>11</v>
      </c>
      <c r="F10138" s="3">
        <v>11</v>
      </c>
      <c r="G10138" t="s">
        <v>514</v>
      </c>
    </row>
    <row r="10139" spans="1:7" x14ac:dyDescent="0.25">
      <c r="A10139" s="1" t="str">
        <f>"503046"</f>
        <v>503046</v>
      </c>
      <c r="B10139" s="2" t="str">
        <f>"ESCOVA MOTOR WEG TOYOTA"</f>
        <v>ESCOVA MOTOR WEG TOYOTA</v>
      </c>
      <c r="C10139" s="2" t="str">
        <f t="shared" si="393"/>
        <v>UN</v>
      </c>
      <c r="D10139" s="7">
        <v>900</v>
      </c>
      <c r="E10139" s="3">
        <v>11</v>
      </c>
      <c r="F10139" s="3">
        <v>11</v>
      </c>
      <c r="G10139" t="s">
        <v>514</v>
      </c>
    </row>
    <row r="10140" spans="1:7" x14ac:dyDescent="0.25">
      <c r="A10140" s="1" t="str">
        <f>"516473"</f>
        <v>516473</v>
      </c>
      <c r="B10140" s="2" t="str">
        <f>"ESCOVA NYLON 0,30 CRISTAL ( PP ) 800 X Ø125 X FURO 3/4"" B65"</f>
        <v>ESCOVA NYLON 0,30 CRISTAL ( PP ) 800 X Ø125 X FURO 3/4" B65</v>
      </c>
      <c r="C10140" s="2" t="str">
        <f t="shared" ref="C10140:C10171" si="394">"UN"</f>
        <v>UN</v>
      </c>
      <c r="D10140" s="7">
        <v>1300</v>
      </c>
      <c r="E10140" s="3">
        <v>10</v>
      </c>
      <c r="F10140" s="3">
        <v>10</v>
      </c>
      <c r="G10140" t="s">
        <v>514</v>
      </c>
    </row>
    <row r="10141" spans="1:7" x14ac:dyDescent="0.25">
      <c r="A10141" s="1" t="str">
        <f>"512351"</f>
        <v>512351</v>
      </c>
      <c r="B10141" s="2" t="str">
        <f>"ESCOVA P/ BOCA TANQUE"</f>
        <v>ESCOVA P/ BOCA TANQUE</v>
      </c>
      <c r="C10141" s="2" t="str">
        <f t="shared" si="394"/>
        <v>UN</v>
      </c>
      <c r="D10141" s="7">
        <v>400</v>
      </c>
      <c r="E10141" s="3">
        <v>4</v>
      </c>
      <c r="F10141" s="3">
        <v>4</v>
      </c>
      <c r="G10141" t="s">
        <v>513</v>
      </c>
    </row>
    <row r="10142" spans="1:7" x14ac:dyDescent="0.25">
      <c r="A10142" s="1" t="str">
        <f>"518998"</f>
        <v>518998</v>
      </c>
      <c r="B10142" s="2" t="str">
        <f>"ESCOVA P/ BUTIROMETRO"</f>
        <v>ESCOVA P/ BUTIROMETRO</v>
      </c>
      <c r="C10142" s="2" t="str">
        <f t="shared" si="394"/>
        <v>UN</v>
      </c>
      <c r="D10142" s="7">
        <v>817</v>
      </c>
      <c r="E10142" s="3">
        <v>10</v>
      </c>
      <c r="F10142" s="3">
        <v>10</v>
      </c>
      <c r="G10142" t="s">
        <v>512</v>
      </c>
    </row>
    <row r="10143" spans="1:7" x14ac:dyDescent="0.25">
      <c r="A10143" s="1" t="str">
        <f>"506412"</f>
        <v>506412</v>
      </c>
      <c r="B10143" s="2" t="str">
        <f>"ESCOVA P/ MOTOR DA FURADEIRA BOSCH"</f>
        <v>ESCOVA P/ MOTOR DA FURADEIRA BOSCH</v>
      </c>
      <c r="C10143" s="2" t="str">
        <f t="shared" si="394"/>
        <v>UN</v>
      </c>
      <c r="D10143" s="7">
        <v>900</v>
      </c>
      <c r="E10143" s="3">
        <v>11</v>
      </c>
      <c r="F10143" s="3">
        <v>11</v>
      </c>
      <c r="G10143" t="s">
        <v>513</v>
      </c>
    </row>
    <row r="10144" spans="1:7" x14ac:dyDescent="0.25">
      <c r="A10144" s="1" t="str">
        <f>"511136"</f>
        <v>511136</v>
      </c>
      <c r="B10144" s="8" t="s">
        <v>27</v>
      </c>
      <c r="C10144" s="2" t="str">
        <f t="shared" si="394"/>
        <v>UN</v>
      </c>
      <c r="D10144" s="7">
        <v>817</v>
      </c>
      <c r="E10144" s="3">
        <v>10</v>
      </c>
      <c r="F10144" s="3">
        <v>10</v>
      </c>
      <c r="G10144" t="s">
        <v>514</v>
      </c>
    </row>
    <row r="10145" spans="1:7" x14ac:dyDescent="0.25">
      <c r="A10145" s="1" t="str">
        <f>"518997"</f>
        <v>518997</v>
      </c>
      <c r="B10145" s="8" t="s">
        <v>109</v>
      </c>
      <c r="C10145" s="2" t="str">
        <f t="shared" si="394"/>
        <v>UN</v>
      </c>
      <c r="D10145" s="7">
        <v>817</v>
      </c>
      <c r="E10145" s="3">
        <v>10</v>
      </c>
      <c r="F10145" s="3">
        <v>10</v>
      </c>
      <c r="G10145" t="s">
        <v>514</v>
      </c>
    </row>
    <row r="10146" spans="1:7" x14ac:dyDescent="0.25">
      <c r="A10146" s="1" t="str">
        <f>"511135"</f>
        <v>511135</v>
      </c>
      <c r="B10146" s="8" t="s">
        <v>26</v>
      </c>
      <c r="C10146" s="2" t="str">
        <f t="shared" si="394"/>
        <v>UN</v>
      </c>
      <c r="D10146" s="7">
        <v>817</v>
      </c>
      <c r="E10146" s="3">
        <v>10</v>
      </c>
      <c r="F10146" s="3">
        <v>10</v>
      </c>
      <c r="G10146" t="s">
        <v>514</v>
      </c>
    </row>
    <row r="10147" spans="1:7" x14ac:dyDescent="0.25">
      <c r="A10147" s="1" t="str">
        <f>"524048"</f>
        <v>524048</v>
      </c>
      <c r="B10147" s="2" t="str">
        <f>"ESCOVA P/ RESFRIADOR C/ CABO"</f>
        <v>ESCOVA P/ RESFRIADOR C/ CABO</v>
      </c>
      <c r="C10147" s="2" t="str">
        <f t="shared" si="394"/>
        <v>UN</v>
      </c>
      <c r="D10147" s="7">
        <v>99999</v>
      </c>
      <c r="E10147" s="3">
        <v>99</v>
      </c>
      <c r="F10147" s="3">
        <v>99</v>
      </c>
      <c r="G10147" t="s">
        <v>513</v>
      </c>
    </row>
    <row r="10148" spans="1:7" x14ac:dyDescent="0.25">
      <c r="A10148" s="1" t="str">
        <f>"524051"</f>
        <v>524051</v>
      </c>
      <c r="B10148" s="2" t="str">
        <f>"ESCOVA P/ RESFRIADOR C/ CABO ALUMINIO 1,20MT"</f>
        <v>ESCOVA P/ RESFRIADOR C/ CABO ALUMINIO 1,20MT</v>
      </c>
      <c r="C10148" s="2" t="str">
        <f t="shared" si="394"/>
        <v>UN</v>
      </c>
      <c r="D10148" s="7">
        <v>99999</v>
      </c>
      <c r="E10148" s="3">
        <v>99</v>
      </c>
      <c r="F10148" s="3">
        <v>99</v>
      </c>
      <c r="G10148" t="s">
        <v>513</v>
      </c>
    </row>
    <row r="10149" spans="1:7" x14ac:dyDescent="0.25">
      <c r="A10149" s="1" t="str">
        <f>"513914"</f>
        <v>513914</v>
      </c>
      <c r="B10149" s="2" t="str">
        <f>"ESCOVA P/ TUBO DE ENSAIO DM16"</f>
        <v>ESCOVA P/ TUBO DE ENSAIO DM16</v>
      </c>
      <c r="C10149" s="2" t="str">
        <f t="shared" si="394"/>
        <v>UN</v>
      </c>
      <c r="D10149" s="7">
        <v>303</v>
      </c>
      <c r="E10149" s="3">
        <v>10</v>
      </c>
      <c r="F10149" s="3">
        <v>10</v>
      </c>
      <c r="G10149" t="s">
        <v>513</v>
      </c>
    </row>
    <row r="10150" spans="1:7" x14ac:dyDescent="0.25">
      <c r="A10150" s="1" t="str">
        <f>"519137"</f>
        <v>519137</v>
      </c>
      <c r="B10150" s="2" t="str">
        <f>"ESCOVA P/ TUBO DE ENSAIO DM25"</f>
        <v>ESCOVA P/ TUBO DE ENSAIO DM25</v>
      </c>
      <c r="C10150" s="2" t="str">
        <f t="shared" si="394"/>
        <v>UN</v>
      </c>
      <c r="D10150" s="7">
        <v>303</v>
      </c>
      <c r="E10150" s="3">
        <v>10</v>
      </c>
      <c r="F10150" s="3">
        <v>10</v>
      </c>
      <c r="G10150" t="s">
        <v>512</v>
      </c>
    </row>
    <row r="10151" spans="1:7" x14ac:dyDescent="0.25">
      <c r="A10151" s="1" t="str">
        <f>"525050"</f>
        <v>525050</v>
      </c>
      <c r="B10151" s="2" t="str">
        <f>"ESCOVA PARA LAVADOR DE BOTAS NARDIMAQ"</f>
        <v>ESCOVA PARA LAVADOR DE BOTAS NARDIMAQ</v>
      </c>
      <c r="C10151" s="2" t="str">
        <f t="shared" si="394"/>
        <v>UN</v>
      </c>
      <c r="D10151" s="7">
        <v>812</v>
      </c>
      <c r="E10151" s="3">
        <v>11</v>
      </c>
      <c r="F10151" s="3">
        <v>11</v>
      </c>
      <c r="G10151" t="s">
        <v>513</v>
      </c>
    </row>
    <row r="10152" spans="1:7" x14ac:dyDescent="0.25">
      <c r="A10152" s="1" t="str">
        <f>"521246"</f>
        <v>521246</v>
      </c>
      <c r="B10152" s="2" t="str">
        <f>"ESCOVA PARA LIMPEZA DE TUBOS  (COR VERMELHO CÓD. 47152)"</f>
        <v>ESCOVA PARA LIMPEZA DE TUBOS  (COR VERMELHO CÓD. 47152)</v>
      </c>
      <c r="C10152" s="2" t="str">
        <f t="shared" si="394"/>
        <v>UN</v>
      </c>
      <c r="D10152" s="7">
        <v>400</v>
      </c>
      <c r="E10152" s="3">
        <v>4</v>
      </c>
      <c r="F10152" s="3">
        <v>4</v>
      </c>
      <c r="G10152" t="s">
        <v>514</v>
      </c>
    </row>
    <row r="10153" spans="1:7" x14ac:dyDescent="0.25">
      <c r="A10153" s="1" t="str">
        <f>"522985"</f>
        <v>522985</v>
      </c>
      <c r="B10153" s="2" t="str">
        <f>"ESCOVA PARA LIMPEZA DE TUBOS (COR AZUL CÓD. 10772)"</f>
        <v>ESCOVA PARA LIMPEZA DE TUBOS (COR AZUL CÓD. 10772)</v>
      </c>
      <c r="C10153" s="2" t="str">
        <f t="shared" si="394"/>
        <v>UN</v>
      </c>
      <c r="D10153" s="7">
        <v>400</v>
      </c>
      <c r="E10153" s="3">
        <v>4</v>
      </c>
      <c r="F10153" s="3">
        <v>4</v>
      </c>
      <c r="G10153" t="s">
        <v>515</v>
      </c>
    </row>
    <row r="10154" spans="1:7" x14ac:dyDescent="0.25">
      <c r="A10154" s="1" t="str">
        <f>"522986"</f>
        <v>522986</v>
      </c>
      <c r="B10154" s="2" t="str">
        <f>"ESCOVA PARA LIMPEZA DE TUBOS (COR AZUL CÓD. 10774)"</f>
        <v>ESCOVA PARA LIMPEZA DE TUBOS (COR AZUL CÓD. 10774)</v>
      </c>
      <c r="C10154" s="2" t="str">
        <f t="shared" si="394"/>
        <v>UN</v>
      </c>
      <c r="D10154" s="7">
        <v>400</v>
      </c>
      <c r="E10154" s="3">
        <v>4</v>
      </c>
      <c r="F10154" s="3">
        <v>4</v>
      </c>
      <c r="G10154" t="s">
        <v>512</v>
      </c>
    </row>
    <row r="10155" spans="1:7" x14ac:dyDescent="0.25">
      <c r="A10155" s="1" t="str">
        <f>"522987"</f>
        <v>522987</v>
      </c>
      <c r="B10155" s="2" t="str">
        <f>"ESCOVA PARA LIMPEZA DE TUBOS (COR AZUL CÓD. 10775)"</f>
        <v>ESCOVA PARA LIMPEZA DE TUBOS (COR AZUL CÓD. 10775)</v>
      </c>
      <c r="C10155" s="2" t="str">
        <f t="shared" si="394"/>
        <v>UN</v>
      </c>
      <c r="D10155" s="7">
        <v>400</v>
      </c>
      <c r="E10155" s="3">
        <v>4</v>
      </c>
      <c r="F10155" s="3">
        <v>4</v>
      </c>
      <c r="G10155" t="s">
        <v>516</v>
      </c>
    </row>
    <row r="10156" spans="1:7" x14ac:dyDescent="0.25">
      <c r="A10156" s="1" t="str">
        <f>"522988"</f>
        <v>522988</v>
      </c>
      <c r="B10156" s="2" t="str">
        <f>"ESCOVA PARA LIMPEZA DE TUBOS (COR AZUL CÓD. 10776)"</f>
        <v>ESCOVA PARA LIMPEZA DE TUBOS (COR AZUL CÓD. 10776)</v>
      </c>
      <c r="C10156" s="2" t="str">
        <f t="shared" si="394"/>
        <v>UN</v>
      </c>
      <c r="D10156" s="7">
        <v>400</v>
      </c>
      <c r="E10156" s="3">
        <v>4</v>
      </c>
      <c r="F10156" s="3">
        <v>4</v>
      </c>
      <c r="G10156" t="s">
        <v>515</v>
      </c>
    </row>
    <row r="10157" spans="1:7" x14ac:dyDescent="0.25">
      <c r="A10157" s="1" t="str">
        <f>"522989"</f>
        <v>522989</v>
      </c>
      <c r="B10157" s="2" t="str">
        <f>"ESCOVA PARA LIMPEZA DE TUBOS (COR AZUL CÓD. 10778)"</f>
        <v>ESCOVA PARA LIMPEZA DE TUBOS (COR AZUL CÓD. 10778)</v>
      </c>
      <c r="C10157" s="2" t="str">
        <f t="shared" si="394"/>
        <v>UN</v>
      </c>
      <c r="D10157" s="7">
        <v>400</v>
      </c>
      <c r="E10157" s="3">
        <v>4</v>
      </c>
      <c r="F10157" s="3">
        <v>4</v>
      </c>
      <c r="G10157" t="s">
        <v>514</v>
      </c>
    </row>
    <row r="10158" spans="1:7" x14ac:dyDescent="0.25">
      <c r="A10158" s="1" t="str">
        <f>"523734"</f>
        <v>523734</v>
      </c>
      <c r="B10158" s="2" t="str">
        <f>"ESCOVA PARA LIMPEZA DE TUBOS (COR AZUL CÓD. 47260)"</f>
        <v>ESCOVA PARA LIMPEZA DE TUBOS (COR AZUL CÓD. 47260)</v>
      </c>
      <c r="C10158" s="2" t="str">
        <f t="shared" si="394"/>
        <v>UN</v>
      </c>
      <c r="D10158" s="7">
        <v>400</v>
      </c>
      <c r="E10158" s="3">
        <v>4</v>
      </c>
      <c r="F10158" s="3">
        <v>4</v>
      </c>
      <c r="G10158" t="s">
        <v>512</v>
      </c>
    </row>
    <row r="10159" spans="1:7" x14ac:dyDescent="0.25">
      <c r="A10159" s="1" t="str">
        <f>"521643"</f>
        <v>521643</v>
      </c>
      <c r="B10159" s="2" t="str">
        <f>"ESCOVA PARA TUBO DE ENSAIO 15X85X145MM"</f>
        <v>ESCOVA PARA TUBO DE ENSAIO 15X85X145MM</v>
      </c>
      <c r="C10159" s="2" t="str">
        <f t="shared" si="394"/>
        <v>UN</v>
      </c>
      <c r="D10159" s="7">
        <v>406</v>
      </c>
      <c r="E10159" s="3">
        <v>4</v>
      </c>
      <c r="F10159" s="3">
        <v>4</v>
      </c>
      <c r="G10159" t="s">
        <v>513</v>
      </c>
    </row>
    <row r="10160" spans="1:7" x14ac:dyDescent="0.25">
      <c r="A10160" s="1" t="str">
        <f>"522698"</f>
        <v>522698</v>
      </c>
      <c r="B10160" s="2" t="str">
        <f>"ESCOVA PARA TUBOS (COR AZUL CÓD. 10745)"</f>
        <v>ESCOVA PARA TUBOS (COR AZUL CÓD. 10745)</v>
      </c>
      <c r="C10160" s="2" t="str">
        <f t="shared" si="394"/>
        <v>UN</v>
      </c>
      <c r="D10160" s="7">
        <v>400</v>
      </c>
      <c r="E10160" s="3">
        <v>4</v>
      </c>
      <c r="F10160" s="3">
        <v>4</v>
      </c>
      <c r="G10160" t="s">
        <v>514</v>
      </c>
    </row>
    <row r="10161" spans="1:7" x14ac:dyDescent="0.25">
      <c r="A10161" s="1" t="str">
        <f>"511880"</f>
        <v>511880</v>
      </c>
      <c r="B10161" s="2" t="str">
        <f>"ESCOVA PIPETA GRADUADA REF. 545"</f>
        <v>ESCOVA PIPETA GRADUADA REF. 545</v>
      </c>
      <c r="C10161" s="2" t="str">
        <f t="shared" si="394"/>
        <v>UN</v>
      </c>
      <c r="D10161" s="7">
        <v>817</v>
      </c>
      <c r="E10161" s="3">
        <v>10</v>
      </c>
      <c r="F10161" s="3">
        <v>10</v>
      </c>
      <c r="G10161" t="s">
        <v>514</v>
      </c>
    </row>
    <row r="10162" spans="1:7" x14ac:dyDescent="0.25">
      <c r="A10162" s="1" t="str">
        <f>"519821"</f>
        <v>519821</v>
      </c>
      <c r="B10162" s="2" t="str">
        <f>"ESCOVA PIPETA VOLUMETRICA REF. 500"</f>
        <v>ESCOVA PIPETA VOLUMETRICA REF. 500</v>
      </c>
      <c r="C10162" s="2" t="str">
        <f t="shared" si="394"/>
        <v>UN</v>
      </c>
      <c r="D10162" s="7">
        <v>817</v>
      </c>
      <c r="E10162" s="3">
        <v>10</v>
      </c>
      <c r="F10162" s="3">
        <v>10</v>
      </c>
      <c r="G10162" t="s">
        <v>512</v>
      </c>
    </row>
    <row r="10163" spans="1:7" x14ac:dyDescent="0.25">
      <c r="A10163" s="1" t="str">
        <f>"518015"</f>
        <v>518015</v>
      </c>
      <c r="B10163" s="2" t="str">
        <f>"ESCOVA POLINOX 100X100X19MM"</f>
        <v>ESCOVA POLINOX 100X100X19MM</v>
      </c>
      <c r="C10163" s="2" t="str">
        <f t="shared" si="394"/>
        <v>UN</v>
      </c>
      <c r="D10163" s="7">
        <v>920</v>
      </c>
      <c r="E10163" s="3">
        <v>4</v>
      </c>
      <c r="F10163" s="3">
        <v>4</v>
      </c>
      <c r="G10163" t="s">
        <v>513</v>
      </c>
    </row>
    <row r="10164" spans="1:7" x14ac:dyDescent="0.25">
      <c r="A10164" s="1" t="str">
        <f>"511879"</f>
        <v>511879</v>
      </c>
      <c r="B10164" s="2" t="str">
        <f>"ESCOVA PROVETA 250ML REF. 261"</f>
        <v>ESCOVA PROVETA 250ML REF. 261</v>
      </c>
      <c r="C10164" s="2" t="str">
        <f t="shared" si="394"/>
        <v>UN</v>
      </c>
      <c r="D10164" s="7">
        <v>817</v>
      </c>
      <c r="E10164" s="3">
        <v>10</v>
      </c>
      <c r="F10164" s="3">
        <v>10</v>
      </c>
      <c r="G10164" t="s">
        <v>514</v>
      </c>
    </row>
    <row r="10165" spans="1:7" x14ac:dyDescent="0.25">
      <c r="A10165" s="1" t="str">
        <f>"512850"</f>
        <v>512850</v>
      </c>
      <c r="B10165" s="2" t="str">
        <f>"ESCOVA SANITARIA SUPORTE"</f>
        <v>ESCOVA SANITARIA SUPORTE</v>
      </c>
      <c r="C10165" s="2" t="str">
        <f t="shared" si="394"/>
        <v>UN</v>
      </c>
      <c r="D10165" s="7">
        <v>99999</v>
      </c>
      <c r="E10165" s="3">
        <v>99</v>
      </c>
      <c r="F10165" s="3">
        <v>99</v>
      </c>
      <c r="G10165" t="s">
        <v>514</v>
      </c>
    </row>
    <row r="10166" spans="1:7" x14ac:dyDescent="0.25">
      <c r="A10166" s="1" t="str">
        <f>"514547"</f>
        <v>514547</v>
      </c>
      <c r="B10166" s="2" t="str">
        <f>"ESCOVA TIPO CARRETEL DH 320MM X 280MM EIXO 32MM NYLON 1MM"</f>
        <v>ESCOVA TIPO CARRETEL DH 320MM X 280MM EIXO 32MM NYLON 1MM</v>
      </c>
      <c r="C10166" s="2" t="str">
        <f t="shared" si="394"/>
        <v>UN</v>
      </c>
      <c r="D10166" s="7">
        <v>400</v>
      </c>
      <c r="E10166" s="3">
        <v>4</v>
      </c>
      <c r="F10166" s="3">
        <v>4</v>
      </c>
      <c r="G10166" t="s">
        <v>514</v>
      </c>
    </row>
    <row r="10167" spans="1:7" x14ac:dyDescent="0.25">
      <c r="A10167" s="1" t="str">
        <f>"515655"</f>
        <v>515655</v>
      </c>
      <c r="B10167" s="2" t="str">
        <f>"ESCOVA TUBO CH 4000 INOX"</f>
        <v>ESCOVA TUBO CH 4000 INOX</v>
      </c>
      <c r="C10167" s="2" t="str">
        <f t="shared" si="394"/>
        <v>UN</v>
      </c>
      <c r="D10167" s="7">
        <v>1300</v>
      </c>
      <c r="E10167" s="3">
        <v>13</v>
      </c>
      <c r="F10167" s="3">
        <v>13</v>
      </c>
      <c r="G10167" t="s">
        <v>513</v>
      </c>
    </row>
    <row r="10168" spans="1:7" x14ac:dyDescent="0.25">
      <c r="A10168" s="1" t="str">
        <f>"517810"</f>
        <v>517810</v>
      </c>
      <c r="B10168" s="2" t="str">
        <f>"ESCOVA TUBO CH 4000 INOX 2 1/2"""</f>
        <v>ESCOVA TUBO CH 4000 INOX 2 1/2"</v>
      </c>
      <c r="C10168" s="2" t="str">
        <f t="shared" si="394"/>
        <v>UN</v>
      </c>
      <c r="D10168" s="7">
        <v>918</v>
      </c>
      <c r="E10168" s="3">
        <v>13</v>
      </c>
      <c r="F10168" s="3">
        <v>13</v>
      </c>
      <c r="G10168" t="s">
        <v>512</v>
      </c>
    </row>
    <row r="10169" spans="1:7" x14ac:dyDescent="0.25">
      <c r="A10169" s="1" t="str">
        <f>"525141"</f>
        <v>525141</v>
      </c>
      <c r="B10169" s="2" t="str">
        <f>"ESCOVA VERMELHA"</f>
        <v>ESCOVA VERMELHA</v>
      </c>
      <c r="C10169" s="2" t="str">
        <f t="shared" si="394"/>
        <v>UN</v>
      </c>
      <c r="D10169" s="7">
        <v>99999</v>
      </c>
      <c r="E10169" s="3">
        <v>99</v>
      </c>
      <c r="F10169" s="3">
        <v>99</v>
      </c>
      <c r="G10169" t="s">
        <v>513</v>
      </c>
    </row>
    <row r="10170" spans="1:7" x14ac:dyDescent="0.25">
      <c r="A10170" s="1" t="str">
        <f>"513526"</f>
        <v>513526</v>
      </c>
      <c r="B10170" s="2" t="str">
        <f>"ESCOVÃO P/ PISCINA"</f>
        <v>ESCOVÃO P/ PISCINA</v>
      </c>
      <c r="C10170" s="2" t="str">
        <f t="shared" si="394"/>
        <v>UN</v>
      </c>
      <c r="D10170" s="7">
        <v>817</v>
      </c>
      <c r="E10170" s="3">
        <v>4</v>
      </c>
      <c r="F10170" s="3">
        <v>4</v>
      </c>
      <c r="G10170" t="s">
        <v>514</v>
      </c>
    </row>
    <row r="10171" spans="1:7" x14ac:dyDescent="0.25">
      <c r="A10171" s="1" t="str">
        <f>"528122"</f>
        <v>528122</v>
      </c>
      <c r="B10171" s="2" t="str">
        <f>"ESCOVAS DE CHAO (COR AZUL- COD 49154)"</f>
        <v>ESCOVAS DE CHAO (COR AZUL- COD 49154)</v>
      </c>
      <c r="C10171" s="2" t="str">
        <f t="shared" si="394"/>
        <v>UN</v>
      </c>
      <c r="D10171" s="7">
        <v>99999</v>
      </c>
      <c r="E10171" s="3">
        <v>99</v>
      </c>
      <c r="F10171" s="3">
        <v>99</v>
      </c>
      <c r="G10171" t="s">
        <v>514</v>
      </c>
    </row>
    <row r="10172" spans="1:7" x14ac:dyDescent="0.25">
      <c r="A10172" s="1" t="str">
        <f>"528123"</f>
        <v>528123</v>
      </c>
      <c r="B10172" s="2" t="str">
        <f>"ESCOVAS DE LIMPEZA (COR AZUL- COD 49105)"</f>
        <v>ESCOVAS DE LIMPEZA (COR AZUL- COD 49105)</v>
      </c>
      <c r="C10172" s="2" t="str">
        <f t="shared" ref="C10172:C10203" si="395">"UN"</f>
        <v>UN</v>
      </c>
      <c r="D10172" s="7">
        <v>99999</v>
      </c>
      <c r="E10172" s="3">
        <v>99</v>
      </c>
      <c r="F10172" s="3">
        <v>99</v>
      </c>
      <c r="G10172" t="s">
        <v>514</v>
      </c>
    </row>
    <row r="10173" spans="1:7" x14ac:dyDescent="0.25">
      <c r="A10173" s="1" t="str">
        <f>"523345"</f>
        <v>523345</v>
      </c>
      <c r="B10173" s="2" t="str">
        <f>"ESCOVAS DE LIMPEZA DE TUBOS (COR PRETO CÓD. 47153)"</f>
        <v>ESCOVAS DE LIMPEZA DE TUBOS (COR PRETO CÓD. 47153)</v>
      </c>
      <c r="C10173" s="2" t="str">
        <f t="shared" si="395"/>
        <v>UN</v>
      </c>
      <c r="D10173" s="7">
        <v>400</v>
      </c>
      <c r="E10173" s="3">
        <v>4</v>
      </c>
      <c r="F10173" s="3">
        <v>4</v>
      </c>
      <c r="G10173" t="s">
        <v>513</v>
      </c>
    </row>
    <row r="10174" spans="1:7" x14ac:dyDescent="0.25">
      <c r="A10174" s="1" t="str">
        <f>"522997"</f>
        <v>522997</v>
      </c>
      <c r="B10174" s="2" t="str">
        <f>"ESCOVAS DE MÃO (COR AMARELO CÓD. 10546)"</f>
        <v>ESCOVAS DE MÃO (COR AMARELO CÓD. 10546)</v>
      </c>
      <c r="C10174" s="2" t="str">
        <f t="shared" si="395"/>
        <v>UN</v>
      </c>
      <c r="D10174" s="7">
        <v>400</v>
      </c>
      <c r="E10174" s="3">
        <v>4</v>
      </c>
      <c r="F10174" s="3">
        <v>4</v>
      </c>
      <c r="G10174" t="s">
        <v>513</v>
      </c>
    </row>
    <row r="10175" spans="1:7" x14ac:dyDescent="0.25">
      <c r="A10175" s="1" t="str">
        <f>"521257"</f>
        <v>521257</v>
      </c>
      <c r="B10175" s="2" t="str">
        <f>"ESCOVAS DE MÃO (COR CINZA CÓD. 10252)"</f>
        <v>ESCOVAS DE MÃO (COR CINZA CÓD. 10252)</v>
      </c>
      <c r="C10175" s="2" t="str">
        <f t="shared" si="395"/>
        <v>UN</v>
      </c>
      <c r="D10175" s="7">
        <v>400</v>
      </c>
      <c r="E10175" s="3">
        <v>4</v>
      </c>
      <c r="F10175" s="3">
        <v>4</v>
      </c>
      <c r="G10175" t="s">
        <v>513</v>
      </c>
    </row>
    <row r="10176" spans="1:7" x14ac:dyDescent="0.25">
      <c r="A10176" s="1" t="str">
        <f>"521060"</f>
        <v>521060</v>
      </c>
      <c r="B10176" s="2" t="str">
        <f>"ESCOVAS DE MÃO (COR ROXO CÓD. 10546)"</f>
        <v>ESCOVAS DE MÃO (COR ROXO CÓD. 10546)</v>
      </c>
      <c r="C10176" s="2" t="str">
        <f t="shared" si="395"/>
        <v>UN</v>
      </c>
      <c r="D10176" s="7">
        <v>400</v>
      </c>
      <c r="E10176" s="3">
        <v>4</v>
      </c>
      <c r="F10176" s="3">
        <v>4</v>
      </c>
      <c r="G10176" t="s">
        <v>512</v>
      </c>
    </row>
    <row r="10177" spans="1:7" x14ac:dyDescent="0.25">
      <c r="A10177" s="1" t="str">
        <f>"523614"</f>
        <v>523614</v>
      </c>
      <c r="B10177" s="2" t="str">
        <f>"ESCOVAS DE MÃO PEQUENAS (COR AMARELO CÓD. 10203)"</f>
        <v>ESCOVAS DE MÃO PEQUENAS (COR AMARELO CÓD. 10203)</v>
      </c>
      <c r="C10177" s="2" t="str">
        <f t="shared" si="395"/>
        <v>UN</v>
      </c>
      <c r="D10177" s="7">
        <v>400</v>
      </c>
      <c r="E10177" s="3">
        <v>4</v>
      </c>
      <c r="F10177" s="3">
        <v>4</v>
      </c>
      <c r="G10177" t="s">
        <v>513</v>
      </c>
    </row>
    <row r="10178" spans="1:7" x14ac:dyDescent="0.25">
      <c r="A10178" s="1" t="str">
        <f>"521784"</f>
        <v>521784</v>
      </c>
      <c r="B10178" s="2" t="str">
        <f>"ESCOVAS DE MÃO REDONDAS (COR AZUL CÓD. 54154)"</f>
        <v>ESCOVAS DE MÃO REDONDAS (COR AZUL CÓD. 54154)</v>
      </c>
      <c r="C10178" s="2" t="str">
        <f t="shared" si="395"/>
        <v>UN</v>
      </c>
      <c r="D10178" s="7">
        <v>400</v>
      </c>
      <c r="E10178" s="3">
        <v>4</v>
      </c>
      <c r="F10178" s="3">
        <v>4</v>
      </c>
      <c r="G10178" t="s">
        <v>514</v>
      </c>
    </row>
    <row r="10179" spans="1:7" x14ac:dyDescent="0.25">
      <c r="A10179" s="1" t="str">
        <f>"521441"</f>
        <v>521441</v>
      </c>
      <c r="B10179" s="2" t="str">
        <f>"ESCOVAS DE TANQUES (COR AZUL CÓD. 15026)"</f>
        <v>ESCOVAS DE TANQUES (COR AZUL CÓD. 15026)</v>
      </c>
      <c r="C10179" s="2" t="str">
        <f t="shared" si="395"/>
        <v>UN</v>
      </c>
      <c r="D10179" s="7">
        <v>400</v>
      </c>
      <c r="E10179" s="3">
        <v>4</v>
      </c>
      <c r="F10179" s="3">
        <v>4</v>
      </c>
      <c r="G10179" t="s">
        <v>515</v>
      </c>
    </row>
    <row r="10180" spans="1:7" x14ac:dyDescent="0.25">
      <c r="A10180" s="1" t="str">
        <f>"527271"</f>
        <v>527271</v>
      </c>
      <c r="B10180" s="2" t="str">
        <f>"ESCOVAS DE TANQUES (COR MARROM CÓD. 15026)"</f>
        <v>ESCOVAS DE TANQUES (COR MARROM CÓD. 15026)</v>
      </c>
      <c r="C10180" s="2" t="str">
        <f t="shared" si="395"/>
        <v>UN</v>
      </c>
      <c r="D10180" s="7">
        <v>400</v>
      </c>
      <c r="E10180" s="3">
        <v>4</v>
      </c>
      <c r="F10180" s="3">
        <v>4</v>
      </c>
      <c r="G10180" t="s">
        <v>512</v>
      </c>
    </row>
    <row r="10181" spans="1:7" x14ac:dyDescent="0.25">
      <c r="A10181" s="1" t="str">
        <f>"521442"</f>
        <v>521442</v>
      </c>
      <c r="B10181" s="2" t="str">
        <f>"ESCOVAS MULTIUSO COM EXTREMIDADES INCL. (COR AZUL CÓD.40154)"</f>
        <v>ESCOVAS MULTIUSO COM EXTREMIDADES INCL. (COR AZUL CÓD.40154)</v>
      </c>
      <c r="C10181" s="2" t="str">
        <f t="shared" si="395"/>
        <v>UN</v>
      </c>
      <c r="D10181" s="7">
        <v>400</v>
      </c>
      <c r="E10181" s="3">
        <v>4</v>
      </c>
      <c r="F10181" s="3">
        <v>4</v>
      </c>
      <c r="G10181" t="s">
        <v>516</v>
      </c>
    </row>
    <row r="10182" spans="1:7" x14ac:dyDescent="0.25">
      <c r="A10182" s="1" t="str">
        <f>"6215"</f>
        <v>6215</v>
      </c>
      <c r="B10182" s="2" t="str">
        <f>"ESCOVAS PARA LIMPEZA DE BUTIROMETRO"</f>
        <v>ESCOVAS PARA LIMPEZA DE BUTIROMETRO</v>
      </c>
      <c r="C10182" s="2" t="str">
        <f t="shared" si="395"/>
        <v>UN</v>
      </c>
      <c r="D10182" s="7">
        <v>400</v>
      </c>
      <c r="E10182" s="3">
        <v>4</v>
      </c>
      <c r="F10182" s="3">
        <v>4</v>
      </c>
      <c r="G10182" t="s">
        <v>515</v>
      </c>
    </row>
    <row r="10183" spans="1:7" x14ac:dyDescent="0.25">
      <c r="A10183" s="1" t="str">
        <f>"521781"</f>
        <v>521781</v>
      </c>
      <c r="B10183" s="2" t="str">
        <f>"ESCOVAS PARA LIMPEZAS DE TUBOS (COR AZUL CÓD. 10771)"</f>
        <v>ESCOVAS PARA LIMPEZAS DE TUBOS (COR AZUL CÓD. 10771)</v>
      </c>
      <c r="C10183" s="2" t="str">
        <f t="shared" si="395"/>
        <v>UN</v>
      </c>
      <c r="D10183" s="7">
        <v>400</v>
      </c>
      <c r="E10183" s="3">
        <v>4</v>
      </c>
      <c r="F10183" s="3">
        <v>4</v>
      </c>
      <c r="G10183" t="s">
        <v>514</v>
      </c>
    </row>
    <row r="10184" spans="1:7" x14ac:dyDescent="0.25">
      <c r="A10184" s="1" t="str">
        <f>"522991"</f>
        <v>522991</v>
      </c>
      <c r="B10184" s="2" t="str">
        <f>"ESCOVILHÕES COM PONTAS RETAS (COR AZUL CÓD. 10713)"</f>
        <v>ESCOVILHÕES COM PONTAS RETAS (COR AZUL CÓD. 10713)</v>
      </c>
      <c r="C10184" s="2" t="str">
        <f t="shared" si="395"/>
        <v>UN</v>
      </c>
      <c r="D10184" s="7">
        <v>400</v>
      </c>
      <c r="E10184" s="3">
        <v>4</v>
      </c>
      <c r="F10184" s="3">
        <v>4</v>
      </c>
      <c r="G10184" t="s">
        <v>512</v>
      </c>
    </row>
    <row r="10185" spans="1:7" x14ac:dyDescent="0.25">
      <c r="A10185" s="1" t="str">
        <f>"523687"</f>
        <v>523687</v>
      </c>
      <c r="B10185" s="2" t="str">
        <f>"ESCOVILHÕES COM PONTAS RETAS (COR AZUL CÓD. 10714)"</f>
        <v>ESCOVILHÕES COM PONTAS RETAS (COR AZUL CÓD. 10714)</v>
      </c>
      <c r="C10185" s="2" t="str">
        <f t="shared" si="395"/>
        <v>UN</v>
      </c>
      <c r="D10185" s="7">
        <v>400</v>
      </c>
      <c r="E10185" s="3">
        <v>4</v>
      </c>
      <c r="F10185" s="3">
        <v>4</v>
      </c>
      <c r="G10185" t="s">
        <v>513</v>
      </c>
    </row>
    <row r="10186" spans="1:7" x14ac:dyDescent="0.25">
      <c r="A10186" s="1" t="str">
        <f>"522699"</f>
        <v>522699</v>
      </c>
      <c r="B10186" s="2" t="str">
        <f>"ESCOVILHÕES COM PONTAS RETAS (COR AZUL CÓD. 10750)"</f>
        <v>ESCOVILHÕES COM PONTAS RETAS (COR AZUL CÓD. 10750)</v>
      </c>
      <c r="C10186" s="2" t="str">
        <f t="shared" si="395"/>
        <v>UN</v>
      </c>
      <c r="D10186" s="7">
        <v>400</v>
      </c>
      <c r="E10186" s="3">
        <v>4</v>
      </c>
      <c r="F10186" s="3">
        <v>4</v>
      </c>
      <c r="G10186" t="s">
        <v>514</v>
      </c>
    </row>
    <row r="10187" spans="1:7" x14ac:dyDescent="0.25">
      <c r="A10187" s="1" t="str">
        <f>"522700"</f>
        <v>522700</v>
      </c>
      <c r="B10187" s="2" t="str">
        <f>"ESCOVILHÕES COM PONTAS RETAS (COR AZUL CÓD. 10756)"</f>
        <v>ESCOVILHÕES COM PONTAS RETAS (COR AZUL CÓD. 10756)</v>
      </c>
      <c r="C10187" s="2" t="str">
        <f t="shared" si="395"/>
        <v>UN</v>
      </c>
      <c r="D10187" s="7">
        <v>400</v>
      </c>
      <c r="E10187" s="3">
        <v>4</v>
      </c>
      <c r="F10187" s="3">
        <v>4</v>
      </c>
      <c r="G10187" t="s">
        <v>514</v>
      </c>
    </row>
    <row r="10188" spans="1:7" x14ac:dyDescent="0.25">
      <c r="A10188" s="1" t="str">
        <f>"524326"</f>
        <v>524326</v>
      </c>
      <c r="B10188" s="2" t="str">
        <f>"ESCOVILHÕES COM PONTAS RETAS (COR AZUL CÓD. 10758)"</f>
        <v>ESCOVILHÕES COM PONTAS RETAS (COR AZUL CÓD. 10758)</v>
      </c>
      <c r="C10188" s="2" t="str">
        <f t="shared" si="395"/>
        <v>UN</v>
      </c>
      <c r="D10188" s="7">
        <v>400</v>
      </c>
      <c r="E10188" s="3">
        <v>4</v>
      </c>
      <c r="F10188" s="3">
        <v>4</v>
      </c>
      <c r="G10188" t="s">
        <v>512</v>
      </c>
    </row>
    <row r="10189" spans="1:7" x14ac:dyDescent="0.25">
      <c r="A10189" s="1" t="str">
        <f>"523612"</f>
        <v>523612</v>
      </c>
      <c r="B10189" s="2" t="str">
        <f>"ESCOVILHÕES COM PONTAS RETAS (COR ROXO CÓD. 10750)"</f>
        <v>ESCOVILHÕES COM PONTAS RETAS (COR ROXO CÓD. 10750)</v>
      </c>
      <c r="C10189" s="2" t="str">
        <f t="shared" si="395"/>
        <v>UN</v>
      </c>
      <c r="D10189" s="7">
        <v>400</v>
      </c>
      <c r="E10189" s="3">
        <v>4</v>
      </c>
      <c r="F10189" s="3">
        <v>4</v>
      </c>
      <c r="G10189" t="s">
        <v>513</v>
      </c>
    </row>
    <row r="10190" spans="1:7" x14ac:dyDescent="0.25">
      <c r="A10190" s="1" t="str">
        <f>"523732"</f>
        <v>523732</v>
      </c>
      <c r="B10190" s="2" t="str">
        <f>"ESCOVILHÕES COM PONTAS RETAS (COR ROXO CÓD. 10758)"</f>
        <v>ESCOVILHÕES COM PONTAS RETAS (COR ROXO CÓD. 10758)</v>
      </c>
      <c r="C10190" s="2" t="str">
        <f t="shared" si="395"/>
        <v>UN</v>
      </c>
      <c r="D10190" s="7">
        <v>400</v>
      </c>
      <c r="E10190" s="3">
        <v>4</v>
      </c>
      <c r="F10190" s="3">
        <v>4</v>
      </c>
      <c r="G10190" t="s">
        <v>514</v>
      </c>
    </row>
    <row r="10191" spans="1:7" x14ac:dyDescent="0.25">
      <c r="A10191" s="1" t="str">
        <f>"511651"</f>
        <v>511651</v>
      </c>
      <c r="B10191" s="2" t="str">
        <f>"ESFERA AÇO"</f>
        <v>ESFERA AÇO</v>
      </c>
      <c r="C10191" s="2" t="str">
        <f t="shared" si="395"/>
        <v>UN</v>
      </c>
      <c r="D10191" s="7">
        <v>704</v>
      </c>
      <c r="E10191" s="3">
        <v>9</v>
      </c>
      <c r="F10191" s="3">
        <v>9</v>
      </c>
      <c r="G10191" t="s">
        <v>514</v>
      </c>
    </row>
    <row r="10192" spans="1:7" x14ac:dyDescent="0.25">
      <c r="A10192" s="1" t="str">
        <f>"510322"</f>
        <v>510322</v>
      </c>
      <c r="B10192" s="2" t="str">
        <f>"ESFERA DE AÇO CROMO 008110002"</f>
        <v>ESFERA DE AÇO CROMO 008110002</v>
      </c>
      <c r="C10192" s="2" t="str">
        <f t="shared" si="395"/>
        <v>UN</v>
      </c>
      <c r="D10192" s="7">
        <v>918</v>
      </c>
      <c r="E10192" s="3">
        <v>11</v>
      </c>
      <c r="F10192" s="3">
        <v>11</v>
      </c>
      <c r="G10192" t="s">
        <v>514</v>
      </c>
    </row>
    <row r="10193" spans="1:7" x14ac:dyDescent="0.25">
      <c r="A10193" s="1" t="str">
        <f>"509087"</f>
        <v>509087</v>
      </c>
      <c r="B10193" s="2" t="str">
        <f>"ESFERA DE AÇO CROMO 008110053"</f>
        <v>ESFERA DE AÇO CROMO 008110053</v>
      </c>
      <c r="C10193" s="2" t="str">
        <f t="shared" si="395"/>
        <v>UN</v>
      </c>
      <c r="D10193" s="7">
        <v>918</v>
      </c>
      <c r="E10193" s="3">
        <v>11</v>
      </c>
      <c r="F10193" s="3">
        <v>11</v>
      </c>
      <c r="G10193" t="s">
        <v>513</v>
      </c>
    </row>
    <row r="10194" spans="1:7" x14ac:dyDescent="0.25">
      <c r="A10194" s="1" t="str">
        <f>"509627"</f>
        <v>509627</v>
      </c>
      <c r="B10194" s="2" t="str">
        <f>"ESFREGAO P/ BOTAS"</f>
        <v>ESFREGAO P/ BOTAS</v>
      </c>
      <c r="C10194" s="2" t="str">
        <f t="shared" si="395"/>
        <v>UN</v>
      </c>
      <c r="D10194" s="7">
        <v>400</v>
      </c>
      <c r="E10194" s="3">
        <v>4</v>
      </c>
      <c r="F10194" s="3">
        <v>4</v>
      </c>
      <c r="G10194" t="s">
        <v>512</v>
      </c>
    </row>
    <row r="10195" spans="1:7" x14ac:dyDescent="0.25">
      <c r="A10195" s="1" t="str">
        <f>"512549"</f>
        <v>512549</v>
      </c>
      <c r="B10195" s="2" t="str">
        <f>"ESGUICHO ALTA PRESSÃO 1/2"""</f>
        <v>ESGUICHO ALTA PRESSÃO 1/2"</v>
      </c>
      <c r="C10195" s="2" t="str">
        <f t="shared" si="395"/>
        <v>UN</v>
      </c>
      <c r="D10195" s="7">
        <v>402</v>
      </c>
      <c r="E10195" s="3">
        <v>4</v>
      </c>
      <c r="F10195" s="3">
        <v>4</v>
      </c>
      <c r="G10195" t="s">
        <v>513</v>
      </c>
    </row>
    <row r="10196" spans="1:7" x14ac:dyDescent="0.25">
      <c r="A10196" s="1" t="str">
        <f>"516055"</f>
        <v>516055</v>
      </c>
      <c r="B10196" s="2" t="str">
        <f>"ESGUICHO ALUMINIO LONGO"</f>
        <v>ESGUICHO ALUMINIO LONGO</v>
      </c>
      <c r="C10196" s="2" t="str">
        <f t="shared" si="395"/>
        <v>UN</v>
      </c>
      <c r="D10196" s="7">
        <v>917</v>
      </c>
      <c r="E10196" s="3">
        <v>4</v>
      </c>
      <c r="F10196" s="3">
        <v>4</v>
      </c>
      <c r="G10196" t="s">
        <v>514</v>
      </c>
    </row>
    <row r="10197" spans="1:7" x14ac:dyDescent="0.25">
      <c r="A10197" s="1" t="str">
        <f>"524421"</f>
        <v>524421</v>
      </c>
      <c r="B10197" s="2" t="str">
        <f>"ESGUICHO DE LAVADOR 1/2 CARTEFLEX"</f>
        <v>ESGUICHO DE LAVADOR 1/2 CARTEFLEX</v>
      </c>
      <c r="C10197" s="2" t="str">
        <f t="shared" si="395"/>
        <v>UN</v>
      </c>
      <c r="D10197" s="7">
        <v>810</v>
      </c>
      <c r="E10197" s="3">
        <v>10</v>
      </c>
      <c r="F10197" s="3">
        <v>10</v>
      </c>
      <c r="G10197" t="s">
        <v>514</v>
      </c>
    </row>
    <row r="10198" spans="1:7" x14ac:dyDescent="0.25">
      <c r="A10198" s="1" t="str">
        <f>"523526"</f>
        <v>523526</v>
      </c>
      <c r="B10198" s="2" t="str">
        <f>"ESGUICHO IRRIGAÇÃO - 7 JATOS DY 2000 TRAPP"</f>
        <v>ESGUICHO IRRIGAÇÃO - 7 JATOS DY 2000 TRAPP</v>
      </c>
      <c r="C10198" s="2" t="str">
        <f t="shared" si="395"/>
        <v>UN</v>
      </c>
      <c r="D10198" s="7">
        <v>400</v>
      </c>
      <c r="E10198" s="3">
        <v>4</v>
      </c>
      <c r="F10198" s="3">
        <v>4</v>
      </c>
      <c r="G10198" t="s">
        <v>514</v>
      </c>
    </row>
    <row r="10199" spans="1:7" x14ac:dyDescent="0.25">
      <c r="A10199" s="1" t="str">
        <f>"523701"</f>
        <v>523701</v>
      </c>
      <c r="B10199" s="2" t="str">
        <f>"ESGUICHO PLASTICO P/ LAVADOR VAZÃO 3,2 (1/8)"</f>
        <v>ESGUICHO PLASTICO P/ LAVADOR VAZÃO 3,2 (1/8)</v>
      </c>
      <c r="C10199" s="2" t="str">
        <f t="shared" si="395"/>
        <v>UN</v>
      </c>
      <c r="D10199" s="7">
        <v>99999</v>
      </c>
      <c r="E10199" s="3">
        <v>99</v>
      </c>
      <c r="F10199" s="3">
        <v>99</v>
      </c>
      <c r="G10199" t="s">
        <v>513</v>
      </c>
    </row>
    <row r="10200" spans="1:7" x14ac:dyDescent="0.25">
      <c r="A10200" s="1" t="str">
        <f>"505045"</f>
        <v>505045</v>
      </c>
      <c r="B10200" s="2" t="str">
        <f>"ESGUICHO REVOLVER METAL 1/2"</f>
        <v>ESGUICHO REVOLVER METAL 1/2</v>
      </c>
      <c r="C10200" s="2" t="str">
        <f t="shared" si="395"/>
        <v>UN</v>
      </c>
      <c r="D10200" s="7">
        <v>402</v>
      </c>
      <c r="E10200" s="3">
        <v>4</v>
      </c>
      <c r="F10200" s="3">
        <v>4</v>
      </c>
      <c r="G10200" t="s">
        <v>513</v>
      </c>
    </row>
    <row r="10201" spans="1:7" x14ac:dyDescent="0.25">
      <c r="A10201" s="1" t="str">
        <f>"500700"</f>
        <v>500700</v>
      </c>
      <c r="B10201" s="2" t="str">
        <f>"ESGUICHO REVOLVER METAL 3/4"</f>
        <v>ESGUICHO REVOLVER METAL 3/4</v>
      </c>
      <c r="C10201" s="2" t="str">
        <f t="shared" si="395"/>
        <v>UN</v>
      </c>
      <c r="D10201" s="7">
        <v>402</v>
      </c>
      <c r="E10201" s="3">
        <v>4</v>
      </c>
      <c r="F10201" s="3">
        <v>4</v>
      </c>
      <c r="G10201" t="s">
        <v>513</v>
      </c>
    </row>
    <row r="10202" spans="1:7" x14ac:dyDescent="0.25">
      <c r="A10202" s="1" t="str">
        <f>"513344"</f>
        <v>513344</v>
      </c>
      <c r="B10202" s="2" t="str">
        <f>"ESM PU SKYLACK CINZA CHASSIS SCANIA"</f>
        <v>ESM PU SKYLACK CINZA CHASSIS SCANIA</v>
      </c>
      <c r="C10202" s="2" t="str">
        <f t="shared" si="395"/>
        <v>UN</v>
      </c>
      <c r="D10202" s="7">
        <v>804</v>
      </c>
      <c r="E10202" s="3">
        <v>10</v>
      </c>
      <c r="F10202" s="3">
        <v>10</v>
      </c>
      <c r="G10202" t="s">
        <v>512</v>
      </c>
    </row>
    <row r="10203" spans="1:7" x14ac:dyDescent="0.25">
      <c r="A10203" s="1" t="str">
        <f>"518920"</f>
        <v>518920</v>
      </c>
      <c r="B10203" s="2" t="str">
        <f>"ESM PU SKYLACK PRETO SEMI FOSCO"</f>
        <v>ESM PU SKYLACK PRETO SEMI FOSCO</v>
      </c>
      <c r="C10203" s="2" t="str">
        <f t="shared" si="395"/>
        <v>UN</v>
      </c>
      <c r="D10203" s="7">
        <v>804</v>
      </c>
      <c r="E10203" s="3">
        <v>10</v>
      </c>
      <c r="F10203" s="3">
        <v>10</v>
      </c>
      <c r="G10203" t="s">
        <v>513</v>
      </c>
    </row>
    <row r="10204" spans="1:7" x14ac:dyDescent="0.25">
      <c r="A10204" s="1" t="str">
        <f>"517083"</f>
        <v>517083</v>
      </c>
      <c r="B10204" s="2" t="str">
        <f>"ESMALTE 3,6L V COLO TELHACOR"</f>
        <v>ESMALTE 3,6L V COLO TELHACOR</v>
      </c>
      <c r="C10204" s="2" t="str">
        <f t="shared" ref="C10204:C10227" si="396">"UN"</f>
        <v>UN</v>
      </c>
      <c r="D10204" s="7">
        <v>804</v>
      </c>
      <c r="E10204" s="3">
        <v>10</v>
      </c>
      <c r="F10204" s="3">
        <v>10</v>
      </c>
      <c r="G10204" t="s">
        <v>514</v>
      </c>
    </row>
    <row r="10205" spans="1:7" x14ac:dyDescent="0.25">
      <c r="A10205" s="1" t="str">
        <f>"517252"</f>
        <v>517252</v>
      </c>
      <c r="B10205" s="2" t="str">
        <f>"ESMERIL"</f>
        <v>ESMERIL</v>
      </c>
      <c r="C10205" s="2" t="str">
        <f t="shared" si="396"/>
        <v>UN</v>
      </c>
      <c r="D10205" s="7">
        <v>918</v>
      </c>
      <c r="E10205" s="3">
        <v>4</v>
      </c>
      <c r="F10205" s="3">
        <v>4</v>
      </c>
      <c r="G10205" t="s">
        <v>515</v>
      </c>
    </row>
    <row r="10206" spans="1:7" x14ac:dyDescent="0.25">
      <c r="A10206" s="1" t="str">
        <f>"515485"</f>
        <v>515485</v>
      </c>
      <c r="B10206" s="2" t="str">
        <f>"ESMERILHA ANG. 125MM"</f>
        <v>ESMERILHA ANG. 125MM</v>
      </c>
      <c r="C10206" s="2" t="str">
        <f t="shared" si="396"/>
        <v>UN</v>
      </c>
      <c r="D10206" s="7">
        <v>812</v>
      </c>
      <c r="E10206" s="3">
        <v>4</v>
      </c>
      <c r="F10206" s="3">
        <v>4</v>
      </c>
      <c r="G10206" t="s">
        <v>512</v>
      </c>
    </row>
    <row r="10207" spans="1:7" x14ac:dyDescent="0.25">
      <c r="A10207" s="1" t="str">
        <f>"515132"</f>
        <v>515132</v>
      </c>
      <c r="B10207" s="2" t="str">
        <f>"ESMERILHADEIRA 4.1/2"" D28136 B2"</f>
        <v>ESMERILHADEIRA 4.1/2" D28136 B2</v>
      </c>
      <c r="C10207" s="2" t="str">
        <f t="shared" si="396"/>
        <v>UN</v>
      </c>
      <c r="D10207" s="7">
        <v>1300</v>
      </c>
      <c r="E10207" s="3">
        <v>13</v>
      </c>
      <c r="F10207" s="3">
        <v>13</v>
      </c>
      <c r="G10207" t="s">
        <v>516</v>
      </c>
    </row>
    <row r="10208" spans="1:7" x14ac:dyDescent="0.25">
      <c r="A10208" s="1" t="str">
        <f>"512866"</f>
        <v>512866</v>
      </c>
      <c r="B10208" s="2" t="str">
        <f>"ESMERILHADEIRA GA7020 7 2200W 220V MAKITA"</f>
        <v>ESMERILHADEIRA GA7020 7 2200W 220V MAKITA</v>
      </c>
      <c r="C10208" s="2" t="str">
        <f t="shared" si="396"/>
        <v>UN</v>
      </c>
      <c r="D10208" s="7">
        <v>1300</v>
      </c>
      <c r="E10208" s="3">
        <v>13</v>
      </c>
      <c r="F10208" s="3">
        <v>13</v>
      </c>
      <c r="G10208" t="s">
        <v>515</v>
      </c>
    </row>
    <row r="10209" spans="1:7" x14ac:dyDescent="0.25">
      <c r="A10209" s="1" t="str">
        <f>"518097"</f>
        <v>518097</v>
      </c>
      <c r="B10209" s="2" t="str">
        <f>"ESMIRILHADEIRA BOSCH GWS 7-115 PROFISSIONAL 220V"</f>
        <v>ESMIRILHADEIRA BOSCH GWS 7-115 PROFISSIONAL 220V</v>
      </c>
      <c r="C10209" s="2" t="str">
        <f t="shared" si="396"/>
        <v>UN</v>
      </c>
      <c r="D10209" s="7">
        <v>920</v>
      </c>
      <c r="E10209" s="3">
        <v>4</v>
      </c>
      <c r="F10209" s="3">
        <v>4</v>
      </c>
      <c r="G10209" t="s">
        <v>514</v>
      </c>
    </row>
    <row r="10210" spans="1:7" x14ac:dyDescent="0.25">
      <c r="A10210" s="1" t="str">
        <f>"518426"</f>
        <v>518426</v>
      </c>
      <c r="B10210" s="2" t="str">
        <f>"ESP. MACHO FIXO 1 X MANG 1/4"</f>
        <v>ESP. MACHO FIXO 1 X MANG 1/4</v>
      </c>
      <c r="C10210" s="2" t="str">
        <f t="shared" si="396"/>
        <v>UN</v>
      </c>
      <c r="D10210" s="7">
        <v>918</v>
      </c>
      <c r="E10210" s="3">
        <v>11</v>
      </c>
      <c r="F10210" s="3">
        <v>11</v>
      </c>
      <c r="G10210" t="s">
        <v>512</v>
      </c>
    </row>
    <row r="10211" spans="1:7" x14ac:dyDescent="0.25">
      <c r="A10211" s="1" t="str">
        <f>"514336"</f>
        <v>514336</v>
      </c>
      <c r="B10211" s="2" t="str">
        <f>"ESP. MACHO FIXO 1 X MANG 3/4"</f>
        <v>ESP. MACHO FIXO 1 X MANG 3/4</v>
      </c>
      <c r="C10211" s="2" t="str">
        <f t="shared" si="396"/>
        <v>UN</v>
      </c>
      <c r="D10211" s="7">
        <v>810</v>
      </c>
      <c r="E10211" s="3">
        <v>4</v>
      </c>
      <c r="F10211" s="3">
        <v>4</v>
      </c>
      <c r="G10211" t="s">
        <v>513</v>
      </c>
    </row>
    <row r="10212" spans="1:7" x14ac:dyDescent="0.25">
      <c r="A10212" s="1" t="str">
        <f>"518427"</f>
        <v>518427</v>
      </c>
      <c r="B10212" s="2" t="str">
        <f>"ESP. MACHO FIXO 1 X MANG 5/16"</f>
        <v>ESP. MACHO FIXO 1 X MANG 5/16</v>
      </c>
      <c r="C10212" s="2" t="str">
        <f t="shared" si="396"/>
        <v>UN</v>
      </c>
      <c r="D10212" s="7">
        <v>918</v>
      </c>
      <c r="E10212" s="3">
        <v>11</v>
      </c>
      <c r="F10212" s="3">
        <v>11</v>
      </c>
      <c r="G10212" t="s">
        <v>514</v>
      </c>
    </row>
    <row r="10213" spans="1:7" x14ac:dyDescent="0.25">
      <c r="A10213" s="1" t="str">
        <f>"519313"</f>
        <v>519313</v>
      </c>
      <c r="B10213" s="2" t="str">
        <f>"ESP. MACHO FIXO 1/2 X MANG 1/2"</f>
        <v>ESP. MACHO FIXO 1/2 X MANG 1/2</v>
      </c>
      <c r="C10213" s="2" t="str">
        <f t="shared" si="396"/>
        <v>UN</v>
      </c>
      <c r="D10213" s="7">
        <v>918</v>
      </c>
      <c r="E10213" s="3">
        <v>11</v>
      </c>
      <c r="F10213" s="3">
        <v>11</v>
      </c>
      <c r="G10213" t="s">
        <v>514</v>
      </c>
    </row>
    <row r="10214" spans="1:7" x14ac:dyDescent="0.25">
      <c r="A10214" s="1" t="str">
        <f>"505848"</f>
        <v>505848</v>
      </c>
      <c r="B10214" s="2" t="str">
        <f>"ESPACADOR"</f>
        <v>ESPACADOR</v>
      </c>
      <c r="C10214" s="2" t="str">
        <f t="shared" si="396"/>
        <v>UN</v>
      </c>
      <c r="D10214" s="7">
        <v>704</v>
      </c>
      <c r="E10214" s="3">
        <v>9</v>
      </c>
      <c r="F10214" s="3">
        <v>9</v>
      </c>
      <c r="G10214" t="s">
        <v>512</v>
      </c>
    </row>
    <row r="10215" spans="1:7" x14ac:dyDescent="0.25">
      <c r="A10215" s="1" t="str">
        <f>"527541"</f>
        <v>527541</v>
      </c>
      <c r="B10215" s="2" t="str">
        <f>"ESPACADOR 1 PORTA FACAS"</f>
        <v>ESPACADOR 1 PORTA FACAS</v>
      </c>
      <c r="C10215" s="2" t="str">
        <f t="shared" si="396"/>
        <v>UN</v>
      </c>
      <c r="D10215" s="7">
        <v>99999</v>
      </c>
      <c r="E10215" s="3">
        <v>99</v>
      </c>
      <c r="F10215" s="3">
        <v>99</v>
      </c>
      <c r="G10215" t="s">
        <v>513</v>
      </c>
    </row>
    <row r="10216" spans="1:7" x14ac:dyDescent="0.25">
      <c r="A10216" s="1" t="str">
        <f>"512370"</f>
        <v>512370</v>
      </c>
      <c r="B10216" s="2" t="str">
        <f>"ESPAÇADOR 198856-3"</f>
        <v>ESPAÇADOR 198856-3</v>
      </c>
      <c r="C10216" s="2" t="str">
        <f t="shared" si="396"/>
        <v>UN</v>
      </c>
      <c r="D10216" s="7">
        <v>918</v>
      </c>
      <c r="E10216" s="3">
        <v>11</v>
      </c>
      <c r="F10216" s="3">
        <v>11</v>
      </c>
      <c r="G10216" t="s">
        <v>514</v>
      </c>
    </row>
    <row r="10217" spans="1:7" x14ac:dyDescent="0.25">
      <c r="A10217" s="1" t="str">
        <f>"527540"</f>
        <v>527540</v>
      </c>
      <c r="B10217" s="2" t="str">
        <f>"ESPACADOR 2 PORTA FACAS"</f>
        <v>ESPACADOR 2 PORTA FACAS</v>
      </c>
      <c r="C10217" s="2" t="str">
        <f t="shared" si="396"/>
        <v>UN</v>
      </c>
      <c r="D10217" s="7">
        <v>99999</v>
      </c>
      <c r="E10217" s="3">
        <v>99</v>
      </c>
      <c r="F10217" s="3">
        <v>99</v>
      </c>
      <c r="G10217" t="s">
        <v>514</v>
      </c>
    </row>
    <row r="10218" spans="1:7" x14ac:dyDescent="0.25">
      <c r="A10218" s="1" t="str">
        <f>"527542"</f>
        <v>527542</v>
      </c>
      <c r="B10218" s="2" t="str">
        <f>"ESPACADOR 3 PORTA FACAS - GTCM-340"</f>
        <v>ESPACADOR 3 PORTA FACAS - GTCM-340</v>
      </c>
      <c r="C10218" s="2" t="str">
        <f t="shared" si="396"/>
        <v>UN</v>
      </c>
      <c r="D10218" s="7">
        <v>99999</v>
      </c>
      <c r="E10218" s="3">
        <v>99</v>
      </c>
      <c r="F10218" s="3">
        <v>99</v>
      </c>
      <c r="G10218" t="s">
        <v>514</v>
      </c>
    </row>
    <row r="10219" spans="1:7" x14ac:dyDescent="0.25">
      <c r="A10219" s="1" t="str">
        <f>"518611"</f>
        <v>518611</v>
      </c>
      <c r="B10219" s="2" t="str">
        <f>"ESPAÇADOR 5MM JUNTA LIDER"</f>
        <v>ESPAÇADOR 5MM JUNTA LIDER</v>
      </c>
      <c r="C10219" s="2" t="str">
        <f t="shared" si="396"/>
        <v>UN</v>
      </c>
      <c r="D10219" s="7">
        <v>917</v>
      </c>
      <c r="E10219" s="3">
        <v>10</v>
      </c>
      <c r="F10219" s="3">
        <v>10</v>
      </c>
      <c r="G10219" t="s">
        <v>513</v>
      </c>
    </row>
    <row r="10220" spans="1:7" x14ac:dyDescent="0.25">
      <c r="A10220" s="1" t="str">
        <f>"510551"</f>
        <v>510551</v>
      </c>
      <c r="B10220" s="2" t="str">
        <f>"ESPACADOR COD.3311711501-40 - EMP FBR15"</f>
        <v>ESPACADOR COD.3311711501-40 - EMP FBR15</v>
      </c>
      <c r="C10220" s="2" t="str">
        <f t="shared" si="396"/>
        <v>UN</v>
      </c>
      <c r="D10220" s="7">
        <v>918</v>
      </c>
      <c r="E10220" s="3">
        <v>11</v>
      </c>
      <c r="F10220" s="3">
        <v>11</v>
      </c>
      <c r="G10220" t="s">
        <v>512</v>
      </c>
    </row>
    <row r="10221" spans="1:7" x14ac:dyDescent="0.25">
      <c r="A10221" s="1" t="str">
        <f>"502910"</f>
        <v>502910</v>
      </c>
      <c r="B10221" s="2" t="str">
        <f>"ESPACADOR COXIM CABINE"</f>
        <v>ESPACADOR COXIM CABINE</v>
      </c>
      <c r="C10221" s="2" t="str">
        <f t="shared" si="396"/>
        <v>UN</v>
      </c>
      <c r="D10221" s="7">
        <v>704</v>
      </c>
      <c r="E10221" s="3">
        <v>9</v>
      </c>
      <c r="F10221" s="3">
        <v>9</v>
      </c>
      <c r="G10221" t="s">
        <v>513</v>
      </c>
    </row>
    <row r="10222" spans="1:7" x14ac:dyDescent="0.25">
      <c r="A10222" s="1" t="str">
        <f>"504478"</f>
        <v>504478</v>
      </c>
      <c r="B10222" s="2" t="str">
        <f>"ESPACADOR POS.18 (HOMO TM12)"</f>
        <v>ESPACADOR POS.18 (HOMO TM12)</v>
      </c>
      <c r="C10222" s="2" t="str">
        <f t="shared" si="396"/>
        <v>UN</v>
      </c>
      <c r="D10222" s="7">
        <v>918</v>
      </c>
      <c r="E10222" s="3">
        <v>11</v>
      </c>
      <c r="F10222" s="3">
        <v>11</v>
      </c>
      <c r="G10222" t="s">
        <v>514</v>
      </c>
    </row>
    <row r="10223" spans="1:7" x14ac:dyDescent="0.25">
      <c r="A10223" s="1" t="str">
        <f>"504475"</f>
        <v>504475</v>
      </c>
      <c r="B10223" s="2" t="str">
        <f>"ESPACADOR POS.18 (HOMO TM3 2,5TPS)"</f>
        <v>ESPACADOR POS.18 (HOMO TM3 2,5TPS)</v>
      </c>
      <c r="C10223" s="2" t="str">
        <f t="shared" si="396"/>
        <v>UN</v>
      </c>
      <c r="D10223" s="7">
        <v>918</v>
      </c>
      <c r="E10223" s="3">
        <v>11</v>
      </c>
      <c r="F10223" s="3">
        <v>11</v>
      </c>
      <c r="G10223" t="s">
        <v>514</v>
      </c>
    </row>
    <row r="10224" spans="1:7" x14ac:dyDescent="0.25">
      <c r="A10224" s="1" t="str">
        <f>"522134"</f>
        <v>522134</v>
      </c>
      <c r="B10224" s="2" t="str">
        <f>"ESPAÇADOR TIPO ESTRIBO 2CM PLASTICO"</f>
        <v>ESPAÇADOR TIPO ESTRIBO 2CM PLASTICO</v>
      </c>
      <c r="C10224" s="2" t="str">
        <f t="shared" si="396"/>
        <v>UN</v>
      </c>
      <c r="D10224" s="7">
        <v>919</v>
      </c>
      <c r="E10224" s="3">
        <v>4</v>
      </c>
      <c r="F10224" s="3">
        <v>4</v>
      </c>
      <c r="G10224" t="s">
        <v>514</v>
      </c>
    </row>
    <row r="10225" spans="1:7" x14ac:dyDescent="0.25">
      <c r="A10225" s="1" t="str">
        <f>"502744"</f>
        <v>502744</v>
      </c>
      <c r="B10225" s="2" t="str">
        <f>"ESPAGUETE CORRUGADO"</f>
        <v>ESPAGUETE CORRUGADO</v>
      </c>
      <c r="C10225" s="2" t="str">
        <f t="shared" si="396"/>
        <v>UN</v>
      </c>
      <c r="D10225" s="7">
        <v>600</v>
      </c>
      <c r="E10225" s="3">
        <v>8</v>
      </c>
      <c r="F10225" s="3">
        <v>8</v>
      </c>
      <c r="G10225" t="s">
        <v>513</v>
      </c>
    </row>
    <row r="10226" spans="1:7" x14ac:dyDescent="0.25">
      <c r="A10226" s="1" t="str">
        <f>"525054"</f>
        <v>525054</v>
      </c>
      <c r="B10226" s="2" t="str">
        <f>"ESPAGUETE LISO"</f>
        <v>ESPAGUETE LISO</v>
      </c>
      <c r="C10226" s="2" t="str">
        <f t="shared" si="396"/>
        <v>UN</v>
      </c>
      <c r="D10226" s="7">
        <v>704</v>
      </c>
      <c r="E10226" s="3">
        <v>9</v>
      </c>
      <c r="F10226" s="3">
        <v>9</v>
      </c>
      <c r="G10226" t="s">
        <v>513</v>
      </c>
    </row>
    <row r="10227" spans="1:7" x14ac:dyDescent="0.25">
      <c r="A10227" s="1" t="str">
        <f>"514540"</f>
        <v>514540</v>
      </c>
      <c r="B10227" s="2" t="str">
        <f>"ESPAGUETE PARA COBERTURA DE FIO 16MM ALTA TEMPERATURA"</f>
        <v>ESPAGUETE PARA COBERTURA DE FIO 16MM ALTA TEMPERATURA</v>
      </c>
      <c r="C10227" s="2" t="str">
        <f t="shared" si="396"/>
        <v>UN</v>
      </c>
      <c r="D10227" s="7">
        <v>704</v>
      </c>
      <c r="E10227" s="3">
        <v>9</v>
      </c>
      <c r="F10227" s="3">
        <v>9</v>
      </c>
      <c r="G10227" t="s">
        <v>513</v>
      </c>
    </row>
    <row r="10228" spans="1:7" x14ac:dyDescent="0.25">
      <c r="A10228" s="1" t="str">
        <f>"527526"</f>
        <v>527526</v>
      </c>
      <c r="B10228" s="2" t="str">
        <f>"ESPAGUETE PARA COBERTURA DE FIO 8MM ALTA TEMPERATURA"</f>
        <v>ESPAGUETE PARA COBERTURA DE FIO 8MM ALTA TEMPERATURA</v>
      </c>
      <c r="C10228" s="2" t="str">
        <f>"MT"</f>
        <v>MT</v>
      </c>
      <c r="D10228" s="7">
        <v>1300</v>
      </c>
      <c r="E10228" s="3">
        <v>8</v>
      </c>
      <c r="F10228" s="3">
        <v>8</v>
      </c>
      <c r="G10228" t="s">
        <v>512</v>
      </c>
    </row>
    <row r="10229" spans="1:7" x14ac:dyDescent="0.25">
      <c r="A10229" s="1" t="str">
        <f>"511277"</f>
        <v>511277</v>
      </c>
      <c r="B10229" s="2" t="str">
        <f>"ESPAGUETE TERMOCONTRAIL 1 1/2"""</f>
        <v>ESPAGUETE TERMOCONTRAIL 1 1/2"</v>
      </c>
      <c r="C10229" s="2" t="str">
        <f>"UN"</f>
        <v>UN</v>
      </c>
      <c r="D10229" s="7">
        <v>600</v>
      </c>
      <c r="E10229" s="3">
        <v>8</v>
      </c>
      <c r="F10229" s="3">
        <v>8</v>
      </c>
      <c r="G10229" t="s">
        <v>513</v>
      </c>
    </row>
    <row r="10230" spans="1:7" x14ac:dyDescent="0.25">
      <c r="A10230" s="1" t="str">
        <f>"516275"</f>
        <v>516275</v>
      </c>
      <c r="B10230" s="2" t="str">
        <f>"ESPAGUETE TERMOCONTRAIL 3"""</f>
        <v>ESPAGUETE TERMOCONTRAIL 3"</v>
      </c>
      <c r="C10230" s="2" t="str">
        <f>"MT"</f>
        <v>MT</v>
      </c>
      <c r="D10230" s="7">
        <v>811</v>
      </c>
      <c r="E10230" s="3">
        <v>10</v>
      </c>
      <c r="F10230" s="3">
        <v>10</v>
      </c>
      <c r="G10230" t="s">
        <v>514</v>
      </c>
    </row>
    <row r="10231" spans="1:7" x14ac:dyDescent="0.25">
      <c r="A10231" s="1" t="str">
        <f>"509971"</f>
        <v>509971</v>
      </c>
      <c r="B10231" s="2" t="str">
        <f>"ESPAGUETE TERMOCONTRATIL 1"""</f>
        <v>ESPAGUETE TERMOCONTRATIL 1"</v>
      </c>
      <c r="C10231" s="2" t="str">
        <f t="shared" ref="C10231:C10252" si="397">"UN"</f>
        <v>UN</v>
      </c>
      <c r="D10231" s="7">
        <v>900</v>
      </c>
      <c r="E10231" s="3">
        <v>11</v>
      </c>
      <c r="F10231" s="3">
        <v>11</v>
      </c>
      <c r="G10231" t="s">
        <v>515</v>
      </c>
    </row>
    <row r="10232" spans="1:7" x14ac:dyDescent="0.25">
      <c r="A10232" s="1" t="str">
        <f>"500548"</f>
        <v>500548</v>
      </c>
      <c r="B10232" s="2" t="str">
        <f>"ESPAGUETE TERMOCONTRATIL 1/2"</f>
        <v>ESPAGUETE TERMOCONTRATIL 1/2</v>
      </c>
      <c r="C10232" s="2" t="str">
        <f t="shared" si="397"/>
        <v>UN</v>
      </c>
      <c r="D10232" s="7">
        <v>600</v>
      </c>
      <c r="E10232" s="3">
        <v>8</v>
      </c>
      <c r="F10232" s="3">
        <v>8</v>
      </c>
      <c r="G10232" t="s">
        <v>512</v>
      </c>
    </row>
    <row r="10233" spans="1:7" x14ac:dyDescent="0.25">
      <c r="A10233" s="1" t="str">
        <f>"500547"</f>
        <v>500547</v>
      </c>
      <c r="B10233" s="2" t="str">
        <f>"ESPAGUETE TERMOCONTRATIL 1/4"</f>
        <v>ESPAGUETE TERMOCONTRATIL 1/4</v>
      </c>
      <c r="C10233" s="2" t="str">
        <f t="shared" si="397"/>
        <v>UN</v>
      </c>
      <c r="D10233" s="7">
        <v>600</v>
      </c>
      <c r="E10233" s="3">
        <v>8</v>
      </c>
      <c r="F10233" s="3">
        <v>8</v>
      </c>
      <c r="G10233" t="s">
        <v>516</v>
      </c>
    </row>
    <row r="10234" spans="1:7" x14ac:dyDescent="0.25">
      <c r="A10234" s="1" t="str">
        <f>"503042"</f>
        <v>503042</v>
      </c>
      <c r="B10234" s="2" t="str">
        <f>"ESPAGUETE TERMOCONTRATIL 1/8"</f>
        <v>ESPAGUETE TERMOCONTRATIL 1/8</v>
      </c>
      <c r="C10234" s="2" t="str">
        <f t="shared" si="397"/>
        <v>UN</v>
      </c>
      <c r="D10234" s="7">
        <v>600</v>
      </c>
      <c r="E10234" s="3">
        <v>8</v>
      </c>
      <c r="F10234" s="3">
        <v>8</v>
      </c>
      <c r="G10234" t="s">
        <v>515</v>
      </c>
    </row>
    <row r="10235" spans="1:7" x14ac:dyDescent="0.25">
      <c r="A10235" s="1" t="str">
        <f>"509736"</f>
        <v>509736</v>
      </c>
      <c r="B10235" s="2" t="str">
        <f>"ESPAGUETE TERMOCONTRATIL 2"</f>
        <v>ESPAGUETE TERMOCONTRATIL 2</v>
      </c>
      <c r="C10235" s="2" t="str">
        <f t="shared" si="397"/>
        <v>UN</v>
      </c>
      <c r="D10235" s="7">
        <v>900</v>
      </c>
      <c r="E10235" s="3">
        <v>11</v>
      </c>
      <c r="F10235" s="3">
        <v>11</v>
      </c>
      <c r="G10235" t="s">
        <v>514</v>
      </c>
    </row>
    <row r="10236" spans="1:7" x14ac:dyDescent="0.25">
      <c r="A10236" s="1" t="str">
        <f>"500546"</f>
        <v>500546</v>
      </c>
      <c r="B10236" s="2" t="str">
        <f>"ESPAGUETE TERMOCONTRATIL 3/16"</f>
        <v>ESPAGUETE TERMOCONTRATIL 3/16</v>
      </c>
      <c r="C10236" s="2" t="str">
        <f t="shared" si="397"/>
        <v>UN</v>
      </c>
      <c r="D10236" s="7">
        <v>600</v>
      </c>
      <c r="E10236" s="3">
        <v>8</v>
      </c>
      <c r="F10236" s="3">
        <v>8</v>
      </c>
      <c r="G10236" t="s">
        <v>512</v>
      </c>
    </row>
    <row r="10237" spans="1:7" x14ac:dyDescent="0.25">
      <c r="A10237" s="1" t="str">
        <f>"503337"</f>
        <v>503337</v>
      </c>
      <c r="B10237" s="2" t="str">
        <f>"ESPAGUETE TERMOCONTRATIL 3/4"</f>
        <v>ESPAGUETE TERMOCONTRATIL 3/4</v>
      </c>
      <c r="C10237" s="2" t="str">
        <f t="shared" si="397"/>
        <v>UN</v>
      </c>
      <c r="D10237" s="7">
        <v>600</v>
      </c>
      <c r="E10237" s="3">
        <v>8</v>
      </c>
      <c r="F10237" s="3">
        <v>8</v>
      </c>
      <c r="G10237" t="s">
        <v>513</v>
      </c>
    </row>
    <row r="10238" spans="1:7" x14ac:dyDescent="0.25">
      <c r="A10238" s="1" t="str">
        <f>"500550"</f>
        <v>500550</v>
      </c>
      <c r="B10238" s="2" t="str">
        <f>"ESPAGUETE TERMOCONTRATIL 3/8"</f>
        <v>ESPAGUETE TERMOCONTRATIL 3/8</v>
      </c>
      <c r="C10238" s="2" t="str">
        <f t="shared" si="397"/>
        <v>UN</v>
      </c>
      <c r="D10238" s="7">
        <v>600</v>
      </c>
      <c r="E10238" s="3">
        <v>8</v>
      </c>
      <c r="F10238" s="3">
        <v>8</v>
      </c>
      <c r="G10238" t="s">
        <v>514</v>
      </c>
    </row>
    <row r="10239" spans="1:7" x14ac:dyDescent="0.25">
      <c r="A10239" s="1" t="str">
        <f>"500549"</f>
        <v>500549</v>
      </c>
      <c r="B10239" s="2" t="str">
        <f>"ESPAGUETE TERMOCONTRATIL 5/16"</f>
        <v>ESPAGUETE TERMOCONTRATIL 5/16</v>
      </c>
      <c r="C10239" s="2" t="str">
        <f t="shared" si="397"/>
        <v>UN</v>
      </c>
      <c r="D10239" s="7">
        <v>600</v>
      </c>
      <c r="E10239" s="3">
        <v>8</v>
      </c>
      <c r="F10239" s="3">
        <v>8</v>
      </c>
      <c r="G10239" t="s">
        <v>514</v>
      </c>
    </row>
    <row r="10240" spans="1:7" x14ac:dyDescent="0.25">
      <c r="A10240" s="1" t="str">
        <f>"503336"</f>
        <v>503336</v>
      </c>
      <c r="B10240" s="2" t="str">
        <f>"ESPAGUETE TERMOCONTRATIL 5/8"</f>
        <v>ESPAGUETE TERMOCONTRATIL 5/8</v>
      </c>
      <c r="C10240" s="2" t="str">
        <f t="shared" si="397"/>
        <v>UN</v>
      </c>
      <c r="D10240" s="7">
        <v>600</v>
      </c>
      <c r="E10240" s="3">
        <v>8</v>
      </c>
      <c r="F10240" s="3">
        <v>8</v>
      </c>
      <c r="G10240" t="s">
        <v>512</v>
      </c>
    </row>
    <row r="10241" spans="1:7" x14ac:dyDescent="0.25">
      <c r="A10241" s="1" t="str">
        <f>"2748"</f>
        <v>2748</v>
      </c>
      <c r="B10241" s="2" t="str">
        <f>"ESPANADOR DE VELUDO (COD. 525)"</f>
        <v>ESPANADOR DE VELUDO (COD. 525)</v>
      </c>
      <c r="C10241" s="2" t="str">
        <f t="shared" si="397"/>
        <v>UN</v>
      </c>
      <c r="D10241" s="7">
        <v>400</v>
      </c>
      <c r="E10241" s="3">
        <v>4</v>
      </c>
      <c r="F10241" s="3">
        <v>4</v>
      </c>
      <c r="G10241" t="s">
        <v>513</v>
      </c>
    </row>
    <row r="10242" spans="1:7" x14ac:dyDescent="0.25">
      <c r="A10242" s="1" t="str">
        <f>"512988"</f>
        <v>512988</v>
      </c>
      <c r="B10242" s="2" t="str">
        <f>"ESPANADOR ELETROSTATICO CERTEC"</f>
        <v>ESPANADOR ELETROSTATICO CERTEC</v>
      </c>
      <c r="C10242" s="2" t="str">
        <f t="shared" si="397"/>
        <v>UN</v>
      </c>
      <c r="D10242" s="7">
        <v>400</v>
      </c>
      <c r="E10242" s="3">
        <v>4</v>
      </c>
      <c r="F10242" s="3">
        <v>4</v>
      </c>
      <c r="G10242" t="s">
        <v>514</v>
      </c>
    </row>
    <row r="10243" spans="1:7" x14ac:dyDescent="0.25">
      <c r="A10243" s="1" t="str">
        <f>"511795"</f>
        <v>511795</v>
      </c>
      <c r="B10243" s="2" t="str">
        <f>"ESPANADOR SAO FRANCISCO"</f>
        <v>ESPANADOR SAO FRANCISCO</v>
      </c>
      <c r="C10243" s="2" t="str">
        <f t="shared" si="397"/>
        <v>UN</v>
      </c>
      <c r="D10243" s="7">
        <v>400</v>
      </c>
      <c r="E10243" s="3">
        <v>4</v>
      </c>
      <c r="F10243" s="3">
        <v>4</v>
      </c>
      <c r="G10243" t="s">
        <v>514</v>
      </c>
    </row>
    <row r="10244" spans="1:7" x14ac:dyDescent="0.25">
      <c r="A10244" s="1" t="str">
        <f>"517043"</f>
        <v>517043</v>
      </c>
      <c r="B10244" s="2" t="str">
        <f>"ESPANSÃO 8 ENT 8 SAIDA DIGITAIS 6ES7 223-1PH30-0XB0"</f>
        <v>ESPANSÃO 8 ENT 8 SAIDA DIGITAIS 6ES7 223-1PH30-0XB0</v>
      </c>
      <c r="C10244" s="2" t="str">
        <f t="shared" si="397"/>
        <v>UN</v>
      </c>
      <c r="D10244" s="7">
        <v>811</v>
      </c>
      <c r="E10244" s="3">
        <v>8</v>
      </c>
      <c r="F10244" s="3">
        <v>8</v>
      </c>
      <c r="G10244" t="s">
        <v>514</v>
      </c>
    </row>
    <row r="10245" spans="1:7" x14ac:dyDescent="0.25">
      <c r="A10245" s="1" t="str">
        <f>"524069"</f>
        <v>524069</v>
      </c>
      <c r="B10245" s="2" t="str">
        <f>"ESPANTALHO"</f>
        <v>ESPANTALHO</v>
      </c>
      <c r="C10245" s="2" t="str">
        <f t="shared" si="397"/>
        <v>UN</v>
      </c>
      <c r="D10245" s="7">
        <v>99999</v>
      </c>
      <c r="E10245" s="3">
        <v>99</v>
      </c>
      <c r="F10245" s="3">
        <v>99</v>
      </c>
      <c r="G10245" t="s">
        <v>513</v>
      </c>
    </row>
    <row r="10246" spans="1:7" x14ac:dyDescent="0.25">
      <c r="A10246" s="1" t="str">
        <f>"524070"</f>
        <v>524070</v>
      </c>
      <c r="B10246" s="2" t="str">
        <f>"ESPANTALHO 53 X 40 X 80CM"</f>
        <v>ESPANTALHO 53 X 40 X 80CM</v>
      </c>
      <c r="C10246" s="2" t="str">
        <f t="shared" si="397"/>
        <v>UN</v>
      </c>
      <c r="D10246" s="7">
        <v>99999</v>
      </c>
      <c r="E10246" s="3">
        <v>99</v>
      </c>
      <c r="F10246" s="3">
        <v>99</v>
      </c>
      <c r="G10246" t="s">
        <v>512</v>
      </c>
    </row>
    <row r="10247" spans="1:7" x14ac:dyDescent="0.25">
      <c r="A10247" s="1" t="str">
        <f>"513938"</f>
        <v>513938</v>
      </c>
      <c r="B10247" s="2" t="str">
        <f>"ESPARADRAPO CREMER"</f>
        <v>ESPARADRAPO CREMER</v>
      </c>
      <c r="C10247" s="2" t="str">
        <f t="shared" si="397"/>
        <v>UN</v>
      </c>
      <c r="D10247" s="7">
        <v>406</v>
      </c>
      <c r="E10247" s="3">
        <v>99</v>
      </c>
      <c r="F10247" s="3">
        <v>99</v>
      </c>
      <c r="G10247" t="s">
        <v>513</v>
      </c>
    </row>
    <row r="10248" spans="1:7" x14ac:dyDescent="0.25">
      <c r="A10248" s="1" t="str">
        <f>"512933"</f>
        <v>512933</v>
      </c>
      <c r="B10248" s="2" t="str">
        <f>"ESPATULA 12CM"</f>
        <v>ESPATULA 12CM</v>
      </c>
      <c r="C10248" s="2" t="str">
        <f t="shared" si="397"/>
        <v>UN</v>
      </c>
      <c r="D10248" s="7">
        <v>403</v>
      </c>
      <c r="E10248" s="3">
        <v>4</v>
      </c>
      <c r="F10248" s="3">
        <v>4</v>
      </c>
      <c r="G10248" t="s">
        <v>514</v>
      </c>
    </row>
    <row r="10249" spans="1:7" x14ac:dyDescent="0.25">
      <c r="A10249" s="1" t="str">
        <f>"504046"</f>
        <v>504046</v>
      </c>
      <c r="B10249" s="2" t="str">
        <f>"ESPATULA 18"" REF.026330"</f>
        <v>ESPATULA 18" REF.026330</v>
      </c>
      <c r="C10249" s="2" t="str">
        <f t="shared" si="397"/>
        <v>UN</v>
      </c>
      <c r="D10249" s="7">
        <v>403</v>
      </c>
      <c r="E10249" s="3">
        <v>4</v>
      </c>
      <c r="F10249" s="3">
        <v>4</v>
      </c>
      <c r="G10249" t="s">
        <v>514</v>
      </c>
    </row>
    <row r="10250" spans="1:7" x14ac:dyDescent="0.25">
      <c r="A10250" s="1" t="str">
        <f>"500399"</f>
        <v>500399</v>
      </c>
      <c r="B10250" s="2" t="str">
        <f>"ESPATULA 23"" REF.026350"</f>
        <v>ESPATULA 23" REF.026350</v>
      </c>
      <c r="C10250" s="2" t="str">
        <f t="shared" si="397"/>
        <v>UN</v>
      </c>
      <c r="D10250" s="7">
        <v>403</v>
      </c>
      <c r="E10250" s="3">
        <v>4</v>
      </c>
      <c r="F10250" s="3">
        <v>4</v>
      </c>
      <c r="G10250" t="s">
        <v>514</v>
      </c>
    </row>
    <row r="10251" spans="1:7" x14ac:dyDescent="0.25">
      <c r="A10251" s="1" t="str">
        <f>"512491"</f>
        <v>512491</v>
      </c>
      <c r="B10251" s="2" t="str">
        <f>"ESPATULA BORRACHA ATLAS"</f>
        <v>ESPATULA BORRACHA ATLAS</v>
      </c>
      <c r="C10251" s="2" t="str">
        <f t="shared" si="397"/>
        <v>UN</v>
      </c>
      <c r="D10251" s="7">
        <v>403</v>
      </c>
      <c r="E10251" s="3">
        <v>4</v>
      </c>
      <c r="F10251" s="3">
        <v>4</v>
      </c>
      <c r="G10251" t="s">
        <v>513</v>
      </c>
    </row>
    <row r="10252" spans="1:7" x14ac:dyDescent="0.25">
      <c r="A10252" s="1" t="str">
        <f>"523347"</f>
        <v>523347</v>
      </c>
      <c r="B10252" s="2" t="str">
        <f>"ESPÁTULA ERGONOMICA (COR BRANCO CÓD. 82900)"</f>
        <v>ESPÁTULA ERGONOMICA (COR BRANCO CÓD. 82900)</v>
      </c>
      <c r="C10252" s="2" t="str">
        <f t="shared" si="397"/>
        <v>UN</v>
      </c>
      <c r="D10252" s="7">
        <v>400</v>
      </c>
      <c r="E10252" s="3">
        <v>4</v>
      </c>
      <c r="F10252" s="3">
        <v>4</v>
      </c>
      <c r="G10252" t="s">
        <v>513</v>
      </c>
    </row>
    <row r="10253" spans="1:7" x14ac:dyDescent="0.25">
      <c r="A10253" s="1" t="str">
        <f>"6053"</f>
        <v>6053</v>
      </c>
      <c r="B10253" s="2" t="str">
        <f>"ESPATULA INOX C/ COLHER 15CM (RIC021)"</f>
        <v>ESPATULA INOX C/ COLHER 15CM (RIC021)</v>
      </c>
      <c r="C10253" s="2" t="str">
        <f>"PC"</f>
        <v>PC</v>
      </c>
      <c r="D10253" s="7">
        <v>406</v>
      </c>
      <c r="E10253" s="3">
        <v>4</v>
      </c>
      <c r="F10253" s="3">
        <v>4</v>
      </c>
      <c r="G10253" t="s">
        <v>513</v>
      </c>
    </row>
    <row r="10254" spans="1:7" x14ac:dyDescent="0.25">
      <c r="A10254" s="1" t="str">
        <f>"521553"</f>
        <v>521553</v>
      </c>
      <c r="B10254" s="2" t="str">
        <f>"ESPATULA INOX P/ MANTEIGA"</f>
        <v>ESPATULA INOX P/ MANTEIGA</v>
      </c>
      <c r="C10254" s="2" t="str">
        <f t="shared" ref="C10254:C10275" si="398">"UN"</f>
        <v>UN</v>
      </c>
      <c r="D10254" s="7">
        <v>403</v>
      </c>
      <c r="E10254" s="3">
        <v>4</v>
      </c>
      <c r="F10254" s="3">
        <v>4</v>
      </c>
      <c r="G10254" t="s">
        <v>512</v>
      </c>
    </row>
    <row r="10255" spans="1:7" x14ac:dyDescent="0.25">
      <c r="A10255" s="1" t="str">
        <f>"523529"</f>
        <v>523529</v>
      </c>
      <c r="B10255" s="2" t="str">
        <f>"ESPATULA SILICONE"</f>
        <v>ESPATULA SILICONE</v>
      </c>
      <c r="C10255" s="2" t="str">
        <f t="shared" si="398"/>
        <v>UN</v>
      </c>
      <c r="D10255" s="7">
        <v>403</v>
      </c>
      <c r="E10255" s="3">
        <v>4</v>
      </c>
      <c r="F10255" s="3">
        <v>4</v>
      </c>
      <c r="G10255" t="s">
        <v>513</v>
      </c>
    </row>
    <row r="10256" spans="1:7" x14ac:dyDescent="0.25">
      <c r="A10256" s="1" t="str">
        <f>"523689"</f>
        <v>523689</v>
      </c>
      <c r="B10256" s="2" t="str">
        <f>"ESPATULAS AÇO INOX 40MM FLEXIVEL (COR AMARELA CÓD. 88042)"</f>
        <v>ESPATULAS AÇO INOX 40MM FLEXIVEL (COR AMARELA CÓD. 88042)</v>
      </c>
      <c r="C10256" s="2" t="str">
        <f t="shared" si="398"/>
        <v>UN</v>
      </c>
      <c r="D10256" s="7">
        <v>400</v>
      </c>
      <c r="E10256" s="3">
        <v>4</v>
      </c>
      <c r="F10256" s="3">
        <v>4</v>
      </c>
      <c r="G10256" t="s">
        <v>514</v>
      </c>
    </row>
    <row r="10257" spans="1:7" x14ac:dyDescent="0.25">
      <c r="A10257" s="1" t="str">
        <f>"523731"</f>
        <v>523731</v>
      </c>
      <c r="B10257" s="2" t="str">
        <f>"ESPATULAS AÇO INOX 40MM FLEXIVEL (COR BRANCA CÓD. 88042)"</f>
        <v>ESPATULAS AÇO INOX 40MM FLEXIVEL (COR BRANCA CÓD. 88042)</v>
      </c>
      <c r="C10257" s="2" t="str">
        <f t="shared" si="398"/>
        <v>UN</v>
      </c>
      <c r="D10257" s="7">
        <v>400</v>
      </c>
      <c r="E10257" s="3">
        <v>4</v>
      </c>
      <c r="F10257" s="3">
        <v>4</v>
      </c>
      <c r="G10257" t="s">
        <v>515</v>
      </c>
    </row>
    <row r="10258" spans="1:7" x14ac:dyDescent="0.25">
      <c r="A10258" s="1" t="str">
        <f>"523690"</f>
        <v>523690</v>
      </c>
      <c r="B10258" s="2" t="str">
        <f>"ESPATULAS AÇO INOX 40MM FLEXIVEL (COR PRETA CÓD. 88042)"</f>
        <v>ESPATULAS AÇO INOX 40MM FLEXIVEL (COR PRETA CÓD. 88042)</v>
      </c>
      <c r="C10258" s="2" t="str">
        <f t="shared" si="398"/>
        <v>UN</v>
      </c>
      <c r="D10258" s="7">
        <v>400</v>
      </c>
      <c r="E10258" s="3">
        <v>4</v>
      </c>
      <c r="F10258" s="3">
        <v>4</v>
      </c>
      <c r="G10258" t="s">
        <v>512</v>
      </c>
    </row>
    <row r="10259" spans="1:7" x14ac:dyDescent="0.25">
      <c r="A10259" s="1" t="str">
        <f>"523688"</f>
        <v>523688</v>
      </c>
      <c r="B10259" s="2" t="str">
        <f>"ESPATULAS AÇO INOX 40MM FLEXIVEL (COR VERDE CÓD. 88042)"</f>
        <v>ESPATULAS AÇO INOX 40MM FLEXIVEL (COR VERDE CÓD. 88042)</v>
      </c>
      <c r="C10259" s="2" t="str">
        <f t="shared" si="398"/>
        <v>UN</v>
      </c>
      <c r="D10259" s="7">
        <v>400</v>
      </c>
      <c r="E10259" s="3">
        <v>4</v>
      </c>
      <c r="F10259" s="3">
        <v>4</v>
      </c>
      <c r="G10259" t="s">
        <v>516</v>
      </c>
    </row>
    <row r="10260" spans="1:7" x14ac:dyDescent="0.25">
      <c r="A10260" s="1" t="str">
        <f>"523495"</f>
        <v>523495</v>
      </c>
      <c r="B10260" s="2" t="str">
        <f>"ESPATULAS AÇO INOX 80MM FLEXIVEL (COR VERDE CÓD. 88080)"</f>
        <v>ESPATULAS AÇO INOX 80MM FLEXIVEL (COR VERDE CÓD. 88080)</v>
      </c>
      <c r="C10260" s="2" t="str">
        <f t="shared" si="398"/>
        <v>UN</v>
      </c>
      <c r="D10260" s="7">
        <v>400</v>
      </c>
      <c r="E10260" s="3">
        <v>4</v>
      </c>
      <c r="F10260" s="3">
        <v>4</v>
      </c>
      <c r="G10260" t="s">
        <v>515</v>
      </c>
    </row>
    <row r="10261" spans="1:7" x14ac:dyDescent="0.25">
      <c r="A10261" s="1" t="str">
        <f>"523498"</f>
        <v>523498</v>
      </c>
      <c r="B10261" s="2" t="str">
        <f>"ESPATULAS AÇO INOX CABO POLIPROPILENO (COR AZUL CÓD 8808)"</f>
        <v>ESPATULAS AÇO INOX CABO POLIPROPILENO (COR AZUL CÓD 8808)</v>
      </c>
      <c r="C10261" s="2" t="str">
        <f t="shared" si="398"/>
        <v>UN</v>
      </c>
      <c r="D10261" s="7">
        <v>400</v>
      </c>
      <c r="E10261" s="3">
        <v>4</v>
      </c>
      <c r="F10261" s="3">
        <v>4</v>
      </c>
      <c r="G10261" t="s">
        <v>514</v>
      </c>
    </row>
    <row r="10262" spans="1:7" x14ac:dyDescent="0.25">
      <c r="A10262" s="1" t="str">
        <f>"524611"</f>
        <v>524611</v>
      </c>
      <c r="B10262" s="8" t="s">
        <v>388</v>
      </c>
      <c r="C10262" s="2" t="str">
        <f t="shared" si="398"/>
        <v>UN</v>
      </c>
      <c r="D10262" s="7">
        <v>406</v>
      </c>
      <c r="E10262" s="3">
        <v>13</v>
      </c>
      <c r="F10262" s="3">
        <v>13</v>
      </c>
      <c r="G10262" t="s">
        <v>512</v>
      </c>
    </row>
    <row r="10263" spans="1:7" x14ac:dyDescent="0.25">
      <c r="A10263" s="1" t="str">
        <f>"507647"</f>
        <v>507647</v>
      </c>
      <c r="B10263" s="2" t="str">
        <f>"ESPELHO"</f>
        <v>ESPELHO</v>
      </c>
      <c r="C10263" s="2" t="str">
        <f t="shared" si="398"/>
        <v>UN</v>
      </c>
      <c r="D10263" s="7">
        <v>601</v>
      </c>
      <c r="E10263" s="3">
        <v>8</v>
      </c>
      <c r="F10263" s="3">
        <v>8</v>
      </c>
      <c r="G10263" t="s">
        <v>513</v>
      </c>
    </row>
    <row r="10264" spans="1:7" x14ac:dyDescent="0.25">
      <c r="A10264" s="1" t="str">
        <f>"507102"</f>
        <v>507102</v>
      </c>
      <c r="B10264" s="2" t="str">
        <f>"ESPELHO AUXILIAR"</f>
        <v>ESPELHO AUXILIAR</v>
      </c>
      <c r="C10264" s="2" t="str">
        <f t="shared" si="398"/>
        <v>UN</v>
      </c>
      <c r="D10264" s="7">
        <v>704</v>
      </c>
      <c r="E10264" s="3">
        <v>9</v>
      </c>
      <c r="F10264" s="3">
        <v>9</v>
      </c>
      <c r="G10264" t="s">
        <v>514</v>
      </c>
    </row>
    <row r="10265" spans="1:7" x14ac:dyDescent="0.25">
      <c r="A10265" s="1" t="str">
        <f>"506058"</f>
        <v>506058</v>
      </c>
      <c r="B10265" s="2" t="str">
        <f>"ESPELHO CEGO (PLAQUINHA) 4 X 4"</f>
        <v>ESPELHO CEGO (PLAQUINHA) 4 X 4</v>
      </c>
      <c r="C10265" s="2" t="str">
        <f t="shared" si="398"/>
        <v>UN</v>
      </c>
      <c r="D10265" s="7">
        <v>601</v>
      </c>
      <c r="E10265" s="3">
        <v>8</v>
      </c>
      <c r="F10265" s="3">
        <v>8</v>
      </c>
      <c r="G10265" t="s">
        <v>514</v>
      </c>
    </row>
    <row r="10266" spans="1:7" x14ac:dyDescent="0.25">
      <c r="A10266" s="1" t="str">
        <f>"521173"</f>
        <v>521173</v>
      </c>
      <c r="B10266" s="2" t="str">
        <f>"ESPELHO CONVEXO 60CM"</f>
        <v>ESPELHO CONVEXO 60CM</v>
      </c>
      <c r="C10266" s="2" t="str">
        <f t="shared" si="398"/>
        <v>UN</v>
      </c>
      <c r="D10266" s="7">
        <v>704</v>
      </c>
      <c r="E10266" s="3">
        <v>9</v>
      </c>
      <c r="F10266" s="3">
        <v>9</v>
      </c>
      <c r="G10266" t="s">
        <v>512</v>
      </c>
    </row>
    <row r="10267" spans="1:7" x14ac:dyDescent="0.25">
      <c r="A10267" s="1" t="str">
        <f>"510858"</f>
        <v>510858</v>
      </c>
      <c r="B10267" s="2" t="str">
        <f>"ESPELHO P/ CONDUETE 1"" TOMADA 2P+T"</f>
        <v>ESPELHO P/ CONDUETE 1" TOMADA 2P+T</v>
      </c>
      <c r="C10267" s="2" t="str">
        <f t="shared" si="398"/>
        <v>UN</v>
      </c>
      <c r="D10267" s="7">
        <v>601</v>
      </c>
      <c r="E10267" s="3">
        <v>8</v>
      </c>
      <c r="F10267" s="3">
        <v>8</v>
      </c>
      <c r="G10267" t="s">
        <v>513</v>
      </c>
    </row>
    <row r="10268" spans="1:7" x14ac:dyDescent="0.25">
      <c r="A10268" s="1" t="str">
        <f>"511105"</f>
        <v>511105</v>
      </c>
      <c r="B10268" s="2" t="str">
        <f>"ESPELHO P/ CONDULETE 1"" TOM. 2P+T + INTERRUPTOR"</f>
        <v>ESPELHO P/ CONDULETE 1" TOM. 2P+T + INTERRUPTOR</v>
      </c>
      <c r="C10268" s="2" t="str">
        <f t="shared" si="398"/>
        <v>UN</v>
      </c>
      <c r="D10268" s="7">
        <v>601</v>
      </c>
      <c r="E10268" s="3">
        <v>8</v>
      </c>
      <c r="F10268" s="3">
        <v>8</v>
      </c>
      <c r="G10268" t="s">
        <v>514</v>
      </c>
    </row>
    <row r="10269" spans="1:7" x14ac:dyDescent="0.25">
      <c r="A10269" s="1" t="str">
        <f>"505878"</f>
        <v>505878</v>
      </c>
      <c r="B10269" s="2" t="str">
        <f>"ESPELHO P/ CONDULETE 3/4"" CEGO"</f>
        <v>ESPELHO P/ CONDULETE 3/4" CEGO</v>
      </c>
      <c r="C10269" s="2" t="str">
        <f t="shared" si="398"/>
        <v>UN</v>
      </c>
      <c r="D10269" s="7">
        <v>811</v>
      </c>
      <c r="E10269" s="3">
        <v>8</v>
      </c>
      <c r="F10269" s="3">
        <v>8</v>
      </c>
      <c r="G10269" t="s">
        <v>514</v>
      </c>
    </row>
    <row r="10270" spans="1:7" x14ac:dyDescent="0.25">
      <c r="A10270" s="1" t="str">
        <f>"511103"</f>
        <v>511103</v>
      </c>
      <c r="B10270" s="2" t="str">
        <f>"ESPELHO P/ CONDULETE 3/4"" TOMADA 2P+T"</f>
        <v>ESPELHO P/ CONDULETE 3/4" TOMADA 2P+T</v>
      </c>
      <c r="C10270" s="2" t="str">
        <f t="shared" si="398"/>
        <v>UN</v>
      </c>
      <c r="D10270" s="7">
        <v>601</v>
      </c>
      <c r="E10270" s="3">
        <v>8</v>
      </c>
      <c r="F10270" s="3">
        <v>8</v>
      </c>
      <c r="G10270" t="s">
        <v>514</v>
      </c>
    </row>
    <row r="10271" spans="1:7" x14ac:dyDescent="0.25">
      <c r="A10271" s="1" t="str">
        <f>"505871"</f>
        <v>505871</v>
      </c>
      <c r="B10271" s="2" t="str">
        <f>"ESPELHO P/ CONDULETE 3/4"" TOMADA DUPLA 2P+T"</f>
        <v>ESPELHO P/ CONDULETE 3/4" TOMADA DUPLA 2P+T</v>
      </c>
      <c r="C10271" s="2" t="str">
        <f t="shared" si="398"/>
        <v>UN</v>
      </c>
      <c r="D10271" s="7">
        <v>811</v>
      </c>
      <c r="E10271" s="3">
        <v>8</v>
      </c>
      <c r="F10271" s="3">
        <v>8</v>
      </c>
      <c r="G10271" t="s">
        <v>513</v>
      </c>
    </row>
    <row r="10272" spans="1:7" x14ac:dyDescent="0.25">
      <c r="A10272" s="1" t="str">
        <f>"511039"</f>
        <v>511039</v>
      </c>
      <c r="B10272" s="2" t="str">
        <f>"ESPELHO P/ INT. DUPLO + TOM. COND. 3/4"</f>
        <v>ESPELHO P/ INT. DUPLO + TOM. COND. 3/4</v>
      </c>
      <c r="C10272" s="2" t="str">
        <f t="shared" si="398"/>
        <v>UN</v>
      </c>
      <c r="D10272" s="7">
        <v>601</v>
      </c>
      <c r="E10272" s="3">
        <v>8</v>
      </c>
      <c r="F10272" s="3">
        <v>8</v>
      </c>
      <c r="G10272" t="s">
        <v>512</v>
      </c>
    </row>
    <row r="10273" spans="1:7" x14ac:dyDescent="0.25">
      <c r="A10273" s="1" t="str">
        <f>"513811"</f>
        <v>513811</v>
      </c>
      <c r="B10273" s="2" t="str">
        <f>"ESPELHO PARA RJ 45"</f>
        <v>ESPELHO PARA RJ 45</v>
      </c>
      <c r="C10273" s="2" t="str">
        <f t="shared" si="398"/>
        <v>UN</v>
      </c>
      <c r="D10273" s="7">
        <v>99999</v>
      </c>
      <c r="E10273" s="3">
        <v>99</v>
      </c>
      <c r="F10273" s="3">
        <v>99</v>
      </c>
      <c r="G10273" t="s">
        <v>513</v>
      </c>
    </row>
    <row r="10274" spans="1:7" x14ac:dyDescent="0.25">
      <c r="A10274" s="1" t="str">
        <f>"516457"</f>
        <v>516457</v>
      </c>
      <c r="B10274" s="2" t="str">
        <f>"ESPELHO PRISMATICO E39-R1S 40X60X7,5MM"</f>
        <v>ESPELHO PRISMATICO E39-R1S 40X60X7,5MM</v>
      </c>
      <c r="C10274" s="2" t="str">
        <f t="shared" si="398"/>
        <v>UN</v>
      </c>
      <c r="D10274" s="7">
        <v>811</v>
      </c>
      <c r="E10274" s="3">
        <v>8</v>
      </c>
      <c r="F10274" s="3">
        <v>8</v>
      </c>
      <c r="G10274" t="s">
        <v>514</v>
      </c>
    </row>
    <row r="10275" spans="1:7" x14ac:dyDescent="0.25">
      <c r="A10275" s="1" t="str">
        <f>"517995"</f>
        <v>517995</v>
      </c>
      <c r="B10275" s="2" t="str">
        <f>"ESPELHO REFLETIVO OMROM E39-R1"</f>
        <v>ESPELHO REFLETIVO OMROM E39-R1</v>
      </c>
      <c r="C10275" s="2" t="str">
        <f t="shared" si="398"/>
        <v>UN</v>
      </c>
      <c r="D10275" s="7">
        <v>918</v>
      </c>
      <c r="E10275" s="3">
        <v>11</v>
      </c>
      <c r="F10275" s="3">
        <v>11</v>
      </c>
      <c r="G10275" t="s">
        <v>514</v>
      </c>
    </row>
    <row r="10276" spans="1:7" x14ac:dyDescent="0.25">
      <c r="A10276" s="1" t="str">
        <f>"512266"</f>
        <v>512266</v>
      </c>
      <c r="B10276" s="2" t="str">
        <f>"ESPELHO REFLETIVO OMROM E39-R3"</f>
        <v>ESPELHO REFLETIVO OMROM E39-R3</v>
      </c>
      <c r="C10276" s="2" t="str">
        <f>"PC"</f>
        <v>PC</v>
      </c>
      <c r="D10276" s="7">
        <v>900</v>
      </c>
      <c r="E10276" s="3">
        <v>11</v>
      </c>
      <c r="F10276" s="3">
        <v>11</v>
      </c>
      <c r="G10276" t="s">
        <v>514</v>
      </c>
    </row>
    <row r="10277" spans="1:7" x14ac:dyDescent="0.25">
      <c r="A10277" s="1" t="str">
        <f>"516566"</f>
        <v>516566</v>
      </c>
      <c r="B10277" s="2" t="str">
        <f>"ESPELHO REFLETIVO OMROM E39-R40"</f>
        <v>ESPELHO REFLETIVO OMROM E39-R40</v>
      </c>
      <c r="C10277" s="2" t="str">
        <f>"PC"</f>
        <v>PC</v>
      </c>
      <c r="D10277" s="7">
        <v>908</v>
      </c>
      <c r="E10277" s="3">
        <v>11</v>
      </c>
      <c r="F10277" s="3">
        <v>11</v>
      </c>
      <c r="G10277" t="s">
        <v>513</v>
      </c>
    </row>
    <row r="10278" spans="1:7" x14ac:dyDescent="0.25">
      <c r="A10278" s="1" t="str">
        <f>"519551"</f>
        <v>519551</v>
      </c>
      <c r="B10278" s="2" t="str">
        <f>"ESPELHO REFLETIVO REV8589 R-10 BALLUFF 1209BR"</f>
        <v>ESPELHO REFLETIVO REV8589 R-10 BALLUFF 1209BR</v>
      </c>
      <c r="C10278" s="2" t="str">
        <f t="shared" ref="C10278:C10284" si="399">"UN"</f>
        <v>UN</v>
      </c>
      <c r="D10278" s="7">
        <v>811</v>
      </c>
      <c r="E10278" s="3">
        <v>8</v>
      </c>
      <c r="F10278" s="3">
        <v>8</v>
      </c>
      <c r="G10278" t="s">
        <v>513</v>
      </c>
    </row>
    <row r="10279" spans="1:7" x14ac:dyDescent="0.25">
      <c r="A10279" s="1" t="str">
        <f>"514553"</f>
        <v>514553</v>
      </c>
      <c r="B10279" s="2" t="str">
        <f>"ESPELHO RETROVISOR"</f>
        <v>ESPELHO RETROVISOR</v>
      </c>
      <c r="C10279" s="2" t="str">
        <f t="shared" si="399"/>
        <v>UN</v>
      </c>
      <c r="D10279" s="7">
        <v>704</v>
      </c>
      <c r="E10279" s="3">
        <v>9</v>
      </c>
      <c r="F10279" s="3">
        <v>9</v>
      </c>
      <c r="G10279" t="s">
        <v>513</v>
      </c>
    </row>
    <row r="10280" spans="1:7" x14ac:dyDescent="0.25">
      <c r="A10280" s="1" t="str">
        <f>"525582"</f>
        <v>525582</v>
      </c>
      <c r="B10280" s="2" t="str">
        <f>"ESPELHO RETROVISOR"</f>
        <v>ESPELHO RETROVISOR</v>
      </c>
      <c r="C10280" s="2" t="str">
        <f t="shared" si="399"/>
        <v>UN</v>
      </c>
      <c r="D10280" s="7">
        <v>704</v>
      </c>
      <c r="E10280" s="3">
        <v>9</v>
      </c>
      <c r="F10280" s="3">
        <v>9</v>
      </c>
      <c r="G10280" t="s">
        <v>512</v>
      </c>
    </row>
    <row r="10281" spans="1:7" x14ac:dyDescent="0.25">
      <c r="A10281" s="1" t="str">
        <f>"515142"</f>
        <v>515142</v>
      </c>
      <c r="B10281" s="2" t="str">
        <f>"ESPETINHO PARA CHURRASCO"</f>
        <v>ESPETINHO PARA CHURRASCO</v>
      </c>
      <c r="C10281" s="2" t="str">
        <f t="shared" si="399"/>
        <v>UN</v>
      </c>
      <c r="D10281" s="7">
        <v>401</v>
      </c>
      <c r="E10281" s="3">
        <v>4</v>
      </c>
      <c r="F10281" s="3">
        <v>4</v>
      </c>
      <c r="G10281" t="s">
        <v>513</v>
      </c>
    </row>
    <row r="10282" spans="1:7" x14ac:dyDescent="0.25">
      <c r="A10282" s="1" t="str">
        <f>"514119"</f>
        <v>514119</v>
      </c>
      <c r="B10282" s="2" t="str">
        <f>"ESPETO DE PAPEL"</f>
        <v>ESPETO DE PAPEL</v>
      </c>
      <c r="C10282" s="2" t="str">
        <f t="shared" si="399"/>
        <v>UN</v>
      </c>
      <c r="D10282" s="7">
        <v>401</v>
      </c>
      <c r="E10282" s="3">
        <v>4</v>
      </c>
      <c r="F10282" s="3">
        <v>4</v>
      </c>
      <c r="G10282" t="s">
        <v>514</v>
      </c>
    </row>
    <row r="10283" spans="1:7" x14ac:dyDescent="0.25">
      <c r="A10283" s="1" t="str">
        <f>"519966"</f>
        <v>519966</v>
      </c>
      <c r="B10283" s="2" t="str">
        <f>"ESPIGÃO 1""1/4"</f>
        <v>ESPIGÃO 1"1/4</v>
      </c>
      <c r="C10283" s="2" t="str">
        <f t="shared" si="399"/>
        <v>UN</v>
      </c>
      <c r="D10283" s="7">
        <v>808</v>
      </c>
      <c r="E10283" s="3">
        <v>10</v>
      </c>
      <c r="F10283" s="3">
        <v>10</v>
      </c>
      <c r="G10283" t="s">
        <v>515</v>
      </c>
    </row>
    <row r="10284" spans="1:7" x14ac:dyDescent="0.25">
      <c r="A10284" s="1" t="str">
        <f>"519965"</f>
        <v>519965</v>
      </c>
      <c r="B10284" s="2" t="str">
        <f>"ESPIGÃO 1/2X3/4"</f>
        <v>ESPIGÃO 1/2X3/4</v>
      </c>
      <c r="C10284" s="2" t="str">
        <f t="shared" si="399"/>
        <v>UN</v>
      </c>
      <c r="D10284" s="7">
        <v>808</v>
      </c>
      <c r="E10284" s="3">
        <v>10</v>
      </c>
      <c r="F10284" s="3">
        <v>10</v>
      </c>
      <c r="G10284" t="s">
        <v>512</v>
      </c>
    </row>
    <row r="10285" spans="1:7" x14ac:dyDescent="0.25">
      <c r="A10285" s="1" t="str">
        <f>"502769"</f>
        <v>502769</v>
      </c>
      <c r="B10285" s="2" t="str">
        <f>"ESPIGAO F.G. 3/4"</f>
        <v>ESPIGAO F.G. 3/4</v>
      </c>
      <c r="C10285" s="2" t="str">
        <f>"BR"</f>
        <v>BR</v>
      </c>
      <c r="D10285" s="7">
        <v>808</v>
      </c>
      <c r="E10285" s="3">
        <v>10</v>
      </c>
      <c r="F10285" s="3">
        <v>10</v>
      </c>
      <c r="G10285" t="s">
        <v>516</v>
      </c>
    </row>
    <row r="10286" spans="1:7" x14ac:dyDescent="0.25">
      <c r="A10286" s="1" t="str">
        <f>"502770"</f>
        <v>502770</v>
      </c>
      <c r="B10286" s="2" t="str">
        <f>"ESPIGAO F.G. 3/8 X 3/8 REF.LEX210"</f>
        <v>ESPIGAO F.G. 3/8 X 3/8 REF.LEX210</v>
      </c>
      <c r="C10286" s="2" t="str">
        <f>"BR"</f>
        <v>BR</v>
      </c>
      <c r="D10286" s="7">
        <v>808</v>
      </c>
      <c r="E10286" s="3">
        <v>10</v>
      </c>
      <c r="F10286" s="3">
        <v>10</v>
      </c>
      <c r="G10286" t="s">
        <v>515</v>
      </c>
    </row>
    <row r="10287" spans="1:7" x14ac:dyDescent="0.25">
      <c r="A10287" s="1" t="str">
        <f>"510709"</f>
        <v>510709</v>
      </c>
      <c r="B10287" s="2" t="str">
        <f>"ESPIGAO FERRO 1"""</f>
        <v>ESPIGAO FERRO 1"</v>
      </c>
      <c r="C10287" s="2" t="str">
        <f>"BR"</f>
        <v>BR</v>
      </c>
      <c r="D10287" s="7">
        <v>808</v>
      </c>
      <c r="E10287" s="3">
        <v>10</v>
      </c>
      <c r="F10287" s="3">
        <v>10</v>
      </c>
      <c r="G10287" t="s">
        <v>514</v>
      </c>
    </row>
    <row r="10288" spans="1:7" x14ac:dyDescent="0.25">
      <c r="A10288" s="1" t="str">
        <f>"510708"</f>
        <v>510708</v>
      </c>
      <c r="B10288" s="2" t="str">
        <f>"ESPIGAO FERRO 3/4"""</f>
        <v>ESPIGAO FERRO 3/4"</v>
      </c>
      <c r="C10288" s="2" t="str">
        <f>"BR"</f>
        <v>BR</v>
      </c>
      <c r="D10288" s="7">
        <v>808</v>
      </c>
      <c r="E10288" s="3">
        <v>10</v>
      </c>
      <c r="F10288" s="3">
        <v>10</v>
      </c>
      <c r="G10288" t="s">
        <v>512</v>
      </c>
    </row>
    <row r="10289" spans="1:7" x14ac:dyDescent="0.25">
      <c r="A10289" s="1" t="str">
        <f>"500922"</f>
        <v>500922</v>
      </c>
      <c r="B10289" s="2" t="str">
        <f>"ESPIGAO FG 1/2"""</f>
        <v>ESPIGAO FG 1/2"</v>
      </c>
      <c r="C10289" s="2" t="str">
        <f>"UN"</f>
        <v>UN</v>
      </c>
      <c r="D10289" s="7">
        <v>402</v>
      </c>
      <c r="E10289" s="3">
        <v>4</v>
      </c>
      <c r="F10289" s="3">
        <v>4</v>
      </c>
      <c r="G10289" t="s">
        <v>513</v>
      </c>
    </row>
    <row r="10290" spans="1:7" x14ac:dyDescent="0.25">
      <c r="A10290" s="1" t="str">
        <f>"501629"</f>
        <v>501629</v>
      </c>
      <c r="B10290" s="2" t="str">
        <f>"ESPIGAO FG 1/4 X3/8 REF.LEX206"</f>
        <v>ESPIGAO FG 1/4 X3/8 REF.LEX206</v>
      </c>
      <c r="C10290" s="2" t="str">
        <f>"BR"</f>
        <v>BR</v>
      </c>
      <c r="D10290" s="7">
        <v>808</v>
      </c>
      <c r="E10290" s="3">
        <v>10</v>
      </c>
      <c r="F10290" s="3">
        <v>10</v>
      </c>
      <c r="G10290" t="s">
        <v>514</v>
      </c>
    </row>
    <row r="10291" spans="1:7" x14ac:dyDescent="0.25">
      <c r="A10291" s="1" t="str">
        <f>"526317"</f>
        <v>526317</v>
      </c>
      <c r="B10291" s="2" t="str">
        <f>"ESPIGAO LATÃO 1/2"""</f>
        <v>ESPIGAO LATÃO 1/2"</v>
      </c>
      <c r="C10291" s="2" t="str">
        <f>"BR"</f>
        <v>BR</v>
      </c>
      <c r="D10291" s="7">
        <v>808</v>
      </c>
      <c r="E10291" s="3">
        <v>10</v>
      </c>
      <c r="F10291" s="3">
        <v>10</v>
      </c>
      <c r="G10291" t="s">
        <v>514</v>
      </c>
    </row>
    <row r="10292" spans="1:7" x14ac:dyDescent="0.25">
      <c r="A10292" s="1" t="str">
        <f>"501628"</f>
        <v>501628</v>
      </c>
      <c r="B10292" s="2" t="str">
        <f>"ESPIGAO MF 1/2""X 1/2"""</f>
        <v>ESPIGAO MF 1/2"X 1/2"</v>
      </c>
      <c r="C10292" s="2" t="str">
        <f>"BR"</f>
        <v>BR</v>
      </c>
      <c r="D10292" s="7">
        <v>808</v>
      </c>
      <c r="E10292" s="3">
        <v>10</v>
      </c>
      <c r="F10292" s="3">
        <v>10</v>
      </c>
      <c r="G10292" t="s">
        <v>512</v>
      </c>
    </row>
    <row r="10293" spans="1:7" x14ac:dyDescent="0.25">
      <c r="A10293" s="1" t="str">
        <f>"505562"</f>
        <v>505562</v>
      </c>
      <c r="B10293" s="2" t="str">
        <f>"ESPIGAO MOLA DIANTEIRO"</f>
        <v>ESPIGAO MOLA DIANTEIRO</v>
      </c>
      <c r="C10293" s="2" t="str">
        <f>"UN"</f>
        <v>UN</v>
      </c>
      <c r="D10293" s="7">
        <v>704</v>
      </c>
      <c r="E10293" s="3">
        <v>9</v>
      </c>
      <c r="F10293" s="3">
        <v>9</v>
      </c>
      <c r="G10293" t="s">
        <v>513</v>
      </c>
    </row>
    <row r="10294" spans="1:7" x14ac:dyDescent="0.25">
      <c r="A10294" s="1" t="str">
        <f>"503122"</f>
        <v>503122</v>
      </c>
      <c r="B10294" s="2" t="str">
        <f>"ESPIGAO PVC 1"""</f>
        <v>ESPIGAO PVC 1"</v>
      </c>
      <c r="C10294" s="2" t="str">
        <f>"BR"</f>
        <v>BR</v>
      </c>
      <c r="D10294" s="7">
        <v>808</v>
      </c>
      <c r="E10294" s="3">
        <v>10</v>
      </c>
      <c r="F10294" s="3">
        <v>10</v>
      </c>
      <c r="G10294" t="s">
        <v>514</v>
      </c>
    </row>
    <row r="10295" spans="1:7" x14ac:dyDescent="0.25">
      <c r="A10295" s="1" t="str">
        <f>"511015"</f>
        <v>511015</v>
      </c>
      <c r="B10295" s="2" t="str">
        <f>"ESPIGAO PVC 1"" X 1/2"""</f>
        <v>ESPIGAO PVC 1" X 1/2"</v>
      </c>
      <c r="C10295" s="2" t="str">
        <f>"BR"</f>
        <v>BR</v>
      </c>
      <c r="D10295" s="7">
        <v>808</v>
      </c>
      <c r="E10295" s="3">
        <v>10</v>
      </c>
      <c r="F10295" s="3">
        <v>10</v>
      </c>
      <c r="G10295" t="s">
        <v>514</v>
      </c>
    </row>
    <row r="10296" spans="1:7" x14ac:dyDescent="0.25">
      <c r="A10296" s="1" t="str">
        <f>"503112"</f>
        <v>503112</v>
      </c>
      <c r="B10296" s="2" t="str">
        <f>"ESPIGAO PVC 1/2"</f>
        <v>ESPIGAO PVC 1/2</v>
      </c>
      <c r="C10296" s="2" t="str">
        <f>"BR"</f>
        <v>BR</v>
      </c>
      <c r="D10296" s="7">
        <v>808</v>
      </c>
      <c r="E10296" s="3">
        <v>10</v>
      </c>
      <c r="F10296" s="3">
        <v>10</v>
      </c>
      <c r="G10296" t="s">
        <v>514</v>
      </c>
    </row>
    <row r="10297" spans="1:7" x14ac:dyDescent="0.25">
      <c r="A10297" s="1" t="str">
        <f>"503113"</f>
        <v>503113</v>
      </c>
      <c r="B10297" s="2" t="str">
        <f>"ESPIGAO PVC 3/4"</f>
        <v>ESPIGAO PVC 3/4</v>
      </c>
      <c r="C10297" s="2" t="str">
        <f>"BR"</f>
        <v>BR</v>
      </c>
      <c r="D10297" s="7">
        <v>808</v>
      </c>
      <c r="E10297" s="3">
        <v>10</v>
      </c>
      <c r="F10297" s="3">
        <v>10</v>
      </c>
      <c r="G10297" t="s">
        <v>513</v>
      </c>
    </row>
    <row r="10298" spans="1:7" x14ac:dyDescent="0.25">
      <c r="A10298" s="1" t="str">
        <f>"503114"</f>
        <v>503114</v>
      </c>
      <c r="B10298" s="2" t="str">
        <f>"ESPIGAO PVC 3/8"</f>
        <v>ESPIGAO PVC 3/8</v>
      </c>
      <c r="C10298" s="2" t="str">
        <f>"BR"</f>
        <v>BR</v>
      </c>
      <c r="D10298" s="7">
        <v>808</v>
      </c>
      <c r="E10298" s="3">
        <v>10</v>
      </c>
      <c r="F10298" s="3">
        <v>10</v>
      </c>
      <c r="G10298" t="s">
        <v>512</v>
      </c>
    </row>
    <row r="10299" spans="1:7" x14ac:dyDescent="0.25">
      <c r="A10299" s="1" t="str">
        <f>"516278"</f>
        <v>516278</v>
      </c>
      <c r="B10299" s="2" t="str">
        <f>"ESPIRAL 1/2"" PT HELLERMAN"</f>
        <v>ESPIRAL 1/2" PT HELLERMAN</v>
      </c>
      <c r="C10299" s="2" t="str">
        <f>"MT"</f>
        <v>MT</v>
      </c>
      <c r="D10299" s="7">
        <v>811</v>
      </c>
      <c r="E10299" s="3">
        <v>8</v>
      </c>
      <c r="F10299" s="3">
        <v>8</v>
      </c>
      <c r="G10299" t="s">
        <v>513</v>
      </c>
    </row>
    <row r="10300" spans="1:7" x14ac:dyDescent="0.25">
      <c r="A10300" s="1" t="str">
        <f>"511989"</f>
        <v>511989</v>
      </c>
      <c r="B10300" s="2" t="str">
        <f>"ESPIRAL 1/8"" PT HELLERMAN"</f>
        <v>ESPIRAL 1/8" PT HELLERMAN</v>
      </c>
      <c r="C10300" s="2" t="str">
        <f>"UN"</f>
        <v>UN</v>
      </c>
      <c r="D10300" s="7">
        <v>601</v>
      </c>
      <c r="E10300" s="3">
        <v>8</v>
      </c>
      <c r="F10300" s="3">
        <v>8</v>
      </c>
      <c r="G10300" t="s">
        <v>514</v>
      </c>
    </row>
    <row r="10301" spans="1:7" x14ac:dyDescent="0.25">
      <c r="A10301" s="1" t="str">
        <f>"511285"</f>
        <v>511285</v>
      </c>
      <c r="B10301" s="2" t="str">
        <f>"ESPIRAL 3/4"" PT HELLERMAN"</f>
        <v>ESPIRAL 3/4" PT HELLERMAN</v>
      </c>
      <c r="C10301" s="2" t="str">
        <f>"UN"</f>
        <v>UN</v>
      </c>
      <c r="D10301" s="7">
        <v>600</v>
      </c>
      <c r="E10301" s="3">
        <v>8</v>
      </c>
      <c r="F10301" s="3">
        <v>8</v>
      </c>
      <c r="G10301" t="s">
        <v>514</v>
      </c>
    </row>
    <row r="10302" spans="1:7" x14ac:dyDescent="0.25">
      <c r="A10302" s="1" t="str">
        <f>"512495"</f>
        <v>512495</v>
      </c>
      <c r="B10302" s="2" t="str">
        <f>"ESPIRAL 3/4"" PT HELLERMAN"</f>
        <v>ESPIRAL 3/4" PT HELLERMAN</v>
      </c>
      <c r="C10302" s="2" t="str">
        <f>"UN"</f>
        <v>UN</v>
      </c>
      <c r="D10302" s="7">
        <v>600</v>
      </c>
      <c r="E10302" s="3">
        <v>8</v>
      </c>
      <c r="F10302" s="3">
        <v>8</v>
      </c>
      <c r="G10302" t="s">
        <v>514</v>
      </c>
    </row>
    <row r="10303" spans="1:7" x14ac:dyDescent="0.25">
      <c r="A10303" s="1" t="str">
        <f>"523470"</f>
        <v>523470</v>
      </c>
      <c r="B10303" s="2" t="str">
        <f>"ESPIRAL PARA 150 FOLHAS"</f>
        <v>ESPIRAL PARA 150 FOLHAS</v>
      </c>
      <c r="C10303" s="2" t="str">
        <f>"UN"</f>
        <v>UN</v>
      </c>
      <c r="D10303" s="7">
        <v>99999</v>
      </c>
      <c r="E10303" s="3">
        <v>99</v>
      </c>
      <c r="F10303" s="3">
        <v>99</v>
      </c>
      <c r="G10303" t="s">
        <v>513</v>
      </c>
    </row>
    <row r="10304" spans="1:7" x14ac:dyDescent="0.25">
      <c r="A10304" s="1" t="str">
        <f>"524913"</f>
        <v>524913</v>
      </c>
      <c r="B10304" s="2" t="str">
        <f>"ESPIRAL PARA FIO 3/8- 8MM PT"</f>
        <v>ESPIRAL PARA FIO 3/8- 8MM PT</v>
      </c>
      <c r="C10304" s="2" t="str">
        <f>"MT"</f>
        <v>MT</v>
      </c>
      <c r="D10304" s="7">
        <v>602</v>
      </c>
      <c r="E10304" s="3">
        <v>8</v>
      </c>
      <c r="F10304" s="3">
        <v>8</v>
      </c>
      <c r="G10304" t="s">
        <v>513</v>
      </c>
    </row>
    <row r="10305" spans="1:7" x14ac:dyDescent="0.25">
      <c r="A10305" s="1" t="str">
        <f>"515996"</f>
        <v>515996</v>
      </c>
      <c r="B10305" s="2" t="str">
        <f>"ESPIRAL PU 45X5,0 TBB TERM 1/4"""</f>
        <v>ESPIRAL PU 45X5,0 TBB TERM 1/4"</v>
      </c>
      <c r="C10305" s="2" t="str">
        <f t="shared" ref="C10305:C10324" si="400">"UN"</f>
        <v>UN</v>
      </c>
      <c r="D10305" s="7">
        <v>913</v>
      </c>
      <c r="E10305" s="3">
        <v>11</v>
      </c>
      <c r="F10305" s="3">
        <v>11</v>
      </c>
      <c r="G10305" t="s">
        <v>513</v>
      </c>
    </row>
    <row r="10306" spans="1:7" x14ac:dyDescent="0.25">
      <c r="A10306" s="1" t="str">
        <f>"508386"</f>
        <v>508386</v>
      </c>
      <c r="B10306" s="2" t="str">
        <f>"ESPONJA DE LIMPEZA"</f>
        <v>ESPONJA DE LIMPEZA</v>
      </c>
      <c r="C10306" s="2" t="str">
        <f t="shared" si="400"/>
        <v>UN</v>
      </c>
      <c r="D10306" s="7">
        <v>99999</v>
      </c>
      <c r="E10306" s="3">
        <v>99</v>
      </c>
      <c r="F10306" s="3">
        <v>99</v>
      </c>
      <c r="G10306" t="s">
        <v>512</v>
      </c>
    </row>
    <row r="10307" spans="1:7" x14ac:dyDescent="0.25">
      <c r="A10307" s="1" t="str">
        <f>"517295"</f>
        <v>517295</v>
      </c>
      <c r="B10307" s="2" t="str">
        <f>"ESPONJA LIXA GRANA 80"</f>
        <v>ESPONJA LIXA GRANA 80</v>
      </c>
      <c r="C10307" s="2" t="str">
        <f t="shared" si="400"/>
        <v>UN</v>
      </c>
      <c r="D10307" s="7">
        <v>918</v>
      </c>
      <c r="E10307" s="3">
        <v>4</v>
      </c>
      <c r="F10307" s="3">
        <v>4</v>
      </c>
      <c r="G10307" t="s">
        <v>513</v>
      </c>
    </row>
    <row r="10308" spans="1:7" x14ac:dyDescent="0.25">
      <c r="A10308" s="1" t="str">
        <f>"521614"</f>
        <v>521614</v>
      </c>
      <c r="B10308" s="2" t="str">
        <f>"ESPONJA NEUTRALIZANTE 3M 10ML TAMPONADOR SSL10NB CX C/100 UN"</f>
        <v>ESPONJA NEUTRALIZANTE 3M 10ML TAMPONADOR SSL10NB CX C/100 UN</v>
      </c>
      <c r="C10308" s="2" t="str">
        <f t="shared" si="400"/>
        <v>UN</v>
      </c>
      <c r="D10308" s="7">
        <v>406</v>
      </c>
      <c r="E10308" s="3">
        <v>4</v>
      </c>
      <c r="F10308" s="3">
        <v>4</v>
      </c>
      <c r="G10308" t="s">
        <v>514</v>
      </c>
    </row>
    <row r="10309" spans="1:7" x14ac:dyDescent="0.25">
      <c r="A10309" s="1" t="str">
        <f>"500618"</f>
        <v>500618</v>
      </c>
      <c r="B10309" s="2" t="str">
        <f>"ESPONJA SCOT-BRITE CJ.C/3"</f>
        <v>ESPONJA SCOT-BRITE CJ.C/3</v>
      </c>
      <c r="C10309" s="2" t="str">
        <f t="shared" si="400"/>
        <v>UN</v>
      </c>
      <c r="D10309" s="7">
        <v>403</v>
      </c>
      <c r="E10309" s="3">
        <v>4</v>
      </c>
      <c r="F10309" s="3">
        <v>4</v>
      </c>
      <c r="G10309" t="s">
        <v>515</v>
      </c>
    </row>
    <row r="10310" spans="1:7" x14ac:dyDescent="0.25">
      <c r="A10310" s="1" t="str">
        <f>"516453"</f>
        <v>516453</v>
      </c>
      <c r="B10310" s="2" t="str">
        <f>"ESPREMEDOR DJC 127V BRANCO DELLAR"</f>
        <v>ESPREMEDOR DJC 127V BRANCO DELLAR</v>
      </c>
      <c r="C10310" s="2" t="str">
        <f t="shared" si="400"/>
        <v>UN</v>
      </c>
      <c r="D10310" s="7">
        <v>1200</v>
      </c>
      <c r="E10310" s="3">
        <v>4</v>
      </c>
      <c r="F10310" s="3">
        <v>4</v>
      </c>
      <c r="G10310" t="s">
        <v>512</v>
      </c>
    </row>
    <row r="10311" spans="1:7" x14ac:dyDescent="0.25">
      <c r="A10311" s="1" t="str">
        <f>"513417"</f>
        <v>513417</v>
      </c>
      <c r="B10311" s="2" t="str">
        <f>"ESPUDE PARA VASO SANITARIO"</f>
        <v>ESPUDE PARA VASO SANITARIO</v>
      </c>
      <c r="C10311" s="2" t="str">
        <f t="shared" si="400"/>
        <v>UN</v>
      </c>
      <c r="D10311" s="7">
        <v>803</v>
      </c>
      <c r="E10311" s="3">
        <v>4</v>
      </c>
      <c r="F10311" s="3">
        <v>4</v>
      </c>
      <c r="G10311" t="s">
        <v>516</v>
      </c>
    </row>
    <row r="10312" spans="1:7" x14ac:dyDescent="0.25">
      <c r="A10312" s="1" t="str">
        <f>"514441"</f>
        <v>514441</v>
      </c>
      <c r="B10312" s="2" t="str">
        <f>"ESPUMA"</f>
        <v>ESPUMA</v>
      </c>
      <c r="C10312" s="2" t="str">
        <f t="shared" si="400"/>
        <v>UN</v>
      </c>
      <c r="D10312" s="7">
        <v>401</v>
      </c>
      <c r="E10312" s="3">
        <v>4</v>
      </c>
      <c r="F10312" s="3">
        <v>4</v>
      </c>
      <c r="G10312" t="s">
        <v>515</v>
      </c>
    </row>
    <row r="10313" spans="1:7" x14ac:dyDescent="0.25">
      <c r="A10313" s="1" t="str">
        <f>"518819"</f>
        <v>518819</v>
      </c>
      <c r="B10313" s="2" t="str">
        <f>"ESPUMA 1900 X50X50MM"</f>
        <v>ESPUMA 1900 X50X50MM</v>
      </c>
      <c r="C10313" s="2" t="str">
        <f t="shared" si="400"/>
        <v>UN</v>
      </c>
      <c r="D10313" s="7">
        <v>811</v>
      </c>
      <c r="E10313" s="3">
        <v>8</v>
      </c>
      <c r="F10313" s="3">
        <v>8</v>
      </c>
      <c r="G10313" t="s">
        <v>514</v>
      </c>
    </row>
    <row r="10314" spans="1:7" x14ac:dyDescent="0.25">
      <c r="A10314" s="1" t="str">
        <f>"505124"</f>
        <v>505124</v>
      </c>
      <c r="B10314" s="2" t="str">
        <f>"ESPUMA DE POLIURETANO"</f>
        <v>ESPUMA DE POLIURETANO</v>
      </c>
      <c r="C10314" s="2" t="str">
        <f t="shared" si="400"/>
        <v>UN</v>
      </c>
      <c r="D10314" s="7">
        <v>803</v>
      </c>
      <c r="E10314" s="3">
        <v>10</v>
      </c>
      <c r="F10314" s="3">
        <v>10</v>
      </c>
      <c r="G10314" t="s">
        <v>512</v>
      </c>
    </row>
    <row r="10315" spans="1:7" x14ac:dyDescent="0.25">
      <c r="A10315" s="1" t="str">
        <f>"512083"</f>
        <v>512083</v>
      </c>
      <c r="B10315" s="2" t="str">
        <f>"ESPUMA DENSID. 33 ALTURA 17CM RETALHADA"</f>
        <v>ESPUMA DENSID. 33 ALTURA 17CM RETALHADA</v>
      </c>
      <c r="C10315" s="2" t="str">
        <f t="shared" si="400"/>
        <v>UN</v>
      </c>
      <c r="D10315" s="7">
        <v>803</v>
      </c>
      <c r="E10315" s="3">
        <v>10</v>
      </c>
      <c r="F10315" s="3">
        <v>10</v>
      </c>
      <c r="G10315" t="s">
        <v>513</v>
      </c>
    </row>
    <row r="10316" spans="1:7" x14ac:dyDescent="0.25">
      <c r="A10316" s="1" t="str">
        <f>"525317"</f>
        <v>525317</v>
      </c>
      <c r="B10316" s="2" t="str">
        <f>"ESPUMA EM TIRAS 50MM X 50MM X 2MT"</f>
        <v>ESPUMA EM TIRAS 50MM X 50MM X 2MT</v>
      </c>
      <c r="C10316" s="2" t="str">
        <f t="shared" si="400"/>
        <v>UN</v>
      </c>
      <c r="D10316" s="7">
        <v>99999</v>
      </c>
      <c r="E10316" s="3">
        <v>99</v>
      </c>
      <c r="F10316" s="3">
        <v>99</v>
      </c>
      <c r="G10316" t="s">
        <v>514</v>
      </c>
    </row>
    <row r="10317" spans="1:7" x14ac:dyDescent="0.25">
      <c r="A10317" s="1" t="str">
        <f>"514442"</f>
        <v>514442</v>
      </c>
      <c r="B10317" s="2" t="str">
        <f>"ESPUMA ENCOSTO"</f>
        <v>ESPUMA ENCOSTO</v>
      </c>
      <c r="C10317" s="2" t="str">
        <f t="shared" si="400"/>
        <v>UN</v>
      </c>
      <c r="D10317" s="7">
        <v>401</v>
      </c>
      <c r="E10317" s="3">
        <v>4</v>
      </c>
      <c r="F10317" s="3">
        <v>4</v>
      </c>
      <c r="G10317" t="s">
        <v>514</v>
      </c>
    </row>
    <row r="10318" spans="1:7" x14ac:dyDescent="0.25">
      <c r="A10318" s="1" t="str">
        <f>"504829"</f>
        <v>504829</v>
      </c>
      <c r="B10318" s="2" t="str">
        <f>"ESPUMA EXPANSIVA"</f>
        <v>ESPUMA EXPANSIVA</v>
      </c>
      <c r="C10318" s="2" t="str">
        <f t="shared" si="400"/>
        <v>UN</v>
      </c>
      <c r="D10318" s="7">
        <v>704</v>
      </c>
      <c r="E10318" s="3">
        <v>9</v>
      </c>
      <c r="F10318" s="3">
        <v>9</v>
      </c>
      <c r="G10318" t="s">
        <v>512</v>
      </c>
    </row>
    <row r="10319" spans="1:7" x14ac:dyDescent="0.25">
      <c r="A10319" s="1" t="str">
        <f>"526599"</f>
        <v>526599</v>
      </c>
      <c r="B10319" s="2" t="str">
        <f>"ESPUMA ISOLANTE TÉRMICA PYROSIT"</f>
        <v>ESPUMA ISOLANTE TÉRMICA PYROSIT</v>
      </c>
      <c r="C10319" s="2" t="str">
        <f t="shared" si="400"/>
        <v>UN</v>
      </c>
      <c r="D10319" s="7">
        <v>803</v>
      </c>
      <c r="E10319" s="3">
        <v>10</v>
      </c>
      <c r="F10319" s="3">
        <v>10</v>
      </c>
      <c r="G10319" t="s">
        <v>513</v>
      </c>
    </row>
    <row r="10320" spans="1:7" x14ac:dyDescent="0.25">
      <c r="A10320" s="1" t="str">
        <f>"5842"</f>
        <v>5842</v>
      </c>
      <c r="B10320" s="2" t="str">
        <f>"ESPUMANTE ALCLOR F 4X5"</f>
        <v>ESPUMANTE ALCLOR F 4X5</v>
      </c>
      <c r="C10320" s="2" t="str">
        <f t="shared" si="400"/>
        <v>UN</v>
      </c>
      <c r="D10320" s="7">
        <v>401</v>
      </c>
      <c r="E10320" s="3">
        <v>4</v>
      </c>
      <c r="F10320" s="3">
        <v>4</v>
      </c>
      <c r="G10320" t="s">
        <v>514</v>
      </c>
    </row>
    <row r="10321" spans="1:7" x14ac:dyDescent="0.25">
      <c r="A10321" s="1" t="str">
        <f>"519394"</f>
        <v>519394</v>
      </c>
      <c r="B10321" s="2" t="str">
        <f>"ESPUMANTE CAVE AMADEU BRUT 750ML"</f>
        <v>ESPUMANTE CAVE AMADEU BRUT 750ML</v>
      </c>
      <c r="C10321" s="2" t="str">
        <f t="shared" si="400"/>
        <v>UN</v>
      </c>
      <c r="D10321" s="7">
        <v>99999</v>
      </c>
      <c r="E10321" s="3">
        <v>99</v>
      </c>
      <c r="F10321" s="3">
        <v>99</v>
      </c>
      <c r="G10321" t="s">
        <v>514</v>
      </c>
    </row>
    <row r="10322" spans="1:7" x14ac:dyDescent="0.25">
      <c r="A10322" s="1" t="str">
        <f>"519395"</f>
        <v>519395</v>
      </c>
      <c r="B10322" s="2" t="str">
        <f>"ESPUMANTE FREIXENET XB BRUT 750ML"</f>
        <v>ESPUMANTE FREIXENET XB BRUT 750ML</v>
      </c>
      <c r="C10322" s="2" t="str">
        <f t="shared" si="400"/>
        <v>UN</v>
      </c>
      <c r="D10322" s="7">
        <v>99999</v>
      </c>
      <c r="E10322" s="3">
        <v>99</v>
      </c>
      <c r="F10322" s="3">
        <v>99</v>
      </c>
      <c r="G10322" t="s">
        <v>514</v>
      </c>
    </row>
    <row r="10323" spans="1:7" x14ac:dyDescent="0.25">
      <c r="A10323" s="1" t="str">
        <f>"513967"</f>
        <v>513967</v>
      </c>
      <c r="B10323" s="2" t="str">
        <f>"ESPUMANTE PROSECO CASERE DOC"</f>
        <v>ESPUMANTE PROSECO CASERE DOC</v>
      </c>
      <c r="C10323" s="2" t="str">
        <f t="shared" si="400"/>
        <v>UN</v>
      </c>
      <c r="D10323" s="7">
        <v>99999</v>
      </c>
      <c r="E10323" s="3">
        <v>99</v>
      </c>
      <c r="F10323" s="3">
        <v>99</v>
      </c>
      <c r="G10323" t="s">
        <v>513</v>
      </c>
    </row>
    <row r="10324" spans="1:7" x14ac:dyDescent="0.25">
      <c r="A10324" s="1" t="str">
        <f>"515818"</f>
        <v>515818</v>
      </c>
      <c r="B10324" s="2" t="str">
        <f>"ESQUADRO"</f>
        <v>ESQUADRO</v>
      </c>
      <c r="C10324" s="2" t="str">
        <f t="shared" si="400"/>
        <v>UN</v>
      </c>
      <c r="D10324" s="7">
        <v>99999</v>
      </c>
      <c r="E10324" s="3">
        <v>99</v>
      </c>
      <c r="F10324" s="3">
        <v>99</v>
      </c>
      <c r="G10324" t="s">
        <v>512</v>
      </c>
    </row>
    <row r="10325" spans="1:7" x14ac:dyDescent="0.25">
      <c r="A10325" s="1" t="str">
        <f>"526754"</f>
        <v>526754</v>
      </c>
      <c r="B10325" s="2" t="str">
        <f>"ESQUADRO VAME-P1-A"</f>
        <v>ESQUADRO VAME-P1-A</v>
      </c>
      <c r="C10325" s="2" t="str">
        <f>"PÇ"</f>
        <v>PÇ</v>
      </c>
      <c r="D10325" s="7">
        <v>808</v>
      </c>
      <c r="E10325" s="3">
        <v>11</v>
      </c>
      <c r="F10325" s="3">
        <v>11</v>
      </c>
      <c r="G10325" t="s">
        <v>513</v>
      </c>
    </row>
    <row r="10326" spans="1:7" x14ac:dyDescent="0.25">
      <c r="A10326" s="1" t="str">
        <f>"510302"</f>
        <v>510302</v>
      </c>
      <c r="B10326" s="2" t="str">
        <f>"ESQUEIRO BIC"</f>
        <v>ESQUEIRO BIC</v>
      </c>
      <c r="C10326" s="2" t="str">
        <f>"UN"</f>
        <v>UN</v>
      </c>
      <c r="D10326" s="7">
        <v>402</v>
      </c>
      <c r="E10326" s="3">
        <v>4</v>
      </c>
      <c r="F10326" s="3">
        <v>4</v>
      </c>
      <c r="G10326" t="s">
        <v>514</v>
      </c>
    </row>
    <row r="10327" spans="1:7" x14ac:dyDescent="0.25">
      <c r="A10327" s="1" t="str">
        <f>"6351"</f>
        <v>6351</v>
      </c>
      <c r="B10327" s="2" t="str">
        <f>"ESSENCIA BAUNILHA CITRICA BEVFOODS 7207"</f>
        <v>ESSENCIA BAUNILHA CITRICA BEVFOODS 7207</v>
      </c>
      <c r="C10327" s="2" t="str">
        <f>"KG"</f>
        <v>KG</v>
      </c>
      <c r="D10327" s="7">
        <v>206</v>
      </c>
      <c r="E10327" s="3">
        <v>2</v>
      </c>
      <c r="F10327" s="3">
        <v>2</v>
      </c>
      <c r="G10327" t="s">
        <v>514</v>
      </c>
    </row>
    <row r="10328" spans="1:7" x14ac:dyDescent="0.25">
      <c r="A10328" s="1" t="str">
        <f>"6352"</f>
        <v>6352</v>
      </c>
      <c r="B10328" s="2" t="str">
        <f>"ESSENCIA BAUNILHA CITRICA LPA - 81 .089"</f>
        <v>ESSENCIA BAUNILHA CITRICA LPA - 81 .089</v>
      </c>
      <c r="C10328" s="2" t="str">
        <f>"KG"</f>
        <v>KG</v>
      </c>
      <c r="D10328" s="7">
        <v>206</v>
      </c>
      <c r="E10328" s="3">
        <v>2</v>
      </c>
      <c r="F10328" s="3">
        <v>2</v>
      </c>
      <c r="G10328" t="s">
        <v>514</v>
      </c>
    </row>
    <row r="10329" spans="1:7" x14ac:dyDescent="0.25">
      <c r="A10329" s="1" t="str">
        <f>"834"</f>
        <v>834</v>
      </c>
      <c r="B10329" s="2" t="str">
        <f>"ESSENCIA DE AMEIXA CAROLINA 7235"</f>
        <v>ESSENCIA DE AMEIXA CAROLINA 7235</v>
      </c>
      <c r="C10329" s="2" t="str">
        <f>"KG"</f>
        <v>KG</v>
      </c>
      <c r="D10329" s="7">
        <v>206</v>
      </c>
      <c r="E10329" s="3">
        <v>2</v>
      </c>
      <c r="F10329" s="3">
        <v>2</v>
      </c>
      <c r="G10329" t="s">
        <v>513</v>
      </c>
    </row>
    <row r="10330" spans="1:7" x14ac:dyDescent="0.25">
      <c r="A10330" s="1" t="str">
        <f>"5905"</f>
        <v>5905</v>
      </c>
      <c r="B10330" s="2" t="str">
        <f>"ESSENCIA DE BAUNILHA COD. 546496T - FERMENICH"</f>
        <v>ESSENCIA DE BAUNILHA COD. 546496T - FERMENICH</v>
      </c>
      <c r="C10330" s="2" t="str">
        <f>"kg"</f>
        <v>kg</v>
      </c>
      <c r="D10330" s="7">
        <v>206</v>
      </c>
      <c r="E10330" s="3">
        <v>2</v>
      </c>
      <c r="F10330" s="3">
        <v>2</v>
      </c>
      <c r="G10330" t="s">
        <v>513</v>
      </c>
    </row>
    <row r="10331" spans="1:7" x14ac:dyDescent="0.25">
      <c r="A10331" s="1" t="str">
        <f>"6098"</f>
        <v>6098</v>
      </c>
      <c r="B10331" s="2" t="str">
        <f>"ESSENCIA DE BAUNILHA COD. 7286"</f>
        <v>ESSENCIA DE BAUNILHA COD. 7286</v>
      </c>
      <c r="C10331" s="2" t="str">
        <f>"KG"</f>
        <v>KG</v>
      </c>
      <c r="D10331" s="7">
        <v>206</v>
      </c>
      <c r="E10331" s="3">
        <v>2</v>
      </c>
      <c r="F10331" s="3">
        <v>2</v>
      </c>
      <c r="G10331" t="s">
        <v>513</v>
      </c>
    </row>
    <row r="10332" spans="1:7" x14ac:dyDescent="0.25">
      <c r="A10332" s="1" t="str">
        <f>"514979"</f>
        <v>514979</v>
      </c>
      <c r="B10332" s="2" t="str">
        <f>"ESSENCIA DE BAUNILHA PETIT CHOCOLATE 7286"</f>
        <v>ESSENCIA DE BAUNILHA PETIT CHOCOLATE 7286</v>
      </c>
      <c r="C10332" s="2" t="str">
        <f>"kg"</f>
        <v>kg</v>
      </c>
      <c r="D10332" s="7">
        <v>206</v>
      </c>
      <c r="E10332" s="3">
        <v>2</v>
      </c>
      <c r="F10332" s="3">
        <v>2</v>
      </c>
      <c r="G10332" t="s">
        <v>512</v>
      </c>
    </row>
    <row r="10333" spans="1:7" x14ac:dyDescent="0.25">
      <c r="A10333" s="1" t="str">
        <f>"515915"</f>
        <v>515915</v>
      </c>
      <c r="B10333" s="2" t="str">
        <f>"ESSÊNCIA DE BLUEBERRY CÓD. LT7270"</f>
        <v>ESSÊNCIA DE BLUEBERRY CÓD. LT7270</v>
      </c>
      <c r="C10333" s="2" t="str">
        <f>"kg"</f>
        <v>kg</v>
      </c>
      <c r="D10333" s="7">
        <v>206</v>
      </c>
      <c r="E10333" s="3">
        <v>2</v>
      </c>
      <c r="F10333" s="3">
        <v>2</v>
      </c>
      <c r="G10333" t="s">
        <v>513</v>
      </c>
    </row>
    <row r="10334" spans="1:7" x14ac:dyDescent="0.25">
      <c r="A10334" s="1" t="str">
        <f>"6099"</f>
        <v>6099</v>
      </c>
      <c r="B10334" s="2" t="str">
        <f>"ESSENCIA DE CEREJA COD. 7285"</f>
        <v>ESSENCIA DE CEREJA COD. 7285</v>
      </c>
      <c r="C10334" s="2" t="str">
        <f>"KG"</f>
        <v>KG</v>
      </c>
      <c r="D10334" s="7">
        <v>206</v>
      </c>
      <c r="E10334" s="3">
        <v>2</v>
      </c>
      <c r="F10334" s="3">
        <v>2</v>
      </c>
      <c r="G10334" t="s">
        <v>514</v>
      </c>
    </row>
    <row r="10335" spans="1:7" x14ac:dyDescent="0.25">
      <c r="A10335" s="1" t="str">
        <f>"742"</f>
        <v>742</v>
      </c>
      <c r="B10335" s="2" t="str">
        <f>"ESSENCIA DE CHEAM CHEESE LT-7332 FLAN - BEVFOODS"</f>
        <v>ESSENCIA DE CHEAM CHEESE LT-7332 FLAN - BEVFOODS</v>
      </c>
      <c r="C10335" s="2" t="str">
        <f>"KG"</f>
        <v>KG</v>
      </c>
      <c r="D10335" s="7">
        <v>206</v>
      </c>
      <c r="E10335" s="3">
        <v>2</v>
      </c>
      <c r="F10335" s="3">
        <v>2</v>
      </c>
      <c r="G10335" t="s">
        <v>515</v>
      </c>
    </row>
    <row r="10336" spans="1:7" x14ac:dyDescent="0.25">
      <c r="A10336" s="1" t="str">
        <f>"5906"</f>
        <v>5906</v>
      </c>
      <c r="B10336" s="2" t="str">
        <f>"ESSENCIA DE CHOCOLATE COD. 599258T - FERMENICH"</f>
        <v>ESSENCIA DE CHOCOLATE COD. 599258T - FERMENICH</v>
      </c>
      <c r="C10336" s="2" t="str">
        <f>"kg"</f>
        <v>kg</v>
      </c>
      <c r="D10336" s="7">
        <v>206</v>
      </c>
      <c r="E10336" s="3">
        <v>2</v>
      </c>
      <c r="F10336" s="3">
        <v>2</v>
      </c>
      <c r="G10336" t="s">
        <v>512</v>
      </c>
    </row>
    <row r="10337" spans="1:7" x14ac:dyDescent="0.25">
      <c r="A10337" s="1" t="str">
        <f>"7127"</f>
        <v>7127</v>
      </c>
      <c r="B10337" s="2" t="str">
        <f>"ESSENCIA DE CHOCOLATE COD. 7276"</f>
        <v>ESSENCIA DE CHOCOLATE COD. 7276</v>
      </c>
      <c r="C10337" s="2" t="str">
        <f>"kg"</f>
        <v>kg</v>
      </c>
      <c r="D10337" s="7">
        <v>206</v>
      </c>
      <c r="E10337" s="3">
        <v>2</v>
      </c>
      <c r="F10337" s="3">
        <v>2</v>
      </c>
      <c r="G10337" t="s">
        <v>516</v>
      </c>
    </row>
    <row r="10338" spans="1:7" x14ac:dyDescent="0.25">
      <c r="A10338" s="1" t="str">
        <f>"211"</f>
        <v>211</v>
      </c>
      <c r="B10338" s="2" t="str">
        <f>"ESSENCIA DE COCO - COD. 7210"</f>
        <v>ESSENCIA DE COCO - COD. 7210</v>
      </c>
      <c r="C10338" s="2" t="str">
        <f>"KG"</f>
        <v>KG</v>
      </c>
      <c r="D10338" s="7">
        <v>206</v>
      </c>
      <c r="E10338" s="3">
        <v>2</v>
      </c>
      <c r="F10338" s="3">
        <v>2</v>
      </c>
      <c r="G10338" t="s">
        <v>515</v>
      </c>
    </row>
    <row r="10339" spans="1:7" x14ac:dyDescent="0.25">
      <c r="A10339" s="1" t="str">
        <f>"6043"</f>
        <v>6043</v>
      </c>
      <c r="B10339" s="2" t="str">
        <f>"ESSENCIA DE FRAMBOESA COD. CAROLINA 59"</f>
        <v>ESSENCIA DE FRAMBOESA COD. CAROLINA 59</v>
      </c>
      <c r="C10339" s="2" t="str">
        <f>"LT"</f>
        <v>LT</v>
      </c>
      <c r="D10339" s="7">
        <v>206</v>
      </c>
      <c r="E10339" s="3">
        <v>2</v>
      </c>
      <c r="F10339" s="3">
        <v>2</v>
      </c>
      <c r="G10339" t="s">
        <v>514</v>
      </c>
    </row>
    <row r="10340" spans="1:7" x14ac:dyDescent="0.25">
      <c r="A10340" s="1" t="str">
        <f>"832"</f>
        <v>832</v>
      </c>
      <c r="B10340" s="2" t="str">
        <f>"ESSENCIA DE FRUTAS AMARELAS"</f>
        <v>ESSENCIA DE FRUTAS AMARELAS</v>
      </c>
      <c r="C10340" s="2" t="str">
        <f>"KG"</f>
        <v>KG</v>
      </c>
      <c r="D10340" s="7">
        <v>206</v>
      </c>
      <c r="E10340" s="3">
        <v>2</v>
      </c>
      <c r="F10340" s="3">
        <v>2</v>
      </c>
      <c r="G10340" t="s">
        <v>512</v>
      </c>
    </row>
    <row r="10341" spans="1:7" x14ac:dyDescent="0.25">
      <c r="A10341" s="1" t="str">
        <f>"316"</f>
        <v>316</v>
      </c>
      <c r="B10341" s="2" t="str">
        <f>"ESSENCIA DE FRUTAS VERMELHAS"</f>
        <v>ESSENCIA DE FRUTAS VERMELHAS</v>
      </c>
      <c r="C10341" s="2" t="str">
        <f>"KG"</f>
        <v>KG</v>
      </c>
      <c r="D10341" s="7">
        <v>206</v>
      </c>
      <c r="E10341" s="3">
        <v>2</v>
      </c>
      <c r="F10341" s="3">
        <v>2</v>
      </c>
      <c r="G10341" t="s">
        <v>513</v>
      </c>
    </row>
    <row r="10342" spans="1:7" x14ac:dyDescent="0.25">
      <c r="A10342" s="1" t="str">
        <f>"6123"</f>
        <v>6123</v>
      </c>
      <c r="B10342" s="2" t="str">
        <f>"ESSENCIA DE GOIABA COD. CAROLINA 66"</f>
        <v>ESSENCIA DE GOIABA COD. CAROLINA 66</v>
      </c>
      <c r="C10342" s="2" t="str">
        <f>"LT"</f>
        <v>LT</v>
      </c>
      <c r="D10342" s="7">
        <v>206</v>
      </c>
      <c r="E10342" s="3">
        <v>2</v>
      </c>
      <c r="F10342" s="3">
        <v>2</v>
      </c>
      <c r="G10342" t="s">
        <v>514</v>
      </c>
    </row>
    <row r="10343" spans="1:7" x14ac:dyDescent="0.25">
      <c r="A10343" s="1" t="str">
        <f>"6713"</f>
        <v>6713</v>
      </c>
      <c r="B10343" s="2" t="str">
        <f>"ESSENCIA DE GRAVIOLA 7206"</f>
        <v>ESSENCIA DE GRAVIOLA 7206</v>
      </c>
      <c r="C10343" s="2" t="str">
        <f>"KG"</f>
        <v>KG</v>
      </c>
      <c r="D10343" s="7">
        <v>206</v>
      </c>
      <c r="E10343" s="3">
        <v>2</v>
      </c>
      <c r="F10343" s="3">
        <v>2</v>
      </c>
      <c r="G10343" t="s">
        <v>514</v>
      </c>
    </row>
    <row r="10344" spans="1:7" x14ac:dyDescent="0.25">
      <c r="A10344" s="1" t="str">
        <f>"6007"</f>
        <v>6007</v>
      </c>
      <c r="B10344" s="2" t="str">
        <f>"ESSENCIA DE LARANJA COD.57 - CAROLINA"</f>
        <v>ESSENCIA DE LARANJA COD.57 - CAROLINA</v>
      </c>
      <c r="C10344" s="2" t="str">
        <f>"LT"</f>
        <v>LT</v>
      </c>
      <c r="D10344" s="7">
        <v>206</v>
      </c>
      <c r="E10344" s="3">
        <v>2</v>
      </c>
      <c r="F10344" s="3">
        <v>2</v>
      </c>
      <c r="G10344" t="s">
        <v>512</v>
      </c>
    </row>
    <row r="10345" spans="1:7" x14ac:dyDescent="0.25">
      <c r="A10345" s="1" t="str">
        <f>"740"</f>
        <v>740</v>
      </c>
      <c r="B10345" s="2" t="str">
        <f>"ESSENCIA DE MARACUJA - BEVFOODS"</f>
        <v>ESSENCIA DE MARACUJA - BEVFOODS</v>
      </c>
      <c r="C10345" s="2" t="str">
        <f>"kg"</f>
        <v>kg</v>
      </c>
      <c r="D10345" s="7">
        <v>206</v>
      </c>
      <c r="E10345" s="3">
        <v>2</v>
      </c>
      <c r="F10345" s="3">
        <v>2</v>
      </c>
      <c r="G10345" t="s">
        <v>513</v>
      </c>
    </row>
    <row r="10346" spans="1:7" x14ac:dyDescent="0.25">
      <c r="A10346" s="1" t="str">
        <f>"371"</f>
        <v>371</v>
      </c>
      <c r="B10346" s="2" t="str">
        <f>"ESSENCIA DE MEL - COD. 7231"</f>
        <v>ESSENCIA DE MEL - COD. 7231</v>
      </c>
      <c r="C10346" s="2" t="str">
        <f>"KG"</f>
        <v>KG</v>
      </c>
      <c r="D10346" s="7">
        <v>206</v>
      </c>
      <c r="E10346" s="3">
        <v>2</v>
      </c>
      <c r="F10346" s="3">
        <v>2</v>
      </c>
      <c r="G10346" t="s">
        <v>514</v>
      </c>
    </row>
    <row r="10347" spans="1:7" x14ac:dyDescent="0.25">
      <c r="A10347" s="1" t="str">
        <f>"23"</f>
        <v>23</v>
      </c>
      <c r="B10347" s="2" t="str">
        <f>"ESSENCIA DE MORANGO - COD. 7201"</f>
        <v>ESSENCIA DE MORANGO - COD. 7201</v>
      </c>
      <c r="C10347" s="2" t="str">
        <f>"KG"</f>
        <v>KG</v>
      </c>
      <c r="D10347" s="7">
        <v>206</v>
      </c>
      <c r="E10347" s="3">
        <v>2</v>
      </c>
      <c r="F10347" s="3">
        <v>2</v>
      </c>
      <c r="G10347" t="s">
        <v>514</v>
      </c>
    </row>
    <row r="10348" spans="1:7" x14ac:dyDescent="0.25">
      <c r="A10348" s="1" t="str">
        <f>"991"</f>
        <v>991</v>
      </c>
      <c r="B10348" s="2" t="str">
        <f>"ESSENCIA DE MORANGO A-59.184 - MANE"</f>
        <v>ESSENCIA DE MORANGO A-59.184 - MANE</v>
      </c>
      <c r="C10348" s="2" t="str">
        <f>"KG"</f>
        <v>KG</v>
      </c>
      <c r="D10348" s="7">
        <v>206</v>
      </c>
      <c r="E10348" s="3">
        <v>2</v>
      </c>
      <c r="F10348" s="3">
        <v>2</v>
      </c>
      <c r="G10348" t="s">
        <v>514</v>
      </c>
    </row>
    <row r="10349" spans="1:7" x14ac:dyDescent="0.25">
      <c r="A10349" s="1" t="str">
        <f>"5870"</f>
        <v>5870</v>
      </c>
      <c r="B10349" s="2" t="str">
        <f>"ESSENCIA DE MORANGO CBD CÓD.S020"</f>
        <v>ESSENCIA DE MORANGO CBD CÓD.S020</v>
      </c>
      <c r="C10349" s="2" t="str">
        <f>"KG"</f>
        <v>KG</v>
      </c>
      <c r="D10349" s="7">
        <v>206</v>
      </c>
      <c r="E10349" s="3">
        <v>2</v>
      </c>
      <c r="F10349" s="3">
        <v>2</v>
      </c>
      <c r="G10349" t="s">
        <v>513</v>
      </c>
    </row>
    <row r="10350" spans="1:7" x14ac:dyDescent="0.25">
      <c r="A10350" s="1" t="str">
        <f>"836"</f>
        <v>836</v>
      </c>
      <c r="B10350" s="2" t="str">
        <f>"ESSENCIA DE MORANGO COD. LT 73.17 SAQUINHO"</f>
        <v>ESSENCIA DE MORANGO COD. LT 73.17 SAQUINHO</v>
      </c>
      <c r="C10350" s="2" t="str">
        <f>"KG"</f>
        <v>KG</v>
      </c>
      <c r="D10350" s="7">
        <v>206</v>
      </c>
      <c r="E10350" s="3">
        <v>2</v>
      </c>
      <c r="F10350" s="3">
        <v>2</v>
      </c>
      <c r="G10350" t="s">
        <v>512</v>
      </c>
    </row>
    <row r="10351" spans="1:7" x14ac:dyDescent="0.25">
      <c r="A10351" s="1" t="str">
        <f>"3266"</f>
        <v>3266</v>
      </c>
      <c r="B10351" s="2" t="str">
        <f>"ESSENCIA DE MORANGO DUAS RODAS SACO"</f>
        <v>ESSENCIA DE MORANGO DUAS RODAS SACO</v>
      </c>
      <c r="C10351" s="2" t="str">
        <f>"LT"</f>
        <v>LT</v>
      </c>
      <c r="D10351" s="7">
        <v>206</v>
      </c>
      <c r="E10351" s="3">
        <v>2</v>
      </c>
      <c r="F10351" s="3">
        <v>2</v>
      </c>
      <c r="G10351" t="s">
        <v>513</v>
      </c>
    </row>
    <row r="10352" spans="1:7" x14ac:dyDescent="0.25">
      <c r="A10352" s="1" t="str">
        <f>"212"</f>
        <v>212</v>
      </c>
      <c r="B10352" s="2" t="str">
        <f>"ESSENCIA DE PESSEGO - COD. 7209"</f>
        <v>ESSENCIA DE PESSEGO - COD. 7209</v>
      </c>
      <c r="C10352" s="2" t="str">
        <f>"KG"</f>
        <v>KG</v>
      </c>
      <c r="D10352" s="7">
        <v>206</v>
      </c>
      <c r="E10352" s="3">
        <v>2</v>
      </c>
      <c r="F10352" s="3">
        <v>2</v>
      </c>
      <c r="G10352" t="s">
        <v>514</v>
      </c>
    </row>
    <row r="10353" spans="1:7" x14ac:dyDescent="0.25">
      <c r="A10353" s="1" t="str">
        <f>"2642"</f>
        <v>2642</v>
      </c>
      <c r="B10353" s="2" t="str">
        <f>"ESSENCIA DE REQUEIJAO COD 26042"</f>
        <v>ESSENCIA DE REQUEIJAO COD 26042</v>
      </c>
      <c r="C10353" s="2" t="str">
        <f>"KG"</f>
        <v>KG</v>
      </c>
      <c r="D10353" s="7">
        <v>206</v>
      </c>
      <c r="E10353" s="3">
        <v>2</v>
      </c>
      <c r="F10353" s="3">
        <v>2</v>
      </c>
      <c r="G10353" t="s">
        <v>514</v>
      </c>
    </row>
    <row r="10354" spans="1:7" x14ac:dyDescent="0.25">
      <c r="A10354" s="1" t="str">
        <f>"301"</f>
        <v>301</v>
      </c>
      <c r="B10354" s="2" t="str">
        <f>"ESSENCIA NI MORANGO Cód. FER 50.0118 - FERMENTECH"</f>
        <v>ESSENCIA NI MORANGO Cód. FER 50.0118 - FERMENTECH</v>
      </c>
      <c r="C10354" s="2" t="str">
        <f>"KG"</f>
        <v>KG</v>
      </c>
      <c r="D10354" s="7">
        <v>206</v>
      </c>
      <c r="E10354" s="3">
        <v>2</v>
      </c>
      <c r="F10354" s="3">
        <v>2</v>
      </c>
      <c r="G10354" t="s">
        <v>514</v>
      </c>
    </row>
    <row r="10355" spans="1:7" x14ac:dyDescent="0.25">
      <c r="A10355" s="1" t="str">
        <f>"880"</f>
        <v>880</v>
      </c>
      <c r="B10355" s="2" t="str">
        <f>"ESSENCIA PETIT MORANGO - COD. 7204"</f>
        <v>ESSENCIA PETIT MORANGO - COD. 7204</v>
      </c>
      <c r="C10355" s="2" t="str">
        <f>"KG"</f>
        <v>KG</v>
      </c>
      <c r="D10355" s="7">
        <v>206</v>
      </c>
      <c r="E10355" s="3">
        <v>2</v>
      </c>
      <c r="F10355" s="3">
        <v>2</v>
      </c>
      <c r="G10355" t="s">
        <v>513</v>
      </c>
    </row>
    <row r="10356" spans="1:7" x14ac:dyDescent="0.25">
      <c r="A10356" s="1" t="str">
        <f>"AG33021000"</f>
        <v>AG33021000</v>
      </c>
      <c r="B10356" s="2" t="str">
        <f>"ESSENCIAS P/ ALIM. BEBIDA AMOSTRA GRATIS"</f>
        <v>ESSENCIAS P/ ALIM. BEBIDA AMOSTRA GRATIS</v>
      </c>
      <c r="C10356" s="2" t="str">
        <f>"UN"</f>
        <v>UN</v>
      </c>
      <c r="D10356" s="7">
        <v>99999</v>
      </c>
      <c r="E10356" s="3">
        <v>99</v>
      </c>
      <c r="F10356" s="3">
        <v>99</v>
      </c>
      <c r="G10356" t="s">
        <v>513</v>
      </c>
    </row>
    <row r="10357" spans="1:7" x14ac:dyDescent="0.25">
      <c r="A10357" s="1" t="str">
        <f>"513837"</f>
        <v>513837</v>
      </c>
      <c r="B10357" s="2" t="str">
        <f>"ESTABILIZADOR 110V"</f>
        <v>ESTABILIZADOR 110V</v>
      </c>
      <c r="C10357" s="2" t="str">
        <f>"UN"</f>
        <v>UN</v>
      </c>
      <c r="D10357" s="7">
        <v>99999</v>
      </c>
      <c r="E10357" s="3">
        <v>99</v>
      </c>
      <c r="F10357" s="3">
        <v>99</v>
      </c>
      <c r="G10357" t="s">
        <v>513</v>
      </c>
    </row>
    <row r="10358" spans="1:7" x14ac:dyDescent="0.25">
      <c r="A10358" s="1" t="str">
        <f>"517155"</f>
        <v>517155</v>
      </c>
      <c r="B10358" s="2" t="str">
        <f>"ESTABILIZADOR REVOL. SPEED UPS300BI 115 NT S/ ADAPTADOR"</f>
        <v>ESTABILIZADOR REVOL. SPEED UPS300BI 115 NT S/ ADAPTADOR</v>
      </c>
      <c r="C10358" s="2" t="str">
        <f>"UN"</f>
        <v>UN</v>
      </c>
      <c r="D10358" s="7">
        <v>811</v>
      </c>
      <c r="E10358" s="3">
        <v>8</v>
      </c>
      <c r="F10358" s="3">
        <v>8</v>
      </c>
      <c r="G10358" t="s">
        <v>512</v>
      </c>
    </row>
    <row r="10359" spans="1:7" x14ac:dyDescent="0.25">
      <c r="A10359" s="1" t="str">
        <f>"815"</f>
        <v>815</v>
      </c>
      <c r="B10359" s="2" t="str">
        <f>"ESTABILIZANTE CARRAGENA IOTA 1740 - CREME"</f>
        <v>ESTABILIZANTE CARRAGENA IOTA 1740 - CREME</v>
      </c>
      <c r="C10359" s="2" t="str">
        <f t="shared" ref="C10359:C10364" si="401">"KG"</f>
        <v>KG</v>
      </c>
      <c r="D10359" s="7">
        <v>209</v>
      </c>
      <c r="E10359" s="3">
        <v>2</v>
      </c>
      <c r="F10359" s="3">
        <v>2</v>
      </c>
      <c r="G10359" t="s">
        <v>513</v>
      </c>
    </row>
    <row r="10360" spans="1:7" x14ac:dyDescent="0.25">
      <c r="A10360" s="1" t="str">
        <f>"816"</f>
        <v>816</v>
      </c>
      <c r="B10360" s="2" t="str">
        <f>"ESTABILIZANTE DOREMIX BL IB (COPOS MEL,LCM,DUET E PED.FRUTAS"</f>
        <v>ESTABILIZANTE DOREMIX BL IB (COPOS MEL,LCM,DUET E PED.FRUTAS</v>
      </c>
      <c r="C10360" s="2" t="str">
        <f t="shared" si="401"/>
        <v>KG</v>
      </c>
      <c r="D10360" s="7">
        <v>209</v>
      </c>
      <c r="E10360" s="3">
        <v>2</v>
      </c>
      <c r="F10360" s="3">
        <v>2</v>
      </c>
      <c r="G10360" t="s">
        <v>514</v>
      </c>
    </row>
    <row r="10361" spans="1:7" x14ac:dyDescent="0.25">
      <c r="A10361" s="1" t="str">
        <f>"722"</f>
        <v>722</v>
      </c>
      <c r="B10361" s="2" t="str">
        <f>"ESTABILIZANTE DOREMIX NF DOREMUS"</f>
        <v>ESTABILIZANTE DOREMIX NF DOREMUS</v>
      </c>
      <c r="C10361" s="2" t="str">
        <f t="shared" si="401"/>
        <v>KG</v>
      </c>
      <c r="D10361" s="7">
        <v>209</v>
      </c>
      <c r="E10361" s="3">
        <v>2</v>
      </c>
      <c r="F10361" s="3">
        <v>2</v>
      </c>
      <c r="G10361" t="s">
        <v>515</v>
      </c>
    </row>
    <row r="10362" spans="1:7" x14ac:dyDescent="0.25">
      <c r="A10362" s="1" t="str">
        <f>"986"</f>
        <v>986</v>
      </c>
      <c r="B10362" s="2" t="str">
        <f>"ESTABILIZANTE KK IOGEL ZLC 80 - KRAKI (LINHA ZERO)"</f>
        <v>ESTABILIZANTE KK IOGEL ZLC 80 - KRAKI (LINHA ZERO)</v>
      </c>
      <c r="C10362" s="2" t="str">
        <f t="shared" si="401"/>
        <v>KG</v>
      </c>
      <c r="D10362" s="7">
        <v>1102</v>
      </c>
      <c r="E10362" s="3">
        <v>2</v>
      </c>
      <c r="F10362" s="3">
        <v>2</v>
      </c>
      <c r="G10362" t="s">
        <v>512</v>
      </c>
    </row>
    <row r="10363" spans="1:7" x14ac:dyDescent="0.25">
      <c r="A10363" s="1" t="str">
        <f>"5910"</f>
        <v>5910</v>
      </c>
      <c r="B10363" s="2" t="str">
        <f>"ESTABILIZANTE KK IOGEL ZLC 95 - KRAKI"</f>
        <v>ESTABILIZANTE KK IOGEL ZLC 95 - KRAKI</v>
      </c>
      <c r="C10363" s="2" t="str">
        <f t="shared" si="401"/>
        <v>KG</v>
      </c>
      <c r="D10363" s="7">
        <v>1102</v>
      </c>
      <c r="E10363" s="3">
        <v>2</v>
      </c>
      <c r="F10363" s="3">
        <v>2</v>
      </c>
      <c r="G10363" t="s">
        <v>516</v>
      </c>
    </row>
    <row r="10364" spans="1:7" x14ac:dyDescent="0.25">
      <c r="A10364" s="1" t="str">
        <f>"747"</f>
        <v>747</v>
      </c>
      <c r="B10364" s="2" t="str">
        <f>"ESTABILIZANTE TECGEM AA INGREDIENTE LÁCTEO"</f>
        <v>ESTABILIZANTE TECGEM AA INGREDIENTE LÁCTEO</v>
      </c>
      <c r="C10364" s="2" t="str">
        <f t="shared" si="401"/>
        <v>KG</v>
      </c>
      <c r="D10364" s="7">
        <v>209</v>
      </c>
      <c r="E10364" s="3">
        <v>2</v>
      </c>
      <c r="F10364" s="3">
        <v>2</v>
      </c>
      <c r="G10364" t="s">
        <v>515</v>
      </c>
    </row>
    <row r="10365" spans="1:7" x14ac:dyDescent="0.25">
      <c r="A10365" s="1" t="str">
        <f>"518624"</f>
        <v>518624</v>
      </c>
      <c r="B10365" s="2" t="str">
        <f>"ESTAÇÃO ABASTECIMEMTO 30L/M 220V 3/4"" MANG 1,5M MED.DIGITAL"</f>
        <v>ESTAÇÃO ABASTECIMEMTO 30L/M 220V 3/4" MANG 1,5M MED.DIGITAL</v>
      </c>
      <c r="C10365" s="2" t="str">
        <f t="shared" ref="C10365:C10392" si="402">"UN"</f>
        <v>UN</v>
      </c>
      <c r="D10365" s="7">
        <v>1300</v>
      </c>
      <c r="E10365" s="3">
        <v>13</v>
      </c>
      <c r="F10365" s="3">
        <v>13</v>
      </c>
      <c r="G10365" t="s">
        <v>514</v>
      </c>
    </row>
    <row r="10366" spans="1:7" x14ac:dyDescent="0.25">
      <c r="A10366" s="1" t="str">
        <f>"520734"</f>
        <v>520734</v>
      </c>
      <c r="B10366" s="2" t="str">
        <f>"ESTAÇÃO BLOQUEIO CHAPA AÇO VM TAM G"</f>
        <v>ESTAÇÃO BLOQUEIO CHAPA AÇO VM TAM G</v>
      </c>
      <c r="C10366" s="2" t="str">
        <f t="shared" si="402"/>
        <v>UN</v>
      </c>
      <c r="D10366" s="7">
        <v>817</v>
      </c>
      <c r="E10366" s="3">
        <v>4</v>
      </c>
      <c r="F10366" s="3">
        <v>4</v>
      </c>
      <c r="G10366" t="s">
        <v>512</v>
      </c>
    </row>
    <row r="10367" spans="1:7" x14ac:dyDescent="0.25">
      <c r="A10367" s="1" t="str">
        <f>"524321"</f>
        <v>524321</v>
      </c>
      <c r="B10367" s="2" t="str">
        <f>"ESTAÇÃO BLOQUEIO CHAPA AÇO VM TAM P"</f>
        <v>ESTAÇÃO BLOQUEIO CHAPA AÇO VM TAM P</v>
      </c>
      <c r="C10367" s="2" t="str">
        <f t="shared" si="402"/>
        <v>UN</v>
      </c>
      <c r="D10367" s="7">
        <v>817</v>
      </c>
      <c r="E10367" s="3">
        <v>4</v>
      </c>
      <c r="F10367" s="3">
        <v>4</v>
      </c>
      <c r="G10367" t="s">
        <v>513</v>
      </c>
    </row>
    <row r="10368" spans="1:7" x14ac:dyDescent="0.25">
      <c r="A10368" s="1" t="str">
        <f>"522084"</f>
        <v>522084</v>
      </c>
      <c r="B10368" s="2" t="str">
        <f>"ESTAÇÃO BLOQUEIO CHAPA AÇO VM TAM P 20 GANCHOS"</f>
        <v>ESTAÇÃO BLOQUEIO CHAPA AÇO VM TAM P 20 GANCHOS</v>
      </c>
      <c r="C10368" s="2" t="str">
        <f t="shared" si="402"/>
        <v>UN</v>
      </c>
      <c r="D10368" s="7">
        <v>817</v>
      </c>
      <c r="E10368" s="3">
        <v>4</v>
      </c>
      <c r="F10368" s="3">
        <v>4</v>
      </c>
      <c r="G10368" t="s">
        <v>514</v>
      </c>
    </row>
    <row r="10369" spans="1:7" x14ac:dyDescent="0.25">
      <c r="A10369" s="1" t="str">
        <f>"509500"</f>
        <v>509500</v>
      </c>
      <c r="B10369" s="2" t="str">
        <f>"ESTAÇAO DE TRABALHO"</f>
        <v>ESTAÇAO DE TRABALHO</v>
      </c>
      <c r="C10369" s="2" t="str">
        <f t="shared" si="402"/>
        <v>UN</v>
      </c>
      <c r="D10369" s="7">
        <v>1200</v>
      </c>
      <c r="E10369" s="3">
        <v>13</v>
      </c>
      <c r="F10369" s="3">
        <v>13</v>
      </c>
      <c r="G10369" t="s">
        <v>514</v>
      </c>
    </row>
    <row r="10370" spans="1:7" x14ac:dyDescent="0.25">
      <c r="A10370" s="1" t="str">
        <f>"525031"</f>
        <v>525031</v>
      </c>
      <c r="B10370" s="2" t="str">
        <f>"ESTAÇÃO DE TRATAMENTO DE EFLUENTES"</f>
        <v>ESTAÇÃO DE TRATAMENTO DE EFLUENTES</v>
      </c>
      <c r="C10370" s="2" t="str">
        <f t="shared" si="402"/>
        <v>UN</v>
      </c>
      <c r="D10370" s="7">
        <v>1300</v>
      </c>
      <c r="E10370" s="3">
        <v>13</v>
      </c>
      <c r="F10370" s="3">
        <v>13</v>
      </c>
      <c r="G10370" t="s">
        <v>512</v>
      </c>
    </row>
    <row r="10371" spans="1:7" x14ac:dyDescent="0.25">
      <c r="A10371" s="1" t="str">
        <f>"526797"</f>
        <v>526797</v>
      </c>
      <c r="B10371" s="2" t="str">
        <f>"ESTAÇÃO METEREOLOGICA DE MESA"</f>
        <v>ESTAÇÃO METEREOLOGICA DE MESA</v>
      </c>
      <c r="C10371" s="2" t="str">
        <f t="shared" si="402"/>
        <v>UN</v>
      </c>
      <c r="D10371" s="7">
        <v>99999</v>
      </c>
      <c r="E10371" s="3">
        <v>99</v>
      </c>
      <c r="F10371" s="3">
        <v>99</v>
      </c>
      <c r="G10371" t="s">
        <v>513</v>
      </c>
    </row>
    <row r="10372" spans="1:7" x14ac:dyDescent="0.25">
      <c r="A10372" s="1" t="str">
        <f>"522658"</f>
        <v>522658</v>
      </c>
      <c r="B10372" s="2" t="str">
        <f>"ESTAÇÃO MONTADA DE CONTROLE DE PRESSÃO AGUA GELADA"</f>
        <v>ESTAÇÃO MONTADA DE CONTROLE DE PRESSÃO AGUA GELADA</v>
      </c>
      <c r="C10372" s="2" t="str">
        <f t="shared" si="402"/>
        <v>UN</v>
      </c>
      <c r="D10372" s="7">
        <v>808</v>
      </c>
      <c r="E10372" s="3">
        <v>13</v>
      </c>
      <c r="F10372" s="3">
        <v>13</v>
      </c>
      <c r="G10372" t="s">
        <v>514</v>
      </c>
    </row>
    <row r="10373" spans="1:7" x14ac:dyDescent="0.25">
      <c r="A10373" s="1" t="str">
        <f>"522659"</f>
        <v>522659</v>
      </c>
      <c r="B10373" s="2" t="str">
        <f>"ESTAÇÃO MONTADA DE CONTROLE DE PRESSÃO AR COMPRIMIDO 1"</f>
        <v>ESTAÇÃO MONTADA DE CONTROLE DE PRESSÃO AR COMPRIMIDO 1</v>
      </c>
      <c r="C10373" s="2" t="str">
        <f t="shared" si="402"/>
        <v>UN</v>
      </c>
      <c r="D10373" s="7">
        <v>808</v>
      </c>
      <c r="E10373" s="3">
        <v>13</v>
      </c>
      <c r="F10373" s="3">
        <v>13</v>
      </c>
      <c r="G10373" t="s">
        <v>514</v>
      </c>
    </row>
    <row r="10374" spans="1:7" x14ac:dyDescent="0.25">
      <c r="A10374" s="1" t="str">
        <f>"522660"</f>
        <v>522660</v>
      </c>
      <c r="B10374" s="2" t="str">
        <f>"ESTAÇÃO MONTADA DE CONTROLE DE PRESSÃO AR COMPRIMIDO 2"</f>
        <v>ESTAÇÃO MONTADA DE CONTROLE DE PRESSÃO AR COMPRIMIDO 2</v>
      </c>
      <c r="C10374" s="2" t="str">
        <f t="shared" si="402"/>
        <v>UN</v>
      </c>
      <c r="D10374" s="7">
        <v>808</v>
      </c>
      <c r="E10374" s="3">
        <v>13</v>
      </c>
      <c r="F10374" s="3">
        <v>13</v>
      </c>
      <c r="G10374" t="s">
        <v>514</v>
      </c>
    </row>
    <row r="10375" spans="1:7" x14ac:dyDescent="0.25">
      <c r="A10375" s="1" t="str">
        <f>"522661"</f>
        <v>522661</v>
      </c>
      <c r="B10375" s="2" t="str">
        <f>"ESTAÇÃO MONTADA DE CONTROLE DE PRESSÃO AR COMPRIMIDO 3"</f>
        <v>ESTAÇÃO MONTADA DE CONTROLE DE PRESSÃO AR COMPRIMIDO 3</v>
      </c>
      <c r="C10375" s="2" t="str">
        <f t="shared" si="402"/>
        <v>UN</v>
      </c>
      <c r="D10375" s="7">
        <v>808</v>
      </c>
      <c r="E10375" s="3">
        <v>13</v>
      </c>
      <c r="F10375" s="3">
        <v>13</v>
      </c>
      <c r="G10375" t="s">
        <v>513</v>
      </c>
    </row>
    <row r="10376" spans="1:7" x14ac:dyDescent="0.25">
      <c r="A10376" s="1" t="str">
        <f>"523488"</f>
        <v>523488</v>
      </c>
      <c r="B10376" s="2" t="str">
        <f>"ESTAÇÃO REPETIDORA VHF SLRSR5100"</f>
        <v>ESTAÇÃO REPETIDORA VHF SLRSR5100</v>
      </c>
      <c r="C10376" s="2" t="str">
        <f t="shared" si="402"/>
        <v>UN</v>
      </c>
      <c r="D10376" s="7">
        <v>99999</v>
      </c>
      <c r="E10376" s="3">
        <v>99</v>
      </c>
      <c r="F10376" s="3">
        <v>99</v>
      </c>
      <c r="G10376" t="s">
        <v>512</v>
      </c>
    </row>
    <row r="10377" spans="1:7" x14ac:dyDescent="0.25">
      <c r="A10377" s="1" t="str">
        <f>"517172"</f>
        <v>517172</v>
      </c>
      <c r="B10377" s="2" t="str">
        <f>"ESTALIZADOR REVOL.SPEED UPS300BI 115 NT S/ ADAPTADOR"</f>
        <v>ESTALIZADOR REVOL.SPEED UPS300BI 115 NT S/ ADAPTADOR</v>
      </c>
      <c r="C10377" s="2" t="str">
        <f t="shared" si="402"/>
        <v>UN</v>
      </c>
      <c r="D10377" s="7">
        <v>811</v>
      </c>
      <c r="E10377" s="3">
        <v>8</v>
      </c>
      <c r="F10377" s="3">
        <v>8</v>
      </c>
      <c r="G10377" t="s">
        <v>513</v>
      </c>
    </row>
    <row r="10378" spans="1:7" x14ac:dyDescent="0.25">
      <c r="A10378" s="1" t="str">
        <f>"515036"</f>
        <v>515036</v>
      </c>
      <c r="B10378" s="2" t="str">
        <f>"ESTANHO PARA SOLDA"</f>
        <v>ESTANHO PARA SOLDA</v>
      </c>
      <c r="C10378" s="2" t="str">
        <f t="shared" si="402"/>
        <v>UN</v>
      </c>
      <c r="D10378" s="7">
        <v>803</v>
      </c>
      <c r="E10378" s="3">
        <v>4</v>
      </c>
      <c r="F10378" s="3">
        <v>4</v>
      </c>
      <c r="G10378" t="s">
        <v>514</v>
      </c>
    </row>
    <row r="10379" spans="1:7" x14ac:dyDescent="0.25">
      <c r="A10379" s="1" t="str">
        <f>"513161"</f>
        <v>513161</v>
      </c>
      <c r="B10379" s="2" t="str">
        <f>"ESTANTE INOX 12 BUTIROMETROS"</f>
        <v>ESTANTE INOX 12 BUTIROMETROS</v>
      </c>
      <c r="C10379" s="2" t="str">
        <f t="shared" si="402"/>
        <v>UN</v>
      </c>
      <c r="D10379" s="7">
        <v>406</v>
      </c>
      <c r="E10379" s="3">
        <v>4</v>
      </c>
      <c r="F10379" s="3">
        <v>4</v>
      </c>
      <c r="G10379" t="s">
        <v>514</v>
      </c>
    </row>
    <row r="10380" spans="1:7" x14ac:dyDescent="0.25">
      <c r="A10380" s="1" t="str">
        <f>"513162"</f>
        <v>513162</v>
      </c>
      <c r="B10380" s="2" t="str">
        <f>"ESTANTE INOX 24 TUBOS DE ENSAIO DM18"</f>
        <v>ESTANTE INOX 24 TUBOS DE ENSAIO DM18</v>
      </c>
      <c r="C10380" s="2" t="str">
        <f t="shared" si="402"/>
        <v>UN</v>
      </c>
      <c r="D10380" s="7">
        <v>406</v>
      </c>
      <c r="E10380" s="3">
        <v>4</v>
      </c>
      <c r="F10380" s="3">
        <v>4</v>
      </c>
      <c r="G10380" t="s">
        <v>514</v>
      </c>
    </row>
    <row r="10381" spans="1:7" x14ac:dyDescent="0.25">
      <c r="A10381" s="1" t="str">
        <f>"523659"</f>
        <v>523659</v>
      </c>
      <c r="B10381" s="2" t="str">
        <f>"ESTANTE INOX 24 TUBOS DE ENSAIO DM20"</f>
        <v>ESTANTE INOX 24 TUBOS DE ENSAIO DM20</v>
      </c>
      <c r="C10381" s="2" t="str">
        <f t="shared" si="402"/>
        <v>UN</v>
      </c>
      <c r="D10381" s="7">
        <v>406</v>
      </c>
      <c r="E10381" s="3">
        <v>4</v>
      </c>
      <c r="F10381" s="3">
        <v>4</v>
      </c>
      <c r="G10381" t="s">
        <v>513</v>
      </c>
    </row>
    <row r="10382" spans="1:7" x14ac:dyDescent="0.25">
      <c r="A10382" s="1" t="str">
        <f>"512928"</f>
        <v>512928</v>
      </c>
      <c r="B10382" s="2" t="str">
        <f>"ESTANTE INOX 30 TUBOS CRIOSCOPIA"</f>
        <v>ESTANTE INOX 30 TUBOS CRIOSCOPIA</v>
      </c>
      <c r="C10382" s="2" t="str">
        <f t="shared" si="402"/>
        <v>UN</v>
      </c>
      <c r="D10382" s="7">
        <v>406</v>
      </c>
      <c r="E10382" s="3">
        <v>10</v>
      </c>
      <c r="F10382" s="3">
        <v>10</v>
      </c>
      <c r="G10382" t="s">
        <v>513</v>
      </c>
    </row>
    <row r="10383" spans="1:7" x14ac:dyDescent="0.25">
      <c r="A10383" s="1" t="str">
        <f>"512951"</f>
        <v>512951</v>
      </c>
      <c r="B10383" s="2" t="str">
        <f>"ESTANTE INOX 40 TUBOS DE ENSAIO DE 20ML"</f>
        <v>ESTANTE INOX 40 TUBOS DE ENSAIO DE 20ML</v>
      </c>
      <c r="C10383" s="2" t="str">
        <f t="shared" si="402"/>
        <v>UN</v>
      </c>
      <c r="D10383" s="7">
        <v>406</v>
      </c>
      <c r="E10383" s="3">
        <v>4</v>
      </c>
      <c r="F10383" s="3">
        <v>4</v>
      </c>
      <c r="G10383" t="s">
        <v>513</v>
      </c>
    </row>
    <row r="10384" spans="1:7" x14ac:dyDescent="0.25">
      <c r="A10384" s="1" t="str">
        <f>"522476"</f>
        <v>522476</v>
      </c>
      <c r="B10384" s="2" t="str">
        <f>"ESTANTE INOX P/ 30 TUBOS CRIOSCOPIA (ITR)"</f>
        <v>ESTANTE INOX P/ 30 TUBOS CRIOSCOPIA (ITR)</v>
      </c>
      <c r="C10384" s="2" t="str">
        <f t="shared" si="402"/>
        <v>UN</v>
      </c>
      <c r="D10384" s="7">
        <v>406</v>
      </c>
      <c r="E10384" s="3">
        <v>4</v>
      </c>
      <c r="F10384" s="3">
        <v>4</v>
      </c>
      <c r="G10384" t="s">
        <v>512</v>
      </c>
    </row>
    <row r="10385" spans="1:7" x14ac:dyDescent="0.25">
      <c r="A10385" s="1" t="str">
        <f>"518448"</f>
        <v>518448</v>
      </c>
      <c r="B10385" s="2" t="str">
        <f>"ESTANTE METALICA 150X96X22CM P/ 28 CXS Nº7"</f>
        <v>ESTANTE METALICA 150X96X22CM P/ 28 CXS Nº7</v>
      </c>
      <c r="C10385" s="2" t="str">
        <f t="shared" si="402"/>
        <v>UN</v>
      </c>
      <c r="D10385" s="7">
        <v>918</v>
      </c>
      <c r="E10385" s="3">
        <v>4</v>
      </c>
      <c r="F10385" s="3">
        <v>4</v>
      </c>
      <c r="G10385" t="s">
        <v>513</v>
      </c>
    </row>
    <row r="10386" spans="1:7" x14ac:dyDescent="0.25">
      <c r="A10386" s="1" t="str">
        <f>"517048"</f>
        <v>517048</v>
      </c>
      <c r="B10386" s="2" t="str">
        <f>"ESTANTE PORTA COMPONENTES C/ 108 CAIXAS EF108/3A MARCON"</f>
        <v>ESTANTE PORTA COMPONENTES C/ 108 CAIXAS EF108/3A MARCON</v>
      </c>
      <c r="C10386" s="2" t="str">
        <f t="shared" si="402"/>
        <v>UN</v>
      </c>
      <c r="D10386" s="7">
        <v>1200</v>
      </c>
      <c r="E10386" s="3">
        <v>4</v>
      </c>
      <c r="F10386" s="3">
        <v>4</v>
      </c>
      <c r="G10386" t="s">
        <v>514</v>
      </c>
    </row>
    <row r="10387" spans="1:7" x14ac:dyDescent="0.25">
      <c r="A10387" s="1" t="str">
        <f>"523570"</f>
        <v>523570</v>
      </c>
      <c r="B10387" s="2" t="str">
        <f>"ESTANTE PVC 24 FRASCOS COLETA DM 3 X 8CM"</f>
        <v>ESTANTE PVC 24 FRASCOS COLETA DM 3 X 8CM</v>
      </c>
      <c r="C10387" s="2" t="str">
        <f t="shared" si="402"/>
        <v>UN</v>
      </c>
      <c r="D10387" s="7">
        <v>406</v>
      </c>
      <c r="E10387" s="3">
        <v>4</v>
      </c>
      <c r="F10387" s="3">
        <v>4</v>
      </c>
      <c r="G10387" t="s">
        <v>515</v>
      </c>
    </row>
    <row r="10388" spans="1:7" x14ac:dyDescent="0.25">
      <c r="A10388" s="1" t="str">
        <f>"517562"</f>
        <v>517562</v>
      </c>
      <c r="B10388" s="2" t="str">
        <f>"ESTATOR"</f>
        <v>ESTATOR</v>
      </c>
      <c r="C10388" s="2" t="str">
        <f t="shared" si="402"/>
        <v>UN</v>
      </c>
      <c r="D10388" s="7">
        <v>811</v>
      </c>
      <c r="E10388" s="3">
        <v>8</v>
      </c>
      <c r="F10388" s="3">
        <v>8</v>
      </c>
      <c r="G10388" t="s">
        <v>512</v>
      </c>
    </row>
    <row r="10389" spans="1:7" x14ac:dyDescent="0.25">
      <c r="A10389" s="1" t="str">
        <f>"514256"</f>
        <v>514256</v>
      </c>
      <c r="B10389" s="2" t="str">
        <f>"ESTATOR 4100NH"</f>
        <v>ESTATOR 4100NH</v>
      </c>
      <c r="C10389" s="2" t="str">
        <f t="shared" si="402"/>
        <v>UN</v>
      </c>
      <c r="D10389" s="7">
        <v>402</v>
      </c>
      <c r="E10389" s="3">
        <v>8</v>
      </c>
      <c r="F10389" s="3">
        <v>8</v>
      </c>
      <c r="G10389" t="s">
        <v>516</v>
      </c>
    </row>
    <row r="10390" spans="1:7" x14ac:dyDescent="0.25">
      <c r="A10390" s="1" t="str">
        <f>"503534"</f>
        <v>503534</v>
      </c>
      <c r="B10390" s="2" t="str">
        <f>"ESTATOR ES N 40 SL/1020 65SH B.POSITIVA"</f>
        <v>ESTATOR ES N 40 SL/1020 65SH B.POSITIVA</v>
      </c>
      <c r="C10390" s="2" t="str">
        <f t="shared" si="402"/>
        <v>UN</v>
      </c>
      <c r="D10390" s="7">
        <v>918</v>
      </c>
      <c r="E10390" s="3">
        <v>11</v>
      </c>
      <c r="F10390" s="3">
        <v>11</v>
      </c>
      <c r="G10390" t="s">
        <v>515</v>
      </c>
    </row>
    <row r="10391" spans="1:7" x14ac:dyDescent="0.25">
      <c r="A10391" s="1" t="str">
        <f>"502629"</f>
        <v>502629</v>
      </c>
      <c r="B10391" s="2" t="str">
        <f>"ESTATOR NM015 01L SBE NDB4955088"</f>
        <v>ESTATOR NM015 01L SBE NDB4955088</v>
      </c>
      <c r="C10391" s="2" t="str">
        <f t="shared" si="402"/>
        <v>UN</v>
      </c>
      <c r="D10391" s="7">
        <v>918</v>
      </c>
      <c r="E10391" s="3">
        <v>11</v>
      </c>
      <c r="F10391" s="3">
        <v>11</v>
      </c>
      <c r="G10391" t="s">
        <v>514</v>
      </c>
    </row>
    <row r="10392" spans="1:7" x14ac:dyDescent="0.25">
      <c r="A10392" s="1" t="str">
        <f>"528005"</f>
        <v>528005</v>
      </c>
      <c r="B10392" s="2" t="str">
        <f>"ESTATOR NM015 02 S CB 157693"</f>
        <v>ESTATOR NM015 02 S CB 157693</v>
      </c>
      <c r="C10392" s="2" t="str">
        <f t="shared" si="402"/>
        <v>UN</v>
      </c>
      <c r="D10392" s="7">
        <v>918</v>
      </c>
      <c r="E10392" s="3">
        <v>11</v>
      </c>
      <c r="F10392" s="3">
        <v>11</v>
      </c>
      <c r="G10392" t="s">
        <v>512</v>
      </c>
    </row>
    <row r="10393" spans="1:7" x14ac:dyDescent="0.25">
      <c r="A10393" s="1" t="str">
        <f>"510246"</f>
        <v>510246</v>
      </c>
      <c r="B10393" s="2" t="str">
        <f>"ESTATOR NM021-01L SBH NDB4968085"</f>
        <v>ESTATOR NM021-01L SBH NDB4968085</v>
      </c>
      <c r="C10393" s="2" t="str">
        <f>"PC"</f>
        <v>PC</v>
      </c>
      <c r="D10393" s="7">
        <v>918</v>
      </c>
      <c r="E10393" s="3">
        <v>11</v>
      </c>
      <c r="F10393" s="3">
        <v>11</v>
      </c>
      <c r="G10393" t="s">
        <v>513</v>
      </c>
    </row>
    <row r="10394" spans="1:7" x14ac:dyDescent="0.25">
      <c r="A10394" s="1" t="str">
        <f>"520898"</f>
        <v>520898</v>
      </c>
      <c r="B10394" s="2" t="str">
        <f>"ESTATOR NM031-01L SBE/ 1106 X 1389"</f>
        <v>ESTATOR NM031-01L SBE/ 1106 X 1389</v>
      </c>
      <c r="C10394" s="2" t="str">
        <f t="shared" ref="C10394:C10399" si="403">"UN"</f>
        <v>UN</v>
      </c>
      <c r="D10394" s="7">
        <v>918</v>
      </c>
      <c r="E10394" s="3">
        <v>11</v>
      </c>
      <c r="F10394" s="3">
        <v>11</v>
      </c>
      <c r="G10394" t="s">
        <v>514</v>
      </c>
    </row>
    <row r="10395" spans="1:7" x14ac:dyDescent="0.25">
      <c r="A10395" s="1" t="str">
        <f>"505034"</f>
        <v>505034</v>
      </c>
      <c r="B10395" s="2" t="str">
        <f>"ESTATOR NM031-01L SBE/1020 72 SHOR"</f>
        <v>ESTATOR NM031-01L SBE/1020 72 SHOR</v>
      </c>
      <c r="C10395" s="2" t="str">
        <f t="shared" si="403"/>
        <v>UN</v>
      </c>
      <c r="D10395" s="7">
        <v>918</v>
      </c>
      <c r="E10395" s="3">
        <v>11</v>
      </c>
      <c r="F10395" s="3">
        <v>11</v>
      </c>
      <c r="G10395" t="s">
        <v>514</v>
      </c>
    </row>
    <row r="10396" spans="1:7" x14ac:dyDescent="0.25">
      <c r="A10396" s="1" t="str">
        <f>"504054"</f>
        <v>504054</v>
      </c>
      <c r="B10396" s="2" t="str">
        <f>"ESTATOR NM038-01L SBH/1020 NDB4964548"</f>
        <v>ESTATOR NM038-01L SBH/1020 NDB4964548</v>
      </c>
      <c r="C10396" s="2" t="str">
        <f t="shared" si="403"/>
        <v>UN</v>
      </c>
      <c r="D10396" s="7">
        <v>918</v>
      </c>
      <c r="E10396" s="3">
        <v>11</v>
      </c>
      <c r="F10396" s="3">
        <v>11</v>
      </c>
      <c r="G10396" t="s">
        <v>512</v>
      </c>
    </row>
    <row r="10397" spans="1:7" x14ac:dyDescent="0.25">
      <c r="A10397" s="1" t="str">
        <f>"503535"</f>
        <v>503535</v>
      </c>
      <c r="B10397" s="2" t="str">
        <f>"ESTATOR NM045-01L SBH/1020 P/ STP3"</f>
        <v>ESTATOR NM045-01L SBH/1020 P/ STP3</v>
      </c>
      <c r="C10397" s="2" t="str">
        <f t="shared" si="403"/>
        <v>UN</v>
      </c>
      <c r="D10397" s="7">
        <v>918</v>
      </c>
      <c r="E10397" s="3">
        <v>11</v>
      </c>
      <c r="F10397" s="3">
        <v>11</v>
      </c>
      <c r="G10397" t="s">
        <v>513</v>
      </c>
    </row>
    <row r="10398" spans="1:7" x14ac:dyDescent="0.25">
      <c r="A10398" s="1" t="str">
        <f>"502628"</f>
        <v>502628</v>
      </c>
      <c r="B10398" s="2" t="str">
        <f>"ESTATOR NM053-02S SBH/1020 NDB4960497"</f>
        <v>ESTATOR NM053-02S SBH/1020 NDB4960497</v>
      </c>
      <c r="C10398" s="2" t="str">
        <f t="shared" si="403"/>
        <v>UN</v>
      </c>
      <c r="D10398" s="7">
        <v>918</v>
      </c>
      <c r="E10398" s="3">
        <v>11</v>
      </c>
      <c r="F10398" s="3">
        <v>11</v>
      </c>
      <c r="G10398" t="s">
        <v>514</v>
      </c>
    </row>
    <row r="10399" spans="1:7" x14ac:dyDescent="0.25">
      <c r="A10399" s="1" t="str">
        <f>"506525"</f>
        <v>506525</v>
      </c>
      <c r="B10399" s="2" t="str">
        <f>"ESTATOR NM063-01L SBH/1020 NDB4958695"</f>
        <v>ESTATOR NM063-01L SBH/1020 NDB4958695</v>
      </c>
      <c r="C10399" s="2" t="str">
        <f t="shared" si="403"/>
        <v>UN</v>
      </c>
      <c r="D10399" s="7">
        <v>918</v>
      </c>
      <c r="E10399" s="3">
        <v>11</v>
      </c>
      <c r="F10399" s="3">
        <v>11</v>
      </c>
      <c r="G10399" t="s">
        <v>514</v>
      </c>
    </row>
    <row r="10400" spans="1:7" x14ac:dyDescent="0.25">
      <c r="A10400" s="1" t="str">
        <f>"511716"</f>
        <v>511716</v>
      </c>
      <c r="B10400" s="2" t="str">
        <f>"ESTATOR NM090-01L SBH/1020 NDB4969845"</f>
        <v>ESTATOR NM090-01L SBH/1020 NDB4969845</v>
      </c>
      <c r="C10400" s="2" t="str">
        <f>"PC"</f>
        <v>PC</v>
      </c>
      <c r="D10400" s="7">
        <v>918</v>
      </c>
      <c r="E10400" s="3">
        <v>11</v>
      </c>
      <c r="F10400" s="3">
        <v>11</v>
      </c>
      <c r="G10400" t="s">
        <v>514</v>
      </c>
    </row>
    <row r="10401" spans="1:7" x14ac:dyDescent="0.25">
      <c r="A10401" s="1" t="str">
        <f>"500638"</f>
        <v>500638</v>
      </c>
      <c r="B10401" s="2" t="str">
        <f>"ESTATOR WAPSA (ALTERNADOR)"</f>
        <v>ESTATOR WAPSA (ALTERNADOR)</v>
      </c>
      <c r="C10401" s="2" t="str">
        <f t="shared" ref="C10401:C10418" si="404">"UN"</f>
        <v>UN</v>
      </c>
      <c r="D10401" s="7">
        <v>704</v>
      </c>
      <c r="E10401" s="3">
        <v>9</v>
      </c>
      <c r="F10401" s="3">
        <v>9</v>
      </c>
      <c r="G10401" t="s">
        <v>513</v>
      </c>
    </row>
    <row r="10402" spans="1:7" x14ac:dyDescent="0.25">
      <c r="A10402" s="1" t="str">
        <f>"517014"</f>
        <v>517014</v>
      </c>
      <c r="B10402" s="2" t="str">
        <f>"ESTATOR WHT-32 NBRA - GLOBAL"</f>
        <v>ESTATOR WHT-32 NBRA - GLOBAL</v>
      </c>
      <c r="C10402" s="2" t="str">
        <f t="shared" si="404"/>
        <v>UN</v>
      </c>
      <c r="D10402" s="7">
        <v>812</v>
      </c>
      <c r="E10402" s="3">
        <v>11</v>
      </c>
      <c r="F10402" s="3">
        <v>11</v>
      </c>
      <c r="G10402" t="s">
        <v>512</v>
      </c>
    </row>
    <row r="10403" spans="1:7" x14ac:dyDescent="0.25">
      <c r="A10403" s="1" t="str">
        <f>"521630"</f>
        <v>521630</v>
      </c>
      <c r="B10403" s="2" t="str">
        <f>"ESTEIRA"</f>
        <v>ESTEIRA</v>
      </c>
      <c r="C10403" s="2" t="str">
        <f t="shared" si="404"/>
        <v>UN</v>
      </c>
      <c r="D10403" s="7">
        <v>99999</v>
      </c>
      <c r="E10403" s="3">
        <v>99</v>
      </c>
      <c r="F10403" s="3">
        <v>99</v>
      </c>
      <c r="G10403" t="s">
        <v>513</v>
      </c>
    </row>
    <row r="10404" spans="1:7" x14ac:dyDescent="0.25">
      <c r="A10404" s="1" t="str">
        <f>"525028"</f>
        <v>525028</v>
      </c>
      <c r="B10404" s="8" t="s">
        <v>429</v>
      </c>
      <c r="C10404" s="2" t="str">
        <f t="shared" si="404"/>
        <v>UN</v>
      </c>
      <c r="D10404" s="7">
        <v>911</v>
      </c>
      <c r="E10404" s="3">
        <v>11</v>
      </c>
      <c r="F10404" s="3">
        <v>11</v>
      </c>
      <c r="G10404" t="s">
        <v>514</v>
      </c>
    </row>
    <row r="10405" spans="1:7" x14ac:dyDescent="0.25">
      <c r="A10405" s="1" t="str">
        <f>"518077"</f>
        <v>518077</v>
      </c>
      <c r="B10405" s="2" t="str">
        <f>"ESTEIRA C/ CORRENTES LATERAIS 1/2 LARGURA 716MM"</f>
        <v>ESTEIRA C/ CORRENTES LATERAIS 1/2 LARGURA 716MM</v>
      </c>
      <c r="C10405" s="2" t="str">
        <f t="shared" si="404"/>
        <v>UN</v>
      </c>
      <c r="D10405" s="7">
        <v>918</v>
      </c>
      <c r="E10405" s="3">
        <v>11</v>
      </c>
      <c r="F10405" s="3">
        <v>11</v>
      </c>
      <c r="G10405" t="s">
        <v>514</v>
      </c>
    </row>
    <row r="10406" spans="1:7" x14ac:dyDescent="0.25">
      <c r="A10406" s="1" t="str">
        <f>"520441"</f>
        <v>520441</v>
      </c>
      <c r="B10406" s="2" t="str">
        <f>"ESTEIRA CL 09UF 85X3460 VULGANIZADA FECHADA"</f>
        <v>ESTEIRA CL 09UF 85X3460 VULGANIZADA FECHADA</v>
      </c>
      <c r="C10406" s="2" t="str">
        <f t="shared" si="404"/>
        <v>UN</v>
      </c>
      <c r="D10406" s="7">
        <v>918</v>
      </c>
      <c r="E10406" s="3">
        <v>11</v>
      </c>
      <c r="F10406" s="3">
        <v>11</v>
      </c>
      <c r="G10406" t="s">
        <v>514</v>
      </c>
    </row>
    <row r="10407" spans="1:7" x14ac:dyDescent="0.25">
      <c r="A10407" s="1" t="str">
        <f>"519494"</f>
        <v>519494</v>
      </c>
      <c r="B10407" s="2" t="str">
        <f>"ESTEIRA CL 09UF BRANCA COM 1,1MM X 3460 X 85MM FEC. VULCANIZ"</f>
        <v>ESTEIRA CL 09UF BRANCA COM 1,1MM X 3460 X 85MM FEC. VULCANIZ</v>
      </c>
      <c r="C10407" s="2" t="str">
        <f t="shared" si="404"/>
        <v>UN</v>
      </c>
      <c r="D10407" s="7">
        <v>918</v>
      </c>
      <c r="E10407" s="3">
        <v>11</v>
      </c>
      <c r="F10407" s="3">
        <v>11</v>
      </c>
      <c r="G10407" t="s">
        <v>513</v>
      </c>
    </row>
    <row r="10408" spans="1:7" x14ac:dyDescent="0.25">
      <c r="A10408" s="1" t="str">
        <f>"519517"</f>
        <v>519517</v>
      </c>
      <c r="B10408" s="2" t="str">
        <f>"ESTEIRA CL 10UF BRANCA COM 2MM X 4120 X 50MM FEC. VULCANIZ"</f>
        <v>ESTEIRA CL 10UF BRANCA COM 2MM X 4120 X 50MM FEC. VULCANIZ</v>
      </c>
      <c r="C10408" s="2" t="str">
        <f t="shared" si="404"/>
        <v>UN</v>
      </c>
      <c r="D10408" s="7">
        <v>918</v>
      </c>
      <c r="E10408" s="3">
        <v>11</v>
      </c>
      <c r="F10408" s="3">
        <v>11</v>
      </c>
      <c r="G10408" t="s">
        <v>513</v>
      </c>
    </row>
    <row r="10409" spans="1:7" x14ac:dyDescent="0.25">
      <c r="A10409" s="1" t="str">
        <f>"505082"</f>
        <v>505082</v>
      </c>
      <c r="B10409" s="2" t="str">
        <f>"ESTEIRA CL 11CF PVC BR 2 LONAS 2MM X 4120 X 50MM L FEC VULC."</f>
        <v>ESTEIRA CL 11CF PVC BR 2 LONAS 2MM X 4120 X 50MM L FEC VULC.</v>
      </c>
      <c r="C10409" s="2" t="str">
        <f t="shared" si="404"/>
        <v>UN</v>
      </c>
      <c r="D10409" s="7">
        <v>918</v>
      </c>
      <c r="E10409" s="3">
        <v>11</v>
      </c>
      <c r="F10409" s="3">
        <v>11</v>
      </c>
      <c r="G10409" t="s">
        <v>513</v>
      </c>
    </row>
    <row r="10410" spans="1:7" x14ac:dyDescent="0.25">
      <c r="A10410" s="1" t="str">
        <f>"509711"</f>
        <v>509711</v>
      </c>
      <c r="B10410" s="2" t="str">
        <f>"ESTEIRA DA BRASCOP FERMENTADO"</f>
        <v>ESTEIRA DA BRASCOP FERMENTADO</v>
      </c>
      <c r="C10410" s="2" t="str">
        <f t="shared" si="404"/>
        <v>UN</v>
      </c>
      <c r="D10410" s="7">
        <v>99999</v>
      </c>
      <c r="E10410" s="3">
        <v>99</v>
      </c>
      <c r="F10410" s="3">
        <v>99</v>
      </c>
      <c r="G10410" t="s">
        <v>512</v>
      </c>
    </row>
    <row r="10411" spans="1:7" x14ac:dyDescent="0.25">
      <c r="A10411" s="1" t="str">
        <f>"520567"</f>
        <v>520567</v>
      </c>
      <c r="B10411" s="8" t="s">
        <v>163</v>
      </c>
      <c r="C10411" s="2" t="str">
        <f t="shared" si="404"/>
        <v>UN</v>
      </c>
      <c r="D10411" s="7">
        <v>918</v>
      </c>
      <c r="E10411" s="3">
        <v>11</v>
      </c>
      <c r="F10411" s="3">
        <v>11</v>
      </c>
      <c r="G10411" t="s">
        <v>513</v>
      </c>
    </row>
    <row r="10412" spans="1:7" x14ac:dyDescent="0.25">
      <c r="A10412" s="1" t="str">
        <f>"515109"</f>
        <v>515109</v>
      </c>
      <c r="B10412" s="2" t="str">
        <f>"ESTEIRA DOLPHIN"</f>
        <v>ESTEIRA DOLPHIN</v>
      </c>
      <c r="C10412" s="2" t="str">
        <f t="shared" si="404"/>
        <v>UN</v>
      </c>
      <c r="D10412" s="7">
        <v>401</v>
      </c>
      <c r="E10412" s="3">
        <v>4</v>
      </c>
      <c r="F10412" s="3">
        <v>4</v>
      </c>
      <c r="G10412" t="s">
        <v>514</v>
      </c>
    </row>
    <row r="10413" spans="1:7" x14ac:dyDescent="0.25">
      <c r="A10413" s="1" t="str">
        <f>"517259"</f>
        <v>517259</v>
      </c>
      <c r="B10413" s="2" t="str">
        <f>"ESTEIRA EMP 2006-470 0TB28 MAQ B"</f>
        <v>ESTEIRA EMP 2006-470 0TB28 MAQ B</v>
      </c>
      <c r="C10413" s="2" t="str">
        <f t="shared" si="404"/>
        <v>UN</v>
      </c>
      <c r="D10413" s="7">
        <v>918</v>
      </c>
      <c r="E10413" s="3">
        <v>11</v>
      </c>
      <c r="F10413" s="3">
        <v>11</v>
      </c>
      <c r="G10413" t="s">
        <v>515</v>
      </c>
    </row>
    <row r="10414" spans="1:7" x14ac:dyDescent="0.25">
      <c r="A10414" s="1" t="str">
        <f>"517263"</f>
        <v>517263</v>
      </c>
      <c r="B10414" s="2" t="str">
        <f>"ESTEIRA EMP 2006-990 TB28 MAQ C"</f>
        <v>ESTEIRA EMP 2006-990 TB28 MAQ C</v>
      </c>
      <c r="C10414" s="2" t="str">
        <f t="shared" si="404"/>
        <v>UN</v>
      </c>
      <c r="D10414" s="7">
        <v>918</v>
      </c>
      <c r="E10414" s="3">
        <v>11</v>
      </c>
      <c r="F10414" s="3">
        <v>11</v>
      </c>
      <c r="G10414" t="s">
        <v>512</v>
      </c>
    </row>
    <row r="10415" spans="1:7" x14ac:dyDescent="0.25">
      <c r="A10415" s="1" t="str">
        <f>"517278"</f>
        <v>517278</v>
      </c>
      <c r="B10415" s="2" t="str">
        <f>"ESTEIRA EMP S/N SERIE MAQ E"</f>
        <v>ESTEIRA EMP S/N SERIE MAQ E</v>
      </c>
      <c r="C10415" s="2" t="str">
        <f t="shared" si="404"/>
        <v>UN</v>
      </c>
      <c r="D10415" s="7">
        <v>918</v>
      </c>
      <c r="E10415" s="3">
        <v>11</v>
      </c>
      <c r="F10415" s="3">
        <v>11</v>
      </c>
      <c r="G10415" t="s">
        <v>516</v>
      </c>
    </row>
    <row r="10416" spans="1:7" x14ac:dyDescent="0.25">
      <c r="A10416" s="1" t="str">
        <f>"517288"</f>
        <v>517288</v>
      </c>
      <c r="B10416" s="2" t="str">
        <f>"ESTEIRA EMP TIM02-03 MAQ F"</f>
        <v>ESTEIRA EMP TIM02-03 MAQ F</v>
      </c>
      <c r="C10416" s="2" t="str">
        <f t="shared" si="404"/>
        <v>UN</v>
      </c>
      <c r="D10416" s="7">
        <v>918</v>
      </c>
      <c r="E10416" s="3">
        <v>11</v>
      </c>
      <c r="F10416" s="3">
        <v>11</v>
      </c>
      <c r="G10416" t="s">
        <v>515</v>
      </c>
    </row>
    <row r="10417" spans="1:7" x14ac:dyDescent="0.25">
      <c r="A10417" s="1" t="str">
        <f>"517257"</f>
        <v>517257</v>
      </c>
      <c r="B10417" s="2" t="str">
        <f>"ESTEIRA EMP2006-990 TB28 MAQ B"</f>
        <v>ESTEIRA EMP2006-990 TB28 MAQ B</v>
      </c>
      <c r="C10417" s="2" t="str">
        <f t="shared" si="404"/>
        <v>UN</v>
      </c>
      <c r="D10417" s="7">
        <v>918</v>
      </c>
      <c r="E10417" s="3">
        <v>11</v>
      </c>
      <c r="F10417" s="3">
        <v>11</v>
      </c>
      <c r="G10417" t="s">
        <v>514</v>
      </c>
    </row>
    <row r="10418" spans="1:7" x14ac:dyDescent="0.25">
      <c r="A10418" s="1" t="str">
        <f>"512861"</f>
        <v>512861</v>
      </c>
      <c r="B10418" s="2" t="str">
        <f>"ESTEIRA ENCOSTO BANCO"</f>
        <v>ESTEIRA ENCOSTO BANCO</v>
      </c>
      <c r="C10418" s="2" t="str">
        <f t="shared" si="404"/>
        <v>UN</v>
      </c>
      <c r="D10418" s="7">
        <v>704</v>
      </c>
      <c r="E10418" s="3">
        <v>9</v>
      </c>
      <c r="F10418" s="3">
        <v>9</v>
      </c>
      <c r="G10418" t="s">
        <v>512</v>
      </c>
    </row>
    <row r="10419" spans="1:7" x14ac:dyDescent="0.25">
      <c r="A10419" s="1" t="str">
        <f>"517049"</f>
        <v>517049</v>
      </c>
      <c r="B10419" s="2" t="str">
        <f>"ESTEIRA LARGURA 675MM X 1700 (ENVOLVIMENTO)"</f>
        <v>ESTEIRA LARGURA 675MM X 1700 (ENVOLVIMENTO)</v>
      </c>
      <c r="C10419" s="2" t="str">
        <f>"PC"</f>
        <v>PC</v>
      </c>
      <c r="D10419" s="7">
        <v>911</v>
      </c>
      <c r="E10419" s="3">
        <v>11</v>
      </c>
      <c r="F10419" s="3">
        <v>11</v>
      </c>
      <c r="G10419" t="s">
        <v>513</v>
      </c>
    </row>
    <row r="10420" spans="1:7" x14ac:dyDescent="0.25">
      <c r="A10420" s="1" t="str">
        <f>"508116"</f>
        <v>508116</v>
      </c>
      <c r="B10420" s="2" t="str">
        <f>"ESTEIRA LARGURA 675MM X 760 ENTRADA DO TUNEL 01 LONA"</f>
        <v>ESTEIRA LARGURA 675MM X 760 ENTRADA DO TUNEL 01 LONA</v>
      </c>
      <c r="C10420" s="2" t="str">
        <f>"PC"</f>
        <v>PC</v>
      </c>
      <c r="D10420" s="7">
        <v>911</v>
      </c>
      <c r="E10420" s="3">
        <v>11</v>
      </c>
      <c r="F10420" s="3">
        <v>11</v>
      </c>
      <c r="G10420" t="s">
        <v>514</v>
      </c>
    </row>
    <row r="10421" spans="1:7" x14ac:dyDescent="0.25">
      <c r="A10421" s="1" t="str">
        <f>"517265"</f>
        <v>517265</v>
      </c>
      <c r="B10421" s="2" t="str">
        <f>"ESTEIRA M EMP S/N SERIE MAQ C"</f>
        <v>ESTEIRA M EMP S/N SERIE MAQ C</v>
      </c>
      <c r="C10421" s="2" t="str">
        <f t="shared" ref="C10421:C10431" si="405">"UN"</f>
        <v>UN</v>
      </c>
      <c r="D10421" s="7">
        <v>918</v>
      </c>
      <c r="E10421" s="3">
        <v>11</v>
      </c>
      <c r="F10421" s="3">
        <v>11</v>
      </c>
      <c r="G10421" t="s">
        <v>514</v>
      </c>
    </row>
    <row r="10422" spans="1:7" x14ac:dyDescent="0.25">
      <c r="A10422" s="1" t="str">
        <f>"517271"</f>
        <v>517271</v>
      </c>
      <c r="B10422" s="2" t="str">
        <f>"ESTEIRA M EMP S/N SERIE MAQ D"</f>
        <v>ESTEIRA M EMP S/N SERIE MAQ D</v>
      </c>
      <c r="C10422" s="2" t="str">
        <f t="shared" si="405"/>
        <v>UN</v>
      </c>
      <c r="D10422" s="7">
        <v>918</v>
      </c>
      <c r="E10422" s="3">
        <v>11</v>
      </c>
      <c r="F10422" s="3">
        <v>11</v>
      </c>
      <c r="G10422" t="s">
        <v>512</v>
      </c>
    </row>
    <row r="10423" spans="1:7" x14ac:dyDescent="0.25">
      <c r="A10423" s="1" t="str">
        <f>"517280"</f>
        <v>517280</v>
      </c>
      <c r="B10423" s="2" t="str">
        <f>"ESTEIRA M EMP S/N SERIE MAQ E"</f>
        <v>ESTEIRA M EMP S/N SERIE MAQ E</v>
      </c>
      <c r="C10423" s="2" t="str">
        <f t="shared" si="405"/>
        <v>UN</v>
      </c>
      <c r="D10423" s="7">
        <v>918</v>
      </c>
      <c r="E10423" s="3">
        <v>11</v>
      </c>
      <c r="F10423" s="3">
        <v>11</v>
      </c>
      <c r="G10423" t="s">
        <v>513</v>
      </c>
    </row>
    <row r="10424" spans="1:7" x14ac:dyDescent="0.25">
      <c r="A10424" s="1" t="str">
        <f>"517290"</f>
        <v>517290</v>
      </c>
      <c r="B10424" s="2" t="str">
        <f>"ESTEIRA M EMP S/N SERIE MAQ F"</f>
        <v>ESTEIRA M EMP S/N SERIE MAQ F</v>
      </c>
      <c r="C10424" s="2" t="str">
        <f t="shared" si="405"/>
        <v>UN</v>
      </c>
      <c r="D10424" s="7">
        <v>918</v>
      </c>
      <c r="E10424" s="3">
        <v>11</v>
      </c>
      <c r="F10424" s="3">
        <v>11</v>
      </c>
      <c r="G10424" t="s">
        <v>514</v>
      </c>
    </row>
    <row r="10425" spans="1:7" x14ac:dyDescent="0.25">
      <c r="A10425" s="1" t="str">
        <f>"517243"</f>
        <v>517243</v>
      </c>
      <c r="B10425" s="2" t="str">
        <f>"ESTEIRA M. EMP MOD 2006-215 MAQ A"</f>
        <v>ESTEIRA M. EMP MOD 2006-215 MAQ A</v>
      </c>
      <c r="C10425" s="2" t="str">
        <f t="shared" si="405"/>
        <v>UN</v>
      </c>
      <c r="D10425" s="7">
        <v>918</v>
      </c>
      <c r="E10425" s="3">
        <v>11</v>
      </c>
      <c r="F10425" s="3">
        <v>11</v>
      </c>
      <c r="G10425" t="s">
        <v>514</v>
      </c>
    </row>
    <row r="10426" spans="1:7" x14ac:dyDescent="0.25">
      <c r="A10426" s="1" t="str">
        <f>"517269"</f>
        <v>517269</v>
      </c>
      <c r="B10426" s="2" t="str">
        <f>"ESTEIRA M. EMP TIM01-03 MAQ D"</f>
        <v>ESTEIRA M. EMP TIM01-03 MAQ D</v>
      </c>
      <c r="C10426" s="2" t="str">
        <f t="shared" si="405"/>
        <v>UN</v>
      </c>
      <c r="D10426" s="7">
        <v>918</v>
      </c>
      <c r="E10426" s="3">
        <v>11</v>
      </c>
      <c r="F10426" s="3">
        <v>11</v>
      </c>
      <c r="G10426" t="s">
        <v>514</v>
      </c>
    </row>
    <row r="10427" spans="1:7" x14ac:dyDescent="0.25">
      <c r="A10427" s="1" t="str">
        <f>"517241"</f>
        <v>517241</v>
      </c>
      <c r="B10427" s="2" t="str">
        <f>"ESTEIRA M. EMP TIM02-03 MAQ A"</f>
        <v>ESTEIRA M. EMP TIM02-03 MAQ A</v>
      </c>
      <c r="C10427" s="2" t="str">
        <f t="shared" si="405"/>
        <v>UN</v>
      </c>
      <c r="D10427" s="7">
        <v>918</v>
      </c>
      <c r="E10427" s="3">
        <v>11</v>
      </c>
      <c r="F10427" s="3">
        <v>11</v>
      </c>
      <c r="G10427" t="s">
        <v>513</v>
      </c>
    </row>
    <row r="10428" spans="1:7" x14ac:dyDescent="0.25">
      <c r="A10428" s="1" t="str">
        <f>"527050"</f>
        <v>527050</v>
      </c>
      <c r="B10428" s="2" t="str">
        <f>"ESTEIRA MOD. S-300 FECHADA EM ACETAL AZ. 11250 X 1000"</f>
        <v>ESTEIRA MOD. S-300 FECHADA EM ACETAL AZ. 11250 X 1000</v>
      </c>
      <c r="C10428" s="2" t="str">
        <f t="shared" si="405"/>
        <v>UN</v>
      </c>
      <c r="D10428" s="7">
        <v>918</v>
      </c>
      <c r="E10428" s="3">
        <v>11</v>
      </c>
      <c r="F10428" s="3">
        <v>11</v>
      </c>
      <c r="G10428" t="s">
        <v>512</v>
      </c>
    </row>
    <row r="10429" spans="1:7" x14ac:dyDescent="0.25">
      <c r="A10429" s="1" t="str">
        <f>"527513"</f>
        <v>527513</v>
      </c>
      <c r="B10429" s="2" t="str">
        <f>"ESTEIRA MOD. S-300 FECHADA EM ACETAL AZ. 6000 X 300MM"</f>
        <v>ESTEIRA MOD. S-300 FECHADA EM ACETAL AZ. 6000 X 300MM</v>
      </c>
      <c r="C10429" s="2" t="str">
        <f t="shared" si="405"/>
        <v>UN</v>
      </c>
      <c r="D10429" s="7">
        <v>918</v>
      </c>
      <c r="E10429" s="3">
        <v>11</v>
      </c>
      <c r="F10429" s="3">
        <v>11</v>
      </c>
      <c r="G10429" t="s">
        <v>513</v>
      </c>
    </row>
    <row r="10430" spans="1:7" x14ac:dyDescent="0.25">
      <c r="A10430" s="1" t="str">
        <f>"518664"</f>
        <v>518664</v>
      </c>
      <c r="B10430" s="2" t="str">
        <f>"ESTEIRA MODULAR FECHADA 350X35MM BRANCA S254"</f>
        <v>ESTEIRA MODULAR FECHADA 350X35MM BRANCA S254</v>
      </c>
      <c r="C10430" s="2" t="str">
        <f t="shared" si="405"/>
        <v>UN</v>
      </c>
      <c r="D10430" s="7">
        <v>918</v>
      </c>
      <c r="E10430" s="3">
        <v>11</v>
      </c>
      <c r="F10430" s="3">
        <v>11</v>
      </c>
      <c r="G10430" t="s">
        <v>514</v>
      </c>
    </row>
    <row r="10431" spans="1:7" x14ac:dyDescent="0.25">
      <c r="A10431" s="1" t="str">
        <f>"520443"</f>
        <v>520443</v>
      </c>
      <c r="B10431" s="2" t="str">
        <f>"ESTEIRA MODULAR FECHADA EM POLIPROPILENO CINZA S-300"</f>
        <v>ESTEIRA MODULAR FECHADA EM POLIPROPILENO CINZA S-300</v>
      </c>
      <c r="C10431" s="2" t="str">
        <f t="shared" si="405"/>
        <v>UN</v>
      </c>
      <c r="D10431" s="7">
        <v>918</v>
      </c>
      <c r="E10431" s="3">
        <v>11</v>
      </c>
      <c r="F10431" s="3">
        <v>11</v>
      </c>
      <c r="G10431" t="s">
        <v>514</v>
      </c>
    </row>
    <row r="10432" spans="1:7" x14ac:dyDescent="0.25">
      <c r="A10432" s="1" t="str">
        <f>"522963"</f>
        <v>522963</v>
      </c>
      <c r="B10432" s="8" t="s">
        <v>353</v>
      </c>
      <c r="C10432" s="2" t="str">
        <f>"MT"</f>
        <v>MT</v>
      </c>
      <c r="D10432" s="7">
        <v>918</v>
      </c>
      <c r="E10432" s="3">
        <v>10</v>
      </c>
      <c r="F10432" s="3">
        <v>10</v>
      </c>
      <c r="G10432" t="s">
        <v>514</v>
      </c>
    </row>
    <row r="10433" spans="1:7" x14ac:dyDescent="0.25">
      <c r="A10433" s="1" t="str">
        <f>"522962"</f>
        <v>522962</v>
      </c>
      <c r="B10433" s="8" t="s">
        <v>352</v>
      </c>
      <c r="C10433" s="2" t="str">
        <f>"MT"</f>
        <v>MT</v>
      </c>
      <c r="D10433" s="7">
        <v>918</v>
      </c>
      <c r="E10433" s="3">
        <v>10</v>
      </c>
      <c r="F10433" s="3">
        <v>10</v>
      </c>
      <c r="G10433" t="s">
        <v>513</v>
      </c>
    </row>
    <row r="10434" spans="1:7" x14ac:dyDescent="0.25">
      <c r="A10434" s="1" t="str">
        <f>"521701"</f>
        <v>521701</v>
      </c>
      <c r="B10434" s="8" t="s">
        <v>219</v>
      </c>
      <c r="C10434" s="2" t="str">
        <f t="shared" ref="C10434:C10465" si="406">"UN"</f>
        <v>UN</v>
      </c>
      <c r="D10434" s="7">
        <v>904</v>
      </c>
      <c r="E10434" s="3">
        <v>10</v>
      </c>
      <c r="F10434" s="3">
        <v>10</v>
      </c>
      <c r="G10434" t="s">
        <v>513</v>
      </c>
    </row>
    <row r="10435" spans="1:7" x14ac:dyDescent="0.25">
      <c r="A10435" s="1" t="str">
        <f>"519125"</f>
        <v>519125</v>
      </c>
      <c r="B10435" s="2" t="str">
        <f>"ESTEIRA PORTA CABOS SITILL FMX17"</f>
        <v>ESTEIRA PORTA CABOS SITILL FMX17</v>
      </c>
      <c r="C10435" s="2" t="str">
        <f t="shared" si="406"/>
        <v>UN</v>
      </c>
      <c r="D10435" s="7">
        <v>918</v>
      </c>
      <c r="E10435" s="3">
        <v>11</v>
      </c>
      <c r="F10435" s="3">
        <v>11</v>
      </c>
      <c r="G10435" t="s">
        <v>513</v>
      </c>
    </row>
    <row r="10436" spans="1:7" x14ac:dyDescent="0.25">
      <c r="A10436" s="1" t="str">
        <f>"525480"</f>
        <v>525480</v>
      </c>
      <c r="B10436" s="2" t="str">
        <f>"ESTEIRA PVC FECHADA 275 X 2230MM 2 LONA 199568"</f>
        <v>ESTEIRA PVC FECHADA 275 X 2230MM 2 LONA 199568</v>
      </c>
      <c r="C10436" s="2" t="str">
        <f t="shared" si="406"/>
        <v>UN</v>
      </c>
      <c r="D10436" s="7">
        <v>918</v>
      </c>
      <c r="E10436" s="3">
        <v>11</v>
      </c>
      <c r="F10436" s="3">
        <v>11</v>
      </c>
      <c r="G10436" t="s">
        <v>512</v>
      </c>
    </row>
    <row r="10437" spans="1:7" x14ac:dyDescent="0.25">
      <c r="A10437" s="1" t="str">
        <f>"512403"</f>
        <v>512403</v>
      </c>
      <c r="B10437" s="2" t="str">
        <f>"ESTEIRA S-300 AZUL 41%VASADO 7500X300MM"</f>
        <v>ESTEIRA S-300 AZUL 41%VASADO 7500X300MM</v>
      </c>
      <c r="C10437" s="2" t="str">
        <f t="shared" si="406"/>
        <v>UN</v>
      </c>
      <c r="D10437" s="7">
        <v>918</v>
      </c>
      <c r="E10437" s="3">
        <v>11</v>
      </c>
      <c r="F10437" s="3">
        <v>11</v>
      </c>
      <c r="G10437" t="s">
        <v>513</v>
      </c>
    </row>
    <row r="10438" spans="1:7" x14ac:dyDescent="0.25">
      <c r="A10438" s="1" t="str">
        <f>"519523"</f>
        <v>519523</v>
      </c>
      <c r="B10438" s="2" t="str">
        <f>"ESTEIRA S-300 FECHADA EM POLIPROPILENO CINZA 6000X400MM"</f>
        <v>ESTEIRA S-300 FECHADA EM POLIPROPILENO CINZA 6000X400MM</v>
      </c>
      <c r="C10438" s="2" t="str">
        <f t="shared" si="406"/>
        <v>UN</v>
      </c>
      <c r="D10438" s="7">
        <v>918</v>
      </c>
      <c r="E10438" s="3">
        <v>11</v>
      </c>
      <c r="F10438" s="3">
        <v>11</v>
      </c>
      <c r="G10438" t="s">
        <v>514</v>
      </c>
    </row>
    <row r="10439" spans="1:7" x14ac:dyDescent="0.25">
      <c r="A10439" s="1" t="str">
        <f>"519827"</f>
        <v>519827</v>
      </c>
      <c r="B10439" s="2" t="str">
        <f>"ESTEIRA S-300 VASADA POLIPROPILENO CINZA 3000X300MM"</f>
        <v>ESTEIRA S-300 VASADA POLIPROPILENO CINZA 3000X300MM</v>
      </c>
      <c r="C10439" s="2" t="str">
        <f t="shared" si="406"/>
        <v>UN</v>
      </c>
      <c r="D10439" s="7">
        <v>918</v>
      </c>
      <c r="E10439" s="3">
        <v>11</v>
      </c>
      <c r="F10439" s="3">
        <v>11</v>
      </c>
      <c r="G10439" t="s">
        <v>515</v>
      </c>
    </row>
    <row r="10440" spans="1:7" x14ac:dyDescent="0.25">
      <c r="A10440" s="1" t="str">
        <f>"519462"</f>
        <v>519462</v>
      </c>
      <c r="B10440" s="2" t="str">
        <f>"ESTEIRA S-300 VASADA POLIPROPILENO CINZA 6000X300MM"</f>
        <v>ESTEIRA S-300 VASADA POLIPROPILENO CINZA 6000X300MM</v>
      </c>
      <c r="C10440" s="2" t="str">
        <f t="shared" si="406"/>
        <v>UN</v>
      </c>
      <c r="D10440" s="7">
        <v>918</v>
      </c>
      <c r="E10440" s="3">
        <v>11</v>
      </c>
      <c r="F10440" s="3">
        <v>11</v>
      </c>
      <c r="G10440" t="s">
        <v>512</v>
      </c>
    </row>
    <row r="10441" spans="1:7" x14ac:dyDescent="0.25">
      <c r="A10441" s="1" t="str">
        <f>"512170"</f>
        <v>512170</v>
      </c>
      <c r="B10441" s="2" t="str">
        <f>"ESTEIRA TRANSP. 1301 SSC 815A325 L 82.5"</f>
        <v>ESTEIRA TRANSP. 1301 SSC 815A325 L 82.5</v>
      </c>
      <c r="C10441" s="2" t="str">
        <f t="shared" si="406"/>
        <v>UN</v>
      </c>
      <c r="D10441" s="7">
        <v>918</v>
      </c>
      <c r="E10441" s="3">
        <v>11</v>
      </c>
      <c r="F10441" s="3">
        <v>11</v>
      </c>
      <c r="G10441" t="s">
        <v>516</v>
      </c>
    </row>
    <row r="10442" spans="1:7" x14ac:dyDescent="0.25">
      <c r="A10442" s="1" t="str">
        <f>"508115"</f>
        <v>508115</v>
      </c>
      <c r="B10442" s="2" t="str">
        <f>"ESTEIRA TRANSPORTADORA ET1500MM S/ INV."</f>
        <v>ESTEIRA TRANSPORTADORA ET1500MM S/ INV.</v>
      </c>
      <c r="C10442" s="2" t="str">
        <f t="shared" si="406"/>
        <v>UN</v>
      </c>
      <c r="D10442" s="7">
        <v>918</v>
      </c>
      <c r="E10442" s="3">
        <v>11</v>
      </c>
      <c r="F10442" s="3">
        <v>11</v>
      </c>
      <c r="G10442" t="s">
        <v>515</v>
      </c>
    </row>
    <row r="10443" spans="1:7" x14ac:dyDescent="0.25">
      <c r="A10443" s="1" t="str">
        <f>"510477"</f>
        <v>510477</v>
      </c>
      <c r="B10443" s="2" t="str">
        <f>"ESTEIRA TRANSPORTADORA ET3500MM INOX 304"</f>
        <v>ESTEIRA TRANSPORTADORA ET3500MM INOX 304</v>
      </c>
      <c r="C10443" s="2" t="str">
        <f t="shared" si="406"/>
        <v>UN</v>
      </c>
      <c r="D10443" s="7">
        <v>1300</v>
      </c>
      <c r="E10443" s="3">
        <v>13</v>
      </c>
      <c r="F10443" s="3">
        <v>13</v>
      </c>
      <c r="G10443" t="s">
        <v>514</v>
      </c>
    </row>
    <row r="10444" spans="1:7" x14ac:dyDescent="0.25">
      <c r="A10444" s="1" t="str">
        <f>"511844"</f>
        <v>511844</v>
      </c>
      <c r="B10444" s="2" t="str">
        <f>"ESTEIRA USADA INTRALOX"</f>
        <v>ESTEIRA USADA INTRALOX</v>
      </c>
      <c r="C10444" s="2" t="str">
        <f t="shared" si="406"/>
        <v>UN</v>
      </c>
      <c r="D10444" s="7">
        <v>918</v>
      </c>
      <c r="E10444" s="3">
        <v>11</v>
      </c>
      <c r="F10444" s="3">
        <v>11</v>
      </c>
      <c r="G10444" t="s">
        <v>512</v>
      </c>
    </row>
    <row r="10445" spans="1:7" x14ac:dyDescent="0.25">
      <c r="A10445" s="1" t="str">
        <f>"511626"</f>
        <v>511626</v>
      </c>
      <c r="B10445" s="2" t="str">
        <f>"ESTEIRAS USADAS INTRALOX"</f>
        <v>ESTEIRAS USADAS INTRALOX</v>
      </c>
      <c r="C10445" s="2" t="str">
        <f t="shared" si="406"/>
        <v>UN</v>
      </c>
      <c r="D10445" s="7">
        <v>918</v>
      </c>
      <c r="E10445" s="3">
        <v>11</v>
      </c>
      <c r="F10445" s="3">
        <v>11</v>
      </c>
      <c r="G10445" t="s">
        <v>513</v>
      </c>
    </row>
    <row r="10446" spans="1:7" x14ac:dyDescent="0.25">
      <c r="A10446" s="1" t="str">
        <f>"527469"</f>
        <v>527469</v>
      </c>
      <c r="B10446" s="2" t="str">
        <f>"ESTENCIL NUMEROS"</f>
        <v>ESTENCIL NUMEROS</v>
      </c>
      <c r="C10446" s="2" t="str">
        <f t="shared" si="406"/>
        <v>UN</v>
      </c>
      <c r="D10446" s="7">
        <v>99999</v>
      </c>
      <c r="E10446" s="3">
        <v>99</v>
      </c>
      <c r="F10446" s="3">
        <v>99</v>
      </c>
      <c r="G10446" t="s">
        <v>514</v>
      </c>
    </row>
    <row r="10447" spans="1:7" x14ac:dyDescent="0.25">
      <c r="A10447" s="1" t="str">
        <f>"515411"</f>
        <v>515411</v>
      </c>
      <c r="B10447" s="2" t="str">
        <f>"ESTERILIZADOR IT LH058"</f>
        <v>ESTERILIZADOR IT LH058</v>
      </c>
      <c r="C10447" s="2" t="str">
        <f t="shared" si="406"/>
        <v>UN</v>
      </c>
      <c r="D10447" s="7">
        <v>912</v>
      </c>
      <c r="E10447" s="3">
        <v>4</v>
      </c>
      <c r="F10447" s="3">
        <v>4</v>
      </c>
      <c r="G10447" t="s">
        <v>514</v>
      </c>
    </row>
    <row r="10448" spans="1:7" x14ac:dyDescent="0.25">
      <c r="A10448" s="1" t="str">
        <f>"514996"</f>
        <v>514996</v>
      </c>
      <c r="B10448" s="2" t="str">
        <f>"ESTERILIZADOR TUBULAR PARA LEITE ACHOCOLATADO"</f>
        <v>ESTERILIZADOR TUBULAR PARA LEITE ACHOCOLATADO</v>
      </c>
      <c r="C10448" s="2" t="str">
        <f t="shared" si="406"/>
        <v>UN</v>
      </c>
      <c r="D10448" s="7">
        <v>1300</v>
      </c>
      <c r="E10448" s="3">
        <v>13</v>
      </c>
      <c r="F10448" s="3">
        <v>13</v>
      </c>
      <c r="G10448" t="s">
        <v>512</v>
      </c>
    </row>
    <row r="10449" spans="1:7" x14ac:dyDescent="0.25">
      <c r="A10449" s="1" t="str">
        <f>"516921"</f>
        <v>516921</v>
      </c>
      <c r="B10449" s="2" t="str">
        <f>"ESTETOSCOPIO CARDIOLOGICO PREMIUM"</f>
        <v>ESTETOSCOPIO CARDIOLOGICO PREMIUM</v>
      </c>
      <c r="C10449" s="2" t="str">
        <f t="shared" si="406"/>
        <v>UN</v>
      </c>
      <c r="D10449" s="7">
        <v>817</v>
      </c>
      <c r="E10449" s="3">
        <v>4</v>
      </c>
      <c r="F10449" s="3">
        <v>4</v>
      </c>
      <c r="G10449" t="s">
        <v>513</v>
      </c>
    </row>
    <row r="10450" spans="1:7" x14ac:dyDescent="0.25">
      <c r="A10450" s="1" t="str">
        <f>"509140"</f>
        <v>509140</v>
      </c>
      <c r="B10450" s="2" t="str">
        <f>"ESTICADOR DE CORREIA"</f>
        <v>ESTICADOR DE CORREIA</v>
      </c>
      <c r="C10450" s="2" t="str">
        <f t="shared" si="406"/>
        <v>UN</v>
      </c>
      <c r="D10450" s="7">
        <v>704</v>
      </c>
      <c r="E10450" s="3">
        <v>9</v>
      </c>
      <c r="F10450" s="3">
        <v>9</v>
      </c>
      <c r="G10450" t="s">
        <v>514</v>
      </c>
    </row>
    <row r="10451" spans="1:7" x14ac:dyDescent="0.25">
      <c r="A10451" s="1" t="str">
        <f>"501888"</f>
        <v>501888</v>
      </c>
      <c r="B10451" s="2" t="str">
        <f>"ESTICADOR OLHAL-OLHAL 1/4"</f>
        <v>ESTICADOR OLHAL-OLHAL 1/4</v>
      </c>
      <c r="C10451" s="2" t="str">
        <f t="shared" si="406"/>
        <v>UN</v>
      </c>
      <c r="D10451" s="7">
        <v>402</v>
      </c>
      <c r="E10451" s="3">
        <v>4</v>
      </c>
      <c r="F10451" s="3">
        <v>4</v>
      </c>
      <c r="G10451" t="s">
        <v>514</v>
      </c>
    </row>
    <row r="10452" spans="1:7" x14ac:dyDescent="0.25">
      <c r="A10452" s="1" t="str">
        <f>"521446"</f>
        <v>521446</v>
      </c>
      <c r="B10452" s="2" t="str">
        <f>"ESTICADOR P/ ARAME LISO"</f>
        <v>ESTICADOR P/ ARAME LISO</v>
      </c>
      <c r="C10452" s="2" t="str">
        <f t="shared" si="406"/>
        <v>UN</v>
      </c>
      <c r="D10452" s="7">
        <v>402</v>
      </c>
      <c r="E10452" s="3">
        <v>4</v>
      </c>
      <c r="F10452" s="3">
        <v>4</v>
      </c>
      <c r="G10452" t="s">
        <v>514</v>
      </c>
    </row>
    <row r="10453" spans="1:7" x14ac:dyDescent="0.25">
      <c r="A10453" s="1" t="str">
        <f>"527885"</f>
        <v>527885</v>
      </c>
      <c r="B10453" s="2" t="str">
        <f>"ESTICADOR P/ CABO DE AÇO 1,4"" FORJADO GANCHO X OLHAL GXO M12"</f>
        <v>ESTICADOR P/ CABO DE AÇO 1,4" FORJADO GANCHO X OLHAL GXO M12</v>
      </c>
      <c r="C10453" s="2" t="str">
        <f t="shared" si="406"/>
        <v>UN</v>
      </c>
      <c r="D10453" s="7">
        <v>917</v>
      </c>
      <c r="E10453" s="3">
        <v>10</v>
      </c>
      <c r="F10453" s="3">
        <v>10</v>
      </c>
      <c r="G10453" t="s">
        <v>513</v>
      </c>
    </row>
    <row r="10454" spans="1:7" x14ac:dyDescent="0.25">
      <c r="A10454" s="1" t="str">
        <f>"509833"</f>
        <v>509833</v>
      </c>
      <c r="B10454" s="2" t="str">
        <f>"ESTICADOR P/ CABO DE AÇO 3/8"""</f>
        <v>ESTICADOR P/ CABO DE AÇO 3/8"</v>
      </c>
      <c r="C10454" s="2" t="str">
        <f t="shared" si="406"/>
        <v>UN</v>
      </c>
      <c r="D10454" s="7">
        <v>402</v>
      </c>
      <c r="E10454" s="3">
        <v>4</v>
      </c>
      <c r="F10454" s="3">
        <v>4</v>
      </c>
      <c r="G10454" t="s">
        <v>512</v>
      </c>
    </row>
    <row r="10455" spans="1:7" x14ac:dyDescent="0.25">
      <c r="A10455" s="1" t="str">
        <f>"522925"</f>
        <v>522925</v>
      </c>
      <c r="B10455" s="2" t="str">
        <f>"ESTICADOR P/ CABO DE AÇO 5/8"</f>
        <v>ESTICADOR P/ CABO DE AÇO 5/8</v>
      </c>
      <c r="C10455" s="2" t="str">
        <f t="shared" si="406"/>
        <v>UN</v>
      </c>
      <c r="D10455" s="7">
        <v>917</v>
      </c>
      <c r="E10455" s="3">
        <v>10</v>
      </c>
      <c r="F10455" s="3">
        <v>10</v>
      </c>
      <c r="G10455" t="s">
        <v>513</v>
      </c>
    </row>
    <row r="10456" spans="1:7" x14ac:dyDescent="0.25">
      <c r="A10456" s="1" t="str">
        <f>"513785"</f>
        <v>513785</v>
      </c>
      <c r="B10456" s="2" t="str">
        <f>"ESTILETE STARRET RETRATIL S011"</f>
        <v>ESTILETE STARRET RETRATIL S011</v>
      </c>
      <c r="C10456" s="2" t="str">
        <f t="shared" si="406"/>
        <v>UN</v>
      </c>
      <c r="D10456" s="7">
        <v>401</v>
      </c>
      <c r="E10456" s="3">
        <v>4</v>
      </c>
      <c r="F10456" s="3">
        <v>4</v>
      </c>
      <c r="G10456" t="s">
        <v>514</v>
      </c>
    </row>
    <row r="10457" spans="1:7" x14ac:dyDescent="0.25">
      <c r="A10457" s="1" t="str">
        <f>"513067"</f>
        <v>513067</v>
      </c>
      <c r="B10457" s="2" t="str">
        <f>"ESTIRANTE REGULAGEM"</f>
        <v>ESTIRANTE REGULAGEM</v>
      </c>
      <c r="C10457" s="2" t="str">
        <f t="shared" si="406"/>
        <v>UN</v>
      </c>
      <c r="D10457" s="7">
        <v>704</v>
      </c>
      <c r="E10457" s="3">
        <v>9</v>
      </c>
      <c r="F10457" s="3">
        <v>9</v>
      </c>
      <c r="G10457" t="s">
        <v>514</v>
      </c>
    </row>
    <row r="10458" spans="1:7" x14ac:dyDescent="0.25">
      <c r="A10458" s="1" t="str">
        <f>"515218"</f>
        <v>515218</v>
      </c>
      <c r="B10458" s="2" t="str">
        <f>"ESTOJO"</f>
        <v>ESTOJO</v>
      </c>
      <c r="C10458" s="2" t="str">
        <f t="shared" si="406"/>
        <v>UN</v>
      </c>
      <c r="D10458" s="7">
        <v>401</v>
      </c>
      <c r="E10458" s="3">
        <v>4</v>
      </c>
      <c r="F10458" s="3">
        <v>4</v>
      </c>
      <c r="G10458" t="s">
        <v>514</v>
      </c>
    </row>
    <row r="10459" spans="1:7" x14ac:dyDescent="0.25">
      <c r="A10459" s="1" t="str">
        <f>"524803"</f>
        <v>524803</v>
      </c>
      <c r="B10459" s="8" t="s">
        <v>418</v>
      </c>
      <c r="C10459" s="2" t="str">
        <f t="shared" si="406"/>
        <v>UN</v>
      </c>
      <c r="D10459" s="7">
        <v>501</v>
      </c>
      <c r="E10459" s="3">
        <v>10</v>
      </c>
      <c r="F10459" s="3">
        <v>10</v>
      </c>
      <c r="G10459" t="s">
        <v>513</v>
      </c>
    </row>
    <row r="10460" spans="1:7" x14ac:dyDescent="0.25">
      <c r="A10460" s="1" t="str">
        <f>"514322"</f>
        <v>514322</v>
      </c>
      <c r="B10460" s="2" t="str">
        <f>"ESTOJO PARA PESOS 1G A 200G"</f>
        <v>ESTOJO PARA PESOS 1G A 200G</v>
      </c>
      <c r="C10460" s="2" t="str">
        <f t="shared" si="406"/>
        <v>UN</v>
      </c>
      <c r="D10460" s="7">
        <v>406</v>
      </c>
      <c r="E10460" s="3">
        <v>4</v>
      </c>
      <c r="F10460" s="3">
        <v>4</v>
      </c>
      <c r="G10460" t="s">
        <v>513</v>
      </c>
    </row>
    <row r="10461" spans="1:7" x14ac:dyDescent="0.25">
      <c r="A10461" s="1" t="str">
        <f>"514312"</f>
        <v>514312</v>
      </c>
      <c r="B10461" s="2" t="str">
        <f>"ESTOJO PARA PESOS 1MG A 500MG"</f>
        <v>ESTOJO PARA PESOS 1MG A 500MG</v>
      </c>
      <c r="C10461" s="2" t="str">
        <f t="shared" si="406"/>
        <v>UN</v>
      </c>
      <c r="D10461" s="7">
        <v>406</v>
      </c>
      <c r="E10461" s="3">
        <v>4</v>
      </c>
      <c r="F10461" s="3">
        <v>4</v>
      </c>
      <c r="G10461" t="s">
        <v>513</v>
      </c>
    </row>
    <row r="10462" spans="1:7" x14ac:dyDescent="0.25">
      <c r="A10462" s="1" t="str">
        <f>"514326"</f>
        <v>514326</v>
      </c>
      <c r="B10462" s="2" t="str">
        <f>"ESTOJO PARA PESOS 500G A 1KG"</f>
        <v>ESTOJO PARA PESOS 500G A 1KG</v>
      </c>
      <c r="C10462" s="2" t="str">
        <f t="shared" si="406"/>
        <v>UN</v>
      </c>
      <c r="D10462" s="7">
        <v>406</v>
      </c>
      <c r="E10462" s="3">
        <v>4</v>
      </c>
      <c r="F10462" s="3">
        <v>4</v>
      </c>
      <c r="G10462" t="s">
        <v>512</v>
      </c>
    </row>
    <row r="10463" spans="1:7" x14ac:dyDescent="0.25">
      <c r="A10463" s="1" t="str">
        <f>"513330"</f>
        <v>513330</v>
      </c>
      <c r="B10463" s="2" t="str">
        <f>"ESTOJO PARA TESTE DE PH/CLORO"</f>
        <v>ESTOJO PARA TESTE DE PH/CLORO</v>
      </c>
      <c r="C10463" s="2" t="str">
        <f t="shared" si="406"/>
        <v>UN</v>
      </c>
      <c r="D10463" s="7">
        <v>406</v>
      </c>
      <c r="E10463" s="3">
        <v>4</v>
      </c>
      <c r="F10463" s="3">
        <v>4</v>
      </c>
      <c r="G10463" t="s">
        <v>513</v>
      </c>
    </row>
    <row r="10464" spans="1:7" x14ac:dyDescent="0.25">
      <c r="A10464" s="1" t="str">
        <f>"520723"</f>
        <v>520723</v>
      </c>
      <c r="B10464" s="2" t="str">
        <f>"ESTOPA DE CANHAMO"</f>
        <v>ESTOPA DE CANHAMO</v>
      </c>
      <c r="C10464" s="2" t="str">
        <f t="shared" si="406"/>
        <v>UN</v>
      </c>
      <c r="D10464" s="7">
        <v>99999</v>
      </c>
      <c r="E10464" s="3">
        <v>99</v>
      </c>
      <c r="F10464" s="3">
        <v>99</v>
      </c>
      <c r="G10464" t="s">
        <v>514</v>
      </c>
    </row>
    <row r="10465" spans="1:7" x14ac:dyDescent="0.25">
      <c r="A10465" s="1" t="str">
        <f>"501990"</f>
        <v>501990</v>
      </c>
      <c r="B10465" s="2" t="str">
        <f>"ESTOPA P/ LIMPEZA"</f>
        <v>ESTOPA P/ LIMPEZA</v>
      </c>
      <c r="C10465" s="2" t="str">
        <f t="shared" si="406"/>
        <v>UN</v>
      </c>
      <c r="D10465" s="7">
        <v>99999</v>
      </c>
      <c r="E10465" s="3">
        <v>10</v>
      </c>
      <c r="F10465" s="3">
        <v>10</v>
      </c>
      <c r="G10465" t="s">
        <v>515</v>
      </c>
    </row>
    <row r="10466" spans="1:7" x14ac:dyDescent="0.25">
      <c r="A10466" s="1" t="str">
        <f>"513603"</f>
        <v>513603</v>
      </c>
      <c r="B10466" s="2" t="str">
        <f>"ESTOPA P/ LIMPEZA (CAMINHÕES)"</f>
        <v>ESTOPA P/ LIMPEZA (CAMINHÕES)</v>
      </c>
      <c r="C10466" s="2" t="str">
        <f t="shared" ref="C10466:C10488" si="407">"UN"</f>
        <v>UN</v>
      </c>
      <c r="D10466" s="7">
        <v>99999</v>
      </c>
      <c r="E10466" s="3">
        <v>99</v>
      </c>
      <c r="F10466" s="3">
        <v>99</v>
      </c>
      <c r="G10466" t="s">
        <v>512</v>
      </c>
    </row>
    <row r="10467" spans="1:7" x14ac:dyDescent="0.25">
      <c r="A10467" s="1" t="str">
        <f>"517010"</f>
        <v>517010</v>
      </c>
      <c r="B10467" s="2" t="str">
        <f>"ESTRADO BRANCO PLASTICO 50X50CM"</f>
        <v>ESTRADO BRANCO PLASTICO 50X50CM</v>
      </c>
      <c r="C10467" s="2" t="str">
        <f t="shared" si="407"/>
        <v>UN</v>
      </c>
      <c r="D10467" s="7">
        <v>915</v>
      </c>
      <c r="E10467" s="3">
        <v>10</v>
      </c>
      <c r="F10467" s="3">
        <v>10</v>
      </c>
      <c r="G10467" t="s">
        <v>516</v>
      </c>
    </row>
    <row r="10468" spans="1:7" x14ac:dyDescent="0.25">
      <c r="A10468" s="1" t="str">
        <f>"512390"</f>
        <v>512390</v>
      </c>
      <c r="B10468" s="2" t="str">
        <f>"ESTRADO MAQUINA BRASKOP RETILINEA"</f>
        <v>ESTRADO MAQUINA BRASKOP RETILINEA</v>
      </c>
      <c r="C10468" s="2" t="str">
        <f t="shared" si="407"/>
        <v>UN</v>
      </c>
      <c r="D10468" s="7">
        <v>918</v>
      </c>
      <c r="E10468" s="3">
        <v>11</v>
      </c>
      <c r="F10468" s="3">
        <v>11</v>
      </c>
      <c r="G10468" t="s">
        <v>515</v>
      </c>
    </row>
    <row r="10469" spans="1:7" x14ac:dyDescent="0.25">
      <c r="A10469" s="1" t="str">
        <f>"509299"</f>
        <v>509299</v>
      </c>
      <c r="B10469" s="2" t="str">
        <f>"ESTRATOR DE GRAMPOS"</f>
        <v>ESTRATOR DE GRAMPOS</v>
      </c>
      <c r="C10469" s="2" t="str">
        <f t="shared" si="407"/>
        <v>UN</v>
      </c>
      <c r="D10469" s="7">
        <v>401</v>
      </c>
      <c r="E10469" s="3">
        <v>4</v>
      </c>
      <c r="F10469" s="3">
        <v>4</v>
      </c>
      <c r="G10469" t="s">
        <v>514</v>
      </c>
    </row>
    <row r="10470" spans="1:7" x14ac:dyDescent="0.25">
      <c r="A10470" s="1" t="str">
        <f>"518781"</f>
        <v>518781</v>
      </c>
      <c r="B10470" s="2" t="str">
        <f>"ESTRELA DE ENTRADA AMARELO 160GR"</f>
        <v>ESTRELA DE ENTRADA AMARELO 160GR</v>
      </c>
      <c r="C10470" s="2" t="str">
        <f t="shared" si="407"/>
        <v>UN</v>
      </c>
      <c r="D10470" s="7">
        <v>918</v>
      </c>
      <c r="E10470" s="3">
        <v>11</v>
      </c>
      <c r="F10470" s="3">
        <v>11</v>
      </c>
      <c r="G10470" t="s">
        <v>512</v>
      </c>
    </row>
    <row r="10471" spans="1:7" x14ac:dyDescent="0.25">
      <c r="A10471" s="1" t="str">
        <f>"518768"</f>
        <v>518768</v>
      </c>
      <c r="B10471" s="2" t="str">
        <f>"ESTRELA DE ENTRADA AZUL 180GR"</f>
        <v>ESTRELA DE ENTRADA AZUL 180GR</v>
      </c>
      <c r="C10471" s="2" t="str">
        <f t="shared" si="407"/>
        <v>UN</v>
      </c>
      <c r="D10471" s="7">
        <v>918</v>
      </c>
      <c r="E10471" s="3">
        <v>11</v>
      </c>
      <c r="F10471" s="3">
        <v>11</v>
      </c>
      <c r="G10471" t="s">
        <v>513</v>
      </c>
    </row>
    <row r="10472" spans="1:7" x14ac:dyDescent="0.25">
      <c r="A10472" s="1" t="str">
        <f>"518784"</f>
        <v>518784</v>
      </c>
      <c r="B10472" s="2" t="str">
        <f>"ESTRELA DE SAIDA AMARELO 160GR"</f>
        <v>ESTRELA DE SAIDA AMARELO 160GR</v>
      </c>
      <c r="C10472" s="2" t="str">
        <f t="shared" si="407"/>
        <v>UN</v>
      </c>
      <c r="D10472" s="7">
        <v>918</v>
      </c>
      <c r="E10472" s="3">
        <v>11</v>
      </c>
      <c r="F10472" s="3">
        <v>11</v>
      </c>
      <c r="G10472" t="s">
        <v>514</v>
      </c>
    </row>
    <row r="10473" spans="1:7" x14ac:dyDescent="0.25">
      <c r="A10473" s="1" t="str">
        <f>"518771"</f>
        <v>518771</v>
      </c>
      <c r="B10473" s="2" t="str">
        <f>"ESTRELA DE SAIDA AZUL 180GR"</f>
        <v>ESTRELA DE SAIDA AZUL 180GR</v>
      </c>
      <c r="C10473" s="2" t="str">
        <f t="shared" si="407"/>
        <v>UN</v>
      </c>
      <c r="D10473" s="7">
        <v>918</v>
      </c>
      <c r="E10473" s="3">
        <v>11</v>
      </c>
      <c r="F10473" s="3">
        <v>11</v>
      </c>
      <c r="G10473" t="s">
        <v>514</v>
      </c>
    </row>
    <row r="10474" spans="1:7" x14ac:dyDescent="0.25">
      <c r="A10474" s="1" t="str">
        <f>"518788"</f>
        <v>518788</v>
      </c>
      <c r="B10474" s="2" t="str">
        <f>"ESTRELA DO SILDADOR AMARELO 160GR"</f>
        <v>ESTRELA DO SILDADOR AMARELO 160GR</v>
      </c>
      <c r="C10474" s="2" t="str">
        <f t="shared" si="407"/>
        <v>UN</v>
      </c>
      <c r="D10474" s="7">
        <v>918</v>
      </c>
      <c r="E10474" s="3">
        <v>11</v>
      </c>
      <c r="F10474" s="3">
        <v>11</v>
      </c>
      <c r="G10474" t="s">
        <v>512</v>
      </c>
    </row>
    <row r="10475" spans="1:7" x14ac:dyDescent="0.25">
      <c r="A10475" s="1" t="str">
        <f>"518775"</f>
        <v>518775</v>
      </c>
      <c r="B10475" s="2" t="str">
        <f>"ESTRELA DO SOLDADOR AZUL 180GR"</f>
        <v>ESTRELA DO SOLDADOR AZUL 180GR</v>
      </c>
      <c r="C10475" s="2" t="str">
        <f t="shared" si="407"/>
        <v>UN</v>
      </c>
      <c r="D10475" s="7">
        <v>918</v>
      </c>
      <c r="E10475" s="3">
        <v>11</v>
      </c>
      <c r="F10475" s="3">
        <v>11</v>
      </c>
      <c r="G10475" t="s">
        <v>513</v>
      </c>
    </row>
    <row r="10476" spans="1:7" x14ac:dyDescent="0.25">
      <c r="A10476" s="1" t="str">
        <f>"518783"</f>
        <v>518783</v>
      </c>
      <c r="B10476" s="2" t="str">
        <f>"ESTRELA INTERMEDIARIA AMARELO 160GR"</f>
        <v>ESTRELA INTERMEDIARIA AMARELO 160GR</v>
      </c>
      <c r="C10476" s="2" t="str">
        <f t="shared" si="407"/>
        <v>UN</v>
      </c>
      <c r="D10476" s="7">
        <v>918</v>
      </c>
      <c r="E10476" s="3">
        <v>11</v>
      </c>
      <c r="F10476" s="3">
        <v>11</v>
      </c>
      <c r="G10476" t="s">
        <v>514</v>
      </c>
    </row>
    <row r="10477" spans="1:7" x14ac:dyDescent="0.25">
      <c r="A10477" s="1" t="str">
        <f>"518770"</f>
        <v>518770</v>
      </c>
      <c r="B10477" s="2" t="str">
        <f>"ESTRELA INTERMEDIARIA AZUL 180GR"</f>
        <v>ESTRELA INTERMEDIARIA AZUL 180GR</v>
      </c>
      <c r="C10477" s="2" t="str">
        <f t="shared" si="407"/>
        <v>UN</v>
      </c>
      <c r="D10477" s="7">
        <v>918</v>
      </c>
      <c r="E10477" s="3">
        <v>11</v>
      </c>
      <c r="F10477" s="3">
        <v>11</v>
      </c>
      <c r="G10477" t="s">
        <v>514</v>
      </c>
    </row>
    <row r="10478" spans="1:7" x14ac:dyDescent="0.25">
      <c r="A10478" s="1" t="str">
        <f>"515963"</f>
        <v>515963</v>
      </c>
      <c r="B10478" s="2" t="str">
        <f>"ESTRELA PICK AND PLACE"</f>
        <v>ESTRELA PICK AND PLACE</v>
      </c>
      <c r="C10478" s="2" t="str">
        <f t="shared" si="407"/>
        <v>UN</v>
      </c>
      <c r="D10478" s="7">
        <v>99999</v>
      </c>
      <c r="E10478" s="3">
        <v>99</v>
      </c>
      <c r="F10478" s="3">
        <v>99</v>
      </c>
      <c r="G10478" t="s">
        <v>514</v>
      </c>
    </row>
    <row r="10479" spans="1:7" x14ac:dyDescent="0.25">
      <c r="A10479" s="1" t="str">
        <f>"504223"</f>
        <v>504223</v>
      </c>
      <c r="B10479" s="2" t="str">
        <f>"ESTRIBO"</f>
        <v>ESTRIBO</v>
      </c>
      <c r="C10479" s="2" t="str">
        <f t="shared" si="407"/>
        <v>UN</v>
      </c>
      <c r="D10479" s="7">
        <v>704</v>
      </c>
      <c r="E10479" s="3">
        <v>9</v>
      </c>
      <c r="F10479" s="3">
        <v>9</v>
      </c>
      <c r="G10479" t="s">
        <v>513</v>
      </c>
    </row>
    <row r="10480" spans="1:7" x14ac:dyDescent="0.25">
      <c r="A10480" s="1" t="str">
        <f>"506043"</f>
        <v>506043</v>
      </c>
      <c r="B10480" s="2" t="str">
        <f>"ESTRIBO DIREITO CABINE (IVECO)"</f>
        <v>ESTRIBO DIREITO CABINE (IVECO)</v>
      </c>
      <c r="C10480" s="2" t="str">
        <f t="shared" si="407"/>
        <v>UN</v>
      </c>
      <c r="D10480" s="7">
        <v>704</v>
      </c>
      <c r="E10480" s="3">
        <v>9</v>
      </c>
      <c r="F10480" s="3">
        <v>9</v>
      </c>
      <c r="G10480" t="s">
        <v>512</v>
      </c>
    </row>
    <row r="10481" spans="1:7" x14ac:dyDescent="0.25">
      <c r="A10481" s="1" t="str">
        <f>"519818"</f>
        <v>519818</v>
      </c>
      <c r="B10481" s="2" t="str">
        <f>"ESTRIBO LD 1722 2010"</f>
        <v>ESTRIBO LD 1722 2010</v>
      </c>
      <c r="C10481" s="2" t="str">
        <f t="shared" si="407"/>
        <v>UN</v>
      </c>
      <c r="D10481" s="7">
        <v>704</v>
      </c>
      <c r="E10481" s="3">
        <v>4</v>
      </c>
      <c r="F10481" s="3">
        <v>4</v>
      </c>
      <c r="G10481" t="s">
        <v>513</v>
      </c>
    </row>
    <row r="10482" spans="1:7" x14ac:dyDescent="0.25">
      <c r="A10482" s="1" t="str">
        <f>"519817"</f>
        <v>519817</v>
      </c>
      <c r="B10482" s="2" t="str">
        <f>"ESTRIBO LE 1722 2010"</f>
        <v>ESTRIBO LE 1722 2010</v>
      </c>
      <c r="C10482" s="2" t="str">
        <f t="shared" si="407"/>
        <v>UN</v>
      </c>
      <c r="D10482" s="7">
        <v>704</v>
      </c>
      <c r="E10482" s="3">
        <v>4</v>
      </c>
      <c r="F10482" s="3">
        <v>4</v>
      </c>
      <c r="G10482" t="s">
        <v>514</v>
      </c>
    </row>
    <row r="10483" spans="1:7" x14ac:dyDescent="0.25">
      <c r="A10483" s="1" t="str">
        <f>"504176"</f>
        <v>504176</v>
      </c>
      <c r="B10483" s="2" t="str">
        <f>"ESTRIBO LE ORIGINAL COD.1C45 6820046 BX"</f>
        <v>ESTRIBO LE ORIGINAL COD.1C45 6820046 BX</v>
      </c>
      <c r="C10483" s="2" t="str">
        <f t="shared" si="407"/>
        <v>UN</v>
      </c>
      <c r="D10483" s="7">
        <v>704</v>
      </c>
      <c r="E10483" s="3">
        <v>9</v>
      </c>
      <c r="F10483" s="3">
        <v>9</v>
      </c>
      <c r="G10483" t="s">
        <v>514</v>
      </c>
    </row>
    <row r="10484" spans="1:7" x14ac:dyDescent="0.25">
      <c r="A10484" s="1" t="str">
        <f>"522815"</f>
        <v>522815</v>
      </c>
      <c r="B10484" s="2" t="str">
        <f>"ESTRUTURA 685X1150 - L2.6"</f>
        <v>ESTRUTURA 685X1150 - L2.6</v>
      </c>
      <c r="C10484" s="2" t="str">
        <f t="shared" si="407"/>
        <v>UN</v>
      </c>
      <c r="D10484" s="7">
        <v>99999</v>
      </c>
      <c r="E10484" s="3">
        <v>99</v>
      </c>
      <c r="F10484" s="3">
        <v>99</v>
      </c>
      <c r="G10484" t="s">
        <v>514</v>
      </c>
    </row>
    <row r="10485" spans="1:7" x14ac:dyDescent="0.25">
      <c r="A10485" s="1" t="str">
        <f>"527932"</f>
        <v>527932</v>
      </c>
      <c r="B10485" s="2" t="str">
        <f>"ESTRUTURA FIXACAO LINHA DE VIDA 1.100MM"</f>
        <v>ESTRUTURA FIXACAO LINHA DE VIDA 1.100MM</v>
      </c>
      <c r="C10485" s="2" t="str">
        <f t="shared" si="407"/>
        <v>UN</v>
      </c>
      <c r="D10485" s="7">
        <v>917</v>
      </c>
      <c r="E10485" s="3">
        <v>10</v>
      </c>
      <c r="F10485" s="3">
        <v>10</v>
      </c>
      <c r="G10485" t="s">
        <v>513</v>
      </c>
    </row>
    <row r="10486" spans="1:7" x14ac:dyDescent="0.25">
      <c r="A10486" s="1" t="str">
        <f>"527933"</f>
        <v>527933</v>
      </c>
      <c r="B10486" s="2" t="str">
        <f>"ESTRUTURA FIXACAO LINHA DE VIDA 1.500MM"</f>
        <v>ESTRUTURA FIXACAO LINHA DE VIDA 1.500MM</v>
      </c>
      <c r="C10486" s="2" t="str">
        <f t="shared" si="407"/>
        <v>UN</v>
      </c>
      <c r="D10486" s="7">
        <v>917</v>
      </c>
      <c r="E10486" s="3">
        <v>10</v>
      </c>
      <c r="F10486" s="3">
        <v>10</v>
      </c>
      <c r="G10486" t="s">
        <v>513</v>
      </c>
    </row>
    <row r="10487" spans="1:7" x14ac:dyDescent="0.25">
      <c r="A10487" s="1" t="str">
        <f>"527931"</f>
        <v>527931</v>
      </c>
      <c r="B10487" s="2" t="str">
        <f>"ESTRUTURA FIXACAO LINHA DE VIDA 700MM"</f>
        <v>ESTRUTURA FIXACAO LINHA DE VIDA 700MM</v>
      </c>
      <c r="C10487" s="2" t="str">
        <f t="shared" si="407"/>
        <v>UN</v>
      </c>
      <c r="D10487" s="7">
        <v>917</v>
      </c>
      <c r="E10487" s="3">
        <v>10</v>
      </c>
      <c r="F10487" s="3">
        <v>10</v>
      </c>
      <c r="G10487" t="s">
        <v>513</v>
      </c>
    </row>
    <row r="10488" spans="1:7" x14ac:dyDescent="0.25">
      <c r="A10488" s="1" t="str">
        <f>"510413"</f>
        <v>510413</v>
      </c>
      <c r="B10488" s="2" t="str">
        <f>"ESTRUTURA METALICA"</f>
        <v>ESTRUTURA METALICA</v>
      </c>
      <c r="C10488" s="2" t="str">
        <f t="shared" si="407"/>
        <v>UN</v>
      </c>
      <c r="D10488" s="7">
        <v>1700</v>
      </c>
      <c r="E10488" s="3">
        <v>13</v>
      </c>
      <c r="F10488" s="3">
        <v>13</v>
      </c>
      <c r="G10488" t="s">
        <v>512</v>
      </c>
    </row>
    <row r="10489" spans="1:7" x14ac:dyDescent="0.25">
      <c r="A10489" s="1" t="str">
        <f>"518964"</f>
        <v>518964</v>
      </c>
      <c r="B10489" s="2" t="str">
        <f>"ESTRUTURA METALICA USADA"</f>
        <v>ESTRUTURA METALICA USADA</v>
      </c>
      <c r="C10489" s="2" t="str">
        <f>"M2"</f>
        <v>M2</v>
      </c>
      <c r="D10489" s="7">
        <v>1700</v>
      </c>
      <c r="E10489" s="3">
        <v>10</v>
      </c>
      <c r="F10489" s="3">
        <v>10</v>
      </c>
      <c r="G10489" t="s">
        <v>513</v>
      </c>
    </row>
    <row r="10490" spans="1:7" x14ac:dyDescent="0.25">
      <c r="A10490" s="1" t="str">
        <f>"521992"</f>
        <v>521992</v>
      </c>
      <c r="B10490" s="2" t="str">
        <f>"ESTUFA BACTERIOLOGICA 22L 220V"</f>
        <v>ESTUFA BACTERIOLOGICA 22L 220V</v>
      </c>
      <c r="C10490" s="2" t="str">
        <f t="shared" ref="C10490:C10500" si="408">"UN"</f>
        <v>UN</v>
      </c>
      <c r="D10490" s="7">
        <v>99999</v>
      </c>
      <c r="E10490" s="3">
        <v>99</v>
      </c>
      <c r="F10490" s="3">
        <v>99</v>
      </c>
      <c r="G10490" t="s">
        <v>514</v>
      </c>
    </row>
    <row r="10491" spans="1:7" x14ac:dyDescent="0.25">
      <c r="A10491" s="1" t="str">
        <f>"523627"</f>
        <v>523627</v>
      </c>
      <c r="B10491" s="2" t="str">
        <f>"ESTUFA BACTERIOLOGICA 30L SSB"</f>
        <v>ESTUFA BACTERIOLOGICA 30L SSB</v>
      </c>
      <c r="C10491" s="2" t="str">
        <f t="shared" si="408"/>
        <v>UN</v>
      </c>
      <c r="D10491" s="7">
        <v>99999</v>
      </c>
      <c r="E10491" s="3">
        <v>99</v>
      </c>
      <c r="F10491" s="3">
        <v>99</v>
      </c>
      <c r="G10491" t="s">
        <v>515</v>
      </c>
    </row>
    <row r="10492" spans="1:7" x14ac:dyDescent="0.25">
      <c r="A10492" s="1" t="str">
        <f>"515346"</f>
        <v>515346</v>
      </c>
      <c r="B10492" s="2" t="str">
        <f>"ESTUFA DE CULTURA"</f>
        <v>ESTUFA DE CULTURA</v>
      </c>
      <c r="C10492" s="2" t="str">
        <f t="shared" si="408"/>
        <v>UN</v>
      </c>
      <c r="D10492" s="7">
        <v>900</v>
      </c>
      <c r="E10492" s="3">
        <v>4</v>
      </c>
      <c r="F10492" s="3">
        <v>4</v>
      </c>
      <c r="G10492" t="s">
        <v>512</v>
      </c>
    </row>
    <row r="10493" spans="1:7" x14ac:dyDescent="0.25">
      <c r="A10493" s="1" t="str">
        <f>"515345"</f>
        <v>515345</v>
      </c>
      <c r="B10493" s="2" t="str">
        <f>"ESTUFA OLIDEF ESTERELIZACAO E SECAGEM"</f>
        <v>ESTUFA OLIDEF ESTERELIZACAO E SECAGEM</v>
      </c>
      <c r="C10493" s="2" t="str">
        <f t="shared" si="408"/>
        <v>UN</v>
      </c>
      <c r="D10493" s="7">
        <v>900</v>
      </c>
      <c r="E10493" s="3">
        <v>4</v>
      </c>
      <c r="F10493" s="3">
        <v>4</v>
      </c>
      <c r="G10493" t="s">
        <v>516</v>
      </c>
    </row>
    <row r="10494" spans="1:7" x14ac:dyDescent="0.25">
      <c r="A10494" s="1" t="str">
        <f>"511074"</f>
        <v>511074</v>
      </c>
      <c r="B10494" s="2" t="str">
        <f>"ESTUFA SECAGEM DIGITAL 200ºC 150LTS"</f>
        <v>ESTUFA SECAGEM DIGITAL 200ºC 150LTS</v>
      </c>
      <c r="C10494" s="2" t="str">
        <f t="shared" si="408"/>
        <v>UN</v>
      </c>
      <c r="D10494" s="7">
        <v>406</v>
      </c>
      <c r="E10494" s="3">
        <v>4</v>
      </c>
      <c r="F10494" s="3">
        <v>4</v>
      </c>
      <c r="G10494" t="s">
        <v>515</v>
      </c>
    </row>
    <row r="10495" spans="1:7" x14ac:dyDescent="0.25">
      <c r="A10495" s="1" t="str">
        <f>"500180"</f>
        <v>500180</v>
      </c>
      <c r="B10495" s="2" t="str">
        <f>"ETANOL HIDRATADO"</f>
        <v>ETANOL HIDRATADO</v>
      </c>
      <c r="C10495" s="2" t="str">
        <f t="shared" si="408"/>
        <v>UN</v>
      </c>
      <c r="D10495" s="7">
        <v>702</v>
      </c>
      <c r="E10495" s="3">
        <v>4</v>
      </c>
      <c r="F10495" s="3">
        <v>4</v>
      </c>
      <c r="G10495" t="s">
        <v>514</v>
      </c>
    </row>
    <row r="10496" spans="1:7" x14ac:dyDescent="0.25">
      <c r="A10496" s="1" t="str">
        <f>"508989"</f>
        <v>508989</v>
      </c>
      <c r="B10496" s="2" t="str">
        <f>"ETERNIT 2,40 X 0,50"</f>
        <v>ETERNIT 2,40 X 0,50</v>
      </c>
      <c r="C10496" s="2" t="str">
        <f t="shared" si="408"/>
        <v>UN</v>
      </c>
      <c r="D10496" s="7">
        <v>917</v>
      </c>
      <c r="E10496" s="3">
        <v>11</v>
      </c>
      <c r="F10496" s="3">
        <v>11</v>
      </c>
      <c r="G10496" t="s">
        <v>512</v>
      </c>
    </row>
    <row r="10497" spans="1:7" x14ac:dyDescent="0.25">
      <c r="A10497" s="1" t="str">
        <f>"515582"</f>
        <v>515582</v>
      </c>
      <c r="B10497" s="2" t="str">
        <f>"ETILENO GLICOL"</f>
        <v>ETILENO GLICOL</v>
      </c>
      <c r="C10497" s="2" t="str">
        <f t="shared" si="408"/>
        <v>UN</v>
      </c>
      <c r="D10497" s="7">
        <v>704</v>
      </c>
      <c r="E10497" s="3">
        <v>9</v>
      </c>
      <c r="F10497" s="3">
        <v>9</v>
      </c>
      <c r="G10497" t="s">
        <v>513</v>
      </c>
    </row>
    <row r="10498" spans="1:7" x14ac:dyDescent="0.25">
      <c r="A10498" s="1" t="str">
        <f>"513207"</f>
        <v>513207</v>
      </c>
      <c r="B10498" s="2" t="str">
        <f>"ETIOS X.1.3 FLEX COMPLETO 6 VELOCIDADES"</f>
        <v>ETIOS X.1.3 FLEX COMPLETO 6 VELOCIDADES</v>
      </c>
      <c r="C10498" s="2" t="str">
        <f t="shared" si="408"/>
        <v>UN</v>
      </c>
      <c r="D10498" s="7">
        <v>99999</v>
      </c>
      <c r="E10498" s="3">
        <v>16</v>
      </c>
      <c r="F10498" s="3">
        <v>16</v>
      </c>
      <c r="G10498" t="s">
        <v>514</v>
      </c>
    </row>
    <row r="10499" spans="1:7" x14ac:dyDescent="0.25">
      <c r="A10499" s="1" t="str">
        <f>"3051"</f>
        <v>3051</v>
      </c>
      <c r="B10499" s="2" t="str">
        <f>"ETIQ. ADESIVAS 720G CAROLINA 20X25MM"</f>
        <v>ETIQ. ADESIVAS 720G CAROLINA 20X25MM</v>
      </c>
      <c r="C10499" s="2" t="str">
        <f t="shared" si="408"/>
        <v>UN</v>
      </c>
      <c r="D10499" s="7">
        <v>107</v>
      </c>
      <c r="E10499" s="3">
        <v>1</v>
      </c>
      <c r="F10499" s="3">
        <v>1</v>
      </c>
      <c r="G10499" t="s">
        <v>514</v>
      </c>
    </row>
    <row r="10500" spans="1:7" x14ac:dyDescent="0.25">
      <c r="A10500" s="1" t="str">
        <f>"6228"</f>
        <v>6228</v>
      </c>
      <c r="B10500" s="2" t="str">
        <f>"ETIQ. COLACRIL 34,00X 99,10 2 CARREIRAS"</f>
        <v>ETIQ. COLACRIL 34,00X 99,10 2 CARREIRAS</v>
      </c>
      <c r="C10500" s="2" t="str">
        <f t="shared" si="408"/>
        <v>UN</v>
      </c>
      <c r="D10500" s="7">
        <v>400</v>
      </c>
      <c r="E10500" s="3">
        <v>4</v>
      </c>
      <c r="F10500" s="3">
        <v>4</v>
      </c>
      <c r="G10500" t="s">
        <v>512</v>
      </c>
    </row>
    <row r="10501" spans="1:7" x14ac:dyDescent="0.25">
      <c r="A10501" s="1" t="str">
        <f>"2159"</f>
        <v>2159</v>
      </c>
      <c r="B10501" s="2" t="str">
        <f>"ETIQ. COLACRIL 89X23,4 X 2 CARREIRAS"</f>
        <v>ETIQ. COLACRIL 89X23,4 X 2 CARREIRAS</v>
      </c>
      <c r="C10501" s="2" t="str">
        <f>"CX"</f>
        <v>CX</v>
      </c>
      <c r="D10501" s="7">
        <v>408</v>
      </c>
      <c r="E10501" s="3">
        <v>4</v>
      </c>
      <c r="F10501" s="3">
        <v>4</v>
      </c>
      <c r="G10501" t="s">
        <v>513</v>
      </c>
    </row>
    <row r="10502" spans="1:7" x14ac:dyDescent="0.25">
      <c r="A10502" s="1" t="str">
        <f>"514737"</f>
        <v>514737</v>
      </c>
      <c r="B10502" s="2" t="str">
        <f>"ETIQ. INKJET + LASER 84.67MM X 101,6 MM (PIMACO)"</f>
        <v>ETIQ. INKJET + LASER 84.67MM X 101,6 MM (PIMACO)</v>
      </c>
      <c r="C10502" s="2" t="str">
        <f t="shared" ref="C10502:C10533" si="409">"UN"</f>
        <v>UN</v>
      </c>
      <c r="D10502" s="7">
        <v>401</v>
      </c>
      <c r="E10502" s="3">
        <v>4</v>
      </c>
      <c r="F10502" s="3">
        <v>4</v>
      </c>
      <c r="G10502" t="s">
        <v>514</v>
      </c>
    </row>
    <row r="10503" spans="1:7" x14ac:dyDescent="0.25">
      <c r="A10503" s="1" t="str">
        <f>"4070"</f>
        <v>4070</v>
      </c>
      <c r="B10503" s="2" t="str">
        <f>"ETIQ. MISTURA REQUEIJAO E AMIDO 400G"</f>
        <v>ETIQ. MISTURA REQUEIJAO E AMIDO 400G</v>
      </c>
      <c r="C10503" s="2" t="str">
        <f t="shared" si="409"/>
        <v>UN</v>
      </c>
      <c r="D10503" s="7">
        <v>112</v>
      </c>
      <c r="E10503" s="3">
        <v>1</v>
      </c>
      <c r="F10503" s="3">
        <v>1</v>
      </c>
      <c r="G10503" t="s">
        <v>514</v>
      </c>
    </row>
    <row r="10504" spans="1:7" x14ac:dyDescent="0.25">
      <c r="A10504" s="1" t="str">
        <f>"524000"</f>
        <v>524000</v>
      </c>
      <c r="B10504" s="2" t="str">
        <f>"ETIQ. NEW PROG C. ROEDORES 1X"</f>
        <v>ETIQ. NEW PROG C. ROEDORES 1X</v>
      </c>
      <c r="C10504" s="2" t="str">
        <f t="shared" si="409"/>
        <v>UN</v>
      </c>
      <c r="D10504" s="7">
        <v>99999</v>
      </c>
      <c r="E10504" s="3">
        <v>99</v>
      </c>
      <c r="F10504" s="3">
        <v>99</v>
      </c>
      <c r="G10504" t="s">
        <v>514</v>
      </c>
    </row>
    <row r="10505" spans="1:7" x14ac:dyDescent="0.25">
      <c r="A10505" s="1" t="str">
        <f>"4136"</f>
        <v>4136</v>
      </c>
      <c r="B10505" s="2" t="str">
        <f>"ETIQ. P/ COPO 450G ACAI C/ MORANGO (CAROLINA)"</f>
        <v>ETIQ. P/ COPO 450G ACAI C/ MORANGO (CAROLINA)</v>
      </c>
      <c r="C10505" s="2" t="str">
        <f t="shared" si="409"/>
        <v>UN</v>
      </c>
      <c r="D10505" s="7">
        <v>107</v>
      </c>
      <c r="E10505" s="3">
        <v>1</v>
      </c>
      <c r="F10505" s="3">
        <v>1</v>
      </c>
      <c r="G10505" t="s">
        <v>513</v>
      </c>
    </row>
    <row r="10506" spans="1:7" x14ac:dyDescent="0.25">
      <c r="A10506" s="1" t="str">
        <f>"4135"</f>
        <v>4135</v>
      </c>
      <c r="B10506" s="2" t="str">
        <f>"ETIQ. P/ COPO 450G BLUEBERRY C/ AMORA (CAROLINA)"</f>
        <v>ETIQ. P/ COPO 450G BLUEBERRY C/ AMORA (CAROLINA)</v>
      </c>
      <c r="C10506" s="2" t="str">
        <f t="shared" si="409"/>
        <v>UN</v>
      </c>
      <c r="D10506" s="7">
        <v>107</v>
      </c>
      <c r="E10506" s="3">
        <v>1</v>
      </c>
      <c r="F10506" s="3">
        <v>1</v>
      </c>
      <c r="G10506" t="s">
        <v>512</v>
      </c>
    </row>
    <row r="10507" spans="1:7" x14ac:dyDescent="0.25">
      <c r="A10507" s="1" t="str">
        <f>"4143"</f>
        <v>4143</v>
      </c>
      <c r="B10507" s="2" t="str">
        <f>"ETIQ. P/COPO 100G ABACAXI C/COCO (CAROLINA)"</f>
        <v>ETIQ. P/COPO 100G ABACAXI C/COCO (CAROLINA)</v>
      </c>
      <c r="C10507" s="2" t="str">
        <f t="shared" si="409"/>
        <v>UN</v>
      </c>
      <c r="D10507" s="7">
        <v>107</v>
      </c>
      <c r="E10507" s="3">
        <v>1</v>
      </c>
      <c r="F10507" s="3">
        <v>1</v>
      </c>
      <c r="G10507" t="s">
        <v>513</v>
      </c>
    </row>
    <row r="10508" spans="1:7" x14ac:dyDescent="0.25">
      <c r="A10508" s="1" t="str">
        <f>"2570"</f>
        <v>2570</v>
      </c>
      <c r="B10508" s="2" t="str">
        <f>"ETIQ. P/COPO 100G ABACAXI E COCO (CAROLINA)"</f>
        <v>ETIQ. P/COPO 100G ABACAXI E COCO (CAROLINA)</v>
      </c>
      <c r="C10508" s="2" t="str">
        <f t="shared" si="409"/>
        <v>UN</v>
      </c>
      <c r="D10508" s="7">
        <v>107</v>
      </c>
      <c r="E10508" s="3">
        <v>1</v>
      </c>
      <c r="F10508" s="3">
        <v>1</v>
      </c>
      <c r="G10508" t="s">
        <v>514</v>
      </c>
    </row>
    <row r="10509" spans="1:7" x14ac:dyDescent="0.25">
      <c r="A10509" s="1" t="str">
        <f>"4137"</f>
        <v>4137</v>
      </c>
      <c r="B10509" s="2" t="str">
        <f>"ETIQ. P/COPO 100G AÇAI C/MORANGO (CAROLINA)"</f>
        <v>ETIQ. P/COPO 100G AÇAI C/MORANGO (CAROLINA)</v>
      </c>
      <c r="C10509" s="2" t="str">
        <f t="shared" si="409"/>
        <v>UN</v>
      </c>
      <c r="D10509" s="7">
        <v>107</v>
      </c>
      <c r="E10509" s="3">
        <v>1</v>
      </c>
      <c r="F10509" s="3">
        <v>1</v>
      </c>
      <c r="G10509" t="s">
        <v>514</v>
      </c>
    </row>
    <row r="10510" spans="1:7" x14ac:dyDescent="0.25">
      <c r="A10510" s="1" t="str">
        <f>"4138"</f>
        <v>4138</v>
      </c>
      <c r="B10510" s="2" t="str">
        <f>"ETIQ. P/COPO 100G BLUEBERRY C/ AMORA (CAROLINA)"</f>
        <v>ETIQ. P/COPO 100G BLUEBERRY C/ AMORA (CAROLINA)</v>
      </c>
      <c r="C10510" s="2" t="str">
        <f t="shared" si="409"/>
        <v>UN</v>
      </c>
      <c r="D10510" s="7">
        <v>107</v>
      </c>
      <c r="E10510" s="3">
        <v>1</v>
      </c>
      <c r="F10510" s="3">
        <v>1</v>
      </c>
      <c r="G10510" t="s">
        <v>514</v>
      </c>
    </row>
    <row r="10511" spans="1:7" x14ac:dyDescent="0.25">
      <c r="A10511" s="1" t="str">
        <f>"2543"</f>
        <v>2543</v>
      </c>
      <c r="B10511" s="2" t="str">
        <f>"ETIQ. P/COPO 100G COCO (CAROLINA"</f>
        <v>ETIQ. P/COPO 100G COCO (CAROLINA</v>
      </c>
      <c r="C10511" s="2" t="str">
        <f t="shared" si="409"/>
        <v>UN</v>
      </c>
      <c r="D10511" s="7">
        <v>107</v>
      </c>
      <c r="E10511" s="3">
        <v>1</v>
      </c>
      <c r="F10511" s="3">
        <v>1</v>
      </c>
      <c r="G10511" t="s">
        <v>513</v>
      </c>
    </row>
    <row r="10512" spans="1:7" x14ac:dyDescent="0.25">
      <c r="A10512" s="1" t="str">
        <f>"4144"</f>
        <v>4144</v>
      </c>
      <c r="B10512" s="2" t="str">
        <f>"ETIQ. P/COPO 100G COCO (CAROLINA)"</f>
        <v>ETIQ. P/COPO 100G COCO (CAROLINA)</v>
      </c>
      <c r="C10512" s="2" t="str">
        <f t="shared" si="409"/>
        <v>UN</v>
      </c>
      <c r="D10512" s="7">
        <v>107</v>
      </c>
      <c r="E10512" s="3">
        <v>1</v>
      </c>
      <c r="F10512" s="3">
        <v>1</v>
      </c>
      <c r="G10512" t="s">
        <v>513</v>
      </c>
    </row>
    <row r="10513" spans="1:7" x14ac:dyDescent="0.25">
      <c r="A10513" s="1" t="str">
        <f>"2579"</f>
        <v>2579</v>
      </c>
      <c r="B10513" s="2" t="str">
        <f>"ETIQ. P/COPO 100G COCO (DIA%)"</f>
        <v>ETIQ. P/COPO 100G COCO (DIA%)</v>
      </c>
      <c r="C10513" s="2" t="str">
        <f t="shared" si="409"/>
        <v>UN</v>
      </c>
      <c r="D10513" s="7">
        <v>107</v>
      </c>
      <c r="E10513" s="3">
        <v>1</v>
      </c>
      <c r="F10513" s="3">
        <v>1</v>
      </c>
      <c r="G10513" t="s">
        <v>513</v>
      </c>
    </row>
    <row r="10514" spans="1:7" x14ac:dyDescent="0.25">
      <c r="A10514" s="1" t="str">
        <f>"2544"</f>
        <v>2544</v>
      </c>
      <c r="B10514" s="2" t="str">
        <f>"ETIQ. P/COPO 100G FRUTAS VERMELHAS (CAROLINA)"</f>
        <v>ETIQ. P/COPO 100G FRUTAS VERMELHAS (CAROLINA)</v>
      </c>
      <c r="C10514" s="2" t="str">
        <f t="shared" si="409"/>
        <v>UN</v>
      </c>
      <c r="D10514" s="7">
        <v>107</v>
      </c>
      <c r="E10514" s="3">
        <v>1</v>
      </c>
      <c r="F10514" s="3">
        <v>1</v>
      </c>
      <c r="G10514" t="s">
        <v>512</v>
      </c>
    </row>
    <row r="10515" spans="1:7" x14ac:dyDescent="0.25">
      <c r="A10515" s="1" t="str">
        <f>"4145"</f>
        <v>4145</v>
      </c>
      <c r="B10515" s="2" t="str">
        <f>"ETIQ. P/COPO 100G FRUTAS VERMELHAS (CAROLINA)"</f>
        <v>ETIQ. P/COPO 100G FRUTAS VERMELHAS (CAROLINA)</v>
      </c>
      <c r="C10515" s="2" t="str">
        <f t="shared" si="409"/>
        <v>UN</v>
      </c>
      <c r="D10515" s="7">
        <v>107</v>
      </c>
      <c r="E10515" s="3">
        <v>1</v>
      </c>
      <c r="F10515" s="3">
        <v>1</v>
      </c>
      <c r="G10515" t="s">
        <v>513</v>
      </c>
    </row>
    <row r="10516" spans="1:7" x14ac:dyDescent="0.25">
      <c r="A10516" s="1" t="str">
        <f>"2578"</f>
        <v>2578</v>
      </c>
      <c r="B10516" s="2" t="str">
        <f>"ETIQ. P/COPO 100G FRUTAS VERMELHAS (DIA%)"</f>
        <v>ETIQ. P/COPO 100G FRUTAS VERMELHAS (DIA%)</v>
      </c>
      <c r="C10516" s="2" t="str">
        <f t="shared" si="409"/>
        <v>UN</v>
      </c>
      <c r="D10516" s="7">
        <v>107</v>
      </c>
      <c r="E10516" s="3">
        <v>1</v>
      </c>
      <c r="F10516" s="3">
        <v>1</v>
      </c>
      <c r="G10516" t="s">
        <v>514</v>
      </c>
    </row>
    <row r="10517" spans="1:7" x14ac:dyDescent="0.25">
      <c r="A10517" s="1" t="str">
        <f>"2542"</f>
        <v>2542</v>
      </c>
      <c r="B10517" s="2" t="str">
        <f>"ETIQ. P/COPO 100G MORANGO (CAROLINA)"</f>
        <v>ETIQ. P/COPO 100G MORANGO (CAROLINA)</v>
      </c>
      <c r="C10517" s="2" t="str">
        <f t="shared" si="409"/>
        <v>UN</v>
      </c>
      <c r="D10517" s="7">
        <v>107</v>
      </c>
      <c r="E10517" s="3">
        <v>1</v>
      </c>
      <c r="F10517" s="3">
        <v>1</v>
      </c>
      <c r="G10517" t="s">
        <v>515</v>
      </c>
    </row>
    <row r="10518" spans="1:7" x14ac:dyDescent="0.25">
      <c r="A10518" s="1" t="str">
        <f>"4146"</f>
        <v>4146</v>
      </c>
      <c r="B10518" s="2" t="str">
        <f>"ETIQ. P/COPO 100G MORANGO (CAROLINA)"</f>
        <v>ETIQ. P/COPO 100G MORANGO (CAROLINA)</v>
      </c>
      <c r="C10518" s="2" t="str">
        <f t="shared" si="409"/>
        <v>UN</v>
      </c>
      <c r="D10518" s="7">
        <v>107</v>
      </c>
      <c r="E10518" s="3">
        <v>1</v>
      </c>
      <c r="F10518" s="3">
        <v>1</v>
      </c>
      <c r="G10518" t="s">
        <v>512</v>
      </c>
    </row>
    <row r="10519" spans="1:7" x14ac:dyDescent="0.25">
      <c r="A10519" s="1" t="str">
        <f>"2577"</f>
        <v>2577</v>
      </c>
      <c r="B10519" s="2" t="str">
        <f>"ETIQ. P/COPO 100G MORANGO (DIA%)"</f>
        <v>ETIQ. P/COPO 100G MORANGO (DIA%)</v>
      </c>
      <c r="C10519" s="2" t="str">
        <f t="shared" si="409"/>
        <v>UN</v>
      </c>
      <c r="D10519" s="7">
        <v>107</v>
      </c>
      <c r="E10519" s="3">
        <v>1</v>
      </c>
      <c r="F10519" s="3">
        <v>1</v>
      </c>
      <c r="G10519" t="s">
        <v>516</v>
      </c>
    </row>
    <row r="10520" spans="1:7" x14ac:dyDescent="0.25">
      <c r="A10520" s="1" t="str">
        <f>"2571"</f>
        <v>2571</v>
      </c>
      <c r="B10520" s="2" t="str">
        <f>"ETIQ. P/COPO 100G MORANGO E BANANA (CAROLINA)"</f>
        <v>ETIQ. P/COPO 100G MORANGO E BANANA (CAROLINA)</v>
      </c>
      <c r="C10520" s="2" t="str">
        <f t="shared" si="409"/>
        <v>UN</v>
      </c>
      <c r="D10520" s="7">
        <v>107</v>
      </c>
      <c r="E10520" s="3">
        <v>1</v>
      </c>
      <c r="F10520" s="3">
        <v>1</v>
      </c>
      <c r="G10520" t="s">
        <v>515</v>
      </c>
    </row>
    <row r="10521" spans="1:7" x14ac:dyDescent="0.25">
      <c r="A10521" s="1" t="str">
        <f>"2548"</f>
        <v>2548</v>
      </c>
      <c r="B10521" s="2" t="str">
        <f>"ETIQ. P/COPO 100GGR - COCO (CAROLINA"</f>
        <v>ETIQ. P/COPO 100GGR - COCO (CAROLINA</v>
      </c>
      <c r="C10521" s="2" t="str">
        <f t="shared" si="409"/>
        <v>UN</v>
      </c>
      <c r="D10521" s="7">
        <v>107</v>
      </c>
      <c r="E10521" s="3">
        <v>1</v>
      </c>
      <c r="F10521" s="3">
        <v>1</v>
      </c>
      <c r="G10521" t="s">
        <v>514</v>
      </c>
    </row>
    <row r="10522" spans="1:7" x14ac:dyDescent="0.25">
      <c r="A10522" s="1" t="str">
        <f>"2549"</f>
        <v>2549</v>
      </c>
      <c r="B10522" s="2" t="str">
        <f>"ETIQ. P/COPO 100GGR - MORANGO E MAMÃO (CAROLINA"</f>
        <v>ETIQ. P/COPO 100GGR - MORANGO E MAMÃO (CAROLINA</v>
      </c>
      <c r="C10522" s="2" t="str">
        <f t="shared" si="409"/>
        <v>UN</v>
      </c>
      <c r="D10522" s="7">
        <v>107</v>
      </c>
      <c r="E10522" s="3">
        <v>1</v>
      </c>
      <c r="F10522" s="3">
        <v>1</v>
      </c>
      <c r="G10522" t="s">
        <v>512</v>
      </c>
    </row>
    <row r="10523" spans="1:7" x14ac:dyDescent="0.25">
      <c r="A10523" s="1" t="str">
        <f>"2547"</f>
        <v>2547</v>
      </c>
      <c r="B10523" s="2" t="str">
        <f>"ETIQ. P/COPO 100GR - FRUTAS VERMELHAS (CAROLINA)"</f>
        <v>ETIQ. P/COPO 100GR - FRUTAS VERMELHAS (CAROLINA)</v>
      </c>
      <c r="C10523" s="2" t="str">
        <f t="shared" si="409"/>
        <v>UN</v>
      </c>
      <c r="D10523" s="7">
        <v>107</v>
      </c>
      <c r="E10523" s="3">
        <v>1</v>
      </c>
      <c r="F10523" s="3">
        <v>1</v>
      </c>
      <c r="G10523" t="s">
        <v>513</v>
      </c>
    </row>
    <row r="10524" spans="1:7" x14ac:dyDescent="0.25">
      <c r="A10524" s="1" t="str">
        <f>"2546"</f>
        <v>2546</v>
      </c>
      <c r="B10524" s="2" t="str">
        <f>"ETIQ. P/COPO 100GR - MORANGO (CAROLINA)"</f>
        <v>ETIQ. P/COPO 100GR - MORANGO (CAROLINA)</v>
      </c>
      <c r="C10524" s="2" t="str">
        <f t="shared" si="409"/>
        <v>UN</v>
      </c>
      <c r="D10524" s="7">
        <v>107</v>
      </c>
      <c r="E10524" s="3">
        <v>1</v>
      </c>
      <c r="F10524" s="3">
        <v>1</v>
      </c>
      <c r="G10524" t="s">
        <v>514</v>
      </c>
    </row>
    <row r="10525" spans="1:7" x14ac:dyDescent="0.25">
      <c r="A10525" s="1" t="str">
        <f>"2535"</f>
        <v>2535</v>
      </c>
      <c r="B10525" s="2" t="str">
        <f>"ETIQ. P/COPO 160G COCO (CAROLINA"</f>
        <v>ETIQ. P/COPO 160G COCO (CAROLINA</v>
      </c>
      <c r="C10525" s="2" t="str">
        <f t="shared" si="409"/>
        <v>UN</v>
      </c>
      <c r="D10525" s="7">
        <v>107</v>
      </c>
      <c r="E10525" s="3">
        <v>1</v>
      </c>
      <c r="F10525" s="3">
        <v>1</v>
      </c>
      <c r="G10525" t="s">
        <v>514</v>
      </c>
    </row>
    <row r="10526" spans="1:7" x14ac:dyDescent="0.25">
      <c r="A10526" s="1" t="str">
        <f>"2536"</f>
        <v>2536</v>
      </c>
      <c r="B10526" s="2" t="str">
        <f>"ETIQ. P/COPO 160G FRUTAS VERMELHAS (CAROLINA)"</f>
        <v>ETIQ. P/COPO 160G FRUTAS VERMELHAS (CAROLINA)</v>
      </c>
      <c r="C10526" s="2" t="str">
        <f t="shared" si="409"/>
        <v>UN</v>
      </c>
      <c r="D10526" s="7">
        <v>107</v>
      </c>
      <c r="E10526" s="3">
        <v>1</v>
      </c>
      <c r="F10526" s="3">
        <v>1</v>
      </c>
      <c r="G10526" t="s">
        <v>512</v>
      </c>
    </row>
    <row r="10527" spans="1:7" x14ac:dyDescent="0.25">
      <c r="A10527" s="1" t="str">
        <f>"2534"</f>
        <v>2534</v>
      </c>
      <c r="B10527" s="2" t="str">
        <f>"ETIQ. P/COPO 160G MORANGO (CAROLINA)"</f>
        <v>ETIQ. P/COPO 160G MORANGO (CAROLINA)</v>
      </c>
      <c r="C10527" s="2" t="str">
        <f t="shared" si="409"/>
        <v>UN</v>
      </c>
      <c r="D10527" s="7">
        <v>107</v>
      </c>
      <c r="E10527" s="3">
        <v>1</v>
      </c>
      <c r="F10527" s="3">
        <v>1</v>
      </c>
      <c r="G10527" t="s">
        <v>513</v>
      </c>
    </row>
    <row r="10528" spans="1:7" x14ac:dyDescent="0.25">
      <c r="A10528" s="1" t="str">
        <f>"4139"</f>
        <v>4139</v>
      </c>
      <c r="B10528" s="2" t="str">
        <f>"ETIQ. P/COPO 450G ABACAXI C/ COCO (CAROLINA)"</f>
        <v>ETIQ. P/COPO 450G ABACAXI C/ COCO (CAROLINA)</v>
      </c>
      <c r="C10528" s="2" t="str">
        <f t="shared" si="409"/>
        <v>UN</v>
      </c>
      <c r="D10528" s="7">
        <v>107</v>
      </c>
      <c r="E10528" s="3">
        <v>1</v>
      </c>
      <c r="F10528" s="3">
        <v>1</v>
      </c>
      <c r="G10528" t="s">
        <v>514</v>
      </c>
    </row>
    <row r="10529" spans="1:7" x14ac:dyDescent="0.25">
      <c r="A10529" s="1" t="str">
        <f>"4140"</f>
        <v>4140</v>
      </c>
      <c r="B10529" s="2" t="str">
        <f>"ETIQ. P/COPO 450G COCO (CAROLINA)"</f>
        <v>ETIQ. P/COPO 450G COCO (CAROLINA)</v>
      </c>
      <c r="C10529" s="2" t="str">
        <f t="shared" si="409"/>
        <v>UN</v>
      </c>
      <c r="D10529" s="7">
        <v>107</v>
      </c>
      <c r="E10529" s="3">
        <v>1</v>
      </c>
      <c r="F10529" s="3">
        <v>1</v>
      </c>
      <c r="G10529" t="s">
        <v>514</v>
      </c>
    </row>
    <row r="10530" spans="1:7" x14ac:dyDescent="0.25">
      <c r="A10530" s="1" t="str">
        <f>"4141"</f>
        <v>4141</v>
      </c>
      <c r="B10530" s="2" t="str">
        <f>"ETIQ. P/COPO 450G FRUTAS VERMELHAS (CAROLINA)"</f>
        <v>ETIQ. P/COPO 450G FRUTAS VERMELHAS (CAROLINA)</v>
      </c>
      <c r="C10530" s="2" t="str">
        <f t="shared" si="409"/>
        <v>UN</v>
      </c>
      <c r="D10530" s="7">
        <v>107</v>
      </c>
      <c r="E10530" s="3">
        <v>1</v>
      </c>
      <c r="F10530" s="3">
        <v>1</v>
      </c>
      <c r="G10530" t="s">
        <v>514</v>
      </c>
    </row>
    <row r="10531" spans="1:7" x14ac:dyDescent="0.25">
      <c r="A10531" s="1" t="str">
        <f>"4142"</f>
        <v>4142</v>
      </c>
      <c r="B10531" s="2" t="str">
        <f>"ETIQ. P/COPO 450G MORANGO (CAROLINA)"</f>
        <v>ETIQ. P/COPO 450G MORANGO (CAROLINA)</v>
      </c>
      <c r="C10531" s="2" t="str">
        <f t="shared" si="409"/>
        <v>UN</v>
      </c>
      <c r="D10531" s="7">
        <v>107</v>
      </c>
      <c r="E10531" s="3">
        <v>1</v>
      </c>
      <c r="F10531" s="3">
        <v>1</v>
      </c>
      <c r="G10531" t="s">
        <v>513</v>
      </c>
    </row>
    <row r="10532" spans="1:7" x14ac:dyDescent="0.25">
      <c r="A10532" s="1" t="str">
        <f>"2572"</f>
        <v>2572</v>
      </c>
      <c r="B10532" s="2" t="str">
        <f>"ETIQ. P/COPO 500G ABACAXI E COCO (CAROLINA)"</f>
        <v>ETIQ. P/COPO 500G ABACAXI E COCO (CAROLINA)</v>
      </c>
      <c r="C10532" s="2" t="str">
        <f t="shared" si="409"/>
        <v>UN</v>
      </c>
      <c r="D10532" s="7">
        <v>107</v>
      </c>
      <c r="E10532" s="3">
        <v>1</v>
      </c>
      <c r="F10532" s="3">
        <v>1</v>
      </c>
      <c r="G10532" t="s">
        <v>512</v>
      </c>
    </row>
    <row r="10533" spans="1:7" x14ac:dyDescent="0.25">
      <c r="A10533" s="1" t="str">
        <f>"2538"</f>
        <v>2538</v>
      </c>
      <c r="B10533" s="2" t="str">
        <f>"ETIQ. P/COPO 500G COCO (CAROLINA)"</f>
        <v>ETIQ. P/COPO 500G COCO (CAROLINA)</v>
      </c>
      <c r="C10533" s="2" t="str">
        <f t="shared" si="409"/>
        <v>UN</v>
      </c>
      <c r="D10533" s="7">
        <v>107</v>
      </c>
      <c r="E10533" s="3">
        <v>1</v>
      </c>
      <c r="F10533" s="3">
        <v>1</v>
      </c>
      <c r="G10533" t="s">
        <v>513</v>
      </c>
    </row>
    <row r="10534" spans="1:7" x14ac:dyDescent="0.25">
      <c r="A10534" s="1" t="str">
        <f>"2539"</f>
        <v>2539</v>
      </c>
      <c r="B10534" s="2" t="str">
        <f>"ETIQ. P/COPO 500G FRUTAS VERMELHAS (CAROLINA)"</f>
        <v>ETIQ. P/COPO 500G FRUTAS VERMELHAS (CAROLINA)</v>
      </c>
      <c r="C10534" s="2" t="str">
        <f t="shared" ref="C10534:C10557" si="410">"UN"</f>
        <v>UN</v>
      </c>
      <c r="D10534" s="7">
        <v>107</v>
      </c>
      <c r="E10534" s="3">
        <v>1</v>
      </c>
      <c r="F10534" s="3">
        <v>1</v>
      </c>
      <c r="G10534" t="s">
        <v>514</v>
      </c>
    </row>
    <row r="10535" spans="1:7" x14ac:dyDescent="0.25">
      <c r="A10535" s="1" t="str">
        <f>"2541"</f>
        <v>2541</v>
      </c>
      <c r="B10535" s="2" t="str">
        <f>"ETIQ. P/COPO 500G FRUTAS VERMELHAS (DIA%)"</f>
        <v>ETIQ. P/COPO 500G FRUTAS VERMELHAS (DIA%)</v>
      </c>
      <c r="C10535" s="2" t="str">
        <f t="shared" si="410"/>
        <v>UN</v>
      </c>
      <c r="D10535" s="7">
        <v>107</v>
      </c>
      <c r="E10535" s="3">
        <v>1</v>
      </c>
      <c r="F10535" s="3">
        <v>1</v>
      </c>
      <c r="G10535" t="s">
        <v>514</v>
      </c>
    </row>
    <row r="10536" spans="1:7" x14ac:dyDescent="0.25">
      <c r="A10536" s="1" t="str">
        <f>"2537"</f>
        <v>2537</v>
      </c>
      <c r="B10536" s="2" t="str">
        <f>"ETIQ. P/COPO 500G MORANGO (CAROLINA)"</f>
        <v>ETIQ. P/COPO 500G MORANGO (CAROLINA)</v>
      </c>
      <c r="C10536" s="2" t="str">
        <f t="shared" si="410"/>
        <v>UN</v>
      </c>
      <c r="D10536" s="7">
        <v>107</v>
      </c>
      <c r="E10536" s="3">
        <v>1</v>
      </c>
      <c r="F10536" s="3">
        <v>1</v>
      </c>
      <c r="G10536" t="s">
        <v>514</v>
      </c>
    </row>
    <row r="10537" spans="1:7" x14ac:dyDescent="0.25">
      <c r="A10537" s="1" t="str">
        <f>"2540"</f>
        <v>2540</v>
      </c>
      <c r="B10537" s="2" t="str">
        <f>"ETIQ. P/COPO 500G MORANGO (DIA%)"</f>
        <v>ETIQ. P/COPO 500G MORANGO (DIA%)</v>
      </c>
      <c r="C10537" s="2" t="str">
        <f t="shared" si="410"/>
        <v>UN</v>
      </c>
      <c r="D10537" s="7">
        <v>107</v>
      </c>
      <c r="E10537" s="3">
        <v>1</v>
      </c>
      <c r="F10537" s="3">
        <v>1</v>
      </c>
      <c r="G10537" t="s">
        <v>513</v>
      </c>
    </row>
    <row r="10538" spans="1:7" x14ac:dyDescent="0.25">
      <c r="A10538" s="1" t="str">
        <f>"2573"</f>
        <v>2573</v>
      </c>
      <c r="B10538" s="2" t="str">
        <f>"ETIQ. P/COPO 500G MORANGO E BANANA (CAROLINA)"</f>
        <v>ETIQ. P/COPO 500G MORANGO E BANANA (CAROLINA)</v>
      </c>
      <c r="C10538" s="2" t="str">
        <f t="shared" si="410"/>
        <v>UN</v>
      </c>
      <c r="D10538" s="7">
        <v>107</v>
      </c>
      <c r="E10538" s="3">
        <v>1</v>
      </c>
      <c r="F10538" s="3">
        <v>1</v>
      </c>
      <c r="G10538" t="s">
        <v>513</v>
      </c>
    </row>
    <row r="10539" spans="1:7" x14ac:dyDescent="0.25">
      <c r="A10539" s="1" t="str">
        <f>"3042"</f>
        <v>3042</v>
      </c>
      <c r="B10539" s="2" t="str">
        <f>"ETIQ. P/REQ. 180G CREMOSO TRADICIONAL  (CAROLINA)"</f>
        <v>ETIQ. P/REQ. 180G CREMOSO TRADICIONAL  (CAROLINA)</v>
      </c>
      <c r="C10539" s="2" t="str">
        <f t="shared" si="410"/>
        <v>UN</v>
      </c>
      <c r="D10539" s="7">
        <v>107</v>
      </c>
      <c r="E10539" s="3">
        <v>1</v>
      </c>
      <c r="F10539" s="3">
        <v>1</v>
      </c>
      <c r="G10539" t="s">
        <v>513</v>
      </c>
    </row>
    <row r="10540" spans="1:7" x14ac:dyDescent="0.25">
      <c r="A10540" s="1" t="str">
        <f>"3043"</f>
        <v>3043</v>
      </c>
      <c r="B10540" s="2" t="str">
        <f>"ETIQ. P/REQ. 180G MISTURA C/ AMIDO E G. VEGETAL (CAROLINA)"</f>
        <v>ETIQ. P/REQ. 180G MISTURA C/ AMIDO E G. VEGETAL (CAROLINA)</v>
      </c>
      <c r="C10540" s="2" t="str">
        <f t="shared" si="410"/>
        <v>UN</v>
      </c>
      <c r="D10540" s="7">
        <v>107</v>
      </c>
      <c r="E10540" s="3">
        <v>1</v>
      </c>
      <c r="F10540" s="3">
        <v>1</v>
      </c>
      <c r="G10540" t="s">
        <v>512</v>
      </c>
    </row>
    <row r="10541" spans="1:7" x14ac:dyDescent="0.25">
      <c r="A10541" s="1" t="str">
        <f>"3040"</f>
        <v>3040</v>
      </c>
      <c r="B10541" s="2" t="str">
        <f>"ETIQ. P/REQ. 180G MISTURA COM AMIDO (CAROLINA)"</f>
        <v>ETIQ. P/REQ. 180G MISTURA COM AMIDO (CAROLINA)</v>
      </c>
      <c r="C10541" s="2" t="str">
        <f t="shared" si="410"/>
        <v>UN</v>
      </c>
      <c r="D10541" s="7">
        <v>107</v>
      </c>
      <c r="E10541" s="3">
        <v>1</v>
      </c>
      <c r="F10541" s="3">
        <v>1</v>
      </c>
      <c r="G10541" t="s">
        <v>513</v>
      </c>
    </row>
    <row r="10542" spans="1:7" x14ac:dyDescent="0.25">
      <c r="A10542" s="1" t="str">
        <f>"3044"</f>
        <v>3044</v>
      </c>
      <c r="B10542" s="2" t="str">
        <f>"ETIQ. P/REQ. 400G MISTURA C/ AMIDO E G. VEGETAL (CAROLINA)"</f>
        <v>ETIQ. P/REQ. 400G MISTURA C/ AMIDO E G. VEGETAL (CAROLINA)</v>
      </c>
      <c r="C10542" s="2" t="str">
        <f t="shared" si="410"/>
        <v>UN</v>
      </c>
      <c r="D10542" s="7">
        <v>107</v>
      </c>
      <c r="E10542" s="3">
        <v>1</v>
      </c>
      <c r="F10542" s="3">
        <v>1</v>
      </c>
      <c r="G10542" t="s">
        <v>514</v>
      </c>
    </row>
    <row r="10543" spans="1:7" x14ac:dyDescent="0.25">
      <c r="A10543" s="1" t="str">
        <f>"2533"</f>
        <v>2533</v>
      </c>
      <c r="B10543" s="2" t="str">
        <f>"ETIQ. P/REQ.180G CREMOSO COM AMIDO (CAROLINA)"</f>
        <v>ETIQ. P/REQ.180G CREMOSO COM AMIDO (CAROLINA)</v>
      </c>
      <c r="C10543" s="2" t="str">
        <f t="shared" si="410"/>
        <v>UN</v>
      </c>
      <c r="D10543" s="7">
        <v>107</v>
      </c>
      <c r="E10543" s="3">
        <v>1</v>
      </c>
      <c r="F10543" s="3">
        <v>1</v>
      </c>
      <c r="G10543" t="s">
        <v>515</v>
      </c>
    </row>
    <row r="10544" spans="1:7" x14ac:dyDescent="0.25">
      <c r="A10544" s="1" t="str">
        <f>"793"</f>
        <v>793</v>
      </c>
      <c r="B10544" s="2" t="str">
        <f>"ETIQ. P/REQ.200G LIGHT (CAROLINA)"</f>
        <v>ETIQ. P/REQ.200G LIGHT (CAROLINA)</v>
      </c>
      <c r="C10544" s="2" t="str">
        <f t="shared" si="410"/>
        <v>UN</v>
      </c>
      <c r="D10544" s="7">
        <v>107</v>
      </c>
      <c r="E10544" s="3">
        <v>1</v>
      </c>
      <c r="F10544" s="3">
        <v>1</v>
      </c>
      <c r="G10544" t="s">
        <v>512</v>
      </c>
    </row>
    <row r="10545" spans="1:7" x14ac:dyDescent="0.25">
      <c r="A10545" s="1" t="str">
        <f>"515893"</f>
        <v>515893</v>
      </c>
      <c r="B10545" s="2" t="str">
        <f>"ETIQ. P/REQ.200GR CREMOSO (BOM PREÇO)"</f>
        <v>ETIQ. P/REQ.200GR CREMOSO (BOM PREÇO)</v>
      </c>
      <c r="C10545" s="2" t="str">
        <f t="shared" si="410"/>
        <v>UN</v>
      </c>
      <c r="D10545" s="7">
        <v>107</v>
      </c>
      <c r="E10545" s="3">
        <v>1</v>
      </c>
      <c r="F10545" s="3">
        <v>1</v>
      </c>
      <c r="G10545" t="s">
        <v>516</v>
      </c>
    </row>
    <row r="10546" spans="1:7" x14ac:dyDescent="0.25">
      <c r="A10546" s="1" t="str">
        <f>"6763"</f>
        <v>6763</v>
      </c>
      <c r="B10546" s="2" t="str">
        <f>"ETIQ. P/REQ.200GR CREMOSO CARREFOUR"</f>
        <v>ETIQ. P/REQ.200GR CREMOSO CARREFOUR</v>
      </c>
      <c r="C10546" s="2" t="str">
        <f t="shared" si="410"/>
        <v>UN</v>
      </c>
      <c r="D10546" s="7">
        <v>107</v>
      </c>
      <c r="E10546" s="3">
        <v>1</v>
      </c>
      <c r="F10546" s="3">
        <v>1</v>
      </c>
      <c r="G10546" t="s">
        <v>515</v>
      </c>
    </row>
    <row r="10547" spans="1:7" x14ac:dyDescent="0.25">
      <c r="A10547" s="1" t="str">
        <f>"6150"</f>
        <v>6150</v>
      </c>
      <c r="B10547" s="2" t="str">
        <f>"ETIQ. P/REQ.200GR CREMOSO LIGHT (COOP PLUS)"</f>
        <v>ETIQ. P/REQ.200GR CREMOSO LIGHT (COOP PLUS)</v>
      </c>
      <c r="C10547" s="2" t="str">
        <f t="shared" si="410"/>
        <v>UN</v>
      </c>
      <c r="D10547" s="7">
        <v>107</v>
      </c>
      <c r="E10547" s="3">
        <v>1</v>
      </c>
      <c r="F10547" s="3">
        <v>1</v>
      </c>
      <c r="G10547" t="s">
        <v>514</v>
      </c>
    </row>
    <row r="10548" spans="1:7" x14ac:dyDescent="0.25">
      <c r="A10548" s="1" t="str">
        <f>"6767"</f>
        <v>6767</v>
      </c>
      <c r="B10548" s="2" t="str">
        <f>"ETIQ. P/REQ.200GR CREMOSO LIGHT CARREFOU"</f>
        <v>ETIQ. P/REQ.200GR CREMOSO LIGHT CARREFOU</v>
      </c>
      <c r="C10548" s="2" t="str">
        <f t="shared" si="410"/>
        <v>UN</v>
      </c>
      <c r="D10548" s="7">
        <v>107</v>
      </c>
      <c r="E10548" s="3">
        <v>1</v>
      </c>
      <c r="F10548" s="3">
        <v>1</v>
      </c>
      <c r="G10548" t="s">
        <v>512</v>
      </c>
    </row>
    <row r="10549" spans="1:7" x14ac:dyDescent="0.25">
      <c r="A10549" s="1" t="str">
        <f>"6149"</f>
        <v>6149</v>
      </c>
      <c r="B10549" s="2" t="str">
        <f>"ETIQ. P/REQ.200GR CREMOSO TRADIC. (COOP)"</f>
        <v>ETIQ. P/REQ.200GR CREMOSO TRADIC. (COOP)</v>
      </c>
      <c r="C10549" s="2" t="str">
        <f t="shared" si="410"/>
        <v>UN</v>
      </c>
      <c r="D10549" s="7">
        <v>107</v>
      </c>
      <c r="E10549" s="3">
        <v>1</v>
      </c>
      <c r="F10549" s="3">
        <v>1</v>
      </c>
      <c r="G10549" t="s">
        <v>513</v>
      </c>
    </row>
    <row r="10550" spans="1:7" x14ac:dyDescent="0.25">
      <c r="A10550" s="1" t="str">
        <f>"5952"</f>
        <v>5952</v>
      </c>
      <c r="B10550" s="2" t="str">
        <f>"ETIQ. P/REQ.220G LIGHT (CAROLINA)"</f>
        <v>ETIQ. P/REQ.220G LIGHT (CAROLINA)</v>
      </c>
      <c r="C10550" s="2" t="str">
        <f t="shared" si="410"/>
        <v>UN</v>
      </c>
      <c r="D10550" s="7">
        <v>107</v>
      </c>
      <c r="E10550" s="3">
        <v>1</v>
      </c>
      <c r="F10550" s="3">
        <v>1</v>
      </c>
      <c r="G10550" t="s">
        <v>514</v>
      </c>
    </row>
    <row r="10551" spans="1:7" x14ac:dyDescent="0.25">
      <c r="A10551" s="1" t="str">
        <f>"5951"</f>
        <v>5951</v>
      </c>
      <c r="B10551" s="2" t="str">
        <f>"ETIQ. P/REQ.220G TRADIC.(CAROLINA)"</f>
        <v>ETIQ. P/REQ.220G TRADIC.(CAROLINA)</v>
      </c>
      <c r="C10551" s="2" t="str">
        <f t="shared" si="410"/>
        <v>UN</v>
      </c>
      <c r="D10551" s="7">
        <v>107</v>
      </c>
      <c r="E10551" s="3">
        <v>1</v>
      </c>
      <c r="F10551" s="3">
        <v>1</v>
      </c>
      <c r="G10551" t="s">
        <v>514</v>
      </c>
    </row>
    <row r="10552" spans="1:7" x14ac:dyDescent="0.25">
      <c r="A10552" s="1" t="str">
        <f>"6071"</f>
        <v>6071</v>
      </c>
      <c r="B10552" s="2" t="str">
        <f>"ETIQ. P/REQ.220GR CREMOSO CARREFOUR"</f>
        <v>ETIQ. P/REQ.220GR CREMOSO CARREFOUR</v>
      </c>
      <c r="C10552" s="2" t="str">
        <f t="shared" si="410"/>
        <v>UN</v>
      </c>
      <c r="D10552" s="7">
        <v>107</v>
      </c>
      <c r="E10552" s="3">
        <v>1</v>
      </c>
      <c r="F10552" s="3">
        <v>1</v>
      </c>
      <c r="G10552" t="s">
        <v>512</v>
      </c>
    </row>
    <row r="10553" spans="1:7" x14ac:dyDescent="0.25">
      <c r="A10553" s="1" t="str">
        <f>"5839"</f>
        <v>5839</v>
      </c>
      <c r="B10553" s="2" t="str">
        <f>"ETIQ. P/REQ.220GR LIGHT (VIVER)"</f>
        <v>ETIQ. P/REQ.220GR LIGHT (VIVER)</v>
      </c>
      <c r="C10553" s="2" t="str">
        <f t="shared" si="410"/>
        <v>UN</v>
      </c>
      <c r="D10553" s="7">
        <v>107</v>
      </c>
      <c r="E10553" s="3">
        <v>1</v>
      </c>
      <c r="F10553" s="3">
        <v>1</v>
      </c>
      <c r="G10553" t="s">
        <v>513</v>
      </c>
    </row>
    <row r="10554" spans="1:7" x14ac:dyDescent="0.25">
      <c r="A10554" s="1" t="str">
        <f>"2550"</f>
        <v>2550</v>
      </c>
      <c r="B10554" s="2" t="str">
        <f>"ETIQ. P/REQ.500G CREMOSO COM AMIDO (CAROLINA)"</f>
        <v>ETIQ. P/REQ.500G CREMOSO COM AMIDO (CAROLINA)</v>
      </c>
      <c r="C10554" s="2" t="str">
        <f t="shared" si="410"/>
        <v>UN</v>
      </c>
      <c r="D10554" s="7">
        <v>107</v>
      </c>
      <c r="E10554" s="3">
        <v>1</v>
      </c>
      <c r="F10554" s="3">
        <v>1</v>
      </c>
      <c r="G10554" t="s">
        <v>514</v>
      </c>
    </row>
    <row r="10555" spans="1:7" x14ac:dyDescent="0.25">
      <c r="A10555" s="1" t="str">
        <f>"6804"</f>
        <v>6804</v>
      </c>
      <c r="B10555" s="2" t="str">
        <f>"ETIQ. P/REQ.500GR CREMOSO LIGHT CARREFOUR"</f>
        <v>ETIQ. P/REQ.500GR CREMOSO LIGHT CARREFOUR</v>
      </c>
      <c r="C10555" s="2" t="str">
        <f t="shared" si="410"/>
        <v>UN</v>
      </c>
      <c r="D10555" s="7">
        <v>107</v>
      </c>
      <c r="E10555" s="3">
        <v>1</v>
      </c>
      <c r="F10555" s="3">
        <v>1</v>
      </c>
      <c r="G10555" t="s">
        <v>514</v>
      </c>
    </row>
    <row r="10556" spans="1:7" x14ac:dyDescent="0.25">
      <c r="A10556" s="1" t="str">
        <f>"6805"</f>
        <v>6805</v>
      </c>
      <c r="B10556" s="2" t="str">
        <f>"ETIQ. P/REQ.500GR CREMOSO TRADICIONAL COOP"</f>
        <v>ETIQ. P/REQ.500GR CREMOSO TRADICIONAL COOP</v>
      </c>
      <c r="C10556" s="2" t="str">
        <f t="shared" si="410"/>
        <v>UN</v>
      </c>
      <c r="D10556" s="7">
        <v>107</v>
      </c>
      <c r="E10556" s="3">
        <v>1</v>
      </c>
      <c r="F10556" s="3">
        <v>1</v>
      </c>
      <c r="G10556" t="s">
        <v>514</v>
      </c>
    </row>
    <row r="10557" spans="1:7" x14ac:dyDescent="0.25">
      <c r="A10557" s="1" t="str">
        <f>"524027"</f>
        <v>524027</v>
      </c>
      <c r="B10557" s="2" t="str">
        <f>"ETIQ. PL PAREDE CUIDADO VENENO 9X"</f>
        <v>ETIQ. PL PAREDE CUIDADO VENENO 9X</v>
      </c>
      <c r="C10557" s="2" t="str">
        <f t="shared" si="410"/>
        <v>UN</v>
      </c>
      <c r="D10557" s="7">
        <v>99999</v>
      </c>
      <c r="E10557" s="3">
        <v>99</v>
      </c>
      <c r="F10557" s="3">
        <v>99</v>
      </c>
      <c r="G10557" t="s">
        <v>513</v>
      </c>
    </row>
    <row r="10558" spans="1:7" x14ac:dyDescent="0.25">
      <c r="A10558" s="1" t="str">
        <f>"2576"</f>
        <v>2576</v>
      </c>
      <c r="B10558" s="2" t="str">
        <f>"ETIQ. REDONDA AMARELA  TP-19"</f>
        <v>ETIQ. REDONDA AMARELA  TP-19</v>
      </c>
      <c r="C10558" s="2" t="str">
        <f>"PC"</f>
        <v>PC</v>
      </c>
      <c r="D10558" s="7">
        <v>401</v>
      </c>
      <c r="E10558" s="3">
        <v>4</v>
      </c>
      <c r="F10558" s="3">
        <v>4</v>
      </c>
      <c r="G10558" t="s">
        <v>512</v>
      </c>
    </row>
    <row r="10559" spans="1:7" x14ac:dyDescent="0.25">
      <c r="A10559" s="1" t="str">
        <f>"2698"</f>
        <v>2698</v>
      </c>
      <c r="B10559" s="2" t="str">
        <f>"ETIQ. REDONDA VERDE    TP-19"</f>
        <v>ETIQ. REDONDA VERDE    TP-19</v>
      </c>
      <c r="C10559" s="2" t="str">
        <f t="shared" ref="C10559:C10590" si="411">"UN"</f>
        <v>UN</v>
      </c>
      <c r="D10559" s="7">
        <v>401</v>
      </c>
      <c r="E10559" s="3">
        <v>4</v>
      </c>
      <c r="F10559" s="3">
        <v>4</v>
      </c>
      <c r="G10559" t="s">
        <v>513</v>
      </c>
    </row>
    <row r="10560" spans="1:7" x14ac:dyDescent="0.25">
      <c r="A10560" s="1" t="str">
        <f>"3055"</f>
        <v>3055</v>
      </c>
      <c r="B10560" s="2" t="str">
        <f>"ETIQ. REDONDA VERMELHA TP-19"</f>
        <v>ETIQ. REDONDA VERMELHA TP-19</v>
      </c>
      <c r="C10560" s="2" t="str">
        <f t="shared" si="411"/>
        <v>UN</v>
      </c>
      <c r="D10560" s="7">
        <v>408</v>
      </c>
      <c r="E10560" s="3">
        <v>4</v>
      </c>
      <c r="F10560" s="3">
        <v>4</v>
      </c>
      <c r="G10560" t="s">
        <v>514</v>
      </c>
    </row>
    <row r="10561" spans="1:7" x14ac:dyDescent="0.25">
      <c r="A10561" s="1" t="str">
        <f>"6167"</f>
        <v>6167</v>
      </c>
      <c r="B10561" s="2" t="str">
        <f>"ETIQ.P/REQ.200G LIGHT (DIA%)"</f>
        <v>ETIQ.P/REQ.200G LIGHT (DIA%)</v>
      </c>
      <c r="C10561" s="2" t="str">
        <f t="shared" si="411"/>
        <v>UN</v>
      </c>
      <c r="D10561" s="7">
        <v>107</v>
      </c>
      <c r="E10561" s="3">
        <v>1</v>
      </c>
      <c r="F10561" s="3">
        <v>1</v>
      </c>
      <c r="G10561" t="s">
        <v>514</v>
      </c>
    </row>
    <row r="10562" spans="1:7" x14ac:dyDescent="0.25">
      <c r="A10562" s="1" t="str">
        <f>"794"</f>
        <v>794</v>
      </c>
      <c r="B10562" s="2" t="str">
        <f>"ETIQ.P/REQ.200G TRADICIONAL (CAROLINA)"</f>
        <v>ETIQ.P/REQ.200G TRADICIONAL (CAROLINA)</v>
      </c>
      <c r="C10562" s="2" t="str">
        <f t="shared" si="411"/>
        <v>UN</v>
      </c>
      <c r="D10562" s="7">
        <v>107</v>
      </c>
      <c r="E10562" s="3">
        <v>1</v>
      </c>
      <c r="F10562" s="3">
        <v>1</v>
      </c>
      <c r="G10562" t="s">
        <v>514</v>
      </c>
    </row>
    <row r="10563" spans="1:7" x14ac:dyDescent="0.25">
      <c r="A10563" s="1" t="str">
        <f>"6166"</f>
        <v>6166</v>
      </c>
      <c r="B10563" s="2" t="str">
        <f>"ETIQ.P/REQ.200G TRADICIONAL (DIA%)"</f>
        <v>ETIQ.P/REQ.200G TRADICIONAL (DIA%)</v>
      </c>
      <c r="C10563" s="2" t="str">
        <f t="shared" si="411"/>
        <v>UN</v>
      </c>
      <c r="D10563" s="7">
        <v>107</v>
      </c>
      <c r="E10563" s="3">
        <v>1</v>
      </c>
      <c r="F10563" s="3">
        <v>1</v>
      </c>
      <c r="G10563" t="s">
        <v>513</v>
      </c>
    </row>
    <row r="10564" spans="1:7" x14ac:dyDescent="0.25">
      <c r="A10564" s="1" t="str">
        <f>"521533"</f>
        <v>521533</v>
      </c>
      <c r="B10564" s="2" t="str">
        <f>"ETIQUETA"</f>
        <v>ETIQUETA</v>
      </c>
      <c r="C10564" s="2" t="str">
        <f t="shared" si="411"/>
        <v>UN</v>
      </c>
      <c r="D10564" s="7">
        <v>99999</v>
      </c>
      <c r="E10564" s="3">
        <v>99</v>
      </c>
      <c r="F10564" s="3">
        <v>99</v>
      </c>
      <c r="G10564" t="s">
        <v>513</v>
      </c>
    </row>
    <row r="10565" spans="1:7" x14ac:dyDescent="0.25">
      <c r="A10565" s="1" t="str">
        <f>"6738"</f>
        <v>6738</v>
      </c>
      <c r="B10565" s="2" t="str">
        <f>"ETIQUETA 25 X 67MM 4X0 BOPP PER AMOSTRAS"</f>
        <v>ETIQUETA 25 X 67MM 4X0 BOPP PER AMOSTRAS</v>
      </c>
      <c r="C10565" s="2" t="str">
        <f t="shared" si="411"/>
        <v>UN</v>
      </c>
      <c r="D10565" s="7">
        <v>401</v>
      </c>
      <c r="E10565" s="3">
        <v>4</v>
      </c>
      <c r="F10565" s="3">
        <v>4</v>
      </c>
      <c r="G10565" t="s">
        <v>513</v>
      </c>
    </row>
    <row r="10566" spans="1:7" x14ac:dyDescent="0.25">
      <c r="A10566" s="1" t="str">
        <f>"521600"</f>
        <v>521600</v>
      </c>
      <c r="B10566" s="2" t="str">
        <f>"ETIQUETA 4X15MM P/ FIOS DE LUVA SLZ"</f>
        <v>ETIQUETA 4X15MM P/ FIOS DE LUVA SLZ</v>
      </c>
      <c r="C10566" s="2" t="str">
        <f t="shared" si="411"/>
        <v>UN</v>
      </c>
      <c r="D10566" s="7">
        <v>811</v>
      </c>
      <c r="E10566" s="3">
        <v>13</v>
      </c>
      <c r="F10566" s="3">
        <v>13</v>
      </c>
      <c r="G10566" t="s">
        <v>512</v>
      </c>
    </row>
    <row r="10567" spans="1:7" x14ac:dyDescent="0.25">
      <c r="A10567" s="1" t="str">
        <f>"526084"</f>
        <v>526084</v>
      </c>
      <c r="B10567" s="2" t="str">
        <f>"ETIQUETA ADESIVA EAZ 12X40 P QUADRO DE FORÇA_211"</f>
        <v>ETIQUETA ADESIVA EAZ 12X40 P QUADRO DE FORÇA_211</v>
      </c>
      <c r="C10567" s="2" t="str">
        <f t="shared" si="411"/>
        <v>UN</v>
      </c>
      <c r="D10567" s="7">
        <v>811</v>
      </c>
      <c r="E10567" s="3">
        <v>10</v>
      </c>
      <c r="F10567" s="3">
        <v>10</v>
      </c>
      <c r="G10567" t="s">
        <v>513</v>
      </c>
    </row>
    <row r="10568" spans="1:7" x14ac:dyDescent="0.25">
      <c r="A10568" s="1" t="str">
        <f>"524251"</f>
        <v>524251</v>
      </c>
      <c r="B10568" s="2" t="str">
        <f>"ETIQUETA ADESIVA PROXIMA REVISÃO"</f>
        <v>ETIQUETA ADESIVA PROXIMA REVISÃO</v>
      </c>
      <c r="C10568" s="2" t="str">
        <f t="shared" si="411"/>
        <v>UN</v>
      </c>
      <c r="D10568" s="7">
        <v>99999</v>
      </c>
      <c r="E10568" s="3">
        <v>99</v>
      </c>
      <c r="F10568" s="3">
        <v>99</v>
      </c>
      <c r="G10568" t="s">
        <v>514</v>
      </c>
    </row>
    <row r="10569" spans="1:7" x14ac:dyDescent="0.25">
      <c r="A10569" s="1" t="str">
        <f>"524250"</f>
        <v>524250</v>
      </c>
      <c r="B10569" s="2" t="str">
        <f>"ETIQUETA ADESIVA REDONDA P/ TRAVA QUEDAS"</f>
        <v>ETIQUETA ADESIVA REDONDA P/ TRAVA QUEDAS</v>
      </c>
      <c r="C10569" s="2" t="str">
        <f t="shared" si="411"/>
        <v>UN</v>
      </c>
      <c r="D10569" s="7">
        <v>99999</v>
      </c>
      <c r="E10569" s="3">
        <v>99</v>
      </c>
      <c r="F10569" s="3">
        <v>99</v>
      </c>
      <c r="G10569" t="s">
        <v>515</v>
      </c>
    </row>
    <row r="10570" spans="1:7" x14ac:dyDescent="0.25">
      <c r="A10570" s="1" t="str">
        <f>"525594"</f>
        <v>525594</v>
      </c>
      <c r="B10570" s="2" t="str">
        <f>"ETIQUETA APARELHO EAZ 100x100 860 211 CINZA PVC FLEX"</f>
        <v>ETIQUETA APARELHO EAZ 100x100 860 211 CINZA PVC FLEX</v>
      </c>
      <c r="C10570" s="2" t="str">
        <f t="shared" si="411"/>
        <v>UN</v>
      </c>
      <c r="D10570" s="7">
        <v>811</v>
      </c>
      <c r="E10570" s="3">
        <v>10</v>
      </c>
      <c r="F10570" s="3">
        <v>10</v>
      </c>
      <c r="G10570" t="s">
        <v>512</v>
      </c>
    </row>
    <row r="10571" spans="1:7" x14ac:dyDescent="0.25">
      <c r="A10571" s="1" t="str">
        <f>"521707"</f>
        <v>521707</v>
      </c>
      <c r="B10571" s="2" t="str">
        <f>"ETIQUETA APARELHO EAZ 52,5X23 960 211 PVC FLEX ADESIVO"</f>
        <v>ETIQUETA APARELHO EAZ 52,5X23 960 211 PVC FLEX ADESIVO</v>
      </c>
      <c r="C10571" s="2" t="str">
        <f t="shared" si="411"/>
        <v>UN</v>
      </c>
      <c r="D10571" s="7">
        <v>811</v>
      </c>
      <c r="E10571" s="3">
        <v>10</v>
      </c>
      <c r="F10571" s="3">
        <v>10</v>
      </c>
      <c r="G10571" t="s">
        <v>516</v>
      </c>
    </row>
    <row r="10572" spans="1:7" x14ac:dyDescent="0.25">
      <c r="A10572" s="1" t="str">
        <f>"521702"</f>
        <v>521702</v>
      </c>
      <c r="B10572" s="2" t="str">
        <f>"ETIQUETA APARELHO EAZ 7X19 460 211 AMARELO PVC FLEX"</f>
        <v>ETIQUETA APARELHO EAZ 7X19 460 211 AMARELO PVC FLEX</v>
      </c>
      <c r="C10572" s="2" t="str">
        <f t="shared" si="411"/>
        <v>UN</v>
      </c>
      <c r="D10572" s="7">
        <v>811</v>
      </c>
      <c r="E10572" s="3">
        <v>10</v>
      </c>
      <c r="F10572" s="3">
        <v>10</v>
      </c>
      <c r="G10572" t="s">
        <v>515</v>
      </c>
    </row>
    <row r="10573" spans="1:7" x14ac:dyDescent="0.25">
      <c r="A10573" s="1" t="str">
        <f>"515966"</f>
        <v>515966</v>
      </c>
      <c r="B10573" s="2" t="str">
        <f>"ETIQUETA ARMADILHA LUMINOSA 10X"</f>
        <v>ETIQUETA ARMADILHA LUMINOSA 10X</v>
      </c>
      <c r="C10573" s="2" t="str">
        <f t="shared" si="411"/>
        <v>UN</v>
      </c>
      <c r="D10573" s="7">
        <v>99999</v>
      </c>
      <c r="E10573" s="3">
        <v>99</v>
      </c>
      <c r="F10573" s="3">
        <v>99</v>
      </c>
      <c r="G10573" t="s">
        <v>514</v>
      </c>
    </row>
    <row r="10574" spans="1:7" x14ac:dyDescent="0.25">
      <c r="A10574" s="1" t="str">
        <f>"523462"</f>
        <v>523462</v>
      </c>
      <c r="B10574" s="2" t="str">
        <f>"ETIQUETA AUTO LAMINADA BRAD"</f>
        <v>ETIQUETA AUTO LAMINADA BRAD</v>
      </c>
      <c r="C10574" s="2" t="str">
        <f t="shared" si="411"/>
        <v>UN</v>
      </c>
      <c r="D10574" s="7">
        <v>601</v>
      </c>
      <c r="E10574" s="3">
        <v>8</v>
      </c>
      <c r="F10574" s="3">
        <v>8</v>
      </c>
      <c r="G10574" t="s">
        <v>512</v>
      </c>
    </row>
    <row r="10575" spans="1:7" x14ac:dyDescent="0.25">
      <c r="A10575" s="1" t="str">
        <f>"520732"</f>
        <v>520732</v>
      </c>
      <c r="B10575" s="2" t="str">
        <f>"ETIQUETA BLOQUEIO DESCR. NÃO LIGUE LONA C/ ILHOS"</f>
        <v>ETIQUETA BLOQUEIO DESCR. NÃO LIGUE LONA C/ ILHOS</v>
      </c>
      <c r="C10575" s="2" t="str">
        <f t="shared" si="411"/>
        <v>UN</v>
      </c>
      <c r="D10575" s="7">
        <v>817</v>
      </c>
      <c r="E10575" s="3">
        <v>4</v>
      </c>
      <c r="F10575" s="3">
        <v>4</v>
      </c>
      <c r="G10575" t="s">
        <v>513</v>
      </c>
    </row>
    <row r="10576" spans="1:7" x14ac:dyDescent="0.25">
      <c r="A10576" s="1" t="str">
        <f>"520731"</f>
        <v>520731</v>
      </c>
      <c r="B10576" s="2" t="str">
        <f>"ETIQUETA BLOQUEIO DESCR. NÃO OPERE"</f>
        <v>ETIQUETA BLOQUEIO DESCR. NÃO OPERE</v>
      </c>
      <c r="C10576" s="2" t="str">
        <f t="shared" si="411"/>
        <v>UN</v>
      </c>
      <c r="D10576" s="7">
        <v>817</v>
      </c>
      <c r="E10576" s="3">
        <v>4</v>
      </c>
      <c r="F10576" s="3">
        <v>4</v>
      </c>
      <c r="G10576" t="s">
        <v>514</v>
      </c>
    </row>
    <row r="10577" spans="1:7" x14ac:dyDescent="0.25">
      <c r="A10577" s="1" t="str">
        <f>"521114"</f>
        <v>521114</v>
      </c>
      <c r="B10577" s="2" t="str">
        <f>"ETIQUETA BOPP 100X150MM 01 COLUNA C/ 229 BRANCA"</f>
        <v>ETIQUETA BOPP 100X150MM 01 COLUNA C/ 229 BRANCA</v>
      </c>
      <c r="C10577" s="2" t="str">
        <f t="shared" si="411"/>
        <v>UN</v>
      </c>
      <c r="D10577" s="7">
        <v>107</v>
      </c>
      <c r="E10577" s="3">
        <v>4</v>
      </c>
      <c r="F10577" s="3">
        <v>4</v>
      </c>
      <c r="G10577" t="s">
        <v>514</v>
      </c>
    </row>
    <row r="10578" spans="1:7" x14ac:dyDescent="0.25">
      <c r="A10578" s="1" t="str">
        <f>"4421"</f>
        <v>4421</v>
      </c>
      <c r="B10578" s="2" t="str">
        <f>"ETIQUETA BOPP 40X20MM COD BARRAS CAROLINA"</f>
        <v>ETIQUETA BOPP 40X20MM COD BARRAS CAROLINA</v>
      </c>
      <c r="C10578" s="2" t="str">
        <f t="shared" si="411"/>
        <v>UN</v>
      </c>
      <c r="D10578" s="7">
        <v>107</v>
      </c>
      <c r="E10578" s="3">
        <v>1</v>
      </c>
      <c r="F10578" s="3">
        <v>1</v>
      </c>
      <c r="G10578" t="s">
        <v>512</v>
      </c>
    </row>
    <row r="10579" spans="1:7" x14ac:dyDescent="0.25">
      <c r="A10579" s="1" t="str">
        <f>"513435"</f>
        <v>513435</v>
      </c>
      <c r="B10579" s="2" t="str">
        <f>"ETIQUETA BOPP 80X40MM 01 COLUNA C/ 1000 AMARELA"</f>
        <v>ETIQUETA BOPP 80X40MM 01 COLUNA C/ 1000 AMARELA</v>
      </c>
      <c r="C10579" s="2" t="str">
        <f t="shared" si="411"/>
        <v>UN</v>
      </c>
      <c r="D10579" s="7">
        <v>107</v>
      </c>
      <c r="E10579" s="3">
        <v>1</v>
      </c>
      <c r="F10579" s="3">
        <v>1</v>
      </c>
      <c r="G10579" t="s">
        <v>513</v>
      </c>
    </row>
    <row r="10580" spans="1:7" x14ac:dyDescent="0.25">
      <c r="A10580" s="1" t="str">
        <f>"519224"</f>
        <v>519224</v>
      </c>
      <c r="B10580" s="2" t="str">
        <f>"ETIQUETA BOPP 80X40MM 01 COLUNA C/ 1000 BRANCA"</f>
        <v>ETIQUETA BOPP 80X40MM 01 COLUNA C/ 1000 BRANCA</v>
      </c>
      <c r="C10580" s="2" t="str">
        <f t="shared" si="411"/>
        <v>UN</v>
      </c>
      <c r="D10580" s="7">
        <v>107</v>
      </c>
      <c r="E10580" s="3">
        <v>4</v>
      </c>
      <c r="F10580" s="3">
        <v>4</v>
      </c>
      <c r="G10580" t="s">
        <v>514</v>
      </c>
    </row>
    <row r="10581" spans="1:7" x14ac:dyDescent="0.25">
      <c r="A10581" s="1" t="str">
        <f>"513813"</f>
        <v>513813</v>
      </c>
      <c r="B10581" s="2" t="str">
        <f>"ETIQUETA BRANCA FINA"</f>
        <v>ETIQUETA BRANCA FINA</v>
      </c>
      <c r="C10581" s="2" t="str">
        <f t="shared" si="411"/>
        <v>UN</v>
      </c>
      <c r="D10581" s="7">
        <v>99999</v>
      </c>
      <c r="E10581" s="3">
        <v>99</v>
      </c>
      <c r="F10581" s="3">
        <v>99</v>
      </c>
      <c r="G10581" t="s">
        <v>514</v>
      </c>
    </row>
    <row r="10582" spans="1:7" x14ac:dyDescent="0.25">
      <c r="A10582" s="1" t="str">
        <f>"513812"</f>
        <v>513812</v>
      </c>
      <c r="B10582" s="2" t="str">
        <f>"ETIQUETA BRANCA GROSSA"</f>
        <v>ETIQUETA BRANCA GROSSA</v>
      </c>
      <c r="C10582" s="2" t="str">
        <f t="shared" si="411"/>
        <v>UN</v>
      </c>
      <c r="D10582" s="7">
        <v>99999</v>
      </c>
      <c r="E10582" s="3">
        <v>99</v>
      </c>
      <c r="F10582" s="3">
        <v>99</v>
      </c>
      <c r="G10582" t="s">
        <v>514</v>
      </c>
    </row>
    <row r="10583" spans="1:7" x14ac:dyDescent="0.25">
      <c r="A10583" s="1" t="str">
        <f>"515542"</f>
        <v>515542</v>
      </c>
      <c r="B10583" s="2" t="str">
        <f>"ETIQUETA CONTRASTEAM"</f>
        <v>ETIQUETA CONTRASTEAM</v>
      </c>
      <c r="C10583" s="2" t="str">
        <f t="shared" si="411"/>
        <v>UN</v>
      </c>
      <c r="D10583" s="7">
        <v>811</v>
      </c>
      <c r="E10583" s="3">
        <v>8</v>
      </c>
      <c r="F10583" s="3">
        <v>8</v>
      </c>
      <c r="G10583" t="s">
        <v>513</v>
      </c>
    </row>
    <row r="10584" spans="1:7" x14ac:dyDescent="0.25">
      <c r="A10584" s="1" t="str">
        <f>"513871"</f>
        <v>513871</v>
      </c>
      <c r="B10584" s="2" t="str">
        <f>"ETIQUETA DE ID.CX. COCO (2123224)"</f>
        <v>ETIQUETA DE ID.CX. COCO (2123224)</v>
      </c>
      <c r="C10584" s="2" t="str">
        <f t="shared" si="411"/>
        <v>UN</v>
      </c>
      <c r="D10584" s="7">
        <v>108</v>
      </c>
      <c r="E10584" s="3">
        <v>1</v>
      </c>
      <c r="F10584" s="3">
        <v>1</v>
      </c>
      <c r="G10584" t="s">
        <v>512</v>
      </c>
    </row>
    <row r="10585" spans="1:7" x14ac:dyDescent="0.25">
      <c r="A10585" s="1" t="str">
        <f>"514368"</f>
        <v>514368</v>
      </c>
      <c r="B10585" s="2" t="str">
        <f>"ETIQUETA DE ID.CX. COCO (2123224)"</f>
        <v>ETIQUETA DE ID.CX. COCO (2123224)</v>
      </c>
      <c r="C10585" s="2" t="str">
        <f t="shared" si="411"/>
        <v>UN</v>
      </c>
      <c r="D10585" s="7">
        <v>107</v>
      </c>
      <c r="E10585" s="3">
        <v>1</v>
      </c>
      <c r="F10585" s="3">
        <v>1</v>
      </c>
      <c r="G10585" t="s">
        <v>513</v>
      </c>
    </row>
    <row r="10586" spans="1:7" x14ac:dyDescent="0.25">
      <c r="A10586" s="1" t="str">
        <f>"519510"</f>
        <v>519510</v>
      </c>
      <c r="B10586" s="2" t="str">
        <f>"ETIQUETA DE ID.CX. LAMBADA"</f>
        <v>ETIQUETA DE ID.CX. LAMBADA</v>
      </c>
      <c r="C10586" s="2" t="str">
        <f t="shared" si="411"/>
        <v>UN</v>
      </c>
      <c r="D10586" s="7">
        <v>107</v>
      </c>
      <c r="E10586" s="3">
        <v>1</v>
      </c>
      <c r="F10586" s="3">
        <v>1</v>
      </c>
      <c r="G10586" t="s">
        <v>514</v>
      </c>
    </row>
    <row r="10587" spans="1:7" x14ac:dyDescent="0.25">
      <c r="A10587" s="1" t="str">
        <f>"513421"</f>
        <v>513421</v>
      </c>
      <c r="B10587" s="2" t="str">
        <f>"ETIQUETA DE ID.CX.ABACAXI/COCO (CÓD.2123237)"</f>
        <v>ETIQUETA DE ID.CX.ABACAXI/COCO (CÓD.2123237)</v>
      </c>
      <c r="C10587" s="2" t="str">
        <f t="shared" si="411"/>
        <v>UN</v>
      </c>
      <c r="D10587" s="7">
        <v>107</v>
      </c>
      <c r="E10587" s="3">
        <v>1</v>
      </c>
      <c r="F10587" s="3">
        <v>1</v>
      </c>
      <c r="G10587" t="s">
        <v>514</v>
      </c>
    </row>
    <row r="10588" spans="1:7" x14ac:dyDescent="0.25">
      <c r="A10588" s="1" t="str">
        <f>"514369"</f>
        <v>514369</v>
      </c>
      <c r="B10588" s="2" t="str">
        <f>"ETIQUETA DE ID.CX.GRAVIOLA (COD.2123227)"</f>
        <v>ETIQUETA DE ID.CX.GRAVIOLA (COD.2123227)</v>
      </c>
      <c r="C10588" s="2" t="str">
        <f t="shared" si="411"/>
        <v>UN</v>
      </c>
      <c r="D10588" s="7">
        <v>107</v>
      </c>
      <c r="E10588" s="3">
        <v>1</v>
      </c>
      <c r="F10588" s="3">
        <v>1</v>
      </c>
      <c r="G10588" t="s">
        <v>514</v>
      </c>
    </row>
    <row r="10589" spans="1:7" x14ac:dyDescent="0.25">
      <c r="A10589" s="1" t="str">
        <f>"6607"</f>
        <v>6607</v>
      </c>
      <c r="B10589" s="2" t="str">
        <f>"ETIQUETA DE ID.CX.GRAVIOLA (COD.2123227)"</f>
        <v>ETIQUETA DE ID.CX.GRAVIOLA (COD.2123227)</v>
      </c>
      <c r="C10589" s="2" t="str">
        <f t="shared" si="411"/>
        <v>UN</v>
      </c>
      <c r="D10589" s="7">
        <v>107</v>
      </c>
      <c r="E10589" s="3">
        <v>1</v>
      </c>
      <c r="F10589" s="3">
        <v>1</v>
      </c>
      <c r="G10589" t="s">
        <v>513</v>
      </c>
    </row>
    <row r="10590" spans="1:7" x14ac:dyDescent="0.25">
      <c r="A10590" s="1" t="str">
        <f>"514370"</f>
        <v>514370</v>
      </c>
      <c r="B10590" s="2" t="str">
        <f>"ETIQUETA DE ID.CX.LIMAO (COD.2123232)"</f>
        <v>ETIQUETA DE ID.CX.LIMAO (COD.2123232)</v>
      </c>
      <c r="C10590" s="2" t="str">
        <f t="shared" si="411"/>
        <v>UN</v>
      </c>
      <c r="D10590" s="7">
        <v>107</v>
      </c>
      <c r="E10590" s="3">
        <v>1</v>
      </c>
      <c r="F10590" s="3">
        <v>1</v>
      </c>
      <c r="G10590" t="s">
        <v>513</v>
      </c>
    </row>
    <row r="10591" spans="1:7" x14ac:dyDescent="0.25">
      <c r="A10591" s="1" t="str">
        <f>"6772"</f>
        <v>6772</v>
      </c>
      <c r="B10591" s="2" t="str">
        <f>"ETIQUETA DE ID.CX.LIMAO (COD.2123232)"</f>
        <v>ETIQUETA DE ID.CX.LIMAO (COD.2123232)</v>
      </c>
      <c r="C10591" s="2" t="str">
        <f t="shared" ref="C10591:C10622" si="412">"UN"</f>
        <v>UN</v>
      </c>
      <c r="D10591" s="7">
        <v>107</v>
      </c>
      <c r="E10591" s="3">
        <v>1</v>
      </c>
      <c r="F10591" s="3">
        <v>1</v>
      </c>
      <c r="G10591" t="s">
        <v>513</v>
      </c>
    </row>
    <row r="10592" spans="1:7" x14ac:dyDescent="0.25">
      <c r="A10592" s="1" t="str">
        <f>"514371"</f>
        <v>514371</v>
      </c>
      <c r="B10592" s="2" t="str">
        <f>"ETIQUETA DE ID.CX.MANGA ()"</f>
        <v>ETIQUETA DE ID.CX.MANGA ()</v>
      </c>
      <c r="C10592" s="2" t="str">
        <f t="shared" si="412"/>
        <v>UN</v>
      </c>
      <c r="D10592" s="7">
        <v>107</v>
      </c>
      <c r="E10592" s="3">
        <v>1</v>
      </c>
      <c r="F10592" s="3">
        <v>1</v>
      </c>
      <c r="G10592" t="s">
        <v>512</v>
      </c>
    </row>
    <row r="10593" spans="1:7" x14ac:dyDescent="0.25">
      <c r="A10593" s="1" t="str">
        <f>"6606"</f>
        <v>6606</v>
      </c>
      <c r="B10593" s="2" t="str">
        <f>"ETIQUETA DE ID.CX.MANGA ()"</f>
        <v>ETIQUETA DE ID.CX.MANGA ()</v>
      </c>
      <c r="C10593" s="2" t="str">
        <f t="shared" si="412"/>
        <v>UN</v>
      </c>
      <c r="D10593" s="7">
        <v>107</v>
      </c>
      <c r="E10593" s="3">
        <v>1</v>
      </c>
      <c r="F10593" s="3">
        <v>1</v>
      </c>
      <c r="G10593" t="s">
        <v>513</v>
      </c>
    </row>
    <row r="10594" spans="1:7" x14ac:dyDescent="0.25">
      <c r="A10594" s="1" t="str">
        <f>"514372"</f>
        <v>514372</v>
      </c>
      <c r="B10594" s="2" t="str">
        <f>"ETIQUETA DE ID.CX.MARACUJA (COD.2123225)"</f>
        <v>ETIQUETA DE ID.CX.MARACUJA (COD.2123225)</v>
      </c>
      <c r="C10594" s="2" t="str">
        <f t="shared" si="412"/>
        <v>UN</v>
      </c>
      <c r="D10594" s="7">
        <v>107</v>
      </c>
      <c r="E10594" s="3">
        <v>1</v>
      </c>
      <c r="F10594" s="3">
        <v>1</v>
      </c>
      <c r="G10594" t="s">
        <v>514</v>
      </c>
    </row>
    <row r="10595" spans="1:7" x14ac:dyDescent="0.25">
      <c r="A10595" s="1" t="str">
        <f>"6605"</f>
        <v>6605</v>
      </c>
      <c r="B10595" s="2" t="str">
        <f>"ETIQUETA DE ID.CX.MARACUJA (COD.2123225)"</f>
        <v>ETIQUETA DE ID.CX.MARACUJA (COD.2123225)</v>
      </c>
      <c r="C10595" s="2" t="str">
        <f t="shared" si="412"/>
        <v>UN</v>
      </c>
      <c r="D10595" s="7">
        <v>107</v>
      </c>
      <c r="E10595" s="3">
        <v>1</v>
      </c>
      <c r="F10595" s="3">
        <v>1</v>
      </c>
      <c r="G10595" t="s">
        <v>515</v>
      </c>
    </row>
    <row r="10596" spans="1:7" x14ac:dyDescent="0.25">
      <c r="A10596" s="1" t="str">
        <f>"514373"</f>
        <v>514373</v>
      </c>
      <c r="B10596" s="2" t="str">
        <f>"ETIQUETA DE ID.CX.MORANGO (COD.2123223)"</f>
        <v>ETIQUETA DE ID.CX.MORANGO (COD.2123223)</v>
      </c>
      <c r="C10596" s="2" t="str">
        <f t="shared" si="412"/>
        <v>UN</v>
      </c>
      <c r="D10596" s="7">
        <v>107</v>
      </c>
      <c r="E10596" s="3">
        <v>1</v>
      </c>
      <c r="F10596" s="3">
        <v>1</v>
      </c>
      <c r="G10596" t="s">
        <v>512</v>
      </c>
    </row>
    <row r="10597" spans="1:7" x14ac:dyDescent="0.25">
      <c r="A10597" s="1" t="str">
        <f>"6603"</f>
        <v>6603</v>
      </c>
      <c r="B10597" s="2" t="str">
        <f>"ETIQUETA DE ID.CX.MORANGO (COD.2123223)"</f>
        <v>ETIQUETA DE ID.CX.MORANGO (COD.2123223)</v>
      </c>
      <c r="C10597" s="2" t="str">
        <f t="shared" si="412"/>
        <v>UN</v>
      </c>
      <c r="D10597" s="7">
        <v>107</v>
      </c>
      <c r="E10597" s="3">
        <v>1</v>
      </c>
      <c r="F10597" s="3">
        <v>1</v>
      </c>
      <c r="G10597" t="s">
        <v>516</v>
      </c>
    </row>
    <row r="10598" spans="1:7" x14ac:dyDescent="0.25">
      <c r="A10598" s="1" t="str">
        <f>"514565"</f>
        <v>514565</v>
      </c>
      <c r="B10598" s="2" t="str">
        <f>"ETIQUETA DE ID.CX.UVA"</f>
        <v>ETIQUETA DE ID.CX.UVA</v>
      </c>
      <c r="C10598" s="2" t="str">
        <f t="shared" si="412"/>
        <v>UN</v>
      </c>
      <c r="D10598" s="7">
        <v>107</v>
      </c>
      <c r="E10598" s="3">
        <v>1</v>
      </c>
      <c r="F10598" s="3">
        <v>1</v>
      </c>
      <c r="G10598" t="s">
        <v>515</v>
      </c>
    </row>
    <row r="10599" spans="1:7" x14ac:dyDescent="0.25">
      <c r="A10599" s="1" t="str">
        <f>"514639"</f>
        <v>514639</v>
      </c>
      <c r="B10599" s="2" t="str">
        <f>"ETIQUETA DE ID.CX.UVA (COD.2123274)"</f>
        <v>ETIQUETA DE ID.CX.UVA (COD.2123274)</v>
      </c>
      <c r="C10599" s="2" t="str">
        <f t="shared" si="412"/>
        <v>UN</v>
      </c>
      <c r="D10599" s="7">
        <v>107</v>
      </c>
      <c r="E10599" s="3">
        <v>1</v>
      </c>
      <c r="F10599" s="3">
        <v>1</v>
      </c>
      <c r="G10599" t="s">
        <v>514</v>
      </c>
    </row>
    <row r="10600" spans="1:7" x14ac:dyDescent="0.25">
      <c r="A10600" s="1" t="str">
        <f>"6644"</f>
        <v>6644</v>
      </c>
      <c r="B10600" s="2" t="str">
        <f>"ETIQUETA DE IDENTIFICAÇAO COM FURO SIF 2630"</f>
        <v>ETIQUETA DE IDENTIFICAÇAO COM FURO SIF 2630</v>
      </c>
      <c r="C10600" s="2" t="str">
        <f t="shared" si="412"/>
        <v>UN</v>
      </c>
      <c r="D10600" s="7">
        <v>401</v>
      </c>
      <c r="E10600" s="3">
        <v>4</v>
      </c>
      <c r="F10600" s="3">
        <v>4</v>
      </c>
      <c r="G10600" t="s">
        <v>512</v>
      </c>
    </row>
    <row r="10601" spans="1:7" x14ac:dyDescent="0.25">
      <c r="A10601" s="1" t="str">
        <f>"523031"</f>
        <v>523031</v>
      </c>
      <c r="B10601" s="2" t="str">
        <f>"ETIQUETA DO BRAÇO"</f>
        <v>ETIQUETA DO BRAÇO</v>
      </c>
      <c r="C10601" s="2" t="str">
        <f t="shared" si="412"/>
        <v>UN</v>
      </c>
      <c r="D10601" s="7">
        <v>99999</v>
      </c>
      <c r="E10601" s="3">
        <v>99</v>
      </c>
      <c r="F10601" s="3">
        <v>99</v>
      </c>
      <c r="G10601" t="s">
        <v>513</v>
      </c>
    </row>
    <row r="10602" spans="1:7" x14ac:dyDescent="0.25">
      <c r="A10602" s="1" t="str">
        <f>"521704"</f>
        <v>521704</v>
      </c>
      <c r="B10602" s="2" t="str">
        <f>"ETIQUETA EAZ 9X 40/2 960 100 BRANCO PVC RIGIDO"</f>
        <v>ETIQUETA EAZ 9X 40/2 960 100 BRANCO PVC RIGIDO</v>
      </c>
      <c r="C10602" s="2" t="str">
        <f t="shared" si="412"/>
        <v>UN</v>
      </c>
      <c r="D10602" s="7">
        <v>811</v>
      </c>
      <c r="E10602" s="3">
        <v>10</v>
      </c>
      <c r="F10602" s="3">
        <v>10</v>
      </c>
      <c r="G10602" t="s">
        <v>514</v>
      </c>
    </row>
    <row r="10603" spans="1:7" x14ac:dyDescent="0.25">
      <c r="A10603" s="1" t="str">
        <f>"514803"</f>
        <v>514803</v>
      </c>
      <c r="B10603" s="2" t="str">
        <f>"ETIQUETA EM AÇO INOX"</f>
        <v>ETIQUETA EM AÇO INOX</v>
      </c>
      <c r="C10603" s="2" t="str">
        <f t="shared" si="412"/>
        <v>UN</v>
      </c>
      <c r="D10603" s="7">
        <v>401</v>
      </c>
      <c r="E10603" s="3">
        <v>4</v>
      </c>
      <c r="F10603" s="3">
        <v>4</v>
      </c>
      <c r="G10603" t="s">
        <v>514</v>
      </c>
    </row>
    <row r="10604" spans="1:7" x14ac:dyDescent="0.25">
      <c r="A10604" s="1" t="str">
        <f>"514804"</f>
        <v>514804</v>
      </c>
      <c r="B10604" s="2" t="str">
        <f>"ETIQUETA EM POLIPLASTIC"</f>
        <v>ETIQUETA EM POLIPLASTIC</v>
      </c>
      <c r="C10604" s="2" t="str">
        <f t="shared" si="412"/>
        <v>UN</v>
      </c>
      <c r="D10604" s="7">
        <v>401</v>
      </c>
      <c r="E10604" s="3">
        <v>4</v>
      </c>
      <c r="F10604" s="3">
        <v>4</v>
      </c>
      <c r="G10604" t="s">
        <v>512</v>
      </c>
    </row>
    <row r="10605" spans="1:7" x14ac:dyDescent="0.25">
      <c r="A10605" s="1" t="str">
        <f>"519503"</f>
        <v>519503</v>
      </c>
      <c r="B10605" s="2" t="str">
        <f>"ETIQUETA EUROPA SIF 0098/2630"</f>
        <v>ETIQUETA EUROPA SIF 0098/2630</v>
      </c>
      <c r="C10605" s="2" t="str">
        <f t="shared" si="412"/>
        <v>UN</v>
      </c>
      <c r="D10605" s="7">
        <v>107</v>
      </c>
      <c r="E10605" s="3">
        <v>1</v>
      </c>
      <c r="F10605" s="3">
        <v>1</v>
      </c>
      <c r="G10605" t="s">
        <v>513</v>
      </c>
    </row>
    <row r="10606" spans="1:7" x14ac:dyDescent="0.25">
      <c r="A10606" s="1" t="str">
        <f>"513994"</f>
        <v>513994</v>
      </c>
      <c r="B10606" s="2" t="str">
        <f>"ETIQUETA GOLD VERMELHA"</f>
        <v>ETIQUETA GOLD VERMELHA</v>
      </c>
      <c r="C10606" s="2" t="str">
        <f t="shared" si="412"/>
        <v>UN</v>
      </c>
      <c r="D10606" s="7">
        <v>401</v>
      </c>
      <c r="E10606" s="3">
        <v>4</v>
      </c>
      <c r="F10606" s="3">
        <v>4</v>
      </c>
      <c r="G10606" t="s">
        <v>514</v>
      </c>
    </row>
    <row r="10607" spans="1:7" x14ac:dyDescent="0.25">
      <c r="A10607" s="1" t="str">
        <f>"503058"</f>
        <v>503058</v>
      </c>
      <c r="B10607" s="2" t="str">
        <f>"ETIQUETA LEITE"</f>
        <v>ETIQUETA LEITE</v>
      </c>
      <c r="C10607" s="2" t="str">
        <f t="shared" si="412"/>
        <v>UN</v>
      </c>
      <c r="D10607" s="7">
        <v>704</v>
      </c>
      <c r="E10607" s="3">
        <v>9</v>
      </c>
      <c r="F10607" s="3">
        <v>9</v>
      </c>
      <c r="G10607" t="s">
        <v>514</v>
      </c>
    </row>
    <row r="10608" spans="1:7" x14ac:dyDescent="0.25">
      <c r="A10608" s="1" t="str">
        <f>"523030"</f>
        <v>523030</v>
      </c>
      <c r="B10608" s="2" t="str">
        <f>"ETIQUETA LOGOMARCA"</f>
        <v>ETIQUETA LOGOMARCA</v>
      </c>
      <c r="C10608" s="2" t="str">
        <f t="shared" si="412"/>
        <v>UN</v>
      </c>
      <c r="D10608" s="7">
        <v>99999</v>
      </c>
      <c r="E10608" s="3">
        <v>99</v>
      </c>
      <c r="F10608" s="3">
        <v>99</v>
      </c>
      <c r="G10608" t="s">
        <v>514</v>
      </c>
    </row>
    <row r="10609" spans="1:7" x14ac:dyDescent="0.25">
      <c r="A10609" s="1" t="str">
        <f>"515967"</f>
        <v>515967</v>
      </c>
      <c r="B10609" s="2" t="str">
        <f>"ETIQUETA LUMINOSA LEGENDA"</f>
        <v>ETIQUETA LUMINOSA LEGENDA</v>
      </c>
      <c r="C10609" s="2" t="str">
        <f t="shared" si="412"/>
        <v>UN</v>
      </c>
      <c r="D10609" s="7">
        <v>99999</v>
      </c>
      <c r="E10609" s="3">
        <v>99</v>
      </c>
      <c r="F10609" s="3">
        <v>99</v>
      </c>
      <c r="G10609" t="s">
        <v>513</v>
      </c>
    </row>
    <row r="10610" spans="1:7" x14ac:dyDescent="0.25">
      <c r="A10610" s="1" t="str">
        <f>"524252"</f>
        <v>524252</v>
      </c>
      <c r="B10610" s="2" t="str">
        <f>"ETIQUETA METALICA 38X38MM P/ TRAVA QUEDAS"</f>
        <v>ETIQUETA METALICA 38X38MM P/ TRAVA QUEDAS</v>
      </c>
      <c r="C10610" s="2" t="str">
        <f t="shared" si="412"/>
        <v>UN</v>
      </c>
      <c r="D10610" s="7">
        <v>99999</v>
      </c>
      <c r="E10610" s="3">
        <v>99</v>
      </c>
      <c r="F10610" s="3">
        <v>99</v>
      </c>
      <c r="G10610" t="s">
        <v>512</v>
      </c>
    </row>
    <row r="10611" spans="1:7" x14ac:dyDescent="0.25">
      <c r="A10611" s="1" t="str">
        <f>"523032"</f>
        <v>523032</v>
      </c>
      <c r="B10611" s="2" t="str">
        <f>"ETIQUETA NIVEL MAXIMO DE OLEO"</f>
        <v>ETIQUETA NIVEL MAXIMO DE OLEO</v>
      </c>
      <c r="C10611" s="2" t="str">
        <f t="shared" si="412"/>
        <v>UN</v>
      </c>
      <c r="D10611" s="7">
        <v>99999</v>
      </c>
      <c r="E10611" s="3">
        <v>99</v>
      </c>
      <c r="F10611" s="3">
        <v>99</v>
      </c>
      <c r="G10611" t="s">
        <v>513</v>
      </c>
    </row>
    <row r="10612" spans="1:7" x14ac:dyDescent="0.25">
      <c r="A10612" s="1" t="str">
        <f>"521706"</f>
        <v>521706</v>
      </c>
      <c r="B10612" s="2" t="str">
        <f>"ETIQUETA P/ SUP. BOTOEIRA EAZ 18,7X26,7 AMARELO PVC RIGIDO"</f>
        <v>ETIQUETA P/ SUP. BOTOEIRA EAZ 18,7X26,7 AMARELO PVC RIGIDO</v>
      </c>
      <c r="C10612" s="2" t="str">
        <f t="shared" si="412"/>
        <v>UN</v>
      </c>
      <c r="D10612" s="7">
        <v>811</v>
      </c>
      <c r="E10612" s="3">
        <v>10</v>
      </c>
      <c r="F10612" s="3">
        <v>10</v>
      </c>
      <c r="G10612" t="s">
        <v>514</v>
      </c>
    </row>
    <row r="10613" spans="1:7" x14ac:dyDescent="0.25">
      <c r="A10613" s="1" t="str">
        <f>"AG49119900"</f>
        <v>AG49119900</v>
      </c>
      <c r="B10613" s="2" t="str">
        <f>"ETIQUETA PVC 90X113,24MM FRASCO CAROLINA YOPLAIT"</f>
        <v>ETIQUETA PVC 90X113,24MM FRASCO CAROLINA YOPLAIT</v>
      </c>
      <c r="C10613" s="2" t="str">
        <f t="shared" si="412"/>
        <v>UN</v>
      </c>
      <c r="D10613" s="7">
        <v>99999</v>
      </c>
      <c r="E10613" s="3">
        <v>99</v>
      </c>
      <c r="F10613" s="3">
        <v>99</v>
      </c>
      <c r="G10613" t="s">
        <v>514</v>
      </c>
    </row>
    <row r="10614" spans="1:7" x14ac:dyDescent="0.25">
      <c r="A10614" s="1" t="str">
        <f>"523033"</f>
        <v>523033</v>
      </c>
      <c r="B10614" s="2" t="str">
        <f>"ETIQUETA REGRAS DE SEGURANÇA"</f>
        <v>ETIQUETA REGRAS DE SEGURANÇA</v>
      </c>
      <c r="C10614" s="2" t="str">
        <f t="shared" si="412"/>
        <v>UN</v>
      </c>
      <c r="D10614" s="7">
        <v>99999</v>
      </c>
      <c r="E10614" s="3">
        <v>99</v>
      </c>
      <c r="F10614" s="3">
        <v>99</v>
      </c>
      <c r="G10614" t="s">
        <v>514</v>
      </c>
    </row>
    <row r="10615" spans="1:7" x14ac:dyDescent="0.25">
      <c r="A10615" s="1" t="str">
        <f>"514640"</f>
        <v>514640</v>
      </c>
      <c r="B10615" s="2" t="str">
        <f>"ETIQUETA SUBSTITUICAO END. E SIF."</f>
        <v>ETIQUETA SUBSTITUICAO END. E SIF.</v>
      </c>
      <c r="C10615" s="2" t="str">
        <f t="shared" si="412"/>
        <v>UN</v>
      </c>
      <c r="D10615" s="7">
        <v>107</v>
      </c>
      <c r="E10615" s="3">
        <v>1</v>
      </c>
      <c r="F10615" s="3">
        <v>1</v>
      </c>
      <c r="G10615" t="s">
        <v>513</v>
      </c>
    </row>
    <row r="10616" spans="1:7" x14ac:dyDescent="0.25">
      <c r="A10616" s="1" t="str">
        <f>"524809"</f>
        <v>524809</v>
      </c>
      <c r="B10616" s="2" t="str">
        <f>"ETIQUETADORA AUT. P/ SOBRECOPO REDONDO 88MM"</f>
        <v>ETIQUETADORA AUT. P/ SOBRECOPO REDONDO 88MM</v>
      </c>
      <c r="C10616" s="2" t="str">
        <f t="shared" si="412"/>
        <v>UN</v>
      </c>
      <c r="D10616" s="7">
        <v>1300</v>
      </c>
      <c r="E10616" s="3">
        <v>13</v>
      </c>
      <c r="F10616" s="3">
        <v>13</v>
      </c>
      <c r="G10616" t="s">
        <v>513</v>
      </c>
    </row>
    <row r="10617" spans="1:7" x14ac:dyDescent="0.25">
      <c r="A10617" s="1" t="str">
        <f>"512322"</f>
        <v>512322</v>
      </c>
      <c r="B10617" s="2" t="str">
        <f>"ETIQUETADORA ELETRONICA PT-70 9/12MM"</f>
        <v>ETIQUETADORA ELETRONICA PT-70 9/12MM</v>
      </c>
      <c r="C10617" s="2" t="str">
        <f t="shared" si="412"/>
        <v>UN</v>
      </c>
      <c r="D10617" s="7">
        <v>401</v>
      </c>
      <c r="E10617" s="3">
        <v>4</v>
      </c>
      <c r="F10617" s="3">
        <v>4</v>
      </c>
      <c r="G10617" t="s">
        <v>513</v>
      </c>
    </row>
    <row r="10618" spans="1:7" x14ac:dyDescent="0.25">
      <c r="A10618" s="1" t="str">
        <f>"522626"</f>
        <v>522626</v>
      </c>
      <c r="B10618" s="2" t="str">
        <f>"ETIQUETAS"</f>
        <v>ETIQUETAS</v>
      </c>
      <c r="C10618" s="2" t="str">
        <f t="shared" si="412"/>
        <v>UN</v>
      </c>
      <c r="D10618" s="7">
        <v>99999</v>
      </c>
      <c r="E10618" s="3">
        <v>99</v>
      </c>
      <c r="F10618" s="3">
        <v>99</v>
      </c>
      <c r="G10618" t="s">
        <v>512</v>
      </c>
    </row>
    <row r="10619" spans="1:7" x14ac:dyDescent="0.25">
      <c r="A10619" s="1" t="str">
        <f>"521596"</f>
        <v>521596</v>
      </c>
      <c r="B10619" s="2" t="str">
        <f>"ETIQUETAS DIVERSAS - COM RECORTE"</f>
        <v>ETIQUETAS DIVERSAS - COM RECORTE</v>
      </c>
      <c r="C10619" s="2" t="str">
        <f t="shared" si="412"/>
        <v>UN</v>
      </c>
      <c r="D10619" s="7">
        <v>99999</v>
      </c>
      <c r="E10619" s="3">
        <v>99</v>
      </c>
      <c r="F10619" s="3">
        <v>99</v>
      </c>
      <c r="G10619" t="s">
        <v>513</v>
      </c>
    </row>
    <row r="10620" spans="1:7" x14ac:dyDescent="0.25">
      <c r="A10620" s="1" t="str">
        <f>"521089"</f>
        <v>521089</v>
      </c>
      <c r="B10620" s="2" t="str">
        <f>"ETIQUETAS E RELATORIOS"</f>
        <v>ETIQUETAS E RELATORIOS</v>
      </c>
      <c r="C10620" s="2" t="str">
        <f t="shared" si="412"/>
        <v>UN</v>
      </c>
      <c r="D10620" s="7">
        <v>99999</v>
      </c>
      <c r="E10620" s="3">
        <v>99</v>
      </c>
      <c r="F10620" s="3">
        <v>99</v>
      </c>
      <c r="G10620" t="s">
        <v>514</v>
      </c>
    </row>
    <row r="10621" spans="1:7" x14ac:dyDescent="0.25">
      <c r="A10621" s="1" t="str">
        <f>"AG39199090"</f>
        <v>AG39199090</v>
      </c>
      <c r="B10621" s="2" t="str">
        <f>"ETIQUETAS PARA EMBALAGEM AMOSTRA GRÁTIS"</f>
        <v>ETIQUETAS PARA EMBALAGEM AMOSTRA GRÁTIS</v>
      </c>
      <c r="C10621" s="2" t="str">
        <f t="shared" si="412"/>
        <v>UN</v>
      </c>
      <c r="D10621" s="7">
        <v>99999</v>
      </c>
      <c r="E10621" s="3">
        <v>99</v>
      </c>
      <c r="F10621" s="3">
        <v>99</v>
      </c>
      <c r="G10621" t="s">
        <v>515</v>
      </c>
    </row>
    <row r="10622" spans="1:7" x14ac:dyDescent="0.25">
      <c r="A10622" s="1" t="str">
        <f>"517476"</f>
        <v>517476</v>
      </c>
      <c r="B10622" s="2" t="str">
        <f>"EVAP MI-125A S/R 8X1/25 (3RES)"</f>
        <v>EVAP MI-125A S/R 8X1/25 (3RES)</v>
      </c>
      <c r="C10622" s="2" t="str">
        <f t="shared" si="412"/>
        <v>UN</v>
      </c>
      <c r="D10622" s="7">
        <v>918</v>
      </c>
      <c r="E10622" s="3">
        <v>10</v>
      </c>
      <c r="F10622" s="3">
        <v>10</v>
      </c>
      <c r="G10622" t="s">
        <v>512</v>
      </c>
    </row>
    <row r="10623" spans="1:7" x14ac:dyDescent="0.25">
      <c r="A10623" s="1" t="str">
        <f>"513166"</f>
        <v>513166</v>
      </c>
      <c r="B10623" s="2" t="str">
        <f>"EVAP. ELITE HW CF 30.000BTUS 220V"</f>
        <v>EVAP. ELITE HW CF 30.000BTUS 220V</v>
      </c>
      <c r="C10623" s="2" t="str">
        <f t="shared" ref="C10623:C10638" si="413">"UN"</f>
        <v>UN</v>
      </c>
      <c r="D10623" s="7">
        <v>1200</v>
      </c>
      <c r="E10623" s="3">
        <v>13</v>
      </c>
      <c r="F10623" s="3">
        <v>13</v>
      </c>
      <c r="G10623" t="s">
        <v>516</v>
      </c>
    </row>
    <row r="10624" spans="1:7" x14ac:dyDescent="0.25">
      <c r="A10624" s="1" t="str">
        <f>"514871"</f>
        <v>514871</v>
      </c>
      <c r="B10624" s="2" t="str">
        <f>"EVAP. ELITE HW HR 12000 MIDEA"</f>
        <v>EVAP. ELITE HW HR 12000 MIDEA</v>
      </c>
      <c r="C10624" s="2" t="str">
        <f t="shared" si="413"/>
        <v>UN</v>
      </c>
      <c r="D10624" s="7">
        <v>1200</v>
      </c>
      <c r="E10624" s="3">
        <v>13</v>
      </c>
      <c r="F10624" s="3">
        <v>13</v>
      </c>
      <c r="G10624" t="s">
        <v>515</v>
      </c>
    </row>
    <row r="10625" spans="1:7" x14ac:dyDescent="0.25">
      <c r="A10625" s="1" t="str">
        <f>"509419"</f>
        <v>509419</v>
      </c>
      <c r="B10625" s="2" t="str">
        <f>"EVAP. HW ATLAS CF 18000BTUS 220V YORK"</f>
        <v>EVAP. HW ATLAS CF 18000BTUS 220V YORK</v>
      </c>
      <c r="C10625" s="2" t="str">
        <f t="shared" si="413"/>
        <v>UN</v>
      </c>
      <c r="D10625" s="7">
        <v>1200</v>
      </c>
      <c r="E10625" s="3">
        <v>13</v>
      </c>
      <c r="F10625" s="3">
        <v>13</v>
      </c>
      <c r="G10625" t="s">
        <v>514</v>
      </c>
    </row>
    <row r="10626" spans="1:7" x14ac:dyDescent="0.25">
      <c r="A10626" s="1" t="str">
        <f>"509417"</f>
        <v>509417</v>
      </c>
      <c r="B10626" s="2" t="str">
        <f>"EVAP. HW ATLAS CF 9000BTUS 220V YORK"</f>
        <v>EVAP. HW ATLAS CF 9000BTUS 220V YORK</v>
      </c>
      <c r="C10626" s="2" t="str">
        <f t="shared" si="413"/>
        <v>UN</v>
      </c>
      <c r="D10626" s="7">
        <v>1200</v>
      </c>
      <c r="E10626" s="3">
        <v>13</v>
      </c>
      <c r="F10626" s="3">
        <v>13</v>
      </c>
      <c r="G10626" t="s">
        <v>512</v>
      </c>
    </row>
    <row r="10627" spans="1:7" x14ac:dyDescent="0.25">
      <c r="A10627" s="1" t="str">
        <f>"513093"</f>
        <v>513093</v>
      </c>
      <c r="B10627" s="2" t="str">
        <f>"EVAP. MI-062A S/R 4X1/25 (3RES)"</f>
        <v>EVAP. MI-062A S/R 4X1/25 (3RES)</v>
      </c>
      <c r="C10627" s="2" t="str">
        <f t="shared" si="413"/>
        <v>UN</v>
      </c>
      <c r="D10627" s="7">
        <v>818</v>
      </c>
      <c r="E10627" s="3">
        <v>10</v>
      </c>
      <c r="F10627" s="3">
        <v>10</v>
      </c>
      <c r="G10627" t="s">
        <v>513</v>
      </c>
    </row>
    <row r="10628" spans="1:7" x14ac:dyDescent="0.25">
      <c r="A10628" s="1" t="str">
        <f>"511093"</f>
        <v>511093</v>
      </c>
      <c r="B10628" s="2" t="str">
        <f>"EVAP. SPACE CR 30000 BTUS 220V CARRIER"</f>
        <v>EVAP. SPACE CR 30000 BTUS 220V CARRIER</v>
      </c>
      <c r="C10628" s="2" t="str">
        <f t="shared" si="413"/>
        <v>UN</v>
      </c>
      <c r="D10628" s="7">
        <v>1200</v>
      </c>
      <c r="E10628" s="3">
        <v>13</v>
      </c>
      <c r="F10628" s="3">
        <v>13</v>
      </c>
      <c r="G10628" t="s">
        <v>514</v>
      </c>
    </row>
    <row r="10629" spans="1:7" x14ac:dyDescent="0.25">
      <c r="A10629" s="1" t="str">
        <f>"518821"</f>
        <v>518821</v>
      </c>
      <c r="B10629" s="2" t="str">
        <f>"EVAPORADOR LG HW LIBERO 220V 18000BTU INVERTER"</f>
        <v>EVAPORADOR LG HW LIBERO 220V 18000BTU INVERTER</v>
      </c>
      <c r="C10629" s="2" t="str">
        <f t="shared" si="413"/>
        <v>UN</v>
      </c>
      <c r="D10629" s="7">
        <v>1300</v>
      </c>
      <c r="E10629" s="3">
        <v>13</v>
      </c>
      <c r="F10629" s="3">
        <v>13</v>
      </c>
      <c r="G10629" t="s">
        <v>514</v>
      </c>
    </row>
    <row r="10630" spans="1:7" x14ac:dyDescent="0.25">
      <c r="A10630" s="1" t="str">
        <f>"515412"</f>
        <v>515412</v>
      </c>
      <c r="B10630" s="2" t="str">
        <f>"EVAPORADOR RESFRIADOR DE AR BITZER C/ MOTOR EBERLE"</f>
        <v>EVAPORADOR RESFRIADOR DE AR BITZER C/ MOTOR EBERLE</v>
      </c>
      <c r="C10630" s="2" t="str">
        <f t="shared" si="413"/>
        <v>UN</v>
      </c>
      <c r="D10630" s="7">
        <v>1300</v>
      </c>
      <c r="E10630" s="3">
        <v>13</v>
      </c>
      <c r="F10630" s="3">
        <v>13</v>
      </c>
      <c r="G10630" t="s">
        <v>512</v>
      </c>
    </row>
    <row r="10631" spans="1:7" x14ac:dyDescent="0.25">
      <c r="A10631" s="1" t="str">
        <f>"522162"</f>
        <v>522162</v>
      </c>
      <c r="B10631" s="2" t="str">
        <f>"EVAPORADOR S-MAN 090.1D/28-AJ/20P"</f>
        <v>EVAPORADOR S-MAN 090.1D/28-AJ/20P</v>
      </c>
      <c r="C10631" s="2" t="str">
        <f t="shared" si="413"/>
        <v>UN</v>
      </c>
      <c r="D10631" s="7">
        <v>99999</v>
      </c>
      <c r="E10631" s="3">
        <v>13</v>
      </c>
      <c r="F10631" s="3">
        <v>13</v>
      </c>
      <c r="G10631" t="s">
        <v>513</v>
      </c>
    </row>
    <row r="10632" spans="1:7" x14ac:dyDescent="0.25">
      <c r="A10632" s="1" t="str">
        <f>"510553"</f>
        <v>510553</v>
      </c>
      <c r="B10632" s="2" t="str">
        <f>"EVAPORADOR YETI-374-7-5-GQ1-02"</f>
        <v>EVAPORADOR YETI-374-7-5-GQ1-02</v>
      </c>
      <c r="C10632" s="2" t="str">
        <f t="shared" si="413"/>
        <v>UN</v>
      </c>
      <c r="D10632" s="7">
        <v>1200</v>
      </c>
      <c r="E10632" s="3">
        <v>13</v>
      </c>
      <c r="F10632" s="3">
        <v>13</v>
      </c>
      <c r="G10632" t="s">
        <v>514</v>
      </c>
    </row>
    <row r="10633" spans="1:7" x14ac:dyDescent="0.25">
      <c r="A10633" s="1" t="str">
        <f>"510554"</f>
        <v>510554</v>
      </c>
      <c r="B10633" s="2" t="str">
        <f>"EVAPORADOR YETI-57-8-2-GQ1-02"</f>
        <v>EVAPORADOR YETI-57-8-2-GQ1-02</v>
      </c>
      <c r="C10633" s="2" t="str">
        <f t="shared" si="413"/>
        <v>UN</v>
      </c>
      <c r="D10633" s="7">
        <v>1200</v>
      </c>
      <c r="E10633" s="3">
        <v>13</v>
      </c>
      <c r="F10633" s="3">
        <v>13</v>
      </c>
      <c r="G10633" t="s">
        <v>514</v>
      </c>
    </row>
    <row r="10634" spans="1:7" x14ac:dyDescent="0.25">
      <c r="A10634" s="1" t="str">
        <f>"510555"</f>
        <v>510555</v>
      </c>
      <c r="B10634" s="2" t="str">
        <f>"EVAPORADOR YRTI-168-4-2-N-02"</f>
        <v>EVAPORADOR YRTI-168-4-2-N-02</v>
      </c>
      <c r="C10634" s="2" t="str">
        <f t="shared" si="413"/>
        <v>UN</v>
      </c>
      <c r="D10634" s="7">
        <v>1200</v>
      </c>
      <c r="E10634" s="3">
        <v>13</v>
      </c>
      <c r="F10634" s="3">
        <v>13</v>
      </c>
      <c r="G10634" t="s">
        <v>514</v>
      </c>
    </row>
    <row r="10635" spans="1:7" x14ac:dyDescent="0.25">
      <c r="A10635" s="1" t="str">
        <f>"510584"</f>
        <v>510584</v>
      </c>
      <c r="B10635" s="2" t="str">
        <f>"EVAPORADORA HW CF 18000BTUS 220V CARRIER"</f>
        <v>EVAPORADORA HW CF 18000BTUS 220V CARRIER</v>
      </c>
      <c r="C10635" s="2" t="str">
        <f t="shared" si="413"/>
        <v>UN</v>
      </c>
      <c r="D10635" s="7">
        <v>1200</v>
      </c>
      <c r="E10635" s="3">
        <v>13</v>
      </c>
      <c r="F10635" s="3">
        <v>13</v>
      </c>
      <c r="G10635" t="s">
        <v>513</v>
      </c>
    </row>
    <row r="10636" spans="1:7" x14ac:dyDescent="0.25">
      <c r="A10636" s="1" t="str">
        <f>"509121"</f>
        <v>509121</v>
      </c>
      <c r="B10636" s="2" t="str">
        <f>"EXAME PARASITOLOGICO"</f>
        <v>EXAME PARASITOLOGICO</v>
      </c>
      <c r="C10636" s="2" t="str">
        <f t="shared" si="413"/>
        <v>UN</v>
      </c>
      <c r="D10636" s="7">
        <v>402</v>
      </c>
      <c r="E10636" s="3">
        <v>4</v>
      </c>
      <c r="F10636" s="3">
        <v>4</v>
      </c>
      <c r="G10636" t="s">
        <v>512</v>
      </c>
    </row>
    <row r="10637" spans="1:7" x14ac:dyDescent="0.25">
      <c r="A10637" s="1" t="str">
        <f>"508406"</f>
        <v>508406</v>
      </c>
      <c r="B10637" s="2" t="str">
        <f>"EXAMES PERIODICOS PARA MOTORISTAS"</f>
        <v>EXAMES PERIODICOS PARA MOTORISTAS</v>
      </c>
      <c r="C10637" s="2" t="str">
        <f t="shared" si="413"/>
        <v>UN</v>
      </c>
      <c r="D10637" s="7">
        <v>402</v>
      </c>
      <c r="E10637" s="3">
        <v>4</v>
      </c>
      <c r="F10637" s="3">
        <v>4</v>
      </c>
      <c r="G10637" t="s">
        <v>513</v>
      </c>
    </row>
    <row r="10638" spans="1:7" x14ac:dyDescent="0.25">
      <c r="A10638" s="1" t="str">
        <f>"512903"</f>
        <v>512903</v>
      </c>
      <c r="B10638" s="8" t="s">
        <v>37</v>
      </c>
      <c r="C10638" s="2" t="str">
        <f t="shared" si="413"/>
        <v>UN</v>
      </c>
      <c r="D10638" s="7">
        <v>918</v>
      </c>
      <c r="E10638" s="3">
        <v>11</v>
      </c>
      <c r="F10638" s="3">
        <v>11</v>
      </c>
      <c r="G10638" t="s">
        <v>514</v>
      </c>
    </row>
    <row r="10639" spans="1:7" x14ac:dyDescent="0.25">
      <c r="A10639" s="1" t="str">
        <f>"526789"</f>
        <v>526789</v>
      </c>
      <c r="B10639" s="2" t="str">
        <f>"EXAUSTOR AXIAL VEP/83-E -380V"</f>
        <v>EXAUSTOR AXIAL VEP/83-E -380V</v>
      </c>
      <c r="C10639" s="2" t="str">
        <f>"PC"</f>
        <v>PC</v>
      </c>
      <c r="D10639" s="7">
        <v>918</v>
      </c>
      <c r="E10639" s="3">
        <v>11</v>
      </c>
      <c r="F10639" s="3">
        <v>11</v>
      </c>
      <c r="G10639" t="s">
        <v>514</v>
      </c>
    </row>
    <row r="10640" spans="1:7" x14ac:dyDescent="0.25">
      <c r="A10640" s="1" t="str">
        <f>"514422"</f>
        <v>514422</v>
      </c>
      <c r="B10640" s="2" t="str">
        <f>"EXAUSTOR INDUSTRIAL"</f>
        <v>EXAUSTOR INDUSTRIAL</v>
      </c>
      <c r="C10640" s="2" t="str">
        <f t="shared" ref="C10640:C10671" si="414">"UN"</f>
        <v>UN</v>
      </c>
      <c r="D10640" s="7">
        <v>1300</v>
      </c>
      <c r="E10640" s="3">
        <v>13</v>
      </c>
      <c r="F10640" s="3">
        <v>13</v>
      </c>
      <c r="G10640" t="s">
        <v>514</v>
      </c>
    </row>
    <row r="10641" spans="1:7" x14ac:dyDescent="0.25">
      <c r="A10641" s="1" t="str">
        <f>"516206"</f>
        <v>516206</v>
      </c>
      <c r="B10641" s="2" t="str">
        <f>"EXAUSTOR INDUSTRIAL AXIAL 50CM MONOF. 6 POLOS 110/220V"</f>
        <v>EXAUSTOR INDUSTRIAL AXIAL 50CM MONOF. 6 POLOS 110/220V</v>
      </c>
      <c r="C10641" s="2" t="str">
        <f t="shared" si="414"/>
        <v>UN</v>
      </c>
      <c r="D10641" s="7">
        <v>1300</v>
      </c>
      <c r="E10641" s="3">
        <v>13</v>
      </c>
      <c r="F10641" s="3">
        <v>13</v>
      </c>
      <c r="G10641" t="s">
        <v>513</v>
      </c>
    </row>
    <row r="10642" spans="1:7" x14ac:dyDescent="0.25">
      <c r="A10642" s="1" t="str">
        <f>"522955"</f>
        <v>522955</v>
      </c>
      <c r="B10642" s="2" t="str">
        <f>"EXP. P/ CLP 4 ENTR E 2 SAIDAS ANALOGICA"</f>
        <v>EXP. P/ CLP 4 ENTR E 2 SAIDAS ANALOGICA</v>
      </c>
      <c r="C10642" s="2" t="str">
        <f t="shared" si="414"/>
        <v>UN</v>
      </c>
      <c r="D10642" s="7">
        <v>600</v>
      </c>
      <c r="E10642" s="3">
        <v>8</v>
      </c>
      <c r="F10642" s="3">
        <v>8</v>
      </c>
      <c r="G10642" t="s">
        <v>513</v>
      </c>
    </row>
    <row r="10643" spans="1:7" x14ac:dyDescent="0.25">
      <c r="A10643" s="1" t="str">
        <f>"521388"</f>
        <v>521388</v>
      </c>
      <c r="B10643" s="2" t="str">
        <f>"EXP. P/ CLP S7-1200 6ES7223-IPL32-OXBO SM1223 16E 16S 24VDC"</f>
        <v>EXP. P/ CLP S7-1200 6ES7223-IPL32-OXBO SM1223 16E 16S 24VDC</v>
      </c>
      <c r="C10643" s="2" t="str">
        <f t="shared" si="414"/>
        <v>UN</v>
      </c>
      <c r="D10643" s="7">
        <v>811</v>
      </c>
      <c r="E10643" s="3">
        <v>8</v>
      </c>
      <c r="F10643" s="3">
        <v>8</v>
      </c>
      <c r="G10643" t="s">
        <v>513</v>
      </c>
    </row>
    <row r="10644" spans="1:7" x14ac:dyDescent="0.25">
      <c r="A10644" s="1" t="str">
        <f>"522509"</f>
        <v>522509</v>
      </c>
      <c r="B10644" s="2" t="str">
        <f>"EXPANCION MICROPHONES KIT FOR SOUNDSTATION 2"</f>
        <v>EXPANCION MICROPHONES KIT FOR SOUNDSTATION 2</v>
      </c>
      <c r="C10644" s="2" t="str">
        <f t="shared" si="414"/>
        <v>UN</v>
      </c>
      <c r="D10644" s="7">
        <v>99999</v>
      </c>
      <c r="E10644" s="3">
        <v>99</v>
      </c>
      <c r="F10644" s="3">
        <v>99</v>
      </c>
      <c r="G10644" t="s">
        <v>512</v>
      </c>
    </row>
    <row r="10645" spans="1:7" x14ac:dyDescent="0.25">
      <c r="A10645" s="1" t="str">
        <f>"517763"</f>
        <v>517763</v>
      </c>
      <c r="B10645" s="2" t="str">
        <f>"EXPANSÃO 8 ENTRADAS 8 SAIDAS TRANSISTOR"</f>
        <v>EXPANSÃO 8 ENTRADAS 8 SAIDAS TRANSISTOR</v>
      </c>
      <c r="C10645" s="2" t="str">
        <f t="shared" si="414"/>
        <v>UN</v>
      </c>
      <c r="D10645" s="7">
        <v>811</v>
      </c>
      <c r="E10645" s="3">
        <v>8</v>
      </c>
      <c r="F10645" s="3">
        <v>8</v>
      </c>
      <c r="G10645" t="s">
        <v>513</v>
      </c>
    </row>
    <row r="10646" spans="1:7" x14ac:dyDescent="0.25">
      <c r="A10646" s="1" t="str">
        <f>"527089"</f>
        <v>527089</v>
      </c>
      <c r="B10646" s="2" t="str">
        <f>"EXPANSÃO P/ LOGO 6ED1 055-1H00-0BA0"</f>
        <v>EXPANSÃO P/ LOGO 6ED1 055-1H00-0BA0</v>
      </c>
      <c r="C10646" s="2" t="str">
        <f t="shared" si="414"/>
        <v>UN</v>
      </c>
      <c r="D10646" s="7">
        <v>811</v>
      </c>
      <c r="E10646" s="3">
        <v>8</v>
      </c>
      <c r="F10646" s="3">
        <v>8</v>
      </c>
      <c r="G10646" t="s">
        <v>514</v>
      </c>
    </row>
    <row r="10647" spans="1:7" x14ac:dyDescent="0.25">
      <c r="A10647" s="1" t="str">
        <f>"516987"</f>
        <v>516987</v>
      </c>
      <c r="B10647" s="2" t="str">
        <f>"EXPANSAO P/ LOGO AM2 PT100"</f>
        <v>EXPANSAO P/ LOGO AM2 PT100</v>
      </c>
      <c r="C10647" s="2" t="str">
        <f t="shared" si="414"/>
        <v>UN</v>
      </c>
      <c r="D10647" s="7">
        <v>600</v>
      </c>
      <c r="E10647" s="3">
        <v>8</v>
      </c>
      <c r="F10647" s="3">
        <v>8</v>
      </c>
      <c r="G10647" t="s">
        <v>515</v>
      </c>
    </row>
    <row r="10648" spans="1:7" x14ac:dyDescent="0.25">
      <c r="A10648" s="1" t="str">
        <f>"507011"</f>
        <v>507011</v>
      </c>
      <c r="B10648" s="2" t="str">
        <f>"EXPOSITOR VERTICAL 2,40 C/ PRATELEIRA 220V GSTO240"</f>
        <v>EXPOSITOR VERTICAL 2,40 C/ PRATELEIRA 220V GSTO240</v>
      </c>
      <c r="C10648" s="2" t="str">
        <f t="shared" si="414"/>
        <v>UN</v>
      </c>
      <c r="D10648" s="7">
        <v>811</v>
      </c>
      <c r="E10648" s="3">
        <v>8</v>
      </c>
      <c r="F10648" s="3">
        <v>8</v>
      </c>
      <c r="G10648" t="s">
        <v>512</v>
      </c>
    </row>
    <row r="10649" spans="1:7" x14ac:dyDescent="0.25">
      <c r="A10649" s="1" t="str">
        <f>"523887"</f>
        <v>523887</v>
      </c>
      <c r="B10649" s="2" t="str">
        <f>"EXPOSITOR VERTICAL COM PRATELEIRAS"</f>
        <v>EXPOSITOR VERTICAL COM PRATELEIRAS</v>
      </c>
      <c r="C10649" s="2" t="str">
        <f t="shared" si="414"/>
        <v>UN</v>
      </c>
      <c r="D10649" s="7">
        <v>99999</v>
      </c>
      <c r="E10649" s="3">
        <v>99</v>
      </c>
      <c r="F10649" s="3">
        <v>99</v>
      </c>
      <c r="G10649" t="s">
        <v>516</v>
      </c>
    </row>
    <row r="10650" spans="1:7" x14ac:dyDescent="0.25">
      <c r="A10650" s="1" t="str">
        <f>"7133"</f>
        <v>7133</v>
      </c>
      <c r="B10650" s="2" t="str">
        <f>"EXPOSITOR VERTICAL TOPAZIO 1,30 COM PRATELEIRA AZUL 220V"</f>
        <v>EXPOSITOR VERTICAL TOPAZIO 1,30 COM PRATELEIRA AZUL 220V</v>
      </c>
      <c r="C10650" s="2" t="str">
        <f t="shared" si="414"/>
        <v>UN</v>
      </c>
      <c r="D10650" s="7">
        <v>401</v>
      </c>
      <c r="E10650" s="3">
        <v>13</v>
      </c>
      <c r="F10650" s="3">
        <v>13</v>
      </c>
      <c r="G10650" t="s">
        <v>515</v>
      </c>
    </row>
    <row r="10651" spans="1:7" x14ac:dyDescent="0.25">
      <c r="A10651" s="1" t="str">
        <f>"520880"</f>
        <v>520880</v>
      </c>
      <c r="B10651" s="2" t="str">
        <f>"EXTENÇÃO OPTICA CONECTORIZADA MM 50,0 SC"</f>
        <v>EXTENÇÃO OPTICA CONECTORIZADA MM 50,0 SC</v>
      </c>
      <c r="C10651" s="2" t="str">
        <f t="shared" si="414"/>
        <v>UN</v>
      </c>
      <c r="D10651" s="7">
        <v>401</v>
      </c>
      <c r="E10651" s="3">
        <v>4</v>
      </c>
      <c r="F10651" s="3">
        <v>4</v>
      </c>
      <c r="G10651" t="s">
        <v>514</v>
      </c>
    </row>
    <row r="10652" spans="1:7" x14ac:dyDescent="0.25">
      <c r="A10652" s="1" t="str">
        <f>"521475"</f>
        <v>521475</v>
      </c>
      <c r="B10652" s="2" t="str">
        <f>"EXTENSÃO"</f>
        <v>EXTENSÃO</v>
      </c>
      <c r="C10652" s="2" t="str">
        <f t="shared" si="414"/>
        <v>UN</v>
      </c>
      <c r="D10652" s="7">
        <v>99999</v>
      </c>
      <c r="E10652" s="3">
        <v>99</v>
      </c>
      <c r="F10652" s="3">
        <v>99</v>
      </c>
      <c r="G10652" t="s">
        <v>512</v>
      </c>
    </row>
    <row r="10653" spans="1:7" x14ac:dyDescent="0.25">
      <c r="A10653" s="1" t="str">
        <f>"518612"</f>
        <v>518612</v>
      </c>
      <c r="B10653" s="2" t="str">
        <f>"EXTENSÃO 1/2 CURTA BOGNAR"</f>
        <v>EXTENSÃO 1/2 CURTA BOGNAR</v>
      </c>
      <c r="C10653" s="2" t="str">
        <f t="shared" si="414"/>
        <v>UN</v>
      </c>
      <c r="D10653" s="7">
        <v>917</v>
      </c>
      <c r="E10653" s="3">
        <v>10</v>
      </c>
      <c r="F10653" s="3">
        <v>10</v>
      </c>
      <c r="G10653" t="s">
        <v>513</v>
      </c>
    </row>
    <row r="10654" spans="1:7" x14ac:dyDescent="0.25">
      <c r="A10654" s="1" t="str">
        <f>"519033"</f>
        <v>519033</v>
      </c>
      <c r="B10654" s="2" t="str">
        <f>"EXTENSÃO 10 MT MODELO NOVO"</f>
        <v>EXTENSÃO 10 MT MODELO NOVO</v>
      </c>
      <c r="C10654" s="2" t="str">
        <f t="shared" si="414"/>
        <v>UN</v>
      </c>
      <c r="D10654" s="7">
        <v>811</v>
      </c>
      <c r="E10654" s="3">
        <v>8</v>
      </c>
      <c r="F10654" s="3">
        <v>8</v>
      </c>
      <c r="G10654" t="s">
        <v>514</v>
      </c>
    </row>
    <row r="10655" spans="1:7" x14ac:dyDescent="0.25">
      <c r="A10655" s="1" t="str">
        <f>"513571"</f>
        <v>513571</v>
      </c>
      <c r="B10655" s="2" t="str">
        <f>"EXTENSÃO 5M"</f>
        <v>EXTENSÃO 5M</v>
      </c>
      <c r="C10655" s="2" t="str">
        <f t="shared" si="414"/>
        <v>UN</v>
      </c>
      <c r="D10655" s="7">
        <v>99999</v>
      </c>
      <c r="E10655" s="3">
        <v>99</v>
      </c>
      <c r="F10655" s="3">
        <v>99</v>
      </c>
      <c r="G10655" t="s">
        <v>514</v>
      </c>
    </row>
    <row r="10656" spans="1:7" x14ac:dyDescent="0.25">
      <c r="A10656" s="1" t="str">
        <f>"518828"</f>
        <v>518828</v>
      </c>
      <c r="B10656" s="2" t="str">
        <f>"EXTENSÃO ANTENA RADIO"</f>
        <v>EXTENSÃO ANTENA RADIO</v>
      </c>
      <c r="C10656" s="2" t="str">
        <f t="shared" si="414"/>
        <v>UN</v>
      </c>
      <c r="D10656" s="7">
        <v>704</v>
      </c>
      <c r="E10656" s="3">
        <v>9</v>
      </c>
      <c r="F10656" s="3">
        <v>9</v>
      </c>
      <c r="G10656" t="s">
        <v>512</v>
      </c>
    </row>
    <row r="10657" spans="1:7" x14ac:dyDescent="0.25">
      <c r="A10657" s="1" t="str">
        <f>"523327"</f>
        <v>523327</v>
      </c>
      <c r="B10657" s="2" t="str">
        <f>"EXTENSÃO DA PROTEÇÃO ENTRADA E SAIDA 220MM"</f>
        <v>EXTENSÃO DA PROTEÇÃO ENTRADA E SAIDA 220MM</v>
      </c>
      <c r="C10657" s="2" t="str">
        <f t="shared" si="414"/>
        <v>UN</v>
      </c>
      <c r="D10657" s="7">
        <v>1300</v>
      </c>
      <c r="E10657" s="3">
        <v>10</v>
      </c>
      <c r="F10657" s="3">
        <v>10</v>
      </c>
      <c r="G10657" t="s">
        <v>513</v>
      </c>
    </row>
    <row r="10658" spans="1:7" x14ac:dyDescent="0.25">
      <c r="A10658" s="1" t="str">
        <f>"523465"</f>
        <v>523465</v>
      </c>
      <c r="B10658" s="2" t="str">
        <f>"EXTENSÃO OPTICA"</f>
        <v>EXTENSÃO OPTICA</v>
      </c>
      <c r="C10658" s="2" t="str">
        <f t="shared" si="414"/>
        <v>UN</v>
      </c>
      <c r="D10658" s="7">
        <v>601</v>
      </c>
      <c r="E10658" s="3">
        <v>8</v>
      </c>
      <c r="F10658" s="3">
        <v>8</v>
      </c>
      <c r="G10658" t="s">
        <v>514</v>
      </c>
    </row>
    <row r="10659" spans="1:7" x14ac:dyDescent="0.25">
      <c r="A10659" s="1" t="str">
        <f>"514695"</f>
        <v>514695</v>
      </c>
      <c r="B10659" s="2" t="str">
        <f>"EXTENSAO PARA TELEFONE"</f>
        <v>EXTENSAO PARA TELEFONE</v>
      </c>
      <c r="C10659" s="2" t="str">
        <f t="shared" si="414"/>
        <v>UN</v>
      </c>
      <c r="D10659" s="7">
        <v>401</v>
      </c>
      <c r="E10659" s="3">
        <v>4</v>
      </c>
      <c r="F10659" s="3">
        <v>4</v>
      </c>
      <c r="G10659" t="s">
        <v>514</v>
      </c>
    </row>
    <row r="10660" spans="1:7" x14ac:dyDescent="0.25">
      <c r="A10660" s="1" t="str">
        <f>"512531"</f>
        <v>512531</v>
      </c>
      <c r="B10660" s="2" t="str">
        <f>"EXTENSAO RIGIDA COMANDO GRAXA LUB C1"</f>
        <v>EXTENSAO RIGIDA COMANDO GRAXA LUB C1</v>
      </c>
      <c r="C10660" s="2" t="str">
        <f t="shared" si="414"/>
        <v>UN</v>
      </c>
      <c r="D10660" s="7">
        <v>402</v>
      </c>
      <c r="E10660" s="3">
        <v>4</v>
      </c>
      <c r="F10660" s="3">
        <v>4</v>
      </c>
      <c r="G10660" t="s">
        <v>514</v>
      </c>
    </row>
    <row r="10661" spans="1:7" x14ac:dyDescent="0.25">
      <c r="A10661" s="1" t="str">
        <f>"511788"</f>
        <v>511788</v>
      </c>
      <c r="B10661" s="2" t="str">
        <f>"EXTENSAO SMS 1MT 4 TOMADAS PADRAO 64100"</f>
        <v>EXTENSAO SMS 1MT 4 TOMADAS PADRAO 64100</v>
      </c>
      <c r="C10661" s="2" t="str">
        <f t="shared" si="414"/>
        <v>UN</v>
      </c>
      <c r="D10661" s="7">
        <v>601</v>
      </c>
      <c r="E10661" s="3">
        <v>8</v>
      </c>
      <c r="F10661" s="3">
        <v>8</v>
      </c>
      <c r="G10661" t="s">
        <v>513</v>
      </c>
    </row>
    <row r="10662" spans="1:7" x14ac:dyDescent="0.25">
      <c r="A10662" s="1" t="str">
        <f>"523528"</f>
        <v>523528</v>
      </c>
      <c r="B10662" s="2" t="str">
        <f>"EXTENSÃO TELESCÓPICA 9,00M 3 ESTÁGIOS"</f>
        <v>EXTENSÃO TELESCÓPICA 9,00M 3 ESTÁGIOS</v>
      </c>
      <c r="C10662" s="2" t="str">
        <f t="shared" si="414"/>
        <v>UN</v>
      </c>
      <c r="D10662" s="7">
        <v>400</v>
      </c>
      <c r="E10662" s="3">
        <v>4</v>
      </c>
      <c r="F10662" s="3">
        <v>4</v>
      </c>
      <c r="G10662" t="s">
        <v>512</v>
      </c>
    </row>
    <row r="10663" spans="1:7" x14ac:dyDescent="0.25">
      <c r="A10663" s="1" t="str">
        <f>"510264"</f>
        <v>510264</v>
      </c>
      <c r="B10663" s="2" t="str">
        <f>"EXTENSOR 1/4"" 80MM PORTA BIT"</f>
        <v>EXTENSOR 1/4" 80MM PORTA BIT</v>
      </c>
      <c r="C10663" s="2" t="str">
        <f t="shared" si="414"/>
        <v>UN</v>
      </c>
      <c r="D10663" s="7">
        <v>918</v>
      </c>
      <c r="E10663" s="3">
        <v>11</v>
      </c>
      <c r="F10663" s="3">
        <v>11</v>
      </c>
      <c r="G10663" t="s">
        <v>513</v>
      </c>
    </row>
    <row r="10664" spans="1:7" x14ac:dyDescent="0.25">
      <c r="A10664" s="1" t="str">
        <f>"515896"</f>
        <v>515896</v>
      </c>
      <c r="B10664" s="2" t="str">
        <f>"EXTENSOR DE CABO DE ROLO 2 METROS"</f>
        <v>EXTENSOR DE CABO DE ROLO 2 METROS</v>
      </c>
      <c r="C10664" s="2" t="str">
        <f t="shared" si="414"/>
        <v>UN</v>
      </c>
      <c r="D10664" s="7">
        <v>99999</v>
      </c>
      <c r="E10664" s="3">
        <v>99</v>
      </c>
      <c r="F10664" s="3">
        <v>99</v>
      </c>
      <c r="G10664" t="s">
        <v>514</v>
      </c>
    </row>
    <row r="10665" spans="1:7" x14ac:dyDescent="0.25">
      <c r="A10665" s="1" t="str">
        <f>"518895"</f>
        <v>518895</v>
      </c>
      <c r="B10665" s="2" t="str">
        <f>"EXTENSOR DE CABO DE ROLO 3 METROS"</f>
        <v>EXTENSOR DE CABO DE ROLO 3 METROS</v>
      </c>
      <c r="C10665" s="2" t="str">
        <f t="shared" si="414"/>
        <v>UN</v>
      </c>
      <c r="D10665" s="7">
        <v>99999</v>
      </c>
      <c r="E10665" s="3">
        <v>99</v>
      </c>
      <c r="F10665" s="3">
        <v>99</v>
      </c>
      <c r="G10665" t="s">
        <v>514</v>
      </c>
    </row>
    <row r="10666" spans="1:7" x14ac:dyDescent="0.25">
      <c r="A10666" s="1" t="str">
        <f>"522245"</f>
        <v>522245</v>
      </c>
      <c r="B10666" s="2" t="str">
        <f>"EXTENSOR HDMI 60 METROS"</f>
        <v>EXTENSOR HDMI 60 METROS</v>
      </c>
      <c r="C10666" s="2" t="str">
        <f t="shared" si="414"/>
        <v>UN</v>
      </c>
      <c r="D10666" s="7">
        <v>602</v>
      </c>
      <c r="E10666" s="3">
        <v>8</v>
      </c>
      <c r="F10666" s="3">
        <v>8</v>
      </c>
      <c r="G10666" t="s">
        <v>514</v>
      </c>
    </row>
    <row r="10667" spans="1:7" x14ac:dyDescent="0.25">
      <c r="A10667" s="1" t="str">
        <f>"512843"</f>
        <v>512843</v>
      </c>
      <c r="B10667" s="2" t="str">
        <f>"EXTENSOR WESTERN 1,8M"</f>
        <v>EXTENSOR WESTERN 1,8M</v>
      </c>
      <c r="C10667" s="2" t="str">
        <f t="shared" si="414"/>
        <v>UN</v>
      </c>
      <c r="D10667" s="7">
        <v>811</v>
      </c>
      <c r="E10667" s="3">
        <v>8</v>
      </c>
      <c r="F10667" s="3">
        <v>8</v>
      </c>
      <c r="G10667" t="s">
        <v>513</v>
      </c>
    </row>
    <row r="10668" spans="1:7" x14ac:dyDescent="0.25">
      <c r="A10668" s="1" t="str">
        <f>"500566"</f>
        <v>500566</v>
      </c>
      <c r="B10668" s="2" t="str">
        <f>"EXTINTOR 2 KG"</f>
        <v>EXTINTOR 2 KG</v>
      </c>
      <c r="C10668" s="2" t="str">
        <f t="shared" si="414"/>
        <v>UN</v>
      </c>
      <c r="D10668" s="7">
        <v>704</v>
      </c>
      <c r="E10668" s="3">
        <v>9</v>
      </c>
      <c r="F10668" s="3">
        <v>9</v>
      </c>
      <c r="G10668" t="s">
        <v>513</v>
      </c>
    </row>
    <row r="10669" spans="1:7" x14ac:dyDescent="0.25">
      <c r="A10669" s="1" t="str">
        <f>"519046"</f>
        <v>519046</v>
      </c>
      <c r="B10669" s="2" t="str">
        <f>"EXTINTOR AP 10 LITROS"</f>
        <v>EXTINTOR AP 10 LITROS</v>
      </c>
      <c r="C10669" s="2" t="str">
        <f t="shared" si="414"/>
        <v>UN</v>
      </c>
      <c r="D10669" s="7">
        <v>704</v>
      </c>
      <c r="E10669" s="3">
        <v>9</v>
      </c>
      <c r="F10669" s="3">
        <v>9</v>
      </c>
      <c r="G10669" t="s">
        <v>513</v>
      </c>
    </row>
    <row r="10670" spans="1:7" x14ac:dyDescent="0.25">
      <c r="A10670" s="1" t="str">
        <f>"511139"</f>
        <v>511139</v>
      </c>
      <c r="B10670" s="2" t="str">
        <f>"EXTINTOR CARRETA ABC 30KG"</f>
        <v>EXTINTOR CARRETA ABC 30KG</v>
      </c>
      <c r="C10670" s="2" t="str">
        <f t="shared" si="414"/>
        <v>UN</v>
      </c>
      <c r="D10670" s="7">
        <v>402</v>
      </c>
      <c r="E10670" s="3">
        <v>4</v>
      </c>
      <c r="F10670" s="3">
        <v>4</v>
      </c>
      <c r="G10670" t="s">
        <v>512</v>
      </c>
    </row>
    <row r="10671" spans="1:7" x14ac:dyDescent="0.25">
      <c r="A10671" s="1" t="str">
        <f>"522475"</f>
        <v>522475</v>
      </c>
      <c r="B10671" s="2" t="str">
        <f>"EXTINTOR CARRETA BC 20KG"</f>
        <v>EXTINTOR CARRETA BC 20KG</v>
      </c>
      <c r="C10671" s="2" t="str">
        <f t="shared" si="414"/>
        <v>UN</v>
      </c>
      <c r="D10671" s="7">
        <v>402</v>
      </c>
      <c r="E10671" s="3">
        <v>4</v>
      </c>
      <c r="F10671" s="3">
        <v>4</v>
      </c>
      <c r="G10671" t="s">
        <v>513</v>
      </c>
    </row>
    <row r="10672" spans="1:7" x14ac:dyDescent="0.25">
      <c r="A10672" s="1" t="str">
        <f>"526252"</f>
        <v>526252</v>
      </c>
      <c r="B10672" s="2" t="str">
        <f>"EXTINTOR CARRETA BC 80KG PQS"</f>
        <v>EXTINTOR CARRETA BC 80KG PQS</v>
      </c>
      <c r="C10672" s="2" t="str">
        <f t="shared" ref="C10672:C10703" si="415">"UN"</f>
        <v>UN</v>
      </c>
      <c r="D10672" s="7">
        <v>402</v>
      </c>
      <c r="E10672" s="3">
        <v>4</v>
      </c>
      <c r="F10672" s="3">
        <v>4</v>
      </c>
      <c r="G10672" t="s">
        <v>514</v>
      </c>
    </row>
    <row r="10673" spans="1:7" x14ac:dyDescent="0.25">
      <c r="A10673" s="1" t="str">
        <f>"526788"</f>
        <v>526788</v>
      </c>
      <c r="B10673" s="2" t="str">
        <f>"EXTINTOR CARRETA ESPUMA MECÂNICA 50L"</f>
        <v>EXTINTOR CARRETA ESPUMA MECÂNICA 50L</v>
      </c>
      <c r="C10673" s="2" t="str">
        <f t="shared" si="415"/>
        <v>UN</v>
      </c>
      <c r="D10673" s="7">
        <v>402</v>
      </c>
      <c r="E10673" s="3">
        <v>4</v>
      </c>
      <c r="F10673" s="3">
        <v>4</v>
      </c>
      <c r="G10673" t="s">
        <v>515</v>
      </c>
    </row>
    <row r="10674" spans="1:7" x14ac:dyDescent="0.25">
      <c r="A10674" s="1" t="str">
        <f>"522928"</f>
        <v>522928</v>
      </c>
      <c r="B10674" s="2" t="str">
        <f>"EXTINTOR CO2 4KG"</f>
        <v>EXTINTOR CO2 4KG</v>
      </c>
      <c r="C10674" s="2" t="str">
        <f t="shared" si="415"/>
        <v>UN</v>
      </c>
      <c r="D10674" s="7">
        <v>402</v>
      </c>
      <c r="E10674" s="3">
        <v>4</v>
      </c>
      <c r="F10674" s="3">
        <v>4</v>
      </c>
      <c r="G10674" t="s">
        <v>512</v>
      </c>
    </row>
    <row r="10675" spans="1:7" x14ac:dyDescent="0.25">
      <c r="A10675" s="1" t="str">
        <f>"509220"</f>
        <v>509220</v>
      </c>
      <c r="B10675" s="2" t="str">
        <f>"EXTINTOR CO2 6KG"</f>
        <v>EXTINTOR CO2 6KG</v>
      </c>
      <c r="C10675" s="2" t="str">
        <f t="shared" si="415"/>
        <v>UN</v>
      </c>
      <c r="D10675" s="7">
        <v>402</v>
      </c>
      <c r="E10675" s="3">
        <v>4</v>
      </c>
      <c r="F10675" s="3">
        <v>4</v>
      </c>
      <c r="G10675" t="s">
        <v>516</v>
      </c>
    </row>
    <row r="10676" spans="1:7" x14ac:dyDescent="0.25">
      <c r="A10676" s="1" t="str">
        <f>"522305"</f>
        <v>522305</v>
      </c>
      <c r="B10676" s="2" t="str">
        <f>"EXTINTOR CO2 8KG"</f>
        <v>EXTINTOR CO2 8KG</v>
      </c>
      <c r="C10676" s="2" t="str">
        <f t="shared" si="415"/>
        <v>UN</v>
      </c>
      <c r="D10676" s="7">
        <v>402</v>
      </c>
      <c r="E10676" s="3">
        <v>4</v>
      </c>
      <c r="F10676" s="3">
        <v>4</v>
      </c>
      <c r="G10676" t="s">
        <v>515</v>
      </c>
    </row>
    <row r="10677" spans="1:7" x14ac:dyDescent="0.25">
      <c r="A10677" s="1" t="str">
        <f>"521359"</f>
        <v>521359</v>
      </c>
      <c r="B10677" s="2" t="str">
        <f>"EXTINTOR ESPUMA MECANICA 10 LT"</f>
        <v>EXTINTOR ESPUMA MECANICA 10 LT</v>
      </c>
      <c r="C10677" s="2" t="str">
        <f t="shared" si="415"/>
        <v>UN</v>
      </c>
      <c r="D10677" s="7">
        <v>402</v>
      </c>
      <c r="E10677" s="3">
        <v>4</v>
      </c>
      <c r="F10677" s="3">
        <v>4</v>
      </c>
      <c r="G10677" t="s">
        <v>514</v>
      </c>
    </row>
    <row r="10678" spans="1:7" x14ac:dyDescent="0.25">
      <c r="A10678" s="1" t="str">
        <f>"519598"</f>
        <v>519598</v>
      </c>
      <c r="B10678" s="2" t="str">
        <f>"EXTINTOR ESPUMA MECANICA 50KG"</f>
        <v>EXTINTOR ESPUMA MECANICA 50KG</v>
      </c>
      <c r="C10678" s="2" t="str">
        <f t="shared" si="415"/>
        <v>UN</v>
      </c>
      <c r="D10678" s="7">
        <v>402</v>
      </c>
      <c r="E10678" s="3">
        <v>4</v>
      </c>
      <c r="F10678" s="3">
        <v>4</v>
      </c>
      <c r="G10678" t="s">
        <v>512</v>
      </c>
    </row>
    <row r="10679" spans="1:7" x14ac:dyDescent="0.25">
      <c r="A10679" s="1" t="str">
        <f>"511138"</f>
        <v>511138</v>
      </c>
      <c r="B10679" s="2" t="str">
        <f>"EXTINTOR PQS 12KG"</f>
        <v>EXTINTOR PQS 12KG</v>
      </c>
      <c r="C10679" s="2" t="str">
        <f t="shared" si="415"/>
        <v>UN</v>
      </c>
      <c r="D10679" s="7">
        <v>402</v>
      </c>
      <c r="E10679" s="3">
        <v>4</v>
      </c>
      <c r="F10679" s="3">
        <v>4</v>
      </c>
      <c r="G10679" t="s">
        <v>513</v>
      </c>
    </row>
    <row r="10680" spans="1:7" x14ac:dyDescent="0.25">
      <c r="A10680" s="1" t="str">
        <f>"511013"</f>
        <v>511013</v>
      </c>
      <c r="B10680" s="2" t="str">
        <f>"EXTINTOR PQS 1KG ABC"</f>
        <v>EXTINTOR PQS 1KG ABC</v>
      </c>
      <c r="C10680" s="2" t="str">
        <f t="shared" si="415"/>
        <v>UN</v>
      </c>
      <c r="D10680" s="7">
        <v>501</v>
      </c>
      <c r="E10680" s="3">
        <v>5</v>
      </c>
      <c r="F10680" s="3">
        <v>5</v>
      </c>
      <c r="G10680" t="s">
        <v>514</v>
      </c>
    </row>
    <row r="10681" spans="1:7" x14ac:dyDescent="0.25">
      <c r="A10681" s="1" t="str">
        <f>"522306"</f>
        <v>522306</v>
      </c>
      <c r="B10681" s="2" t="str">
        <f>"EXTINTOR PQS 20KG BC (SEM CARRETA)"</f>
        <v>EXTINTOR PQS 20KG BC (SEM CARRETA)</v>
      </c>
      <c r="C10681" s="2" t="str">
        <f t="shared" si="415"/>
        <v>UN</v>
      </c>
      <c r="D10681" s="7">
        <v>501</v>
      </c>
      <c r="E10681" s="3">
        <v>5</v>
      </c>
      <c r="F10681" s="3">
        <v>5</v>
      </c>
      <c r="G10681" t="s">
        <v>514</v>
      </c>
    </row>
    <row r="10682" spans="1:7" x14ac:dyDescent="0.25">
      <c r="A10682" s="1" t="str">
        <f>"526852"</f>
        <v>526852</v>
      </c>
      <c r="B10682" s="2" t="str">
        <f>"EXTINTOR PQS 4,5KG KIDDE PREMIUM"</f>
        <v>EXTINTOR PQS 4,5KG KIDDE PREMIUM</v>
      </c>
      <c r="C10682" s="2" t="str">
        <f t="shared" si="415"/>
        <v>UN</v>
      </c>
      <c r="D10682" s="7">
        <v>99999</v>
      </c>
      <c r="E10682" s="3">
        <v>99</v>
      </c>
      <c r="F10682" s="3">
        <v>99</v>
      </c>
      <c r="G10682" t="s">
        <v>512</v>
      </c>
    </row>
    <row r="10683" spans="1:7" x14ac:dyDescent="0.25">
      <c r="A10683" s="1" t="str">
        <f>"511792"</f>
        <v>511792</v>
      </c>
      <c r="B10683" s="2" t="str">
        <f>"EXTINTOR PQS 4KG"</f>
        <v>EXTINTOR PQS 4KG</v>
      </c>
      <c r="C10683" s="2" t="str">
        <f t="shared" si="415"/>
        <v>UN</v>
      </c>
      <c r="D10683" s="7">
        <v>402</v>
      </c>
      <c r="E10683" s="3">
        <v>4</v>
      </c>
      <c r="F10683" s="3">
        <v>4</v>
      </c>
      <c r="G10683" t="s">
        <v>513</v>
      </c>
    </row>
    <row r="10684" spans="1:7" x14ac:dyDescent="0.25">
      <c r="A10684" s="1" t="str">
        <f>"509221"</f>
        <v>509221</v>
      </c>
      <c r="B10684" s="2" t="str">
        <f>"EXTINTOR PQS 6KG ABC"</f>
        <v>EXTINTOR PQS 6KG ABC</v>
      </c>
      <c r="C10684" s="2" t="str">
        <f t="shared" si="415"/>
        <v>UN</v>
      </c>
      <c r="D10684" s="7">
        <v>402</v>
      </c>
      <c r="E10684" s="3">
        <v>4</v>
      </c>
      <c r="F10684" s="3">
        <v>4</v>
      </c>
      <c r="G10684" t="s">
        <v>514</v>
      </c>
    </row>
    <row r="10685" spans="1:7" x14ac:dyDescent="0.25">
      <c r="A10685" s="1" t="str">
        <f>"521528"</f>
        <v>521528</v>
      </c>
      <c r="B10685" s="2" t="str">
        <f>"EXTINTOR PQS 6KG BC"</f>
        <v>EXTINTOR PQS 6KG BC</v>
      </c>
      <c r="C10685" s="2" t="str">
        <f t="shared" si="415"/>
        <v>UN</v>
      </c>
      <c r="D10685" s="7">
        <v>402</v>
      </c>
      <c r="E10685" s="3">
        <v>4</v>
      </c>
      <c r="F10685" s="3">
        <v>4</v>
      </c>
      <c r="G10685" t="s">
        <v>514</v>
      </c>
    </row>
    <row r="10686" spans="1:7" x14ac:dyDescent="0.25">
      <c r="A10686" s="1" t="str">
        <f>"519047"</f>
        <v>519047</v>
      </c>
      <c r="B10686" s="2" t="str">
        <f>"EXTINTOR PQS 8KG ABC"</f>
        <v>EXTINTOR PQS 8KG ABC</v>
      </c>
      <c r="C10686" s="2" t="str">
        <f t="shared" si="415"/>
        <v>UN</v>
      </c>
      <c r="D10686" s="7">
        <v>501</v>
      </c>
      <c r="E10686" s="3">
        <v>5</v>
      </c>
      <c r="F10686" s="3">
        <v>5</v>
      </c>
      <c r="G10686" t="s">
        <v>514</v>
      </c>
    </row>
    <row r="10687" spans="1:7" x14ac:dyDescent="0.25">
      <c r="A10687" s="1" t="str">
        <f>"522304"</f>
        <v>522304</v>
      </c>
      <c r="B10687" s="2" t="str">
        <f>"EXTINTOR PQS 8KG BC"</f>
        <v>EXTINTOR PQS 8KG BC</v>
      </c>
      <c r="C10687" s="2" t="str">
        <f t="shared" si="415"/>
        <v>UN</v>
      </c>
      <c r="D10687" s="7">
        <v>501</v>
      </c>
      <c r="E10687" s="3">
        <v>5</v>
      </c>
      <c r="F10687" s="3">
        <v>5</v>
      </c>
      <c r="G10687" t="s">
        <v>513</v>
      </c>
    </row>
    <row r="10688" spans="1:7" x14ac:dyDescent="0.25">
      <c r="A10688" s="1" t="str">
        <f>"515048"</f>
        <v>515048</v>
      </c>
      <c r="B10688" s="2" t="str">
        <f>"EXTRATO DE ERVAS SPRAY"</f>
        <v>EXTRATO DE ERVAS SPRAY</v>
      </c>
      <c r="C10688" s="2" t="str">
        <f t="shared" si="415"/>
        <v>UN</v>
      </c>
      <c r="D10688" s="7">
        <v>401</v>
      </c>
      <c r="E10688" s="3">
        <v>4</v>
      </c>
      <c r="F10688" s="3">
        <v>4</v>
      </c>
      <c r="G10688" t="s">
        <v>512</v>
      </c>
    </row>
    <row r="10689" spans="1:7" x14ac:dyDescent="0.25">
      <c r="A10689" s="1" t="str">
        <f>"522533"</f>
        <v>522533</v>
      </c>
      <c r="B10689" s="8" t="s">
        <v>309</v>
      </c>
      <c r="C10689" s="2" t="str">
        <f t="shared" si="415"/>
        <v>UN</v>
      </c>
      <c r="D10689" s="7">
        <v>918</v>
      </c>
      <c r="E10689" s="3">
        <v>11</v>
      </c>
      <c r="F10689" s="3">
        <v>11</v>
      </c>
      <c r="G10689" t="s">
        <v>513</v>
      </c>
    </row>
    <row r="10690" spans="1:7" x14ac:dyDescent="0.25">
      <c r="A10690" s="1" t="str">
        <f>"513786"</f>
        <v>513786</v>
      </c>
      <c r="B10690" s="2" t="str">
        <f>"EXTRATOR DE GRAMPO"</f>
        <v>EXTRATOR DE GRAMPO</v>
      </c>
      <c r="C10690" s="2" t="str">
        <f t="shared" si="415"/>
        <v>UN</v>
      </c>
      <c r="D10690" s="7">
        <v>401</v>
      </c>
      <c r="E10690" s="3">
        <v>4</v>
      </c>
      <c r="F10690" s="3">
        <v>4</v>
      </c>
      <c r="G10690" t="s">
        <v>514</v>
      </c>
    </row>
    <row r="10691" spans="1:7" x14ac:dyDescent="0.25">
      <c r="A10691" s="1" t="str">
        <f>"6604"</f>
        <v>6604</v>
      </c>
      <c r="B10691" s="2" t="str">
        <f>"EYIQUETA DE ID.CX.COCO (COD.2123224)"</f>
        <v>EYIQUETA DE ID.CX.COCO (COD.2123224)</v>
      </c>
      <c r="C10691" s="2" t="str">
        <f t="shared" si="415"/>
        <v>UN</v>
      </c>
      <c r="D10691" s="7">
        <v>107</v>
      </c>
      <c r="E10691" s="3">
        <v>1</v>
      </c>
      <c r="F10691" s="3">
        <v>1</v>
      </c>
      <c r="G10691" t="s">
        <v>514</v>
      </c>
    </row>
    <row r="10692" spans="1:7" x14ac:dyDescent="0.25">
      <c r="A10692" s="1" t="str">
        <f>"526969"</f>
        <v>526969</v>
      </c>
      <c r="B10692" s="2" t="str">
        <f>"F783E HI VIZ MODULE ASSY 52274866* 800493"</f>
        <v>F783E HI VIZ MODULE ASSY 52274866* 800493</v>
      </c>
      <c r="C10692" s="2" t="str">
        <f t="shared" si="415"/>
        <v>UN</v>
      </c>
      <c r="D10692" s="7">
        <v>811</v>
      </c>
      <c r="E10692" s="3">
        <v>8</v>
      </c>
      <c r="F10692" s="3">
        <v>8</v>
      </c>
      <c r="G10692" t="s">
        <v>514</v>
      </c>
    </row>
    <row r="10693" spans="1:7" x14ac:dyDescent="0.25">
      <c r="A10693" s="1" t="str">
        <f>"512848"</f>
        <v>512848</v>
      </c>
      <c r="B10693" s="2" t="str">
        <f>"FACA"</f>
        <v>FACA</v>
      </c>
      <c r="C10693" s="2" t="str">
        <f t="shared" si="415"/>
        <v>UN</v>
      </c>
      <c r="D10693" s="7">
        <v>99999</v>
      </c>
      <c r="E10693" s="3">
        <v>99</v>
      </c>
      <c r="F10693" s="3">
        <v>99</v>
      </c>
      <c r="G10693" t="s">
        <v>513</v>
      </c>
    </row>
    <row r="10694" spans="1:7" x14ac:dyDescent="0.25">
      <c r="A10694" s="1" t="str">
        <f>"517105"</f>
        <v>517105</v>
      </c>
      <c r="B10694" s="2" t="str">
        <f>"FACA - E4300-54619-30/6/1433/M"</f>
        <v>FACA - E4300-54619-30/6/1433/M</v>
      </c>
      <c r="C10694" s="2" t="str">
        <f t="shared" si="415"/>
        <v>UN</v>
      </c>
      <c r="D10694" s="7">
        <v>918</v>
      </c>
      <c r="E10694" s="3">
        <v>11</v>
      </c>
      <c r="F10694" s="3">
        <v>11</v>
      </c>
      <c r="G10694" t="s">
        <v>513</v>
      </c>
    </row>
    <row r="10695" spans="1:7" x14ac:dyDescent="0.25">
      <c r="A10695" s="1" t="str">
        <f>"516472"</f>
        <v>516472</v>
      </c>
      <c r="B10695" s="2" t="str">
        <f>"FACA 50X54X10MM PRE CORTE PETIT AÇO VC-131"</f>
        <v>FACA 50X54X10MM PRE CORTE PETIT AÇO VC-131</v>
      </c>
      <c r="C10695" s="2" t="str">
        <f t="shared" si="415"/>
        <v>UN</v>
      </c>
      <c r="D10695" s="7">
        <v>918</v>
      </c>
      <c r="E10695" s="3">
        <v>11</v>
      </c>
      <c r="F10695" s="3">
        <v>11</v>
      </c>
      <c r="G10695" t="s">
        <v>513</v>
      </c>
    </row>
    <row r="10696" spans="1:7" x14ac:dyDescent="0.25">
      <c r="A10696" s="1" t="str">
        <f>"516471"</f>
        <v>516471</v>
      </c>
      <c r="B10696" s="2" t="str">
        <f>"FACA 52X54X10MM PRE CORTE DMAX AÇO VC-131"</f>
        <v>FACA 52X54X10MM PRE CORTE DMAX AÇO VC-131</v>
      </c>
      <c r="C10696" s="2" t="str">
        <f t="shared" si="415"/>
        <v>UN</v>
      </c>
      <c r="D10696" s="7">
        <v>918</v>
      </c>
      <c r="E10696" s="3">
        <v>11</v>
      </c>
      <c r="F10696" s="3">
        <v>11</v>
      </c>
      <c r="G10696" t="s">
        <v>512</v>
      </c>
    </row>
    <row r="10697" spans="1:7" x14ac:dyDescent="0.25">
      <c r="A10697" s="1" t="str">
        <f>"512415"</f>
        <v>512415</v>
      </c>
      <c r="B10697" s="2" t="str">
        <f>"FACA ABRE AQUI IMAR GLOBAL"</f>
        <v>FACA ABRE AQUI IMAR GLOBAL</v>
      </c>
      <c r="C10697" s="2" t="str">
        <f t="shared" si="415"/>
        <v>UN</v>
      </c>
      <c r="D10697" s="7">
        <v>918</v>
      </c>
      <c r="E10697" s="3">
        <v>11</v>
      </c>
      <c r="F10697" s="3">
        <v>11</v>
      </c>
      <c r="G10697" t="s">
        <v>513</v>
      </c>
    </row>
    <row r="10698" spans="1:7" x14ac:dyDescent="0.25">
      <c r="A10698" s="1" t="str">
        <f>"513349"</f>
        <v>513349</v>
      </c>
      <c r="B10698" s="2" t="str">
        <f>"FACA CENTRAL DIR. E-55717"</f>
        <v>FACA CENTRAL DIR. E-55717</v>
      </c>
      <c r="C10698" s="2" t="str">
        <f t="shared" si="415"/>
        <v>UN</v>
      </c>
      <c r="D10698" s="7">
        <v>918</v>
      </c>
      <c r="E10698" s="3">
        <v>11</v>
      </c>
      <c r="F10698" s="3">
        <v>11</v>
      </c>
      <c r="G10698" t="s">
        <v>514</v>
      </c>
    </row>
    <row r="10699" spans="1:7" x14ac:dyDescent="0.25">
      <c r="A10699" s="1" t="str">
        <f>"517114"</f>
        <v>517114</v>
      </c>
      <c r="B10699" s="2" t="str">
        <f>"FACA CENTRAL DIREITA - E4300-55742-76/6/1433/M"</f>
        <v>FACA CENTRAL DIREITA - E4300-55742-76/6/1433/M</v>
      </c>
      <c r="C10699" s="2" t="str">
        <f t="shared" si="415"/>
        <v>UN</v>
      </c>
      <c r="D10699" s="7">
        <v>918</v>
      </c>
      <c r="E10699" s="3">
        <v>11</v>
      </c>
      <c r="F10699" s="3">
        <v>11</v>
      </c>
      <c r="G10699" t="s">
        <v>515</v>
      </c>
    </row>
    <row r="10700" spans="1:7" x14ac:dyDescent="0.25">
      <c r="A10700" s="1" t="str">
        <f>"517111"</f>
        <v>517111</v>
      </c>
      <c r="B10700" s="2" t="str">
        <f>"FACA CENTRAL ESQUERDA - E4300-55743-73/6/1433/M"</f>
        <v>FACA CENTRAL ESQUERDA - E4300-55743-73/6/1433/M</v>
      </c>
      <c r="C10700" s="2" t="str">
        <f t="shared" si="415"/>
        <v>UN</v>
      </c>
      <c r="D10700" s="7">
        <v>918</v>
      </c>
      <c r="E10700" s="3">
        <v>11</v>
      </c>
      <c r="F10700" s="3">
        <v>11</v>
      </c>
      <c r="G10700" t="s">
        <v>512</v>
      </c>
    </row>
    <row r="10701" spans="1:7" x14ac:dyDescent="0.25">
      <c r="A10701" s="1" t="str">
        <f>"513347"</f>
        <v>513347</v>
      </c>
      <c r="B10701" s="2" t="str">
        <f>"FACA CENTRAL ESQUERDA E-55720"</f>
        <v>FACA CENTRAL ESQUERDA E-55720</v>
      </c>
      <c r="C10701" s="2" t="str">
        <f t="shared" si="415"/>
        <v>UN</v>
      </c>
      <c r="D10701" s="7">
        <v>918</v>
      </c>
      <c r="E10701" s="3">
        <v>11</v>
      </c>
      <c r="F10701" s="3">
        <v>11</v>
      </c>
      <c r="G10701" t="s">
        <v>516</v>
      </c>
    </row>
    <row r="10702" spans="1:7" x14ac:dyDescent="0.25">
      <c r="A10702" s="1" t="str">
        <f>"509175"</f>
        <v>509175</v>
      </c>
      <c r="B10702" s="2" t="str">
        <f>"FACA CIRCULAR BANDEJA"</f>
        <v>FACA CIRCULAR BANDEJA</v>
      </c>
      <c r="C10702" s="2" t="str">
        <f t="shared" si="415"/>
        <v>UN</v>
      </c>
      <c r="D10702" s="7">
        <v>918</v>
      </c>
      <c r="E10702" s="3">
        <v>11</v>
      </c>
      <c r="F10702" s="3">
        <v>11</v>
      </c>
      <c r="G10702" t="s">
        <v>515</v>
      </c>
    </row>
    <row r="10703" spans="1:7" x14ac:dyDescent="0.25">
      <c r="A10703" s="1" t="str">
        <f>"511986"</f>
        <v>511986</v>
      </c>
      <c r="B10703" s="2" t="str">
        <f>"FACA CIRCULAR DUPLA EMBALAGEM 68,5MM"</f>
        <v>FACA CIRCULAR DUPLA EMBALAGEM 68,5MM</v>
      </c>
      <c r="C10703" s="2" t="str">
        <f t="shared" si="415"/>
        <v>UN</v>
      </c>
      <c r="D10703" s="7">
        <v>918</v>
      </c>
      <c r="E10703" s="3">
        <v>11</v>
      </c>
      <c r="F10703" s="3">
        <v>11</v>
      </c>
      <c r="G10703" t="s">
        <v>514</v>
      </c>
    </row>
    <row r="10704" spans="1:7" x14ac:dyDescent="0.25">
      <c r="A10704" s="1" t="str">
        <f>"501421"</f>
        <v>501421</v>
      </c>
      <c r="B10704" s="2" t="str">
        <f>"FACA CIRCULAR PETIT"</f>
        <v>FACA CIRCULAR PETIT</v>
      </c>
      <c r="C10704" s="2" t="str">
        <f t="shared" ref="C10704:C10711" si="416">"UN"</f>
        <v>UN</v>
      </c>
      <c r="D10704" s="7">
        <v>918</v>
      </c>
      <c r="E10704" s="3">
        <v>11</v>
      </c>
      <c r="F10704" s="3">
        <v>11</v>
      </c>
      <c r="G10704" t="s">
        <v>512</v>
      </c>
    </row>
    <row r="10705" spans="1:7" x14ac:dyDescent="0.25">
      <c r="A10705" s="1" t="str">
        <f>"517106"</f>
        <v>517106</v>
      </c>
      <c r="B10705" s="2" t="str">
        <f>"FACA DE ENTRADA - E4300-54620-31/6/1433/M"</f>
        <v>FACA DE ENTRADA - E4300-54620-31/6/1433/M</v>
      </c>
      <c r="C10705" s="2" t="str">
        <f t="shared" si="416"/>
        <v>UN</v>
      </c>
      <c r="D10705" s="7">
        <v>918</v>
      </c>
      <c r="E10705" s="3">
        <v>11</v>
      </c>
      <c r="F10705" s="3">
        <v>11</v>
      </c>
      <c r="G10705" t="s">
        <v>513</v>
      </c>
    </row>
    <row r="10706" spans="1:7" x14ac:dyDescent="0.25">
      <c r="A10706" s="1" t="str">
        <f>"517112"</f>
        <v>517112</v>
      </c>
      <c r="B10706" s="2" t="str">
        <f>"FACA DE ENTRADA MAIOR - E4300-55744-74/6/1433/M"</f>
        <v>FACA DE ENTRADA MAIOR - E4300-55744-74/6/1433/M</v>
      </c>
      <c r="C10706" s="2" t="str">
        <f t="shared" si="416"/>
        <v>UN</v>
      </c>
      <c r="D10706" s="7">
        <v>918</v>
      </c>
      <c r="E10706" s="3">
        <v>11</v>
      </c>
      <c r="F10706" s="3">
        <v>11</v>
      </c>
      <c r="G10706" t="s">
        <v>514</v>
      </c>
    </row>
    <row r="10707" spans="1:7" x14ac:dyDescent="0.25">
      <c r="A10707" s="1" t="str">
        <f>"502912"</f>
        <v>502912</v>
      </c>
      <c r="B10707" s="2" t="str">
        <f>"FACA DEGOLADORA"</f>
        <v>FACA DEGOLADORA</v>
      </c>
      <c r="C10707" s="2" t="str">
        <f t="shared" si="416"/>
        <v>UN</v>
      </c>
      <c r="D10707" s="7">
        <v>918</v>
      </c>
      <c r="E10707" s="3">
        <v>11</v>
      </c>
      <c r="F10707" s="3">
        <v>11</v>
      </c>
      <c r="G10707" t="s">
        <v>514</v>
      </c>
    </row>
    <row r="10708" spans="1:7" x14ac:dyDescent="0.25">
      <c r="A10708" s="1" t="str">
        <f>"517090"</f>
        <v>517090</v>
      </c>
      <c r="B10708" s="2" t="str">
        <f>"FACA DENTADA CORTE FILME PAKMATIC 700MM 14 FUROS"</f>
        <v>FACA DENTADA CORTE FILME PAKMATIC 700MM 14 FUROS</v>
      </c>
      <c r="C10708" s="2" t="str">
        <f t="shared" si="416"/>
        <v>UN</v>
      </c>
      <c r="D10708" s="7">
        <v>918</v>
      </c>
      <c r="E10708" s="3">
        <v>11</v>
      </c>
      <c r="F10708" s="3">
        <v>11</v>
      </c>
      <c r="G10708" t="s">
        <v>512</v>
      </c>
    </row>
    <row r="10709" spans="1:7" x14ac:dyDescent="0.25">
      <c r="A10709" s="1" t="str">
        <f>"512942"</f>
        <v>512942</v>
      </c>
      <c r="B10709" s="2" t="str">
        <f>"FACA DESCARTAVEL"</f>
        <v>FACA DESCARTAVEL</v>
      </c>
      <c r="C10709" s="2" t="str">
        <f t="shared" si="416"/>
        <v>UN</v>
      </c>
      <c r="D10709" s="7">
        <v>401</v>
      </c>
      <c r="E10709" s="3">
        <v>4</v>
      </c>
      <c r="F10709" s="3">
        <v>4</v>
      </c>
      <c r="G10709" t="s">
        <v>513</v>
      </c>
    </row>
    <row r="10710" spans="1:7" x14ac:dyDescent="0.25">
      <c r="A10710" s="1" t="str">
        <f>"502146"</f>
        <v>502146</v>
      </c>
      <c r="B10710" s="2" t="str">
        <f>"FACA DO MOINHO PIOVAN (FIXA) 222 X 45 X 13,5MM - AÇO VND"</f>
        <v>FACA DO MOINHO PIOVAN (FIXA) 222 X 45 X 13,5MM - AÇO VND</v>
      </c>
      <c r="C10710" s="2" t="str">
        <f t="shared" si="416"/>
        <v>UN</v>
      </c>
      <c r="D10710" s="7">
        <v>918</v>
      </c>
      <c r="E10710" s="3">
        <v>11</v>
      </c>
      <c r="F10710" s="3">
        <v>11</v>
      </c>
      <c r="G10710" t="s">
        <v>514</v>
      </c>
    </row>
    <row r="10711" spans="1:7" x14ac:dyDescent="0.25">
      <c r="A10711" s="1" t="str">
        <f>"502147"</f>
        <v>502147</v>
      </c>
      <c r="B10711" s="2" t="str">
        <f>"FACA DO MOINHO PIOVAN (MOVEL) 218 X 55 X 14MM - AÇO VND"</f>
        <v>FACA DO MOINHO PIOVAN (MOVEL) 218 X 55 X 14MM - AÇO VND</v>
      </c>
      <c r="C10711" s="2" t="str">
        <f t="shared" si="416"/>
        <v>UN</v>
      </c>
      <c r="D10711" s="7">
        <v>918</v>
      </c>
      <c r="E10711" s="3">
        <v>11</v>
      </c>
      <c r="F10711" s="3">
        <v>11</v>
      </c>
      <c r="G10711" t="s">
        <v>514</v>
      </c>
    </row>
    <row r="10712" spans="1:7" x14ac:dyDescent="0.25">
      <c r="A10712" s="1" t="str">
        <f>"526563"</f>
        <v>526563</v>
      </c>
      <c r="B10712" s="2" t="str">
        <f>"FACA E-53415"</f>
        <v>FACA E-53415</v>
      </c>
      <c r="C10712" s="2" t="str">
        <f>"PC"</f>
        <v>PC</v>
      </c>
      <c r="D10712" s="7">
        <v>918</v>
      </c>
      <c r="E10712" s="3">
        <v>11</v>
      </c>
      <c r="F10712" s="3">
        <v>11</v>
      </c>
      <c r="G10712" t="s">
        <v>514</v>
      </c>
    </row>
    <row r="10713" spans="1:7" x14ac:dyDescent="0.25">
      <c r="A10713" s="1" t="str">
        <f>"513345"</f>
        <v>513345</v>
      </c>
      <c r="B10713" s="2" t="str">
        <f>"FACA E-54551"</f>
        <v>FACA E-54551</v>
      </c>
      <c r="C10713" s="2" t="str">
        <f>"UN"</f>
        <v>UN</v>
      </c>
      <c r="D10713" s="7">
        <v>918</v>
      </c>
      <c r="E10713" s="3">
        <v>11</v>
      </c>
      <c r="F10713" s="3">
        <v>11</v>
      </c>
      <c r="G10713" t="s">
        <v>513</v>
      </c>
    </row>
    <row r="10714" spans="1:7" x14ac:dyDescent="0.25">
      <c r="A10714" s="1" t="str">
        <f>"526564"</f>
        <v>526564</v>
      </c>
      <c r="B10714" s="2" t="str">
        <f>"FACA ENTRADA E-53416"</f>
        <v>FACA ENTRADA E-53416</v>
      </c>
      <c r="C10714" s="2" t="str">
        <f>"PC"</f>
        <v>PC</v>
      </c>
      <c r="D10714" s="7">
        <v>918</v>
      </c>
      <c r="E10714" s="3">
        <v>11</v>
      </c>
      <c r="F10714" s="3">
        <v>11</v>
      </c>
      <c r="G10714" t="s">
        <v>512</v>
      </c>
    </row>
    <row r="10715" spans="1:7" x14ac:dyDescent="0.25">
      <c r="A10715" s="1" t="str">
        <f>"513346"</f>
        <v>513346</v>
      </c>
      <c r="B10715" s="2" t="str">
        <f>"FACA ENTRADA E-54552"</f>
        <v>FACA ENTRADA E-54552</v>
      </c>
      <c r="C10715" s="2" t="str">
        <f t="shared" ref="C10715:C10725" si="417">"UN"</f>
        <v>UN</v>
      </c>
      <c r="D10715" s="7">
        <v>918</v>
      </c>
      <c r="E10715" s="3">
        <v>11</v>
      </c>
      <c r="F10715" s="3">
        <v>11</v>
      </c>
      <c r="G10715" t="s">
        <v>513</v>
      </c>
    </row>
    <row r="10716" spans="1:7" x14ac:dyDescent="0.25">
      <c r="A10716" s="1" t="str">
        <f>"526077"</f>
        <v>526077</v>
      </c>
      <c r="B10716" s="2" t="str">
        <f>"FACA INOX 10 PROFISSIONAL MUNDIAL"</f>
        <v>FACA INOX 10 PROFISSIONAL MUNDIAL</v>
      </c>
      <c r="C10716" s="2" t="str">
        <f t="shared" si="417"/>
        <v>UN</v>
      </c>
      <c r="D10716" s="7">
        <v>99999</v>
      </c>
      <c r="E10716" s="3">
        <v>99</v>
      </c>
      <c r="F10716" s="3">
        <v>99</v>
      </c>
      <c r="G10716" t="s">
        <v>514</v>
      </c>
    </row>
    <row r="10717" spans="1:7" x14ac:dyDescent="0.25">
      <c r="A10717" s="1" t="str">
        <f>"517113"</f>
        <v>517113</v>
      </c>
      <c r="B10717" s="2" t="str">
        <f>"FACA MAIOR - E4300-55745-75/6/1433/M"</f>
        <v>FACA MAIOR - E4300-55745-75/6/1433/M</v>
      </c>
      <c r="C10717" s="2" t="str">
        <f t="shared" si="417"/>
        <v>UN</v>
      </c>
      <c r="D10717" s="7">
        <v>918</v>
      </c>
      <c r="E10717" s="3">
        <v>11</v>
      </c>
      <c r="F10717" s="3">
        <v>11</v>
      </c>
      <c r="G10717" t="s">
        <v>514</v>
      </c>
    </row>
    <row r="10718" spans="1:7" x14ac:dyDescent="0.25">
      <c r="A10718" s="1" t="str">
        <f>"513348"</f>
        <v>513348</v>
      </c>
      <c r="B10718" s="2" t="str">
        <f>"FACA MAIOR E-55722"</f>
        <v>FACA MAIOR E-55722</v>
      </c>
      <c r="C10718" s="2" t="str">
        <f t="shared" si="417"/>
        <v>UN</v>
      </c>
      <c r="D10718" s="7">
        <v>918</v>
      </c>
      <c r="E10718" s="3">
        <v>11</v>
      </c>
      <c r="F10718" s="3">
        <v>11</v>
      </c>
      <c r="G10718" t="s">
        <v>514</v>
      </c>
    </row>
    <row r="10719" spans="1:7" x14ac:dyDescent="0.25">
      <c r="A10719" s="1" t="str">
        <f>"507125"</f>
        <v>507125</v>
      </c>
      <c r="B10719" s="2" t="str">
        <f>"FACA P/ FITA 50MM COD. 05.3120.023.50"</f>
        <v>FACA P/ FITA 50MM COD. 05.3120.023.50</v>
      </c>
      <c r="C10719" s="2" t="str">
        <f t="shared" si="417"/>
        <v>UN</v>
      </c>
      <c r="D10719" s="7">
        <v>918</v>
      </c>
      <c r="E10719" s="3">
        <v>11</v>
      </c>
      <c r="F10719" s="3">
        <v>11</v>
      </c>
      <c r="G10719" t="s">
        <v>513</v>
      </c>
    </row>
    <row r="10720" spans="1:7" x14ac:dyDescent="0.25">
      <c r="A10720" s="1" t="str">
        <f>"517454"</f>
        <v>517454</v>
      </c>
      <c r="B10720" s="2" t="str">
        <f>"FACA P/ ROÇADEIRA FURO 2,0CM 2 PONTAS"</f>
        <v>FACA P/ ROÇADEIRA FURO 2,0CM 2 PONTAS</v>
      </c>
      <c r="C10720" s="2" t="str">
        <f t="shared" si="417"/>
        <v>UN</v>
      </c>
      <c r="D10720" s="7">
        <v>918</v>
      </c>
      <c r="E10720" s="3">
        <v>11</v>
      </c>
      <c r="F10720" s="3">
        <v>11</v>
      </c>
      <c r="G10720" t="s">
        <v>513</v>
      </c>
    </row>
    <row r="10721" spans="1:7" x14ac:dyDescent="0.25">
      <c r="A10721" s="1" t="str">
        <f>"501555"</f>
        <v>501555</v>
      </c>
      <c r="B10721" s="2" t="str">
        <f>"FACA PRE-CORTE BANDEJA DMAX"</f>
        <v>FACA PRE-CORTE BANDEJA DMAX</v>
      </c>
      <c r="C10721" s="2" t="str">
        <f t="shared" si="417"/>
        <v>UN</v>
      </c>
      <c r="D10721" s="7">
        <v>918</v>
      </c>
      <c r="E10721" s="3">
        <v>11</v>
      </c>
      <c r="F10721" s="3">
        <v>11</v>
      </c>
      <c r="G10721" t="s">
        <v>513</v>
      </c>
    </row>
    <row r="10722" spans="1:7" x14ac:dyDescent="0.25">
      <c r="A10722" s="1" t="str">
        <f>"503417"</f>
        <v>503417</v>
      </c>
      <c r="B10722" s="2" t="str">
        <f>"FACA PRE-CORTE DINIEPER PETIT"</f>
        <v>FACA PRE-CORTE DINIEPER PETIT</v>
      </c>
      <c r="C10722" s="2" t="str">
        <f t="shared" si="417"/>
        <v>UN</v>
      </c>
      <c r="D10722" s="7">
        <v>918</v>
      </c>
      <c r="E10722" s="3">
        <v>11</v>
      </c>
      <c r="F10722" s="3">
        <v>11</v>
      </c>
      <c r="G10722" t="s">
        <v>512</v>
      </c>
    </row>
    <row r="10723" spans="1:7" x14ac:dyDescent="0.25">
      <c r="A10723" s="1" t="str">
        <f>"522841"</f>
        <v>522841</v>
      </c>
      <c r="B10723" s="2" t="str">
        <f>"FACA PROFISSIONAL PASSADOR 12"" AÇO INOX 24420082 TRAMONTINA"</f>
        <v>FACA PROFISSIONAL PASSADOR 12" AÇO INOX 24420082 TRAMONTINA</v>
      </c>
      <c r="C10723" s="2" t="str">
        <f t="shared" si="417"/>
        <v>UN</v>
      </c>
      <c r="D10723" s="7">
        <v>99999</v>
      </c>
      <c r="E10723" s="3">
        <v>99</v>
      </c>
      <c r="F10723" s="3">
        <v>99</v>
      </c>
      <c r="G10723" t="s">
        <v>513</v>
      </c>
    </row>
    <row r="10724" spans="1:7" x14ac:dyDescent="0.25">
      <c r="A10724" s="1" t="str">
        <f>"515625"</f>
        <v>515625</v>
      </c>
      <c r="B10724" s="2" t="str">
        <f>"FACA ROCADEIRA"</f>
        <v>FACA ROCADEIRA</v>
      </c>
      <c r="C10724" s="2" t="str">
        <f t="shared" si="417"/>
        <v>UN</v>
      </c>
      <c r="D10724" s="7">
        <v>812</v>
      </c>
      <c r="E10724" s="3">
        <v>4</v>
      </c>
      <c r="F10724" s="3">
        <v>4</v>
      </c>
      <c r="G10724" t="s">
        <v>514</v>
      </c>
    </row>
    <row r="10725" spans="1:7" x14ac:dyDescent="0.25">
      <c r="A10725" s="1" t="str">
        <f>"509640"</f>
        <v>509640</v>
      </c>
      <c r="B10725" s="2" t="str">
        <f>"FACA TRAMONTINA"</f>
        <v>FACA TRAMONTINA</v>
      </c>
      <c r="C10725" s="2" t="str">
        <f t="shared" si="417"/>
        <v>UN</v>
      </c>
      <c r="D10725" s="7">
        <v>402</v>
      </c>
      <c r="E10725" s="3">
        <v>4</v>
      </c>
      <c r="F10725" s="3">
        <v>4</v>
      </c>
      <c r="G10725" t="s">
        <v>515</v>
      </c>
    </row>
    <row r="10726" spans="1:7" x14ac:dyDescent="0.25">
      <c r="A10726" s="1" t="str">
        <f>"512342"</f>
        <v>512342</v>
      </c>
      <c r="B10726" s="2" t="str">
        <f>"FACA TRANSVERSAL DUPLA EMB. DENTADA GLOBAL"</f>
        <v>FACA TRANSVERSAL DUPLA EMB. DENTADA GLOBAL</v>
      </c>
      <c r="C10726" s="2" t="str">
        <f>"PC"</f>
        <v>PC</v>
      </c>
      <c r="D10726" s="7">
        <v>918</v>
      </c>
      <c r="E10726" s="3">
        <v>11</v>
      </c>
      <c r="F10726" s="3">
        <v>11</v>
      </c>
      <c r="G10726" t="s">
        <v>512</v>
      </c>
    </row>
    <row r="10727" spans="1:7" x14ac:dyDescent="0.25">
      <c r="A10727" s="1" t="str">
        <f>"511955"</f>
        <v>511955</v>
      </c>
      <c r="B10727" s="2" t="str">
        <f>"FACA VERTICAL RETANGULAR IMAR 470MM GLOBAL"</f>
        <v>FACA VERTICAL RETANGULAR IMAR 470MM GLOBAL</v>
      </c>
      <c r="C10727" s="2" t="str">
        <f t="shared" ref="C10727:C10758" si="418">"UN"</f>
        <v>UN</v>
      </c>
      <c r="D10727" s="7">
        <v>918</v>
      </c>
      <c r="E10727" s="3">
        <v>11</v>
      </c>
      <c r="F10727" s="3">
        <v>11</v>
      </c>
      <c r="G10727" t="s">
        <v>516</v>
      </c>
    </row>
    <row r="10728" spans="1:7" x14ac:dyDescent="0.25">
      <c r="A10728" s="1" t="str">
        <f>"514333"</f>
        <v>514333</v>
      </c>
      <c r="B10728" s="2" t="str">
        <f>"FACAO PARA MATO"</f>
        <v>FACAO PARA MATO</v>
      </c>
      <c r="C10728" s="2" t="str">
        <f t="shared" si="418"/>
        <v>UN</v>
      </c>
      <c r="D10728" s="7">
        <v>817</v>
      </c>
      <c r="E10728" s="3">
        <v>4</v>
      </c>
      <c r="F10728" s="3">
        <v>4</v>
      </c>
      <c r="G10728" t="s">
        <v>515</v>
      </c>
    </row>
    <row r="10729" spans="1:7" x14ac:dyDescent="0.25">
      <c r="A10729" s="1" t="str">
        <f>"526703"</f>
        <v>526703</v>
      </c>
      <c r="B10729" s="2" t="str">
        <f>"FACAS DE CORTE"</f>
        <v>FACAS DE CORTE</v>
      </c>
      <c r="C10729" s="2" t="str">
        <f t="shared" si="418"/>
        <v>UN</v>
      </c>
      <c r="D10729" s="7">
        <v>402</v>
      </c>
      <c r="E10729" s="3">
        <v>4</v>
      </c>
      <c r="F10729" s="3">
        <v>4</v>
      </c>
      <c r="G10729" t="s">
        <v>514</v>
      </c>
    </row>
    <row r="10730" spans="1:7" x14ac:dyDescent="0.25">
      <c r="A10730" s="1" t="str">
        <f>"526701"</f>
        <v>526701</v>
      </c>
      <c r="B10730" s="2" t="str">
        <f>"FACAS DE VINCO"</f>
        <v>FACAS DE VINCO</v>
      </c>
      <c r="C10730" s="2" t="str">
        <f t="shared" si="418"/>
        <v>UN</v>
      </c>
      <c r="D10730" s="7">
        <v>402</v>
      </c>
      <c r="E10730" s="3">
        <v>4</v>
      </c>
      <c r="F10730" s="3">
        <v>4</v>
      </c>
      <c r="G10730" t="s">
        <v>512</v>
      </c>
    </row>
    <row r="10731" spans="1:7" x14ac:dyDescent="0.25">
      <c r="A10731" s="1" t="str">
        <f>"526931"</f>
        <v>526931</v>
      </c>
      <c r="B10731" s="2" t="str">
        <f>"FACE ROTATIVA EM CARVÃO PARA TIPO 530 Ø80mm"</f>
        <v>FACE ROTATIVA EM CARVÃO PARA TIPO 530 Ø80mm</v>
      </c>
      <c r="C10731" s="2" t="str">
        <f t="shared" si="418"/>
        <v>UN</v>
      </c>
      <c r="D10731" s="7">
        <v>918</v>
      </c>
      <c r="E10731" s="3">
        <v>11</v>
      </c>
      <c r="F10731" s="3">
        <v>11</v>
      </c>
      <c r="G10731" t="s">
        <v>513</v>
      </c>
    </row>
    <row r="10732" spans="1:7" x14ac:dyDescent="0.25">
      <c r="A10732" s="1" t="str">
        <f>"518465"</f>
        <v>518465</v>
      </c>
      <c r="B10732" s="2" t="str">
        <f>"FAIXA 10,0 X 0,35MT"</f>
        <v>FAIXA 10,0 X 0,35MT</v>
      </c>
      <c r="C10732" s="2" t="str">
        <f t="shared" si="418"/>
        <v>UN</v>
      </c>
      <c r="D10732" s="7">
        <v>402</v>
      </c>
      <c r="E10732" s="3">
        <v>4</v>
      </c>
      <c r="F10732" s="3">
        <v>4</v>
      </c>
      <c r="G10732" t="s">
        <v>514</v>
      </c>
    </row>
    <row r="10733" spans="1:7" x14ac:dyDescent="0.25">
      <c r="A10733" s="1" t="str">
        <f>"519670"</f>
        <v>519670</v>
      </c>
      <c r="B10733" s="2" t="str">
        <f>"FAIXA 2,0 X 0,80MT"</f>
        <v>FAIXA 2,0 X 0,80MT</v>
      </c>
      <c r="C10733" s="2" t="str">
        <f t="shared" si="418"/>
        <v>UN</v>
      </c>
      <c r="D10733" s="7">
        <v>402</v>
      </c>
      <c r="E10733" s="3">
        <v>4</v>
      </c>
      <c r="F10733" s="3">
        <v>4</v>
      </c>
      <c r="G10733" t="s">
        <v>514</v>
      </c>
    </row>
    <row r="10734" spans="1:7" x14ac:dyDescent="0.25">
      <c r="A10734" s="1" t="str">
        <f>"519669"</f>
        <v>519669</v>
      </c>
      <c r="B10734" s="2" t="str">
        <f>"FAIXA 4,0 X 0,60MT"</f>
        <v>FAIXA 4,0 X 0,60MT</v>
      </c>
      <c r="C10734" s="2" t="str">
        <f t="shared" si="418"/>
        <v>UN</v>
      </c>
      <c r="D10734" s="7">
        <v>402</v>
      </c>
      <c r="E10734" s="3">
        <v>4</v>
      </c>
      <c r="F10734" s="3">
        <v>4</v>
      </c>
      <c r="G10734" t="s">
        <v>512</v>
      </c>
    </row>
    <row r="10735" spans="1:7" x14ac:dyDescent="0.25">
      <c r="A10735" s="1" t="str">
        <f>"521178"</f>
        <v>521178</v>
      </c>
      <c r="B10735" s="2" t="str">
        <f>"FAIXA 4,0 X 1,00MT"</f>
        <v>FAIXA 4,0 X 1,00MT</v>
      </c>
      <c r="C10735" s="2" t="str">
        <f t="shared" si="418"/>
        <v>UN</v>
      </c>
      <c r="D10735" s="7">
        <v>402</v>
      </c>
      <c r="E10735" s="3">
        <v>4</v>
      </c>
      <c r="F10735" s="3">
        <v>4</v>
      </c>
      <c r="G10735" t="s">
        <v>513</v>
      </c>
    </row>
    <row r="10736" spans="1:7" x14ac:dyDescent="0.25">
      <c r="A10736" s="1" t="str">
        <f>"518464"</f>
        <v>518464</v>
      </c>
      <c r="B10736" s="2" t="str">
        <f>"FAIXA 6,0 X 0,70 MT"</f>
        <v>FAIXA 6,0 X 0,70 MT</v>
      </c>
      <c r="C10736" s="2" t="str">
        <f t="shared" si="418"/>
        <v>UN</v>
      </c>
      <c r="D10736" s="7">
        <v>402</v>
      </c>
      <c r="E10736" s="3">
        <v>4</v>
      </c>
      <c r="F10736" s="3">
        <v>4</v>
      </c>
      <c r="G10736" t="s">
        <v>514</v>
      </c>
    </row>
    <row r="10737" spans="1:7" x14ac:dyDescent="0.25">
      <c r="A10737" s="1" t="str">
        <f>"518462"</f>
        <v>518462</v>
      </c>
      <c r="B10737" s="2" t="str">
        <f>"FAIXA 6,0 X 1,0 MT"</f>
        <v>FAIXA 6,0 X 1,0 MT</v>
      </c>
      <c r="C10737" s="2" t="str">
        <f t="shared" si="418"/>
        <v>UN</v>
      </c>
      <c r="D10737" s="7">
        <v>402</v>
      </c>
      <c r="E10737" s="3">
        <v>4</v>
      </c>
      <c r="F10737" s="3">
        <v>4</v>
      </c>
      <c r="G10737" t="s">
        <v>514</v>
      </c>
    </row>
    <row r="10738" spans="1:7" x14ac:dyDescent="0.25">
      <c r="A10738" s="1" t="str">
        <f>"513212"</f>
        <v>513212</v>
      </c>
      <c r="B10738" s="2" t="str">
        <f>"FAIXA LONA"</f>
        <v>FAIXA LONA</v>
      </c>
      <c r="C10738" s="2" t="str">
        <f t="shared" si="418"/>
        <v>UN</v>
      </c>
      <c r="D10738" s="7">
        <v>402</v>
      </c>
      <c r="E10738" s="3">
        <v>4</v>
      </c>
      <c r="F10738" s="3">
        <v>4</v>
      </c>
      <c r="G10738" t="s">
        <v>514</v>
      </c>
    </row>
    <row r="10739" spans="1:7" x14ac:dyDescent="0.25">
      <c r="A10739" s="1" t="str">
        <f>"518265"</f>
        <v>518265</v>
      </c>
      <c r="B10739" s="2" t="str">
        <f>"FAIXA P/ PARABRISA INSUFILME ATE 20CM"</f>
        <v>FAIXA P/ PARABRISA INSUFILME ATE 20CM</v>
      </c>
      <c r="C10739" s="2" t="str">
        <f t="shared" si="418"/>
        <v>UN</v>
      </c>
      <c r="D10739" s="7">
        <v>704</v>
      </c>
      <c r="E10739" s="3">
        <v>9</v>
      </c>
      <c r="F10739" s="3">
        <v>9</v>
      </c>
      <c r="G10739" t="s">
        <v>513</v>
      </c>
    </row>
    <row r="10740" spans="1:7" x14ac:dyDescent="0.25">
      <c r="A10740" s="1" t="str">
        <f>"513886"</f>
        <v>513886</v>
      </c>
      <c r="B10740" s="2" t="str">
        <f>"FAIXA PARABRISA"</f>
        <v>FAIXA PARABRISA</v>
      </c>
      <c r="C10740" s="2" t="str">
        <f t="shared" si="418"/>
        <v>UN</v>
      </c>
      <c r="D10740" s="7">
        <v>99999</v>
      </c>
      <c r="E10740" s="3">
        <v>99</v>
      </c>
      <c r="F10740" s="3">
        <v>99</v>
      </c>
      <c r="G10740" t="s">
        <v>512</v>
      </c>
    </row>
    <row r="10741" spans="1:7" x14ac:dyDescent="0.25">
      <c r="A10741" s="1" t="str">
        <f>"506078"</f>
        <v>506078</v>
      </c>
      <c r="B10741" s="2" t="str">
        <f>"FAIXA REFLETIVA"</f>
        <v>FAIXA REFLETIVA</v>
      </c>
      <c r="C10741" s="2" t="str">
        <f t="shared" si="418"/>
        <v>UN</v>
      </c>
      <c r="D10741" s="7">
        <v>99999</v>
      </c>
      <c r="E10741" s="3">
        <v>99</v>
      </c>
      <c r="F10741" s="3">
        <v>99</v>
      </c>
      <c r="G10741" t="s">
        <v>513</v>
      </c>
    </row>
    <row r="10742" spans="1:7" x14ac:dyDescent="0.25">
      <c r="A10742" s="1" t="str">
        <f>"502848"</f>
        <v>502848</v>
      </c>
      <c r="B10742" s="2" t="str">
        <f>"FAIXA REFLETIVA PARA-CHOQUE MODERNO"</f>
        <v>FAIXA REFLETIVA PARA-CHOQUE MODERNO</v>
      </c>
      <c r="C10742" s="2" t="str">
        <f t="shared" si="418"/>
        <v>UN</v>
      </c>
      <c r="D10742" s="7">
        <v>99999</v>
      </c>
      <c r="E10742" s="3">
        <v>99</v>
      </c>
      <c r="F10742" s="3">
        <v>99</v>
      </c>
      <c r="G10742" t="s">
        <v>514</v>
      </c>
    </row>
    <row r="10743" spans="1:7" x14ac:dyDescent="0.25">
      <c r="A10743" s="1" t="str">
        <f>"514759"</f>
        <v>514759</v>
      </c>
      <c r="B10743" s="2" t="str">
        <f>"FARINHA DE MILHO YA-YA"</f>
        <v>FARINHA DE MILHO YA-YA</v>
      </c>
      <c r="C10743" s="2" t="str">
        <f t="shared" si="418"/>
        <v>UN</v>
      </c>
      <c r="D10743" s="7">
        <v>401</v>
      </c>
      <c r="E10743" s="3">
        <v>4</v>
      </c>
      <c r="F10743" s="3">
        <v>4</v>
      </c>
      <c r="G10743" t="s">
        <v>514</v>
      </c>
    </row>
    <row r="10744" spans="1:7" x14ac:dyDescent="0.25">
      <c r="A10744" s="1" t="str">
        <f>"514937"</f>
        <v>514937</v>
      </c>
      <c r="B10744" s="2" t="str">
        <f>"FARINHA DE ROSCA"</f>
        <v>FARINHA DE ROSCA</v>
      </c>
      <c r="C10744" s="2" t="str">
        <f t="shared" si="418"/>
        <v>UN</v>
      </c>
      <c r="D10744" s="7">
        <v>912</v>
      </c>
      <c r="E10744" s="3">
        <v>4</v>
      </c>
      <c r="F10744" s="3">
        <v>4</v>
      </c>
      <c r="G10744" t="s">
        <v>514</v>
      </c>
    </row>
    <row r="10745" spans="1:7" x14ac:dyDescent="0.25">
      <c r="A10745" s="1" t="str">
        <f>"515647"</f>
        <v>515647</v>
      </c>
      <c r="B10745" s="2" t="str">
        <f>"FARINHA DE TRIGO"</f>
        <v>FARINHA DE TRIGO</v>
      </c>
      <c r="C10745" s="2" t="str">
        <f t="shared" si="418"/>
        <v>UN</v>
      </c>
      <c r="D10745" s="7">
        <v>401</v>
      </c>
      <c r="E10745" s="3">
        <v>4</v>
      </c>
      <c r="F10745" s="3">
        <v>4</v>
      </c>
      <c r="G10745" t="s">
        <v>513</v>
      </c>
    </row>
    <row r="10746" spans="1:7" x14ac:dyDescent="0.25">
      <c r="A10746" s="1" t="str">
        <f>"514752"</f>
        <v>514752</v>
      </c>
      <c r="B10746" s="2" t="str">
        <f>"FAROFA PRONTA YOKI"</f>
        <v>FAROFA PRONTA YOKI</v>
      </c>
      <c r="C10746" s="2" t="str">
        <f t="shared" si="418"/>
        <v>UN</v>
      </c>
      <c r="D10746" s="7">
        <v>401</v>
      </c>
      <c r="E10746" s="3">
        <v>4</v>
      </c>
      <c r="F10746" s="3">
        <v>4</v>
      </c>
      <c r="G10746" t="s">
        <v>513</v>
      </c>
    </row>
    <row r="10747" spans="1:7" x14ac:dyDescent="0.25">
      <c r="A10747" s="1" t="str">
        <f>"505897"</f>
        <v>505897</v>
      </c>
      <c r="B10747" s="2" t="str">
        <f>"FAROL"</f>
        <v>FAROL</v>
      </c>
      <c r="C10747" s="2" t="str">
        <f t="shared" si="418"/>
        <v>UN</v>
      </c>
      <c r="D10747" s="7">
        <v>99999</v>
      </c>
      <c r="E10747" s="3">
        <v>99</v>
      </c>
      <c r="F10747" s="3">
        <v>99</v>
      </c>
      <c r="G10747" t="s">
        <v>513</v>
      </c>
    </row>
    <row r="10748" spans="1:7" x14ac:dyDescent="0.25">
      <c r="A10748" s="1" t="str">
        <f>"505898"</f>
        <v>505898</v>
      </c>
      <c r="B10748" s="2" t="str">
        <f>"FAROL COMPLETO 2000"</f>
        <v>FAROL COMPLETO 2000</v>
      </c>
      <c r="C10748" s="2" t="str">
        <f t="shared" si="418"/>
        <v>UN</v>
      </c>
      <c r="D10748" s="7">
        <v>704</v>
      </c>
      <c r="E10748" s="3">
        <v>9</v>
      </c>
      <c r="F10748" s="3">
        <v>9</v>
      </c>
      <c r="G10748" t="s">
        <v>512</v>
      </c>
    </row>
    <row r="10749" spans="1:7" x14ac:dyDescent="0.25">
      <c r="A10749" s="1" t="str">
        <f>"501811"</f>
        <v>501811</v>
      </c>
      <c r="B10749" s="2" t="str">
        <f>"FAROL DIREITO  24-250"</f>
        <v>FAROL DIREITO  24-250</v>
      </c>
      <c r="C10749" s="2" t="str">
        <f t="shared" si="418"/>
        <v>UN</v>
      </c>
      <c r="D10749" s="7">
        <v>704</v>
      </c>
      <c r="E10749" s="3">
        <v>9</v>
      </c>
      <c r="F10749" s="3">
        <v>9</v>
      </c>
      <c r="G10749" t="s">
        <v>513</v>
      </c>
    </row>
    <row r="10750" spans="1:7" x14ac:dyDescent="0.25">
      <c r="A10750" s="1" t="str">
        <f>"519231"</f>
        <v>519231</v>
      </c>
      <c r="B10750" s="2" t="str">
        <f>"FAROL DIREITO FORD CARGO 1722"</f>
        <v>FAROL DIREITO FORD CARGO 1722</v>
      </c>
      <c r="C10750" s="2" t="str">
        <f t="shared" si="418"/>
        <v>UN</v>
      </c>
      <c r="D10750" s="7">
        <v>704</v>
      </c>
      <c r="E10750" s="3">
        <v>9</v>
      </c>
      <c r="F10750" s="3">
        <v>9</v>
      </c>
      <c r="G10750" t="s">
        <v>514</v>
      </c>
    </row>
    <row r="10751" spans="1:7" x14ac:dyDescent="0.25">
      <c r="A10751" s="1" t="str">
        <f>"519153"</f>
        <v>519153</v>
      </c>
      <c r="B10751" s="2" t="str">
        <f>"FAROL DIREITO MB1318"</f>
        <v>FAROL DIREITO MB1318</v>
      </c>
      <c r="C10751" s="2" t="str">
        <f t="shared" si="418"/>
        <v>UN</v>
      </c>
      <c r="D10751" s="7">
        <v>704</v>
      </c>
      <c r="E10751" s="3">
        <v>9</v>
      </c>
      <c r="F10751" s="3">
        <v>9</v>
      </c>
      <c r="G10751" t="s">
        <v>515</v>
      </c>
    </row>
    <row r="10752" spans="1:7" x14ac:dyDescent="0.25">
      <c r="A10752" s="1" t="str">
        <f>"501810"</f>
        <v>501810</v>
      </c>
      <c r="B10752" s="2" t="str">
        <f>"FAROL ESQUERDO 24-250"</f>
        <v>FAROL ESQUERDO 24-250</v>
      </c>
      <c r="C10752" s="2" t="str">
        <f t="shared" si="418"/>
        <v>UN</v>
      </c>
      <c r="D10752" s="7">
        <v>704</v>
      </c>
      <c r="E10752" s="3">
        <v>9</v>
      </c>
      <c r="F10752" s="3">
        <v>9</v>
      </c>
      <c r="G10752" t="s">
        <v>512</v>
      </c>
    </row>
    <row r="10753" spans="1:7" x14ac:dyDescent="0.25">
      <c r="A10753" s="1" t="str">
        <f>"519232"</f>
        <v>519232</v>
      </c>
      <c r="B10753" s="2" t="str">
        <f>"FAROL ESQUERDO FORD CARGO 1722"</f>
        <v>FAROL ESQUERDO FORD CARGO 1722</v>
      </c>
      <c r="C10753" s="2" t="str">
        <f t="shared" si="418"/>
        <v>UN</v>
      </c>
      <c r="D10753" s="7">
        <v>704</v>
      </c>
      <c r="E10753" s="3">
        <v>9</v>
      </c>
      <c r="F10753" s="3">
        <v>9</v>
      </c>
      <c r="G10753" t="s">
        <v>516</v>
      </c>
    </row>
    <row r="10754" spans="1:7" x14ac:dyDescent="0.25">
      <c r="A10754" s="1" t="str">
        <f>"519152"</f>
        <v>519152</v>
      </c>
      <c r="B10754" s="2" t="str">
        <f>"FAROL ESQUERDO MB1318"</f>
        <v>FAROL ESQUERDO MB1318</v>
      </c>
      <c r="C10754" s="2" t="str">
        <f t="shared" si="418"/>
        <v>UN</v>
      </c>
      <c r="D10754" s="7">
        <v>704</v>
      </c>
      <c r="E10754" s="3">
        <v>9</v>
      </c>
      <c r="F10754" s="3">
        <v>9</v>
      </c>
      <c r="G10754" t="s">
        <v>515</v>
      </c>
    </row>
    <row r="10755" spans="1:7" x14ac:dyDescent="0.25">
      <c r="A10755" s="1" t="str">
        <f>"504169"</f>
        <v>504169</v>
      </c>
      <c r="B10755" s="2" t="str">
        <f>"FAROL LE COD. 1C45 13006 SBB"</f>
        <v>FAROL LE COD. 1C45 13006 SBB</v>
      </c>
      <c r="C10755" s="2" t="str">
        <f t="shared" si="418"/>
        <v>UN</v>
      </c>
      <c r="D10755" s="7">
        <v>704</v>
      </c>
      <c r="E10755" s="3">
        <v>9</v>
      </c>
      <c r="F10755" s="3">
        <v>9</v>
      </c>
      <c r="G10755" t="s">
        <v>514</v>
      </c>
    </row>
    <row r="10756" spans="1:7" x14ac:dyDescent="0.25">
      <c r="A10756" s="1" t="str">
        <f>"505208"</f>
        <v>505208</v>
      </c>
      <c r="B10756" s="2" t="str">
        <f>"FAROL MILHA"</f>
        <v>FAROL MILHA</v>
      </c>
      <c r="C10756" s="2" t="str">
        <f t="shared" si="418"/>
        <v>UN</v>
      </c>
      <c r="D10756" s="7">
        <v>704</v>
      </c>
      <c r="E10756" s="3">
        <v>9</v>
      </c>
      <c r="F10756" s="3">
        <v>9</v>
      </c>
      <c r="G10756" t="s">
        <v>512</v>
      </c>
    </row>
    <row r="10757" spans="1:7" x14ac:dyDescent="0.25">
      <c r="A10757" s="1" t="str">
        <f>"515305"</f>
        <v>515305</v>
      </c>
      <c r="B10757" s="2" t="str">
        <f>"FATIADEIRA DE MASSA C/ FACAS E MOTOR ELETRICO"</f>
        <v>FATIADEIRA DE MASSA C/ FACAS E MOTOR ELETRICO</v>
      </c>
      <c r="C10757" s="2" t="str">
        <f t="shared" si="418"/>
        <v>UN</v>
      </c>
      <c r="D10757" s="7">
        <v>1300</v>
      </c>
      <c r="E10757" s="3">
        <v>13</v>
      </c>
      <c r="F10757" s="3">
        <v>13</v>
      </c>
      <c r="G10757" t="s">
        <v>513</v>
      </c>
    </row>
    <row r="10758" spans="1:7" x14ac:dyDescent="0.25">
      <c r="A10758" s="1" t="str">
        <f>"516374"</f>
        <v>516374</v>
      </c>
      <c r="B10758" s="2" t="str">
        <f>"FECHADORA DE CAIXA SEMI AUTOMATICA TM606 SI MQ252"</f>
        <v>FECHADORA DE CAIXA SEMI AUTOMATICA TM606 SI MQ252</v>
      </c>
      <c r="C10758" s="2" t="str">
        <f t="shared" si="418"/>
        <v>UN</v>
      </c>
      <c r="D10758" s="7">
        <v>918</v>
      </c>
      <c r="E10758" s="3">
        <v>13</v>
      </c>
      <c r="F10758" s="3">
        <v>13</v>
      </c>
      <c r="G10758" t="s">
        <v>514</v>
      </c>
    </row>
    <row r="10759" spans="1:7" x14ac:dyDescent="0.25">
      <c r="A10759" s="1" t="str">
        <f>"513859"</f>
        <v>513859</v>
      </c>
      <c r="B10759" s="2" t="str">
        <f>"FECHADURA"</f>
        <v>FECHADURA</v>
      </c>
      <c r="C10759" s="2" t="str">
        <f t="shared" ref="C10759:C10794" si="419">"UN"</f>
        <v>UN</v>
      </c>
      <c r="D10759" s="7">
        <v>704</v>
      </c>
      <c r="E10759" s="3">
        <v>9</v>
      </c>
      <c r="F10759" s="3">
        <v>9</v>
      </c>
      <c r="G10759" t="s">
        <v>514</v>
      </c>
    </row>
    <row r="10760" spans="1:7" x14ac:dyDescent="0.25">
      <c r="A10760" s="1" t="str">
        <f>"527037"</f>
        <v>527037</v>
      </c>
      <c r="B10760" s="2" t="str">
        <f>"FECHADURA ALIANÇA 2700 / 71 P/ PORTA DE FERRO"</f>
        <v>FECHADURA ALIANÇA 2700 / 71 P/ PORTA DE FERRO</v>
      </c>
      <c r="C10760" s="2" t="str">
        <f t="shared" si="419"/>
        <v>UN</v>
      </c>
      <c r="D10760" s="7">
        <v>803</v>
      </c>
      <c r="E10760" s="3">
        <v>10</v>
      </c>
      <c r="F10760" s="3">
        <v>10</v>
      </c>
      <c r="G10760" t="s">
        <v>512</v>
      </c>
    </row>
    <row r="10761" spans="1:7" x14ac:dyDescent="0.25">
      <c r="A10761" s="1" t="str">
        <f>"527814"</f>
        <v>527814</v>
      </c>
      <c r="B10761" s="2" t="str">
        <f>"FECHADURA ALIANÇA EXTERNA P/ PORTA DE FERRO"</f>
        <v>FECHADURA ALIANÇA EXTERNA P/ PORTA DE FERRO</v>
      </c>
      <c r="C10761" s="2" t="str">
        <f t="shared" si="419"/>
        <v>UN</v>
      </c>
      <c r="D10761" s="7">
        <v>803</v>
      </c>
      <c r="E10761" s="3">
        <v>10</v>
      </c>
      <c r="F10761" s="3">
        <v>10</v>
      </c>
      <c r="G10761" t="s">
        <v>513</v>
      </c>
    </row>
    <row r="10762" spans="1:7" x14ac:dyDescent="0.25">
      <c r="A10762" s="1" t="str">
        <f>"519898"</f>
        <v>519898</v>
      </c>
      <c r="B10762" s="2" t="str">
        <f>"FECHADURA CABINE"</f>
        <v>FECHADURA CABINE</v>
      </c>
      <c r="C10762" s="2" t="str">
        <f t="shared" si="419"/>
        <v>UN</v>
      </c>
      <c r="D10762" s="7">
        <v>704</v>
      </c>
      <c r="E10762" s="3">
        <v>9</v>
      </c>
      <c r="F10762" s="3">
        <v>9</v>
      </c>
      <c r="G10762" t="s">
        <v>514</v>
      </c>
    </row>
    <row r="10763" spans="1:7" x14ac:dyDescent="0.25">
      <c r="A10763" s="1" t="str">
        <f>"505211"</f>
        <v>505211</v>
      </c>
      <c r="B10763" s="2" t="str">
        <f>"FECHADURA ELETRICA C-90"</f>
        <v>FECHADURA ELETRICA C-90</v>
      </c>
      <c r="C10763" s="2" t="str">
        <f t="shared" si="419"/>
        <v>UN</v>
      </c>
      <c r="D10763" s="7">
        <v>601</v>
      </c>
      <c r="E10763" s="3">
        <v>8</v>
      </c>
      <c r="F10763" s="3">
        <v>8</v>
      </c>
      <c r="G10763" t="s">
        <v>514</v>
      </c>
    </row>
    <row r="10764" spans="1:7" x14ac:dyDescent="0.25">
      <c r="A10764" s="1" t="str">
        <f>"520329"</f>
        <v>520329</v>
      </c>
      <c r="B10764" s="2" t="str">
        <f>"FECHADURA ELETRICA DE SENHA S-717"</f>
        <v>FECHADURA ELETRICA DE SENHA S-717</v>
      </c>
      <c r="C10764" s="2" t="str">
        <f t="shared" si="419"/>
        <v>UN</v>
      </c>
      <c r="D10764" s="7">
        <v>601</v>
      </c>
      <c r="E10764" s="3">
        <v>8</v>
      </c>
      <c r="F10764" s="3">
        <v>8</v>
      </c>
      <c r="G10764" t="s">
        <v>514</v>
      </c>
    </row>
    <row r="10765" spans="1:7" x14ac:dyDescent="0.25">
      <c r="A10765" s="1" t="str">
        <f>"519944"</f>
        <v>519944</v>
      </c>
      <c r="B10765" s="2" t="str">
        <f>"FECHADURA ELETRICA P/ PORTA DE VIDRO PV90"</f>
        <v>FECHADURA ELETRICA P/ PORTA DE VIDRO PV90</v>
      </c>
      <c r="C10765" s="2" t="str">
        <f t="shared" si="419"/>
        <v>UN</v>
      </c>
      <c r="D10765" s="7">
        <v>601</v>
      </c>
      <c r="E10765" s="3">
        <v>8</v>
      </c>
      <c r="F10765" s="3">
        <v>8</v>
      </c>
      <c r="G10765" t="s">
        <v>513</v>
      </c>
    </row>
    <row r="10766" spans="1:7" x14ac:dyDescent="0.25">
      <c r="A10766" s="1" t="str">
        <f>"527694"</f>
        <v>527694</v>
      </c>
      <c r="B10766" s="2" t="str">
        <f>"FECHADURA ELETROIMÃ FE 150 COM KT 740 INOX"</f>
        <v>FECHADURA ELETROIMÃ FE 150 COM KT 740 INOX</v>
      </c>
      <c r="C10766" s="2" t="str">
        <f t="shared" si="419"/>
        <v>UN</v>
      </c>
      <c r="D10766" s="7">
        <v>811</v>
      </c>
      <c r="E10766" s="3">
        <v>10</v>
      </c>
      <c r="F10766" s="3">
        <v>10</v>
      </c>
      <c r="G10766" t="s">
        <v>512</v>
      </c>
    </row>
    <row r="10767" spans="1:7" x14ac:dyDescent="0.25">
      <c r="A10767" s="1" t="str">
        <f>"503530"</f>
        <v>503530</v>
      </c>
      <c r="B10767" s="2" t="str">
        <f>"FECHADURA MARCA SPAM MODELO 803"</f>
        <v>FECHADURA MARCA SPAM MODELO 803</v>
      </c>
      <c r="C10767" s="2" t="str">
        <f t="shared" si="419"/>
        <v>UN</v>
      </c>
      <c r="D10767" s="7">
        <v>403</v>
      </c>
      <c r="E10767" s="3">
        <v>4</v>
      </c>
      <c r="F10767" s="3">
        <v>4</v>
      </c>
      <c r="G10767" t="s">
        <v>513</v>
      </c>
    </row>
    <row r="10768" spans="1:7" x14ac:dyDescent="0.25">
      <c r="A10768" s="1" t="str">
        <f>"503529"</f>
        <v>503529</v>
      </c>
      <c r="B10768" s="2" t="str">
        <f>"FECHADURA MARCA SPAM MODELO 823"</f>
        <v>FECHADURA MARCA SPAM MODELO 823</v>
      </c>
      <c r="C10768" s="2" t="str">
        <f t="shared" si="419"/>
        <v>UN</v>
      </c>
      <c r="D10768" s="7">
        <v>403</v>
      </c>
      <c r="E10768" s="3">
        <v>4</v>
      </c>
      <c r="F10768" s="3">
        <v>4</v>
      </c>
      <c r="G10768" t="s">
        <v>514</v>
      </c>
    </row>
    <row r="10769" spans="1:7" x14ac:dyDescent="0.25">
      <c r="A10769" s="1" t="str">
        <f>"516023"</f>
        <v>516023</v>
      </c>
      <c r="B10769" s="2" t="str">
        <f>"FECHADURA MARCA STAN CONVENCIONAL"</f>
        <v>FECHADURA MARCA STAN CONVENCIONAL</v>
      </c>
      <c r="C10769" s="2" t="str">
        <f t="shared" si="419"/>
        <v>UN</v>
      </c>
      <c r="D10769" s="7">
        <v>99999</v>
      </c>
      <c r="E10769" s="3">
        <v>99</v>
      </c>
      <c r="F10769" s="3">
        <v>99</v>
      </c>
      <c r="G10769" t="s">
        <v>514</v>
      </c>
    </row>
    <row r="10770" spans="1:7" x14ac:dyDescent="0.25">
      <c r="A10770" s="1" t="str">
        <f>"523699"</f>
        <v>523699</v>
      </c>
      <c r="B10770" s="2" t="str">
        <f>"FECHADURA MARCA STAN P/ PORTA DE CORRER"</f>
        <v>FECHADURA MARCA STAN P/ PORTA DE CORRER</v>
      </c>
      <c r="C10770" s="2" t="str">
        <f t="shared" si="419"/>
        <v>UN</v>
      </c>
      <c r="D10770" s="7">
        <v>99999</v>
      </c>
      <c r="E10770" s="3">
        <v>99</v>
      </c>
      <c r="F10770" s="3">
        <v>99</v>
      </c>
      <c r="G10770" t="s">
        <v>514</v>
      </c>
    </row>
    <row r="10771" spans="1:7" x14ac:dyDescent="0.25">
      <c r="A10771" s="1" t="str">
        <f>"527572"</f>
        <v>527572</v>
      </c>
      <c r="B10771" s="2" t="str">
        <f>"FECHADURA P/ BANHEIRRO ALIANÇA 2800 / 71 WC"</f>
        <v>FECHADURA P/ BANHEIRRO ALIANÇA 2800 / 71 WC</v>
      </c>
      <c r="C10771" s="2" t="str">
        <f t="shared" si="419"/>
        <v>UN</v>
      </c>
      <c r="D10771" s="7">
        <v>917</v>
      </c>
      <c r="E10771" s="3">
        <v>10</v>
      </c>
      <c r="F10771" s="3">
        <v>10</v>
      </c>
      <c r="G10771" t="s">
        <v>513</v>
      </c>
    </row>
    <row r="10772" spans="1:7" x14ac:dyDescent="0.25">
      <c r="A10772" s="1" t="str">
        <f>"504910"</f>
        <v>504910</v>
      </c>
      <c r="B10772" s="2" t="str">
        <f>"FECHADURA PAPAIZ 04"</f>
        <v>FECHADURA PAPAIZ 04</v>
      </c>
      <c r="C10772" s="2" t="str">
        <f t="shared" si="419"/>
        <v>UN</v>
      </c>
      <c r="D10772" s="7">
        <v>803</v>
      </c>
      <c r="E10772" s="3">
        <v>10</v>
      </c>
      <c r="F10772" s="3">
        <v>10</v>
      </c>
      <c r="G10772" t="s">
        <v>513</v>
      </c>
    </row>
    <row r="10773" spans="1:7" x14ac:dyDescent="0.25">
      <c r="A10773" s="1" t="str">
        <f>"527899"</f>
        <v>527899</v>
      </c>
      <c r="B10773" s="2" t="str">
        <f>"FECHADURA PORTA DIANT GOL LE 043397-9"</f>
        <v>FECHADURA PORTA DIANT GOL LE 043397-9</v>
      </c>
      <c r="C10773" s="2" t="str">
        <f t="shared" si="419"/>
        <v>UN</v>
      </c>
      <c r="D10773" s="7">
        <v>918</v>
      </c>
      <c r="E10773" s="3">
        <v>11</v>
      </c>
      <c r="F10773" s="3">
        <v>11</v>
      </c>
      <c r="G10773" t="s">
        <v>513</v>
      </c>
    </row>
    <row r="10774" spans="1:7" x14ac:dyDescent="0.25">
      <c r="A10774" s="1" t="str">
        <f>"527196"</f>
        <v>527196</v>
      </c>
      <c r="B10774" s="2" t="str">
        <f>"FECHADURA PORTA DIANT GOL PAR 20588"</f>
        <v>FECHADURA PORTA DIANT GOL PAR 20588</v>
      </c>
      <c r="C10774" s="2" t="str">
        <f t="shared" si="419"/>
        <v>UN</v>
      </c>
      <c r="D10774" s="7">
        <v>918</v>
      </c>
      <c r="E10774" s="3">
        <v>11</v>
      </c>
      <c r="F10774" s="3">
        <v>11</v>
      </c>
      <c r="G10774" t="s">
        <v>512</v>
      </c>
    </row>
    <row r="10775" spans="1:7" x14ac:dyDescent="0.25">
      <c r="A10775" s="1" t="str">
        <f>"527195"</f>
        <v>527195</v>
      </c>
      <c r="B10775" s="2" t="str">
        <f>"FECHADURA PORTA DT LE MEC PREDISP"</f>
        <v>FECHADURA PORTA DT LE MEC PREDISP</v>
      </c>
      <c r="C10775" s="2" t="str">
        <f t="shared" si="419"/>
        <v>UN</v>
      </c>
      <c r="D10775" s="7">
        <v>918</v>
      </c>
      <c r="E10775" s="3">
        <v>11</v>
      </c>
      <c r="F10775" s="3">
        <v>11</v>
      </c>
      <c r="G10775" t="s">
        <v>513</v>
      </c>
    </row>
    <row r="10776" spans="1:7" x14ac:dyDescent="0.25">
      <c r="A10776" s="1" t="str">
        <f>"519945"</f>
        <v>519945</v>
      </c>
      <c r="B10776" s="2" t="str">
        <f>"FECHADURA TEK AA EXTERNA - HAGA"</f>
        <v>FECHADURA TEK AA EXTERNA - HAGA</v>
      </c>
      <c r="C10776" s="2" t="str">
        <f t="shared" si="419"/>
        <v>UN</v>
      </c>
      <c r="D10776" s="7">
        <v>601</v>
      </c>
      <c r="E10776" s="3">
        <v>8</v>
      </c>
      <c r="F10776" s="3">
        <v>8</v>
      </c>
      <c r="G10776" t="s">
        <v>514</v>
      </c>
    </row>
    <row r="10777" spans="1:7" x14ac:dyDescent="0.25">
      <c r="A10777" s="1" t="str">
        <f>"515962"</f>
        <v>515962</v>
      </c>
      <c r="B10777" s="2" t="str">
        <f>"FECHAMENTO BASE PROLONGADOR"</f>
        <v>FECHAMENTO BASE PROLONGADOR</v>
      </c>
      <c r="C10777" s="2" t="str">
        <f t="shared" si="419"/>
        <v>UN</v>
      </c>
      <c r="D10777" s="7">
        <v>99999</v>
      </c>
      <c r="E10777" s="3">
        <v>99</v>
      </c>
      <c r="F10777" s="3">
        <v>99</v>
      </c>
      <c r="G10777" t="s">
        <v>515</v>
      </c>
    </row>
    <row r="10778" spans="1:7" x14ac:dyDescent="0.25">
      <c r="A10778" s="1" t="str">
        <f>"526074"</f>
        <v>526074</v>
      </c>
      <c r="B10778" s="2" t="str">
        <f>"FECHAMENTO LATERAL MADERIA REVEST. LAMINADO 1,6MM X 15CM"</f>
        <v>FECHAMENTO LATERAL MADERIA REVEST. LAMINADO 1,6MM X 15CM</v>
      </c>
      <c r="C10778" s="2" t="str">
        <f t="shared" si="419"/>
        <v>UN</v>
      </c>
      <c r="D10778" s="7">
        <v>917</v>
      </c>
      <c r="E10778" s="3">
        <v>10</v>
      </c>
      <c r="F10778" s="3">
        <v>10</v>
      </c>
      <c r="G10778" t="s">
        <v>512</v>
      </c>
    </row>
    <row r="10779" spans="1:7" x14ac:dyDescent="0.25">
      <c r="A10779" s="1" t="str">
        <f>"526076"</f>
        <v>526076</v>
      </c>
      <c r="B10779" s="2" t="str">
        <f>"FECHAMENTO LATERAL MADERIA REVEST. LAMINADO 1,6MM X 30CM"</f>
        <v>FECHAMENTO LATERAL MADERIA REVEST. LAMINADO 1,6MM X 30CM</v>
      </c>
      <c r="C10779" s="2" t="str">
        <f t="shared" si="419"/>
        <v>UN</v>
      </c>
      <c r="D10779" s="7">
        <v>917</v>
      </c>
      <c r="E10779" s="3">
        <v>10</v>
      </c>
      <c r="F10779" s="3">
        <v>10</v>
      </c>
      <c r="G10779" t="s">
        <v>516</v>
      </c>
    </row>
    <row r="10780" spans="1:7" x14ac:dyDescent="0.25">
      <c r="A10780" s="1" t="str">
        <f>"527978"</f>
        <v>527978</v>
      </c>
      <c r="B10780" s="2" t="str">
        <f>"FECHAMENTO ROTULADORA"</f>
        <v>FECHAMENTO ROTULADORA</v>
      </c>
      <c r="C10780" s="2" t="str">
        <f t="shared" si="419"/>
        <v>UN</v>
      </c>
      <c r="D10780" s="7">
        <v>812</v>
      </c>
      <c r="E10780" s="3">
        <v>11</v>
      </c>
      <c r="F10780" s="3">
        <v>11</v>
      </c>
      <c r="G10780" t="s">
        <v>515</v>
      </c>
    </row>
    <row r="10781" spans="1:7" x14ac:dyDescent="0.25">
      <c r="A10781" s="1" t="str">
        <f>"518942"</f>
        <v>518942</v>
      </c>
      <c r="B10781" s="2" t="str">
        <f>"FECHO  CINTO SEGURANÇA UNIVERSAL"</f>
        <v>FECHO  CINTO SEGURANÇA UNIVERSAL</v>
      </c>
      <c r="C10781" s="2" t="str">
        <f t="shared" si="419"/>
        <v>UN</v>
      </c>
      <c r="D10781" s="7">
        <v>704</v>
      </c>
      <c r="E10781" s="3">
        <v>9</v>
      </c>
      <c r="F10781" s="3">
        <v>9</v>
      </c>
      <c r="G10781" t="s">
        <v>514</v>
      </c>
    </row>
    <row r="10782" spans="1:7" x14ac:dyDescent="0.25">
      <c r="A10782" s="1" t="str">
        <f>"518056"</f>
        <v>518056</v>
      </c>
      <c r="B10782" s="2" t="str">
        <f>"FECHO C/ LINGUETA PROTEÇÃO P/ CADEADO TASCO 286532P"</f>
        <v>FECHO C/ LINGUETA PROTEÇÃO P/ CADEADO TASCO 286532P</v>
      </c>
      <c r="C10782" s="2" t="str">
        <f t="shared" si="419"/>
        <v>UN</v>
      </c>
      <c r="D10782" s="7">
        <v>918</v>
      </c>
      <c r="E10782" s="3">
        <v>10</v>
      </c>
      <c r="F10782" s="3">
        <v>10</v>
      </c>
      <c r="G10782" t="s">
        <v>512</v>
      </c>
    </row>
    <row r="10783" spans="1:7" x14ac:dyDescent="0.25">
      <c r="A10783" s="1" t="str">
        <f>"519742"</f>
        <v>519742</v>
      </c>
      <c r="B10783" s="8" t="s">
        <v>114</v>
      </c>
      <c r="C10783" s="2" t="str">
        <f t="shared" si="419"/>
        <v>UN</v>
      </c>
      <c r="D10783" s="7">
        <v>918</v>
      </c>
      <c r="E10783" s="3">
        <v>10</v>
      </c>
      <c r="F10783" s="3">
        <v>10</v>
      </c>
      <c r="G10783" t="s">
        <v>513</v>
      </c>
    </row>
    <row r="10784" spans="1:7" x14ac:dyDescent="0.25">
      <c r="A10784" s="1" t="str">
        <f>"517943"</f>
        <v>517943</v>
      </c>
      <c r="B10784" s="2" t="str">
        <f>"FECHO C/ MOLA POLIAM 5301 ASTERBELT"</f>
        <v>FECHO C/ MOLA POLIAM 5301 ASTERBELT</v>
      </c>
      <c r="C10784" s="2" t="str">
        <f t="shared" si="419"/>
        <v>UN</v>
      </c>
      <c r="D10784" s="7">
        <v>918</v>
      </c>
      <c r="E10784" s="3">
        <v>11</v>
      </c>
      <c r="F10784" s="3">
        <v>11</v>
      </c>
      <c r="G10784" t="s">
        <v>514</v>
      </c>
    </row>
    <row r="10785" spans="1:7" x14ac:dyDescent="0.25">
      <c r="A10785" s="1" t="str">
        <f>"518605"</f>
        <v>518605</v>
      </c>
      <c r="B10785" s="2" t="str">
        <f>"FECHO CHATO 2"</f>
        <v>FECHO CHATO 2</v>
      </c>
      <c r="C10785" s="2" t="str">
        <f t="shared" si="419"/>
        <v>UN</v>
      </c>
      <c r="D10785" s="7">
        <v>1700</v>
      </c>
      <c r="E10785" s="3">
        <v>10</v>
      </c>
      <c r="F10785" s="3">
        <v>10</v>
      </c>
      <c r="G10785" t="s">
        <v>514</v>
      </c>
    </row>
    <row r="10786" spans="1:7" x14ac:dyDescent="0.25">
      <c r="A10786" s="1" t="str">
        <f>"517192"</f>
        <v>517192</v>
      </c>
      <c r="B10786" s="2" t="str">
        <f>"FECHO CREMONA C/ LINGUA MAÇANETA ESC. EM ZK 20MM FENDA 21580"</f>
        <v>FECHO CREMONA C/ LINGUA MAÇANETA ESC. EM ZK 20MM FENDA 21580</v>
      </c>
      <c r="C10786" s="2" t="str">
        <f t="shared" si="419"/>
        <v>UN</v>
      </c>
      <c r="D10786" s="7">
        <v>811</v>
      </c>
      <c r="E10786" s="3">
        <v>4</v>
      </c>
      <c r="F10786" s="3">
        <v>4</v>
      </c>
      <c r="G10786" t="s">
        <v>512</v>
      </c>
    </row>
    <row r="10787" spans="1:7" x14ac:dyDescent="0.25">
      <c r="A10787" s="1" t="str">
        <f>"509335"</f>
        <v>509335</v>
      </c>
      <c r="B10787" s="2" t="str">
        <f>"FECHO ELETRICO HDL"</f>
        <v>FECHO ELETRICO HDL</v>
      </c>
      <c r="C10787" s="2" t="str">
        <f t="shared" si="419"/>
        <v>UN</v>
      </c>
      <c r="D10787" s="7">
        <v>601</v>
      </c>
      <c r="E10787" s="3">
        <v>8</v>
      </c>
      <c r="F10787" s="3">
        <v>8</v>
      </c>
      <c r="G10787" t="s">
        <v>513</v>
      </c>
    </row>
    <row r="10788" spans="1:7" x14ac:dyDescent="0.25">
      <c r="A10788" s="1" t="str">
        <f>"508806"</f>
        <v>508806</v>
      </c>
      <c r="B10788" s="2" t="str">
        <f>"FECHO EXTERNO TRASEIRO SR - GAZOLA"</f>
        <v>FECHO EXTERNO TRASEIRO SR - GAZOLA</v>
      </c>
      <c r="C10788" s="2" t="str">
        <f t="shared" si="419"/>
        <v>UN</v>
      </c>
      <c r="D10788" s="7">
        <v>803</v>
      </c>
      <c r="E10788" s="3">
        <v>10</v>
      </c>
      <c r="F10788" s="3">
        <v>10</v>
      </c>
      <c r="G10788" t="s">
        <v>514</v>
      </c>
    </row>
    <row r="10789" spans="1:7" x14ac:dyDescent="0.25">
      <c r="A10789" s="1" t="str">
        <f>"510943"</f>
        <v>510943</v>
      </c>
      <c r="B10789" s="2" t="str">
        <f>"FECHO LING. CLICK C/ TRAVA 30MM"</f>
        <v>FECHO LING. CLICK C/ TRAVA 30MM</v>
      </c>
      <c r="C10789" s="2" t="str">
        <f t="shared" si="419"/>
        <v>UN</v>
      </c>
      <c r="D10789" s="7">
        <v>402</v>
      </c>
      <c r="E10789" s="3">
        <v>4</v>
      </c>
      <c r="F10789" s="3">
        <v>4</v>
      </c>
      <c r="G10789" t="s">
        <v>514</v>
      </c>
    </row>
    <row r="10790" spans="1:7" x14ac:dyDescent="0.25">
      <c r="A10790" s="1" t="str">
        <f>"519463"</f>
        <v>519463</v>
      </c>
      <c r="B10790" s="2" t="str">
        <f>"FECHO MAGNETICO 0/0/0"</f>
        <v>FECHO MAGNETICO 0/0/0</v>
      </c>
      <c r="C10790" s="2" t="str">
        <f t="shared" si="419"/>
        <v>UN</v>
      </c>
      <c r="D10790" s="7">
        <v>918</v>
      </c>
      <c r="E10790" s="3">
        <v>11</v>
      </c>
      <c r="F10790" s="3">
        <v>11</v>
      </c>
      <c r="G10790" t="s">
        <v>514</v>
      </c>
    </row>
    <row r="10791" spans="1:7" x14ac:dyDescent="0.25">
      <c r="A10791" s="1" t="str">
        <f>"519721"</f>
        <v>519721</v>
      </c>
      <c r="B10791" s="2" t="str">
        <f>"FECHO MEC. PORTA CAVALINHO IVECO SRTRALLIS"</f>
        <v>FECHO MEC. PORTA CAVALINHO IVECO SRTRALLIS</v>
      </c>
      <c r="C10791" s="2" t="str">
        <f t="shared" si="419"/>
        <v>UN</v>
      </c>
      <c r="D10791" s="7">
        <v>99999</v>
      </c>
      <c r="E10791" s="3">
        <v>99</v>
      </c>
      <c r="F10791" s="3">
        <v>99</v>
      </c>
      <c r="G10791" t="s">
        <v>513</v>
      </c>
    </row>
    <row r="10792" spans="1:7" x14ac:dyDescent="0.25">
      <c r="A10792" s="1" t="str">
        <f>"500588"</f>
        <v>500588</v>
      </c>
      <c r="B10792" s="2" t="str">
        <f>"FECHO P/ CADEADO N. 04"</f>
        <v>FECHO P/ CADEADO N. 04</v>
      </c>
      <c r="C10792" s="2" t="str">
        <f t="shared" si="419"/>
        <v>UN</v>
      </c>
      <c r="D10792" s="7">
        <v>403</v>
      </c>
      <c r="E10792" s="3">
        <v>4</v>
      </c>
      <c r="F10792" s="3">
        <v>4</v>
      </c>
      <c r="G10792" t="s">
        <v>512</v>
      </c>
    </row>
    <row r="10793" spans="1:7" x14ac:dyDescent="0.25">
      <c r="A10793" s="1" t="str">
        <f>"517858"</f>
        <v>517858</v>
      </c>
      <c r="B10793" s="2" t="str">
        <f>"FECHO P/ TORNEIRA AMOSTRA 304 EPDM"</f>
        <v>FECHO P/ TORNEIRA AMOSTRA 304 EPDM</v>
      </c>
      <c r="C10793" s="2" t="str">
        <f t="shared" si="419"/>
        <v>UN</v>
      </c>
      <c r="D10793" s="7">
        <v>915</v>
      </c>
      <c r="E10793" s="3">
        <v>10</v>
      </c>
      <c r="F10793" s="3">
        <v>10</v>
      </c>
      <c r="G10793" t="s">
        <v>513</v>
      </c>
    </row>
    <row r="10794" spans="1:7" x14ac:dyDescent="0.25">
      <c r="A10794" s="1" t="str">
        <f>"505480"</f>
        <v>505480</v>
      </c>
      <c r="B10794" s="2" t="str">
        <f>"FECHO P/ V.B 2"" INOX 304"</f>
        <v>FECHO P/ V.B 2" INOX 304</v>
      </c>
      <c r="C10794" s="2" t="str">
        <f t="shared" si="419"/>
        <v>UN</v>
      </c>
      <c r="D10794" s="7">
        <v>915</v>
      </c>
      <c r="E10794" s="3">
        <v>10</v>
      </c>
      <c r="F10794" s="3">
        <v>10</v>
      </c>
      <c r="G10794" t="s">
        <v>514</v>
      </c>
    </row>
    <row r="10795" spans="1:7" x14ac:dyDescent="0.25">
      <c r="A10795" s="1" t="str">
        <f>"505112"</f>
        <v>505112</v>
      </c>
      <c r="B10795" s="2" t="str">
        <f>"FECHO P/ VALVULA BORBOLETA 304 DE 2"""</f>
        <v>FECHO P/ VALVULA BORBOLETA 304 DE 2"</v>
      </c>
      <c r="C10795" s="2" t="str">
        <f>"BR"</f>
        <v>BR</v>
      </c>
      <c r="D10795" s="7">
        <v>807</v>
      </c>
      <c r="E10795" s="3">
        <v>10</v>
      </c>
      <c r="F10795" s="3">
        <v>10</v>
      </c>
      <c r="G10795" t="s">
        <v>514</v>
      </c>
    </row>
    <row r="10796" spans="1:7" x14ac:dyDescent="0.25">
      <c r="A10796" s="1" t="str">
        <f>"527375"</f>
        <v>527375</v>
      </c>
      <c r="B10796" s="8" t="s">
        <v>500</v>
      </c>
      <c r="C10796" s="2" t="str">
        <f t="shared" ref="C10796:C10801" si="420">"UN"</f>
        <v>UN</v>
      </c>
      <c r="D10796" s="7">
        <v>99999</v>
      </c>
      <c r="E10796" s="3">
        <v>99</v>
      </c>
      <c r="F10796" s="3">
        <v>99</v>
      </c>
      <c r="G10796" t="s">
        <v>514</v>
      </c>
    </row>
    <row r="10797" spans="1:7" x14ac:dyDescent="0.25">
      <c r="A10797" s="1" t="str">
        <f>"504482"</f>
        <v>504482</v>
      </c>
      <c r="B10797" s="2" t="str">
        <f>"FECHO ROLETE NIQUELADO"</f>
        <v>FECHO ROLETE NIQUELADO</v>
      </c>
      <c r="C10797" s="2" t="str">
        <f t="shared" si="420"/>
        <v>UN</v>
      </c>
      <c r="D10797" s="7">
        <v>918</v>
      </c>
      <c r="E10797" s="3">
        <v>11</v>
      </c>
      <c r="F10797" s="3">
        <v>11</v>
      </c>
      <c r="G10797" t="s">
        <v>513</v>
      </c>
    </row>
    <row r="10798" spans="1:7" x14ac:dyDescent="0.25">
      <c r="A10798" s="1" t="str">
        <f>"504579"</f>
        <v>504579</v>
      </c>
      <c r="B10798" s="2" t="str">
        <f>"FECHO VENTAROLA EGHZ-6022917/A"</f>
        <v>FECHO VENTAROLA EGHZ-6022917/A</v>
      </c>
      <c r="C10798" s="2" t="str">
        <f t="shared" si="420"/>
        <v>UN</v>
      </c>
      <c r="D10798" s="7">
        <v>704</v>
      </c>
      <c r="E10798" s="3">
        <v>9</v>
      </c>
      <c r="F10798" s="3">
        <v>9</v>
      </c>
      <c r="G10798" t="s">
        <v>513</v>
      </c>
    </row>
    <row r="10799" spans="1:7" x14ac:dyDescent="0.25">
      <c r="A10799" s="1" t="str">
        <f>"514602"</f>
        <v>514602</v>
      </c>
      <c r="B10799" s="2" t="str">
        <f>"FEIJAO DONA IZAURA"</f>
        <v>FEIJAO DONA IZAURA</v>
      </c>
      <c r="C10799" s="2" t="str">
        <f t="shared" si="420"/>
        <v>UN</v>
      </c>
      <c r="D10799" s="7">
        <v>401</v>
      </c>
      <c r="E10799" s="3">
        <v>4</v>
      </c>
      <c r="F10799" s="3">
        <v>4</v>
      </c>
      <c r="G10799" t="s">
        <v>513</v>
      </c>
    </row>
    <row r="10800" spans="1:7" x14ac:dyDescent="0.25">
      <c r="A10800" s="1" t="str">
        <f>"514694"</f>
        <v>514694</v>
      </c>
      <c r="B10800" s="2" t="str">
        <f>"FEIJAO GAMADINHO"</f>
        <v>FEIJAO GAMADINHO</v>
      </c>
      <c r="C10800" s="2" t="str">
        <f t="shared" si="420"/>
        <v>UN</v>
      </c>
      <c r="D10800" s="7">
        <v>401</v>
      </c>
      <c r="E10800" s="3">
        <v>4</v>
      </c>
      <c r="F10800" s="3">
        <v>4</v>
      </c>
      <c r="G10800" t="s">
        <v>512</v>
      </c>
    </row>
    <row r="10801" spans="1:7" x14ac:dyDescent="0.25">
      <c r="A10801" s="1" t="str">
        <f>"514761"</f>
        <v>514761</v>
      </c>
      <c r="B10801" s="2" t="str">
        <f>"FELTRO CALFINO 11 X 20"</f>
        <v>FELTRO CALFINO 11 X 20</v>
      </c>
      <c r="C10801" s="2" t="str">
        <f t="shared" si="420"/>
        <v>UN</v>
      </c>
      <c r="D10801" s="7">
        <v>403</v>
      </c>
      <c r="E10801" s="3">
        <v>4</v>
      </c>
      <c r="F10801" s="3">
        <v>4</v>
      </c>
      <c r="G10801" t="s">
        <v>513</v>
      </c>
    </row>
    <row r="10802" spans="1:7" x14ac:dyDescent="0.25">
      <c r="A10802" s="1" t="str">
        <f>"509806"</f>
        <v>509806</v>
      </c>
      <c r="B10802" s="2" t="str">
        <f>"FELTRO DE 20X50CM PARA ISOLAR TANQUE"</f>
        <v>FELTRO DE 20X50CM PARA ISOLAR TANQUE</v>
      </c>
      <c r="C10802" s="2" t="str">
        <f>"BR"</f>
        <v>BR</v>
      </c>
      <c r="D10802" s="7">
        <v>807</v>
      </c>
      <c r="E10802" s="3">
        <v>10</v>
      </c>
      <c r="F10802" s="3">
        <v>10</v>
      </c>
      <c r="G10802" t="s">
        <v>514</v>
      </c>
    </row>
    <row r="10803" spans="1:7" x14ac:dyDescent="0.25">
      <c r="A10803" s="1" t="str">
        <f>"501760"</f>
        <v>501760</v>
      </c>
      <c r="B10803" s="2" t="str">
        <f>"FEMEA GIRATORIA"</f>
        <v>FEMEA GIRATORIA</v>
      </c>
      <c r="C10803" s="2" t="str">
        <f t="shared" ref="C10803:C10819" si="421">"UN"</f>
        <v>UN</v>
      </c>
      <c r="D10803" s="7">
        <v>704</v>
      </c>
      <c r="E10803" s="3">
        <v>9</v>
      </c>
      <c r="F10803" s="3">
        <v>9</v>
      </c>
      <c r="G10803" t="s">
        <v>515</v>
      </c>
    </row>
    <row r="10804" spans="1:7" x14ac:dyDescent="0.25">
      <c r="A10804" s="1" t="str">
        <f>"515035"</f>
        <v>515035</v>
      </c>
      <c r="B10804" s="2" t="str">
        <f>"FENAFLAN 50MG"</f>
        <v>FENAFLAN 50MG</v>
      </c>
      <c r="C10804" s="2" t="str">
        <f t="shared" si="421"/>
        <v>UN</v>
      </c>
      <c r="D10804" s="7">
        <v>406</v>
      </c>
      <c r="E10804" s="3">
        <v>4</v>
      </c>
      <c r="F10804" s="3">
        <v>4</v>
      </c>
      <c r="G10804" t="s">
        <v>512</v>
      </c>
    </row>
    <row r="10805" spans="1:7" x14ac:dyDescent="0.25">
      <c r="A10805" s="1" t="str">
        <f>"514283"</f>
        <v>514283</v>
      </c>
      <c r="B10805" s="2" t="str">
        <f>"FENOLFETALEINA 1%"</f>
        <v>FENOLFETALEINA 1%</v>
      </c>
      <c r="C10805" s="2" t="str">
        <f t="shared" si="421"/>
        <v>UN</v>
      </c>
      <c r="D10805" s="7">
        <v>406</v>
      </c>
      <c r="E10805" s="3">
        <v>4</v>
      </c>
      <c r="F10805" s="3">
        <v>4</v>
      </c>
      <c r="G10805" t="s">
        <v>516</v>
      </c>
    </row>
    <row r="10806" spans="1:7" x14ac:dyDescent="0.25">
      <c r="A10806" s="1" t="str">
        <f>"3308"</f>
        <v>3308</v>
      </c>
      <c r="B10806" s="2" t="str">
        <f>"FERMENTO (UNID.) 10UC LYOFAST Y 4.50 B"</f>
        <v>FERMENTO (UNID.) 10UC LYOFAST Y 4.50 B</v>
      </c>
      <c r="C10806" s="2" t="str">
        <f t="shared" si="421"/>
        <v>UN</v>
      </c>
      <c r="D10806" s="7">
        <v>218</v>
      </c>
      <c r="E10806" s="3">
        <v>2</v>
      </c>
      <c r="F10806" s="3">
        <v>2</v>
      </c>
      <c r="G10806" t="s">
        <v>515</v>
      </c>
    </row>
    <row r="10807" spans="1:7" x14ac:dyDescent="0.25">
      <c r="A10807" s="1" t="str">
        <f>"6047"</f>
        <v>6047</v>
      </c>
      <c r="B10807" s="2" t="str">
        <f>"FERMENTO 30UC LYOFAST Y.4.50 B"</f>
        <v>FERMENTO 30UC LYOFAST Y.4.50 B</v>
      </c>
      <c r="C10807" s="2" t="str">
        <f t="shared" si="421"/>
        <v>UN</v>
      </c>
      <c r="D10807" s="7">
        <v>218</v>
      </c>
      <c r="E10807" s="3">
        <v>2</v>
      </c>
      <c r="F10807" s="3">
        <v>2</v>
      </c>
      <c r="G10807" t="s">
        <v>514</v>
      </c>
    </row>
    <row r="10808" spans="1:7" x14ac:dyDescent="0.25">
      <c r="A10808" s="1" t="str">
        <f>"515767"</f>
        <v>515767</v>
      </c>
      <c r="B10808" s="2" t="str">
        <f>"FERMENTO 50UC LYOFAST Y.4.50 B"</f>
        <v>FERMENTO 50UC LYOFAST Y.4.50 B</v>
      </c>
      <c r="C10808" s="2" t="str">
        <f t="shared" si="421"/>
        <v>UN</v>
      </c>
      <c r="D10808" s="7">
        <v>218</v>
      </c>
      <c r="E10808" s="3">
        <v>2</v>
      </c>
      <c r="F10808" s="3">
        <v>2</v>
      </c>
      <c r="G10808" t="s">
        <v>512</v>
      </c>
    </row>
    <row r="10809" spans="1:7" x14ac:dyDescent="0.25">
      <c r="A10809" s="1" t="str">
        <f>"5988"</f>
        <v>5988</v>
      </c>
      <c r="B10809" s="2" t="str">
        <f>"FERMENTO 5UC LYOFAST Y.4.50 B"</f>
        <v>FERMENTO 5UC LYOFAST Y.4.50 B</v>
      </c>
      <c r="C10809" s="2" t="str">
        <f t="shared" si="421"/>
        <v>UN</v>
      </c>
      <c r="D10809" s="7">
        <v>218</v>
      </c>
      <c r="E10809" s="3">
        <v>2</v>
      </c>
      <c r="F10809" s="3">
        <v>2</v>
      </c>
      <c r="G10809" t="s">
        <v>513</v>
      </c>
    </row>
    <row r="10810" spans="1:7" x14ac:dyDescent="0.25">
      <c r="A10810" s="1" t="str">
        <f>"2058"</f>
        <v>2058</v>
      </c>
      <c r="B10810" s="2" t="str">
        <f>"FERMENTO 703 - 500 U"</f>
        <v>FERMENTO 703 - 500 U</v>
      </c>
      <c r="C10810" s="2" t="str">
        <f t="shared" si="421"/>
        <v>UN</v>
      </c>
      <c r="D10810" s="7">
        <v>218</v>
      </c>
      <c r="E10810" s="3">
        <v>2</v>
      </c>
      <c r="F10810" s="3">
        <v>2</v>
      </c>
      <c r="G10810" t="s">
        <v>514</v>
      </c>
    </row>
    <row r="10811" spans="1:7" x14ac:dyDescent="0.25">
      <c r="A10811" s="1" t="str">
        <f>"317"</f>
        <v>317</v>
      </c>
      <c r="B10811" s="2" t="str">
        <f>"FERMENTO 704 - 50 U"</f>
        <v>FERMENTO 704 - 50 U</v>
      </c>
      <c r="C10811" s="2" t="str">
        <f t="shared" si="421"/>
        <v>UN</v>
      </c>
      <c r="D10811" s="7">
        <v>218</v>
      </c>
      <c r="E10811" s="3">
        <v>2</v>
      </c>
      <c r="F10811" s="3">
        <v>2</v>
      </c>
      <c r="G10811" t="s">
        <v>514</v>
      </c>
    </row>
    <row r="10812" spans="1:7" x14ac:dyDescent="0.25">
      <c r="A10812" s="1" t="str">
        <f>"524"</f>
        <v>524</v>
      </c>
      <c r="B10812" s="2" t="str">
        <f>"FERMENTO 704 - 500 U"</f>
        <v>FERMENTO 704 - 500 U</v>
      </c>
      <c r="C10812" s="2" t="str">
        <f t="shared" si="421"/>
        <v>UN</v>
      </c>
      <c r="D10812" s="7">
        <v>218</v>
      </c>
      <c r="E10812" s="3">
        <v>2</v>
      </c>
      <c r="F10812" s="3">
        <v>2</v>
      </c>
      <c r="G10812" t="s">
        <v>512</v>
      </c>
    </row>
    <row r="10813" spans="1:7" x14ac:dyDescent="0.25">
      <c r="A10813" s="1" t="str">
        <f>"6787"</f>
        <v>6787</v>
      </c>
      <c r="B10813" s="2" t="str">
        <f>"FERMENTO 707 - 500U"</f>
        <v>FERMENTO 707 - 500U</v>
      </c>
      <c r="C10813" s="2" t="str">
        <f t="shared" si="421"/>
        <v>UN</v>
      </c>
      <c r="D10813" s="7">
        <v>218</v>
      </c>
      <c r="E10813" s="3">
        <v>2</v>
      </c>
      <c r="F10813" s="3">
        <v>2</v>
      </c>
      <c r="G10813" t="s">
        <v>513</v>
      </c>
    </row>
    <row r="10814" spans="1:7" x14ac:dyDescent="0.25">
      <c r="A10814" s="1" t="str">
        <f>"5990"</f>
        <v>5990</v>
      </c>
      <c r="B10814" s="2" t="str">
        <f>"FERMENTO BIOLACT M01 ENVELOPE 100U"</f>
        <v>FERMENTO BIOLACT M01 ENVELOPE 100U</v>
      </c>
      <c r="C10814" s="2" t="str">
        <f t="shared" si="421"/>
        <v>UN</v>
      </c>
      <c r="D10814" s="7">
        <v>218</v>
      </c>
      <c r="E10814" s="3">
        <v>2</v>
      </c>
      <c r="F10814" s="3">
        <v>2</v>
      </c>
      <c r="G10814" t="s">
        <v>514</v>
      </c>
    </row>
    <row r="10815" spans="1:7" x14ac:dyDescent="0.25">
      <c r="A10815" s="1" t="str">
        <f>"6006"</f>
        <v>6006</v>
      </c>
      <c r="B10815" s="2" t="str">
        <f>"FERMENTO BIOLACT Y04 - 1000U PARA 5.000 LTS"</f>
        <v>FERMENTO BIOLACT Y04 - 1000U PARA 5.000 LTS</v>
      </c>
      <c r="C10815" s="2" t="str">
        <f t="shared" si="421"/>
        <v>UN</v>
      </c>
      <c r="D10815" s="7">
        <v>218</v>
      </c>
      <c r="E10815" s="3">
        <v>2</v>
      </c>
      <c r="F10815" s="3">
        <v>2</v>
      </c>
      <c r="G10815" t="s">
        <v>514</v>
      </c>
    </row>
    <row r="10816" spans="1:7" x14ac:dyDescent="0.25">
      <c r="A10816" s="1" t="str">
        <f>"515497"</f>
        <v>515497</v>
      </c>
      <c r="B10816" s="2" t="str">
        <f>"FERMENTO BIOLACT Y04 100U"</f>
        <v>FERMENTO BIOLACT Y04 100U</v>
      </c>
      <c r="C10816" s="2" t="str">
        <f t="shared" si="421"/>
        <v>UN</v>
      </c>
      <c r="D10816" s="7">
        <v>218</v>
      </c>
      <c r="E10816" s="3">
        <v>2</v>
      </c>
      <c r="F10816" s="3">
        <v>2</v>
      </c>
      <c r="G10816" t="s">
        <v>514</v>
      </c>
    </row>
    <row r="10817" spans="1:7" x14ac:dyDescent="0.25">
      <c r="A10817" s="1" t="str">
        <f>"903"</f>
        <v>903</v>
      </c>
      <c r="B10817" s="2" t="str">
        <f>"FERMENTO BIOLACT Y04 100U PARA 500 LITROS"</f>
        <v>FERMENTO BIOLACT Y04 100U PARA 500 LITROS</v>
      </c>
      <c r="C10817" s="2" t="str">
        <f t="shared" si="421"/>
        <v>UN</v>
      </c>
      <c r="D10817" s="7">
        <v>218</v>
      </c>
      <c r="E10817" s="3">
        <v>2</v>
      </c>
      <c r="F10817" s="3">
        <v>2</v>
      </c>
      <c r="G10817" t="s">
        <v>513</v>
      </c>
    </row>
    <row r="10818" spans="1:7" x14ac:dyDescent="0.25">
      <c r="A10818" s="1" t="str">
        <f>"981"</f>
        <v>981</v>
      </c>
      <c r="B10818" s="2" t="str">
        <f>"FERMENTO CHOOZIT LBC 81/82 LYO 10DCU"</f>
        <v>FERMENTO CHOOZIT LBC 81/82 LYO 10DCU</v>
      </c>
      <c r="C10818" s="2" t="str">
        <f t="shared" si="421"/>
        <v>UN</v>
      </c>
      <c r="D10818" s="7">
        <v>218</v>
      </c>
      <c r="E10818" s="3">
        <v>2</v>
      </c>
      <c r="F10818" s="3">
        <v>2</v>
      </c>
      <c r="G10818" t="s">
        <v>512</v>
      </c>
    </row>
    <row r="10819" spans="1:7" x14ac:dyDescent="0.25">
      <c r="A10819" s="1" t="str">
        <f>"6706"</f>
        <v>6706</v>
      </c>
      <c r="B10819" s="2" t="str">
        <f>"FERMENTO COALHOPAR YO-Y9 10UC"</f>
        <v>FERMENTO COALHOPAR YO-Y9 10UC</v>
      </c>
      <c r="C10819" s="2" t="str">
        <f t="shared" si="421"/>
        <v>UN</v>
      </c>
      <c r="D10819" s="7">
        <v>218</v>
      </c>
      <c r="E10819" s="3">
        <v>2</v>
      </c>
      <c r="F10819" s="3">
        <v>2</v>
      </c>
      <c r="G10819" t="s">
        <v>513</v>
      </c>
    </row>
    <row r="10820" spans="1:7" x14ac:dyDescent="0.25">
      <c r="A10820" s="1" t="str">
        <f>"7054"</f>
        <v>7054</v>
      </c>
      <c r="B10820" s="2" t="str">
        <f>"FERMENTO DELVO FRESH YG- 131 DSF 10U"</f>
        <v>FERMENTO DELVO FRESH YG- 131 DSF 10U</v>
      </c>
      <c r="C10820" s="2" t="str">
        <f>"KG"</f>
        <v>KG</v>
      </c>
      <c r="D10820" s="7">
        <v>218</v>
      </c>
      <c r="E10820" s="3">
        <v>2</v>
      </c>
      <c r="F10820" s="3">
        <v>2</v>
      </c>
      <c r="G10820" t="s">
        <v>514</v>
      </c>
    </row>
    <row r="10821" spans="1:7" x14ac:dyDescent="0.25">
      <c r="A10821" s="1" t="str">
        <f>"7053"</f>
        <v>7053</v>
      </c>
      <c r="B10821" s="2" t="str">
        <f>"FERMENTO DELVO FRESH YS- 131 DSF 10U"</f>
        <v>FERMENTO DELVO FRESH YS- 131 DSF 10U</v>
      </c>
      <c r="C10821" s="2" t="str">
        <f>"KG"</f>
        <v>KG</v>
      </c>
      <c r="D10821" s="7">
        <v>218</v>
      </c>
      <c r="E10821" s="3">
        <v>2</v>
      </c>
      <c r="F10821" s="3">
        <v>2</v>
      </c>
      <c r="G10821" t="s">
        <v>514</v>
      </c>
    </row>
    <row r="10822" spans="1:7" x14ac:dyDescent="0.25">
      <c r="A10822" s="1" t="str">
        <f>"7055"</f>
        <v>7055</v>
      </c>
      <c r="B10822" s="2" t="str">
        <f>"FERMENTO DELVO-PRO LF1- A DSL 3U"</f>
        <v>FERMENTO DELVO-PRO LF1- A DSL 3U</v>
      </c>
      <c r="C10822" s="2" t="str">
        <f>"KG"</f>
        <v>KG</v>
      </c>
      <c r="D10822" s="7">
        <v>218</v>
      </c>
      <c r="E10822" s="3">
        <v>2</v>
      </c>
      <c r="F10822" s="3">
        <v>2</v>
      </c>
      <c r="G10822" t="s">
        <v>514</v>
      </c>
    </row>
    <row r="10823" spans="1:7" x14ac:dyDescent="0.25">
      <c r="A10823" s="1" t="str">
        <f>"6337"</f>
        <v>6337</v>
      </c>
      <c r="B10823" s="2" t="str">
        <f>"FERMENTO DSM - FC 211 5U (PETIT SUISSE)"</f>
        <v>FERMENTO DSM - FC 211 5U (PETIT SUISSE)</v>
      </c>
      <c r="C10823" s="2" t="str">
        <f>"KG"</f>
        <v>KG</v>
      </c>
      <c r="D10823" s="7">
        <v>218</v>
      </c>
      <c r="E10823" s="3">
        <v>2</v>
      </c>
      <c r="F10823" s="3">
        <v>2</v>
      </c>
      <c r="G10823" t="s">
        <v>513</v>
      </c>
    </row>
    <row r="10824" spans="1:7" x14ac:dyDescent="0.25">
      <c r="A10824" s="1" t="str">
        <f>"6338"</f>
        <v>6338</v>
      </c>
      <c r="B10824" s="2" t="str">
        <f>"FERMENTO DSM - YS 131 10U (BEBIDA LACTEA)"</f>
        <v>FERMENTO DSM - YS 131 10U (BEBIDA LACTEA)</v>
      </c>
      <c r="C10824" s="2" t="str">
        <f>"KG"</f>
        <v>KG</v>
      </c>
      <c r="D10824" s="7">
        <v>218</v>
      </c>
      <c r="E10824" s="3">
        <v>2</v>
      </c>
      <c r="F10824" s="3">
        <v>2</v>
      </c>
      <c r="G10824" t="s">
        <v>513</v>
      </c>
    </row>
    <row r="10825" spans="1:7" x14ac:dyDescent="0.25">
      <c r="A10825" s="1" t="str">
        <f>"6710"</f>
        <v>6710</v>
      </c>
      <c r="B10825" s="2" t="str">
        <f>"FERMENTO DVS (UNID.) FRESHQ 5/10X500U"</f>
        <v>FERMENTO DVS (UNID.) FRESHQ 5/10X500U</v>
      </c>
      <c r="C10825" s="2" t="str">
        <f>"UN"</f>
        <v>UN</v>
      </c>
      <c r="D10825" s="7">
        <v>218</v>
      </c>
      <c r="E10825" s="3">
        <v>2</v>
      </c>
      <c r="F10825" s="3">
        <v>2</v>
      </c>
      <c r="G10825" t="s">
        <v>513</v>
      </c>
    </row>
    <row r="10826" spans="1:7" x14ac:dyDescent="0.25">
      <c r="A10826" s="1" t="str">
        <f>"3309"</f>
        <v>3309</v>
      </c>
      <c r="B10826" s="2" t="str">
        <f>"FERMENTO DVS ABT-7 500U"</f>
        <v>FERMENTO DVS ABT-7 500U</v>
      </c>
      <c r="C10826" s="2" t="str">
        <f>"UN"</f>
        <v>UN</v>
      </c>
      <c r="D10826" s="7">
        <v>218</v>
      </c>
      <c r="E10826" s="3">
        <v>2</v>
      </c>
      <c r="F10826" s="3">
        <v>2</v>
      </c>
      <c r="G10826" t="s">
        <v>512</v>
      </c>
    </row>
    <row r="10827" spans="1:7" x14ac:dyDescent="0.25">
      <c r="A10827" s="1" t="str">
        <f>"6697"</f>
        <v>6697</v>
      </c>
      <c r="B10827" s="2" t="str">
        <f>"FERMENTO DVS BB-12 CONGELADO"</f>
        <v>FERMENTO DVS BB-12 CONGELADO</v>
      </c>
      <c r="C10827" s="2" t="str">
        <f>"UN"</f>
        <v>UN</v>
      </c>
      <c r="D10827" s="7">
        <v>218</v>
      </c>
      <c r="E10827" s="3">
        <v>2</v>
      </c>
      <c r="F10827" s="3">
        <v>2</v>
      </c>
      <c r="G10827" t="s">
        <v>513</v>
      </c>
    </row>
    <row r="10828" spans="1:7" x14ac:dyDescent="0.25">
      <c r="A10828" s="1" t="str">
        <f>"6999"</f>
        <v>6999</v>
      </c>
      <c r="B10828" s="2" t="str">
        <f>"FERMENTO DVS CC - 08"</f>
        <v>FERMENTO DVS CC - 08</v>
      </c>
      <c r="C10828" s="2" t="str">
        <f>"KG"</f>
        <v>KG</v>
      </c>
      <c r="D10828" s="7">
        <v>218</v>
      </c>
      <c r="E10828" s="3">
        <v>2</v>
      </c>
      <c r="F10828" s="3">
        <v>2</v>
      </c>
      <c r="G10828" t="s">
        <v>514</v>
      </c>
    </row>
    <row r="10829" spans="1:7" x14ac:dyDescent="0.25">
      <c r="A10829" s="1" t="str">
        <f>"6707"</f>
        <v>6707</v>
      </c>
      <c r="B10829" s="2" t="str">
        <f>"FERMENTO DVS FRESH 1\25X100U"</f>
        <v>FERMENTO DVS FRESH 1\25X100U</v>
      </c>
      <c r="C10829" s="2" t="str">
        <f>"UN"</f>
        <v>UN</v>
      </c>
      <c r="D10829" s="7">
        <v>218</v>
      </c>
      <c r="E10829" s="3">
        <v>2</v>
      </c>
      <c r="F10829" s="3">
        <v>2</v>
      </c>
      <c r="G10829" t="s">
        <v>515</v>
      </c>
    </row>
    <row r="10830" spans="1:7" x14ac:dyDescent="0.25">
      <c r="A10830" s="1" t="str">
        <f>"6708"</f>
        <v>6708</v>
      </c>
      <c r="B10830" s="2" t="str">
        <f>"FERMENTO DVS FRESH 4\25X100U"</f>
        <v>FERMENTO DVS FRESH 4\25X100U</v>
      </c>
      <c r="C10830" s="2" t="str">
        <f>"UN"</f>
        <v>UN</v>
      </c>
      <c r="D10830" s="7">
        <v>218</v>
      </c>
      <c r="E10830" s="3">
        <v>2</v>
      </c>
      <c r="F10830" s="3">
        <v>2</v>
      </c>
      <c r="G10830" t="s">
        <v>512</v>
      </c>
    </row>
    <row r="10831" spans="1:7" x14ac:dyDescent="0.25">
      <c r="A10831" s="1" t="str">
        <f>"3216"</f>
        <v>3216</v>
      </c>
      <c r="B10831" s="2" t="str">
        <f>"FERMENTO DVS FRESHQ 1/10X500U"</f>
        <v>FERMENTO DVS FRESHQ 1/10X500U</v>
      </c>
      <c r="C10831" s="2" t="str">
        <f t="shared" ref="C10831:C10840" si="422">"KG"</f>
        <v>KG</v>
      </c>
      <c r="D10831" s="7">
        <v>218</v>
      </c>
      <c r="E10831" s="3">
        <v>2</v>
      </c>
      <c r="F10831" s="3">
        <v>2</v>
      </c>
      <c r="G10831" t="s">
        <v>516</v>
      </c>
    </row>
    <row r="10832" spans="1:7" x14ac:dyDescent="0.25">
      <c r="A10832" s="1" t="str">
        <f>"3214"</f>
        <v>3214</v>
      </c>
      <c r="B10832" s="2" t="str">
        <f>"FERMENTO DVS FRESHQ 4/20X500U"</f>
        <v>FERMENTO DVS FRESHQ 4/20X500U</v>
      </c>
      <c r="C10832" s="2" t="str">
        <f t="shared" si="422"/>
        <v>KG</v>
      </c>
      <c r="D10832" s="7">
        <v>218</v>
      </c>
      <c r="E10832" s="3">
        <v>2</v>
      </c>
      <c r="F10832" s="3">
        <v>2</v>
      </c>
      <c r="G10832" t="s">
        <v>515</v>
      </c>
    </row>
    <row r="10833" spans="1:7" x14ac:dyDescent="0.25">
      <c r="A10833" s="1" t="str">
        <f>"6983"</f>
        <v>6983</v>
      </c>
      <c r="B10833" s="2" t="str">
        <f>"FERMENTO DVS HARMONY 1.0"</f>
        <v>FERMENTO DVS HARMONY 1.0</v>
      </c>
      <c r="C10833" s="2" t="str">
        <f t="shared" si="422"/>
        <v>KG</v>
      </c>
      <c r="D10833" s="7">
        <v>218</v>
      </c>
      <c r="E10833" s="3">
        <v>2</v>
      </c>
      <c r="F10833" s="3">
        <v>2</v>
      </c>
      <c r="G10833" t="s">
        <v>514</v>
      </c>
    </row>
    <row r="10834" spans="1:7" x14ac:dyDescent="0.25">
      <c r="A10834" s="1" t="str">
        <f>"514374"</f>
        <v>514374</v>
      </c>
      <c r="B10834" s="2" t="str">
        <f>"FERMENTO DVS HARMONY 1.0 (QUALA)"</f>
        <v>FERMENTO DVS HARMONY 1.0 (QUALA)</v>
      </c>
      <c r="C10834" s="2" t="str">
        <f t="shared" si="422"/>
        <v>KG</v>
      </c>
      <c r="D10834" s="7">
        <v>218</v>
      </c>
      <c r="E10834" s="3">
        <v>2</v>
      </c>
      <c r="F10834" s="3">
        <v>2</v>
      </c>
      <c r="G10834" t="s">
        <v>512</v>
      </c>
    </row>
    <row r="10835" spans="1:7" x14ac:dyDescent="0.25">
      <c r="A10835" s="1" t="str">
        <f>"71008"</f>
        <v>71008</v>
      </c>
      <c r="B10835" s="2" t="str">
        <f>"FERMENTO DVS HARMONY 1.0 (QUALA)"</f>
        <v>FERMENTO DVS HARMONY 1.0 (QUALA)</v>
      </c>
      <c r="C10835" s="2" t="str">
        <f t="shared" si="422"/>
        <v>KG</v>
      </c>
      <c r="D10835" s="7">
        <v>218</v>
      </c>
      <c r="E10835" s="3">
        <v>2</v>
      </c>
      <c r="F10835" s="3">
        <v>2</v>
      </c>
      <c r="G10835" t="s">
        <v>513</v>
      </c>
    </row>
    <row r="10836" spans="1:7" x14ac:dyDescent="0.25">
      <c r="A10836" s="1" t="str">
        <f>"6654"</f>
        <v>6654</v>
      </c>
      <c r="B10836" s="2" t="str">
        <f>"FERMENTO DVS L-902"</f>
        <v>FERMENTO DVS L-902</v>
      </c>
      <c r="C10836" s="2" t="str">
        <f t="shared" si="422"/>
        <v>KG</v>
      </c>
      <c r="D10836" s="7">
        <v>218</v>
      </c>
      <c r="E10836" s="3">
        <v>2</v>
      </c>
      <c r="F10836" s="3">
        <v>2</v>
      </c>
      <c r="G10836" t="s">
        <v>514</v>
      </c>
    </row>
    <row r="10837" spans="1:7" x14ac:dyDescent="0.25">
      <c r="A10837" s="1" t="str">
        <f>"6684"</f>
        <v>6684</v>
      </c>
      <c r="B10837" s="2" t="str">
        <f>"FERMENTO DVS LA-05 - 25GR FERMENTADO"</f>
        <v>FERMENTO DVS LA-05 - 25GR FERMENTADO</v>
      </c>
      <c r="C10837" s="2" t="str">
        <f t="shared" si="422"/>
        <v>KG</v>
      </c>
      <c r="D10837" s="7">
        <v>218</v>
      </c>
      <c r="E10837" s="3">
        <v>2</v>
      </c>
      <c r="F10837" s="3">
        <v>2</v>
      </c>
      <c r="G10837" t="s">
        <v>514</v>
      </c>
    </row>
    <row r="10838" spans="1:7" x14ac:dyDescent="0.25">
      <c r="A10838" s="1" t="str">
        <f>"6693"</f>
        <v>6693</v>
      </c>
      <c r="B10838" s="2" t="str">
        <f>"FERMENTO DVS LA-05 (KG) CONGELADO 10X500GR FERMENTADO"</f>
        <v>FERMENTO DVS LA-05 (KG) CONGELADO 10X500GR FERMENTADO</v>
      </c>
      <c r="C10838" s="2" t="str">
        <f t="shared" si="422"/>
        <v>KG</v>
      </c>
      <c r="D10838" s="7">
        <v>218</v>
      </c>
      <c r="E10838" s="3">
        <v>2</v>
      </c>
      <c r="F10838" s="3">
        <v>2</v>
      </c>
      <c r="G10838" t="s">
        <v>512</v>
      </c>
    </row>
    <row r="10839" spans="1:7" x14ac:dyDescent="0.25">
      <c r="A10839" s="1" t="str">
        <f>"6683"</f>
        <v>6683</v>
      </c>
      <c r="B10839" s="2" t="str">
        <f>"FERMENTO DVS LCASEI-01 - 25GR FERMENTADO"</f>
        <v>FERMENTO DVS LCASEI-01 - 25GR FERMENTADO</v>
      </c>
      <c r="C10839" s="2" t="str">
        <f t="shared" si="422"/>
        <v>KG</v>
      </c>
      <c r="D10839" s="7">
        <v>218</v>
      </c>
      <c r="E10839" s="3">
        <v>2</v>
      </c>
      <c r="F10839" s="3">
        <v>2</v>
      </c>
      <c r="G10839" t="s">
        <v>513</v>
      </c>
    </row>
    <row r="10840" spans="1:7" x14ac:dyDescent="0.25">
      <c r="A10840" s="1" t="str">
        <f>"6692"</f>
        <v>6692</v>
      </c>
      <c r="B10840" s="2" t="str">
        <f>"FERMENTO DVS LCASEI-01(KG) CONGELADO 10X500GR FERMENTADO"</f>
        <v>FERMENTO DVS LCASEI-01(KG) CONGELADO 10X500GR FERMENTADO</v>
      </c>
      <c r="C10840" s="2" t="str">
        <f t="shared" si="422"/>
        <v>KG</v>
      </c>
      <c r="D10840" s="7">
        <v>218</v>
      </c>
      <c r="E10840" s="3">
        <v>2</v>
      </c>
      <c r="F10840" s="3">
        <v>2</v>
      </c>
      <c r="G10840" t="s">
        <v>514</v>
      </c>
    </row>
    <row r="10841" spans="1:7" x14ac:dyDescent="0.25">
      <c r="A10841" s="1" t="str">
        <f>"6483"</f>
        <v>6483</v>
      </c>
      <c r="B10841" s="2" t="str">
        <f>"FERMENTO DVS RST 744 500U"</f>
        <v>FERMENTO DVS RST 744 500U</v>
      </c>
      <c r="C10841" s="2" t="str">
        <f>"UN"</f>
        <v>UN</v>
      </c>
      <c r="D10841" s="7">
        <v>218</v>
      </c>
      <c r="E10841" s="3">
        <v>2</v>
      </c>
      <c r="F10841" s="3">
        <v>2</v>
      </c>
      <c r="G10841" t="s">
        <v>514</v>
      </c>
    </row>
    <row r="10842" spans="1:7" x14ac:dyDescent="0.25">
      <c r="A10842" s="1" t="str">
        <f>"6553"</f>
        <v>6553</v>
      </c>
      <c r="B10842" s="2" t="str">
        <f>"FERMENTO DVS YF - L902 (ROTAÇÃO) CONGELADO"</f>
        <v>FERMENTO DVS YF - L902 (ROTAÇÃO) CONGELADO</v>
      </c>
      <c r="C10842" s="2" t="str">
        <f>"KG"</f>
        <v>KG</v>
      </c>
      <c r="D10842" s="7">
        <v>218</v>
      </c>
      <c r="E10842" s="3">
        <v>2</v>
      </c>
      <c r="F10842" s="3">
        <v>2</v>
      </c>
      <c r="G10842" t="s">
        <v>514</v>
      </c>
    </row>
    <row r="10843" spans="1:7" x14ac:dyDescent="0.25">
      <c r="A10843" s="1" t="str">
        <f>"6022"</f>
        <v>6022</v>
      </c>
      <c r="B10843" s="2" t="str">
        <f>"FERMENTO DVS YF - LX 700"</f>
        <v>FERMENTO DVS YF - LX 700</v>
      </c>
      <c r="C10843" s="2" t="str">
        <f>"UN"</f>
        <v>UN</v>
      </c>
      <c r="D10843" s="7">
        <v>218</v>
      </c>
      <c r="E10843" s="3">
        <v>2</v>
      </c>
      <c r="F10843" s="3">
        <v>2</v>
      </c>
      <c r="G10843" t="s">
        <v>513</v>
      </c>
    </row>
    <row r="10844" spans="1:7" x14ac:dyDescent="0.25">
      <c r="A10844" s="1" t="str">
        <f>"514375"</f>
        <v>514375</v>
      </c>
      <c r="B10844" s="2" t="str">
        <f>"FERMENTO DVS YF - LX 700 - QUALA (03003307)"</f>
        <v>FERMENTO DVS YF - LX 700 - QUALA (03003307)</v>
      </c>
      <c r="C10844" s="2" t="str">
        <f>"KG"</f>
        <v>KG</v>
      </c>
      <c r="D10844" s="7">
        <v>218</v>
      </c>
      <c r="E10844" s="3">
        <v>2</v>
      </c>
      <c r="F10844" s="3">
        <v>2</v>
      </c>
      <c r="G10844" t="s">
        <v>512</v>
      </c>
    </row>
    <row r="10845" spans="1:7" x14ac:dyDescent="0.25">
      <c r="A10845" s="1" t="str">
        <f>"7017"</f>
        <v>7017</v>
      </c>
      <c r="B10845" s="2" t="str">
        <f>"FERMENTO DVS YOFLEX ADVANCE 1.0 CONGELADO"</f>
        <v>FERMENTO DVS YOFLEX ADVANCE 1.0 CONGELADO</v>
      </c>
      <c r="C10845" s="2" t="str">
        <f>"KG"</f>
        <v>KG</v>
      </c>
      <c r="D10845" s="7">
        <v>218</v>
      </c>
      <c r="E10845" s="3">
        <v>2</v>
      </c>
      <c r="F10845" s="3">
        <v>2</v>
      </c>
      <c r="G10845" t="s">
        <v>513</v>
      </c>
    </row>
    <row r="10846" spans="1:7" x14ac:dyDescent="0.25">
      <c r="A10846" s="1" t="str">
        <f>"351"</f>
        <v>351</v>
      </c>
      <c r="B10846" s="2" t="str">
        <f>"FERMENTO EZAL - 10U MAO11"</f>
        <v>FERMENTO EZAL - 10U MAO11</v>
      </c>
      <c r="C10846" s="2" t="str">
        <f>"UN"</f>
        <v>UN</v>
      </c>
      <c r="D10846" s="7">
        <v>218</v>
      </c>
      <c r="E10846" s="3">
        <v>2</v>
      </c>
      <c r="F10846" s="3">
        <v>2</v>
      </c>
      <c r="G10846" t="s">
        <v>514</v>
      </c>
    </row>
    <row r="10847" spans="1:7" x14ac:dyDescent="0.25">
      <c r="A10847" s="1" t="str">
        <f>"7022"</f>
        <v>7022</v>
      </c>
      <c r="B10847" s="2" t="str">
        <f>"FERMENTO F-DVS  GIN  709666 OGD-VULCAIN -01H\10X500U  CONGEL"</f>
        <v>FERMENTO F-DVS  GIN  709666 OGD-VULCAIN -01H\10X500U  CONGEL</v>
      </c>
      <c r="C10847" s="2" t="str">
        <f>"KG"</f>
        <v>KG</v>
      </c>
      <c r="D10847" s="7">
        <v>218</v>
      </c>
      <c r="E10847" s="3">
        <v>2</v>
      </c>
      <c r="F10847" s="3">
        <v>2</v>
      </c>
      <c r="G10847" t="s">
        <v>514</v>
      </c>
    </row>
    <row r="10848" spans="1:7" x14ac:dyDescent="0.25">
      <c r="A10848" s="1" t="str">
        <f>"7021"</f>
        <v>7021</v>
      </c>
      <c r="B10848" s="2" t="str">
        <f>"FERMENTO F-DVS  GIN  714814 OGD-VENUS -01H\10X500U  CONGELAD"</f>
        <v>FERMENTO F-DVS  GIN  714814 OGD-VENUS -01H\10X500U  CONGELAD</v>
      </c>
      <c r="C10848" s="2" t="str">
        <f>"KG"</f>
        <v>KG</v>
      </c>
      <c r="D10848" s="7">
        <v>218</v>
      </c>
      <c r="E10848" s="3">
        <v>2</v>
      </c>
      <c r="F10848" s="3">
        <v>2</v>
      </c>
      <c r="G10848" t="s">
        <v>514</v>
      </c>
    </row>
    <row r="10849" spans="1:7" x14ac:dyDescent="0.25">
      <c r="A10849" s="1" t="str">
        <f>"7027"</f>
        <v>7027</v>
      </c>
      <c r="B10849" s="2" t="str">
        <f>"FERMENTO F-DVS (KG) R-604  - 500U PETIT CONGELADO"</f>
        <v>FERMENTO F-DVS (KG) R-604  - 500U PETIT CONGELADO</v>
      </c>
      <c r="C10849" s="2" t="str">
        <f>"KG"</f>
        <v>KG</v>
      </c>
      <c r="D10849" s="7">
        <v>218</v>
      </c>
      <c r="E10849" s="3">
        <v>2</v>
      </c>
      <c r="F10849" s="3">
        <v>2</v>
      </c>
      <c r="G10849" t="s">
        <v>513</v>
      </c>
    </row>
    <row r="10850" spans="1:7" x14ac:dyDescent="0.25">
      <c r="A10850" s="1" t="str">
        <f>"7018"</f>
        <v>7018</v>
      </c>
      <c r="B10850" s="2" t="str">
        <f>"FERMENTO F-DVS (KG) YOFLEX MILD 1.0 CONGELADO"</f>
        <v>FERMENTO F-DVS (KG) YOFLEX MILD 1.0 CONGELADO</v>
      </c>
      <c r="C10850" s="2" t="str">
        <f>"KG"</f>
        <v>KG</v>
      </c>
      <c r="D10850" s="7">
        <v>218</v>
      </c>
      <c r="E10850" s="3">
        <v>2</v>
      </c>
      <c r="F10850" s="3">
        <v>2</v>
      </c>
      <c r="G10850" t="s">
        <v>513</v>
      </c>
    </row>
    <row r="10851" spans="1:7" x14ac:dyDescent="0.25">
      <c r="A10851" s="1" t="str">
        <f>"AG300290099"</f>
        <v>AG300290099</v>
      </c>
      <c r="B10851" s="2" t="str">
        <f>"FERMENTO F-DVS AMOSTRA GRATIS"</f>
        <v>FERMENTO F-DVS AMOSTRA GRATIS</v>
      </c>
      <c r="C10851" s="2" t="str">
        <f>"UN"</f>
        <v>UN</v>
      </c>
      <c r="D10851" s="7">
        <v>99999</v>
      </c>
      <c r="E10851" s="3">
        <v>99</v>
      </c>
      <c r="F10851" s="3">
        <v>99</v>
      </c>
      <c r="G10851" t="s">
        <v>513</v>
      </c>
    </row>
    <row r="10852" spans="1:7" x14ac:dyDescent="0.25">
      <c r="A10852" s="1" t="str">
        <f>"7020"</f>
        <v>7020</v>
      </c>
      <c r="B10852" s="2" t="str">
        <f>"FERMENTO F-DVS Y16 DK - CONGELADO"</f>
        <v>FERMENTO F-DVS Y16 DK - CONGELADO</v>
      </c>
      <c r="C10852" s="2" t="str">
        <f>"KG"</f>
        <v>KG</v>
      </c>
      <c r="D10852" s="7">
        <v>218</v>
      </c>
      <c r="E10852" s="3">
        <v>2</v>
      </c>
      <c r="F10852" s="3">
        <v>2</v>
      </c>
      <c r="G10852" t="s">
        <v>512</v>
      </c>
    </row>
    <row r="10853" spans="1:7" x14ac:dyDescent="0.25">
      <c r="A10853" s="1" t="str">
        <f>"3215"</f>
        <v>3215</v>
      </c>
      <c r="B10853" s="2" t="str">
        <f>"FERMENTO F-DVS YOFLEX MILD 2.0 CONGELADO"</f>
        <v>FERMENTO F-DVS YOFLEX MILD 2.0 CONGELADO</v>
      </c>
      <c r="C10853" s="2" t="str">
        <f>"KG"</f>
        <v>KG</v>
      </c>
      <c r="D10853" s="7">
        <v>218</v>
      </c>
      <c r="E10853" s="3">
        <v>2</v>
      </c>
      <c r="F10853" s="3">
        <v>2</v>
      </c>
      <c r="G10853" t="s">
        <v>513</v>
      </c>
    </row>
    <row r="10854" spans="1:7" x14ac:dyDescent="0.25">
      <c r="A10854" s="1" t="str">
        <f>"7019"</f>
        <v>7019</v>
      </c>
      <c r="B10854" s="2" t="str">
        <f>"FERMENTO F-DVS YOFLEX PREMIUM CONGELADO"</f>
        <v>FERMENTO F-DVS YOFLEX PREMIUM CONGELADO</v>
      </c>
      <c r="C10854" s="2" t="str">
        <f>"KG"</f>
        <v>KG</v>
      </c>
      <c r="D10854" s="7">
        <v>218</v>
      </c>
      <c r="E10854" s="3">
        <v>2</v>
      </c>
      <c r="F10854" s="3">
        <v>2</v>
      </c>
      <c r="G10854" t="s">
        <v>514</v>
      </c>
    </row>
    <row r="10855" spans="1:7" x14ac:dyDescent="0.25">
      <c r="A10855" s="1" t="str">
        <f>"4197"</f>
        <v>4197</v>
      </c>
      <c r="B10855" s="2" t="str">
        <f>"FERMENTO GIN 704824 F DVS  L CASEI 431/10X500GR"</f>
        <v>FERMENTO GIN 704824 F DVS  L CASEI 431/10X500GR</v>
      </c>
      <c r="C10855" s="2" t="str">
        <f>"KG"</f>
        <v>KG</v>
      </c>
      <c r="D10855" s="7">
        <v>218</v>
      </c>
      <c r="E10855" s="3">
        <v>2</v>
      </c>
      <c r="F10855" s="3">
        <v>2</v>
      </c>
      <c r="G10855" t="s">
        <v>515</v>
      </c>
    </row>
    <row r="10856" spans="1:7" x14ac:dyDescent="0.25">
      <c r="A10856" s="1" t="str">
        <f>"4097"</f>
        <v>4097</v>
      </c>
      <c r="B10856" s="2" t="str">
        <f>"FERMENTO HOLDBAC YM-B LYO 100 DCU"</f>
        <v>FERMENTO HOLDBAC YM-B LYO 100 DCU</v>
      </c>
      <c r="C10856" s="2" t="str">
        <f t="shared" ref="C10856:C10866" si="423">"UN"</f>
        <v>UN</v>
      </c>
      <c r="D10856" s="7">
        <v>218</v>
      </c>
      <c r="E10856" s="3">
        <v>2</v>
      </c>
      <c r="F10856" s="3">
        <v>2</v>
      </c>
      <c r="G10856" t="s">
        <v>512</v>
      </c>
    </row>
    <row r="10857" spans="1:7" x14ac:dyDescent="0.25">
      <c r="A10857" s="1" t="str">
        <f>"6729"</f>
        <v>6729</v>
      </c>
      <c r="B10857" s="2" t="str">
        <f>"FERMENTO HOWARU DOPHILLUS LYO 100DCU"</f>
        <v>FERMENTO HOWARU DOPHILLUS LYO 100DCU</v>
      </c>
      <c r="C10857" s="2" t="str">
        <f t="shared" si="423"/>
        <v>UN</v>
      </c>
      <c r="D10857" s="7">
        <v>218</v>
      </c>
      <c r="E10857" s="3">
        <v>2</v>
      </c>
      <c r="F10857" s="3">
        <v>2</v>
      </c>
      <c r="G10857" t="s">
        <v>516</v>
      </c>
    </row>
    <row r="10858" spans="1:7" x14ac:dyDescent="0.25">
      <c r="A10858" s="1" t="str">
        <f>"9017"</f>
        <v>9017</v>
      </c>
      <c r="B10858" s="2" t="str">
        <f>"FERMENTO L PARADASEI 10450 LYO 300DCU"</f>
        <v>FERMENTO L PARADASEI 10450 LYO 300DCU</v>
      </c>
      <c r="C10858" s="2" t="str">
        <f t="shared" si="423"/>
        <v>UN</v>
      </c>
      <c r="D10858" s="7">
        <v>218</v>
      </c>
      <c r="E10858" s="3">
        <v>2</v>
      </c>
      <c r="F10858" s="3">
        <v>2</v>
      </c>
      <c r="G10858" t="s">
        <v>515</v>
      </c>
    </row>
    <row r="10859" spans="1:7" x14ac:dyDescent="0.25">
      <c r="A10859" s="1" t="str">
        <f>"980"</f>
        <v>980</v>
      </c>
      <c r="B10859" s="2" t="str">
        <f>"FERMENTO L. ACIDOPHILUS LYO 50 DCU"</f>
        <v>FERMENTO L. ACIDOPHILUS LYO 50 DCU</v>
      </c>
      <c r="C10859" s="2" t="str">
        <f t="shared" si="423"/>
        <v>UN</v>
      </c>
      <c r="D10859" s="7">
        <v>218</v>
      </c>
      <c r="E10859" s="3">
        <v>2</v>
      </c>
      <c r="F10859" s="3">
        <v>2</v>
      </c>
      <c r="G10859" t="s">
        <v>514</v>
      </c>
    </row>
    <row r="10860" spans="1:7" x14ac:dyDescent="0.25">
      <c r="A10860" s="1" t="str">
        <f>"521130"</f>
        <v>521130</v>
      </c>
      <c r="B10860" s="2" t="str">
        <f>"FERMENTO LACTEO (KG) F-DVS OGD DEMETER-01/10X500U"</f>
        <v>FERMENTO LACTEO (KG) F-DVS OGD DEMETER-01/10X500U</v>
      </c>
      <c r="C10860" s="2" t="str">
        <f t="shared" si="423"/>
        <v>UN</v>
      </c>
      <c r="D10860" s="7">
        <v>218</v>
      </c>
      <c r="E10860" s="3">
        <v>2</v>
      </c>
      <c r="F10860" s="3">
        <v>2</v>
      </c>
      <c r="G10860" t="s">
        <v>512</v>
      </c>
    </row>
    <row r="10861" spans="1:7" x14ac:dyDescent="0.25">
      <c r="A10861" s="1" t="str">
        <f>"6768"</f>
        <v>6768</v>
      </c>
      <c r="B10861" s="2" t="str">
        <f>"FERMENTO LACTEO FD-DVS R-708 500 U"</f>
        <v>FERMENTO LACTEO FD-DVS R-708 500 U</v>
      </c>
      <c r="C10861" s="2" t="str">
        <f t="shared" si="423"/>
        <v>UN</v>
      </c>
      <c r="D10861" s="7">
        <v>218</v>
      </c>
      <c r="E10861" s="3">
        <v>2</v>
      </c>
      <c r="F10861" s="3">
        <v>2</v>
      </c>
      <c r="G10861" t="s">
        <v>513</v>
      </c>
    </row>
    <row r="10862" spans="1:7" x14ac:dyDescent="0.25">
      <c r="A10862" s="1" t="str">
        <f>"522138"</f>
        <v>522138</v>
      </c>
      <c r="B10862" s="2" t="str">
        <f>"FERMENTO LACTEO F-DVS R-608 10X500U"</f>
        <v>FERMENTO LACTEO F-DVS R-608 10X500U</v>
      </c>
      <c r="C10862" s="2" t="str">
        <f t="shared" si="423"/>
        <v>UN</v>
      </c>
      <c r="D10862" s="7">
        <v>218</v>
      </c>
      <c r="E10862" s="3">
        <v>2</v>
      </c>
      <c r="F10862" s="3">
        <v>2</v>
      </c>
      <c r="G10862" t="s">
        <v>514</v>
      </c>
    </row>
    <row r="10863" spans="1:7" x14ac:dyDescent="0.25">
      <c r="A10863" s="1" t="str">
        <f>"3310"</f>
        <v>3310</v>
      </c>
      <c r="B10863" s="2" t="str">
        <f>"FERMENTO LACTEO(UNID.) DVS LHB 02/30X50 U"</f>
        <v>FERMENTO LACTEO(UNID.) DVS LHB 02/30X50 U</v>
      </c>
      <c r="C10863" s="2" t="str">
        <f t="shared" si="423"/>
        <v>UN</v>
      </c>
      <c r="D10863" s="7">
        <v>218</v>
      </c>
      <c r="E10863" s="3">
        <v>2</v>
      </c>
      <c r="F10863" s="3">
        <v>2</v>
      </c>
      <c r="G10863" t="s">
        <v>514</v>
      </c>
    </row>
    <row r="10864" spans="1:7" x14ac:dyDescent="0.25">
      <c r="A10864" s="1" t="str">
        <f>"4096"</f>
        <v>4096</v>
      </c>
      <c r="B10864" s="2" t="str">
        <f>"FERMENTO LACTOBACILLUS PLUS LYO 150 DCU"</f>
        <v>FERMENTO LACTOBACILLUS PLUS LYO 150 DCU</v>
      </c>
      <c r="C10864" s="2" t="str">
        <f t="shared" si="423"/>
        <v>UN</v>
      </c>
      <c r="D10864" s="7">
        <v>218</v>
      </c>
      <c r="E10864" s="3">
        <v>2</v>
      </c>
      <c r="F10864" s="3">
        <v>2</v>
      </c>
      <c r="G10864" t="s">
        <v>512</v>
      </c>
    </row>
    <row r="10865" spans="1:7" x14ac:dyDescent="0.25">
      <c r="A10865" s="1" t="str">
        <f>"3047"</f>
        <v>3047</v>
      </c>
      <c r="B10865" s="2" t="str">
        <f>"FERMENTO LACTOBACILLUS PLUS LYO 150DCU"</f>
        <v>FERMENTO LACTOBACILLUS PLUS LYO 150DCU</v>
      </c>
      <c r="C10865" s="2" t="str">
        <f t="shared" si="423"/>
        <v>UN</v>
      </c>
      <c r="D10865" s="7">
        <v>218</v>
      </c>
      <c r="E10865" s="3">
        <v>2</v>
      </c>
      <c r="F10865" s="3">
        <v>2</v>
      </c>
      <c r="G10865" t="s">
        <v>513</v>
      </c>
    </row>
    <row r="10866" spans="1:7" x14ac:dyDescent="0.25">
      <c r="A10866" s="1" t="str">
        <f>"515496"</f>
        <v>515496</v>
      </c>
      <c r="B10866" s="2" t="str">
        <f>"FERMENTO LCR 10 UC"</f>
        <v>FERMENTO LCR 10 UC</v>
      </c>
      <c r="C10866" s="2" t="str">
        <f t="shared" si="423"/>
        <v>UN</v>
      </c>
      <c r="D10866" s="7">
        <v>218</v>
      </c>
      <c r="E10866" s="3">
        <v>2</v>
      </c>
      <c r="F10866" s="3">
        <v>2</v>
      </c>
      <c r="G10866" t="s">
        <v>514</v>
      </c>
    </row>
    <row r="10867" spans="1:7" x14ac:dyDescent="0.25">
      <c r="A10867" s="1" t="str">
        <f>"6691"</f>
        <v>6691</v>
      </c>
      <c r="B10867" s="2" t="str">
        <f>"FERMENTO LYOFAST BGP1-05 DOSES FERMENTADO"</f>
        <v>FERMENTO LYOFAST BGP1-05 DOSES FERMENTADO</v>
      </c>
      <c r="C10867" s="2" t="str">
        <f>"KG"</f>
        <v>KG</v>
      </c>
      <c r="D10867" s="7">
        <v>218</v>
      </c>
      <c r="E10867" s="3">
        <v>2</v>
      </c>
      <c r="F10867" s="3">
        <v>2</v>
      </c>
      <c r="G10867" t="s">
        <v>514</v>
      </c>
    </row>
    <row r="10868" spans="1:7" x14ac:dyDescent="0.25">
      <c r="A10868" s="1" t="str">
        <f>"6689"</f>
        <v>6689</v>
      </c>
      <c r="B10868" s="2" t="str">
        <f>"FERMENTO LYOFAST BGP1-10 DOSES FERMENTADO"</f>
        <v>FERMENTO LYOFAST BGP1-10 DOSES FERMENTADO</v>
      </c>
      <c r="C10868" s="2" t="str">
        <f>"KG"</f>
        <v>KG</v>
      </c>
      <c r="D10868" s="7">
        <v>218</v>
      </c>
      <c r="E10868" s="3">
        <v>2</v>
      </c>
      <c r="F10868" s="3">
        <v>2</v>
      </c>
      <c r="G10868" t="s">
        <v>514</v>
      </c>
    </row>
    <row r="10869" spans="1:7" x14ac:dyDescent="0.25">
      <c r="A10869" s="1" t="str">
        <f>"6690"</f>
        <v>6690</v>
      </c>
      <c r="B10869" s="2" t="str">
        <f>"FERMENTO LYOFAST LA3-5 DOSES FERMENTADO"</f>
        <v>FERMENTO LYOFAST LA3-5 DOSES FERMENTADO</v>
      </c>
      <c r="C10869" s="2" t="str">
        <f>"KG"</f>
        <v>KG</v>
      </c>
      <c r="D10869" s="7">
        <v>218</v>
      </c>
      <c r="E10869" s="3">
        <v>2</v>
      </c>
      <c r="F10869" s="3">
        <v>2</v>
      </c>
      <c r="G10869" t="s">
        <v>513</v>
      </c>
    </row>
    <row r="10870" spans="1:7" x14ac:dyDescent="0.25">
      <c r="A10870" s="1" t="str">
        <f>"3275"</f>
        <v>3275</v>
      </c>
      <c r="B10870" s="2" t="str">
        <f>"FERMENTO LYOFAST MOS 062E 50UC"</f>
        <v>FERMENTO LYOFAST MOS 062E 50UC</v>
      </c>
      <c r="C10870" s="2" t="str">
        <f>"UN"</f>
        <v>UN</v>
      </c>
      <c r="D10870" s="7">
        <v>218</v>
      </c>
      <c r="E10870" s="3">
        <v>2</v>
      </c>
      <c r="F10870" s="3">
        <v>2</v>
      </c>
      <c r="G10870" t="s">
        <v>512</v>
      </c>
    </row>
    <row r="10871" spans="1:7" x14ac:dyDescent="0.25">
      <c r="A10871" s="1" t="str">
        <f>"525"</f>
        <v>525</v>
      </c>
      <c r="B10871" s="2" t="str">
        <f>"FERMENTO LYOFAST MOS 066 B 50UC - REQUEIJAO"</f>
        <v>FERMENTO LYOFAST MOS 066 B 50UC - REQUEIJAO</v>
      </c>
      <c r="C10871" s="2" t="str">
        <f>"UN"</f>
        <v>UN</v>
      </c>
      <c r="D10871" s="7">
        <v>218</v>
      </c>
      <c r="E10871" s="3">
        <v>2</v>
      </c>
      <c r="F10871" s="3">
        <v>2</v>
      </c>
      <c r="G10871" t="s">
        <v>513</v>
      </c>
    </row>
    <row r="10872" spans="1:7" x14ac:dyDescent="0.25">
      <c r="A10872" s="1" t="str">
        <f>"6161"</f>
        <v>6161</v>
      </c>
      <c r="B10872" s="2" t="str">
        <f>"FERMENTO SY 70 10U"</f>
        <v>FERMENTO SY 70 10U</v>
      </c>
      <c r="C10872" s="2" t="str">
        <f>"UN"</f>
        <v>UN</v>
      </c>
      <c r="D10872" s="7">
        <v>218</v>
      </c>
      <c r="E10872" s="3">
        <v>2</v>
      </c>
      <c r="F10872" s="3">
        <v>2</v>
      </c>
      <c r="G10872" t="s">
        <v>514</v>
      </c>
    </row>
    <row r="10873" spans="1:7" x14ac:dyDescent="0.25">
      <c r="A10873" s="1" t="str">
        <f>"6162"</f>
        <v>6162</v>
      </c>
      <c r="B10873" s="2" t="str">
        <f>"FERMENTO SY 70 50U"</f>
        <v>FERMENTO SY 70 50U</v>
      </c>
      <c r="C10873" s="2" t="str">
        <f>"UN"</f>
        <v>UN</v>
      </c>
      <c r="D10873" s="7">
        <v>218</v>
      </c>
      <c r="E10873" s="3">
        <v>2</v>
      </c>
      <c r="F10873" s="3">
        <v>2</v>
      </c>
      <c r="G10873" t="s">
        <v>514</v>
      </c>
    </row>
    <row r="10874" spans="1:7" x14ac:dyDescent="0.25">
      <c r="A10874" s="1" t="str">
        <f>"4075"</f>
        <v>4075</v>
      </c>
      <c r="B10874" s="2" t="str">
        <f>"FERMENTO Y 438 A 50 UC CRYOFAST"</f>
        <v>FERMENTO Y 438 A 50 UC CRYOFAST</v>
      </c>
      <c r="C10874" s="2" t="str">
        <f>"KG"</f>
        <v>KG</v>
      </c>
      <c r="D10874" s="7">
        <v>218</v>
      </c>
      <c r="E10874" s="3">
        <v>2</v>
      </c>
      <c r="F10874" s="3">
        <v>2</v>
      </c>
      <c r="G10874" t="s">
        <v>514</v>
      </c>
    </row>
    <row r="10875" spans="1:7" x14ac:dyDescent="0.25">
      <c r="A10875" s="1" t="str">
        <f>"4195"</f>
        <v>4195</v>
      </c>
      <c r="B10875" s="2" t="str">
        <f>"FERMENTO Y 438 A 50 UC CRYOFAST"</f>
        <v>FERMENTO Y 438 A 50 UC CRYOFAST</v>
      </c>
      <c r="C10875" s="2" t="str">
        <f>"UN"</f>
        <v>UN</v>
      </c>
      <c r="D10875" s="7">
        <v>218</v>
      </c>
      <c r="E10875" s="3">
        <v>2</v>
      </c>
      <c r="F10875" s="3">
        <v>2</v>
      </c>
      <c r="G10875" t="s">
        <v>513</v>
      </c>
    </row>
    <row r="10876" spans="1:7" x14ac:dyDescent="0.25">
      <c r="A10876" s="1" t="str">
        <f>"6702"</f>
        <v>6702</v>
      </c>
      <c r="B10876" s="2" t="str">
        <f>"FERMENTO YCR 40 10U"</f>
        <v>FERMENTO YCR 40 10U</v>
      </c>
      <c r="C10876" s="2" t="str">
        <f>"UN"</f>
        <v>UN</v>
      </c>
      <c r="D10876" s="7">
        <v>218</v>
      </c>
      <c r="E10876" s="3">
        <v>2</v>
      </c>
      <c r="F10876" s="3">
        <v>2</v>
      </c>
      <c r="G10876" t="s">
        <v>513</v>
      </c>
    </row>
    <row r="10877" spans="1:7" x14ac:dyDescent="0.25">
      <c r="A10877" s="1" t="str">
        <f>"513852"</f>
        <v>513852</v>
      </c>
      <c r="B10877" s="2" t="str">
        <f>"FERMENTO YF-LX 701- QUALA"</f>
        <v>FERMENTO YF-LX 701- QUALA</v>
      </c>
      <c r="C10877" s="2" t="str">
        <f>"KG"</f>
        <v>KG</v>
      </c>
      <c r="D10877" s="7">
        <v>218</v>
      </c>
      <c r="E10877" s="3">
        <v>2</v>
      </c>
      <c r="F10877" s="3">
        <v>2</v>
      </c>
      <c r="G10877" t="s">
        <v>513</v>
      </c>
    </row>
    <row r="10878" spans="1:7" x14ac:dyDescent="0.25">
      <c r="A10878" s="1" t="str">
        <f>"6982"</f>
        <v>6982</v>
      </c>
      <c r="B10878" s="2" t="str">
        <f>"FERMENTO YO-FLEX YF-L 811 50U"</f>
        <v>FERMENTO YO-FLEX YF-L 811 50U</v>
      </c>
      <c r="C10878" s="2" t="str">
        <f t="shared" ref="C10878:C10887" si="424">"UN"</f>
        <v>UN</v>
      </c>
      <c r="D10878" s="7">
        <v>218</v>
      </c>
      <c r="E10878" s="3">
        <v>2</v>
      </c>
      <c r="F10878" s="3">
        <v>2</v>
      </c>
      <c r="G10878" t="s">
        <v>512</v>
      </c>
    </row>
    <row r="10879" spans="1:7" x14ac:dyDescent="0.25">
      <c r="A10879" s="1" t="str">
        <f>"5955"</f>
        <v>5955</v>
      </c>
      <c r="B10879" s="2" t="str">
        <f>"FERMENTO YO-FLEX YF-L 812 50U"</f>
        <v>FERMENTO YO-FLEX YF-L 812 50U</v>
      </c>
      <c r="C10879" s="2" t="str">
        <f t="shared" si="424"/>
        <v>UN</v>
      </c>
      <c r="D10879" s="7">
        <v>218</v>
      </c>
      <c r="E10879" s="3">
        <v>2</v>
      </c>
      <c r="F10879" s="3">
        <v>2</v>
      </c>
      <c r="G10879" t="s">
        <v>513</v>
      </c>
    </row>
    <row r="10880" spans="1:7" x14ac:dyDescent="0.25">
      <c r="A10880" s="1" t="str">
        <f>"9016"</f>
        <v>9016</v>
      </c>
      <c r="B10880" s="2" t="str">
        <f>"FERMENTO YOMIX 300 LYO 500DCU"</f>
        <v>FERMENTO YOMIX 300 LYO 500DCU</v>
      </c>
      <c r="C10880" s="2" t="str">
        <f t="shared" si="424"/>
        <v>UN</v>
      </c>
      <c r="D10880" s="7">
        <v>218</v>
      </c>
      <c r="E10880" s="3">
        <v>2</v>
      </c>
      <c r="F10880" s="3">
        <v>2</v>
      </c>
      <c r="G10880" t="s">
        <v>514</v>
      </c>
    </row>
    <row r="10881" spans="1:7" x14ac:dyDescent="0.25">
      <c r="A10881" s="1" t="str">
        <f>"2806"</f>
        <v>2806</v>
      </c>
      <c r="B10881" s="2" t="str">
        <f>"FERMENTO YO-MIX 401 LYO 50DCU-500LT"</f>
        <v>FERMENTO YO-MIX 401 LYO 50DCU-500LT</v>
      </c>
      <c r="C10881" s="2" t="str">
        <f t="shared" si="424"/>
        <v>UN</v>
      </c>
      <c r="D10881" s="7">
        <v>218</v>
      </c>
      <c r="E10881" s="3">
        <v>2</v>
      </c>
      <c r="F10881" s="3">
        <v>2</v>
      </c>
      <c r="G10881" t="s">
        <v>515</v>
      </c>
    </row>
    <row r="10882" spans="1:7" x14ac:dyDescent="0.25">
      <c r="A10882" s="1" t="str">
        <f>"9013"</f>
        <v>9013</v>
      </c>
      <c r="B10882" s="2" t="str">
        <f>"FERMENTO YOMIX 465 LYO 500DCU"</f>
        <v>FERMENTO YOMIX 465 LYO 500DCU</v>
      </c>
      <c r="C10882" s="2" t="str">
        <f t="shared" si="424"/>
        <v>UN</v>
      </c>
      <c r="D10882" s="7">
        <v>218</v>
      </c>
      <c r="E10882" s="3">
        <v>2</v>
      </c>
      <c r="F10882" s="3">
        <v>2</v>
      </c>
      <c r="G10882" t="s">
        <v>512</v>
      </c>
    </row>
    <row r="10883" spans="1:7" x14ac:dyDescent="0.25">
      <c r="A10883" s="1" t="str">
        <f>"9014"</f>
        <v>9014</v>
      </c>
      <c r="B10883" s="2" t="str">
        <f>"FERMENTO YOMIX 495 LYO 250DCU"</f>
        <v>FERMENTO YOMIX 495 LYO 250DCU</v>
      </c>
      <c r="C10883" s="2" t="str">
        <f t="shared" si="424"/>
        <v>UN</v>
      </c>
      <c r="D10883" s="7">
        <v>218</v>
      </c>
      <c r="E10883" s="3">
        <v>2</v>
      </c>
      <c r="F10883" s="3">
        <v>2</v>
      </c>
      <c r="G10883" t="s">
        <v>516</v>
      </c>
    </row>
    <row r="10884" spans="1:7" x14ac:dyDescent="0.25">
      <c r="A10884" s="1" t="str">
        <f>"9015"</f>
        <v>9015</v>
      </c>
      <c r="B10884" s="2" t="str">
        <f>"FERMENTO YOMIX 499 LYO 100DCU"</f>
        <v>FERMENTO YOMIX 499 LYO 100DCU</v>
      </c>
      <c r="C10884" s="2" t="str">
        <f t="shared" si="424"/>
        <v>UN</v>
      </c>
      <c r="D10884" s="7">
        <v>218</v>
      </c>
      <c r="E10884" s="3">
        <v>2</v>
      </c>
      <c r="F10884" s="3">
        <v>2</v>
      </c>
      <c r="G10884" t="s">
        <v>515</v>
      </c>
    </row>
    <row r="10885" spans="1:7" x14ac:dyDescent="0.25">
      <c r="A10885" s="1" t="str">
        <f>"3045"</f>
        <v>3045</v>
      </c>
      <c r="B10885" s="2" t="str">
        <f>"FERMENTO YO-MIX T21 FRO 500DCU"</f>
        <v>FERMENTO YO-MIX T21 FRO 500DCU</v>
      </c>
      <c r="C10885" s="2" t="str">
        <f t="shared" si="424"/>
        <v>UN</v>
      </c>
      <c r="D10885" s="7">
        <v>218</v>
      </c>
      <c r="E10885" s="3">
        <v>2</v>
      </c>
      <c r="F10885" s="3">
        <v>2</v>
      </c>
      <c r="G10885" t="s">
        <v>514</v>
      </c>
    </row>
    <row r="10886" spans="1:7" x14ac:dyDescent="0.25">
      <c r="A10886" s="1" t="str">
        <f>"513843"</f>
        <v>513843</v>
      </c>
      <c r="B10886" s="2" t="str">
        <f>"FERRAGEM"</f>
        <v>FERRAGEM</v>
      </c>
      <c r="C10886" s="2" t="str">
        <f t="shared" si="424"/>
        <v>UN</v>
      </c>
      <c r="D10886" s="7">
        <v>704</v>
      </c>
      <c r="E10886" s="3">
        <v>9</v>
      </c>
      <c r="F10886" s="3">
        <v>9</v>
      </c>
      <c r="G10886" t="s">
        <v>512</v>
      </c>
    </row>
    <row r="10887" spans="1:7" x14ac:dyDescent="0.25">
      <c r="A10887" s="1" t="str">
        <f>"504076"</f>
        <v>504076</v>
      </c>
      <c r="B10887" s="2" t="str">
        <f>"FERRAGEM CABINE DE PASSAGEM ELETRICA"</f>
        <v>FERRAGEM CABINE DE PASSAGEM ELETRICA</v>
      </c>
      <c r="C10887" s="2" t="str">
        <f t="shared" si="424"/>
        <v>UN</v>
      </c>
      <c r="D10887" s="7">
        <v>704</v>
      </c>
      <c r="E10887" s="3">
        <v>9</v>
      </c>
      <c r="F10887" s="3">
        <v>9</v>
      </c>
      <c r="G10887" t="s">
        <v>513</v>
      </c>
    </row>
    <row r="10888" spans="1:7" x14ac:dyDescent="0.25">
      <c r="A10888" s="1" t="str">
        <f>"527061"</f>
        <v>527061</v>
      </c>
      <c r="B10888" s="2" t="str">
        <f>"FERRAGEM QUADRADA ARMADA 5/16 X 7 X 14"</f>
        <v>FERRAGEM QUADRADA ARMADA 5/16 X 7 X 14</v>
      </c>
      <c r="C10888" s="2" t="str">
        <f>"PC"</f>
        <v>PC</v>
      </c>
      <c r="D10888" s="7">
        <v>99999</v>
      </c>
      <c r="E10888" s="3">
        <v>99</v>
      </c>
      <c r="F10888" s="3">
        <v>99</v>
      </c>
      <c r="G10888" t="s">
        <v>514</v>
      </c>
    </row>
    <row r="10889" spans="1:7" x14ac:dyDescent="0.25">
      <c r="A10889" s="1" t="str">
        <f>"527010"</f>
        <v>527010</v>
      </c>
      <c r="B10889" s="2" t="str">
        <f>"FERRAMENTA CORTE BANDEJA DINI 350"</f>
        <v>FERRAMENTA CORTE BANDEJA DINI 350</v>
      </c>
      <c r="C10889" s="2" t="str">
        <f t="shared" ref="C10889:C10913" si="425">"UN"</f>
        <v>UN</v>
      </c>
      <c r="D10889" s="7">
        <v>918</v>
      </c>
      <c r="E10889" s="3">
        <v>11</v>
      </c>
      <c r="F10889" s="3">
        <v>11</v>
      </c>
      <c r="G10889" t="s">
        <v>514</v>
      </c>
    </row>
    <row r="10890" spans="1:7" x14ac:dyDescent="0.25">
      <c r="A10890" s="1" t="str">
        <f>"517303"</f>
        <v>517303</v>
      </c>
      <c r="B10890" s="2" t="str">
        <f>"FERRAMENTA CORTE BANDEJA DINI 550M"</f>
        <v>FERRAMENTA CORTE BANDEJA DINI 550M</v>
      </c>
      <c r="C10890" s="2" t="str">
        <f t="shared" si="425"/>
        <v>UN</v>
      </c>
      <c r="D10890" s="7">
        <v>918</v>
      </c>
      <c r="E10890" s="3">
        <v>11</v>
      </c>
      <c r="F10890" s="3">
        <v>11</v>
      </c>
      <c r="G10890" t="s">
        <v>512</v>
      </c>
    </row>
    <row r="10891" spans="1:7" x14ac:dyDescent="0.25">
      <c r="A10891" s="1" t="str">
        <f>"501420"</f>
        <v>501420</v>
      </c>
      <c r="B10891" s="2" t="str">
        <f>"FERRAMENTA CORTE BANDEJA DMAX"</f>
        <v>FERRAMENTA CORTE BANDEJA DMAX</v>
      </c>
      <c r="C10891" s="2" t="str">
        <f t="shared" si="425"/>
        <v>UN</v>
      </c>
      <c r="D10891" s="7">
        <v>918</v>
      </c>
      <c r="E10891" s="3">
        <v>11</v>
      </c>
      <c r="F10891" s="3">
        <v>11</v>
      </c>
      <c r="G10891" t="s">
        <v>513</v>
      </c>
    </row>
    <row r="10892" spans="1:7" x14ac:dyDescent="0.25">
      <c r="A10892" s="1" t="str">
        <f>"510273"</f>
        <v>510273</v>
      </c>
      <c r="B10892" s="2" t="str">
        <f>"FERRAMENTA CORTE E PRE-CORTE BANDEJA PETIT"</f>
        <v>FERRAMENTA CORTE E PRE-CORTE BANDEJA PETIT</v>
      </c>
      <c r="C10892" s="2" t="str">
        <f t="shared" si="425"/>
        <v>UN</v>
      </c>
      <c r="D10892" s="7">
        <v>918</v>
      </c>
      <c r="E10892" s="3">
        <v>11</v>
      </c>
      <c r="F10892" s="3">
        <v>11</v>
      </c>
      <c r="G10892" t="s">
        <v>514</v>
      </c>
    </row>
    <row r="10893" spans="1:7" x14ac:dyDescent="0.25">
      <c r="A10893" s="1" t="str">
        <f>"517304"</f>
        <v>517304</v>
      </c>
      <c r="B10893" s="2" t="str">
        <f>"FERRAMENTA CORTE ESTRELINHA DINI 550"</f>
        <v>FERRAMENTA CORTE ESTRELINHA DINI 550</v>
      </c>
      <c r="C10893" s="2" t="str">
        <f t="shared" si="425"/>
        <v>UN</v>
      </c>
      <c r="D10893" s="7">
        <v>918</v>
      </c>
      <c r="E10893" s="3">
        <v>11</v>
      </c>
      <c r="F10893" s="3">
        <v>11</v>
      </c>
      <c r="G10893" t="s">
        <v>514</v>
      </c>
    </row>
    <row r="10894" spans="1:7" x14ac:dyDescent="0.25">
      <c r="A10894" s="1" t="str">
        <f>"509634"</f>
        <v>509634</v>
      </c>
      <c r="B10894" s="2" t="str">
        <f>"FERRAMENTA DE CONTRA SELAGEM BANDEJA"</f>
        <v>FERRAMENTA DE CONTRA SELAGEM BANDEJA</v>
      </c>
      <c r="C10894" s="2" t="str">
        <f t="shared" si="425"/>
        <v>UN</v>
      </c>
      <c r="D10894" s="7">
        <v>918</v>
      </c>
      <c r="E10894" s="3">
        <v>11</v>
      </c>
      <c r="F10894" s="3">
        <v>11</v>
      </c>
      <c r="G10894" t="s">
        <v>514</v>
      </c>
    </row>
    <row r="10895" spans="1:7" x14ac:dyDescent="0.25">
      <c r="A10895" s="1" t="str">
        <f>"501419"</f>
        <v>501419</v>
      </c>
      <c r="B10895" s="2" t="str">
        <f>"FERRAMENTA DE CORTE E PRE-CORTE  DINI 550M"</f>
        <v>FERRAMENTA DE CORTE E PRE-CORTE  DINI 550M</v>
      </c>
      <c r="C10895" s="2" t="str">
        <f t="shared" si="425"/>
        <v>UN</v>
      </c>
      <c r="D10895" s="7">
        <v>918</v>
      </c>
      <c r="E10895" s="3">
        <v>11</v>
      </c>
      <c r="F10895" s="3">
        <v>11</v>
      </c>
      <c r="G10895" t="s">
        <v>513</v>
      </c>
    </row>
    <row r="10896" spans="1:7" x14ac:dyDescent="0.25">
      <c r="A10896" s="1" t="str">
        <f>"520474"</f>
        <v>520474</v>
      </c>
      <c r="B10896" s="2" t="str">
        <f>"FERRAMENTA DE CORTE SERAC 180GR"</f>
        <v>FERRAMENTA DE CORTE SERAC 180GR</v>
      </c>
      <c r="C10896" s="2" t="str">
        <f t="shared" si="425"/>
        <v>UN</v>
      </c>
      <c r="D10896" s="7">
        <v>918</v>
      </c>
      <c r="E10896" s="3">
        <v>11</v>
      </c>
      <c r="F10896" s="3">
        <v>11</v>
      </c>
      <c r="G10896" t="s">
        <v>512</v>
      </c>
    </row>
    <row r="10897" spans="1:7" x14ac:dyDescent="0.25">
      <c r="A10897" s="1" t="str">
        <f>"526712"</f>
        <v>526712</v>
      </c>
      <c r="B10897" s="2" t="str">
        <f>"FERRAMENTA DE CORTE SERAC 180GR 39mm"</f>
        <v>FERRAMENTA DE CORTE SERAC 180GR 39mm</v>
      </c>
      <c r="C10897" s="2" t="str">
        <f t="shared" si="425"/>
        <v>UN</v>
      </c>
      <c r="D10897" s="7">
        <v>918</v>
      </c>
      <c r="E10897" s="3">
        <v>11</v>
      </c>
      <c r="F10897" s="3">
        <v>11</v>
      </c>
      <c r="G10897" t="s">
        <v>513</v>
      </c>
    </row>
    <row r="10898" spans="1:7" x14ac:dyDescent="0.25">
      <c r="A10898" s="1" t="str">
        <f>"522401"</f>
        <v>522401</v>
      </c>
      <c r="B10898" s="2" t="str">
        <f>"FERRAMENTA DE CORTE SERAC 80GR"</f>
        <v>FERRAMENTA DE CORTE SERAC 80GR</v>
      </c>
      <c r="C10898" s="2" t="str">
        <f t="shared" si="425"/>
        <v>UN</v>
      </c>
      <c r="D10898" s="7">
        <v>918</v>
      </c>
      <c r="E10898" s="3">
        <v>11</v>
      </c>
      <c r="F10898" s="3">
        <v>11</v>
      </c>
      <c r="G10898" t="s">
        <v>514</v>
      </c>
    </row>
    <row r="10899" spans="1:7" x14ac:dyDescent="0.25">
      <c r="A10899" s="1" t="str">
        <f>"500709"</f>
        <v>500709</v>
      </c>
      <c r="B10899" s="2" t="str">
        <f>"FERRAMENTA DE DOBRAR FERRO"</f>
        <v>FERRAMENTA DE DOBRAR FERRO</v>
      </c>
      <c r="C10899" s="2" t="str">
        <f t="shared" si="425"/>
        <v>UN</v>
      </c>
      <c r="D10899" s="7">
        <v>403</v>
      </c>
      <c r="E10899" s="3">
        <v>4</v>
      </c>
      <c r="F10899" s="3">
        <v>4</v>
      </c>
      <c r="G10899" t="s">
        <v>514</v>
      </c>
    </row>
    <row r="10900" spans="1:7" x14ac:dyDescent="0.25">
      <c r="A10900" s="1" t="str">
        <f>"511536"</f>
        <v>511536</v>
      </c>
      <c r="B10900" s="2" t="str">
        <f>"FERRAMENTA ELET. LUXIMETRO MLM-1010/1011"</f>
        <v>FERRAMENTA ELET. LUXIMETRO MLM-1010/1011</v>
      </c>
      <c r="C10900" s="2" t="str">
        <f t="shared" si="425"/>
        <v>UN</v>
      </c>
      <c r="D10900" s="7">
        <v>601</v>
      </c>
      <c r="E10900" s="3">
        <v>8</v>
      </c>
      <c r="F10900" s="3">
        <v>8</v>
      </c>
      <c r="G10900" t="s">
        <v>514</v>
      </c>
    </row>
    <row r="10901" spans="1:7" x14ac:dyDescent="0.25">
      <c r="A10901" s="1" t="str">
        <f>"500691"</f>
        <v>500691</v>
      </c>
      <c r="B10901" s="2" t="str">
        <f>"FERRAMENTA ESTICADOR C/ CORRENTE"</f>
        <v>FERRAMENTA ESTICADOR C/ CORRENTE</v>
      </c>
      <c r="C10901" s="2" t="str">
        <f t="shared" si="425"/>
        <v>UN</v>
      </c>
      <c r="D10901" s="7">
        <v>402</v>
      </c>
      <c r="E10901" s="3">
        <v>4</v>
      </c>
      <c r="F10901" s="3">
        <v>4</v>
      </c>
      <c r="G10901" t="s">
        <v>513</v>
      </c>
    </row>
    <row r="10902" spans="1:7" x14ac:dyDescent="0.25">
      <c r="A10902" s="1" t="str">
        <f>"505065"</f>
        <v>505065</v>
      </c>
      <c r="B10902" s="2" t="str">
        <f>"FERRAMENTA FACA CIRCULAR COMPLETA DINIEPER PETIT"</f>
        <v>FERRAMENTA FACA CIRCULAR COMPLETA DINIEPER PETIT</v>
      </c>
      <c r="C10902" s="2" t="str">
        <f t="shared" si="425"/>
        <v>UN</v>
      </c>
      <c r="D10902" s="7">
        <v>918</v>
      </c>
      <c r="E10902" s="3">
        <v>11</v>
      </c>
      <c r="F10902" s="3">
        <v>11</v>
      </c>
      <c r="G10902" t="s">
        <v>513</v>
      </c>
    </row>
    <row r="10903" spans="1:7" x14ac:dyDescent="0.25">
      <c r="A10903" s="1" t="str">
        <f>"518631"</f>
        <v>518631</v>
      </c>
      <c r="B10903" s="2" t="str">
        <f>"FERRAMENTA INSERÇÃO PUSH DOW 314B"</f>
        <v>FERRAMENTA INSERÇÃO PUSH DOW 314B</v>
      </c>
      <c r="C10903" s="2" t="str">
        <f t="shared" si="425"/>
        <v>UN</v>
      </c>
      <c r="D10903" s="7">
        <v>920</v>
      </c>
      <c r="E10903" s="3">
        <v>4</v>
      </c>
      <c r="F10903" s="3">
        <v>4</v>
      </c>
      <c r="G10903" t="s">
        <v>513</v>
      </c>
    </row>
    <row r="10904" spans="1:7" x14ac:dyDescent="0.25">
      <c r="A10904" s="1" t="str">
        <f>"505051"</f>
        <v>505051</v>
      </c>
      <c r="B10904" s="2" t="str">
        <f>"FERRAMENTA SELAGEM BANDEJA"</f>
        <v>FERRAMENTA SELAGEM BANDEJA</v>
      </c>
      <c r="C10904" s="2" t="str">
        <f t="shared" si="425"/>
        <v>UN</v>
      </c>
      <c r="D10904" s="7">
        <v>918</v>
      </c>
      <c r="E10904" s="3">
        <v>11</v>
      </c>
      <c r="F10904" s="3">
        <v>11</v>
      </c>
      <c r="G10904" t="s">
        <v>512</v>
      </c>
    </row>
    <row r="10905" spans="1:7" x14ac:dyDescent="0.25">
      <c r="A10905" s="1" t="str">
        <f>"520634"</f>
        <v>520634</v>
      </c>
      <c r="B10905" s="2" t="str">
        <f>"FERRAMENTA SERAC 039 DUPLA"</f>
        <v>FERRAMENTA SERAC 039 DUPLA</v>
      </c>
      <c r="C10905" s="2" t="str">
        <f t="shared" si="425"/>
        <v>UN</v>
      </c>
      <c r="D10905" s="7">
        <v>918</v>
      </c>
      <c r="E10905" s="3">
        <v>11</v>
      </c>
      <c r="F10905" s="3">
        <v>11</v>
      </c>
      <c r="G10905" t="s">
        <v>513</v>
      </c>
    </row>
    <row r="10906" spans="1:7" x14ac:dyDescent="0.25">
      <c r="A10906" s="1" t="str">
        <f>"505068"</f>
        <v>505068</v>
      </c>
      <c r="B10906" s="2" t="str">
        <f>"FERRAMENTA SUPERIOR PLACA CONTATO DINIEPER"</f>
        <v>FERRAMENTA SUPERIOR PLACA CONTATO DINIEPER</v>
      </c>
      <c r="C10906" s="2" t="str">
        <f t="shared" si="425"/>
        <v>UN</v>
      </c>
      <c r="D10906" s="7">
        <v>918</v>
      </c>
      <c r="E10906" s="3">
        <v>11</v>
      </c>
      <c r="F10906" s="3">
        <v>11</v>
      </c>
      <c r="G10906" t="s">
        <v>514</v>
      </c>
    </row>
    <row r="10907" spans="1:7" x14ac:dyDescent="0.25">
      <c r="A10907" s="1" t="str">
        <f>"500629"</f>
        <v>500629</v>
      </c>
      <c r="B10907" s="2" t="str">
        <f>"FERRO ""U"" Nº92 BARRA (3 MTEROS)"</f>
        <v>FERRO "U" Nº92 BARRA (3 MTEROS)</v>
      </c>
      <c r="C10907" s="2" t="str">
        <f t="shared" si="425"/>
        <v>UN</v>
      </c>
      <c r="D10907" s="7">
        <v>403</v>
      </c>
      <c r="E10907" s="3">
        <v>4</v>
      </c>
      <c r="F10907" s="3">
        <v>4</v>
      </c>
      <c r="G10907" t="s">
        <v>515</v>
      </c>
    </row>
    <row r="10908" spans="1:7" x14ac:dyDescent="0.25">
      <c r="A10908" s="1" t="str">
        <f>"510840"</f>
        <v>510840</v>
      </c>
      <c r="B10908" s="2" t="str">
        <f>"FERRO BLACK E DECKER VFA"</f>
        <v>FERRO BLACK E DECKER VFA</v>
      </c>
      <c r="C10908" s="2" t="str">
        <f t="shared" si="425"/>
        <v>UN</v>
      </c>
      <c r="D10908" s="7">
        <v>401</v>
      </c>
      <c r="E10908" s="3">
        <v>4</v>
      </c>
      <c r="F10908" s="3">
        <v>4</v>
      </c>
      <c r="G10908" t="s">
        <v>512</v>
      </c>
    </row>
    <row r="10909" spans="1:7" x14ac:dyDescent="0.25">
      <c r="A10909" s="1" t="str">
        <f>"527817"</f>
        <v>527817</v>
      </c>
      <c r="B10909" s="2" t="str">
        <f>"FERRO CHATO"</f>
        <v>FERRO CHATO</v>
      </c>
      <c r="C10909" s="2" t="str">
        <f t="shared" si="425"/>
        <v>UN</v>
      </c>
      <c r="D10909" s="7">
        <v>403</v>
      </c>
      <c r="E10909" s="3">
        <v>4</v>
      </c>
      <c r="F10909" s="3">
        <v>4</v>
      </c>
      <c r="G10909" t="s">
        <v>516</v>
      </c>
    </row>
    <row r="10910" spans="1:7" x14ac:dyDescent="0.25">
      <c r="A10910" s="1" t="str">
        <f>"500429"</f>
        <v>500429</v>
      </c>
      <c r="B10910" s="2" t="str">
        <f>"FERRO CHATO 1/2 X 3/16 BARRA (6 METROS)"</f>
        <v>FERRO CHATO 1/2 X 3/16 BARRA (6 METROS)</v>
      </c>
      <c r="C10910" s="2" t="str">
        <f t="shared" si="425"/>
        <v>UN</v>
      </c>
      <c r="D10910" s="7">
        <v>403</v>
      </c>
      <c r="E10910" s="3">
        <v>4</v>
      </c>
      <c r="F10910" s="3">
        <v>4</v>
      </c>
      <c r="G10910" t="s">
        <v>515</v>
      </c>
    </row>
    <row r="10911" spans="1:7" x14ac:dyDescent="0.25">
      <c r="A10911" s="1" t="str">
        <f>"500428"</f>
        <v>500428</v>
      </c>
      <c r="B10911" s="2" t="str">
        <f>"FERRO CHATO 3 X 1"""</f>
        <v>FERRO CHATO 3 X 1"</v>
      </c>
      <c r="C10911" s="2" t="str">
        <f t="shared" si="425"/>
        <v>UN</v>
      </c>
      <c r="D10911" s="7">
        <v>403</v>
      </c>
      <c r="E10911" s="3">
        <v>4</v>
      </c>
      <c r="F10911" s="3">
        <v>4</v>
      </c>
      <c r="G10911" t="s">
        <v>514</v>
      </c>
    </row>
    <row r="10912" spans="1:7" x14ac:dyDescent="0.25">
      <c r="A10912" s="1" t="str">
        <f>"527300"</f>
        <v>527300</v>
      </c>
      <c r="B10912" s="2" t="str">
        <f>"FERRO CHATO 3/4 X 3/16 INOX"</f>
        <v>FERRO CHATO 3/4 X 3/16 INOX</v>
      </c>
      <c r="C10912" s="2" t="str">
        <f t="shared" si="425"/>
        <v>UN</v>
      </c>
      <c r="D10912" s="7">
        <v>816</v>
      </c>
      <c r="E10912" s="3">
        <v>10</v>
      </c>
      <c r="F10912" s="3">
        <v>10</v>
      </c>
      <c r="G10912" t="s">
        <v>512</v>
      </c>
    </row>
    <row r="10913" spans="1:7" x14ac:dyDescent="0.25">
      <c r="A10913" s="1" t="str">
        <f>"513008"</f>
        <v>513008</v>
      </c>
      <c r="B10913" s="2" t="str">
        <f>"FERRO CHATO 4 X 5/8"""</f>
        <v>FERRO CHATO 4 X 5/8"</v>
      </c>
      <c r="C10913" s="2" t="str">
        <f t="shared" si="425"/>
        <v>UN</v>
      </c>
      <c r="D10913" s="7">
        <v>403</v>
      </c>
      <c r="E10913" s="3">
        <v>4</v>
      </c>
      <c r="F10913" s="3">
        <v>4</v>
      </c>
      <c r="G10913" t="s">
        <v>513</v>
      </c>
    </row>
    <row r="10914" spans="1:7" x14ac:dyDescent="0.25">
      <c r="A10914" s="1" t="str">
        <f>"527334"</f>
        <v>527334</v>
      </c>
      <c r="B10914" s="2" t="str">
        <f>"FERRO CHATO 50 X 5 MM EM INOX"</f>
        <v>FERRO CHATO 50 X 5 MM EM INOX</v>
      </c>
      <c r="C10914" s="2" t="str">
        <f>"PC"</f>
        <v>PC</v>
      </c>
      <c r="D10914" s="7">
        <v>806</v>
      </c>
      <c r="E10914" s="3">
        <v>10</v>
      </c>
      <c r="F10914" s="3">
        <v>10</v>
      </c>
      <c r="G10914" t="s">
        <v>514</v>
      </c>
    </row>
    <row r="10915" spans="1:7" x14ac:dyDescent="0.25">
      <c r="A10915" s="1" t="str">
        <f>"527187"</f>
        <v>527187</v>
      </c>
      <c r="B10915" s="2" t="str">
        <f>"FERRO CHATO DE 1 X 1/8"</f>
        <v>FERRO CHATO DE 1 X 1/8</v>
      </c>
      <c r="C10915" s="2" t="str">
        <f>"PC"</f>
        <v>PC</v>
      </c>
      <c r="D10915" s="7">
        <v>806</v>
      </c>
      <c r="E10915" s="3">
        <v>10</v>
      </c>
      <c r="F10915" s="3">
        <v>10</v>
      </c>
      <c r="G10915" t="s">
        <v>514</v>
      </c>
    </row>
    <row r="10916" spans="1:7" x14ac:dyDescent="0.25">
      <c r="A10916" s="1" t="str">
        <f>"515009"</f>
        <v>515009</v>
      </c>
      <c r="B10916" s="2" t="str">
        <f>"FERRO DE SOLDA P/ ESTANHO 50WTS 220V HIKARI"</f>
        <v>FERRO DE SOLDA P/ ESTANHO 50WTS 220V HIKARI</v>
      </c>
      <c r="C10916" s="2" t="str">
        <f>"UN"</f>
        <v>UN</v>
      </c>
      <c r="D10916" s="7">
        <v>812</v>
      </c>
      <c r="E10916" s="3">
        <v>4</v>
      </c>
      <c r="F10916" s="3">
        <v>4</v>
      </c>
      <c r="G10916" t="s">
        <v>512</v>
      </c>
    </row>
    <row r="10917" spans="1:7" x14ac:dyDescent="0.25">
      <c r="A10917" s="1" t="str">
        <f>"506106"</f>
        <v>506106</v>
      </c>
      <c r="B10917" s="2" t="str">
        <f>"FERRO FUNDIDO 52"</f>
        <v>FERRO FUNDIDO 52</v>
      </c>
      <c r="C10917" s="2" t="str">
        <f>"UN"</f>
        <v>UN</v>
      </c>
      <c r="D10917" s="7">
        <v>917</v>
      </c>
      <c r="E10917" s="3">
        <v>11</v>
      </c>
      <c r="F10917" s="3">
        <v>11</v>
      </c>
      <c r="G10917" t="s">
        <v>513</v>
      </c>
    </row>
    <row r="10918" spans="1:7" x14ac:dyDescent="0.25">
      <c r="A10918" s="1" t="str">
        <f>"509347"</f>
        <v>509347</v>
      </c>
      <c r="B10918" s="2" t="str">
        <f>"FERRO REDONDO MECANICO 1/2"</f>
        <v>FERRO REDONDO MECANICO 1/2</v>
      </c>
      <c r="C10918" s="2" t="str">
        <f>"PC"</f>
        <v>PC</v>
      </c>
      <c r="D10918" s="7">
        <v>806</v>
      </c>
      <c r="E10918" s="3">
        <v>10</v>
      </c>
      <c r="F10918" s="3">
        <v>10</v>
      </c>
      <c r="G10918" t="s">
        <v>514</v>
      </c>
    </row>
    <row r="10919" spans="1:7" x14ac:dyDescent="0.25">
      <c r="A10919" s="1" t="str">
        <f>"516400"</f>
        <v>516400</v>
      </c>
      <c r="B10919" s="2" t="str">
        <f>"FERRO REDONDO MECANICO 3/4"</f>
        <v>FERRO REDONDO MECANICO 3/4</v>
      </c>
      <c r="C10919" s="2" t="str">
        <f>"PC"</f>
        <v>PC</v>
      </c>
      <c r="D10919" s="7">
        <v>806</v>
      </c>
      <c r="E10919" s="3">
        <v>10</v>
      </c>
      <c r="F10919" s="3">
        <v>10</v>
      </c>
      <c r="G10919" t="s">
        <v>514</v>
      </c>
    </row>
    <row r="10920" spans="1:7" x14ac:dyDescent="0.25">
      <c r="A10920" s="1" t="str">
        <f>"519876"</f>
        <v>519876</v>
      </c>
      <c r="B10920" s="2" t="str">
        <f>"FERRO REDONDO MECANICO 3/8"</f>
        <v>FERRO REDONDO MECANICO 3/8</v>
      </c>
      <c r="C10920" s="2" t="str">
        <f>"PC"</f>
        <v>PC</v>
      </c>
      <c r="D10920" s="7">
        <v>806</v>
      </c>
      <c r="E10920" s="3">
        <v>10</v>
      </c>
      <c r="F10920" s="3">
        <v>10</v>
      </c>
      <c r="G10920" t="s">
        <v>514</v>
      </c>
    </row>
    <row r="10921" spans="1:7" x14ac:dyDescent="0.25">
      <c r="A10921" s="1" t="str">
        <f>"522450"</f>
        <v>522450</v>
      </c>
      <c r="B10921" s="2" t="str">
        <f>"FERRO REDONDO MECANICO 5/8"</f>
        <v>FERRO REDONDO MECANICO 5/8</v>
      </c>
      <c r="C10921" s="2" t="str">
        <f>"PC"</f>
        <v>PC</v>
      </c>
      <c r="D10921" s="7">
        <v>99999</v>
      </c>
      <c r="E10921" s="3">
        <v>99</v>
      </c>
      <c r="F10921" s="3">
        <v>99</v>
      </c>
      <c r="G10921" t="s">
        <v>513</v>
      </c>
    </row>
    <row r="10922" spans="1:7" x14ac:dyDescent="0.25">
      <c r="A10922" s="1" t="str">
        <f>"516449"</f>
        <v>516449</v>
      </c>
      <c r="B10922" s="2" t="str">
        <f>"FERRO SECO BR F-04 110V MONDIAL"</f>
        <v>FERRO SECO BR F-04 110V MONDIAL</v>
      </c>
      <c r="C10922" s="2" t="str">
        <f t="shared" ref="C10922:C10930" si="426">"UN"</f>
        <v>UN</v>
      </c>
      <c r="D10922" s="7">
        <v>1200</v>
      </c>
      <c r="E10922" s="3">
        <v>4</v>
      </c>
      <c r="F10922" s="3">
        <v>4</v>
      </c>
      <c r="G10922" t="s">
        <v>512</v>
      </c>
    </row>
    <row r="10923" spans="1:7" x14ac:dyDescent="0.25">
      <c r="A10923" s="1" t="str">
        <f>"524666"</f>
        <v>524666</v>
      </c>
      <c r="B10923" s="2" t="str">
        <f>"FERRO TEE 7/8 X 1/8 GG"</f>
        <v>FERRO TEE 7/8 X 1/8 GG</v>
      </c>
      <c r="C10923" s="2" t="str">
        <f t="shared" si="426"/>
        <v>UN</v>
      </c>
      <c r="D10923" s="7">
        <v>807</v>
      </c>
      <c r="E10923" s="3">
        <v>99</v>
      </c>
      <c r="F10923" s="3">
        <v>99</v>
      </c>
      <c r="G10923" t="s">
        <v>513</v>
      </c>
    </row>
    <row r="10924" spans="1:7" x14ac:dyDescent="0.25">
      <c r="A10924" s="1" t="str">
        <f>"513738"</f>
        <v>513738</v>
      </c>
      <c r="B10924" s="2" t="str">
        <f>"FERROLHO 65X25"</f>
        <v>FERROLHO 65X25</v>
      </c>
      <c r="C10924" s="2" t="str">
        <f t="shared" si="426"/>
        <v>UN</v>
      </c>
      <c r="D10924" s="7">
        <v>912</v>
      </c>
      <c r="E10924" s="3">
        <v>4</v>
      </c>
      <c r="F10924" s="3">
        <v>4</v>
      </c>
      <c r="G10924" t="s">
        <v>514</v>
      </c>
    </row>
    <row r="10925" spans="1:7" x14ac:dyDescent="0.25">
      <c r="A10925" s="1" t="str">
        <f>"510941"</f>
        <v>510941</v>
      </c>
      <c r="B10925" s="2" t="str">
        <f>"FESTAO PVC 20CM"</f>
        <v>FESTAO PVC 20CM</v>
      </c>
      <c r="C10925" s="2" t="str">
        <f t="shared" si="426"/>
        <v>UN</v>
      </c>
      <c r="D10925" s="7">
        <v>403</v>
      </c>
      <c r="E10925" s="3">
        <v>4</v>
      </c>
      <c r="F10925" s="3">
        <v>4</v>
      </c>
      <c r="G10925" t="s">
        <v>514</v>
      </c>
    </row>
    <row r="10926" spans="1:7" x14ac:dyDescent="0.25">
      <c r="A10926" s="1" t="str">
        <f>"510496"</f>
        <v>510496</v>
      </c>
      <c r="B10926" s="2" t="str">
        <f>"FG 1/4 BSP BOL X 1/4"</f>
        <v>FG 1/4 BSP BOL X 1/4</v>
      </c>
      <c r="C10926" s="2" t="str">
        <f t="shared" si="426"/>
        <v>UN</v>
      </c>
      <c r="D10926" s="7">
        <v>914</v>
      </c>
      <c r="E10926" s="3">
        <v>11</v>
      </c>
      <c r="F10926" s="3">
        <v>11</v>
      </c>
      <c r="G10926" t="s">
        <v>514</v>
      </c>
    </row>
    <row r="10927" spans="1:7" x14ac:dyDescent="0.25">
      <c r="A10927" s="1" t="str">
        <f>"512532"</f>
        <v>512532</v>
      </c>
      <c r="B10927" s="2" t="str">
        <f>"FG METRICA 16X3/8"</f>
        <v>FG METRICA 16X3/8</v>
      </c>
      <c r="C10927" s="2" t="str">
        <f t="shared" si="426"/>
        <v>UN</v>
      </c>
      <c r="D10927" s="7">
        <v>402</v>
      </c>
      <c r="E10927" s="3">
        <v>4</v>
      </c>
      <c r="F10927" s="3">
        <v>4</v>
      </c>
      <c r="G10927" t="s">
        <v>513</v>
      </c>
    </row>
    <row r="10928" spans="1:7" x14ac:dyDescent="0.25">
      <c r="A10928" s="1" t="str">
        <f>"515063"</f>
        <v>515063</v>
      </c>
      <c r="B10928" s="2" t="str">
        <f>"FG SEDE PLANA"</f>
        <v>FG SEDE PLANA</v>
      </c>
      <c r="C10928" s="2" t="str">
        <f t="shared" si="426"/>
        <v>UN</v>
      </c>
      <c r="D10928" s="7">
        <v>812</v>
      </c>
      <c r="E10928" s="3">
        <v>11</v>
      </c>
      <c r="F10928" s="3">
        <v>11</v>
      </c>
      <c r="G10928" t="s">
        <v>513</v>
      </c>
    </row>
    <row r="10929" spans="1:7" x14ac:dyDescent="0.25">
      <c r="A10929" s="1" t="str">
        <f>"515064"</f>
        <v>515064</v>
      </c>
      <c r="B10929" s="2" t="str">
        <f>"FG SEDE PLANA 90"</f>
        <v>FG SEDE PLANA 90</v>
      </c>
      <c r="C10929" s="2" t="str">
        <f t="shared" si="426"/>
        <v>UN</v>
      </c>
      <c r="D10929" s="7">
        <v>812</v>
      </c>
      <c r="E10929" s="3">
        <v>11</v>
      </c>
      <c r="F10929" s="3">
        <v>11</v>
      </c>
      <c r="G10929" t="s">
        <v>513</v>
      </c>
    </row>
    <row r="10930" spans="1:7" x14ac:dyDescent="0.25">
      <c r="A10930" s="1" t="str">
        <f>"510110"</f>
        <v>510110</v>
      </c>
      <c r="B10930" s="2" t="str">
        <f>"FG45 1"" SEDE PLANA X 5"</f>
        <v>FG45 1" SEDE PLANA X 5</v>
      </c>
      <c r="C10930" s="2" t="str">
        <f t="shared" si="426"/>
        <v>UN</v>
      </c>
      <c r="D10930" s="7">
        <v>914</v>
      </c>
      <c r="E10930" s="3">
        <v>11</v>
      </c>
      <c r="F10930" s="3">
        <v>11</v>
      </c>
      <c r="G10930" t="s">
        <v>512</v>
      </c>
    </row>
    <row r="10931" spans="1:7" x14ac:dyDescent="0.25">
      <c r="A10931" s="1" t="str">
        <f>"511300"</f>
        <v>511300</v>
      </c>
      <c r="B10931" s="2" t="str">
        <f>"FIAÇAO COMPLETA PAINEL + TERMINAIS"</f>
        <v>FIAÇAO COMPLETA PAINEL + TERMINAIS</v>
      </c>
      <c r="C10931" s="2" t="str">
        <f>"MT"</f>
        <v>MT</v>
      </c>
      <c r="D10931" s="7">
        <v>602</v>
      </c>
      <c r="E10931" s="3">
        <v>8</v>
      </c>
      <c r="F10931" s="3">
        <v>8</v>
      </c>
      <c r="G10931" t="s">
        <v>513</v>
      </c>
    </row>
    <row r="10932" spans="1:7" x14ac:dyDescent="0.25">
      <c r="A10932" s="1" t="str">
        <f>"521074"</f>
        <v>521074</v>
      </c>
      <c r="B10932" s="2" t="str">
        <f>"FIBRA DE LIMPEZA DURA (COR AZUL CÓD. 15124)"</f>
        <v>FIBRA DE LIMPEZA DURA (COR AZUL CÓD. 15124)</v>
      </c>
      <c r="C10932" s="2" t="str">
        <f t="shared" ref="C10932:C10939" si="427">"UN"</f>
        <v>UN</v>
      </c>
      <c r="D10932" s="7">
        <v>400</v>
      </c>
      <c r="E10932" s="3">
        <v>4</v>
      </c>
      <c r="F10932" s="3">
        <v>4</v>
      </c>
      <c r="G10932" t="s">
        <v>514</v>
      </c>
    </row>
    <row r="10933" spans="1:7" x14ac:dyDescent="0.25">
      <c r="A10933" s="1" t="str">
        <f>"521073"</f>
        <v>521073</v>
      </c>
      <c r="B10933" s="2" t="str">
        <f>"FIBRA DE LIMPEZA SUAVE (COR BEGE CÓD. 15121)"</f>
        <v>FIBRA DE LIMPEZA SUAVE (COR BEGE CÓD. 15121)</v>
      </c>
      <c r="C10933" s="2" t="str">
        <f t="shared" si="427"/>
        <v>UN</v>
      </c>
      <c r="D10933" s="7">
        <v>400</v>
      </c>
      <c r="E10933" s="3">
        <v>4</v>
      </c>
      <c r="F10933" s="3">
        <v>4</v>
      </c>
      <c r="G10933" t="s">
        <v>515</v>
      </c>
    </row>
    <row r="10934" spans="1:7" x14ac:dyDescent="0.25">
      <c r="A10934" s="1" t="str">
        <f>"521780"</f>
        <v>521780</v>
      </c>
      <c r="B10934" s="2" t="str">
        <f>"FIBRA DE LIMPEZA SUAVE (COR PRETA CÓD. 15125)"</f>
        <v>FIBRA DE LIMPEZA SUAVE (COR PRETA CÓD. 15125)</v>
      </c>
      <c r="C10934" s="2" t="str">
        <f t="shared" si="427"/>
        <v>UN</v>
      </c>
      <c r="D10934" s="7">
        <v>400</v>
      </c>
      <c r="E10934" s="3">
        <v>4</v>
      </c>
      <c r="F10934" s="3">
        <v>4</v>
      </c>
      <c r="G10934" t="s">
        <v>512</v>
      </c>
    </row>
    <row r="10935" spans="1:7" x14ac:dyDescent="0.25">
      <c r="A10935" s="1" t="str">
        <f>"523521"</f>
        <v>523521</v>
      </c>
      <c r="B10935" s="2" t="str">
        <f>"FIBRA DE USO GERAL 3M SCOTCH-BRITE LIMPEZA PROFISSIONAL"</f>
        <v>FIBRA DE USO GERAL 3M SCOTCH-BRITE LIMPEZA PROFISSIONAL</v>
      </c>
      <c r="C10935" s="2" t="str">
        <f t="shared" si="427"/>
        <v>UN</v>
      </c>
      <c r="D10935" s="7">
        <v>920</v>
      </c>
      <c r="E10935" s="3">
        <v>11</v>
      </c>
      <c r="F10935" s="3">
        <v>11</v>
      </c>
      <c r="G10935" t="s">
        <v>516</v>
      </c>
    </row>
    <row r="10936" spans="1:7" x14ac:dyDescent="0.25">
      <c r="A10936" s="1" t="str">
        <f>"523522"</f>
        <v>523522</v>
      </c>
      <c r="B10936" s="2" t="str">
        <f>"FIBRA MACIA 3M SCOTCH-BRITE LIMPEZA PROFISSIONAL (PCT 5 UN)"</f>
        <v>FIBRA MACIA 3M SCOTCH-BRITE LIMPEZA PROFISSIONAL (PCT 5 UN)</v>
      </c>
      <c r="C10936" s="2" t="str">
        <f t="shared" si="427"/>
        <v>UN</v>
      </c>
      <c r="D10936" s="7">
        <v>920</v>
      </c>
      <c r="E10936" s="3">
        <v>11</v>
      </c>
      <c r="F10936" s="3">
        <v>11</v>
      </c>
      <c r="G10936" t="s">
        <v>515</v>
      </c>
    </row>
    <row r="10937" spans="1:7" x14ac:dyDescent="0.25">
      <c r="A10937" s="1" t="str">
        <f>"3343"</f>
        <v>3343</v>
      </c>
      <c r="B10937" s="2" t="str">
        <f>"FIBRA MACIA BRANCA SCOTH  BRITE -  225X110MMx5CM PCT 2 UNID."</f>
        <v>FIBRA MACIA BRANCA SCOTH  BRITE -  225X110MMx5CM PCT 2 UNID.</v>
      </c>
      <c r="C10937" s="2" t="str">
        <f t="shared" si="427"/>
        <v>UN</v>
      </c>
      <c r="D10937" s="7">
        <v>400</v>
      </c>
      <c r="E10937" s="3">
        <v>4</v>
      </c>
      <c r="F10937" s="3">
        <v>4</v>
      </c>
      <c r="G10937" t="s">
        <v>514</v>
      </c>
    </row>
    <row r="10938" spans="1:7" x14ac:dyDescent="0.25">
      <c r="A10938" s="1" t="str">
        <f>"502503"</f>
        <v>502503</v>
      </c>
      <c r="B10938" s="2" t="str">
        <f>"FIBRA NA 1002 ARAMIDA NBR 1500X1600MM 3,25MM"</f>
        <v>FIBRA NA 1002 ARAMIDA NBR 1500X1600MM 3,25MM</v>
      </c>
      <c r="C10938" s="2" t="str">
        <f t="shared" si="427"/>
        <v>UN</v>
      </c>
      <c r="D10938" s="7">
        <v>402</v>
      </c>
      <c r="E10938" s="3">
        <v>4</v>
      </c>
      <c r="F10938" s="3">
        <v>4</v>
      </c>
      <c r="G10938" t="s">
        <v>512</v>
      </c>
    </row>
    <row r="10939" spans="1:7" x14ac:dyDescent="0.25">
      <c r="A10939" s="1" t="str">
        <f>"3342"</f>
        <v>3342</v>
      </c>
      <c r="B10939" s="2" t="str">
        <f>"FIBRA NÃO RISCA AZUL SCOTH  BRITE -  225X110MMx5CM PCT 2 UNI"</f>
        <v>FIBRA NÃO RISCA AZUL SCOTH  BRITE -  225X110MMx5CM PCT 2 UNI</v>
      </c>
      <c r="C10939" s="2" t="str">
        <f t="shared" si="427"/>
        <v>UN</v>
      </c>
      <c r="D10939" s="7">
        <v>400</v>
      </c>
      <c r="E10939" s="3">
        <v>4</v>
      </c>
      <c r="F10939" s="3">
        <v>4</v>
      </c>
      <c r="G10939" t="s">
        <v>513</v>
      </c>
    </row>
    <row r="10940" spans="1:7" x14ac:dyDescent="0.25">
      <c r="A10940" s="1" t="str">
        <f>"512363"</f>
        <v>512363</v>
      </c>
      <c r="B10940" s="2" t="str">
        <f>"FIBRA OTICA IMAGE A16470"</f>
        <v>FIBRA OTICA IMAGE A16470</v>
      </c>
      <c r="C10940" s="2" t="str">
        <f>"PC"</f>
        <v>PC</v>
      </c>
      <c r="D10940" s="7">
        <v>900</v>
      </c>
      <c r="E10940" s="3">
        <v>11</v>
      </c>
      <c r="F10940" s="3">
        <v>11</v>
      </c>
      <c r="G10940" t="s">
        <v>514</v>
      </c>
    </row>
    <row r="10941" spans="1:7" x14ac:dyDescent="0.25">
      <c r="A10941" s="1" t="str">
        <f>"520464"</f>
        <v>520464</v>
      </c>
      <c r="B10941" s="2" t="str">
        <f>"FIBRA OTICA LL3-DB01"</f>
        <v>FIBRA OTICA LL3-DB01</v>
      </c>
      <c r="C10941" s="2" t="str">
        <f>"PC"</f>
        <v>PC</v>
      </c>
      <c r="D10941" s="7">
        <v>900</v>
      </c>
      <c r="E10941" s="3">
        <v>11</v>
      </c>
      <c r="F10941" s="3">
        <v>11</v>
      </c>
      <c r="G10941" t="s">
        <v>514</v>
      </c>
    </row>
    <row r="10942" spans="1:7" x14ac:dyDescent="0.25">
      <c r="A10942" s="1" t="str">
        <f>"520463"</f>
        <v>520463</v>
      </c>
      <c r="B10942" s="2" t="str">
        <f>"FIBRA OTICA LL3-TB01"</f>
        <v>FIBRA OTICA LL3-TB01</v>
      </c>
      <c r="C10942" s="2" t="str">
        <f>"PC"</f>
        <v>PC</v>
      </c>
      <c r="D10942" s="7">
        <v>900</v>
      </c>
      <c r="E10942" s="3">
        <v>11</v>
      </c>
      <c r="F10942" s="3">
        <v>11</v>
      </c>
      <c r="G10942" t="s">
        <v>512</v>
      </c>
    </row>
    <row r="10943" spans="1:7" x14ac:dyDescent="0.25">
      <c r="A10943" s="1" t="str">
        <f>"500816"</f>
        <v>500816</v>
      </c>
      <c r="B10943" s="2" t="str">
        <f>"FIBRA OTICA P/ LEITURA OMRON E32-DC200"</f>
        <v>FIBRA OTICA P/ LEITURA OMRON E32-DC200</v>
      </c>
      <c r="C10943" s="2" t="str">
        <f>"UN"</f>
        <v>UN</v>
      </c>
      <c r="D10943" s="7">
        <v>900</v>
      </c>
      <c r="E10943" s="3">
        <v>11</v>
      </c>
      <c r="F10943" s="3">
        <v>11</v>
      </c>
      <c r="G10943" t="s">
        <v>513</v>
      </c>
    </row>
    <row r="10944" spans="1:7" x14ac:dyDescent="0.25">
      <c r="A10944" s="1" t="str">
        <f>"506419"</f>
        <v>506419</v>
      </c>
      <c r="B10944" s="2" t="str">
        <f>"FIBRA OTICA P/ LEITURA OMRON E32-TC200"</f>
        <v>FIBRA OTICA P/ LEITURA OMRON E32-TC200</v>
      </c>
      <c r="C10944" s="2" t="str">
        <f>"UN"</f>
        <v>UN</v>
      </c>
      <c r="D10944" s="7">
        <v>900</v>
      </c>
      <c r="E10944" s="3">
        <v>11</v>
      </c>
      <c r="F10944" s="3">
        <v>11</v>
      </c>
      <c r="G10944" t="s">
        <v>514</v>
      </c>
    </row>
    <row r="10945" spans="1:7" x14ac:dyDescent="0.25">
      <c r="A10945" s="1" t="str">
        <f>"517089"</f>
        <v>517089</v>
      </c>
      <c r="B10945" s="2" t="str">
        <f>"FIBRA OTICA P/ REDE"</f>
        <v>FIBRA OTICA P/ REDE</v>
      </c>
      <c r="C10945" s="2" t="str">
        <f>"MT"</f>
        <v>MT</v>
      </c>
      <c r="D10945" s="7">
        <v>811</v>
      </c>
      <c r="E10945" s="3">
        <v>8</v>
      </c>
      <c r="F10945" s="3">
        <v>8</v>
      </c>
      <c r="G10945" t="s">
        <v>514</v>
      </c>
    </row>
    <row r="10946" spans="1:7" x14ac:dyDescent="0.25">
      <c r="A10946" s="1" t="str">
        <f>"518283"</f>
        <v>518283</v>
      </c>
      <c r="B10946" s="2" t="str">
        <f>"FIBRA P/ LATERAL DO BAÚ"</f>
        <v>FIBRA P/ LATERAL DO BAÚ</v>
      </c>
      <c r="C10946" s="2" t="str">
        <f t="shared" ref="C10946:C10971" si="428">"UN"</f>
        <v>UN</v>
      </c>
      <c r="D10946" s="7">
        <v>818</v>
      </c>
      <c r="E10946" s="3">
        <v>9</v>
      </c>
      <c r="F10946" s="3">
        <v>9</v>
      </c>
      <c r="G10946" t="s">
        <v>514</v>
      </c>
    </row>
    <row r="10947" spans="1:7" x14ac:dyDescent="0.25">
      <c r="A10947" s="1" t="str">
        <f>"514643"</f>
        <v>514643</v>
      </c>
      <c r="B10947" s="2" t="str">
        <f>"FIBRASE POM 30GR"</f>
        <v>FIBRASE POM 30GR</v>
      </c>
      <c r="C10947" s="2" t="str">
        <f t="shared" si="428"/>
        <v>UN</v>
      </c>
      <c r="D10947" s="7">
        <v>406</v>
      </c>
      <c r="E10947" s="3">
        <v>4</v>
      </c>
      <c r="F10947" s="3">
        <v>4</v>
      </c>
      <c r="G10947" t="s">
        <v>513</v>
      </c>
    </row>
    <row r="10948" spans="1:7" x14ac:dyDescent="0.25">
      <c r="A10948" s="1" t="str">
        <f>"512805"</f>
        <v>512805</v>
      </c>
      <c r="B10948" s="2" t="str">
        <f>"FICAM VC DILUIDO DETETIZAÇÃO"</f>
        <v>FICAM VC DILUIDO DETETIZAÇÃO</v>
      </c>
      <c r="C10948" s="2" t="str">
        <f t="shared" si="428"/>
        <v>UN</v>
      </c>
      <c r="D10948" s="7">
        <v>99999</v>
      </c>
      <c r="E10948" s="3">
        <v>99</v>
      </c>
      <c r="F10948" s="3">
        <v>99</v>
      </c>
      <c r="G10948" t="s">
        <v>512</v>
      </c>
    </row>
    <row r="10949" spans="1:7" x14ac:dyDescent="0.25">
      <c r="A10949" s="1" t="str">
        <f>"515721"</f>
        <v>515721</v>
      </c>
      <c r="B10949" s="2" t="str">
        <f>"FICHA CHECK LIST"</f>
        <v>FICHA CHECK LIST</v>
      </c>
      <c r="C10949" s="2" t="str">
        <f t="shared" si="428"/>
        <v>UN</v>
      </c>
      <c r="D10949" s="7">
        <v>401</v>
      </c>
      <c r="E10949" s="3">
        <v>4</v>
      </c>
      <c r="F10949" s="3">
        <v>4</v>
      </c>
      <c r="G10949" t="s">
        <v>513</v>
      </c>
    </row>
    <row r="10950" spans="1:7" x14ac:dyDescent="0.25">
      <c r="A10950" s="1" t="str">
        <f>"3248"</f>
        <v>3248</v>
      </c>
      <c r="B10950" s="2" t="str">
        <f>"FICHA DE CONTROLE DE LEITE 01 AO 10"</f>
        <v>FICHA DE CONTROLE DE LEITE 01 AO 10</v>
      </c>
      <c r="C10950" s="2" t="str">
        <f t="shared" si="428"/>
        <v>UN</v>
      </c>
      <c r="D10950" s="7">
        <v>401</v>
      </c>
      <c r="E10950" s="3">
        <v>4</v>
      </c>
      <c r="F10950" s="3">
        <v>4</v>
      </c>
      <c r="G10950" t="s">
        <v>514</v>
      </c>
    </row>
    <row r="10951" spans="1:7" x14ac:dyDescent="0.25">
      <c r="A10951" s="1" t="str">
        <f>"3247"</f>
        <v>3247</v>
      </c>
      <c r="B10951" s="2" t="str">
        <f>"FICHA DE CONTROLE DE LEITE 01 AO 31"</f>
        <v>FICHA DE CONTROLE DE LEITE 01 AO 31</v>
      </c>
      <c r="C10951" s="2" t="str">
        <f t="shared" si="428"/>
        <v>UN</v>
      </c>
      <c r="D10951" s="7">
        <v>401</v>
      </c>
      <c r="E10951" s="3">
        <v>4</v>
      </c>
      <c r="F10951" s="3">
        <v>4</v>
      </c>
      <c r="G10951" t="s">
        <v>514</v>
      </c>
    </row>
    <row r="10952" spans="1:7" x14ac:dyDescent="0.25">
      <c r="A10952" s="1" t="str">
        <f>"3249"</f>
        <v>3249</v>
      </c>
      <c r="B10952" s="2" t="str">
        <f>"FICHA DE CONTROLE DE LEITE 11 AO 20"</f>
        <v>FICHA DE CONTROLE DE LEITE 11 AO 20</v>
      </c>
      <c r="C10952" s="2" t="str">
        <f t="shared" si="428"/>
        <v>UN</v>
      </c>
      <c r="D10952" s="7">
        <v>401</v>
      </c>
      <c r="E10952" s="3">
        <v>4</v>
      </c>
      <c r="F10952" s="3">
        <v>4</v>
      </c>
      <c r="G10952" t="s">
        <v>514</v>
      </c>
    </row>
    <row r="10953" spans="1:7" x14ac:dyDescent="0.25">
      <c r="A10953" s="1" t="str">
        <f>"3250"</f>
        <v>3250</v>
      </c>
      <c r="B10953" s="2" t="str">
        <f>"FICHA DE CONTROLE DE LEITE 21 AO 31"</f>
        <v>FICHA DE CONTROLE DE LEITE 21 AO 31</v>
      </c>
      <c r="C10953" s="2" t="str">
        <f t="shared" si="428"/>
        <v>UN</v>
      </c>
      <c r="D10953" s="7">
        <v>401</v>
      </c>
      <c r="E10953" s="3">
        <v>4</v>
      </c>
      <c r="F10953" s="3">
        <v>4</v>
      </c>
      <c r="G10953" t="s">
        <v>513</v>
      </c>
    </row>
    <row r="10954" spans="1:7" x14ac:dyDescent="0.25">
      <c r="A10954" s="1" t="str">
        <f>"573823"</f>
        <v>573823</v>
      </c>
      <c r="B10954" s="2" t="str">
        <f>"FICHA DE SORTEIO"</f>
        <v>FICHA DE SORTEIO</v>
      </c>
      <c r="C10954" s="2" t="str">
        <f t="shared" si="428"/>
        <v>UN</v>
      </c>
      <c r="D10954" s="7">
        <v>99999</v>
      </c>
      <c r="E10954" s="3">
        <v>99</v>
      </c>
      <c r="F10954" s="3">
        <v>99</v>
      </c>
      <c r="G10954" t="s">
        <v>513</v>
      </c>
    </row>
    <row r="10955" spans="1:7" x14ac:dyDescent="0.25">
      <c r="A10955" s="1" t="str">
        <f>"523350"</f>
        <v>523350</v>
      </c>
      <c r="B10955" s="2" t="str">
        <f>"FICHA EPI PAPEL TIPO CARTOLINA AZUL CLARO"</f>
        <v>FICHA EPI PAPEL TIPO CARTOLINA AZUL CLARO</v>
      </c>
      <c r="C10955" s="2" t="str">
        <f t="shared" si="428"/>
        <v>UN</v>
      </c>
      <c r="D10955" s="7">
        <v>401</v>
      </c>
      <c r="E10955" s="3">
        <v>4</v>
      </c>
      <c r="F10955" s="3">
        <v>4</v>
      </c>
      <c r="G10955" t="s">
        <v>513</v>
      </c>
    </row>
    <row r="10956" spans="1:7" x14ac:dyDescent="0.25">
      <c r="A10956" s="1" t="str">
        <f>"509414"</f>
        <v>509414</v>
      </c>
      <c r="B10956" s="2" t="str">
        <f>"FICHA FXV - USINA DE BENEFICIAMENTO"</f>
        <v>FICHA FXV - USINA DE BENEFICIAMENTO</v>
      </c>
      <c r="C10956" s="2" t="str">
        <f t="shared" si="428"/>
        <v>UN</v>
      </c>
      <c r="D10956" s="7">
        <v>401</v>
      </c>
      <c r="E10956" s="3">
        <v>4</v>
      </c>
      <c r="F10956" s="3">
        <v>4</v>
      </c>
      <c r="G10956" t="s">
        <v>512</v>
      </c>
    </row>
    <row r="10957" spans="1:7" x14ac:dyDescent="0.25">
      <c r="A10957" s="1" t="str">
        <f>"514465"</f>
        <v>514465</v>
      </c>
      <c r="B10957" s="2" t="str">
        <f>"FICHA PAUTADA"</f>
        <v>FICHA PAUTADA</v>
      </c>
      <c r="C10957" s="2" t="str">
        <f t="shared" si="428"/>
        <v>UN</v>
      </c>
      <c r="D10957" s="7">
        <v>401</v>
      </c>
      <c r="E10957" s="3">
        <v>4</v>
      </c>
      <c r="F10957" s="3">
        <v>4</v>
      </c>
      <c r="G10957" t="s">
        <v>513</v>
      </c>
    </row>
    <row r="10958" spans="1:7" x14ac:dyDescent="0.25">
      <c r="A10958" s="1" t="str">
        <f>"514466"</f>
        <v>514466</v>
      </c>
      <c r="B10958" s="2" t="str">
        <f>"FICHA PAUTADA"</f>
        <v>FICHA PAUTADA</v>
      </c>
      <c r="C10958" s="2" t="str">
        <f t="shared" si="428"/>
        <v>UN</v>
      </c>
      <c r="D10958" s="7">
        <v>401</v>
      </c>
      <c r="E10958" s="3">
        <v>4</v>
      </c>
      <c r="F10958" s="3">
        <v>4</v>
      </c>
      <c r="G10958" t="s">
        <v>514</v>
      </c>
    </row>
    <row r="10959" spans="1:7" x14ac:dyDescent="0.25">
      <c r="A10959" s="1" t="str">
        <f>"512856"</f>
        <v>512856</v>
      </c>
      <c r="B10959" s="2" t="str">
        <f>"FICHA SIF"</f>
        <v>FICHA SIF</v>
      </c>
      <c r="C10959" s="2" t="str">
        <f t="shared" si="428"/>
        <v>UN</v>
      </c>
      <c r="D10959" s="7">
        <v>401</v>
      </c>
      <c r="E10959" s="3">
        <v>4</v>
      </c>
      <c r="F10959" s="3">
        <v>4</v>
      </c>
      <c r="G10959" t="s">
        <v>515</v>
      </c>
    </row>
    <row r="10960" spans="1:7" x14ac:dyDescent="0.25">
      <c r="A10960" s="1" t="str">
        <f>"510216"</f>
        <v>510216</v>
      </c>
      <c r="B10960" s="2" t="str">
        <f>"FICHA VOTACAO CIPA"</f>
        <v>FICHA VOTACAO CIPA</v>
      </c>
      <c r="C10960" s="2" t="str">
        <f t="shared" si="428"/>
        <v>UN</v>
      </c>
      <c r="D10960" s="7">
        <v>401</v>
      </c>
      <c r="E10960" s="3">
        <v>4</v>
      </c>
      <c r="F10960" s="3">
        <v>4</v>
      </c>
      <c r="G10960" t="s">
        <v>512</v>
      </c>
    </row>
    <row r="10961" spans="1:7" x14ac:dyDescent="0.25">
      <c r="A10961" s="1" t="str">
        <f>"527306"</f>
        <v>527306</v>
      </c>
      <c r="B10961" s="2" t="str">
        <f>"FICHARIO DE MESA 6X9 PRETO - WALEU"</f>
        <v>FICHARIO DE MESA 6X9 PRETO - WALEU</v>
      </c>
      <c r="C10961" s="2" t="str">
        <f t="shared" si="428"/>
        <v>UN</v>
      </c>
      <c r="D10961" s="7">
        <v>99999</v>
      </c>
      <c r="E10961" s="3">
        <v>99</v>
      </c>
      <c r="F10961" s="3">
        <v>99</v>
      </c>
      <c r="G10961" t="s">
        <v>516</v>
      </c>
    </row>
    <row r="10962" spans="1:7" x14ac:dyDescent="0.25">
      <c r="A10962" s="1" t="str">
        <f>"515589"</f>
        <v>515589</v>
      </c>
      <c r="B10962" s="2" t="str">
        <f>"FILE DE PEIXE"</f>
        <v>FILE DE PEIXE</v>
      </c>
      <c r="C10962" s="2" t="str">
        <f t="shared" si="428"/>
        <v>UN</v>
      </c>
      <c r="D10962" s="7">
        <v>401</v>
      </c>
      <c r="E10962" s="3">
        <v>4</v>
      </c>
      <c r="F10962" s="3">
        <v>4</v>
      </c>
      <c r="G10962" t="s">
        <v>515</v>
      </c>
    </row>
    <row r="10963" spans="1:7" x14ac:dyDescent="0.25">
      <c r="A10963" s="1" t="str">
        <f>"515215"</f>
        <v>515215</v>
      </c>
      <c r="B10963" s="2" t="str">
        <f>"FILETE PARA FAIXA"</f>
        <v>FILETE PARA FAIXA</v>
      </c>
      <c r="C10963" s="2" t="str">
        <f t="shared" si="428"/>
        <v>UN</v>
      </c>
      <c r="D10963" s="7">
        <v>704</v>
      </c>
      <c r="E10963" s="3">
        <v>9</v>
      </c>
      <c r="F10963" s="3">
        <v>9</v>
      </c>
      <c r="G10963" t="s">
        <v>514</v>
      </c>
    </row>
    <row r="10964" spans="1:7" x14ac:dyDescent="0.25">
      <c r="A10964" s="1" t="str">
        <f>"512589"</f>
        <v>512589</v>
      </c>
      <c r="B10964" s="2" t="str">
        <f>"FILLER 2 25KG"</f>
        <v>FILLER 2 25KG</v>
      </c>
      <c r="C10964" s="2" t="str">
        <f t="shared" si="428"/>
        <v>UN</v>
      </c>
      <c r="D10964" s="7">
        <v>803</v>
      </c>
      <c r="E10964" s="3">
        <v>10</v>
      </c>
      <c r="F10964" s="3">
        <v>10</v>
      </c>
      <c r="G10964" t="s">
        <v>512</v>
      </c>
    </row>
    <row r="10965" spans="1:7" x14ac:dyDescent="0.25">
      <c r="A10965" s="1" t="str">
        <f>"514710"</f>
        <v>514710</v>
      </c>
      <c r="B10965" s="2" t="str">
        <f>"FILMADORA DIGITAL"</f>
        <v>FILMADORA DIGITAL</v>
      </c>
      <c r="C10965" s="2" t="str">
        <f t="shared" si="428"/>
        <v>UN</v>
      </c>
      <c r="D10965" s="7">
        <v>401</v>
      </c>
      <c r="E10965" s="3">
        <v>4</v>
      </c>
      <c r="F10965" s="3">
        <v>4</v>
      </c>
      <c r="G10965" t="s">
        <v>513</v>
      </c>
    </row>
    <row r="10966" spans="1:7" x14ac:dyDescent="0.25">
      <c r="A10966" s="1" t="str">
        <f>"CO39201099"</f>
        <v>CO39201099</v>
      </c>
      <c r="B10966" s="2" t="str">
        <f>"FILME"</f>
        <v>FILME</v>
      </c>
      <c r="C10966" s="2" t="str">
        <f t="shared" si="428"/>
        <v>UN</v>
      </c>
      <c r="D10966" s="7">
        <v>99999</v>
      </c>
      <c r="E10966" s="3">
        <v>99</v>
      </c>
      <c r="F10966" s="3">
        <v>99</v>
      </c>
      <c r="G10966" t="s">
        <v>514</v>
      </c>
    </row>
    <row r="10967" spans="1:7" x14ac:dyDescent="0.25">
      <c r="A10967" s="1" t="str">
        <f>"4077"</f>
        <v>4077</v>
      </c>
      <c r="B10967" s="2" t="str">
        <f>"FILME AL 320GR SOBREMESA- CHOC AO LEITE CAROLINA (DINI 300M)"</f>
        <v>FILME AL 320GR SOBREMESA- CHOC AO LEITE CAROLINA (DINI 300M)</v>
      </c>
      <c r="C10967" s="2" t="str">
        <f t="shared" si="428"/>
        <v>UN</v>
      </c>
      <c r="D10967" s="7">
        <v>100</v>
      </c>
      <c r="E10967" s="3">
        <v>1</v>
      </c>
      <c r="F10967" s="3">
        <v>1</v>
      </c>
      <c r="G10967" t="s">
        <v>514</v>
      </c>
    </row>
    <row r="10968" spans="1:7" x14ac:dyDescent="0.25">
      <c r="A10968" s="1" t="str">
        <f>"4078"</f>
        <v>4078</v>
      </c>
      <c r="B10968" s="2" t="str">
        <f>"FILME AL 320GR SOBREMESA- CHOC BRANCO CAROLINA (DINI 300M)"</f>
        <v>FILME AL 320GR SOBREMESA- CHOC BRANCO CAROLINA (DINI 300M)</v>
      </c>
      <c r="C10968" s="2" t="str">
        <f t="shared" si="428"/>
        <v>UN</v>
      </c>
      <c r="D10968" s="7">
        <v>100</v>
      </c>
      <c r="E10968" s="3">
        <v>1</v>
      </c>
      <c r="F10968" s="3">
        <v>1</v>
      </c>
      <c r="G10968" t="s">
        <v>512</v>
      </c>
    </row>
    <row r="10969" spans="1:7" x14ac:dyDescent="0.25">
      <c r="A10969" s="1" t="str">
        <f>"4076"</f>
        <v>4076</v>
      </c>
      <c r="B10969" s="2" t="str">
        <f>"FILME AL. 320GR PETIT - MOR/MAC/BANANA CAROLINA (DINI 300M)"</f>
        <v>FILME AL. 320GR PETIT - MOR/MAC/BANANA CAROLINA (DINI 300M)</v>
      </c>
      <c r="C10969" s="2" t="str">
        <f t="shared" si="428"/>
        <v>UN</v>
      </c>
      <c r="D10969" s="7">
        <v>100</v>
      </c>
      <c r="E10969" s="3">
        <v>1</v>
      </c>
      <c r="F10969" s="3">
        <v>1</v>
      </c>
      <c r="G10969" t="s">
        <v>513</v>
      </c>
    </row>
    <row r="10970" spans="1:7" x14ac:dyDescent="0.25">
      <c r="A10970" s="1" t="str">
        <f>"4080"</f>
        <v>4080</v>
      </c>
      <c r="B10970" s="2" t="str">
        <f>"FILME AL. 320GR PETIT- MORANGO CAROLINA (DINI 300M)"</f>
        <v>FILME AL. 320GR PETIT- MORANGO CAROLINA (DINI 300M)</v>
      </c>
      <c r="C10970" s="2" t="str">
        <f t="shared" si="428"/>
        <v>UN</v>
      </c>
      <c r="D10970" s="7">
        <v>100</v>
      </c>
      <c r="E10970" s="3">
        <v>1</v>
      </c>
      <c r="F10970" s="3">
        <v>1</v>
      </c>
      <c r="G10970" t="s">
        <v>514</v>
      </c>
    </row>
    <row r="10971" spans="1:7" x14ac:dyDescent="0.25">
      <c r="A10971" s="1" t="str">
        <f>"4079"</f>
        <v>4079</v>
      </c>
      <c r="B10971" s="2" t="str">
        <f>"FILME AL. 320GR PETIT- UVA CAROLINA (DINI 300M)"</f>
        <v>FILME AL. 320GR PETIT- UVA CAROLINA (DINI 300M)</v>
      </c>
      <c r="C10971" s="2" t="str">
        <f t="shared" si="428"/>
        <v>UN</v>
      </c>
      <c r="D10971" s="7">
        <v>100</v>
      </c>
      <c r="E10971" s="3">
        <v>1</v>
      </c>
      <c r="F10971" s="3">
        <v>1</v>
      </c>
      <c r="G10971" t="s">
        <v>514</v>
      </c>
    </row>
    <row r="10972" spans="1:7" x14ac:dyDescent="0.25">
      <c r="A10972" s="1" t="str">
        <f>"7162"</f>
        <v>7162</v>
      </c>
      <c r="B10972" s="2" t="str">
        <f>"FILME AL. FRASCO 160G 85MM SEM IMPRESSÃO"</f>
        <v>FILME AL. FRASCO 160G 85MM SEM IMPRESSÃO</v>
      </c>
      <c r="C10972" s="2" t="str">
        <f t="shared" ref="C10972:C10990" si="429">"KG"</f>
        <v>KG</v>
      </c>
      <c r="D10972" s="7">
        <v>100</v>
      </c>
      <c r="E10972" s="3">
        <v>1</v>
      </c>
      <c r="F10972" s="3">
        <v>1</v>
      </c>
      <c r="G10972" t="s">
        <v>514</v>
      </c>
    </row>
    <row r="10973" spans="1:7" x14ac:dyDescent="0.25">
      <c r="A10973" s="1" t="str">
        <f>"7044"</f>
        <v>7044</v>
      </c>
      <c r="B10973" s="2" t="str">
        <f>"FILME AL. FRASCO 160G PEAD 85MM SEM IMPRESSÃO"</f>
        <v>FILME AL. FRASCO 160G PEAD 85MM SEM IMPRESSÃO</v>
      </c>
      <c r="C10973" s="2" t="str">
        <f t="shared" si="429"/>
        <v>KG</v>
      </c>
      <c r="D10973" s="7">
        <v>100</v>
      </c>
      <c r="E10973" s="3">
        <v>1</v>
      </c>
      <c r="F10973" s="3">
        <v>1</v>
      </c>
      <c r="G10973" t="s">
        <v>513</v>
      </c>
    </row>
    <row r="10974" spans="1:7" x14ac:dyDescent="0.25">
      <c r="A10974" s="1" t="str">
        <f>"7131"</f>
        <v>7131</v>
      </c>
      <c r="B10974" s="2" t="str">
        <f>"FILME AL. FRASCO 180G 98MM SEM IMPRESSÃO"</f>
        <v>FILME AL. FRASCO 180G 98MM SEM IMPRESSÃO</v>
      </c>
      <c r="C10974" s="2" t="str">
        <f t="shared" si="429"/>
        <v>KG</v>
      </c>
      <c r="D10974" s="7">
        <v>100</v>
      </c>
      <c r="E10974" s="3">
        <v>1</v>
      </c>
      <c r="F10974" s="3">
        <v>1</v>
      </c>
      <c r="G10974" t="s">
        <v>512</v>
      </c>
    </row>
    <row r="10975" spans="1:7" x14ac:dyDescent="0.25">
      <c r="A10975" s="1" t="str">
        <f>"201"</f>
        <v>201</v>
      </c>
      <c r="B10975" s="2" t="str">
        <f>"FILME AL. FRASCO 180GR 58MM SEM IMPRESSA"</f>
        <v>FILME AL. FRASCO 180GR 58MM SEM IMPRESSA</v>
      </c>
      <c r="C10975" s="2" t="str">
        <f t="shared" si="429"/>
        <v>KG</v>
      </c>
      <c r="D10975" s="7">
        <v>100</v>
      </c>
      <c r="E10975" s="3">
        <v>1</v>
      </c>
      <c r="F10975" s="3">
        <v>1</v>
      </c>
      <c r="G10975" t="s">
        <v>513</v>
      </c>
    </row>
    <row r="10976" spans="1:7" x14ac:dyDescent="0.25">
      <c r="A10976" s="1" t="str">
        <f>"6610"</f>
        <v>6610</v>
      </c>
      <c r="B10976" s="2" t="str">
        <f>"FILME AL. FRASCO 80GR 48MM COR AZUL"</f>
        <v>FILME AL. FRASCO 80GR 48MM COR AZUL</v>
      </c>
      <c r="C10976" s="2" t="str">
        <f t="shared" si="429"/>
        <v>KG</v>
      </c>
      <c r="D10976" s="7">
        <v>100</v>
      </c>
      <c r="E10976" s="3">
        <v>1</v>
      </c>
      <c r="F10976" s="3">
        <v>1</v>
      </c>
      <c r="G10976" t="s">
        <v>514</v>
      </c>
    </row>
    <row r="10977" spans="1:7" x14ac:dyDescent="0.25">
      <c r="A10977" s="1" t="str">
        <f>"4196"</f>
        <v>4196</v>
      </c>
      <c r="B10977" s="2" t="str">
        <f>"FILME AL. FRASCO PEAD 115G 83MM COR VERMELHA"</f>
        <v>FILME AL. FRASCO PEAD 115G 83MM COR VERMELHA</v>
      </c>
      <c r="C10977" s="2" t="str">
        <f t="shared" si="429"/>
        <v>KG</v>
      </c>
      <c r="D10977" s="7">
        <v>100</v>
      </c>
      <c r="E10977" s="3">
        <v>1</v>
      </c>
      <c r="F10977" s="3">
        <v>1</v>
      </c>
      <c r="G10977" t="s">
        <v>514</v>
      </c>
    </row>
    <row r="10978" spans="1:7" x14ac:dyDescent="0.25">
      <c r="A10978" s="1" t="str">
        <f>"7132"</f>
        <v>7132</v>
      </c>
      <c r="B10978" s="2" t="str">
        <f>"FILME AL. FRASCO PEAD 75G 83MM COR AZUL"</f>
        <v>FILME AL. FRASCO PEAD 75G 83MM COR AZUL</v>
      </c>
      <c r="C10978" s="2" t="str">
        <f t="shared" si="429"/>
        <v>KG</v>
      </c>
      <c r="D10978" s="7">
        <v>100</v>
      </c>
      <c r="E10978" s="3">
        <v>1</v>
      </c>
      <c r="F10978" s="3">
        <v>1</v>
      </c>
      <c r="G10978" t="s">
        <v>514</v>
      </c>
    </row>
    <row r="10979" spans="1:7" x14ac:dyDescent="0.25">
      <c r="A10979" s="1" t="str">
        <f>"7140"</f>
        <v>7140</v>
      </c>
      <c r="B10979" s="2" t="str">
        <f>"FILME AL. FRASCO PEAD 75G 83MM COR VERDE"</f>
        <v>FILME AL. FRASCO PEAD 75G 83MM COR VERDE</v>
      </c>
      <c r="C10979" s="2" t="str">
        <f t="shared" si="429"/>
        <v>KG</v>
      </c>
      <c r="D10979" s="7">
        <v>100</v>
      </c>
      <c r="E10979" s="3">
        <v>1</v>
      </c>
      <c r="F10979" s="3">
        <v>1</v>
      </c>
      <c r="G10979" t="s">
        <v>513</v>
      </c>
    </row>
    <row r="10980" spans="1:7" x14ac:dyDescent="0.25">
      <c r="A10980" s="1" t="str">
        <f>"7161"</f>
        <v>7161</v>
      </c>
      <c r="B10980" s="2" t="str">
        <f>"FILME AL. FRASCO PET 165G 85MM SEM IMPRESSÃO"</f>
        <v>FILME AL. FRASCO PET 165G 85MM SEM IMPRESSÃO</v>
      </c>
      <c r="C10980" s="2" t="str">
        <f t="shared" si="429"/>
        <v>KG</v>
      </c>
      <c r="D10980" s="7">
        <v>100</v>
      </c>
      <c r="E10980" s="3">
        <v>1</v>
      </c>
      <c r="F10980" s="3">
        <v>1</v>
      </c>
      <c r="G10980" t="s">
        <v>513</v>
      </c>
    </row>
    <row r="10981" spans="1:7" x14ac:dyDescent="0.25">
      <c r="A10981" s="1" t="str">
        <f>"842"</f>
        <v>842</v>
      </c>
      <c r="B10981" s="2" t="str">
        <f>"FILME AL.320GR PETIT - MORANGO CARREFOUR"</f>
        <v>FILME AL.320GR PETIT - MORANGO CARREFOUR</v>
      </c>
      <c r="C10981" s="2" t="str">
        <f t="shared" si="429"/>
        <v>KG</v>
      </c>
      <c r="D10981" s="7">
        <v>100</v>
      </c>
      <c r="E10981" s="3">
        <v>1</v>
      </c>
      <c r="F10981" s="3">
        <v>1</v>
      </c>
      <c r="G10981" t="s">
        <v>513</v>
      </c>
    </row>
    <row r="10982" spans="1:7" x14ac:dyDescent="0.25">
      <c r="A10982" s="1" t="str">
        <f>"846"</f>
        <v>846</v>
      </c>
      <c r="B10982" s="2" t="str">
        <f>"FILME AL.320GR PETIT - MORANGO CARREFOUR (DINI 350M)"</f>
        <v>FILME AL.320GR PETIT - MORANGO CARREFOUR (DINI 350M)</v>
      </c>
      <c r="C10982" s="2" t="str">
        <f t="shared" si="429"/>
        <v>KG</v>
      </c>
      <c r="D10982" s="7">
        <v>100</v>
      </c>
      <c r="E10982" s="3">
        <v>1</v>
      </c>
      <c r="F10982" s="3">
        <v>1</v>
      </c>
      <c r="G10982" t="s">
        <v>512</v>
      </c>
    </row>
    <row r="10983" spans="1:7" x14ac:dyDescent="0.25">
      <c r="A10983" s="1" t="str">
        <f>"401"</f>
        <v>401</v>
      </c>
      <c r="B10983" s="2" t="str">
        <f>"FILME AL.320GR PETIT- MOR/MAC/BANANA CAROLINA (DINI 300M)"</f>
        <v>FILME AL.320GR PETIT- MOR/MAC/BANANA CAROLINA (DINI 300M)</v>
      </c>
      <c r="C10983" s="2" t="str">
        <f t="shared" si="429"/>
        <v>KG</v>
      </c>
      <c r="D10983" s="7">
        <v>100</v>
      </c>
      <c r="E10983" s="3">
        <v>1</v>
      </c>
      <c r="F10983" s="3">
        <v>1</v>
      </c>
      <c r="G10983" t="s">
        <v>513</v>
      </c>
    </row>
    <row r="10984" spans="1:7" x14ac:dyDescent="0.25">
      <c r="A10984" s="1" t="str">
        <f>"431"</f>
        <v>431</v>
      </c>
      <c r="B10984" s="2" t="str">
        <f>"FILME AL.320GR PETIT- MOR/MAC/BANANA CAROLINA (DINI 450P)"</f>
        <v>FILME AL.320GR PETIT- MOR/MAC/BANANA CAROLINA (DINI 450P)</v>
      </c>
      <c r="C10984" s="2" t="str">
        <f t="shared" si="429"/>
        <v>KG</v>
      </c>
      <c r="D10984" s="7">
        <v>100</v>
      </c>
      <c r="E10984" s="3">
        <v>1</v>
      </c>
      <c r="F10984" s="3">
        <v>1</v>
      </c>
      <c r="G10984" t="s">
        <v>514</v>
      </c>
    </row>
    <row r="10985" spans="1:7" x14ac:dyDescent="0.25">
      <c r="A10985" s="1" t="str">
        <f>"403"</f>
        <v>403</v>
      </c>
      <c r="B10985" s="2" t="str">
        <f>"FILME AL.320GR PETIT- MOR/MAC/BANANA DIA% (DINI 300M)"</f>
        <v>FILME AL.320GR PETIT- MOR/MAC/BANANA DIA% (DINI 300M)</v>
      </c>
      <c r="C10985" s="2" t="str">
        <f t="shared" si="429"/>
        <v>KG</v>
      </c>
      <c r="D10985" s="7">
        <v>100</v>
      </c>
      <c r="E10985" s="3">
        <v>1</v>
      </c>
      <c r="F10985" s="3">
        <v>1</v>
      </c>
      <c r="G10985" t="s">
        <v>515</v>
      </c>
    </row>
    <row r="10986" spans="1:7" x14ac:dyDescent="0.25">
      <c r="A10986" s="1" t="str">
        <f>"428"</f>
        <v>428</v>
      </c>
      <c r="B10986" s="2" t="str">
        <f>"FILME AL.320GR PETIT- MOR/MAC/BANANA DIA% (DINI 300M)"</f>
        <v>FILME AL.320GR PETIT- MOR/MAC/BANANA DIA% (DINI 300M)</v>
      </c>
      <c r="C10986" s="2" t="str">
        <f t="shared" si="429"/>
        <v>KG</v>
      </c>
      <c r="D10986" s="7">
        <v>100</v>
      </c>
      <c r="E10986" s="3">
        <v>1</v>
      </c>
      <c r="F10986" s="3">
        <v>1</v>
      </c>
      <c r="G10986" t="s">
        <v>512</v>
      </c>
    </row>
    <row r="10987" spans="1:7" x14ac:dyDescent="0.25">
      <c r="A10987" s="1" t="str">
        <f>"400"</f>
        <v>400</v>
      </c>
      <c r="B10987" s="2" t="str">
        <f>"FILME AL.320GR PETIT- MORANGO CAROLINA (DINI 300M)"</f>
        <v>FILME AL.320GR PETIT- MORANGO CAROLINA (DINI 300M)</v>
      </c>
      <c r="C10987" s="2" t="str">
        <f t="shared" si="429"/>
        <v>KG</v>
      </c>
      <c r="D10987" s="7">
        <v>100</v>
      </c>
      <c r="E10987" s="3">
        <v>1</v>
      </c>
      <c r="F10987" s="3">
        <v>1</v>
      </c>
      <c r="G10987" t="s">
        <v>516</v>
      </c>
    </row>
    <row r="10988" spans="1:7" x14ac:dyDescent="0.25">
      <c r="A10988" s="1" t="str">
        <f>"430"</f>
        <v>430</v>
      </c>
      <c r="B10988" s="2" t="str">
        <f>"FILME AL.320GR PETIT- MORANGO CAROLINA (DINI 450P)"</f>
        <v>FILME AL.320GR PETIT- MORANGO CAROLINA (DINI 450P)</v>
      </c>
      <c r="C10988" s="2" t="str">
        <f t="shared" si="429"/>
        <v>KG</v>
      </c>
      <c r="D10988" s="7">
        <v>100</v>
      </c>
      <c r="E10988" s="3">
        <v>1</v>
      </c>
      <c r="F10988" s="3">
        <v>1</v>
      </c>
      <c r="G10988" t="s">
        <v>515</v>
      </c>
    </row>
    <row r="10989" spans="1:7" x14ac:dyDescent="0.25">
      <c r="A10989" s="1" t="str">
        <f>"402"</f>
        <v>402</v>
      </c>
      <c r="B10989" s="2" t="str">
        <f>"FILME AL.320GR PETIT- MORANGO DIA% (DINI 300M)"</f>
        <v>FILME AL.320GR PETIT- MORANGO DIA% (DINI 300M)</v>
      </c>
      <c r="C10989" s="2" t="str">
        <f t="shared" si="429"/>
        <v>KG</v>
      </c>
      <c r="D10989" s="7">
        <v>100</v>
      </c>
      <c r="E10989" s="3">
        <v>1</v>
      </c>
      <c r="F10989" s="3">
        <v>1</v>
      </c>
      <c r="G10989" t="s">
        <v>514</v>
      </c>
    </row>
    <row r="10990" spans="1:7" x14ac:dyDescent="0.25">
      <c r="A10990" s="1" t="str">
        <f>"427"</f>
        <v>427</v>
      </c>
      <c r="B10990" s="2" t="str">
        <f>"FILME AL.320GR PETIT- MORANGO DIA% (DINI 300M)"</f>
        <v>FILME AL.320GR PETIT- MORANGO DIA% (DINI 300M)</v>
      </c>
      <c r="C10990" s="2" t="str">
        <f t="shared" si="429"/>
        <v>KG</v>
      </c>
      <c r="D10990" s="7">
        <v>100</v>
      </c>
      <c r="E10990" s="3">
        <v>1</v>
      </c>
      <c r="F10990" s="3">
        <v>1</v>
      </c>
      <c r="G10990" t="s">
        <v>512</v>
      </c>
    </row>
    <row r="10991" spans="1:7" x14ac:dyDescent="0.25">
      <c r="A10991" s="1" t="str">
        <f>"6471"</f>
        <v>6471</v>
      </c>
      <c r="B10991" s="2" t="str">
        <f>"FILME AL.BAND PETIT MOR/SAL 360GR DIA%"</f>
        <v>FILME AL.BAND PETIT MOR/SAL 360GR DIA%</v>
      </c>
      <c r="C10991" s="2" t="str">
        <f>"UN"</f>
        <v>UN</v>
      </c>
      <c r="D10991" s="7">
        <v>100</v>
      </c>
      <c r="E10991" s="3">
        <v>1</v>
      </c>
      <c r="F10991" s="3">
        <v>1</v>
      </c>
      <c r="G10991" t="s">
        <v>513</v>
      </c>
    </row>
    <row r="10992" spans="1:7" x14ac:dyDescent="0.25">
      <c r="A10992" s="1" t="str">
        <f>"984"</f>
        <v>984</v>
      </c>
      <c r="B10992" s="2" t="str">
        <f>"FILME AL.BAND.320GR PETIT/MOR/MAC/BANANA (DIA%)"</f>
        <v>FILME AL.BAND.320GR PETIT/MOR/MAC/BANANA (DIA%)</v>
      </c>
      <c r="C10992" s="2" t="str">
        <f t="shared" ref="C10992:C11011" si="430">"KG"</f>
        <v>KG</v>
      </c>
      <c r="D10992" s="7">
        <v>100</v>
      </c>
      <c r="E10992" s="3">
        <v>1</v>
      </c>
      <c r="F10992" s="3">
        <v>1</v>
      </c>
      <c r="G10992" t="s">
        <v>514</v>
      </c>
    </row>
    <row r="10993" spans="1:7" x14ac:dyDescent="0.25">
      <c r="A10993" s="1" t="str">
        <f>"398"</f>
        <v>398</v>
      </c>
      <c r="B10993" s="2" t="str">
        <f>"FILME AL.BAND.320GR PETIT/MORANGO (CAROL"</f>
        <v>FILME AL.BAND.320GR PETIT/MORANGO (CAROL</v>
      </c>
      <c r="C10993" s="2" t="str">
        <f t="shared" si="430"/>
        <v>KG</v>
      </c>
      <c r="D10993" s="7">
        <v>100</v>
      </c>
      <c r="E10993" s="3">
        <v>1</v>
      </c>
      <c r="F10993" s="3">
        <v>1</v>
      </c>
      <c r="G10993" t="s">
        <v>514</v>
      </c>
    </row>
    <row r="10994" spans="1:7" x14ac:dyDescent="0.25">
      <c r="A10994" s="1" t="str">
        <f>"2330"</f>
        <v>2330</v>
      </c>
      <c r="B10994" s="2" t="str">
        <f>"FILME AL.BAND.320GR PETIT/MORANGO (DIA)"</f>
        <v>FILME AL.BAND.320GR PETIT/MORANGO (DIA)</v>
      </c>
      <c r="C10994" s="2" t="str">
        <f t="shared" si="430"/>
        <v>KG</v>
      </c>
      <c r="D10994" s="7">
        <v>100</v>
      </c>
      <c r="E10994" s="3">
        <v>1</v>
      </c>
      <c r="F10994" s="3">
        <v>1</v>
      </c>
      <c r="G10994" t="s">
        <v>512</v>
      </c>
    </row>
    <row r="10995" spans="1:7" x14ac:dyDescent="0.25">
      <c r="A10995" s="1" t="str">
        <f>"5942"</f>
        <v>5942</v>
      </c>
      <c r="B10995" s="2" t="str">
        <f>"FILME AL.BAND.320GR PETTIT/MOR/MAC/BANANA (CAROLINA)"</f>
        <v>FILME AL.BAND.320GR PETTIT/MOR/MAC/BANANA (CAROLINA)</v>
      </c>
      <c r="C10995" s="2" t="str">
        <f t="shared" si="430"/>
        <v>KG</v>
      </c>
      <c r="D10995" s="7">
        <v>100</v>
      </c>
      <c r="E10995" s="3">
        <v>1</v>
      </c>
      <c r="F10995" s="3">
        <v>1</v>
      </c>
      <c r="G10995" t="s">
        <v>513</v>
      </c>
    </row>
    <row r="10996" spans="1:7" x14ac:dyDescent="0.25">
      <c r="A10996" s="1" t="str">
        <f>"5943"</f>
        <v>5943</v>
      </c>
      <c r="B10996" s="2" t="str">
        <f>"FILME AL.BAND.360GR PETIT/CHOKY CAROL (C"</f>
        <v>FILME AL.BAND.360GR PETIT/CHOKY CAROL (C</v>
      </c>
      <c r="C10996" s="2" t="str">
        <f t="shared" si="430"/>
        <v>KG</v>
      </c>
      <c r="D10996" s="7">
        <v>100</v>
      </c>
      <c r="E10996" s="3">
        <v>1</v>
      </c>
      <c r="F10996" s="3">
        <v>1</v>
      </c>
      <c r="G10996" t="s">
        <v>514</v>
      </c>
    </row>
    <row r="10997" spans="1:7" x14ac:dyDescent="0.25">
      <c r="A10997" s="1" t="str">
        <f>"843"</f>
        <v>843</v>
      </c>
      <c r="B10997" s="2" t="str">
        <f>"FILME AL.BAND.360GR PETIT/MOR/MAC/BANANA (CARREFOUR)"</f>
        <v>FILME AL.BAND.360GR PETIT/MOR/MAC/BANANA (CARREFOUR)</v>
      </c>
      <c r="C10997" s="2" t="str">
        <f t="shared" si="430"/>
        <v>KG</v>
      </c>
      <c r="D10997" s="7">
        <v>100</v>
      </c>
      <c r="E10997" s="3">
        <v>1</v>
      </c>
      <c r="F10997" s="3">
        <v>1</v>
      </c>
      <c r="G10997" t="s">
        <v>514</v>
      </c>
    </row>
    <row r="10998" spans="1:7" x14ac:dyDescent="0.25">
      <c r="A10998" s="1" t="str">
        <f>"6152"</f>
        <v>6152</v>
      </c>
      <c r="B10998" s="2" t="str">
        <f>"FILME AL.BAND.400GR AMEIXA FIBRAS (VIVER"</f>
        <v>FILME AL.BAND.400GR AMEIXA FIBRAS (VIVER</v>
      </c>
      <c r="C10998" s="2" t="str">
        <f t="shared" si="430"/>
        <v>KG</v>
      </c>
      <c r="D10998" s="7">
        <v>100</v>
      </c>
      <c r="E10998" s="3">
        <v>1</v>
      </c>
      <c r="F10998" s="3">
        <v>1</v>
      </c>
      <c r="G10998" t="s">
        <v>514</v>
      </c>
    </row>
    <row r="10999" spans="1:7" x14ac:dyDescent="0.25">
      <c r="A10999" s="1" t="str">
        <f>"5900"</f>
        <v>5900</v>
      </c>
      <c r="B10999" s="2" t="str">
        <f>"FILME AL.BAND.400GR AMEIXA/LIGHT (VIVER)"</f>
        <v>FILME AL.BAND.400GR AMEIXA/LIGHT (VIVER)</v>
      </c>
      <c r="C10999" s="2" t="str">
        <f t="shared" si="430"/>
        <v>KG</v>
      </c>
      <c r="D10999" s="7">
        <v>100</v>
      </c>
      <c r="E10999" s="3">
        <v>1</v>
      </c>
      <c r="F10999" s="3">
        <v>1</v>
      </c>
      <c r="G10999" t="s">
        <v>513</v>
      </c>
    </row>
    <row r="11000" spans="1:7" x14ac:dyDescent="0.25">
      <c r="A11000" s="1" t="str">
        <f>"6032"</f>
        <v>6032</v>
      </c>
      <c r="B11000" s="2" t="str">
        <f>"FILME AL.BAND.400GR D SOY SALADA (CAROLI"</f>
        <v>FILME AL.BAND.400GR D SOY SALADA (CAROLI</v>
      </c>
      <c r="C11000" s="2" t="str">
        <f t="shared" si="430"/>
        <v>KG</v>
      </c>
      <c r="D11000" s="7">
        <v>100</v>
      </c>
      <c r="E11000" s="3">
        <v>1</v>
      </c>
      <c r="F11000" s="3">
        <v>1</v>
      </c>
      <c r="G11000" t="s">
        <v>512</v>
      </c>
    </row>
    <row r="11001" spans="1:7" x14ac:dyDescent="0.25">
      <c r="A11001" s="1" t="str">
        <f>"6014"</f>
        <v>6014</v>
      </c>
      <c r="B11001" s="2" t="str">
        <f>"FILME AL.BAND.400GR DELIGHT AMEIXA (CARO"</f>
        <v>FILME AL.BAND.400GR DELIGHT AMEIXA (CARO</v>
      </c>
      <c r="C11001" s="2" t="str">
        <f t="shared" si="430"/>
        <v>KG</v>
      </c>
      <c r="D11001" s="7">
        <v>100</v>
      </c>
      <c r="E11001" s="3">
        <v>1</v>
      </c>
      <c r="F11001" s="3">
        <v>1</v>
      </c>
      <c r="G11001" t="s">
        <v>513</v>
      </c>
    </row>
    <row r="11002" spans="1:7" x14ac:dyDescent="0.25">
      <c r="A11002" s="1" t="str">
        <f>"6024"</f>
        <v>6024</v>
      </c>
      <c r="B11002" s="2" t="str">
        <f>"FILME AL.BAND.400GR DELIGHT MORAN (CAROL"</f>
        <v>FILME AL.BAND.400GR DELIGHT MORAN (CAROL</v>
      </c>
      <c r="C11002" s="2" t="str">
        <f t="shared" si="430"/>
        <v>KG</v>
      </c>
      <c r="D11002" s="7">
        <v>100</v>
      </c>
      <c r="E11002" s="3">
        <v>1</v>
      </c>
      <c r="F11002" s="3">
        <v>1</v>
      </c>
      <c r="G11002" t="s">
        <v>514</v>
      </c>
    </row>
    <row r="11003" spans="1:7" x14ac:dyDescent="0.25">
      <c r="A11003" s="1" t="str">
        <f>"6015"</f>
        <v>6015</v>
      </c>
      <c r="B11003" s="2" t="str">
        <f>"FILME AL.BAND.400GR D'SOY DESN.(CAROLINA"</f>
        <v>FILME AL.BAND.400GR D'SOY DESN.(CAROLINA</v>
      </c>
      <c r="C11003" s="2" t="str">
        <f t="shared" si="430"/>
        <v>KG</v>
      </c>
      <c r="D11003" s="7">
        <v>100</v>
      </c>
      <c r="E11003" s="3">
        <v>1</v>
      </c>
      <c r="F11003" s="3">
        <v>1</v>
      </c>
      <c r="G11003" t="s">
        <v>514</v>
      </c>
    </row>
    <row r="11004" spans="1:7" x14ac:dyDescent="0.25">
      <c r="A11004" s="1" t="str">
        <f>"5809"</f>
        <v>5809</v>
      </c>
      <c r="B11004" s="2" t="str">
        <f>"FILME AL.BAND.400GR MORAN/LIGHT (VIVER)"</f>
        <v>FILME AL.BAND.400GR MORAN/LIGHT (VIVER)</v>
      </c>
      <c r="C11004" s="2" t="str">
        <f t="shared" si="430"/>
        <v>KG</v>
      </c>
      <c r="D11004" s="7">
        <v>100</v>
      </c>
      <c r="E11004" s="3">
        <v>1</v>
      </c>
      <c r="F11004" s="3">
        <v>1</v>
      </c>
      <c r="G11004" t="s">
        <v>514</v>
      </c>
    </row>
    <row r="11005" spans="1:7" x14ac:dyDescent="0.25">
      <c r="A11005" s="1" t="str">
        <f>"6153"</f>
        <v>6153</v>
      </c>
      <c r="B11005" s="2" t="str">
        <f>"FILME AL.BAND.400GR MORANGO FIBRAS (VIVE"</f>
        <v>FILME AL.BAND.400GR MORANGO FIBRAS (VIVE</v>
      </c>
      <c r="C11005" s="2" t="str">
        <f t="shared" si="430"/>
        <v>KG</v>
      </c>
      <c r="D11005" s="7">
        <v>100</v>
      </c>
      <c r="E11005" s="3">
        <v>1</v>
      </c>
      <c r="F11005" s="3">
        <v>1</v>
      </c>
      <c r="G11005" t="s">
        <v>513</v>
      </c>
    </row>
    <row r="11006" spans="1:7" x14ac:dyDescent="0.25">
      <c r="A11006" s="1" t="str">
        <f>"2762"</f>
        <v>2762</v>
      </c>
      <c r="B11006" s="2" t="str">
        <f>"FILME AL.BAND.510GR MOR/COCO (VERY GURT)"</f>
        <v>FILME AL.BAND.510GR MOR/COCO (VERY GURT)</v>
      </c>
      <c r="C11006" s="2" t="str">
        <f t="shared" si="430"/>
        <v>KG</v>
      </c>
      <c r="D11006" s="7">
        <v>100</v>
      </c>
      <c r="E11006" s="3">
        <v>1</v>
      </c>
      <c r="F11006" s="3">
        <v>1</v>
      </c>
      <c r="G11006" t="s">
        <v>513</v>
      </c>
    </row>
    <row r="11007" spans="1:7" x14ac:dyDescent="0.25">
      <c r="A11007" s="1" t="str">
        <f>"6803"</f>
        <v>6803</v>
      </c>
      <c r="B11007" s="2" t="str">
        <f>"FILME AL.BAND.510GR MOR/MAC/BAN/MAMÃO (CARREFOUR)"</f>
        <v>FILME AL.BAND.510GR MOR/MAC/BAN/MAMÃO (CARREFOUR)</v>
      </c>
      <c r="C11007" s="2" t="str">
        <f t="shared" si="430"/>
        <v>KG</v>
      </c>
      <c r="D11007" s="7">
        <v>100</v>
      </c>
      <c r="E11007" s="3">
        <v>1</v>
      </c>
      <c r="F11007" s="3">
        <v>1</v>
      </c>
      <c r="G11007" t="s">
        <v>513</v>
      </c>
    </row>
    <row r="11008" spans="1:7" x14ac:dyDescent="0.25">
      <c r="A11008" s="1" t="str">
        <f>"2761"</f>
        <v>2761</v>
      </c>
      <c r="B11008" s="2" t="str">
        <f>"FILME AL.BAND.510GR MORANGO (VERY GURT)"</f>
        <v>FILME AL.BAND.510GR MORANGO (VERY GURT)</v>
      </c>
      <c r="C11008" s="2" t="str">
        <f t="shared" si="430"/>
        <v>KG</v>
      </c>
      <c r="D11008" s="7">
        <v>100</v>
      </c>
      <c r="E11008" s="3">
        <v>1</v>
      </c>
      <c r="F11008" s="3">
        <v>1</v>
      </c>
      <c r="G11008" t="s">
        <v>512</v>
      </c>
    </row>
    <row r="11009" spans="1:7" x14ac:dyDescent="0.25">
      <c r="A11009" s="1" t="str">
        <f>"6806"</f>
        <v>6806</v>
      </c>
      <c r="B11009" s="2" t="str">
        <f>"FILME AL.BAND.510GR MORANGO E COCO (CARREFOUR)"</f>
        <v>FILME AL.BAND.510GR MORANGO E COCO (CARREFOUR)</v>
      </c>
      <c r="C11009" s="2" t="str">
        <f t="shared" si="430"/>
        <v>KG</v>
      </c>
      <c r="D11009" s="7">
        <v>100</v>
      </c>
      <c r="E11009" s="3">
        <v>1</v>
      </c>
      <c r="F11009" s="3">
        <v>1</v>
      </c>
      <c r="G11009" t="s">
        <v>513</v>
      </c>
    </row>
    <row r="11010" spans="1:7" x14ac:dyDescent="0.25">
      <c r="A11010" s="1" t="str">
        <f>"6807"</f>
        <v>6807</v>
      </c>
      <c r="B11010" s="2" t="str">
        <f>"FILME AL.BAND.510GR MORANGO E COCO (CARREFOUR)"</f>
        <v>FILME AL.BAND.510GR MORANGO E COCO (CARREFOUR)</v>
      </c>
      <c r="C11010" s="2" t="str">
        <f t="shared" si="430"/>
        <v>KG</v>
      </c>
      <c r="D11010" s="7">
        <v>100</v>
      </c>
      <c r="E11010" s="3">
        <v>1</v>
      </c>
      <c r="F11010" s="3">
        <v>1</v>
      </c>
      <c r="G11010" t="s">
        <v>514</v>
      </c>
    </row>
    <row r="11011" spans="1:7" x14ac:dyDescent="0.25">
      <c r="A11011" s="1" t="str">
        <f>"513799"</f>
        <v>513799</v>
      </c>
      <c r="B11011" s="2" t="str">
        <f>"FILME AL.BAND.540GR MOR/AMEIXA (DIA%)"</f>
        <v>FILME AL.BAND.540GR MOR/AMEIXA (DIA%)</v>
      </c>
      <c r="C11011" s="2" t="str">
        <f t="shared" si="430"/>
        <v>KG</v>
      </c>
      <c r="D11011" s="7">
        <v>19</v>
      </c>
      <c r="E11011" s="3">
        <v>1</v>
      </c>
      <c r="F11011" s="3">
        <v>1</v>
      </c>
      <c r="G11011" t="s">
        <v>515</v>
      </c>
    </row>
    <row r="11012" spans="1:7" x14ac:dyDescent="0.25">
      <c r="A11012" s="1" t="str">
        <f>"7108"</f>
        <v>7108</v>
      </c>
      <c r="B11012" s="2" t="str">
        <f>"FILME AL.BAND.540GR MOR/COCO CAROLINA"</f>
        <v>FILME AL.BAND.540GR MOR/COCO CAROLINA</v>
      </c>
      <c r="C11012" s="2" t="str">
        <f>"UN"</f>
        <v>UN</v>
      </c>
      <c r="D11012" s="7">
        <v>19</v>
      </c>
      <c r="E11012" s="3">
        <v>1</v>
      </c>
      <c r="F11012" s="3">
        <v>1</v>
      </c>
      <c r="G11012" t="s">
        <v>512</v>
      </c>
    </row>
    <row r="11013" spans="1:7" x14ac:dyDescent="0.25">
      <c r="A11013" s="1" t="str">
        <f>"6747"</f>
        <v>6747</v>
      </c>
      <c r="B11013" s="2" t="str">
        <f>"FILME AL.BAND.540GR MOR/MAÇ/BAN/MAMÃO (CARREFOUR)"</f>
        <v>FILME AL.BAND.540GR MOR/MAÇ/BAN/MAMÃO (CARREFOUR)</v>
      </c>
      <c r="C11013" s="2" t="str">
        <f>"UN"</f>
        <v>UN</v>
      </c>
      <c r="D11013" s="7">
        <v>100</v>
      </c>
      <c r="E11013" s="3">
        <v>1</v>
      </c>
      <c r="F11013" s="3">
        <v>1</v>
      </c>
      <c r="G11013" t="s">
        <v>516</v>
      </c>
    </row>
    <row r="11014" spans="1:7" x14ac:dyDescent="0.25">
      <c r="A11014" s="1" t="str">
        <f>"6421"</f>
        <v>6421</v>
      </c>
      <c r="B11014" s="2" t="str">
        <f>"FILME AL.BAND.540GR MOR/SALADA (DIA%)"</f>
        <v>FILME AL.BAND.540GR MOR/SALADA (DIA%)</v>
      </c>
      <c r="C11014" s="2" t="str">
        <f>"UN"</f>
        <v>UN</v>
      </c>
      <c r="D11014" s="7">
        <v>100</v>
      </c>
      <c r="E11014" s="3">
        <v>1</v>
      </c>
      <c r="F11014" s="3">
        <v>1</v>
      </c>
      <c r="G11014" t="s">
        <v>515</v>
      </c>
    </row>
    <row r="11015" spans="1:7" x14ac:dyDescent="0.25">
      <c r="A11015" s="1" t="str">
        <f>"2423"</f>
        <v>2423</v>
      </c>
      <c r="B11015" s="2" t="str">
        <f>"FILME AL.BAND.540GR MORANGO (COOP)"</f>
        <v>FILME AL.BAND.540GR MORANGO (COOP)</v>
      </c>
      <c r="C11015" s="2" t="str">
        <f>"UN"</f>
        <v>UN</v>
      </c>
      <c r="D11015" s="7">
        <v>100</v>
      </c>
      <c r="E11015" s="3">
        <v>1</v>
      </c>
      <c r="F11015" s="3">
        <v>1</v>
      </c>
      <c r="G11015" t="s">
        <v>514</v>
      </c>
    </row>
    <row r="11016" spans="1:7" x14ac:dyDescent="0.25">
      <c r="A11016" s="1" t="str">
        <f>"2416"</f>
        <v>2416</v>
      </c>
      <c r="B11016" s="2" t="str">
        <f>"FILME AL.BAND.540GR MORANGO (QUALITA) DMAX"</f>
        <v>FILME AL.BAND.540GR MORANGO (QUALITA) DMAX</v>
      </c>
      <c r="C11016" s="2" t="str">
        <f>"KG"</f>
        <v>KG</v>
      </c>
      <c r="D11016" s="7">
        <v>100</v>
      </c>
      <c r="E11016" s="3">
        <v>1</v>
      </c>
      <c r="F11016" s="3">
        <v>1</v>
      </c>
      <c r="G11016" t="s">
        <v>512</v>
      </c>
    </row>
    <row r="11017" spans="1:7" x14ac:dyDescent="0.25">
      <c r="A11017" s="1" t="str">
        <f>"6743"</f>
        <v>6743</v>
      </c>
      <c r="B11017" s="2" t="str">
        <f>"FILME AL.BAND.540GR MORANGO CARREFOUR"</f>
        <v>FILME AL.BAND.540GR MORANGO CARREFOUR</v>
      </c>
      <c r="C11017" s="2" t="str">
        <f>"UN"</f>
        <v>UN</v>
      </c>
      <c r="D11017" s="7">
        <v>100</v>
      </c>
      <c r="E11017" s="3">
        <v>1</v>
      </c>
      <c r="F11017" s="3">
        <v>1</v>
      </c>
      <c r="G11017" t="s">
        <v>513</v>
      </c>
    </row>
    <row r="11018" spans="1:7" x14ac:dyDescent="0.25">
      <c r="A11018" s="1" t="str">
        <f>"6762"</f>
        <v>6762</v>
      </c>
      <c r="B11018" s="2" t="str">
        <f>"FILME AL.BAND.540GR MORANGO/AMEIXA VIVER"</f>
        <v>FILME AL.BAND.540GR MORANGO/AMEIXA VIVER</v>
      </c>
      <c r="C11018" s="2" t="str">
        <f>"UN"</f>
        <v>UN</v>
      </c>
      <c r="D11018" s="7">
        <v>100</v>
      </c>
      <c r="E11018" s="3">
        <v>1</v>
      </c>
      <c r="F11018" s="3">
        <v>1</v>
      </c>
      <c r="G11018" t="s">
        <v>514</v>
      </c>
    </row>
    <row r="11019" spans="1:7" x14ac:dyDescent="0.25">
      <c r="A11019" s="1" t="str">
        <f>"2417"</f>
        <v>2417</v>
      </c>
      <c r="B11019" s="2" t="str">
        <f>"FILME AL.BAND.540GR SALADA DE FRUTAS (QUALITA) DMAX"</f>
        <v>FILME AL.BAND.540GR SALADA DE FRUTAS (QUALITA) DMAX</v>
      </c>
      <c r="C11019" s="2" t="str">
        <f>"KG"</f>
        <v>KG</v>
      </c>
      <c r="D11019" s="7">
        <v>100</v>
      </c>
      <c r="E11019" s="3">
        <v>1</v>
      </c>
      <c r="F11019" s="3">
        <v>1</v>
      </c>
      <c r="G11019" t="s">
        <v>514</v>
      </c>
    </row>
    <row r="11020" spans="1:7" x14ac:dyDescent="0.25">
      <c r="A11020" s="1" t="str">
        <f>"2764"</f>
        <v>2764</v>
      </c>
      <c r="B11020" s="2" t="str">
        <f>"FILME AL.BAND.600GR MOR/COCO (CAROLINA)"</f>
        <v>FILME AL.BAND.600GR MOR/COCO (CAROLINA)</v>
      </c>
      <c r="C11020" s="2" t="str">
        <f>"KG"</f>
        <v>KG</v>
      </c>
      <c r="D11020" s="7">
        <v>100</v>
      </c>
      <c r="E11020" s="3">
        <v>1</v>
      </c>
      <c r="F11020" s="3">
        <v>1</v>
      </c>
      <c r="G11020" t="s">
        <v>512</v>
      </c>
    </row>
    <row r="11021" spans="1:7" x14ac:dyDescent="0.25">
      <c r="A11021" s="1" t="str">
        <f>"6036"</f>
        <v>6036</v>
      </c>
      <c r="B11021" s="2" t="str">
        <f>"FILME AL.BAND.600GR MOR/COCO (DIA%)"</f>
        <v>FILME AL.BAND.600GR MOR/COCO (DIA%)</v>
      </c>
      <c r="C11021" s="2" t="str">
        <f>"KG"</f>
        <v>KG</v>
      </c>
      <c r="D11021" s="7">
        <v>100</v>
      </c>
      <c r="E11021" s="3">
        <v>1</v>
      </c>
      <c r="F11021" s="3">
        <v>1</v>
      </c>
      <c r="G11021" t="s">
        <v>513</v>
      </c>
    </row>
    <row r="11022" spans="1:7" x14ac:dyDescent="0.25">
      <c r="A11022" s="1" t="str">
        <f>"2765"</f>
        <v>2765</v>
      </c>
      <c r="B11022" s="2" t="str">
        <f>"FILME AL.BAND.600GR MOR/SALADA (CAROLINA"</f>
        <v>FILME AL.BAND.600GR MOR/SALADA (CAROLINA</v>
      </c>
      <c r="C11022" s="2" t="str">
        <f>"KG"</f>
        <v>KG</v>
      </c>
      <c r="D11022" s="7">
        <v>100</v>
      </c>
      <c r="E11022" s="3">
        <v>1</v>
      </c>
      <c r="F11022" s="3">
        <v>1</v>
      </c>
      <c r="G11022" t="s">
        <v>514</v>
      </c>
    </row>
    <row r="11023" spans="1:7" x14ac:dyDescent="0.25">
      <c r="A11023" s="1" t="str">
        <f>"6045"</f>
        <v>6045</v>
      </c>
      <c r="B11023" s="2" t="str">
        <f>"FILME AL.BAND.600GR MOR/SALADA (CARREF)"</f>
        <v>FILME AL.BAND.600GR MOR/SALADA (CARREF)</v>
      </c>
      <c r="C11023" s="2" t="str">
        <f>"UN"</f>
        <v>UN</v>
      </c>
      <c r="D11023" s="7">
        <v>100</v>
      </c>
      <c r="E11023" s="3">
        <v>1</v>
      </c>
      <c r="F11023" s="3">
        <v>1</v>
      </c>
      <c r="G11023" t="s">
        <v>514</v>
      </c>
    </row>
    <row r="11024" spans="1:7" x14ac:dyDescent="0.25">
      <c r="A11024" s="1" t="str">
        <f>"6348"</f>
        <v>6348</v>
      </c>
      <c r="B11024" s="2" t="str">
        <f>"FILME AL.BAND.600GR MOR/SALADA (QUALITA)"</f>
        <v>FILME AL.BAND.600GR MOR/SALADA (QUALITA)</v>
      </c>
      <c r="C11024" s="2" t="str">
        <f>"KG"</f>
        <v>KG</v>
      </c>
      <c r="D11024" s="7">
        <v>100</v>
      </c>
      <c r="E11024" s="3">
        <v>1</v>
      </c>
      <c r="F11024" s="3">
        <v>1</v>
      </c>
      <c r="G11024" t="s">
        <v>514</v>
      </c>
    </row>
    <row r="11025" spans="1:7" x14ac:dyDescent="0.25">
      <c r="A11025" s="1" t="str">
        <f>"2763"</f>
        <v>2763</v>
      </c>
      <c r="B11025" s="2" t="str">
        <f>"FILME AL.BAND.600GR MORANGO (CAROLINA)"</f>
        <v>FILME AL.BAND.600GR MORANGO (CAROLINA)</v>
      </c>
      <c r="C11025" s="2" t="str">
        <f>"KG"</f>
        <v>KG</v>
      </c>
      <c r="D11025" s="7">
        <v>100</v>
      </c>
      <c r="E11025" s="3">
        <v>1</v>
      </c>
      <c r="F11025" s="3">
        <v>1</v>
      </c>
      <c r="G11025" t="s">
        <v>513</v>
      </c>
    </row>
    <row r="11026" spans="1:7" x14ac:dyDescent="0.25">
      <c r="A11026" s="1" t="str">
        <f>"6044"</f>
        <v>6044</v>
      </c>
      <c r="B11026" s="2" t="str">
        <f>"FILME AL.BAND.600GR MORANGO (CARREFOUR)"</f>
        <v>FILME AL.BAND.600GR MORANGO (CARREFOUR)</v>
      </c>
      <c r="C11026" s="2" t="str">
        <f>"UN"</f>
        <v>UN</v>
      </c>
      <c r="D11026" s="7">
        <v>100</v>
      </c>
      <c r="E11026" s="3">
        <v>1</v>
      </c>
      <c r="F11026" s="3">
        <v>1</v>
      </c>
      <c r="G11026" t="s">
        <v>512</v>
      </c>
    </row>
    <row r="11027" spans="1:7" x14ac:dyDescent="0.25">
      <c r="A11027" s="1" t="str">
        <f>"6023"</f>
        <v>6023</v>
      </c>
      <c r="B11027" s="2" t="str">
        <f>"FILME AL.BAND.600GR MORANGO (DIA%)"</f>
        <v>FILME AL.BAND.600GR MORANGO (DIA%)</v>
      </c>
      <c r="C11027" s="2" t="str">
        <f>"KG"</f>
        <v>KG</v>
      </c>
      <c r="D11027" s="7">
        <v>100</v>
      </c>
      <c r="E11027" s="3">
        <v>1</v>
      </c>
      <c r="F11027" s="3">
        <v>1</v>
      </c>
      <c r="G11027" t="s">
        <v>513</v>
      </c>
    </row>
    <row r="11028" spans="1:7" x14ac:dyDescent="0.25">
      <c r="A11028" s="1" t="str">
        <f>"6347"</f>
        <v>6347</v>
      </c>
      <c r="B11028" s="2" t="str">
        <f>"FILME AL.BAND.600GR MORANGO (QUALITA)"</f>
        <v>FILME AL.BAND.600GR MORANGO (QUALITA)</v>
      </c>
      <c r="C11028" s="2" t="str">
        <f>"KG"</f>
        <v>KG</v>
      </c>
      <c r="D11028" s="7">
        <v>100</v>
      </c>
      <c r="E11028" s="3">
        <v>1</v>
      </c>
      <c r="F11028" s="3">
        <v>1</v>
      </c>
      <c r="G11028" t="s">
        <v>514</v>
      </c>
    </row>
    <row r="11029" spans="1:7" x14ac:dyDescent="0.25">
      <c r="A11029" s="1" t="str">
        <f>"6068"</f>
        <v>6068</v>
      </c>
      <c r="B11029" s="2" t="str">
        <f>"FILME AL.BAND.600GR MORANGO (WAL MART)"</f>
        <v>FILME AL.BAND.600GR MORANGO (WAL MART)</v>
      </c>
      <c r="C11029" s="2" t="str">
        <f>"UN"</f>
        <v>UN</v>
      </c>
      <c r="D11029" s="7">
        <v>100</v>
      </c>
      <c r="E11029" s="3">
        <v>1</v>
      </c>
      <c r="F11029" s="3">
        <v>1</v>
      </c>
      <c r="G11029" t="s">
        <v>514</v>
      </c>
    </row>
    <row r="11030" spans="1:7" x14ac:dyDescent="0.25">
      <c r="A11030" s="1" t="str">
        <f>"630"</f>
        <v>630</v>
      </c>
      <c r="B11030" s="2" t="str">
        <f>"FILME AL.BAND.720GR COCO (CAROLINA)"</f>
        <v>FILME AL.BAND.720GR COCO (CAROLINA)</v>
      </c>
      <c r="C11030" s="2" t="str">
        <f>"KG"</f>
        <v>KG</v>
      </c>
      <c r="D11030" s="7">
        <v>100</v>
      </c>
      <c r="E11030" s="3">
        <v>1</v>
      </c>
      <c r="F11030" s="3">
        <v>1</v>
      </c>
      <c r="G11030" t="s">
        <v>514</v>
      </c>
    </row>
    <row r="11031" spans="1:7" x14ac:dyDescent="0.25">
      <c r="A11031" s="1" t="str">
        <f>"200"</f>
        <v>200</v>
      </c>
      <c r="B11031" s="2" t="str">
        <f>"FILME AL.BAND.720GR MORANGO (CAROLINA)"</f>
        <v>FILME AL.BAND.720GR MORANGO (CAROLINA)</v>
      </c>
      <c r="C11031" s="2" t="str">
        <f>"KG"</f>
        <v>KG</v>
      </c>
      <c r="D11031" s="7">
        <v>100</v>
      </c>
      <c r="E11031" s="3">
        <v>1</v>
      </c>
      <c r="F11031" s="3">
        <v>1</v>
      </c>
      <c r="G11031" t="s">
        <v>513</v>
      </c>
    </row>
    <row r="11032" spans="1:7" x14ac:dyDescent="0.25">
      <c r="A11032" s="1" t="str">
        <f>"3021"</f>
        <v>3021</v>
      </c>
      <c r="B11032" s="2" t="str">
        <f>"FILME AL.BAND.720GR MORANGO (SENDAS)"</f>
        <v>FILME AL.BAND.720GR MORANGO (SENDAS)</v>
      </c>
      <c r="C11032" s="2" t="str">
        <f>"UN"</f>
        <v>UN</v>
      </c>
      <c r="D11032" s="7">
        <v>100</v>
      </c>
      <c r="E11032" s="3">
        <v>1</v>
      </c>
      <c r="F11032" s="3">
        <v>1</v>
      </c>
      <c r="G11032" t="s">
        <v>513</v>
      </c>
    </row>
    <row r="11033" spans="1:7" x14ac:dyDescent="0.25">
      <c r="A11033" s="1" t="str">
        <f>"AG76071990"</f>
        <v>AG76071990</v>
      </c>
      <c r="B11033" s="2" t="str">
        <f>"FILME ALUM. BAND. AMOSTRA GRATIS"</f>
        <v>FILME ALUM. BAND. AMOSTRA GRATIS</v>
      </c>
      <c r="C11033" s="2" t="str">
        <f>"UN"</f>
        <v>UN</v>
      </c>
      <c r="D11033" s="7">
        <v>99999</v>
      </c>
      <c r="E11033" s="3">
        <v>99</v>
      </c>
      <c r="F11033" s="3">
        <v>99</v>
      </c>
      <c r="G11033" t="s">
        <v>513</v>
      </c>
    </row>
    <row r="11034" spans="1:7" x14ac:dyDescent="0.25">
      <c r="A11034" s="1" t="str">
        <f>"514980"</f>
        <v>514980</v>
      </c>
      <c r="B11034" s="2" t="str">
        <f>"FILME ALUMINIO 98MM"</f>
        <v>FILME ALUMINIO 98MM</v>
      </c>
      <c r="C11034" s="2" t="str">
        <f>"UN"</f>
        <v>UN</v>
      </c>
      <c r="D11034" s="7">
        <v>100</v>
      </c>
      <c r="E11034" s="3">
        <v>1</v>
      </c>
      <c r="F11034" s="3">
        <v>1</v>
      </c>
      <c r="G11034" t="s">
        <v>512</v>
      </c>
    </row>
    <row r="11035" spans="1:7" x14ac:dyDescent="0.25">
      <c r="A11035" s="1" t="str">
        <f>"627"</f>
        <v>627</v>
      </c>
      <c r="B11035" s="2" t="str">
        <f>"FILME B.L. 180GR LARANJA (BIBI BITS)"</f>
        <v>FILME B.L. 180GR LARANJA (BIBI BITS)</v>
      </c>
      <c r="C11035" s="2" t="str">
        <f t="shared" ref="C11035:C11069" si="431">"KG"</f>
        <v>KG</v>
      </c>
      <c r="D11035" s="7">
        <v>101</v>
      </c>
      <c r="E11035" s="3">
        <v>1</v>
      </c>
      <c r="F11035" s="3">
        <v>1</v>
      </c>
      <c r="G11035" t="s">
        <v>513</v>
      </c>
    </row>
    <row r="11036" spans="1:7" x14ac:dyDescent="0.25">
      <c r="A11036" s="1" t="str">
        <f>"626"</f>
        <v>626</v>
      </c>
      <c r="B11036" s="2" t="str">
        <f>"FILME B.L. 180GR LIMÃO (BIBI BITS)"</f>
        <v>FILME B.L. 180GR LIMÃO (BIBI BITS)</v>
      </c>
      <c r="C11036" s="2" t="str">
        <f t="shared" si="431"/>
        <v>KG</v>
      </c>
      <c r="D11036" s="7">
        <v>101</v>
      </c>
      <c r="E11036" s="3">
        <v>1</v>
      </c>
      <c r="F11036" s="3">
        <v>1</v>
      </c>
      <c r="G11036" t="s">
        <v>514</v>
      </c>
    </row>
    <row r="11037" spans="1:7" x14ac:dyDescent="0.25">
      <c r="A11037" s="1" t="str">
        <f>"624"</f>
        <v>624</v>
      </c>
      <c r="B11037" s="2" t="str">
        <f>"FILME B.L. 180GR MORANGO (BIBI BITS)"</f>
        <v>FILME B.L. 180GR MORANGO (BIBI BITS)</v>
      </c>
      <c r="C11037" s="2" t="str">
        <f t="shared" si="431"/>
        <v>KG</v>
      </c>
      <c r="D11037" s="7">
        <v>101</v>
      </c>
      <c r="E11037" s="3">
        <v>1</v>
      </c>
      <c r="F11037" s="3">
        <v>1</v>
      </c>
      <c r="G11037" t="s">
        <v>515</v>
      </c>
    </row>
    <row r="11038" spans="1:7" x14ac:dyDescent="0.25">
      <c r="A11038" s="1" t="str">
        <f>"625"</f>
        <v>625</v>
      </c>
      <c r="B11038" s="2" t="str">
        <f>"FILME B.L. 180GR SALADA DE FRUTAS (BIBI BITS)"</f>
        <v>FILME B.L. 180GR SALADA DE FRUTAS (BIBI BITS)</v>
      </c>
      <c r="C11038" s="2" t="str">
        <f t="shared" si="431"/>
        <v>KG</v>
      </c>
      <c r="D11038" s="7">
        <v>101</v>
      </c>
      <c r="E11038" s="3">
        <v>1</v>
      </c>
      <c r="F11038" s="3">
        <v>1</v>
      </c>
      <c r="G11038" t="s">
        <v>512</v>
      </c>
    </row>
    <row r="11039" spans="1:7" x14ac:dyDescent="0.25">
      <c r="A11039" s="1" t="str">
        <f>"649"</f>
        <v>649</v>
      </c>
      <c r="B11039" s="2" t="str">
        <f>"FILME B.L. 200GR MAÇA/MAMÃO/BANANA (DIA%)"</f>
        <v>FILME B.L. 200GR MAÇA/MAMÃO/BANANA (DIA%)</v>
      </c>
      <c r="C11039" s="2" t="str">
        <f t="shared" si="431"/>
        <v>KG</v>
      </c>
      <c r="D11039" s="7">
        <v>101</v>
      </c>
      <c r="E11039" s="3">
        <v>1</v>
      </c>
      <c r="F11039" s="3">
        <v>1</v>
      </c>
      <c r="G11039" t="s">
        <v>516</v>
      </c>
    </row>
    <row r="11040" spans="1:7" x14ac:dyDescent="0.25">
      <c r="A11040" s="1" t="str">
        <f>"648"</f>
        <v>648</v>
      </c>
      <c r="B11040" s="2" t="str">
        <f>"FILME B.L. 200GR MORANGO (DIA%)"</f>
        <v>FILME B.L. 200GR MORANGO (DIA%)</v>
      </c>
      <c r="C11040" s="2" t="str">
        <f t="shared" si="431"/>
        <v>KG</v>
      </c>
      <c r="D11040" s="7">
        <v>101</v>
      </c>
      <c r="E11040" s="3">
        <v>1</v>
      </c>
      <c r="F11040" s="3">
        <v>1</v>
      </c>
      <c r="G11040" t="s">
        <v>515</v>
      </c>
    </row>
    <row r="11041" spans="1:7" x14ac:dyDescent="0.25">
      <c r="A11041" s="1" t="str">
        <f>"623"</f>
        <v>623</v>
      </c>
      <c r="B11041" s="2" t="str">
        <f>"FILME B.L. ACHOCOLATADO 180GR (BIBI BITS)"</f>
        <v>FILME B.L. ACHOCOLATADO 180GR (BIBI BITS)</v>
      </c>
      <c r="C11041" s="2" t="str">
        <f t="shared" si="431"/>
        <v>KG</v>
      </c>
      <c r="D11041" s="7">
        <v>101</v>
      </c>
      <c r="E11041" s="3">
        <v>1</v>
      </c>
      <c r="F11041" s="3">
        <v>1</v>
      </c>
      <c r="G11041" t="s">
        <v>514</v>
      </c>
    </row>
    <row r="11042" spans="1:7" x14ac:dyDescent="0.25">
      <c r="A11042" s="1" t="str">
        <f>"792"</f>
        <v>792</v>
      </c>
      <c r="B11042" s="2" t="str">
        <f>"FILME B.L.1000GR COCO (ECON)"</f>
        <v>FILME B.L.1000GR COCO (ECON)</v>
      </c>
      <c r="C11042" s="2" t="str">
        <f t="shared" si="431"/>
        <v>KG</v>
      </c>
      <c r="D11042" s="7">
        <v>101</v>
      </c>
      <c r="E11042" s="3">
        <v>1</v>
      </c>
      <c r="F11042" s="3">
        <v>1</v>
      </c>
      <c r="G11042" t="s">
        <v>512</v>
      </c>
    </row>
    <row r="11043" spans="1:7" x14ac:dyDescent="0.25">
      <c r="A11043" s="1" t="str">
        <f>"203"</f>
        <v>203</v>
      </c>
      <c r="B11043" s="2" t="str">
        <f>"FILME B.L.1000GR COCO (GLUCK)"</f>
        <v>FILME B.L.1000GR COCO (GLUCK)</v>
      </c>
      <c r="C11043" s="2" t="str">
        <f t="shared" si="431"/>
        <v>KG</v>
      </c>
      <c r="D11043" s="7">
        <v>101</v>
      </c>
      <c r="E11043" s="3">
        <v>1</v>
      </c>
      <c r="F11043" s="3">
        <v>1</v>
      </c>
      <c r="G11043" t="s">
        <v>513</v>
      </c>
    </row>
    <row r="11044" spans="1:7" x14ac:dyDescent="0.25">
      <c r="A11044" s="1" t="str">
        <f>"5966"</f>
        <v>5966</v>
      </c>
      <c r="B11044" s="2" t="str">
        <f>"FILME B.L.1000GR MORANGO (BIG)"</f>
        <v>FILME B.L.1000GR MORANGO (BIG)</v>
      </c>
      <c r="C11044" s="2" t="str">
        <f t="shared" si="431"/>
        <v>KG</v>
      </c>
      <c r="D11044" s="7">
        <v>101</v>
      </c>
      <c r="E11044" s="3">
        <v>1</v>
      </c>
      <c r="F11044" s="3">
        <v>1</v>
      </c>
      <c r="G11044" t="s">
        <v>514</v>
      </c>
    </row>
    <row r="11045" spans="1:7" x14ac:dyDescent="0.25">
      <c r="A11045" s="1" t="str">
        <f>"791"</f>
        <v>791</v>
      </c>
      <c r="B11045" s="2" t="str">
        <f>"FILME B.L.1000GR MORANGO (ECON)"</f>
        <v>FILME B.L.1000GR MORANGO (ECON)</v>
      </c>
      <c r="C11045" s="2" t="str">
        <f t="shared" si="431"/>
        <v>KG</v>
      </c>
      <c r="D11045" s="7">
        <v>101</v>
      </c>
      <c r="E11045" s="3">
        <v>1</v>
      </c>
      <c r="F11045" s="3">
        <v>1</v>
      </c>
      <c r="G11045" t="s">
        <v>514</v>
      </c>
    </row>
    <row r="11046" spans="1:7" x14ac:dyDescent="0.25">
      <c r="A11046" s="1" t="str">
        <f>"204"</f>
        <v>204</v>
      </c>
      <c r="B11046" s="2" t="str">
        <f>"FILME B.L.1000GR MORANGO (GLUCK)"</f>
        <v>FILME B.L.1000GR MORANGO (GLUCK)</v>
      </c>
      <c r="C11046" s="2" t="str">
        <f t="shared" si="431"/>
        <v>KG</v>
      </c>
      <c r="D11046" s="7">
        <v>101</v>
      </c>
      <c r="E11046" s="3">
        <v>1</v>
      </c>
      <c r="F11046" s="3">
        <v>1</v>
      </c>
      <c r="G11046" t="s">
        <v>512</v>
      </c>
    </row>
    <row r="11047" spans="1:7" x14ac:dyDescent="0.25">
      <c r="A11047" s="1" t="str">
        <f>"622"</f>
        <v>622</v>
      </c>
      <c r="B11047" s="2" t="str">
        <f>"FILME B.L.850GR AMEIXA (DIA%)"</f>
        <v>FILME B.L.850GR AMEIXA (DIA%)</v>
      </c>
      <c r="C11047" s="2" t="str">
        <f t="shared" si="431"/>
        <v>KG</v>
      </c>
      <c r="D11047" s="7">
        <v>101</v>
      </c>
      <c r="E11047" s="3">
        <v>1</v>
      </c>
      <c r="F11047" s="3">
        <v>1</v>
      </c>
      <c r="G11047" t="s">
        <v>513</v>
      </c>
    </row>
    <row r="11048" spans="1:7" x14ac:dyDescent="0.25">
      <c r="A11048" s="1" t="str">
        <f>"6086"</f>
        <v>6086</v>
      </c>
      <c r="B11048" s="2" t="str">
        <f>"FILME B.L.850GR AMEIXA (VERY GURT)"</f>
        <v>FILME B.L.850GR AMEIXA (VERY GURT)</v>
      </c>
      <c r="C11048" s="2" t="str">
        <f t="shared" si="431"/>
        <v>KG</v>
      </c>
      <c r="D11048" s="7">
        <v>101</v>
      </c>
      <c r="E11048" s="3">
        <v>1</v>
      </c>
      <c r="F11048" s="3">
        <v>1</v>
      </c>
      <c r="G11048" t="s">
        <v>514</v>
      </c>
    </row>
    <row r="11049" spans="1:7" x14ac:dyDescent="0.25">
      <c r="A11049" s="1" t="str">
        <f>"621"</f>
        <v>621</v>
      </c>
      <c r="B11049" s="2" t="str">
        <f>"FILME B.L.850GR COCO (DIA%)"</f>
        <v>FILME B.L.850GR COCO (DIA%)</v>
      </c>
      <c r="C11049" s="2" t="str">
        <f t="shared" si="431"/>
        <v>KG</v>
      </c>
      <c r="D11049" s="7">
        <v>101</v>
      </c>
      <c r="E11049" s="3">
        <v>1</v>
      </c>
      <c r="F11049" s="3">
        <v>1</v>
      </c>
      <c r="G11049" t="s">
        <v>514</v>
      </c>
    </row>
    <row r="11050" spans="1:7" x14ac:dyDescent="0.25">
      <c r="A11050" s="1" t="str">
        <f>"2753"</f>
        <v>2753</v>
      </c>
      <c r="B11050" s="2" t="str">
        <f>"FILME B.L.850GR COCO (VERY GURT)"</f>
        <v>FILME B.L.850GR COCO (VERY GURT)</v>
      </c>
      <c r="C11050" s="2" t="str">
        <f t="shared" si="431"/>
        <v>KG</v>
      </c>
      <c r="D11050" s="7">
        <v>101</v>
      </c>
      <c r="E11050" s="3">
        <v>1</v>
      </c>
      <c r="F11050" s="3">
        <v>1</v>
      </c>
      <c r="G11050" t="s">
        <v>514</v>
      </c>
    </row>
    <row r="11051" spans="1:7" x14ac:dyDescent="0.25">
      <c r="A11051" s="1" t="str">
        <f>"5763"</f>
        <v>5763</v>
      </c>
      <c r="B11051" s="2" t="str">
        <f>"FILME B.L.850GR MACA,BANANA,MAMAO (DIA%)"</f>
        <v>FILME B.L.850GR MACA,BANANA,MAMAO (DIA%)</v>
      </c>
      <c r="C11051" s="2" t="str">
        <f t="shared" si="431"/>
        <v>KG</v>
      </c>
      <c r="D11051" s="7">
        <v>101</v>
      </c>
      <c r="E11051" s="3">
        <v>1</v>
      </c>
      <c r="F11051" s="3">
        <v>1</v>
      </c>
      <c r="G11051" t="s">
        <v>513</v>
      </c>
    </row>
    <row r="11052" spans="1:7" x14ac:dyDescent="0.25">
      <c r="A11052" s="1" t="str">
        <f>"6155"</f>
        <v>6155</v>
      </c>
      <c r="B11052" s="2" t="str">
        <f>"FILME B.L.850GR MORANGO (COOP)"</f>
        <v>FILME B.L.850GR MORANGO (COOP)</v>
      </c>
      <c r="C11052" s="2" t="str">
        <f t="shared" si="431"/>
        <v>KG</v>
      </c>
      <c r="D11052" s="7">
        <v>101</v>
      </c>
      <c r="E11052" s="3">
        <v>1</v>
      </c>
      <c r="F11052" s="3">
        <v>1</v>
      </c>
      <c r="G11052" t="s">
        <v>512</v>
      </c>
    </row>
    <row r="11053" spans="1:7" x14ac:dyDescent="0.25">
      <c r="A11053" s="1" t="str">
        <f>"620"</f>
        <v>620</v>
      </c>
      <c r="B11053" s="2" t="str">
        <f>"FILME B.L.850GR MORANGO (DIA%)"</f>
        <v>FILME B.L.850GR MORANGO (DIA%)</v>
      </c>
      <c r="C11053" s="2" t="str">
        <f t="shared" si="431"/>
        <v>KG</v>
      </c>
      <c r="D11053" s="7">
        <v>101</v>
      </c>
      <c r="E11053" s="3">
        <v>1</v>
      </c>
      <c r="F11053" s="3">
        <v>1</v>
      </c>
      <c r="G11053" t="s">
        <v>513</v>
      </c>
    </row>
    <row r="11054" spans="1:7" x14ac:dyDescent="0.25">
      <c r="A11054" s="1" t="str">
        <f>"2752"</f>
        <v>2752</v>
      </c>
      <c r="B11054" s="2" t="str">
        <f>"FILME B.L.850GR MORANGO (VERY GURT)"</f>
        <v>FILME B.L.850GR MORANGO (VERY GURT)</v>
      </c>
      <c r="C11054" s="2" t="str">
        <f t="shared" si="431"/>
        <v>KG</v>
      </c>
      <c r="D11054" s="7">
        <v>101</v>
      </c>
      <c r="E11054" s="3">
        <v>1</v>
      </c>
      <c r="F11054" s="3">
        <v>1</v>
      </c>
      <c r="G11054" t="s">
        <v>514</v>
      </c>
    </row>
    <row r="11055" spans="1:7" x14ac:dyDescent="0.25">
      <c r="A11055" s="1" t="str">
        <f>"2755"</f>
        <v>2755</v>
      </c>
      <c r="B11055" s="2" t="str">
        <f>"FILME B.L.850GR PESSEGO (VERY GURT)"</f>
        <v>FILME B.L.850GR PESSEGO (VERY GURT)</v>
      </c>
      <c r="C11055" s="2" t="str">
        <f t="shared" si="431"/>
        <v>KG</v>
      </c>
      <c r="D11055" s="7">
        <v>101</v>
      </c>
      <c r="E11055" s="3">
        <v>1</v>
      </c>
      <c r="F11055" s="3">
        <v>1</v>
      </c>
      <c r="G11055" t="s">
        <v>514</v>
      </c>
    </row>
    <row r="11056" spans="1:7" x14ac:dyDescent="0.25">
      <c r="A11056" s="1" t="str">
        <f>"6156"</f>
        <v>6156</v>
      </c>
      <c r="B11056" s="2" t="str">
        <f>"FILME B.L.850GR SALADA FRUTAS (COOP)"</f>
        <v>FILME B.L.850GR SALADA FRUTAS (COOP)</v>
      </c>
      <c r="C11056" s="2" t="str">
        <f t="shared" si="431"/>
        <v>KG</v>
      </c>
      <c r="D11056" s="7">
        <v>101</v>
      </c>
      <c r="E11056" s="3">
        <v>1</v>
      </c>
      <c r="F11056" s="3">
        <v>1</v>
      </c>
      <c r="G11056" t="s">
        <v>514</v>
      </c>
    </row>
    <row r="11057" spans="1:7" x14ac:dyDescent="0.25">
      <c r="A11057" s="1" t="str">
        <f>"2754"</f>
        <v>2754</v>
      </c>
      <c r="B11057" s="2" t="str">
        <f>"FILME B.L.850GR SALADA FRUTAS(VERY GURT)"</f>
        <v>FILME B.L.850GR SALADA FRUTAS(VERY GURT)</v>
      </c>
      <c r="C11057" s="2" t="str">
        <f t="shared" si="431"/>
        <v>KG</v>
      </c>
      <c r="D11057" s="7">
        <v>101</v>
      </c>
      <c r="E11057" s="3">
        <v>1</v>
      </c>
      <c r="F11057" s="3">
        <v>1</v>
      </c>
      <c r="G11057" t="s">
        <v>513</v>
      </c>
    </row>
    <row r="11058" spans="1:7" x14ac:dyDescent="0.25">
      <c r="A11058" s="1" t="str">
        <f>"7038"</f>
        <v>7038</v>
      </c>
      <c r="B11058" s="2" t="str">
        <f>"FILME BAND.320GR BL MORANGO (AMARELINHA) DMAX"</f>
        <v>FILME BAND.320GR BL MORANGO (AMARELINHA) DMAX</v>
      </c>
      <c r="C11058" s="2" t="str">
        <f t="shared" si="431"/>
        <v>KG</v>
      </c>
      <c r="D11058" s="7">
        <v>100</v>
      </c>
      <c r="E11058" s="3">
        <v>1</v>
      </c>
      <c r="F11058" s="3">
        <v>1</v>
      </c>
      <c r="G11058" t="s">
        <v>513</v>
      </c>
    </row>
    <row r="11059" spans="1:7" x14ac:dyDescent="0.25">
      <c r="A11059" s="1" t="str">
        <f>"7040"</f>
        <v>7040</v>
      </c>
      <c r="B11059" s="2" t="str">
        <f>"FILME BAND.360GR MOR/COCO (VERY GURT) DMAX"</f>
        <v>FILME BAND.360GR MOR/COCO (VERY GURT) DMAX</v>
      </c>
      <c r="C11059" s="2" t="str">
        <f t="shared" si="431"/>
        <v>KG</v>
      </c>
      <c r="D11059" s="7">
        <v>100</v>
      </c>
      <c r="E11059" s="3">
        <v>1</v>
      </c>
      <c r="F11059" s="3">
        <v>1</v>
      </c>
      <c r="G11059" t="s">
        <v>513</v>
      </c>
    </row>
    <row r="11060" spans="1:7" x14ac:dyDescent="0.25">
      <c r="A11060" s="1" t="str">
        <f>"7039"</f>
        <v>7039</v>
      </c>
      <c r="B11060" s="2" t="str">
        <f>"FILME BAND.360GR MORANGO (VERY GURT) DMAX"</f>
        <v>FILME BAND.360GR MORANGO (VERY GURT) DMAX</v>
      </c>
      <c r="C11060" s="2" t="str">
        <f t="shared" si="431"/>
        <v>KG</v>
      </c>
      <c r="D11060" s="7">
        <v>100</v>
      </c>
      <c r="E11060" s="3">
        <v>1</v>
      </c>
      <c r="F11060" s="3">
        <v>1</v>
      </c>
      <c r="G11060" t="s">
        <v>512</v>
      </c>
    </row>
    <row r="11061" spans="1:7" x14ac:dyDescent="0.25">
      <c r="A11061" s="1" t="str">
        <f>"7042"</f>
        <v>7042</v>
      </c>
      <c r="B11061" s="2" t="str">
        <f>"FILME BAND.360GR MORANGO (VERY GURT) DMAX NOVA"</f>
        <v>FILME BAND.360GR MORANGO (VERY GURT) DMAX NOVA</v>
      </c>
      <c r="C11061" s="2" t="str">
        <f t="shared" si="431"/>
        <v>KG</v>
      </c>
      <c r="D11061" s="7">
        <v>100</v>
      </c>
      <c r="E11061" s="3">
        <v>1</v>
      </c>
      <c r="F11061" s="3">
        <v>1</v>
      </c>
      <c r="G11061" t="s">
        <v>513</v>
      </c>
    </row>
    <row r="11062" spans="1:7" x14ac:dyDescent="0.25">
      <c r="A11062" s="1" t="str">
        <f>"7031"</f>
        <v>7031</v>
      </c>
      <c r="B11062" s="2" t="str">
        <f>"FILME BAND.510GR MOR/COCO (VERY GURT) DMAX"</f>
        <v>FILME BAND.510GR MOR/COCO (VERY GURT) DMAX</v>
      </c>
      <c r="C11062" s="2" t="str">
        <f t="shared" si="431"/>
        <v>KG</v>
      </c>
      <c r="D11062" s="7">
        <v>100</v>
      </c>
      <c r="E11062" s="3">
        <v>1</v>
      </c>
      <c r="F11062" s="3">
        <v>1</v>
      </c>
      <c r="G11062" t="s">
        <v>514</v>
      </c>
    </row>
    <row r="11063" spans="1:7" x14ac:dyDescent="0.25">
      <c r="A11063" s="1" t="str">
        <f>"7030"</f>
        <v>7030</v>
      </c>
      <c r="B11063" s="2" t="str">
        <f>"FILME BAND.510GR MORANGO (VERY GURT) DMAX"</f>
        <v>FILME BAND.510GR MORANGO (VERY GURT) DMAX</v>
      </c>
      <c r="C11063" s="2" t="str">
        <f t="shared" si="431"/>
        <v>KG</v>
      </c>
      <c r="D11063" s="7">
        <v>100</v>
      </c>
      <c r="E11063" s="3">
        <v>1</v>
      </c>
      <c r="F11063" s="3">
        <v>1</v>
      </c>
      <c r="G11063" t="s">
        <v>515</v>
      </c>
    </row>
    <row r="11064" spans="1:7" x14ac:dyDescent="0.25">
      <c r="A11064" s="1" t="str">
        <f>"7036"</f>
        <v>7036</v>
      </c>
      <c r="B11064" s="2" t="str">
        <f>"FILME BAND.540GR BL MOR/COCO (DIA%) DMAX"</f>
        <v>FILME BAND.540GR BL MOR/COCO (DIA%) DMAX</v>
      </c>
      <c r="C11064" s="2" t="str">
        <f t="shared" si="431"/>
        <v>KG</v>
      </c>
      <c r="D11064" s="7">
        <v>100</v>
      </c>
      <c r="E11064" s="3">
        <v>1</v>
      </c>
      <c r="F11064" s="3">
        <v>1</v>
      </c>
      <c r="G11064" t="s">
        <v>512</v>
      </c>
    </row>
    <row r="11065" spans="1:7" x14ac:dyDescent="0.25">
      <c r="A11065" s="1" t="str">
        <f>"7037"</f>
        <v>7037</v>
      </c>
      <c r="B11065" s="2" t="str">
        <f>"FILME BAND.540GR BL MOR/SALADA (DIA%) DMAX"</f>
        <v>FILME BAND.540GR BL MOR/SALADA (DIA%) DMAX</v>
      </c>
      <c r="C11065" s="2" t="str">
        <f t="shared" si="431"/>
        <v>KG</v>
      </c>
      <c r="D11065" s="7">
        <v>100</v>
      </c>
      <c r="E11065" s="3">
        <v>1</v>
      </c>
      <c r="F11065" s="3">
        <v>1</v>
      </c>
      <c r="G11065" t="s">
        <v>516</v>
      </c>
    </row>
    <row r="11066" spans="1:7" x14ac:dyDescent="0.25">
      <c r="A11066" s="1" t="str">
        <f>"7035"</f>
        <v>7035</v>
      </c>
      <c r="B11066" s="2" t="str">
        <f>"FILME BAND.540GR BL MORANGO (DIA%) DMAX"</f>
        <v>FILME BAND.540GR BL MORANGO (DIA%) DMAX</v>
      </c>
      <c r="C11066" s="2" t="str">
        <f t="shared" si="431"/>
        <v>KG</v>
      </c>
      <c r="D11066" s="7">
        <v>100</v>
      </c>
      <c r="E11066" s="3">
        <v>1</v>
      </c>
      <c r="F11066" s="3">
        <v>1</v>
      </c>
      <c r="G11066" t="s">
        <v>515</v>
      </c>
    </row>
    <row r="11067" spans="1:7" x14ac:dyDescent="0.25">
      <c r="A11067" s="1" t="str">
        <f>"7033"</f>
        <v>7033</v>
      </c>
      <c r="B11067" s="2" t="str">
        <f>"FILME BAND.540GR MOR/COCO (CAROLINA) DMAX"</f>
        <v>FILME BAND.540GR MOR/COCO (CAROLINA) DMAX</v>
      </c>
      <c r="C11067" s="2" t="str">
        <f t="shared" si="431"/>
        <v>KG</v>
      </c>
      <c r="D11067" s="7">
        <v>100</v>
      </c>
      <c r="E11067" s="3">
        <v>1</v>
      </c>
      <c r="F11067" s="3">
        <v>1</v>
      </c>
      <c r="G11067" t="s">
        <v>514</v>
      </c>
    </row>
    <row r="11068" spans="1:7" x14ac:dyDescent="0.25">
      <c r="A11068" s="1" t="str">
        <f>"7034"</f>
        <v>7034</v>
      </c>
      <c r="B11068" s="2" t="str">
        <f>"FILME BAND.540GR MOR/SALADA (CAROLINA) DMAX"</f>
        <v>FILME BAND.540GR MOR/SALADA (CAROLINA) DMAX</v>
      </c>
      <c r="C11068" s="2" t="str">
        <f t="shared" si="431"/>
        <v>KG</v>
      </c>
      <c r="D11068" s="7">
        <v>100</v>
      </c>
      <c r="E11068" s="3">
        <v>1</v>
      </c>
      <c r="F11068" s="3">
        <v>1</v>
      </c>
      <c r="G11068" t="s">
        <v>512</v>
      </c>
    </row>
    <row r="11069" spans="1:7" x14ac:dyDescent="0.25">
      <c r="A11069" s="1" t="str">
        <f>"7032"</f>
        <v>7032</v>
      </c>
      <c r="B11069" s="2" t="str">
        <f>"FILME BAND.540GR MORANGO (CAROLINA) DMAX"</f>
        <v>FILME BAND.540GR MORANGO (CAROLINA) DMAX</v>
      </c>
      <c r="C11069" s="2" t="str">
        <f t="shared" si="431"/>
        <v>KG</v>
      </c>
      <c r="D11069" s="7">
        <v>100</v>
      </c>
      <c r="E11069" s="3">
        <v>1</v>
      </c>
      <c r="F11069" s="3">
        <v>1</v>
      </c>
      <c r="G11069" t="s">
        <v>513</v>
      </c>
    </row>
    <row r="11070" spans="1:7" x14ac:dyDescent="0.25">
      <c r="A11070" s="1" t="str">
        <f>"515095"</f>
        <v>515095</v>
      </c>
      <c r="B11070" s="2" t="str">
        <f>"FILME DE POL. (PET) TEREFTALATO 0,040X1000X4500"</f>
        <v>FILME DE POL. (PET) TEREFTALATO 0,040X1000X4500</v>
      </c>
      <c r="C11070" s="2" t="str">
        <f>"UN"</f>
        <v>UN</v>
      </c>
      <c r="D11070" s="7">
        <v>112</v>
      </c>
      <c r="E11070" s="3">
        <v>15</v>
      </c>
      <c r="F11070" s="3">
        <v>15</v>
      </c>
      <c r="G11070" t="s">
        <v>514</v>
      </c>
    </row>
    <row r="11071" spans="1:7" x14ac:dyDescent="0.25">
      <c r="A11071" s="1" t="str">
        <f>"515141"</f>
        <v>515141</v>
      </c>
      <c r="B11071" s="2" t="str">
        <f>"FILME DE POL. (PET) TEREFTALATO 0,040X820X4500"</f>
        <v>FILME DE POL. (PET) TEREFTALATO 0,040X820X4500</v>
      </c>
      <c r="C11071" s="2" t="str">
        <f>"UN"</f>
        <v>UN</v>
      </c>
      <c r="D11071" s="7">
        <v>112</v>
      </c>
      <c r="E11071" s="3">
        <v>15</v>
      </c>
      <c r="F11071" s="3">
        <v>15</v>
      </c>
      <c r="G11071" t="s">
        <v>514</v>
      </c>
    </row>
    <row r="11072" spans="1:7" x14ac:dyDescent="0.25">
      <c r="A11072" s="1" t="str">
        <f>"515093"</f>
        <v>515093</v>
      </c>
      <c r="B11072" s="2" t="str">
        <f>"FILME DE POL. DE CLO. DE VINILA (PVC) 62% 0,040X1000X4500"</f>
        <v>FILME DE POL. DE CLO. DE VINILA (PVC) 62% 0,040X1000X4500</v>
      </c>
      <c r="C11072" s="2" t="str">
        <f>"UN"</f>
        <v>UN</v>
      </c>
      <c r="D11072" s="7">
        <v>112</v>
      </c>
      <c r="E11072" s="3">
        <v>15</v>
      </c>
      <c r="F11072" s="3">
        <v>15</v>
      </c>
      <c r="G11072" t="s">
        <v>512</v>
      </c>
    </row>
    <row r="11073" spans="1:7" x14ac:dyDescent="0.25">
      <c r="A11073" s="1" t="str">
        <f>"515087"</f>
        <v>515087</v>
      </c>
      <c r="B11073" s="2" t="str">
        <f>"FILME DE POL. DE CLO. DE VINILA (PVC) 62% 0,040X365X4000"</f>
        <v>FILME DE POL. DE CLO. DE VINILA (PVC) 62% 0,040X365X4000</v>
      </c>
      <c r="C11073" s="2" t="str">
        <f>"UN"</f>
        <v>UN</v>
      </c>
      <c r="D11073" s="7">
        <v>112</v>
      </c>
      <c r="E11073" s="3">
        <v>15</v>
      </c>
      <c r="F11073" s="3">
        <v>15</v>
      </c>
      <c r="G11073" t="s">
        <v>513</v>
      </c>
    </row>
    <row r="11074" spans="1:7" x14ac:dyDescent="0.25">
      <c r="A11074" s="1" t="str">
        <f>"515088"</f>
        <v>515088</v>
      </c>
      <c r="B11074" s="2" t="str">
        <f>"FILME DE POL. DE CLO. DE VINILA (PVC) 62% 0,040X580X4000"</f>
        <v>FILME DE POL. DE CLO. DE VINILA (PVC) 62% 0,040X580X4000</v>
      </c>
      <c r="C11074" s="2" t="str">
        <f>"UN"</f>
        <v>UN</v>
      </c>
      <c r="D11074" s="7">
        <v>112</v>
      </c>
      <c r="E11074" s="3">
        <v>15</v>
      </c>
      <c r="F11074" s="3">
        <v>15</v>
      </c>
      <c r="G11074" t="s">
        <v>514</v>
      </c>
    </row>
    <row r="11075" spans="1:7" x14ac:dyDescent="0.25">
      <c r="A11075" s="1" t="str">
        <f>"4181"</f>
        <v>4181</v>
      </c>
      <c r="B11075" s="2" t="str">
        <f>"FILME LISO THERMO ENCOLHIVEL 300X0,05 MM"</f>
        <v>FILME LISO THERMO ENCOLHIVEL 300X0,05 MM</v>
      </c>
      <c r="C11075" s="2" t="str">
        <f>"KG"</f>
        <v>KG</v>
      </c>
      <c r="D11075" s="7">
        <v>110</v>
      </c>
      <c r="E11075" s="3">
        <v>1</v>
      </c>
      <c r="F11075" s="3">
        <v>1</v>
      </c>
      <c r="G11075" t="s">
        <v>514</v>
      </c>
    </row>
    <row r="11076" spans="1:7" x14ac:dyDescent="0.25">
      <c r="A11076" s="1" t="str">
        <f>"4172"</f>
        <v>4172</v>
      </c>
      <c r="B11076" s="2" t="str">
        <f>"FILME LISO THERMO ENCOLHIVEL 330X0,05 MM"</f>
        <v>FILME LISO THERMO ENCOLHIVEL 330X0,05 MM</v>
      </c>
      <c r="C11076" s="2" t="str">
        <f>"KG"</f>
        <v>KG</v>
      </c>
      <c r="D11076" s="7">
        <v>110</v>
      </c>
      <c r="E11076" s="3">
        <v>1</v>
      </c>
      <c r="F11076" s="3">
        <v>1</v>
      </c>
      <c r="G11076" t="s">
        <v>514</v>
      </c>
    </row>
    <row r="11077" spans="1:7" x14ac:dyDescent="0.25">
      <c r="A11077" s="1" t="str">
        <f>"4171"</f>
        <v>4171</v>
      </c>
      <c r="B11077" s="2" t="str">
        <f>"FILME LISO THERMO ENCOLHIVEL 430X0,05 MM"</f>
        <v>FILME LISO THERMO ENCOLHIVEL 430X0,05 MM</v>
      </c>
      <c r="C11077" s="2" t="str">
        <f>"KG"</f>
        <v>KG</v>
      </c>
      <c r="D11077" s="7">
        <v>110</v>
      </c>
      <c r="E11077" s="3">
        <v>1</v>
      </c>
      <c r="F11077" s="3">
        <v>1</v>
      </c>
      <c r="G11077" t="s">
        <v>513</v>
      </c>
    </row>
    <row r="11078" spans="1:7" x14ac:dyDescent="0.25">
      <c r="A11078" s="1" t="str">
        <f>"519063"</f>
        <v>519063</v>
      </c>
      <c r="B11078" s="2" t="str">
        <f>"FILME PEBD 480X0,040MM"</f>
        <v>FILME PEBD 480X0,040MM</v>
      </c>
      <c r="C11078" s="2" t="str">
        <f>"UN"</f>
        <v>UN</v>
      </c>
      <c r="D11078" s="7">
        <v>108</v>
      </c>
      <c r="E11078" s="3">
        <v>1</v>
      </c>
      <c r="F11078" s="3">
        <v>1</v>
      </c>
      <c r="G11078" t="s">
        <v>512</v>
      </c>
    </row>
    <row r="11079" spans="1:7" x14ac:dyDescent="0.25">
      <c r="A11079" s="1" t="str">
        <f>"6984"</f>
        <v>6984</v>
      </c>
      <c r="B11079" s="2" t="str">
        <f>"FILME PETIT.MOR/BAN/MACA-KIDS.360G-CARRE"</f>
        <v>FILME PETIT.MOR/BAN/MACA-KIDS.360G-CARRE</v>
      </c>
      <c r="C11079" s="2" t="str">
        <f>"KG"</f>
        <v>KG</v>
      </c>
      <c r="D11079" s="7">
        <v>100</v>
      </c>
      <c r="E11079" s="3">
        <v>1</v>
      </c>
      <c r="F11079" s="3">
        <v>1</v>
      </c>
      <c r="G11079" t="s">
        <v>513</v>
      </c>
    </row>
    <row r="11080" spans="1:7" x14ac:dyDescent="0.25">
      <c r="A11080" s="1" t="str">
        <f>"6985"</f>
        <v>6985</v>
      </c>
      <c r="B11080" s="2" t="str">
        <f>"FILME PETIT.MORANGO-KIDS.360G-CARREFOUR"</f>
        <v>FILME PETIT.MORANGO-KIDS.360G-CARREFOUR</v>
      </c>
      <c r="C11080" s="2" t="str">
        <f>"KG"</f>
        <v>KG</v>
      </c>
      <c r="D11080" s="7">
        <v>100</v>
      </c>
      <c r="E11080" s="3">
        <v>1</v>
      </c>
      <c r="F11080" s="3">
        <v>1</v>
      </c>
      <c r="G11080" t="s">
        <v>514</v>
      </c>
    </row>
    <row r="11081" spans="1:7" x14ac:dyDescent="0.25">
      <c r="A11081" s="1" t="str">
        <f>"521081"</f>
        <v>521081</v>
      </c>
      <c r="B11081" s="2" t="str">
        <f>"FILME PLASTICO PVC"</f>
        <v>FILME PLASTICO PVC</v>
      </c>
      <c r="C11081" s="2" t="str">
        <f>"RL"</f>
        <v>RL</v>
      </c>
      <c r="D11081" s="7">
        <v>99999</v>
      </c>
      <c r="E11081" s="3">
        <v>99</v>
      </c>
      <c r="F11081" s="3">
        <v>99</v>
      </c>
      <c r="G11081" t="s">
        <v>514</v>
      </c>
    </row>
    <row r="11082" spans="1:7" x14ac:dyDescent="0.25">
      <c r="A11082" s="1" t="str">
        <f>"513853"</f>
        <v>513853</v>
      </c>
      <c r="B11082" s="2" t="str">
        <f>"FILME POLIT.STRETCH 430X10 MANUAL 2,5KG"</f>
        <v>FILME POLIT.STRETCH 430X10 MANUAL 2,5KG</v>
      </c>
      <c r="C11082" s="2" t="str">
        <f>"UN"</f>
        <v>UN</v>
      </c>
      <c r="D11082" s="7">
        <v>108</v>
      </c>
      <c r="E11082" s="3">
        <v>1</v>
      </c>
      <c r="F11082" s="3">
        <v>1</v>
      </c>
      <c r="G11082" t="s">
        <v>514</v>
      </c>
    </row>
    <row r="11083" spans="1:7" x14ac:dyDescent="0.25">
      <c r="A11083" s="1" t="str">
        <f>"2049"</f>
        <v>2049</v>
      </c>
      <c r="B11083" s="2" t="str">
        <f>"FILME POLIT.STRETCH 450X10M MANUAL 2,5KG"</f>
        <v>FILME POLIT.STRETCH 450X10M MANUAL 2,5KG</v>
      </c>
      <c r="C11083" s="2" t="str">
        <f>"KG"</f>
        <v>KG</v>
      </c>
      <c r="D11083" s="7">
        <v>108</v>
      </c>
      <c r="E11083" s="3">
        <v>1</v>
      </c>
      <c r="F11083" s="3">
        <v>1</v>
      </c>
      <c r="G11083" t="s">
        <v>513</v>
      </c>
    </row>
    <row r="11084" spans="1:7" x14ac:dyDescent="0.25">
      <c r="A11084" s="1" t="str">
        <f>"2048"</f>
        <v>2048</v>
      </c>
      <c r="B11084" s="2" t="str">
        <f>"FILME POLIT.STRETCH 500X20M MANUAL"</f>
        <v>FILME POLIT.STRETCH 500X20M MANUAL</v>
      </c>
      <c r="C11084" s="2" t="str">
        <f>"KG"</f>
        <v>KG</v>
      </c>
      <c r="D11084" s="7">
        <v>108</v>
      </c>
      <c r="E11084" s="3">
        <v>1</v>
      </c>
      <c r="F11084" s="3">
        <v>1</v>
      </c>
      <c r="G11084" t="s">
        <v>513</v>
      </c>
    </row>
    <row r="11085" spans="1:7" x14ac:dyDescent="0.25">
      <c r="A11085" s="1" t="str">
        <f>"523715"</f>
        <v>523715</v>
      </c>
      <c r="B11085" s="2" t="str">
        <f>"FILME PROTETOR 6885 P/ RESPIRADOR 3M SERIE 6800"</f>
        <v>FILME PROTETOR 6885 P/ RESPIRADOR 3M SERIE 6800</v>
      </c>
      <c r="C11085" s="2" t="str">
        <f>"UN"</f>
        <v>UN</v>
      </c>
      <c r="D11085" s="7">
        <v>501</v>
      </c>
      <c r="E11085" s="3">
        <v>5</v>
      </c>
      <c r="F11085" s="3">
        <v>5</v>
      </c>
      <c r="G11085" t="s">
        <v>513</v>
      </c>
    </row>
    <row r="11086" spans="1:7" x14ac:dyDescent="0.25">
      <c r="A11086" s="1" t="str">
        <f>"AG39201099"</f>
        <v>AG39201099</v>
      </c>
      <c r="B11086" s="2" t="str">
        <f>"FILME STRETCH AMOSTRA GRATIS"</f>
        <v>FILME STRETCH AMOSTRA GRATIS</v>
      </c>
      <c r="C11086" s="2" t="str">
        <f>"UN"</f>
        <v>UN</v>
      </c>
      <c r="D11086" s="7">
        <v>99999</v>
      </c>
      <c r="E11086" s="3">
        <v>99</v>
      </c>
      <c r="F11086" s="3">
        <v>99</v>
      </c>
      <c r="G11086" t="s">
        <v>512</v>
      </c>
    </row>
    <row r="11087" spans="1:7" x14ac:dyDescent="0.25">
      <c r="A11087" s="1" t="str">
        <f>"515515"</f>
        <v>515515</v>
      </c>
      <c r="B11087" s="2" t="str">
        <f>"FILME TERMO ENCOLHIDO DE PVC 0,040 X 1000 X 4500"</f>
        <v>FILME TERMO ENCOLHIDO DE PVC 0,040 X 1000 X 4500</v>
      </c>
      <c r="C11087" s="2" t="str">
        <f>"KG"</f>
        <v>KG</v>
      </c>
      <c r="D11087" s="7">
        <v>300</v>
      </c>
      <c r="E11087" s="3">
        <v>1</v>
      </c>
      <c r="F11087" s="3">
        <v>1</v>
      </c>
      <c r="G11087" t="s">
        <v>513</v>
      </c>
    </row>
    <row r="11088" spans="1:7" x14ac:dyDescent="0.25">
      <c r="A11088" s="1" t="str">
        <f>"835"</f>
        <v>835</v>
      </c>
      <c r="B11088" s="2" t="str">
        <f>"FILME TERMO ENCOLHIDO DE PVC 0,040 X 430 X 3000"</f>
        <v>FILME TERMO ENCOLHIDO DE PVC 0,040 X 430 X 3000</v>
      </c>
      <c r="C11088" s="2" t="str">
        <f>"KG"</f>
        <v>KG</v>
      </c>
      <c r="D11088" s="7">
        <v>300</v>
      </c>
      <c r="E11088" s="3">
        <v>1</v>
      </c>
      <c r="F11088" s="3">
        <v>1</v>
      </c>
      <c r="G11088" t="s">
        <v>514</v>
      </c>
    </row>
    <row r="11089" spans="1:7" x14ac:dyDescent="0.25">
      <c r="A11089" s="1" t="str">
        <f>"516624"</f>
        <v>516624</v>
      </c>
      <c r="B11089" s="2" t="str">
        <f>"FILME TERMO ENCOLHIDO DE PVC 0,040 X 465X 4500"</f>
        <v>FILME TERMO ENCOLHIDO DE PVC 0,040 X 465X 4500</v>
      </c>
      <c r="C11089" s="2" t="str">
        <f>"KG"</f>
        <v>KG</v>
      </c>
      <c r="D11089" s="7">
        <v>300</v>
      </c>
      <c r="E11089" s="3">
        <v>1</v>
      </c>
      <c r="F11089" s="3">
        <v>1</v>
      </c>
      <c r="G11089" t="s">
        <v>515</v>
      </c>
    </row>
    <row r="11090" spans="1:7" x14ac:dyDescent="0.25">
      <c r="A11090" s="1" t="str">
        <f>"828"</f>
        <v>828</v>
      </c>
      <c r="B11090" s="2" t="str">
        <f>"FILME TERMO ENCOLHIDO DE PVC 0,040 X 500 X 3000"</f>
        <v>FILME TERMO ENCOLHIDO DE PVC 0,040 X 500 X 3000</v>
      </c>
      <c r="C11090" s="2" t="str">
        <f>"KG"</f>
        <v>KG</v>
      </c>
      <c r="D11090" s="7">
        <v>300</v>
      </c>
      <c r="E11090" s="3">
        <v>1</v>
      </c>
      <c r="F11090" s="3">
        <v>1</v>
      </c>
      <c r="G11090" t="s">
        <v>512</v>
      </c>
    </row>
    <row r="11091" spans="1:7" x14ac:dyDescent="0.25">
      <c r="A11091" s="1" t="str">
        <f>"833"</f>
        <v>833</v>
      </c>
      <c r="B11091" s="2" t="str">
        <f>"FILME TERMO ENCOLHIDO DE PVC 0,040 X 600 X 3000"</f>
        <v>FILME TERMO ENCOLHIDO DE PVC 0,040 X 600 X 3000</v>
      </c>
      <c r="C11091" s="2" t="str">
        <f>"UN"</f>
        <v>UN</v>
      </c>
      <c r="D11091" s="7">
        <v>300</v>
      </c>
      <c r="E11091" s="3">
        <v>1</v>
      </c>
      <c r="F11091" s="3">
        <v>1</v>
      </c>
      <c r="G11091" t="s">
        <v>516</v>
      </c>
    </row>
    <row r="11092" spans="1:7" x14ac:dyDescent="0.25">
      <c r="A11092" s="1" t="str">
        <f>"820"</f>
        <v>820</v>
      </c>
      <c r="B11092" s="2" t="str">
        <f>"FILME TERMO ENCOLHIDO DE PVC 0,040 X 740 X 4500"</f>
        <v>FILME TERMO ENCOLHIDO DE PVC 0,040 X 740 X 4500</v>
      </c>
      <c r="C11092" s="2" t="str">
        <f>"KG"</f>
        <v>KG</v>
      </c>
      <c r="D11092" s="7">
        <v>300</v>
      </c>
      <c r="E11092" s="3">
        <v>1</v>
      </c>
      <c r="F11092" s="3">
        <v>1</v>
      </c>
      <c r="G11092" t="s">
        <v>515</v>
      </c>
    </row>
    <row r="11093" spans="1:7" x14ac:dyDescent="0.25">
      <c r="A11093" s="1" t="str">
        <f>"827"</f>
        <v>827</v>
      </c>
      <c r="B11093" s="2" t="str">
        <f>"FILME TERMO ENCOLHIDO DE PVC 0,040 X 860 X 4500"</f>
        <v>FILME TERMO ENCOLHIDO DE PVC 0,040 X 860 X 4500</v>
      </c>
      <c r="C11093" s="2" t="str">
        <f>"KG"</f>
        <v>KG</v>
      </c>
      <c r="D11093" s="7">
        <v>300</v>
      </c>
      <c r="E11093" s="3">
        <v>1</v>
      </c>
      <c r="F11093" s="3">
        <v>1</v>
      </c>
      <c r="G11093" t="s">
        <v>514</v>
      </c>
    </row>
    <row r="11094" spans="1:7" x14ac:dyDescent="0.25">
      <c r="A11094" s="1" t="str">
        <f>"514401"</f>
        <v>514401</v>
      </c>
      <c r="B11094" s="2" t="str">
        <f>"FILTRO"</f>
        <v>FILTRO</v>
      </c>
      <c r="C11094" s="2" t="str">
        <f t="shared" ref="C11094:C11102" si="432">"UN"</f>
        <v>UN</v>
      </c>
      <c r="D11094" s="7">
        <v>401</v>
      </c>
      <c r="E11094" s="3">
        <v>4</v>
      </c>
      <c r="F11094" s="3">
        <v>4</v>
      </c>
      <c r="G11094" t="s">
        <v>512</v>
      </c>
    </row>
    <row r="11095" spans="1:7" x14ac:dyDescent="0.25">
      <c r="A11095" s="1" t="str">
        <f>"525425"</f>
        <v>525425</v>
      </c>
      <c r="B11095" s="2" t="str">
        <f>"FILTRO (GÁS) INOX 304 MILKPIPE DIN 11851 DN 80/RD 110 X 1/4"""</f>
        <v>FILTRO (GÁS) INOX 304 MILKPIPE DIN 11851 DN 80/RD 110 X 1/4"</v>
      </c>
      <c r="C11095" s="2" t="str">
        <f t="shared" si="432"/>
        <v>UN</v>
      </c>
      <c r="D11095" s="7">
        <v>408</v>
      </c>
      <c r="E11095" s="3">
        <v>13</v>
      </c>
      <c r="F11095" s="3">
        <v>13</v>
      </c>
      <c r="G11095" t="s">
        <v>513</v>
      </c>
    </row>
    <row r="11096" spans="1:7" x14ac:dyDescent="0.25">
      <c r="A11096" s="1" t="str">
        <f>"522014"</f>
        <v>522014</v>
      </c>
      <c r="B11096" s="2" t="str">
        <f>"FILTRO (GÁS) INOX 316 MILKPIPE DIN 11851 DN 80/RD 110 X 1/4"""</f>
        <v>FILTRO (GÁS) INOX 316 MILKPIPE DIN 11851 DN 80/RD 110 X 1/4"</v>
      </c>
      <c r="C11096" s="2" t="str">
        <f t="shared" si="432"/>
        <v>UN</v>
      </c>
      <c r="D11096" s="7">
        <v>408</v>
      </c>
      <c r="E11096" s="3">
        <v>13</v>
      </c>
      <c r="F11096" s="3">
        <v>13</v>
      </c>
      <c r="G11096" t="s">
        <v>514</v>
      </c>
    </row>
    <row r="11097" spans="1:7" x14ac:dyDescent="0.25">
      <c r="A11097" s="1" t="str">
        <f>"522466"</f>
        <v>522466</v>
      </c>
      <c r="B11097" s="2" t="str">
        <f>"FILTRO AÇO INOX AISI304 (CONFORME DESENHO)"</f>
        <v>FILTRO AÇO INOX AISI304 (CONFORME DESENHO)</v>
      </c>
      <c r="C11097" s="2" t="str">
        <f t="shared" si="432"/>
        <v>UN</v>
      </c>
      <c r="D11097" s="7">
        <v>915</v>
      </c>
      <c r="E11097" s="3">
        <v>10</v>
      </c>
      <c r="F11097" s="3">
        <v>10</v>
      </c>
      <c r="G11097" t="s">
        <v>514</v>
      </c>
    </row>
    <row r="11098" spans="1:7" x14ac:dyDescent="0.25">
      <c r="A11098" s="1" t="str">
        <f>"513262"</f>
        <v>513262</v>
      </c>
      <c r="B11098" s="2" t="str">
        <f>"FILTRO AMONIA ANGULAR SOLDA 3"""</f>
        <v>FILTRO AMONIA ANGULAR SOLDA 3"</v>
      </c>
      <c r="C11098" s="2" t="str">
        <f t="shared" si="432"/>
        <v>UN</v>
      </c>
      <c r="D11098" s="7">
        <v>916</v>
      </c>
      <c r="E11098" s="3">
        <v>10</v>
      </c>
      <c r="F11098" s="3">
        <v>10</v>
      </c>
      <c r="G11098" t="s">
        <v>512</v>
      </c>
    </row>
    <row r="11099" spans="1:7" x14ac:dyDescent="0.25">
      <c r="A11099" s="1" t="str">
        <f>"519677"</f>
        <v>519677</v>
      </c>
      <c r="B11099" s="2" t="str">
        <f>"FILTRO AR COALESCENTE DD 360 G2 1/2"" 8102295113"</f>
        <v>FILTRO AR COALESCENTE DD 360 G2 1/2" 8102295113</v>
      </c>
      <c r="C11099" s="2" t="str">
        <f t="shared" si="432"/>
        <v>UN</v>
      </c>
      <c r="D11099" s="7">
        <v>1300</v>
      </c>
      <c r="E11099" s="3">
        <v>13</v>
      </c>
      <c r="F11099" s="3">
        <v>13</v>
      </c>
      <c r="G11099" t="s">
        <v>513</v>
      </c>
    </row>
    <row r="11100" spans="1:7" x14ac:dyDescent="0.25">
      <c r="A11100" s="1" t="str">
        <f>"519675"</f>
        <v>519675</v>
      </c>
      <c r="B11100" s="2" t="str">
        <f>"FILTRO AR COALESCENTE DD 525 8102295147_BR"</f>
        <v>FILTRO AR COALESCENTE DD 525 8102295147_BR</v>
      </c>
      <c r="C11100" s="2" t="str">
        <f t="shared" si="432"/>
        <v>UN</v>
      </c>
      <c r="D11100" s="7">
        <v>1300</v>
      </c>
      <c r="E11100" s="3">
        <v>13</v>
      </c>
      <c r="F11100" s="3">
        <v>13</v>
      </c>
      <c r="G11100" t="s">
        <v>514</v>
      </c>
    </row>
    <row r="11101" spans="1:7" x14ac:dyDescent="0.25">
      <c r="A11101" s="1" t="str">
        <f>"519678"</f>
        <v>519678</v>
      </c>
      <c r="B11101" s="2" t="str">
        <f>"FILTRO AR COALESCENTE PD 360 G2 1/2"" 8102295121"</f>
        <v>FILTRO AR COALESCENTE PD 360 G2 1/2" 8102295121</v>
      </c>
      <c r="C11101" s="2" t="str">
        <f t="shared" si="432"/>
        <v>UN</v>
      </c>
      <c r="D11101" s="7">
        <v>1300</v>
      </c>
      <c r="E11101" s="3">
        <v>13</v>
      </c>
      <c r="F11101" s="3">
        <v>13</v>
      </c>
      <c r="G11101" t="s">
        <v>514</v>
      </c>
    </row>
    <row r="11102" spans="1:7" x14ac:dyDescent="0.25">
      <c r="A11102" s="1" t="str">
        <f>"519676"</f>
        <v>519676</v>
      </c>
      <c r="B11102" s="2" t="str">
        <f>"FILTRO AR COALESCENTE PD 525 8102295147_BR"</f>
        <v>FILTRO AR COALESCENTE PD 525 8102295147_BR</v>
      </c>
      <c r="C11102" s="2" t="str">
        <f t="shared" si="432"/>
        <v>UN</v>
      </c>
      <c r="D11102" s="7">
        <v>1300</v>
      </c>
      <c r="E11102" s="3">
        <v>13</v>
      </c>
      <c r="F11102" s="3">
        <v>13</v>
      </c>
      <c r="G11102" t="s">
        <v>514</v>
      </c>
    </row>
    <row r="11103" spans="1:7" x14ac:dyDescent="0.25">
      <c r="A11103" s="1" t="str">
        <f>"500742"</f>
        <v>500742</v>
      </c>
      <c r="B11103" s="2" t="str">
        <f>"FILTRO AR COD.1613740700 CHIC.PNEUM 40HP"</f>
        <v>FILTRO AR COD.1613740700 CHIC.PNEUM 40HP</v>
      </c>
      <c r="C11103" s="2" t="str">
        <f>"PC"</f>
        <v>PC</v>
      </c>
      <c r="D11103" s="7">
        <v>902</v>
      </c>
      <c r="E11103" s="3">
        <v>11</v>
      </c>
      <c r="F11103" s="3">
        <v>11</v>
      </c>
      <c r="G11103" t="s">
        <v>513</v>
      </c>
    </row>
    <row r="11104" spans="1:7" x14ac:dyDescent="0.25">
      <c r="A11104" s="1" t="str">
        <f>"504448"</f>
        <v>504448</v>
      </c>
      <c r="B11104" s="2" t="str">
        <f>"FILTRO AR COD.640551 30HP CHICAGO"</f>
        <v>FILTRO AR COD.640551 30HP CHICAGO</v>
      </c>
      <c r="C11104" s="2" t="str">
        <f>"PC"</f>
        <v>PC</v>
      </c>
      <c r="D11104" s="7">
        <v>902</v>
      </c>
      <c r="E11104" s="3">
        <v>11</v>
      </c>
      <c r="F11104" s="3">
        <v>11</v>
      </c>
      <c r="G11104" t="s">
        <v>512</v>
      </c>
    </row>
    <row r="11105" spans="1:7" x14ac:dyDescent="0.25">
      <c r="A11105" s="1" t="str">
        <f>"525298"</f>
        <v>525298</v>
      </c>
      <c r="B11105" s="8" t="s">
        <v>449</v>
      </c>
      <c r="C11105" s="2" t="str">
        <f t="shared" ref="C11105:C11113" si="433">"UN"</f>
        <v>UN</v>
      </c>
      <c r="D11105" s="7">
        <v>918</v>
      </c>
      <c r="E11105" s="3">
        <v>11</v>
      </c>
      <c r="F11105" s="3">
        <v>11</v>
      </c>
      <c r="G11105" t="s">
        <v>513</v>
      </c>
    </row>
    <row r="11106" spans="1:7" x14ac:dyDescent="0.25">
      <c r="A11106" s="1" t="str">
        <f>"525296"</f>
        <v>525296</v>
      </c>
      <c r="B11106" s="8" t="s">
        <v>447</v>
      </c>
      <c r="C11106" s="2" t="str">
        <f t="shared" si="433"/>
        <v>UN</v>
      </c>
      <c r="D11106" s="7">
        <v>918</v>
      </c>
      <c r="E11106" s="3">
        <v>11</v>
      </c>
      <c r="F11106" s="3">
        <v>11</v>
      </c>
      <c r="G11106" t="s">
        <v>514</v>
      </c>
    </row>
    <row r="11107" spans="1:7" x14ac:dyDescent="0.25">
      <c r="A11107" s="1" t="str">
        <f>"525297"</f>
        <v>525297</v>
      </c>
      <c r="B11107" s="8" t="s">
        <v>448</v>
      </c>
      <c r="C11107" s="2" t="str">
        <f t="shared" si="433"/>
        <v>UN</v>
      </c>
      <c r="D11107" s="7">
        <v>918</v>
      </c>
      <c r="E11107" s="3">
        <v>11</v>
      </c>
      <c r="F11107" s="3">
        <v>11</v>
      </c>
      <c r="G11107" t="s">
        <v>514</v>
      </c>
    </row>
    <row r="11108" spans="1:7" x14ac:dyDescent="0.25">
      <c r="A11108" s="1" t="str">
        <f>"525295"</f>
        <v>525295</v>
      </c>
      <c r="B11108" s="8" t="s">
        <v>446</v>
      </c>
      <c r="C11108" s="2" t="str">
        <f t="shared" si="433"/>
        <v>UN</v>
      </c>
      <c r="D11108" s="7">
        <v>918</v>
      </c>
      <c r="E11108" s="3">
        <v>11</v>
      </c>
      <c r="F11108" s="3">
        <v>11</v>
      </c>
      <c r="G11108" t="s">
        <v>514</v>
      </c>
    </row>
    <row r="11109" spans="1:7" x14ac:dyDescent="0.25">
      <c r="A11109" s="1" t="str">
        <f>"519050"</f>
        <v>519050</v>
      </c>
      <c r="B11109" s="2" t="str">
        <f>"FILTRO AR TOYOTA 8FGU25"</f>
        <v>FILTRO AR TOYOTA 8FGU25</v>
      </c>
      <c r="C11109" s="2" t="str">
        <f t="shared" si="433"/>
        <v>UN</v>
      </c>
      <c r="D11109" s="7">
        <v>918</v>
      </c>
      <c r="E11109" s="3">
        <v>11</v>
      </c>
      <c r="F11109" s="3">
        <v>11</v>
      </c>
      <c r="G11109" t="s">
        <v>513</v>
      </c>
    </row>
    <row r="11110" spans="1:7" x14ac:dyDescent="0.25">
      <c r="A11110" s="1" t="str">
        <f>"523831"</f>
        <v>523831</v>
      </c>
      <c r="B11110" s="2" t="str">
        <f>"FILTRO BOMBA ANALISADOR GASES GASALERT MAX XT II"</f>
        <v>FILTRO BOMBA ANALISADOR GASES GASALERT MAX XT II</v>
      </c>
      <c r="C11110" s="2" t="str">
        <f t="shared" si="433"/>
        <v>UN</v>
      </c>
      <c r="D11110" s="7">
        <v>99999</v>
      </c>
      <c r="E11110" s="3">
        <v>99</v>
      </c>
      <c r="F11110" s="3">
        <v>99</v>
      </c>
      <c r="G11110" t="s">
        <v>513</v>
      </c>
    </row>
    <row r="11111" spans="1:7" x14ac:dyDescent="0.25">
      <c r="A11111" s="1" t="str">
        <f>"519546"</f>
        <v>519546</v>
      </c>
      <c r="B11111" s="2" t="str">
        <f>"FILTRO CARVÃO ATIV. LFX-D-MINI 532776"</f>
        <v>FILTRO CARVÃO ATIV. LFX-D-MINI 532776</v>
      </c>
      <c r="C11111" s="2" t="str">
        <f t="shared" si="433"/>
        <v>UN</v>
      </c>
      <c r="D11111" s="7">
        <v>913</v>
      </c>
      <c r="E11111" s="3">
        <v>11</v>
      </c>
      <c r="F11111" s="3">
        <v>11</v>
      </c>
      <c r="G11111" t="s">
        <v>513</v>
      </c>
    </row>
    <row r="11112" spans="1:7" x14ac:dyDescent="0.25">
      <c r="A11112" s="1" t="str">
        <f>"516171"</f>
        <v>516171</v>
      </c>
      <c r="B11112" s="2" t="str">
        <f>"FILTRO CARVÃO ATIVADO - MS6-LFX-1/4-R"</f>
        <v>FILTRO CARVÃO ATIVADO - MS6-LFX-1/4-R</v>
      </c>
      <c r="C11112" s="2" t="str">
        <f t="shared" si="433"/>
        <v>UN</v>
      </c>
      <c r="D11112" s="7">
        <v>913</v>
      </c>
      <c r="E11112" s="3">
        <v>11</v>
      </c>
      <c r="F11112" s="3">
        <v>11</v>
      </c>
      <c r="G11112" t="s">
        <v>512</v>
      </c>
    </row>
    <row r="11113" spans="1:7" x14ac:dyDescent="0.25">
      <c r="A11113" s="1" t="str">
        <f>"520110"</f>
        <v>520110</v>
      </c>
      <c r="B11113" s="2" t="str">
        <f>"FILTRO CAT 126-1817 - HIDRAULICO"</f>
        <v>FILTRO CAT 126-1817 - HIDRAULICO</v>
      </c>
      <c r="C11113" s="2" t="str">
        <f t="shared" si="433"/>
        <v>UN</v>
      </c>
      <c r="D11113" s="7">
        <v>704</v>
      </c>
      <c r="E11113" s="3">
        <v>9</v>
      </c>
      <c r="F11113" s="3">
        <v>9</v>
      </c>
      <c r="G11113" t="s">
        <v>513</v>
      </c>
    </row>
    <row r="11114" spans="1:7" x14ac:dyDescent="0.25">
      <c r="A11114" s="1" t="str">
        <f>"508885"</f>
        <v>508885</v>
      </c>
      <c r="B11114" s="2" t="str">
        <f>"FILTRO CAT-416E 108-1153 OLEO HIDRAULICO"</f>
        <v>FILTRO CAT-416E 108-1153 OLEO HIDRAULICO</v>
      </c>
      <c r="C11114" s="2" t="str">
        <f>"PC"</f>
        <v>PC</v>
      </c>
      <c r="D11114" s="7">
        <v>701</v>
      </c>
      <c r="E11114" s="3">
        <v>9</v>
      </c>
      <c r="F11114" s="3">
        <v>9</v>
      </c>
      <c r="G11114" t="s">
        <v>514</v>
      </c>
    </row>
    <row r="11115" spans="1:7" x14ac:dyDescent="0.25">
      <c r="A11115" s="1" t="str">
        <f>"508886"</f>
        <v>508886</v>
      </c>
      <c r="B11115" s="2" t="str">
        <f>"FILTRO CAT-416E 119-4740 OLEO HIDRAULICO"</f>
        <v>FILTRO CAT-416E 119-4740 OLEO HIDRAULICO</v>
      </c>
      <c r="C11115" s="2" t="str">
        <f>"PC"</f>
        <v>PC</v>
      </c>
      <c r="D11115" s="7">
        <v>701</v>
      </c>
      <c r="E11115" s="3">
        <v>9</v>
      </c>
      <c r="F11115" s="3">
        <v>9</v>
      </c>
      <c r="G11115" t="s">
        <v>515</v>
      </c>
    </row>
    <row r="11116" spans="1:7" x14ac:dyDescent="0.25">
      <c r="A11116" s="1" t="str">
        <f>"508101"</f>
        <v>508101</v>
      </c>
      <c r="B11116" s="2" t="str">
        <f>"FILTRO CAT-416E 156-1200 SEPARADOR"</f>
        <v>FILTRO CAT-416E 156-1200 SEPARADOR</v>
      </c>
      <c r="C11116" s="2" t="str">
        <f>"UN"</f>
        <v>UN</v>
      </c>
      <c r="D11116" s="7">
        <v>701</v>
      </c>
      <c r="E11116" s="3">
        <v>9</v>
      </c>
      <c r="F11116" s="3">
        <v>9</v>
      </c>
      <c r="G11116" t="s">
        <v>512</v>
      </c>
    </row>
    <row r="11117" spans="1:7" x14ac:dyDescent="0.25">
      <c r="A11117" s="1" t="str">
        <f>"510155"</f>
        <v>510155</v>
      </c>
      <c r="B11117" s="2" t="str">
        <f>"FILTRO CAT-416E 227-7449 AR"</f>
        <v>FILTRO CAT-416E 227-7449 AR</v>
      </c>
      <c r="C11117" s="2" t="str">
        <f>"PC"</f>
        <v>PC</v>
      </c>
      <c r="D11117" s="7">
        <v>701</v>
      </c>
      <c r="E11117" s="3">
        <v>9</v>
      </c>
      <c r="F11117" s="3">
        <v>9</v>
      </c>
      <c r="G11117" t="s">
        <v>516</v>
      </c>
    </row>
    <row r="11118" spans="1:7" x14ac:dyDescent="0.25">
      <c r="A11118" s="1" t="str">
        <f>"508100"</f>
        <v>508100</v>
      </c>
      <c r="B11118" s="2" t="str">
        <f>"FILTRO CAT-416E 2289130-2O SEPARADOR"</f>
        <v>FILTRO CAT-416E 2289130-2O SEPARADOR</v>
      </c>
      <c r="C11118" s="2" t="str">
        <f>"PC"</f>
        <v>PC</v>
      </c>
      <c r="D11118" s="7">
        <v>701</v>
      </c>
      <c r="E11118" s="3">
        <v>9</v>
      </c>
      <c r="F11118" s="3">
        <v>9</v>
      </c>
      <c r="G11118" t="s">
        <v>515</v>
      </c>
    </row>
    <row r="11119" spans="1:7" x14ac:dyDescent="0.25">
      <c r="A11119" s="1" t="str">
        <f>"508105"</f>
        <v>508105</v>
      </c>
      <c r="B11119" s="2" t="str">
        <f>"FILTRO CAT-416E 293-4053 AR"</f>
        <v>FILTRO CAT-416E 293-4053 AR</v>
      </c>
      <c r="C11119" s="2" t="str">
        <f t="shared" ref="C11119:C11138" si="434">"UN"</f>
        <v>UN</v>
      </c>
      <c r="D11119" s="7">
        <v>701</v>
      </c>
      <c r="E11119" s="3">
        <v>9</v>
      </c>
      <c r="F11119" s="3">
        <v>9</v>
      </c>
      <c r="G11119" t="s">
        <v>514</v>
      </c>
    </row>
    <row r="11120" spans="1:7" x14ac:dyDescent="0.25">
      <c r="A11120" s="1" t="str">
        <f>"508415"</f>
        <v>508415</v>
      </c>
      <c r="B11120" s="2" t="str">
        <f>"FILTRO CAT-416E 7W-2326 COMBUSTIVEL"</f>
        <v>FILTRO CAT-416E 7W-2326 COMBUSTIVEL</v>
      </c>
      <c r="C11120" s="2" t="str">
        <f t="shared" si="434"/>
        <v>UN</v>
      </c>
      <c r="D11120" s="7">
        <v>701</v>
      </c>
      <c r="E11120" s="3">
        <v>9</v>
      </c>
      <c r="F11120" s="3">
        <v>9</v>
      </c>
      <c r="G11120" t="s">
        <v>512</v>
      </c>
    </row>
    <row r="11121" spans="1:7" x14ac:dyDescent="0.25">
      <c r="A11121" s="1" t="str">
        <f>"528010"</f>
        <v>528010</v>
      </c>
      <c r="B11121" s="2" t="str">
        <f>"FILTRO CK POU5 - BEBEDOURO INDUSTRIAL"</f>
        <v>FILTRO CK POU5 - BEBEDOURO INDUSTRIAL</v>
      </c>
      <c r="C11121" s="2" t="str">
        <f t="shared" si="434"/>
        <v>UN</v>
      </c>
      <c r="D11121" s="7">
        <v>917</v>
      </c>
      <c r="E11121" s="3">
        <v>10</v>
      </c>
      <c r="F11121" s="3">
        <v>10</v>
      </c>
      <c r="G11121" t="s">
        <v>513</v>
      </c>
    </row>
    <row r="11122" spans="1:7" x14ac:dyDescent="0.25">
      <c r="A11122" s="1" t="str">
        <f>"523154"</f>
        <v>523154</v>
      </c>
      <c r="B11122" s="8" t="s">
        <v>360</v>
      </c>
      <c r="C11122" s="2" t="str">
        <f t="shared" si="434"/>
        <v>UN</v>
      </c>
      <c r="D11122" s="7">
        <v>901</v>
      </c>
      <c r="E11122" s="3">
        <v>10</v>
      </c>
      <c r="F11122" s="3">
        <v>10</v>
      </c>
      <c r="G11122" t="s">
        <v>514</v>
      </c>
    </row>
    <row r="11123" spans="1:7" x14ac:dyDescent="0.25">
      <c r="A11123" s="1" t="str">
        <f>"526972"</f>
        <v>526972</v>
      </c>
      <c r="B11123" s="2" t="str">
        <f>"FILTRO COALESCENTE FBSO- 1286-3``-1MICRON"</f>
        <v>FILTRO COALESCENTE FBSO- 1286-3``-1MICRON</v>
      </c>
      <c r="C11123" s="2" t="str">
        <f t="shared" si="434"/>
        <v>UN</v>
      </c>
      <c r="D11123" s="7">
        <v>901</v>
      </c>
      <c r="E11123" s="3">
        <v>10</v>
      </c>
      <c r="F11123" s="3">
        <v>10</v>
      </c>
      <c r="G11123" t="s">
        <v>514</v>
      </c>
    </row>
    <row r="11124" spans="1:7" x14ac:dyDescent="0.25">
      <c r="A11124" s="1" t="str">
        <f>"516170"</f>
        <v>516170</v>
      </c>
      <c r="B11124" s="2" t="str">
        <f>"FILTRO COALESCENTE MS6-LFM-1/4-ARM"</f>
        <v>FILTRO COALESCENTE MS6-LFM-1/4-ARM</v>
      </c>
      <c r="C11124" s="2" t="str">
        <f t="shared" si="434"/>
        <v>UN</v>
      </c>
      <c r="D11124" s="7">
        <v>913</v>
      </c>
      <c r="E11124" s="3">
        <v>11</v>
      </c>
      <c r="F11124" s="3">
        <v>11</v>
      </c>
      <c r="G11124" t="s">
        <v>512</v>
      </c>
    </row>
    <row r="11125" spans="1:7" x14ac:dyDescent="0.25">
      <c r="A11125" s="1" t="str">
        <f>"513833"</f>
        <v>513833</v>
      </c>
      <c r="B11125" s="2" t="str">
        <f>"FILTRO COMBUSTIVEL"</f>
        <v>FILTRO COMBUSTIVEL</v>
      </c>
      <c r="C11125" s="2" t="str">
        <f t="shared" si="434"/>
        <v>UN</v>
      </c>
      <c r="D11125" s="7">
        <v>704</v>
      </c>
      <c r="E11125" s="3">
        <v>9</v>
      </c>
      <c r="F11125" s="3">
        <v>9</v>
      </c>
      <c r="G11125" t="s">
        <v>513</v>
      </c>
    </row>
    <row r="11126" spans="1:7" x14ac:dyDescent="0.25">
      <c r="A11126" s="1" t="str">
        <f>"520129"</f>
        <v>520129</v>
      </c>
      <c r="B11126" s="2" t="str">
        <f>"FILTRO COMBUSTIVEL 21407801 VOLVO"</f>
        <v>FILTRO COMBUSTIVEL 21407801 VOLVO</v>
      </c>
      <c r="C11126" s="2" t="str">
        <f t="shared" si="434"/>
        <v>UN</v>
      </c>
      <c r="D11126" s="7">
        <v>704</v>
      </c>
      <c r="E11126" s="3">
        <v>9</v>
      </c>
      <c r="F11126" s="3">
        <v>9</v>
      </c>
      <c r="G11126" t="s">
        <v>514</v>
      </c>
    </row>
    <row r="11127" spans="1:7" x14ac:dyDescent="0.25">
      <c r="A11127" s="1" t="str">
        <f>"520120"</f>
        <v>520120</v>
      </c>
      <c r="B11127" s="2" t="str">
        <f>"FILTRO COMBUSTIVEL HDF422 DELPHI"</f>
        <v>FILTRO COMBUSTIVEL HDF422 DELPHI</v>
      </c>
      <c r="C11127" s="2" t="str">
        <f t="shared" si="434"/>
        <v>UN</v>
      </c>
      <c r="D11127" s="7">
        <v>704</v>
      </c>
      <c r="E11127" s="3">
        <v>9</v>
      </c>
      <c r="F11127" s="3">
        <v>9</v>
      </c>
      <c r="G11127" t="s">
        <v>514</v>
      </c>
    </row>
    <row r="11128" spans="1:7" x14ac:dyDescent="0.25">
      <c r="A11128" s="1" t="str">
        <f>"520122"</f>
        <v>520122</v>
      </c>
      <c r="B11128" s="2" t="str">
        <f>"FILTRO COMBUSTIVEL HDF529 DELPHI"</f>
        <v>FILTRO COMBUSTIVEL HDF529 DELPHI</v>
      </c>
      <c r="C11128" s="2" t="str">
        <f t="shared" si="434"/>
        <v>UN</v>
      </c>
      <c r="D11128" s="7">
        <v>704</v>
      </c>
      <c r="E11128" s="3">
        <v>9</v>
      </c>
      <c r="F11128" s="3">
        <v>9</v>
      </c>
      <c r="G11128" t="s">
        <v>514</v>
      </c>
    </row>
    <row r="11129" spans="1:7" x14ac:dyDescent="0.25">
      <c r="A11129" s="1" t="str">
        <f>"520127"</f>
        <v>520127</v>
      </c>
      <c r="B11129" s="2" t="str">
        <f>"FILTRO COMBUSTIVEL R120L-10M-AQLL"</f>
        <v>FILTRO COMBUSTIVEL R120L-10M-AQLL</v>
      </c>
      <c r="C11129" s="2" t="str">
        <f t="shared" si="434"/>
        <v>UN</v>
      </c>
      <c r="D11129" s="7">
        <v>704</v>
      </c>
      <c r="E11129" s="3">
        <v>9</v>
      </c>
      <c r="F11129" s="3">
        <v>9</v>
      </c>
      <c r="G11129" t="s">
        <v>513</v>
      </c>
    </row>
    <row r="11130" spans="1:7" x14ac:dyDescent="0.25">
      <c r="A11130" s="1" t="str">
        <f>"520126"</f>
        <v>520126</v>
      </c>
      <c r="B11130" s="2" t="str">
        <f>"FILTRO COMBUSTIVEL S-3015 PARKER RACOR"</f>
        <v>FILTRO COMBUSTIVEL S-3015 PARKER RACOR</v>
      </c>
      <c r="C11130" s="2" t="str">
        <f t="shared" si="434"/>
        <v>UN</v>
      </c>
      <c r="D11130" s="7">
        <v>704</v>
      </c>
      <c r="E11130" s="3">
        <v>9</v>
      </c>
      <c r="F11130" s="3">
        <v>9</v>
      </c>
      <c r="G11130" t="s">
        <v>512</v>
      </c>
    </row>
    <row r="11131" spans="1:7" x14ac:dyDescent="0.25">
      <c r="A11131" s="1" t="str">
        <f>"520113"</f>
        <v>520113</v>
      </c>
      <c r="B11131" s="2" t="str">
        <f>"FILTRO COMBUSTIVEL WK1050/1 MANN FILTER"</f>
        <v>FILTRO COMBUSTIVEL WK1050/1 MANN FILTER</v>
      </c>
      <c r="C11131" s="2" t="str">
        <f t="shared" si="434"/>
        <v>UN</v>
      </c>
      <c r="D11131" s="7">
        <v>704</v>
      </c>
      <c r="E11131" s="3">
        <v>9</v>
      </c>
      <c r="F11131" s="3">
        <v>9</v>
      </c>
      <c r="G11131" t="s">
        <v>513</v>
      </c>
    </row>
    <row r="11132" spans="1:7" x14ac:dyDescent="0.25">
      <c r="A11132" s="1" t="str">
        <f>"520111"</f>
        <v>520111</v>
      </c>
      <c r="B11132" s="2" t="str">
        <f>"FILTRO COMBUSTIVEL WK1149 MANN FILTER"</f>
        <v>FILTRO COMBUSTIVEL WK1149 MANN FILTER</v>
      </c>
      <c r="C11132" s="2" t="str">
        <f t="shared" si="434"/>
        <v>UN</v>
      </c>
      <c r="D11132" s="7">
        <v>704</v>
      </c>
      <c r="E11132" s="3">
        <v>9</v>
      </c>
      <c r="F11132" s="3">
        <v>9</v>
      </c>
      <c r="G11132" t="s">
        <v>514</v>
      </c>
    </row>
    <row r="11133" spans="1:7" x14ac:dyDescent="0.25">
      <c r="A11133" s="1" t="str">
        <f>"521409"</f>
        <v>521409</v>
      </c>
      <c r="B11133" s="2" t="str">
        <f>"FILTRO CONFORME PROJETO GM"</f>
        <v>FILTRO CONFORME PROJETO GM</v>
      </c>
      <c r="C11133" s="2" t="str">
        <f t="shared" si="434"/>
        <v>UN</v>
      </c>
      <c r="D11133" s="7">
        <v>1300</v>
      </c>
      <c r="E11133" s="3">
        <v>13</v>
      </c>
      <c r="F11133" s="3">
        <v>13</v>
      </c>
      <c r="G11133" t="s">
        <v>514</v>
      </c>
    </row>
    <row r="11134" spans="1:7" x14ac:dyDescent="0.25">
      <c r="A11134" s="1" t="str">
        <f>"3447"</f>
        <v>3447</v>
      </c>
      <c r="B11134" s="2" t="str">
        <f>"FILTRO CONTRA AMONIA/METILAMINA CA-13696"</f>
        <v>FILTRO CONTRA AMONIA/METILAMINA CA-13696</v>
      </c>
      <c r="C11134" s="2" t="str">
        <f t="shared" si="434"/>
        <v>UN</v>
      </c>
      <c r="D11134" s="7">
        <v>501</v>
      </c>
      <c r="E11134" s="3">
        <v>5</v>
      </c>
      <c r="F11134" s="3">
        <v>5</v>
      </c>
      <c r="G11134" t="s">
        <v>514</v>
      </c>
    </row>
    <row r="11135" spans="1:7" x14ac:dyDescent="0.25">
      <c r="A11135" s="1" t="str">
        <f>"573829"</f>
        <v>573829</v>
      </c>
      <c r="B11135" s="2" t="str">
        <f>"FILTRO D'AGUA ELÉTRICO 220v"</f>
        <v>FILTRO D'AGUA ELÉTRICO 220v</v>
      </c>
      <c r="C11135" s="2" t="str">
        <f t="shared" si="434"/>
        <v>UN</v>
      </c>
      <c r="D11135" s="7">
        <v>99999</v>
      </c>
      <c r="E11135" s="3">
        <v>99</v>
      </c>
      <c r="F11135" s="3">
        <v>99</v>
      </c>
      <c r="G11135" t="s">
        <v>513</v>
      </c>
    </row>
    <row r="11136" spans="1:7" x14ac:dyDescent="0.25">
      <c r="A11136" s="1" t="str">
        <f>"520513"</f>
        <v>520513</v>
      </c>
      <c r="B11136" s="8" t="s">
        <v>155</v>
      </c>
      <c r="C11136" s="2" t="str">
        <f t="shared" si="434"/>
        <v>UN</v>
      </c>
      <c r="D11136" s="7">
        <v>902</v>
      </c>
      <c r="E11136" s="3">
        <v>11</v>
      </c>
      <c r="F11136" s="3">
        <v>11</v>
      </c>
      <c r="G11136" t="s">
        <v>513</v>
      </c>
    </row>
    <row r="11137" spans="1:7" x14ac:dyDescent="0.25">
      <c r="A11137" s="1" t="str">
        <f>"527975"</f>
        <v>527975</v>
      </c>
      <c r="B11137" s="2" t="str">
        <f>"FILTRO DE AGUA PARA BEBEDOURO MAX GEL 100"</f>
        <v>FILTRO DE AGUA PARA BEBEDOURO MAX GEL 100</v>
      </c>
      <c r="C11137" s="2" t="str">
        <f t="shared" si="434"/>
        <v>UN</v>
      </c>
      <c r="D11137" s="7">
        <v>917</v>
      </c>
      <c r="E11137" s="3">
        <v>10</v>
      </c>
      <c r="F11137" s="3">
        <v>10</v>
      </c>
      <c r="G11137" t="s">
        <v>513</v>
      </c>
    </row>
    <row r="11138" spans="1:7" x14ac:dyDescent="0.25">
      <c r="A11138" s="1" t="str">
        <f>"514109"</f>
        <v>514109</v>
      </c>
      <c r="B11138" s="2" t="str">
        <f>"FILTRO DE AR"</f>
        <v>FILTRO DE AR</v>
      </c>
      <c r="C11138" s="2" t="str">
        <f t="shared" si="434"/>
        <v>UN</v>
      </c>
      <c r="D11138" s="7">
        <v>704</v>
      </c>
      <c r="E11138" s="3">
        <v>9</v>
      </c>
      <c r="F11138" s="3">
        <v>9</v>
      </c>
      <c r="G11138" t="s">
        <v>512</v>
      </c>
    </row>
    <row r="11139" spans="1:7" x14ac:dyDescent="0.25">
      <c r="A11139" s="1" t="str">
        <f>"513467"</f>
        <v>513467</v>
      </c>
      <c r="B11139" s="2" t="str">
        <f>"FILTRO DE AR - FA 076-40L/1"</f>
        <v>FILTRO DE AR - FA 076-40L/1</v>
      </c>
      <c r="C11139" s="2" t="str">
        <f>"PC"</f>
        <v>PC</v>
      </c>
      <c r="D11139" s="7">
        <v>902</v>
      </c>
      <c r="E11139" s="3">
        <v>11</v>
      </c>
      <c r="F11139" s="3">
        <v>11</v>
      </c>
      <c r="G11139" t="s">
        <v>513</v>
      </c>
    </row>
    <row r="11140" spans="1:7" x14ac:dyDescent="0.25">
      <c r="A11140" s="1" t="str">
        <f>"504331"</f>
        <v>504331</v>
      </c>
      <c r="B11140" s="2" t="str">
        <f>"FILTRO DE AR 88343272 PRIMARIO INGER-SOL"</f>
        <v>FILTRO DE AR 88343272 PRIMARIO INGER-SOL</v>
      </c>
      <c r="C11140" s="2" t="str">
        <f>"PC"</f>
        <v>PC</v>
      </c>
      <c r="D11140" s="7">
        <v>902</v>
      </c>
      <c r="E11140" s="3">
        <v>11</v>
      </c>
      <c r="F11140" s="3">
        <v>11</v>
      </c>
      <c r="G11140" t="s">
        <v>514</v>
      </c>
    </row>
    <row r="11141" spans="1:7" x14ac:dyDescent="0.25">
      <c r="A11141" s="1" t="str">
        <f>"505736"</f>
        <v>505736</v>
      </c>
      <c r="B11141" s="2" t="str">
        <f>"FILTRO DE AR 88343306 SECUNDARIO INGER-S"</f>
        <v>FILTRO DE AR 88343306 SECUNDARIO INGER-S</v>
      </c>
      <c r="C11141" s="2" t="str">
        <f>"PC"</f>
        <v>PC</v>
      </c>
      <c r="D11141" s="7">
        <v>902</v>
      </c>
      <c r="E11141" s="3">
        <v>11</v>
      </c>
      <c r="F11141" s="3">
        <v>11</v>
      </c>
      <c r="G11141" t="s">
        <v>515</v>
      </c>
    </row>
    <row r="11142" spans="1:7" x14ac:dyDescent="0.25">
      <c r="A11142" s="1" t="str">
        <f>"524630"</f>
        <v>524630</v>
      </c>
      <c r="B11142" s="2" t="str">
        <f>"FILTRO DE AR ABSOLUTO HEPA 3 P/ BIOSEG. 5FAG0220"</f>
        <v>FILTRO DE AR ABSOLUTO HEPA 3 P/ BIOSEG. 5FAG0220</v>
      </c>
      <c r="C11142" s="2" t="str">
        <f t="shared" ref="C11142:C11162" si="435">"UN"</f>
        <v>UN</v>
      </c>
      <c r="D11142" s="7">
        <v>918</v>
      </c>
      <c r="E11142" s="3">
        <v>11</v>
      </c>
      <c r="F11142" s="3">
        <v>11</v>
      </c>
      <c r="G11142" t="s">
        <v>512</v>
      </c>
    </row>
    <row r="11143" spans="1:7" x14ac:dyDescent="0.25">
      <c r="A11143" s="1" t="str">
        <f>"524631"</f>
        <v>524631</v>
      </c>
      <c r="B11143" s="2" t="str">
        <f>"FILTRO DE AR ABSOLUTO HEPA 3 P/ BIOSEG. 5FAY6313"</f>
        <v>FILTRO DE AR ABSOLUTO HEPA 3 P/ BIOSEG. 5FAY6313</v>
      </c>
      <c r="C11143" s="2" t="str">
        <f t="shared" si="435"/>
        <v>UN</v>
      </c>
      <c r="D11143" s="7">
        <v>918</v>
      </c>
      <c r="E11143" s="3">
        <v>11</v>
      </c>
      <c r="F11143" s="3">
        <v>11</v>
      </c>
      <c r="G11143" t="s">
        <v>516</v>
      </c>
    </row>
    <row r="11144" spans="1:7" x14ac:dyDescent="0.25">
      <c r="A11144" s="1" t="str">
        <f>"522514"</f>
        <v>522514</v>
      </c>
      <c r="B11144" s="8" t="s">
        <v>301</v>
      </c>
      <c r="C11144" s="2" t="str">
        <f t="shared" si="435"/>
        <v>UN</v>
      </c>
      <c r="D11144" s="7">
        <v>918</v>
      </c>
      <c r="E11144" s="3">
        <v>11</v>
      </c>
      <c r="F11144" s="3">
        <v>11</v>
      </c>
      <c r="G11144" t="s">
        <v>515</v>
      </c>
    </row>
    <row r="11145" spans="1:7" x14ac:dyDescent="0.25">
      <c r="A11145" s="1" t="str">
        <f>"522467"</f>
        <v>522467</v>
      </c>
      <c r="B11145" s="8" t="s">
        <v>296</v>
      </c>
      <c r="C11145" s="2" t="str">
        <f t="shared" si="435"/>
        <v>UN</v>
      </c>
      <c r="D11145" s="7">
        <v>918</v>
      </c>
      <c r="E11145" s="3">
        <v>11</v>
      </c>
      <c r="F11145" s="3">
        <v>11</v>
      </c>
      <c r="G11145" t="s">
        <v>514</v>
      </c>
    </row>
    <row r="11146" spans="1:7" x14ac:dyDescent="0.25">
      <c r="A11146" s="1" t="str">
        <f>"521892"</f>
        <v>521892</v>
      </c>
      <c r="B11146" s="8" t="s">
        <v>241</v>
      </c>
      <c r="C11146" s="2" t="str">
        <f t="shared" si="435"/>
        <v>UN</v>
      </c>
      <c r="D11146" s="7">
        <v>918</v>
      </c>
      <c r="E11146" s="3">
        <v>11</v>
      </c>
      <c r="F11146" s="3">
        <v>11</v>
      </c>
      <c r="G11146" t="s">
        <v>512</v>
      </c>
    </row>
    <row r="11147" spans="1:7" x14ac:dyDescent="0.25">
      <c r="A11147" s="1" t="str">
        <f>"522513"</f>
        <v>522513</v>
      </c>
      <c r="B11147" s="8" t="s">
        <v>300</v>
      </c>
      <c r="C11147" s="2" t="str">
        <f t="shared" si="435"/>
        <v>UN</v>
      </c>
      <c r="D11147" s="7">
        <v>918</v>
      </c>
      <c r="E11147" s="3">
        <v>11</v>
      </c>
      <c r="F11147" s="3">
        <v>11</v>
      </c>
      <c r="G11147" t="s">
        <v>513</v>
      </c>
    </row>
    <row r="11148" spans="1:7" x14ac:dyDescent="0.25">
      <c r="A11148" s="1" t="str">
        <f>"521668"</f>
        <v>521668</v>
      </c>
      <c r="B11148" s="8" t="s">
        <v>217</v>
      </c>
      <c r="C11148" s="2" t="str">
        <f t="shared" si="435"/>
        <v>UN</v>
      </c>
      <c r="D11148" s="7">
        <v>918</v>
      </c>
      <c r="E11148" s="3">
        <v>11</v>
      </c>
      <c r="F11148" s="3">
        <v>11</v>
      </c>
      <c r="G11148" t="s">
        <v>514</v>
      </c>
    </row>
    <row r="11149" spans="1:7" x14ac:dyDescent="0.25">
      <c r="A11149" s="1" t="str">
        <f>"525292"</f>
        <v>525292</v>
      </c>
      <c r="B11149" s="8" t="s">
        <v>217</v>
      </c>
      <c r="C11149" s="2" t="str">
        <f t="shared" si="435"/>
        <v>UN</v>
      </c>
      <c r="D11149" s="7">
        <v>918</v>
      </c>
      <c r="E11149" s="3">
        <v>11</v>
      </c>
      <c r="F11149" s="3">
        <v>11</v>
      </c>
      <c r="G11149" t="s">
        <v>514</v>
      </c>
    </row>
    <row r="11150" spans="1:7" x14ac:dyDescent="0.25">
      <c r="A11150" s="1" t="str">
        <f>"521658"</f>
        <v>521658</v>
      </c>
      <c r="B11150" s="8" t="s">
        <v>211</v>
      </c>
      <c r="C11150" s="2" t="str">
        <f t="shared" si="435"/>
        <v>UN</v>
      </c>
      <c r="D11150" s="7">
        <v>918</v>
      </c>
      <c r="E11150" s="3">
        <v>11</v>
      </c>
      <c r="F11150" s="3">
        <v>11</v>
      </c>
      <c r="G11150" t="s">
        <v>512</v>
      </c>
    </row>
    <row r="11151" spans="1:7" x14ac:dyDescent="0.25">
      <c r="A11151" s="1" t="str">
        <f>"521657"</f>
        <v>521657</v>
      </c>
      <c r="B11151" s="8" t="s">
        <v>210</v>
      </c>
      <c r="C11151" s="2" t="str">
        <f t="shared" si="435"/>
        <v>UN</v>
      </c>
      <c r="D11151" s="7">
        <v>918</v>
      </c>
      <c r="E11151" s="3">
        <v>11</v>
      </c>
      <c r="F11151" s="3">
        <v>11</v>
      </c>
      <c r="G11151" t="s">
        <v>513</v>
      </c>
    </row>
    <row r="11152" spans="1:7" x14ac:dyDescent="0.25">
      <c r="A11152" s="1" t="str">
        <f>"521660"</f>
        <v>521660</v>
      </c>
      <c r="B11152" s="8" t="s">
        <v>213</v>
      </c>
      <c r="C11152" s="2" t="str">
        <f t="shared" si="435"/>
        <v>UN</v>
      </c>
      <c r="D11152" s="7">
        <v>918</v>
      </c>
      <c r="E11152" s="3">
        <v>11</v>
      </c>
      <c r="F11152" s="3">
        <v>11</v>
      </c>
      <c r="G11152" t="s">
        <v>514</v>
      </c>
    </row>
    <row r="11153" spans="1:7" x14ac:dyDescent="0.25">
      <c r="A11153" s="1" t="str">
        <f>"521666"</f>
        <v>521666</v>
      </c>
      <c r="B11153" s="8" t="s">
        <v>215</v>
      </c>
      <c r="C11153" s="2" t="str">
        <f t="shared" si="435"/>
        <v>UN</v>
      </c>
      <c r="D11153" s="7">
        <v>918</v>
      </c>
      <c r="E11153" s="3">
        <v>11</v>
      </c>
      <c r="F11153" s="3">
        <v>11</v>
      </c>
      <c r="G11153" t="s">
        <v>514</v>
      </c>
    </row>
    <row r="11154" spans="1:7" x14ac:dyDescent="0.25">
      <c r="A11154" s="1" t="str">
        <f>"527623"</f>
        <v>527623</v>
      </c>
      <c r="B11154" s="8" t="s">
        <v>504</v>
      </c>
      <c r="C11154" s="2" t="str">
        <f t="shared" si="435"/>
        <v>UN</v>
      </c>
      <c r="D11154" s="7">
        <v>918</v>
      </c>
      <c r="E11154" s="3">
        <v>11</v>
      </c>
      <c r="F11154" s="3">
        <v>11</v>
      </c>
      <c r="G11154" t="s">
        <v>514</v>
      </c>
    </row>
    <row r="11155" spans="1:7" x14ac:dyDescent="0.25">
      <c r="A11155" s="1" t="str">
        <f>"520210"</f>
        <v>520210</v>
      </c>
      <c r="B11155" s="2" t="str">
        <f>"FILTRO DE AR ATLAS COPCO TH-32"</f>
        <v>FILTRO DE AR ATLAS COPCO TH-32</v>
      </c>
      <c r="C11155" s="2" t="str">
        <f t="shared" si="435"/>
        <v>UN</v>
      </c>
      <c r="D11155" s="7">
        <v>820</v>
      </c>
      <c r="E11155" s="3">
        <v>11</v>
      </c>
      <c r="F11155" s="3">
        <v>11</v>
      </c>
      <c r="G11155" t="s">
        <v>513</v>
      </c>
    </row>
    <row r="11156" spans="1:7" x14ac:dyDescent="0.25">
      <c r="A11156" s="1" t="str">
        <f>"521893"</f>
        <v>521893</v>
      </c>
      <c r="B11156" s="8" t="s">
        <v>242</v>
      </c>
      <c r="C11156" s="2" t="str">
        <f t="shared" si="435"/>
        <v>UN</v>
      </c>
      <c r="D11156" s="7">
        <v>918</v>
      </c>
      <c r="E11156" s="3">
        <v>11</v>
      </c>
      <c r="F11156" s="3">
        <v>11</v>
      </c>
      <c r="G11156" t="s">
        <v>512</v>
      </c>
    </row>
    <row r="11157" spans="1:7" x14ac:dyDescent="0.25">
      <c r="A11157" s="1" t="str">
        <f>"521667"</f>
        <v>521667</v>
      </c>
      <c r="B11157" s="8" t="s">
        <v>216</v>
      </c>
      <c r="C11157" s="2" t="str">
        <f t="shared" si="435"/>
        <v>UN</v>
      </c>
      <c r="D11157" s="7">
        <v>918</v>
      </c>
      <c r="E11157" s="3">
        <v>11</v>
      </c>
      <c r="F11157" s="3">
        <v>11</v>
      </c>
      <c r="G11157" t="s">
        <v>513</v>
      </c>
    </row>
    <row r="11158" spans="1:7" x14ac:dyDescent="0.25">
      <c r="A11158" s="1" t="str">
        <f>"521181"</f>
        <v>521181</v>
      </c>
      <c r="B11158" s="8" t="s">
        <v>193</v>
      </c>
      <c r="C11158" s="2" t="str">
        <f t="shared" si="435"/>
        <v>UN</v>
      </c>
      <c r="D11158" s="7">
        <v>918</v>
      </c>
      <c r="E11158" s="3">
        <v>11</v>
      </c>
      <c r="F11158" s="3">
        <v>11</v>
      </c>
      <c r="G11158" t="s">
        <v>514</v>
      </c>
    </row>
    <row r="11159" spans="1:7" x14ac:dyDescent="0.25">
      <c r="A11159" s="1" t="str">
        <f>"524406"</f>
        <v>524406</v>
      </c>
      <c r="B11159" s="8" t="s">
        <v>376</v>
      </c>
      <c r="C11159" s="2" t="str">
        <f t="shared" si="435"/>
        <v>UN</v>
      </c>
      <c r="D11159" s="7">
        <v>918</v>
      </c>
      <c r="E11159" s="3">
        <v>11</v>
      </c>
      <c r="F11159" s="3">
        <v>11</v>
      </c>
      <c r="G11159" t="s">
        <v>514</v>
      </c>
    </row>
    <row r="11160" spans="1:7" x14ac:dyDescent="0.25">
      <c r="A11160" s="1" t="str">
        <f>"521659"</f>
        <v>521659</v>
      </c>
      <c r="B11160" s="8" t="s">
        <v>212</v>
      </c>
      <c r="C11160" s="2" t="str">
        <f t="shared" si="435"/>
        <v>UN</v>
      </c>
      <c r="D11160" s="7">
        <v>918</v>
      </c>
      <c r="E11160" s="3">
        <v>11</v>
      </c>
      <c r="F11160" s="3">
        <v>11</v>
      </c>
      <c r="G11160" t="s">
        <v>514</v>
      </c>
    </row>
    <row r="11161" spans="1:7" x14ac:dyDescent="0.25">
      <c r="A11161" s="1" t="str">
        <f>"521665"</f>
        <v>521665</v>
      </c>
      <c r="B11161" s="8" t="s">
        <v>214</v>
      </c>
      <c r="C11161" s="2" t="str">
        <f t="shared" si="435"/>
        <v>UN</v>
      </c>
      <c r="D11161" s="7">
        <v>918</v>
      </c>
      <c r="E11161" s="3">
        <v>11</v>
      </c>
      <c r="F11161" s="3">
        <v>11</v>
      </c>
      <c r="G11161" t="s">
        <v>513</v>
      </c>
    </row>
    <row r="11162" spans="1:7" x14ac:dyDescent="0.25">
      <c r="A11162" s="1" t="str">
        <f>"521656"</f>
        <v>521656</v>
      </c>
      <c r="B11162" s="8" t="s">
        <v>209</v>
      </c>
      <c r="C11162" s="2" t="str">
        <f t="shared" si="435"/>
        <v>UN</v>
      </c>
      <c r="D11162" s="7">
        <v>918</v>
      </c>
      <c r="E11162" s="3">
        <v>11</v>
      </c>
      <c r="F11162" s="3">
        <v>11</v>
      </c>
      <c r="G11162" t="s">
        <v>513</v>
      </c>
    </row>
    <row r="11163" spans="1:7" x14ac:dyDescent="0.25">
      <c r="A11163" s="1" t="str">
        <f>"526530"</f>
        <v>526530</v>
      </c>
      <c r="B11163" s="2" t="str">
        <f>"FILTRO DE AR ZS37-75"</f>
        <v>FILTRO DE AR ZS37-75</v>
      </c>
      <c r="C11163" s="2" t="str">
        <f>"PC"</f>
        <v>PC</v>
      </c>
      <c r="D11163" s="7">
        <v>902</v>
      </c>
      <c r="E11163" s="3">
        <v>11</v>
      </c>
      <c r="F11163" s="3">
        <v>11</v>
      </c>
      <c r="G11163" t="s">
        <v>513</v>
      </c>
    </row>
    <row r="11164" spans="1:7" x14ac:dyDescent="0.25">
      <c r="A11164" s="1" t="str">
        <f>"502864"</f>
        <v>502864</v>
      </c>
      <c r="B11164" s="2" t="str">
        <f>"FILTRO DE ENTRADA PRINCIPAL INGERSOLL REF.39588777"</f>
        <v>FILTRO DE ENTRADA PRINCIPAL INGERSOLL REF.39588777</v>
      </c>
      <c r="C11164" s="2" t="str">
        <f t="shared" ref="C11164:C11171" si="436">"UN"</f>
        <v>UN</v>
      </c>
      <c r="D11164" s="7">
        <v>902</v>
      </c>
      <c r="E11164" s="3">
        <v>11</v>
      </c>
      <c r="F11164" s="3">
        <v>11</v>
      </c>
      <c r="G11164" t="s">
        <v>512</v>
      </c>
    </row>
    <row r="11165" spans="1:7" x14ac:dyDescent="0.25">
      <c r="A11165" s="1" t="str">
        <f>"515718"</f>
        <v>515718</v>
      </c>
      <c r="B11165" s="2" t="str">
        <f>"FILTRO DE LINHA 5T"</f>
        <v>FILTRO DE LINHA 5T</v>
      </c>
      <c r="C11165" s="2" t="str">
        <f t="shared" si="436"/>
        <v>UN</v>
      </c>
      <c r="D11165" s="7">
        <v>401</v>
      </c>
      <c r="E11165" s="3">
        <v>4</v>
      </c>
      <c r="F11165" s="3">
        <v>4</v>
      </c>
      <c r="G11165" t="s">
        <v>513</v>
      </c>
    </row>
    <row r="11166" spans="1:7" x14ac:dyDescent="0.25">
      <c r="A11166" s="1" t="str">
        <f>"526388"</f>
        <v>526388</v>
      </c>
      <c r="B11166" s="2" t="str">
        <f>"FILTRO DE LINHA 6T"</f>
        <v>FILTRO DE LINHA 6T</v>
      </c>
      <c r="C11166" s="2" t="str">
        <f t="shared" si="436"/>
        <v>UN</v>
      </c>
      <c r="D11166" s="7">
        <v>401</v>
      </c>
      <c r="E11166" s="3">
        <v>4</v>
      </c>
      <c r="F11166" s="3">
        <v>4</v>
      </c>
      <c r="G11166" t="s">
        <v>514</v>
      </c>
    </row>
    <row r="11167" spans="1:7" x14ac:dyDescent="0.25">
      <c r="A11167" s="1" t="str">
        <f>"526389"</f>
        <v>526389</v>
      </c>
      <c r="B11167" s="2" t="str">
        <f>"FILTRO DE LINHA 8T"</f>
        <v>FILTRO DE LINHA 8T</v>
      </c>
      <c r="C11167" s="2" t="str">
        <f t="shared" si="436"/>
        <v>UN</v>
      </c>
      <c r="D11167" s="7">
        <v>401</v>
      </c>
      <c r="E11167" s="3">
        <v>4</v>
      </c>
      <c r="F11167" s="3">
        <v>4</v>
      </c>
      <c r="G11167" t="s">
        <v>515</v>
      </c>
    </row>
    <row r="11168" spans="1:7" x14ac:dyDescent="0.25">
      <c r="A11168" s="1" t="str">
        <f>"514274"</f>
        <v>514274</v>
      </c>
      <c r="B11168" s="2" t="str">
        <f>"FILTRO DE PAPEL"</f>
        <v>FILTRO DE PAPEL</v>
      </c>
      <c r="C11168" s="2" t="str">
        <f t="shared" si="436"/>
        <v>UN</v>
      </c>
      <c r="D11168" s="7">
        <v>401</v>
      </c>
      <c r="E11168" s="3">
        <v>4</v>
      </c>
      <c r="F11168" s="3">
        <v>4</v>
      </c>
      <c r="G11168" t="s">
        <v>512</v>
      </c>
    </row>
    <row r="11169" spans="1:7" x14ac:dyDescent="0.25">
      <c r="A11169" s="1" t="str">
        <f>"525973"</f>
        <v>525973</v>
      </c>
      <c r="B11169" s="2" t="str">
        <f>"FILTRO DE PROTECAO P/ VENTUINHA 200X180 LUKMA"</f>
        <v>FILTRO DE PROTECAO P/ VENTUINHA 200X180 LUKMA</v>
      </c>
      <c r="C11169" s="2" t="str">
        <f t="shared" si="436"/>
        <v>UN</v>
      </c>
      <c r="D11169" s="7">
        <v>811</v>
      </c>
      <c r="E11169" s="3">
        <v>10</v>
      </c>
      <c r="F11169" s="3">
        <v>10</v>
      </c>
      <c r="G11169" t="s">
        <v>516</v>
      </c>
    </row>
    <row r="11170" spans="1:7" x14ac:dyDescent="0.25">
      <c r="A11170" s="1" t="str">
        <f>"505086"</f>
        <v>505086</v>
      </c>
      <c r="B11170" s="2" t="str">
        <f>"FILTRO DELPHI EFA 946 AR"</f>
        <v>FILTRO DELPHI EFA 946 AR</v>
      </c>
      <c r="C11170" s="2" t="str">
        <f t="shared" si="436"/>
        <v>UN</v>
      </c>
      <c r="D11170" s="7">
        <v>701</v>
      </c>
      <c r="E11170" s="3">
        <v>9</v>
      </c>
      <c r="F11170" s="3">
        <v>9</v>
      </c>
      <c r="G11170" t="s">
        <v>515</v>
      </c>
    </row>
    <row r="11171" spans="1:7" x14ac:dyDescent="0.25">
      <c r="A11171" s="1" t="str">
        <f>"504860"</f>
        <v>504860</v>
      </c>
      <c r="B11171" s="2" t="str">
        <f>"FILTRO DELPHI EFC 101 AGUA"</f>
        <v>FILTRO DELPHI EFC 101 AGUA</v>
      </c>
      <c r="C11171" s="2" t="str">
        <f t="shared" si="436"/>
        <v>UN</v>
      </c>
      <c r="D11171" s="7">
        <v>701</v>
      </c>
      <c r="E11171" s="3">
        <v>9</v>
      </c>
      <c r="F11171" s="3">
        <v>9</v>
      </c>
      <c r="G11171" t="s">
        <v>514</v>
      </c>
    </row>
    <row r="11172" spans="1:7" x14ac:dyDescent="0.25">
      <c r="A11172" s="1" t="str">
        <f>"500064"</f>
        <v>500064</v>
      </c>
      <c r="B11172" s="2" t="str">
        <f>"FILTRO DELPHI EFC-101 AGUA"</f>
        <v>FILTRO DELPHI EFC-101 AGUA</v>
      </c>
      <c r="C11172" s="2" t="str">
        <f>"PC"</f>
        <v>PC</v>
      </c>
      <c r="D11172" s="7">
        <v>704</v>
      </c>
      <c r="E11172" s="3">
        <v>9</v>
      </c>
      <c r="F11172" s="3">
        <v>9</v>
      </c>
      <c r="G11172" t="s">
        <v>512</v>
      </c>
    </row>
    <row r="11173" spans="1:7" x14ac:dyDescent="0.25">
      <c r="A11173" s="1" t="str">
        <f>"504859"</f>
        <v>504859</v>
      </c>
      <c r="B11173" s="2" t="str">
        <f>"FILTRO DELPHI EFL 724 LUBRIFICANTE"</f>
        <v>FILTRO DELPHI EFL 724 LUBRIFICANTE</v>
      </c>
      <c r="C11173" s="2" t="str">
        <f>"UN"</f>
        <v>UN</v>
      </c>
      <c r="D11173" s="7">
        <v>701</v>
      </c>
      <c r="E11173" s="3">
        <v>9</v>
      </c>
      <c r="F11173" s="3">
        <v>9</v>
      </c>
      <c r="G11173" t="s">
        <v>513</v>
      </c>
    </row>
    <row r="11174" spans="1:7" x14ac:dyDescent="0.25">
      <c r="A11174" s="1" t="str">
        <f>"500063"</f>
        <v>500063</v>
      </c>
      <c r="B11174" s="2" t="str">
        <f>"FILTRO DELPHI EFL-724 LUBRIFICANTE"</f>
        <v>FILTRO DELPHI EFL-724 LUBRIFICANTE</v>
      </c>
      <c r="C11174" s="2" t="str">
        <f>"PC"</f>
        <v>PC</v>
      </c>
      <c r="D11174" s="7">
        <v>704</v>
      </c>
      <c r="E11174" s="3">
        <v>9</v>
      </c>
      <c r="F11174" s="3">
        <v>9</v>
      </c>
      <c r="G11174" t="s">
        <v>514</v>
      </c>
    </row>
    <row r="11175" spans="1:7" x14ac:dyDescent="0.25">
      <c r="A11175" s="1" t="str">
        <f>"504875"</f>
        <v>504875</v>
      </c>
      <c r="B11175" s="2" t="str">
        <f>"FILTRO DELPHI EFS 109 SEPARADOR AGUA"</f>
        <v>FILTRO DELPHI EFS 109 SEPARADOR AGUA</v>
      </c>
      <c r="C11175" s="2" t="str">
        <f>"UN"</f>
        <v>UN</v>
      </c>
      <c r="D11175" s="7">
        <v>701</v>
      </c>
      <c r="E11175" s="3">
        <v>9</v>
      </c>
      <c r="F11175" s="3">
        <v>9</v>
      </c>
      <c r="G11175" t="s">
        <v>514</v>
      </c>
    </row>
    <row r="11176" spans="1:7" x14ac:dyDescent="0.25">
      <c r="A11176" s="1" t="str">
        <f>"500065"</f>
        <v>500065</v>
      </c>
      <c r="B11176" s="2" t="str">
        <f>"FILTRO DELPHI EFS-109 SEPARADOR"</f>
        <v>FILTRO DELPHI EFS-109 SEPARADOR</v>
      </c>
      <c r="C11176" s="2" t="str">
        <f>"PC"</f>
        <v>PC</v>
      </c>
      <c r="D11176" s="7">
        <v>704</v>
      </c>
      <c r="E11176" s="3">
        <v>9</v>
      </c>
      <c r="F11176" s="3">
        <v>9</v>
      </c>
      <c r="G11176" t="s">
        <v>512</v>
      </c>
    </row>
    <row r="11177" spans="1:7" x14ac:dyDescent="0.25">
      <c r="A11177" s="1" t="str">
        <f>"504864"</f>
        <v>504864</v>
      </c>
      <c r="B11177" s="2" t="str">
        <f>"FILTRO DELPHI HDF 762 COMBUSTIVEL"</f>
        <v>FILTRO DELPHI HDF 762 COMBUSTIVEL</v>
      </c>
      <c r="C11177" s="2" t="str">
        <f>"UN"</f>
        <v>UN</v>
      </c>
      <c r="D11177" s="7">
        <v>701</v>
      </c>
      <c r="E11177" s="3">
        <v>9</v>
      </c>
      <c r="F11177" s="3">
        <v>9</v>
      </c>
      <c r="G11177" t="s">
        <v>513</v>
      </c>
    </row>
    <row r="11178" spans="1:7" x14ac:dyDescent="0.25">
      <c r="A11178" s="1" t="str">
        <f>"512551"</f>
        <v>512551</v>
      </c>
      <c r="B11178" s="2" t="str">
        <f>"FILTRO DIESEL TIPO FOGUETINHO 3/4 - MA 1.250"</f>
        <v>FILTRO DIESEL TIPO FOGUETINHO 3/4 - MA 1.250</v>
      </c>
      <c r="C11178" s="2" t="str">
        <f>"PC"</f>
        <v>PC</v>
      </c>
      <c r="D11178" s="7">
        <v>701</v>
      </c>
      <c r="E11178" s="3">
        <v>9</v>
      </c>
      <c r="F11178" s="3">
        <v>9</v>
      </c>
      <c r="G11178" t="s">
        <v>514</v>
      </c>
    </row>
    <row r="11179" spans="1:7" x14ac:dyDescent="0.25">
      <c r="A11179" s="1" t="str">
        <f>"500075"</f>
        <v>500075</v>
      </c>
      <c r="B11179" s="2" t="str">
        <f>"FILTRO DIESEL VW 19320 CONSTELATION BALDUIN"</f>
        <v>FILTRO DIESEL VW 19320 CONSTELATION BALDUIN</v>
      </c>
      <c r="C11179" s="2" t="str">
        <f t="shared" ref="C11179:C11189" si="437">"UN"</f>
        <v>UN</v>
      </c>
      <c r="D11179" s="7">
        <v>918</v>
      </c>
      <c r="E11179" s="3">
        <v>16</v>
      </c>
      <c r="F11179" s="3">
        <v>16</v>
      </c>
      <c r="G11179" t="s">
        <v>514</v>
      </c>
    </row>
    <row r="11180" spans="1:7" x14ac:dyDescent="0.25">
      <c r="A11180" s="1" t="str">
        <f>"521877"</f>
        <v>521877</v>
      </c>
      <c r="B11180" s="2" t="str">
        <f>"FILTRO DML 163R 350X3/8R DANFOSS"</f>
        <v>FILTRO DML 163R 350X3/8R DANFOSS</v>
      </c>
      <c r="C11180" s="2" t="str">
        <f t="shared" si="437"/>
        <v>UN</v>
      </c>
      <c r="D11180" s="7">
        <v>916</v>
      </c>
      <c r="E11180" s="3">
        <v>10</v>
      </c>
      <c r="F11180" s="3">
        <v>10</v>
      </c>
      <c r="G11180" t="s">
        <v>514</v>
      </c>
    </row>
    <row r="11181" spans="1:7" x14ac:dyDescent="0.25">
      <c r="A11181" s="1" t="str">
        <f>"521876"</f>
        <v>521876</v>
      </c>
      <c r="B11181" s="2" t="str">
        <f>"FILTRO DML 164R 350X1/2R DANFOSS"</f>
        <v>FILTRO DML 164R 350X1/2R DANFOSS</v>
      </c>
      <c r="C11181" s="2" t="str">
        <f t="shared" si="437"/>
        <v>UN</v>
      </c>
      <c r="D11181" s="7">
        <v>916</v>
      </c>
      <c r="E11181" s="3">
        <v>10</v>
      </c>
      <c r="F11181" s="3">
        <v>10</v>
      </c>
      <c r="G11181" t="s">
        <v>513</v>
      </c>
    </row>
    <row r="11182" spans="1:7" x14ac:dyDescent="0.25">
      <c r="A11182" s="1" t="str">
        <f>"521357"</f>
        <v>521357</v>
      </c>
      <c r="B11182" s="2" t="str">
        <f>"FILTRO DONALDSON ULTRAFILTER P-BE 0144 + P-BEII 20/30"</f>
        <v>FILTRO DONALDSON ULTRAFILTER P-BE 0144 + P-BEII 20/30</v>
      </c>
      <c r="C11182" s="2" t="str">
        <f t="shared" si="437"/>
        <v>UN</v>
      </c>
      <c r="D11182" s="7">
        <v>915</v>
      </c>
      <c r="E11182" s="3">
        <v>4</v>
      </c>
      <c r="F11182" s="3">
        <v>4</v>
      </c>
      <c r="G11182" t="s">
        <v>512</v>
      </c>
    </row>
    <row r="11183" spans="1:7" x14ac:dyDescent="0.25">
      <c r="A11183" s="1" t="str">
        <f>"518260"</f>
        <v>518260</v>
      </c>
      <c r="B11183" s="2" t="str">
        <f>"FILTRO EXAUSTÃO 8101053 - SELOVAC"</f>
        <v>FILTRO EXAUSTÃO 8101053 - SELOVAC</v>
      </c>
      <c r="C11183" s="2" t="str">
        <f t="shared" si="437"/>
        <v>UN</v>
      </c>
      <c r="D11183" s="7">
        <v>918</v>
      </c>
      <c r="E11183" s="3">
        <v>11</v>
      </c>
      <c r="F11183" s="3">
        <v>11</v>
      </c>
      <c r="G11183" t="s">
        <v>513</v>
      </c>
    </row>
    <row r="11184" spans="1:7" x14ac:dyDescent="0.25">
      <c r="A11184" s="1" t="str">
        <f>"516211"</f>
        <v>516211</v>
      </c>
      <c r="B11184" s="2" t="str">
        <f>"FILTRO F-1500 90º SMS 2"""</f>
        <v>FILTRO F-1500 90º SMS 2"</v>
      </c>
      <c r="C11184" s="2" t="str">
        <f t="shared" si="437"/>
        <v>UN</v>
      </c>
      <c r="D11184" s="7">
        <v>915</v>
      </c>
      <c r="E11184" s="3">
        <v>10</v>
      </c>
      <c r="F11184" s="3">
        <v>10</v>
      </c>
      <c r="G11184" t="s">
        <v>514</v>
      </c>
    </row>
    <row r="11185" spans="1:7" x14ac:dyDescent="0.25">
      <c r="A11185" s="1" t="str">
        <f>"525255"</f>
        <v>525255</v>
      </c>
      <c r="B11185" s="2" t="str">
        <f>"FILTRO F600 2M SMS 304/E 2"" EF CH FURO 1,00MM C/ TC"</f>
        <v>FILTRO F600 2M SMS 304/E 2" EF CH FURO 1,00MM C/ TC</v>
      </c>
      <c r="C11185" s="2" t="str">
        <f t="shared" si="437"/>
        <v>UN</v>
      </c>
      <c r="D11185" s="7">
        <v>807</v>
      </c>
      <c r="E11185" s="3">
        <v>10</v>
      </c>
      <c r="F11185" s="3">
        <v>10</v>
      </c>
      <c r="G11185" t="s">
        <v>514</v>
      </c>
    </row>
    <row r="11186" spans="1:7" x14ac:dyDescent="0.25">
      <c r="A11186" s="1" t="str">
        <f>"516509"</f>
        <v>516509</v>
      </c>
      <c r="B11186" s="2" t="str">
        <f>"FILTRO F-600 90º SMS 2"""</f>
        <v>FILTRO F-600 90º SMS 2"</v>
      </c>
      <c r="C11186" s="2" t="str">
        <f t="shared" si="437"/>
        <v>UN</v>
      </c>
      <c r="D11186" s="7">
        <v>915</v>
      </c>
      <c r="E11186" s="3">
        <v>10</v>
      </c>
      <c r="F11186" s="3">
        <v>10</v>
      </c>
      <c r="G11186" t="s">
        <v>514</v>
      </c>
    </row>
    <row r="11187" spans="1:7" x14ac:dyDescent="0.25">
      <c r="A11187" s="1" t="str">
        <f>"517825"</f>
        <v>517825</v>
      </c>
      <c r="B11187" s="2" t="str">
        <f>"FILTRO FIG.33 3125FF T 0,8MM 517805"</f>
        <v>FILTRO FIG.33 3125FF T 0,8MM 517805</v>
      </c>
      <c r="C11187" s="2" t="str">
        <f t="shared" si="437"/>
        <v>UN</v>
      </c>
      <c r="D11187" s="7">
        <v>820</v>
      </c>
      <c r="E11187" s="3">
        <v>10</v>
      </c>
      <c r="F11187" s="3">
        <v>10</v>
      </c>
      <c r="G11187" t="s">
        <v>513</v>
      </c>
    </row>
    <row r="11188" spans="1:7" x14ac:dyDescent="0.25">
      <c r="A11188" s="1" t="str">
        <f>"523155"</f>
        <v>523155</v>
      </c>
      <c r="B11188" s="8" t="s">
        <v>361</v>
      </c>
      <c r="C11188" s="2" t="str">
        <f t="shared" si="437"/>
        <v>UN</v>
      </c>
      <c r="D11188" s="7">
        <v>901</v>
      </c>
      <c r="E11188" s="3">
        <v>10</v>
      </c>
      <c r="F11188" s="3">
        <v>10</v>
      </c>
      <c r="G11188" t="s">
        <v>513</v>
      </c>
    </row>
    <row r="11189" spans="1:7" x14ac:dyDescent="0.25">
      <c r="A11189" s="1" t="str">
        <f>"506468"</f>
        <v>506468</v>
      </c>
      <c r="B11189" s="2" t="str">
        <f>"FILTRO FLEETGUARD FF-5421"</f>
        <v>FILTRO FLEETGUARD FF-5421</v>
      </c>
      <c r="C11189" s="2" t="str">
        <f t="shared" si="437"/>
        <v>UN</v>
      </c>
      <c r="D11189" s="7">
        <v>701</v>
      </c>
      <c r="E11189" s="3">
        <v>9</v>
      </c>
      <c r="F11189" s="3">
        <v>9</v>
      </c>
      <c r="G11189" t="s">
        <v>513</v>
      </c>
    </row>
    <row r="11190" spans="1:7" x14ac:dyDescent="0.25">
      <c r="A11190" s="1" t="str">
        <f>"500074"</f>
        <v>500074</v>
      </c>
      <c r="B11190" s="2" t="str">
        <f>"FILTRO FLEETGUARD FF-5488"</f>
        <v>FILTRO FLEETGUARD FF-5488</v>
      </c>
      <c r="C11190" s="2" t="str">
        <f>"PC"</f>
        <v>PC</v>
      </c>
      <c r="D11190" s="7">
        <v>704</v>
      </c>
      <c r="E11190" s="3">
        <v>9</v>
      </c>
      <c r="F11190" s="3">
        <v>9</v>
      </c>
      <c r="G11190" t="s">
        <v>512</v>
      </c>
    </row>
    <row r="11191" spans="1:7" x14ac:dyDescent="0.25">
      <c r="A11191" s="1" t="str">
        <f>"511370"</f>
        <v>511370</v>
      </c>
      <c r="B11191" s="2" t="str">
        <f>"FILTRO FLEETGUARD FF-5488"</f>
        <v>FILTRO FLEETGUARD FF-5488</v>
      </c>
      <c r="C11191" s="2" t="str">
        <f>"UN"</f>
        <v>UN</v>
      </c>
      <c r="D11191" s="7">
        <v>701</v>
      </c>
      <c r="E11191" s="3">
        <v>9</v>
      </c>
      <c r="F11191" s="3">
        <v>9</v>
      </c>
      <c r="G11191" t="s">
        <v>513</v>
      </c>
    </row>
    <row r="11192" spans="1:7" x14ac:dyDescent="0.25">
      <c r="A11192" s="1" t="str">
        <f>"500068"</f>
        <v>500068</v>
      </c>
      <c r="B11192" s="2" t="str">
        <f>"FILTRO FLEETGUARD FS-1015"</f>
        <v>FILTRO FLEETGUARD FS-1015</v>
      </c>
      <c r="C11192" s="2" t="str">
        <f>"PC"</f>
        <v>PC</v>
      </c>
      <c r="D11192" s="7">
        <v>704</v>
      </c>
      <c r="E11192" s="3">
        <v>9</v>
      </c>
      <c r="F11192" s="3">
        <v>9</v>
      </c>
      <c r="G11192" t="s">
        <v>514</v>
      </c>
    </row>
    <row r="11193" spans="1:7" x14ac:dyDescent="0.25">
      <c r="A11193" s="1" t="str">
        <f>"506469"</f>
        <v>506469</v>
      </c>
      <c r="B11193" s="2" t="str">
        <f>"FILTRO FLEETGUARD FS-1015"</f>
        <v>FILTRO FLEETGUARD FS-1015</v>
      </c>
      <c r="C11193" s="2" t="str">
        <f>"UN"</f>
        <v>UN</v>
      </c>
      <c r="D11193" s="7">
        <v>701</v>
      </c>
      <c r="E11193" s="3">
        <v>9</v>
      </c>
      <c r="F11193" s="3">
        <v>9</v>
      </c>
      <c r="G11193" t="s">
        <v>515</v>
      </c>
    </row>
    <row r="11194" spans="1:7" x14ac:dyDescent="0.25">
      <c r="A11194" s="1" t="str">
        <f>"506470"</f>
        <v>506470</v>
      </c>
      <c r="B11194" s="2" t="str">
        <f>"FILTRO FLEETGUARD HF-6188"</f>
        <v>FILTRO FLEETGUARD HF-6188</v>
      </c>
      <c r="C11194" s="2" t="str">
        <f>"UN"</f>
        <v>UN</v>
      </c>
      <c r="D11194" s="7">
        <v>701</v>
      </c>
      <c r="E11194" s="3">
        <v>11</v>
      </c>
      <c r="F11194" s="3">
        <v>11</v>
      </c>
      <c r="G11194" t="s">
        <v>512</v>
      </c>
    </row>
    <row r="11195" spans="1:7" x14ac:dyDescent="0.25">
      <c r="A11195" s="1" t="str">
        <f>"500066"</f>
        <v>500066</v>
      </c>
      <c r="B11195" s="2" t="str">
        <f>"FILTRO FLEETGUARD LF-16015"</f>
        <v>FILTRO FLEETGUARD LF-16015</v>
      </c>
      <c r="C11195" s="2" t="str">
        <f>"PC"</f>
        <v>PC</v>
      </c>
      <c r="D11195" s="7">
        <v>704</v>
      </c>
      <c r="E11195" s="3">
        <v>9</v>
      </c>
      <c r="F11195" s="3">
        <v>9</v>
      </c>
      <c r="G11195" t="s">
        <v>516</v>
      </c>
    </row>
    <row r="11196" spans="1:7" x14ac:dyDescent="0.25">
      <c r="A11196" s="1" t="str">
        <f>"505911"</f>
        <v>505911</v>
      </c>
      <c r="B11196" s="2" t="str">
        <f>"FILTRO FLEETGUARD LF-16015"</f>
        <v>FILTRO FLEETGUARD LF-16015</v>
      </c>
      <c r="C11196" s="2" t="str">
        <f>"UN"</f>
        <v>UN</v>
      </c>
      <c r="D11196" s="7">
        <v>701</v>
      </c>
      <c r="E11196" s="3">
        <v>9</v>
      </c>
      <c r="F11196" s="3">
        <v>9</v>
      </c>
      <c r="G11196" t="s">
        <v>515</v>
      </c>
    </row>
    <row r="11197" spans="1:7" x14ac:dyDescent="0.25">
      <c r="A11197" s="1" t="str">
        <f>"511371"</f>
        <v>511371</v>
      </c>
      <c r="B11197" s="2" t="str">
        <f>"FILTRO FLEETGUARD LF-9009"</f>
        <v>FILTRO FLEETGUARD LF-9009</v>
      </c>
      <c r="C11197" s="2" t="str">
        <f>"UN"</f>
        <v>UN</v>
      </c>
      <c r="D11197" s="7">
        <v>701</v>
      </c>
      <c r="E11197" s="3">
        <v>9</v>
      </c>
      <c r="F11197" s="3">
        <v>9</v>
      </c>
      <c r="G11197" t="s">
        <v>514</v>
      </c>
    </row>
    <row r="11198" spans="1:7" x14ac:dyDescent="0.25">
      <c r="A11198" s="1" t="str">
        <f>"523832"</f>
        <v>523832</v>
      </c>
      <c r="B11198" s="2" t="str">
        <f>"FILTRO GASALERT EXTREME BW"</f>
        <v>FILTRO GASALERT EXTREME BW</v>
      </c>
      <c r="C11198" s="2" t="str">
        <f>"UN"</f>
        <v>UN</v>
      </c>
      <c r="D11198" s="7">
        <v>99999</v>
      </c>
      <c r="E11198" s="3">
        <v>99</v>
      </c>
      <c r="F11198" s="3">
        <v>99</v>
      </c>
      <c r="G11198" t="s">
        <v>512</v>
      </c>
    </row>
    <row r="11199" spans="1:7" x14ac:dyDescent="0.25">
      <c r="A11199" s="1" t="str">
        <f>"524352"</f>
        <v>524352</v>
      </c>
      <c r="B11199" s="2" t="str">
        <f>"FILTRO GOETEXTIL NAO TECIDO"</f>
        <v>FILTRO GOETEXTIL NAO TECIDO</v>
      </c>
      <c r="C11199" s="2" t="str">
        <f>"UN"</f>
        <v>UN</v>
      </c>
      <c r="D11199" s="7">
        <v>99999</v>
      </c>
      <c r="E11199" s="3">
        <v>10</v>
      </c>
      <c r="F11199" s="3">
        <v>10</v>
      </c>
      <c r="G11199" t="s">
        <v>513</v>
      </c>
    </row>
    <row r="11200" spans="1:7" x14ac:dyDescent="0.25">
      <c r="A11200" s="1" t="str">
        <f>"521579"</f>
        <v>521579</v>
      </c>
      <c r="B11200" s="2" t="str">
        <f>"FILTRO GRAMP TENSÃO"</f>
        <v>FILTRO GRAMP TENSÃO</v>
      </c>
      <c r="C11200" s="2" t="str">
        <f>"PC"</f>
        <v>PC</v>
      </c>
      <c r="D11200" s="7">
        <v>908</v>
      </c>
      <c r="E11200" s="3">
        <v>10</v>
      </c>
      <c r="F11200" s="3">
        <v>10</v>
      </c>
      <c r="G11200" t="s">
        <v>514</v>
      </c>
    </row>
    <row r="11201" spans="1:7" x14ac:dyDescent="0.25">
      <c r="A11201" s="1" t="str">
        <f>"520121"</f>
        <v>520121</v>
      </c>
      <c r="B11201" s="2" t="str">
        <f>"FILTRO HIDRAULICO EFL043 DELPHI"</f>
        <v>FILTRO HIDRAULICO EFL043 DELPHI</v>
      </c>
      <c r="C11201" s="2" t="str">
        <f t="shared" ref="C11201:C11207" si="438">"UN"</f>
        <v>UN</v>
      </c>
      <c r="D11201" s="7">
        <v>704</v>
      </c>
      <c r="E11201" s="3">
        <v>9</v>
      </c>
      <c r="F11201" s="3">
        <v>9</v>
      </c>
      <c r="G11201" t="s">
        <v>514</v>
      </c>
    </row>
    <row r="11202" spans="1:7" x14ac:dyDescent="0.25">
      <c r="A11202" s="1" t="str">
        <f>"519056"</f>
        <v>519056</v>
      </c>
      <c r="B11202" s="2" t="str">
        <f>"FILTRO HIDRAULICO RETORNO TOYOTA 8FGU25"</f>
        <v>FILTRO HIDRAULICO RETORNO TOYOTA 8FGU25</v>
      </c>
      <c r="C11202" s="2" t="str">
        <f t="shared" si="438"/>
        <v>UN</v>
      </c>
      <c r="D11202" s="7">
        <v>918</v>
      </c>
      <c r="E11202" s="3">
        <v>11</v>
      </c>
      <c r="F11202" s="3">
        <v>11</v>
      </c>
      <c r="G11202" t="s">
        <v>512</v>
      </c>
    </row>
    <row r="11203" spans="1:7" x14ac:dyDescent="0.25">
      <c r="A11203" s="1" t="str">
        <f>"519060"</f>
        <v>519060</v>
      </c>
      <c r="B11203" s="2" t="str">
        <f>"FILTRO HIDRAULICO SUCÇÃO TOYOTA 8FGU25"</f>
        <v>FILTRO HIDRAULICO SUCÇÃO TOYOTA 8FGU25</v>
      </c>
      <c r="C11203" s="2" t="str">
        <f t="shared" si="438"/>
        <v>UN</v>
      </c>
      <c r="D11203" s="7">
        <v>918</v>
      </c>
      <c r="E11203" s="3">
        <v>11</v>
      </c>
      <c r="F11203" s="3">
        <v>11</v>
      </c>
      <c r="G11203" t="s">
        <v>513</v>
      </c>
    </row>
    <row r="11204" spans="1:7" x14ac:dyDescent="0.25">
      <c r="A11204" s="1" t="str">
        <f>"523830"</f>
        <v>523830</v>
      </c>
      <c r="B11204" s="2" t="str">
        <f>"FILTRO HIDROFOBICO BOMBA MAX XT II"</f>
        <v>FILTRO HIDROFOBICO BOMBA MAX XT II</v>
      </c>
      <c r="C11204" s="2" t="str">
        <f t="shared" si="438"/>
        <v>UN</v>
      </c>
      <c r="D11204" s="7">
        <v>99999</v>
      </c>
      <c r="E11204" s="3">
        <v>99</v>
      </c>
      <c r="F11204" s="3">
        <v>99</v>
      </c>
      <c r="G11204" t="s">
        <v>514</v>
      </c>
    </row>
    <row r="11205" spans="1:7" x14ac:dyDescent="0.25">
      <c r="A11205" s="1" t="str">
        <f>"520760"</f>
        <v>520760</v>
      </c>
      <c r="B11205" s="2" t="str">
        <f>"FILTRO INIB IMPUR FIL-25Y 1"" P/ AMONIA SOLDA TOPO"</f>
        <v>FILTRO INIB IMPUR FIL-25Y 1" P/ AMONIA SOLDA TOPO</v>
      </c>
      <c r="C11205" s="2" t="str">
        <f t="shared" si="438"/>
        <v>UN</v>
      </c>
      <c r="D11205" s="7">
        <v>916</v>
      </c>
      <c r="E11205" s="3">
        <v>10</v>
      </c>
      <c r="F11205" s="3">
        <v>10</v>
      </c>
      <c r="G11205" t="s">
        <v>514</v>
      </c>
    </row>
    <row r="11206" spans="1:7" x14ac:dyDescent="0.25">
      <c r="A11206" s="1" t="str">
        <f>"520761"</f>
        <v>520761</v>
      </c>
      <c r="B11206" s="2" t="str">
        <f>"FILTRO INIB IMPUR FIL-40Y 1.1/2"" P/ AMONIA SOLDA TOPO"</f>
        <v>FILTRO INIB IMPUR FIL-40Y 1.1/2" P/ AMONIA SOLDA TOPO</v>
      </c>
      <c r="C11206" s="2" t="str">
        <f t="shared" si="438"/>
        <v>UN</v>
      </c>
      <c r="D11206" s="7">
        <v>916</v>
      </c>
      <c r="E11206" s="3">
        <v>10</v>
      </c>
      <c r="F11206" s="3">
        <v>10</v>
      </c>
      <c r="G11206" t="s">
        <v>514</v>
      </c>
    </row>
    <row r="11207" spans="1:7" x14ac:dyDescent="0.25">
      <c r="A11207" s="1" t="str">
        <f>"523829"</f>
        <v>523829</v>
      </c>
      <c r="B11207" s="2" t="str">
        <f>"FILTRO INT. SENSOR ANALISADOR GASES MAX XT II"</f>
        <v>FILTRO INT. SENSOR ANALISADOR GASES MAX XT II</v>
      </c>
      <c r="C11207" s="2" t="str">
        <f t="shared" si="438"/>
        <v>UN</v>
      </c>
      <c r="D11207" s="7">
        <v>99999</v>
      </c>
      <c r="E11207" s="3">
        <v>99</v>
      </c>
      <c r="F11207" s="3">
        <v>99</v>
      </c>
      <c r="G11207" t="s">
        <v>513</v>
      </c>
    </row>
    <row r="11208" spans="1:7" x14ac:dyDescent="0.25">
      <c r="A11208" s="1" t="str">
        <f>"500069"</f>
        <v>500069</v>
      </c>
      <c r="B11208" s="2" t="str">
        <f>"FILTRO IVECO HD380 COMBUSTIVEL 2992261"</f>
        <v>FILTRO IVECO HD380 COMBUSTIVEL 2992261</v>
      </c>
      <c r="C11208" s="2" t="str">
        <f>"PC"</f>
        <v>PC</v>
      </c>
      <c r="D11208" s="7">
        <v>704</v>
      </c>
      <c r="E11208" s="3">
        <v>9</v>
      </c>
      <c r="F11208" s="3">
        <v>9</v>
      </c>
      <c r="G11208" t="s">
        <v>512</v>
      </c>
    </row>
    <row r="11209" spans="1:7" x14ac:dyDescent="0.25">
      <c r="A11209" s="1" t="str">
        <f>"510018"</f>
        <v>510018</v>
      </c>
      <c r="B11209" s="2" t="str">
        <f>"FILTRO IVECO HD380 COMBUSTIVEL 2992544"</f>
        <v>FILTRO IVECO HD380 COMBUSTIVEL 2992544</v>
      </c>
      <c r="C11209" s="2" t="str">
        <f>"UN"</f>
        <v>UN</v>
      </c>
      <c r="D11209" s="7">
        <v>701</v>
      </c>
      <c r="E11209" s="3">
        <v>9</v>
      </c>
      <c r="F11209" s="3">
        <v>9</v>
      </c>
      <c r="G11209" t="s">
        <v>513</v>
      </c>
    </row>
    <row r="11210" spans="1:7" x14ac:dyDescent="0.25">
      <c r="A11210" s="1" t="str">
        <f>"510019"</f>
        <v>510019</v>
      </c>
      <c r="B11210" s="2" t="str">
        <f>"FILTRO IVECO HD380 OLEO MOTOR 503355292"</f>
        <v>FILTRO IVECO HD380 OLEO MOTOR 503355292</v>
      </c>
      <c r="C11210" s="2" t="str">
        <f>"UN"</f>
        <v>UN</v>
      </c>
      <c r="D11210" s="7">
        <v>701</v>
      </c>
      <c r="E11210" s="3">
        <v>9</v>
      </c>
      <c r="F11210" s="3">
        <v>9</v>
      </c>
      <c r="G11210" t="s">
        <v>514</v>
      </c>
    </row>
    <row r="11211" spans="1:7" x14ac:dyDescent="0.25">
      <c r="A11211" s="1" t="str">
        <f>"512167"</f>
        <v>512167</v>
      </c>
      <c r="B11211" s="2" t="str">
        <f>"FILTRO IVECO HD380 SEP. AGUA 7147701"</f>
        <v>FILTRO IVECO HD380 SEP. AGUA 7147701</v>
      </c>
      <c r="C11211" s="2" t="str">
        <f>"UN"</f>
        <v>UN</v>
      </c>
      <c r="D11211" s="7">
        <v>701</v>
      </c>
      <c r="E11211" s="3">
        <v>9</v>
      </c>
      <c r="F11211" s="3">
        <v>9</v>
      </c>
      <c r="G11211" t="s">
        <v>514</v>
      </c>
    </row>
    <row r="11212" spans="1:7" x14ac:dyDescent="0.25">
      <c r="A11212" s="1" t="str">
        <f>"519787"</f>
        <v>519787</v>
      </c>
      <c r="B11212" s="2" t="str">
        <f>"FILTRO LF-1/4-D-5M-MINI 162611"</f>
        <v>FILTRO LF-1/4-D-5M-MINI 162611</v>
      </c>
      <c r="C11212" s="2" t="str">
        <f>"UN"</f>
        <v>UN</v>
      </c>
      <c r="D11212" s="7">
        <v>913</v>
      </c>
      <c r="E11212" s="3">
        <v>11</v>
      </c>
      <c r="F11212" s="3">
        <v>11</v>
      </c>
      <c r="G11212" t="s">
        <v>514</v>
      </c>
    </row>
    <row r="11213" spans="1:7" x14ac:dyDescent="0.25">
      <c r="A11213" s="1" t="str">
        <f>"521212"</f>
        <v>521212</v>
      </c>
      <c r="B11213" s="2" t="str">
        <f>"FILTRO LINHA TUBULAR F-750 2M/SMS EPDM 304  4"" C/ ELEM. FILT"</f>
        <v>FILTRO LINHA TUBULAR F-750 2M/SMS EPDM 304  4" C/ ELEM. FILT</v>
      </c>
      <c r="C11213" s="2" t="str">
        <f>"BR"</f>
        <v>BR</v>
      </c>
      <c r="D11213" s="7">
        <v>807</v>
      </c>
      <c r="E11213" s="3">
        <v>10</v>
      </c>
      <c r="F11213" s="3">
        <v>10</v>
      </c>
      <c r="G11213" t="s">
        <v>513</v>
      </c>
    </row>
    <row r="11214" spans="1:7" x14ac:dyDescent="0.25">
      <c r="A11214" s="1" t="str">
        <f>"514785"</f>
        <v>514785</v>
      </c>
      <c r="B11214" s="2" t="str">
        <f>"FILTRO LUBRIFICANTE"</f>
        <v>FILTRO LUBRIFICANTE</v>
      </c>
      <c r="C11214" s="2" t="str">
        <f>"UN"</f>
        <v>UN</v>
      </c>
      <c r="D11214" s="7">
        <v>704</v>
      </c>
      <c r="E11214" s="3">
        <v>9</v>
      </c>
      <c r="F11214" s="3">
        <v>9</v>
      </c>
      <c r="G11214" t="s">
        <v>513</v>
      </c>
    </row>
    <row r="11215" spans="1:7" x14ac:dyDescent="0.25">
      <c r="A11215" s="1" t="str">
        <f>"520124"</f>
        <v>520124</v>
      </c>
      <c r="B11215" s="2" t="str">
        <f>"FILTRO LUBRIFICANTE EFL526 DELPHI"</f>
        <v>FILTRO LUBRIFICANTE EFL526 DELPHI</v>
      </c>
      <c r="C11215" s="2" t="str">
        <f>"UN"</f>
        <v>UN</v>
      </c>
      <c r="D11215" s="7">
        <v>704</v>
      </c>
      <c r="E11215" s="3">
        <v>9</v>
      </c>
      <c r="F11215" s="3">
        <v>9</v>
      </c>
      <c r="G11215" t="s">
        <v>513</v>
      </c>
    </row>
    <row r="11216" spans="1:7" x14ac:dyDescent="0.25">
      <c r="A11216" s="1" t="str">
        <f>"520119"</f>
        <v>520119</v>
      </c>
      <c r="B11216" s="2" t="str">
        <f>"FILTRO LUBRIFICANTE EFL745 DELPHI"</f>
        <v>FILTRO LUBRIFICANTE EFL745 DELPHI</v>
      </c>
      <c r="C11216" s="2" t="str">
        <f>"UN"</f>
        <v>UN</v>
      </c>
      <c r="D11216" s="7">
        <v>704</v>
      </c>
      <c r="E11216" s="3">
        <v>9</v>
      </c>
      <c r="F11216" s="3">
        <v>9</v>
      </c>
      <c r="G11216" t="s">
        <v>512</v>
      </c>
    </row>
    <row r="11217" spans="1:7" x14ac:dyDescent="0.25">
      <c r="A11217" s="1" t="str">
        <f>"505073"</f>
        <v>505073</v>
      </c>
      <c r="B11217" s="2" t="str">
        <f>"FILTRO MERCEDES 1318 AR C20457 - MANN FILTER"</f>
        <v>FILTRO MERCEDES 1318 AR C20457 - MANN FILTER</v>
      </c>
      <c r="C11217" s="2" t="str">
        <f>"PC"</f>
        <v>PC</v>
      </c>
      <c r="D11217" s="7">
        <v>902</v>
      </c>
      <c r="E11217" s="3">
        <v>16</v>
      </c>
      <c r="F11217" s="3">
        <v>16</v>
      </c>
      <c r="G11217" t="s">
        <v>513</v>
      </c>
    </row>
    <row r="11218" spans="1:7" x14ac:dyDescent="0.25">
      <c r="A11218" s="1" t="str">
        <f>"505070"</f>
        <v>505070</v>
      </c>
      <c r="B11218" s="2" t="str">
        <f>"FILTRO MERCEDES 1318 COMBUSTIVEL PU 1046X - MANN FILTER"</f>
        <v>FILTRO MERCEDES 1318 COMBUSTIVEL PU 1046X - MANN FILTER</v>
      </c>
      <c r="C11218" s="2" t="str">
        <f>"PC"</f>
        <v>PC</v>
      </c>
      <c r="D11218" s="7">
        <v>902</v>
      </c>
      <c r="E11218" s="3">
        <v>16</v>
      </c>
      <c r="F11218" s="3">
        <v>16</v>
      </c>
      <c r="G11218" t="s">
        <v>514</v>
      </c>
    </row>
    <row r="11219" spans="1:7" x14ac:dyDescent="0.25">
      <c r="A11219" s="1" t="str">
        <f>"505071"</f>
        <v>505071</v>
      </c>
      <c r="B11219" s="2" t="str">
        <f>"FILTRO MERCEDES 1318 OLEO HU-931/5X - MANN FILTER"</f>
        <v>FILTRO MERCEDES 1318 OLEO HU-931/5X - MANN FILTER</v>
      </c>
      <c r="C11219" s="2" t="str">
        <f>"PC"</f>
        <v>PC</v>
      </c>
      <c r="D11219" s="7">
        <v>902</v>
      </c>
      <c r="E11219" s="3">
        <v>16</v>
      </c>
      <c r="F11219" s="3">
        <v>16</v>
      </c>
      <c r="G11219" t="s">
        <v>515</v>
      </c>
    </row>
    <row r="11220" spans="1:7" x14ac:dyDescent="0.25">
      <c r="A11220" s="1" t="str">
        <f>"505072"</f>
        <v>505072</v>
      </c>
      <c r="B11220" s="2" t="str">
        <f>"FILTRO MERCEDES 1318 OLEO WK1060 - MANN FILTER"</f>
        <v>FILTRO MERCEDES 1318 OLEO WK1060 - MANN FILTER</v>
      </c>
      <c r="C11220" s="2" t="str">
        <f>"PC"</f>
        <v>PC</v>
      </c>
      <c r="D11220" s="7">
        <v>902</v>
      </c>
      <c r="E11220" s="3">
        <v>16</v>
      </c>
      <c r="F11220" s="3">
        <v>16</v>
      </c>
      <c r="G11220" t="s">
        <v>512</v>
      </c>
    </row>
    <row r="11221" spans="1:7" x14ac:dyDescent="0.25">
      <c r="A11221" s="1" t="str">
        <f>"500125"</f>
        <v>500125</v>
      </c>
      <c r="B11221" s="2" t="str">
        <f>"FILTRO MERCEDES A0001801109 OLEO LUBRIF."</f>
        <v>FILTRO MERCEDES A0001801109 OLEO LUBRIF.</v>
      </c>
      <c r="C11221" s="2" t="str">
        <f>"PC"</f>
        <v>PC</v>
      </c>
      <c r="D11221" s="7">
        <v>704</v>
      </c>
      <c r="E11221" s="3">
        <v>9</v>
      </c>
      <c r="F11221" s="3">
        <v>9</v>
      </c>
      <c r="G11221" t="s">
        <v>516</v>
      </c>
    </row>
    <row r="11222" spans="1:7" x14ac:dyDescent="0.25">
      <c r="A11222" s="1" t="str">
        <f>"512181"</f>
        <v>512181</v>
      </c>
      <c r="B11222" s="2" t="str">
        <f>"FILTRO MERCEDES A0001801109 OLEO LUBRIF."</f>
        <v>FILTRO MERCEDES A0001801109 OLEO LUBRIF.</v>
      </c>
      <c r="C11222" s="2" t="str">
        <f>"UN"</f>
        <v>UN</v>
      </c>
      <c r="D11222" s="7">
        <v>701</v>
      </c>
      <c r="E11222" s="3">
        <v>9</v>
      </c>
      <c r="F11222" s="3">
        <v>9</v>
      </c>
      <c r="G11222" t="s">
        <v>515</v>
      </c>
    </row>
    <row r="11223" spans="1:7" x14ac:dyDescent="0.25">
      <c r="A11223" s="1" t="str">
        <f>"512183"</f>
        <v>512183</v>
      </c>
      <c r="B11223" s="2" t="str">
        <f>"FILTRO MERCEDES A4760940004 AR"</f>
        <v>FILTRO MERCEDES A4760940004 AR</v>
      </c>
      <c r="C11223" s="2" t="str">
        <f>"UN"</f>
        <v>UN</v>
      </c>
      <c r="D11223" s="7">
        <v>701</v>
      </c>
      <c r="E11223" s="3">
        <v>9</v>
      </c>
      <c r="F11223" s="3">
        <v>9</v>
      </c>
      <c r="G11223" t="s">
        <v>514</v>
      </c>
    </row>
    <row r="11224" spans="1:7" x14ac:dyDescent="0.25">
      <c r="A11224" s="1" t="str">
        <f>"512182"</f>
        <v>512182</v>
      </c>
      <c r="B11224" s="2" t="str">
        <f>"FILTRO MERCEDES A5410900151 SEPARADOR"</f>
        <v>FILTRO MERCEDES A5410900151 SEPARADOR</v>
      </c>
      <c r="C11224" s="2" t="str">
        <f>"UN"</f>
        <v>UN</v>
      </c>
      <c r="D11224" s="7">
        <v>701</v>
      </c>
      <c r="E11224" s="3">
        <v>9</v>
      </c>
      <c r="F11224" s="3">
        <v>9</v>
      </c>
      <c r="G11224" t="s">
        <v>512</v>
      </c>
    </row>
    <row r="11225" spans="1:7" x14ac:dyDescent="0.25">
      <c r="A11225" s="1" t="str">
        <f>"512180"</f>
        <v>512180</v>
      </c>
      <c r="B11225" s="2" t="str">
        <f>"FILTRO MERCEDES A9584770015 COMBUSTIVEL"</f>
        <v>FILTRO MERCEDES A9584770015 COMBUSTIVEL</v>
      </c>
      <c r="C11225" s="2" t="str">
        <f>"UN"</f>
        <v>UN</v>
      </c>
      <c r="D11225" s="7">
        <v>701</v>
      </c>
      <c r="E11225" s="3">
        <v>9</v>
      </c>
      <c r="F11225" s="3">
        <v>9</v>
      </c>
      <c r="G11225" t="s">
        <v>513</v>
      </c>
    </row>
    <row r="11226" spans="1:7" x14ac:dyDescent="0.25">
      <c r="A11226" s="1" t="str">
        <f>"504142"</f>
        <v>504142</v>
      </c>
      <c r="B11226" s="2" t="str">
        <f>"FILTRO MICROB. COMPOSTO ZVA-01A-BBE-BR"</f>
        <v>FILTRO MICROB. COMPOSTO ZVA-01A-BBE-BR</v>
      </c>
      <c r="C11226" s="2" t="str">
        <f>"BR"</f>
        <v>BR</v>
      </c>
      <c r="D11226" s="7">
        <v>807</v>
      </c>
      <c r="E11226" s="3">
        <v>10</v>
      </c>
      <c r="F11226" s="3">
        <v>10</v>
      </c>
      <c r="G11226" t="s">
        <v>514</v>
      </c>
    </row>
    <row r="11227" spans="1:7" x14ac:dyDescent="0.25">
      <c r="A11227" s="1" t="str">
        <f>"507877"</f>
        <v>507877</v>
      </c>
      <c r="B11227" s="2" t="str">
        <f>"FILTRO MULTI 20 W7 - MANN FILTER"</f>
        <v>FILTRO MULTI 20 W7 - MANN FILTER</v>
      </c>
      <c r="C11227" s="2" t="str">
        <f>"UN"</f>
        <v>UN</v>
      </c>
      <c r="D11227" s="7">
        <v>701</v>
      </c>
      <c r="E11227" s="3">
        <v>9</v>
      </c>
      <c r="F11227" s="3">
        <v>9</v>
      </c>
      <c r="G11227" t="s">
        <v>514</v>
      </c>
    </row>
    <row r="11228" spans="1:7" x14ac:dyDescent="0.25">
      <c r="A11228" s="1" t="str">
        <f>"520130"</f>
        <v>520130</v>
      </c>
      <c r="B11228" s="2" t="str">
        <f>"FILTRO OLEO 21707134 VOLVO"</f>
        <v>FILTRO OLEO 21707134 VOLVO</v>
      </c>
      <c r="C11228" s="2" t="str">
        <f>"UN"</f>
        <v>UN</v>
      </c>
      <c r="D11228" s="7">
        <v>704</v>
      </c>
      <c r="E11228" s="3">
        <v>9</v>
      </c>
      <c r="F11228" s="3">
        <v>9</v>
      </c>
      <c r="G11228" t="s">
        <v>512</v>
      </c>
    </row>
    <row r="11229" spans="1:7" x14ac:dyDescent="0.25">
      <c r="A11229" s="1" t="str">
        <f>"518259"</f>
        <v>518259</v>
      </c>
      <c r="B11229" s="2" t="str">
        <f>"FILTRO OLEO 615007 - SELOVAC"</f>
        <v>FILTRO OLEO 615007 - SELOVAC</v>
      </c>
      <c r="C11229" s="2" t="str">
        <f>"UN"</f>
        <v>UN</v>
      </c>
      <c r="D11229" s="7">
        <v>918</v>
      </c>
      <c r="E11229" s="3">
        <v>11</v>
      </c>
      <c r="F11229" s="3">
        <v>11</v>
      </c>
      <c r="G11229" t="s">
        <v>513</v>
      </c>
    </row>
    <row r="11230" spans="1:7" x14ac:dyDescent="0.25">
      <c r="A11230" s="1" t="str">
        <f>"504449"</f>
        <v>504449</v>
      </c>
      <c r="B11230" s="2" t="str">
        <f>"FILTRO OLEO COD.1031400226 CHICAGO 30HP"</f>
        <v>FILTRO OLEO COD.1031400226 CHICAGO 30HP</v>
      </c>
      <c r="C11230" s="2" t="str">
        <f>"PC"</f>
        <v>PC</v>
      </c>
      <c r="D11230" s="7">
        <v>902</v>
      </c>
      <c r="E11230" s="3">
        <v>11</v>
      </c>
      <c r="F11230" s="3">
        <v>11</v>
      </c>
      <c r="G11230" t="s">
        <v>514</v>
      </c>
    </row>
    <row r="11231" spans="1:7" x14ac:dyDescent="0.25">
      <c r="A11231" s="1" t="str">
        <f>"500743"</f>
        <v>500743</v>
      </c>
      <c r="B11231" s="2" t="str">
        <f>"FILTRO OLEO COD.1031400226 CHICAGO 40HP"</f>
        <v>FILTRO OLEO COD.1031400226 CHICAGO 40HP</v>
      </c>
      <c r="C11231" s="2" t="str">
        <f>"PC"</f>
        <v>PC</v>
      </c>
      <c r="D11231" s="7">
        <v>902</v>
      </c>
      <c r="E11231" s="3">
        <v>11</v>
      </c>
      <c r="F11231" s="3">
        <v>11</v>
      </c>
      <c r="G11231" t="s">
        <v>514</v>
      </c>
    </row>
    <row r="11232" spans="1:7" x14ac:dyDescent="0.25">
      <c r="A11232" s="1" t="str">
        <f>"502863"</f>
        <v>502863</v>
      </c>
      <c r="B11232" s="2" t="str">
        <f>"FILTRO OLEO COD.39907175 INGERSOLL-ROND"</f>
        <v>FILTRO OLEO COD.39907175 INGERSOLL-ROND</v>
      </c>
      <c r="C11232" s="2" t="str">
        <f>"UN"</f>
        <v>UN</v>
      </c>
      <c r="D11232" s="7">
        <v>902</v>
      </c>
      <c r="E11232" s="3">
        <v>11</v>
      </c>
      <c r="F11232" s="3">
        <v>11</v>
      </c>
      <c r="G11232" t="s">
        <v>514</v>
      </c>
    </row>
    <row r="11233" spans="1:7" x14ac:dyDescent="0.25">
      <c r="A11233" s="1" t="str">
        <f>"513923"</f>
        <v>513923</v>
      </c>
      <c r="B11233" s="2" t="str">
        <f>"FILTRO OLEO COMPRESSOR YORK SABROE 1045"</f>
        <v>FILTRO OLEO COMPRESSOR YORK SABROE 1045</v>
      </c>
      <c r="C11233" s="2" t="str">
        <f>"UN"</f>
        <v>UN</v>
      </c>
      <c r="D11233" s="7">
        <v>99999</v>
      </c>
      <c r="E11233" s="3">
        <v>99</v>
      </c>
      <c r="F11233" s="3">
        <v>99</v>
      </c>
      <c r="G11233" t="s">
        <v>513</v>
      </c>
    </row>
    <row r="11234" spans="1:7" x14ac:dyDescent="0.25">
      <c r="A11234" s="1" t="str">
        <f>"520123"</f>
        <v>520123</v>
      </c>
      <c r="B11234" s="2" t="str">
        <f>"FILTRO OLEO EFL997 DELPHI"</f>
        <v>FILTRO OLEO EFL997 DELPHI</v>
      </c>
      <c r="C11234" s="2" t="str">
        <f>"UN"</f>
        <v>UN</v>
      </c>
      <c r="D11234" s="7">
        <v>704</v>
      </c>
      <c r="E11234" s="3">
        <v>9</v>
      </c>
      <c r="F11234" s="3">
        <v>9</v>
      </c>
      <c r="G11234" t="s">
        <v>512</v>
      </c>
    </row>
    <row r="11235" spans="1:7" x14ac:dyDescent="0.25">
      <c r="A11235" s="1" t="str">
        <f>"520115"</f>
        <v>520115</v>
      </c>
      <c r="B11235" s="2" t="str">
        <f>"FILTRO OLEO EMI 11-7382 THERMO KING"</f>
        <v>FILTRO OLEO EMI 11-7382 THERMO KING</v>
      </c>
      <c r="C11235" s="2" t="str">
        <f>"UN"</f>
        <v>UN</v>
      </c>
      <c r="D11235" s="7">
        <v>704</v>
      </c>
      <c r="E11235" s="3">
        <v>9</v>
      </c>
      <c r="F11235" s="3">
        <v>9</v>
      </c>
      <c r="G11235" t="s">
        <v>513</v>
      </c>
    </row>
    <row r="11236" spans="1:7" x14ac:dyDescent="0.25">
      <c r="A11236" s="1" t="str">
        <f>"520116"</f>
        <v>520116</v>
      </c>
      <c r="B11236" s="2" t="str">
        <f>"FILTRO OLEO EMI3000 11-9182 THERMO KING"</f>
        <v>FILTRO OLEO EMI3000 11-9182 THERMO KING</v>
      </c>
      <c r="C11236" s="2" t="str">
        <f>"UN"</f>
        <v>UN</v>
      </c>
      <c r="D11236" s="7">
        <v>704</v>
      </c>
      <c r="E11236" s="3">
        <v>9</v>
      </c>
      <c r="F11236" s="3">
        <v>9</v>
      </c>
      <c r="G11236" t="s">
        <v>514</v>
      </c>
    </row>
    <row r="11237" spans="1:7" x14ac:dyDescent="0.25">
      <c r="A11237" s="1" t="str">
        <f>"503328"</f>
        <v>503328</v>
      </c>
      <c r="B11237" s="2" t="str">
        <f>"FILTRO OLEO HIDR EFL523 LUCAS PAC-1"</f>
        <v>FILTRO OLEO HIDR EFL523 LUCAS PAC-1</v>
      </c>
      <c r="C11237" s="2" t="str">
        <f>"PC"</f>
        <v>PC</v>
      </c>
      <c r="D11237" s="7">
        <v>902</v>
      </c>
      <c r="E11237" s="3">
        <v>11</v>
      </c>
      <c r="F11237" s="3">
        <v>11</v>
      </c>
      <c r="G11237" t="s">
        <v>514</v>
      </c>
    </row>
    <row r="11238" spans="1:7" x14ac:dyDescent="0.25">
      <c r="A11238" s="1" t="str">
        <f>"503327"</f>
        <v>503327</v>
      </c>
      <c r="B11238" s="2" t="str">
        <f>"FILTRO OLEO HIDR FB103.FV6B BATTENFELD"</f>
        <v>FILTRO OLEO HIDR FB103.FV6B BATTENFELD</v>
      </c>
      <c r="C11238" s="2" t="str">
        <f>"PC"</f>
        <v>PC</v>
      </c>
      <c r="D11238" s="7">
        <v>902</v>
      </c>
      <c r="E11238" s="3">
        <v>11</v>
      </c>
      <c r="F11238" s="3">
        <v>11</v>
      </c>
      <c r="G11238" t="s">
        <v>514</v>
      </c>
    </row>
    <row r="11239" spans="1:7" x14ac:dyDescent="0.25">
      <c r="A11239" s="1" t="str">
        <f>"520132"</f>
        <v>520132</v>
      </c>
      <c r="B11239" s="2" t="str">
        <f>"FILTRO OLEO LB300 VOX"</f>
        <v>FILTRO OLEO LB300 VOX</v>
      </c>
      <c r="C11239" s="2" t="str">
        <f>"UN"</f>
        <v>UN</v>
      </c>
      <c r="D11239" s="7">
        <v>704</v>
      </c>
      <c r="E11239" s="3">
        <v>9</v>
      </c>
      <c r="F11239" s="3">
        <v>9</v>
      </c>
      <c r="G11239" t="s">
        <v>513</v>
      </c>
    </row>
    <row r="11240" spans="1:7" x14ac:dyDescent="0.25">
      <c r="A11240" s="1" t="str">
        <f>"520131"</f>
        <v>520131</v>
      </c>
      <c r="B11240" s="2" t="str">
        <f>"FILTRO OLEO LB900 VOX (BOMBA VACUO)"</f>
        <v>FILTRO OLEO LB900 VOX (BOMBA VACUO)</v>
      </c>
      <c r="C11240" s="2" t="str">
        <f>"UN"</f>
        <v>UN</v>
      </c>
      <c r="D11240" s="7">
        <v>704</v>
      </c>
      <c r="E11240" s="3">
        <v>9</v>
      </c>
      <c r="F11240" s="3">
        <v>9</v>
      </c>
      <c r="G11240" t="s">
        <v>513</v>
      </c>
    </row>
    <row r="11241" spans="1:7" x14ac:dyDescent="0.25">
      <c r="A11241" s="1" t="str">
        <f>"520118"</f>
        <v>520118</v>
      </c>
      <c r="B11241" s="2" t="str">
        <f>"FILTRO OLEO PH9617 FRAM"</f>
        <v>FILTRO OLEO PH9617 FRAM</v>
      </c>
      <c r="C11241" s="2" t="str">
        <f>"UN"</f>
        <v>UN</v>
      </c>
      <c r="D11241" s="7">
        <v>704</v>
      </c>
      <c r="E11241" s="3">
        <v>9</v>
      </c>
      <c r="F11241" s="3">
        <v>9</v>
      </c>
      <c r="G11241" t="s">
        <v>513</v>
      </c>
    </row>
    <row r="11242" spans="1:7" x14ac:dyDescent="0.25">
      <c r="A11242" s="1" t="str">
        <f>"507469"</f>
        <v>507469</v>
      </c>
      <c r="B11242" s="2" t="str">
        <f>"FILTRO OLEO SSR50 HP INGERSOL"</f>
        <v>FILTRO OLEO SSR50 HP INGERSOL</v>
      </c>
      <c r="C11242" s="2" t="str">
        <f>"PC"</f>
        <v>PC</v>
      </c>
      <c r="D11242" s="7">
        <v>902</v>
      </c>
      <c r="E11242" s="3">
        <v>11</v>
      </c>
      <c r="F11242" s="3">
        <v>11</v>
      </c>
      <c r="G11242" t="s">
        <v>512</v>
      </c>
    </row>
    <row r="11243" spans="1:7" x14ac:dyDescent="0.25">
      <c r="A11243" s="1" t="str">
        <f>"520112"</f>
        <v>520112</v>
      </c>
      <c r="B11243" s="2" t="str">
        <f>"FILTRO OLEO W1170/7 MANN FILTER"</f>
        <v>FILTRO OLEO W1170/7 MANN FILTER</v>
      </c>
      <c r="C11243" s="2" t="str">
        <f t="shared" ref="C11243:C11248" si="439">"UN"</f>
        <v>UN</v>
      </c>
      <c r="D11243" s="7">
        <v>704</v>
      </c>
      <c r="E11243" s="3">
        <v>9</v>
      </c>
      <c r="F11243" s="3">
        <v>9</v>
      </c>
      <c r="G11243" t="s">
        <v>513</v>
      </c>
    </row>
    <row r="11244" spans="1:7" x14ac:dyDescent="0.25">
      <c r="A11244" s="1" t="str">
        <f>"518181"</f>
        <v>518181</v>
      </c>
      <c r="B11244" s="2" t="str">
        <f>"FILTRO OLEO W940 15V R50160R50250 R50305"</f>
        <v>FILTRO OLEO W940 15V R50160R50250 R50305</v>
      </c>
      <c r="C11244" s="2" t="str">
        <f t="shared" si="439"/>
        <v>UN</v>
      </c>
      <c r="D11244" s="7">
        <v>918</v>
      </c>
      <c r="E11244" s="3">
        <v>11</v>
      </c>
      <c r="F11244" s="3">
        <v>11</v>
      </c>
      <c r="G11244" t="s">
        <v>514</v>
      </c>
    </row>
    <row r="11245" spans="1:7" x14ac:dyDescent="0.25">
      <c r="A11245" s="1" t="str">
        <f>"520114"</f>
        <v>520114</v>
      </c>
      <c r="B11245" s="2" t="str">
        <f>"FILTRO OLEO WK950/21 MANN FILTER"</f>
        <v>FILTRO OLEO WK950/21 MANN FILTER</v>
      </c>
      <c r="C11245" s="2" t="str">
        <f t="shared" si="439"/>
        <v>UN</v>
      </c>
      <c r="D11245" s="7">
        <v>704</v>
      </c>
      <c r="E11245" s="3">
        <v>9</v>
      </c>
      <c r="F11245" s="3">
        <v>9</v>
      </c>
      <c r="G11245" t="s">
        <v>515</v>
      </c>
    </row>
    <row r="11246" spans="1:7" x14ac:dyDescent="0.25">
      <c r="A11246" s="1" t="str">
        <f>"3486"</f>
        <v>3486</v>
      </c>
      <c r="B11246" s="2" t="str">
        <f>"FILTRO P/ RESP. SERIE 6000 5N11 PRE FILTRO C/ 10"</f>
        <v>FILTRO P/ RESP. SERIE 6000 5N11 PRE FILTRO C/ 10</v>
      </c>
      <c r="C11246" s="2" t="str">
        <f t="shared" si="439"/>
        <v>UN</v>
      </c>
      <c r="D11246" s="7">
        <v>501</v>
      </c>
      <c r="E11246" s="3">
        <v>5</v>
      </c>
      <c r="F11246" s="3">
        <v>5</v>
      </c>
      <c r="G11246" t="s">
        <v>512</v>
      </c>
    </row>
    <row r="11247" spans="1:7" x14ac:dyDescent="0.25">
      <c r="A11247" s="1" t="str">
        <f>"3485"</f>
        <v>3485</v>
      </c>
      <c r="B11247" s="2" t="str">
        <f>"FILTRO P/ RESP. SERIE 6000 6006 MULTIGASES H0001924341 3M"</f>
        <v>FILTRO P/ RESP. SERIE 6000 6006 MULTIGASES H0001924341 3M</v>
      </c>
      <c r="C11247" s="2" t="str">
        <f t="shared" si="439"/>
        <v>UN</v>
      </c>
      <c r="D11247" s="7">
        <v>501</v>
      </c>
      <c r="E11247" s="3">
        <v>5</v>
      </c>
      <c r="F11247" s="3">
        <v>5</v>
      </c>
      <c r="G11247" t="s">
        <v>516</v>
      </c>
    </row>
    <row r="11248" spans="1:7" x14ac:dyDescent="0.25">
      <c r="A11248" s="1" t="str">
        <f>"515646"</f>
        <v>515646</v>
      </c>
      <c r="B11248" s="2" t="str">
        <f>"FILTRO PAPEL 103"</f>
        <v>FILTRO PAPEL 103</v>
      </c>
      <c r="C11248" s="2" t="str">
        <f t="shared" si="439"/>
        <v>UN</v>
      </c>
      <c r="D11248" s="7">
        <v>401</v>
      </c>
      <c r="E11248" s="3">
        <v>4</v>
      </c>
      <c r="F11248" s="3">
        <v>4</v>
      </c>
      <c r="G11248" t="s">
        <v>515</v>
      </c>
    </row>
    <row r="11249" spans="1:7" x14ac:dyDescent="0.25">
      <c r="A11249" s="1" t="str">
        <f>"501443"</f>
        <v>501443</v>
      </c>
      <c r="B11249" s="2" t="str">
        <f>"FILTRO PRE-BOMBA CIJ400 COD.65000047131"</f>
        <v>FILTRO PRE-BOMBA CIJ400 COD.65000047131</v>
      </c>
      <c r="C11249" s="2" t="str">
        <f>"PC"</f>
        <v>PC</v>
      </c>
      <c r="D11249" s="7">
        <v>907</v>
      </c>
      <c r="E11249" s="3">
        <v>11</v>
      </c>
      <c r="F11249" s="3">
        <v>11</v>
      </c>
      <c r="G11249" t="s">
        <v>514</v>
      </c>
    </row>
    <row r="11250" spans="1:7" x14ac:dyDescent="0.25">
      <c r="A11250" s="1" t="str">
        <f>"501442"</f>
        <v>501442</v>
      </c>
      <c r="B11250" s="2" t="str">
        <f>"FILTRO PRINC.CIJ.400/3900COD.65000047130"</f>
        <v>FILTRO PRINC.CIJ.400/3900COD.65000047130</v>
      </c>
      <c r="C11250" s="2" t="str">
        <f>"PC"</f>
        <v>PC</v>
      </c>
      <c r="D11250" s="7">
        <v>907</v>
      </c>
      <c r="E11250" s="3">
        <v>11</v>
      </c>
      <c r="F11250" s="3">
        <v>11</v>
      </c>
      <c r="G11250" t="s">
        <v>512</v>
      </c>
    </row>
    <row r="11251" spans="1:7" x14ac:dyDescent="0.25">
      <c r="A11251" s="1" t="str">
        <f>"517522"</f>
        <v>517522</v>
      </c>
      <c r="B11251" s="2" t="str">
        <f>"FILTRO REG. FESTO LFR-1/2-MIDI"</f>
        <v>FILTRO REG. FESTO LFR-1/2-MIDI</v>
      </c>
      <c r="C11251" s="2" t="str">
        <f t="shared" ref="C11251:C11271" si="440">"UN"</f>
        <v>UN</v>
      </c>
      <c r="D11251" s="7">
        <v>913</v>
      </c>
      <c r="E11251" s="3">
        <v>11</v>
      </c>
      <c r="F11251" s="3">
        <v>11</v>
      </c>
      <c r="G11251" t="s">
        <v>513</v>
      </c>
    </row>
    <row r="11252" spans="1:7" x14ac:dyDescent="0.25">
      <c r="A11252" s="1" t="str">
        <f>"508847"</f>
        <v>508847</v>
      </c>
      <c r="B11252" s="2" t="str">
        <f>"FILTRO REG. FESTO LFR-1/4-D-MINI 159631"</f>
        <v>FILTRO REG. FESTO LFR-1/4-D-MINI 159631</v>
      </c>
      <c r="C11252" s="2" t="str">
        <f t="shared" si="440"/>
        <v>UN</v>
      </c>
      <c r="D11252" s="7">
        <v>913</v>
      </c>
      <c r="E11252" s="3">
        <v>11</v>
      </c>
      <c r="F11252" s="3">
        <v>11</v>
      </c>
      <c r="G11252" t="s">
        <v>514</v>
      </c>
    </row>
    <row r="11253" spans="1:7" x14ac:dyDescent="0.25">
      <c r="A11253" s="1" t="str">
        <f>"527764"</f>
        <v>527764</v>
      </c>
      <c r="B11253" s="2" t="str">
        <f>"FILTRO REGUL.C/ MANOMETRO 1/4"</f>
        <v>FILTRO REGUL.C/ MANOMETRO 1/4</v>
      </c>
      <c r="C11253" s="2" t="str">
        <f t="shared" si="440"/>
        <v>UN</v>
      </c>
      <c r="D11253" s="7">
        <v>400</v>
      </c>
      <c r="E11253" s="3">
        <v>4</v>
      </c>
      <c r="F11253" s="3">
        <v>4</v>
      </c>
      <c r="G11253" t="s">
        <v>514</v>
      </c>
    </row>
    <row r="11254" spans="1:7" x14ac:dyDescent="0.25">
      <c r="A11254" s="1" t="str">
        <f>"523415"</f>
        <v>523415</v>
      </c>
      <c r="B11254" s="2" t="str">
        <f>"FILTRO REGULADOR BL74-401G"</f>
        <v>FILTRO REGULADOR BL74-401G</v>
      </c>
      <c r="C11254" s="2" t="str">
        <f t="shared" si="440"/>
        <v>UN</v>
      </c>
      <c r="D11254" s="7">
        <v>913</v>
      </c>
      <c r="E11254" s="3">
        <v>11</v>
      </c>
      <c r="F11254" s="3">
        <v>11</v>
      </c>
      <c r="G11254" t="s">
        <v>512</v>
      </c>
    </row>
    <row r="11255" spans="1:7" x14ac:dyDescent="0.25">
      <c r="A11255" s="1" t="str">
        <f>"520012"</f>
        <v>520012</v>
      </c>
      <c r="B11255" s="2" t="str">
        <f>"FILTRO REGULADOR LF-D-5M-MAXI-A 192562"</f>
        <v>FILTRO REGULADOR LF-D-5M-MAXI-A 192562</v>
      </c>
      <c r="C11255" s="2" t="str">
        <f t="shared" si="440"/>
        <v>UN</v>
      </c>
      <c r="D11255" s="7">
        <v>913</v>
      </c>
      <c r="E11255" s="3">
        <v>11</v>
      </c>
      <c r="F11255" s="3">
        <v>11</v>
      </c>
      <c r="G11255" t="s">
        <v>513</v>
      </c>
    </row>
    <row r="11256" spans="1:7" x14ac:dyDescent="0.25">
      <c r="A11256" s="1" t="str">
        <f>"519543"</f>
        <v>519543</v>
      </c>
      <c r="B11256" s="2" t="str">
        <f>"FILTRO REGULADOR LF-D-5M-MINI 192557"</f>
        <v>FILTRO REGULADOR LF-D-5M-MINI 192557</v>
      </c>
      <c r="C11256" s="2" t="str">
        <f t="shared" si="440"/>
        <v>UN</v>
      </c>
      <c r="D11256" s="7">
        <v>913</v>
      </c>
      <c r="E11256" s="3">
        <v>11</v>
      </c>
      <c r="F11256" s="3">
        <v>11</v>
      </c>
      <c r="G11256" t="s">
        <v>514</v>
      </c>
    </row>
    <row r="11257" spans="1:7" x14ac:dyDescent="0.25">
      <c r="A11257" s="1" t="str">
        <f>"520013"</f>
        <v>520013</v>
      </c>
      <c r="B11257" s="2" t="str">
        <f>"FILTRO REGULADOR LF-MA-D-MAXI-A B743 3/4 FESTO"</f>
        <v>FILTRO REGULADOR LF-MA-D-MAXI-A B743 3/4 FESTO</v>
      </c>
      <c r="C11257" s="2" t="str">
        <f t="shared" si="440"/>
        <v>UN</v>
      </c>
      <c r="D11257" s="7">
        <v>913</v>
      </c>
      <c r="E11257" s="3">
        <v>11</v>
      </c>
      <c r="F11257" s="3">
        <v>11</v>
      </c>
      <c r="G11257" t="s">
        <v>514</v>
      </c>
    </row>
    <row r="11258" spans="1:7" x14ac:dyDescent="0.25">
      <c r="A11258" s="1" t="str">
        <f>"519544"</f>
        <v>519544</v>
      </c>
      <c r="B11258" s="2" t="str">
        <f>"FILTRO REGULADOR LFMB-D-MINI 192569"</f>
        <v>FILTRO REGULADOR LFMB-D-MINI 192569</v>
      </c>
      <c r="C11258" s="2" t="str">
        <f t="shared" si="440"/>
        <v>UN</v>
      </c>
      <c r="D11258" s="7">
        <v>913</v>
      </c>
      <c r="E11258" s="3">
        <v>11</v>
      </c>
      <c r="F11258" s="3">
        <v>11</v>
      </c>
      <c r="G11258" t="s">
        <v>514</v>
      </c>
    </row>
    <row r="11259" spans="1:7" x14ac:dyDescent="0.25">
      <c r="A11259" s="1" t="str">
        <f>"519541"</f>
        <v>519541</v>
      </c>
      <c r="B11259" s="2" t="str">
        <f>"FILTRO REGULADOR LFR-1/2-D-MAXI-A  FESTO 186492"</f>
        <v>FILTRO REGULADOR LFR-1/2-D-MAXI-A  FESTO 186492</v>
      </c>
      <c r="C11259" s="2" t="str">
        <f t="shared" si="440"/>
        <v>UN</v>
      </c>
      <c r="D11259" s="7">
        <v>913</v>
      </c>
      <c r="E11259" s="3">
        <v>11</v>
      </c>
      <c r="F11259" s="3">
        <v>11</v>
      </c>
      <c r="G11259" t="s">
        <v>513</v>
      </c>
    </row>
    <row r="11260" spans="1:7" x14ac:dyDescent="0.25">
      <c r="A11260" s="1" t="str">
        <f>"520014"</f>
        <v>520014</v>
      </c>
      <c r="B11260" s="2" t="str">
        <f>"FILTRO REGULADOR LFR-3/4-D-MAXI-A B943 FESTO"</f>
        <v>FILTRO REGULADOR LFR-3/4-D-MAXI-A B943 FESTO</v>
      </c>
      <c r="C11260" s="2" t="str">
        <f t="shared" si="440"/>
        <v>UN</v>
      </c>
      <c r="D11260" s="7">
        <v>913</v>
      </c>
      <c r="E11260" s="3">
        <v>11</v>
      </c>
      <c r="F11260" s="3">
        <v>11</v>
      </c>
      <c r="G11260" t="s">
        <v>512</v>
      </c>
    </row>
    <row r="11261" spans="1:7" x14ac:dyDescent="0.25">
      <c r="A11261" s="1" t="str">
        <f>"526640"</f>
        <v>526640</v>
      </c>
      <c r="B11261" s="2" t="str">
        <f>"FILTRO REGULADOR MS4-LFR-1/8--D7-ERV-AS-529174"</f>
        <v>FILTRO REGULADOR MS4-LFR-1/8--D7-ERV-AS-529174</v>
      </c>
      <c r="C11261" s="2" t="str">
        <f t="shared" si="440"/>
        <v>UN</v>
      </c>
      <c r="D11261" s="7">
        <v>913</v>
      </c>
      <c r="E11261" s="3">
        <v>11</v>
      </c>
      <c r="F11261" s="3">
        <v>11</v>
      </c>
      <c r="G11261" t="s">
        <v>513</v>
      </c>
    </row>
    <row r="11262" spans="1:7" x14ac:dyDescent="0.25">
      <c r="A11262" s="1" t="str">
        <f>"523153"</f>
        <v>523153</v>
      </c>
      <c r="B11262" s="8" t="s">
        <v>359</v>
      </c>
      <c r="C11262" s="2" t="str">
        <f t="shared" si="440"/>
        <v>UN</v>
      </c>
      <c r="D11262" s="7">
        <v>901</v>
      </c>
      <c r="E11262" s="3">
        <v>10</v>
      </c>
      <c r="F11262" s="3">
        <v>10</v>
      </c>
      <c r="G11262" t="s">
        <v>514</v>
      </c>
    </row>
    <row r="11263" spans="1:7" x14ac:dyDescent="0.25">
      <c r="A11263" s="1" t="str">
        <f>"516169"</f>
        <v>516169</v>
      </c>
      <c r="B11263" s="2" t="str">
        <f>"FILTRO REGULADOR MS6-LFR-1/4-D6-CRM-AS"</f>
        <v>FILTRO REGULADOR MS6-LFR-1/4-D6-CRM-AS</v>
      </c>
      <c r="C11263" s="2" t="str">
        <f t="shared" si="440"/>
        <v>UN</v>
      </c>
      <c r="D11263" s="7">
        <v>913</v>
      </c>
      <c r="E11263" s="3">
        <v>11</v>
      </c>
      <c r="F11263" s="3">
        <v>11</v>
      </c>
      <c r="G11263" t="s">
        <v>514</v>
      </c>
    </row>
    <row r="11264" spans="1:7" x14ac:dyDescent="0.25">
      <c r="A11264" s="1" t="str">
        <f>"518182"</f>
        <v>518182</v>
      </c>
      <c r="B11264" s="2" t="str">
        <f>"FILTRO SAIDA D72X390C O'RING R50160 R50250 R50305"</f>
        <v>FILTRO SAIDA D72X390C O'RING R50160 R50250 R50305</v>
      </c>
      <c r="C11264" s="2" t="str">
        <f t="shared" si="440"/>
        <v>UN</v>
      </c>
      <c r="D11264" s="7">
        <v>918</v>
      </c>
      <c r="E11264" s="3">
        <v>11</v>
      </c>
      <c r="F11264" s="3">
        <v>11</v>
      </c>
      <c r="G11264" t="s">
        <v>514</v>
      </c>
    </row>
    <row r="11265" spans="1:7" x14ac:dyDescent="0.25">
      <c r="A11265" s="1" t="str">
        <f>"514023"</f>
        <v>514023</v>
      </c>
      <c r="B11265" s="2" t="str">
        <f>"FILTRO SECADOR"</f>
        <v>FILTRO SECADOR</v>
      </c>
      <c r="C11265" s="2" t="str">
        <f t="shared" si="440"/>
        <v>UN</v>
      </c>
      <c r="D11265" s="7">
        <v>704</v>
      </c>
      <c r="E11265" s="3">
        <v>9</v>
      </c>
      <c r="F11265" s="3">
        <v>9</v>
      </c>
      <c r="G11265" t="s">
        <v>513</v>
      </c>
    </row>
    <row r="11266" spans="1:7" x14ac:dyDescent="0.25">
      <c r="A11266" s="1" t="str">
        <f>"517645"</f>
        <v>517645</v>
      </c>
      <c r="B11266" s="2" t="str">
        <f>"FILTRO SECADOR 1/2 DANFOSS"</f>
        <v>FILTRO SECADOR 1/2 DANFOSS</v>
      </c>
      <c r="C11266" s="2" t="str">
        <f t="shared" si="440"/>
        <v>UN</v>
      </c>
      <c r="D11266" s="7">
        <v>916</v>
      </c>
      <c r="E11266" s="3">
        <v>11</v>
      </c>
      <c r="F11266" s="3">
        <v>11</v>
      </c>
      <c r="G11266" t="s">
        <v>513</v>
      </c>
    </row>
    <row r="11267" spans="1:7" x14ac:dyDescent="0.25">
      <c r="A11267" s="1" t="str">
        <f>"517644"</f>
        <v>517644</v>
      </c>
      <c r="B11267" s="2" t="str">
        <f>"FILTRO SECADOR 3/8 DANFOSS"</f>
        <v>FILTRO SECADOR 3/8 DANFOSS</v>
      </c>
      <c r="C11267" s="2" t="str">
        <f t="shared" si="440"/>
        <v>UN</v>
      </c>
      <c r="D11267" s="7">
        <v>916</v>
      </c>
      <c r="E11267" s="3">
        <v>11</v>
      </c>
      <c r="F11267" s="3">
        <v>11</v>
      </c>
      <c r="G11267" t="s">
        <v>513</v>
      </c>
    </row>
    <row r="11268" spans="1:7" x14ac:dyDescent="0.25">
      <c r="A11268" s="1" t="str">
        <f>"517216"</f>
        <v>517216</v>
      </c>
      <c r="B11268" s="2" t="str">
        <f>"FILTRO SECADOR ATLAS COPCO 1624104203 DDX/DDXP325"</f>
        <v>FILTRO SECADOR ATLAS COPCO 1624104203 DDX/DDXP325</v>
      </c>
      <c r="C11268" s="2" t="str">
        <f t="shared" si="440"/>
        <v>UN</v>
      </c>
      <c r="D11268" s="7">
        <v>820</v>
      </c>
      <c r="E11268" s="3">
        <v>11</v>
      </c>
      <c r="F11268" s="3">
        <v>11</v>
      </c>
      <c r="G11268" t="s">
        <v>512</v>
      </c>
    </row>
    <row r="11269" spans="1:7" x14ac:dyDescent="0.25">
      <c r="A11269" s="1" t="str">
        <f>"518039"</f>
        <v>518039</v>
      </c>
      <c r="B11269" s="2" t="str">
        <f>"FILTRO SECADOR C/ MOLECULAR 3/4'' C/ PONTEIRA  90MM"</f>
        <v>FILTRO SECADOR C/ MOLECULAR 3/4'' C/ PONTEIRA  90MM</v>
      </c>
      <c r="C11269" s="2" t="str">
        <f t="shared" si="440"/>
        <v>UN</v>
      </c>
      <c r="D11269" s="7">
        <v>811</v>
      </c>
      <c r="E11269" s="3">
        <v>8</v>
      </c>
      <c r="F11269" s="3">
        <v>8</v>
      </c>
      <c r="G11269" t="s">
        <v>513</v>
      </c>
    </row>
    <row r="11270" spans="1:7" x14ac:dyDescent="0.25">
      <c r="A11270" s="1" t="str">
        <f>"520125"</f>
        <v>520125</v>
      </c>
      <c r="B11270" s="2" t="str">
        <f>"FILTRO SECADOR DE AR 432 410 020 2"</f>
        <v>FILTRO SECADOR DE AR 432 410 020 2</v>
      </c>
      <c r="C11270" s="2" t="str">
        <f t="shared" si="440"/>
        <v>UN</v>
      </c>
      <c r="D11270" s="7">
        <v>704</v>
      </c>
      <c r="E11270" s="3">
        <v>9</v>
      </c>
      <c r="F11270" s="3">
        <v>9</v>
      </c>
      <c r="G11270" t="s">
        <v>514</v>
      </c>
    </row>
    <row r="11271" spans="1:7" x14ac:dyDescent="0.25">
      <c r="A11271" s="1" t="str">
        <f>"525103"</f>
        <v>525103</v>
      </c>
      <c r="B11271" s="2" t="str">
        <f>"FILTRO SECADOR GA132 ATLAS COPCO 1617424400-J"</f>
        <v>FILTRO SECADOR GA132 ATLAS COPCO 1617424400-J</v>
      </c>
      <c r="C11271" s="2" t="str">
        <f t="shared" si="440"/>
        <v>UN</v>
      </c>
      <c r="D11271" s="7">
        <v>901</v>
      </c>
      <c r="E11271" s="3">
        <v>11</v>
      </c>
      <c r="F11271" s="3">
        <v>11</v>
      </c>
      <c r="G11271" t="s">
        <v>515</v>
      </c>
    </row>
    <row r="11272" spans="1:7" x14ac:dyDescent="0.25">
      <c r="A11272" s="1" t="str">
        <f>"508066"</f>
        <v>508066</v>
      </c>
      <c r="B11272" s="2" t="str">
        <f>"FILTRO SEP OLEO CHIC. 2200-6411-41 CPB30"</f>
        <v>FILTRO SEP OLEO CHIC. 2200-6411-41 CPB30</v>
      </c>
      <c r="C11272" s="2" t="str">
        <f>"PC"</f>
        <v>PC</v>
      </c>
      <c r="D11272" s="7">
        <v>902</v>
      </c>
      <c r="E11272" s="3">
        <v>11</v>
      </c>
      <c r="F11272" s="3">
        <v>11</v>
      </c>
      <c r="G11272" t="s">
        <v>512</v>
      </c>
    </row>
    <row r="11273" spans="1:7" x14ac:dyDescent="0.25">
      <c r="A11273" s="1" t="str">
        <f>"514161"</f>
        <v>514161</v>
      </c>
      <c r="B11273" s="2" t="str">
        <f>"FILTRO SEPARADOR AGUA"</f>
        <v>FILTRO SEPARADOR AGUA</v>
      </c>
      <c r="C11273" s="2" t="str">
        <f>"UN"</f>
        <v>UN</v>
      </c>
      <c r="D11273" s="7">
        <v>701</v>
      </c>
      <c r="E11273" s="3">
        <v>9</v>
      </c>
      <c r="F11273" s="3">
        <v>9</v>
      </c>
      <c r="G11273" t="s">
        <v>516</v>
      </c>
    </row>
    <row r="11274" spans="1:7" x14ac:dyDescent="0.25">
      <c r="A11274" s="1" t="str">
        <f>"520128"</f>
        <v>520128</v>
      </c>
      <c r="B11274" s="2" t="str">
        <f>"FILTRO SEPARADOR AGUA 8159975 VOLVO"</f>
        <v>FILTRO SEPARADOR AGUA 8159975 VOLVO</v>
      </c>
      <c r="C11274" s="2" t="str">
        <f>"UN"</f>
        <v>UN</v>
      </c>
      <c r="D11274" s="7">
        <v>704</v>
      </c>
      <c r="E11274" s="3">
        <v>9</v>
      </c>
      <c r="F11274" s="3">
        <v>9</v>
      </c>
      <c r="G11274" t="s">
        <v>515</v>
      </c>
    </row>
    <row r="11275" spans="1:7" x14ac:dyDescent="0.25">
      <c r="A11275" s="1" t="str">
        <f>"520117"</f>
        <v>520117</v>
      </c>
      <c r="B11275" s="2" t="str">
        <f>"FILTRO SEPARADOR AGUA EMI3000 11-9342 THERMO KING"</f>
        <v>FILTRO SEPARADOR AGUA EMI3000 11-9342 THERMO KING</v>
      </c>
      <c r="C11275" s="2" t="str">
        <f>"UN"</f>
        <v>UN</v>
      </c>
      <c r="D11275" s="7">
        <v>704</v>
      </c>
      <c r="E11275" s="3">
        <v>9</v>
      </c>
      <c r="F11275" s="3">
        <v>9</v>
      </c>
      <c r="G11275" t="s">
        <v>514</v>
      </c>
    </row>
    <row r="11276" spans="1:7" x14ac:dyDescent="0.25">
      <c r="A11276" s="1" t="str">
        <f>"520133"</f>
        <v>520133</v>
      </c>
      <c r="B11276" s="2" t="str">
        <f>"FILTRO SEPARADOR AGUA FBS960/1 VOX"</f>
        <v>FILTRO SEPARADOR AGUA FBS960/1 VOX</v>
      </c>
      <c r="C11276" s="2" t="str">
        <f>"UN"</f>
        <v>UN</v>
      </c>
      <c r="D11276" s="7">
        <v>704</v>
      </c>
      <c r="E11276" s="3">
        <v>9</v>
      </c>
      <c r="F11276" s="3">
        <v>9</v>
      </c>
      <c r="G11276" t="s">
        <v>512</v>
      </c>
    </row>
    <row r="11277" spans="1:7" x14ac:dyDescent="0.25">
      <c r="A11277" s="1" t="str">
        <f>"506317"</f>
        <v>506317</v>
      </c>
      <c r="B11277" s="2" t="str">
        <f>"FILTRO SEPARADOR COD. 54595442 INGERSOL"</f>
        <v>FILTRO SEPARADOR COD. 54595442 INGERSOL</v>
      </c>
      <c r="C11277" s="2" t="str">
        <f>"PC"</f>
        <v>PC</v>
      </c>
      <c r="D11277" s="7">
        <v>902</v>
      </c>
      <c r="E11277" s="3">
        <v>11</v>
      </c>
      <c r="F11277" s="3">
        <v>11</v>
      </c>
      <c r="G11277" t="s">
        <v>513</v>
      </c>
    </row>
    <row r="11278" spans="1:7" x14ac:dyDescent="0.25">
      <c r="A11278" s="1" t="str">
        <f>"524081"</f>
        <v>524081</v>
      </c>
      <c r="B11278" s="2" t="str">
        <f>"FILTRO SERINGA NYLON PRÉ LIMPO 25MM X 0,45uM ANALITICA"</f>
        <v>FILTRO SERINGA NYLON PRÉ LIMPO 25MM X 0,45uM ANALITICA</v>
      </c>
      <c r="C11278" s="2" t="str">
        <f t="shared" ref="C11278:C11284" si="441">"UN"</f>
        <v>UN</v>
      </c>
      <c r="D11278" s="7">
        <v>406</v>
      </c>
      <c r="E11278" s="3">
        <v>4</v>
      </c>
      <c r="F11278" s="3">
        <v>4</v>
      </c>
      <c r="G11278" t="s">
        <v>514</v>
      </c>
    </row>
    <row r="11279" spans="1:7" x14ac:dyDescent="0.25">
      <c r="A11279" s="1" t="str">
        <f>"501444"</f>
        <v>501444</v>
      </c>
      <c r="B11279" s="2" t="str">
        <f>"FILTRO SOLVENTE VIDEO - JET 43-S"</f>
        <v>FILTRO SOLVENTE VIDEO - JET 43-S</v>
      </c>
      <c r="C11279" s="2" t="str">
        <f t="shared" si="441"/>
        <v>UN</v>
      </c>
      <c r="D11279" s="7">
        <v>918</v>
      </c>
      <c r="E11279" s="3">
        <v>11</v>
      </c>
      <c r="F11279" s="3">
        <v>11</v>
      </c>
      <c r="G11279" t="s">
        <v>514</v>
      </c>
    </row>
    <row r="11280" spans="1:7" x14ac:dyDescent="0.25">
      <c r="A11280" s="1" t="str">
        <f>"519545"</f>
        <v>519545</v>
      </c>
      <c r="B11280" s="2" t="str">
        <f>"FILTRO SUBMICRO LFMA-D-MINI 192563"</f>
        <v>FILTRO SUBMICRO LFMA-D-MINI 192563</v>
      </c>
      <c r="C11280" s="2" t="str">
        <f t="shared" si="441"/>
        <v>UN</v>
      </c>
      <c r="D11280" s="7">
        <v>913</v>
      </c>
      <c r="E11280" s="3">
        <v>11</v>
      </c>
      <c r="F11280" s="3">
        <v>11</v>
      </c>
      <c r="G11280" t="s">
        <v>512</v>
      </c>
    </row>
    <row r="11281" spans="1:7" x14ac:dyDescent="0.25">
      <c r="A11281" s="1" t="str">
        <f>"519272"</f>
        <v>519272</v>
      </c>
      <c r="B11281" s="2" t="str">
        <f>"FILTRO SUCÇÃO 6/8/65"</f>
        <v>FILTRO SUCÇÃO 6/8/65</v>
      </c>
      <c r="C11281" s="2" t="str">
        <f t="shared" si="441"/>
        <v>UN</v>
      </c>
      <c r="D11281" s="7">
        <v>918</v>
      </c>
      <c r="E11281" s="3">
        <v>11</v>
      </c>
      <c r="F11281" s="3">
        <v>11</v>
      </c>
      <c r="G11281" t="s">
        <v>513</v>
      </c>
    </row>
    <row r="11282" spans="1:7" x14ac:dyDescent="0.25">
      <c r="A11282" s="1" t="str">
        <f>"521095"</f>
        <v>521095</v>
      </c>
      <c r="B11282" s="2" t="str">
        <f>"FILTRO TIPO Y 1 1/2"", PASS. RETA, A. C. LAMINADO A-106 GR. B"</f>
        <v>FILTRO TIPO Y 1 1/2", PASS. RETA, A. C. LAMINADO A-106 GR. B</v>
      </c>
      <c r="C11282" s="2" t="str">
        <f t="shared" si="441"/>
        <v>UN</v>
      </c>
      <c r="D11282" s="7">
        <v>912</v>
      </c>
      <c r="E11282" s="3">
        <v>10</v>
      </c>
      <c r="F11282" s="3">
        <v>10</v>
      </c>
      <c r="G11282" t="s">
        <v>514</v>
      </c>
    </row>
    <row r="11283" spans="1:7" x14ac:dyDescent="0.25">
      <c r="A11283" s="1" t="str">
        <f>"519051"</f>
        <v>519051</v>
      </c>
      <c r="B11283" s="2" t="str">
        <f>"FILTRO TRANSMISSÃO TOYOTA 8FGU25"</f>
        <v>FILTRO TRANSMISSÃO TOYOTA 8FGU25</v>
      </c>
      <c r="C11283" s="2" t="str">
        <f t="shared" si="441"/>
        <v>UN</v>
      </c>
      <c r="D11283" s="7">
        <v>918</v>
      </c>
      <c r="E11283" s="3">
        <v>11</v>
      </c>
      <c r="F11283" s="3">
        <v>11</v>
      </c>
      <c r="G11283" t="s">
        <v>514</v>
      </c>
    </row>
    <row r="11284" spans="1:7" x14ac:dyDescent="0.25">
      <c r="A11284" s="1" t="str">
        <f>"523048"</f>
        <v>523048</v>
      </c>
      <c r="B11284" s="2" t="str">
        <f>"FILTRO TUBULAR RETO F600 SMS 304 NP 1"" HINOXLINE"</f>
        <v>FILTRO TUBULAR RETO F600 SMS 304 NP 1" HINOXLINE</v>
      </c>
      <c r="C11284" s="2" t="str">
        <f t="shared" si="441"/>
        <v>UN</v>
      </c>
      <c r="D11284" s="7">
        <v>807</v>
      </c>
      <c r="E11284" s="3">
        <v>10</v>
      </c>
      <c r="F11284" s="3">
        <v>10</v>
      </c>
      <c r="G11284" t="s">
        <v>514</v>
      </c>
    </row>
    <row r="11285" spans="1:7" x14ac:dyDescent="0.25">
      <c r="A11285" s="1" t="str">
        <f>"507764"</f>
        <v>507764</v>
      </c>
      <c r="B11285" s="2" t="str">
        <f>"FILTRO VECO 1000X600X600 MANIPLEAT TRAP."</f>
        <v>FILTRO VECO 1000X600X600 MANIPLEAT TRAP.</v>
      </c>
      <c r="C11285" s="2" t="str">
        <f>"PC"</f>
        <v>PC</v>
      </c>
      <c r="D11285" s="7">
        <v>902</v>
      </c>
      <c r="E11285" s="3">
        <v>11</v>
      </c>
      <c r="F11285" s="3">
        <v>11</v>
      </c>
      <c r="G11285" t="s">
        <v>513</v>
      </c>
    </row>
    <row r="11286" spans="1:7" x14ac:dyDescent="0.25">
      <c r="A11286" s="1" t="str">
        <f>"504107"</f>
        <v>504107</v>
      </c>
      <c r="B11286" s="2" t="str">
        <f>"FILTRO VECO 1000X600X60MM ABSOLUTO HEPA3"</f>
        <v>FILTRO VECO 1000X600X60MM ABSOLUTO HEPA3</v>
      </c>
      <c r="C11286" s="2" t="str">
        <f>"PC"</f>
        <v>PC</v>
      </c>
      <c r="D11286" s="7">
        <v>902</v>
      </c>
      <c r="E11286" s="3">
        <v>11</v>
      </c>
      <c r="F11286" s="3">
        <v>11</v>
      </c>
      <c r="G11286" t="s">
        <v>512</v>
      </c>
    </row>
    <row r="11287" spans="1:7" x14ac:dyDescent="0.25">
      <c r="A11287" s="1" t="str">
        <f>"504012"</f>
        <v>504012</v>
      </c>
      <c r="B11287" s="2" t="str">
        <f>"FILTRO VECO 305X305X78 ABSOLUTO"</f>
        <v>FILTRO VECO 305X305X78 ABSOLUTO</v>
      </c>
      <c r="C11287" s="2" t="str">
        <f>"PC"</f>
        <v>PC</v>
      </c>
      <c r="D11287" s="7">
        <v>902</v>
      </c>
      <c r="E11287" s="3">
        <v>11</v>
      </c>
      <c r="F11287" s="3">
        <v>11</v>
      </c>
      <c r="G11287" t="s">
        <v>513</v>
      </c>
    </row>
    <row r="11288" spans="1:7" x14ac:dyDescent="0.25">
      <c r="A11288" s="1" t="str">
        <f>"502662"</f>
        <v>502662</v>
      </c>
      <c r="B11288" s="2" t="str">
        <f>"FILTRO VECO 593X593X600MM CAPELA F8E779"</f>
        <v>FILTRO VECO 593X593X600MM CAPELA F8E779</v>
      </c>
      <c r="C11288" s="2" t="str">
        <f>"PC"</f>
        <v>PC</v>
      </c>
      <c r="D11288" s="7">
        <v>902</v>
      </c>
      <c r="E11288" s="3">
        <v>11</v>
      </c>
      <c r="F11288" s="3">
        <v>11</v>
      </c>
      <c r="G11288" t="s">
        <v>514</v>
      </c>
    </row>
    <row r="11289" spans="1:7" x14ac:dyDescent="0.25">
      <c r="A11289" s="1" t="str">
        <f>"502659"</f>
        <v>502659</v>
      </c>
      <c r="B11289" s="2" t="str">
        <f>"FILTRO VECO 595X390X45MM"</f>
        <v>FILTRO VECO 595X390X45MM</v>
      </c>
      <c r="C11289" s="2" t="str">
        <f>"UN"</f>
        <v>UN</v>
      </c>
      <c r="D11289" s="7">
        <v>902</v>
      </c>
      <c r="E11289" s="3">
        <v>11</v>
      </c>
      <c r="F11289" s="3">
        <v>11</v>
      </c>
      <c r="G11289" t="s">
        <v>514</v>
      </c>
    </row>
    <row r="11290" spans="1:7" x14ac:dyDescent="0.25">
      <c r="A11290" s="1" t="str">
        <f>"501057"</f>
        <v>501057</v>
      </c>
      <c r="B11290" s="2" t="str">
        <f>"FILTRO VECO 595X595X F9EN-779 BOLSA"</f>
        <v>FILTRO VECO 595X595X F9EN-779 BOLSA</v>
      </c>
      <c r="C11290" s="2" t="str">
        <f>"UN"</f>
        <v>UN</v>
      </c>
      <c r="D11290" s="7">
        <v>902</v>
      </c>
      <c r="E11290" s="3">
        <v>11</v>
      </c>
      <c r="F11290" s="3">
        <v>11</v>
      </c>
      <c r="G11290" t="s">
        <v>514</v>
      </c>
    </row>
    <row r="11291" spans="1:7" x14ac:dyDescent="0.25">
      <c r="A11291" s="1" t="str">
        <f>"502660"</f>
        <v>502660</v>
      </c>
      <c r="B11291" s="2" t="str">
        <f>"FILTRO VECO 595X595X45MM EXAUSTOR DE AR"</f>
        <v>FILTRO VECO 595X595X45MM EXAUSTOR DE AR</v>
      </c>
      <c r="C11291" s="2" t="str">
        <f>"PC"</f>
        <v>PC</v>
      </c>
      <c r="D11291" s="7">
        <v>902</v>
      </c>
      <c r="E11291" s="3">
        <v>11</v>
      </c>
      <c r="F11291" s="3">
        <v>11</v>
      </c>
      <c r="G11291" t="s">
        <v>513</v>
      </c>
    </row>
    <row r="11292" spans="1:7" x14ac:dyDescent="0.25">
      <c r="A11292" s="1" t="str">
        <f>"503854"</f>
        <v>503854</v>
      </c>
      <c r="B11292" s="2" t="str">
        <f>"FILTRO VECO 610X1220X78 HEPA 5FAX6123"</f>
        <v>FILTRO VECO 610X1220X78 HEPA 5FAX6123</v>
      </c>
      <c r="C11292" s="2" t="str">
        <f>"PC"</f>
        <v>PC</v>
      </c>
      <c r="D11292" s="7">
        <v>902</v>
      </c>
      <c r="E11292" s="3">
        <v>11</v>
      </c>
      <c r="F11292" s="3">
        <v>11</v>
      </c>
      <c r="G11292" t="s">
        <v>513</v>
      </c>
    </row>
    <row r="11293" spans="1:7" x14ac:dyDescent="0.25">
      <c r="A11293" s="1" t="str">
        <f>"510623"</f>
        <v>510623</v>
      </c>
      <c r="B11293" s="2" t="str">
        <f>"FILTRO VECO P64-6123 H3"</f>
        <v>FILTRO VECO P64-6123 H3</v>
      </c>
      <c r="C11293" s="2" t="str">
        <f>"PC"</f>
        <v>PC</v>
      </c>
      <c r="D11293" s="7">
        <v>902</v>
      </c>
      <c r="E11293" s="3">
        <v>11</v>
      </c>
      <c r="F11293" s="3">
        <v>11</v>
      </c>
      <c r="G11293" t="s">
        <v>513</v>
      </c>
    </row>
    <row r="11294" spans="1:7" x14ac:dyDescent="0.25">
      <c r="A11294" s="1" t="str">
        <f>"500073"</f>
        <v>500073</v>
      </c>
      <c r="B11294" s="2" t="str">
        <f>"FILTRO VOLVO VM-260 AR"</f>
        <v>FILTRO VOLVO VM-260 AR</v>
      </c>
      <c r="C11294" s="2" t="str">
        <f>"PC"</f>
        <v>PC</v>
      </c>
      <c r="D11294" s="7">
        <v>704</v>
      </c>
      <c r="E11294" s="3">
        <v>9</v>
      </c>
      <c r="F11294" s="3">
        <v>9</v>
      </c>
      <c r="G11294" t="s">
        <v>512</v>
      </c>
    </row>
    <row r="11295" spans="1:7" x14ac:dyDescent="0.25">
      <c r="A11295" s="1" t="str">
        <f>"510386"</f>
        <v>510386</v>
      </c>
      <c r="B11295" s="2" t="str">
        <f>"FILTRO VOLVO VM-260 AR"</f>
        <v>FILTRO VOLVO VM-260 AR</v>
      </c>
      <c r="C11295" s="2" t="str">
        <f>"UN"</f>
        <v>UN</v>
      </c>
      <c r="D11295" s="7">
        <v>701</v>
      </c>
      <c r="E11295" s="3">
        <v>9</v>
      </c>
      <c r="F11295" s="3">
        <v>9</v>
      </c>
      <c r="G11295" t="s">
        <v>513</v>
      </c>
    </row>
    <row r="11296" spans="1:7" x14ac:dyDescent="0.25">
      <c r="A11296" s="1" t="str">
        <f>"500070"</f>
        <v>500070</v>
      </c>
      <c r="B11296" s="2" t="str">
        <f>"FILTRO VOLVO VM-260 OLEO DIESEL"</f>
        <v>FILTRO VOLVO VM-260 OLEO DIESEL</v>
      </c>
      <c r="C11296" s="2" t="str">
        <f>"PC"</f>
        <v>PC</v>
      </c>
      <c r="D11296" s="7">
        <v>704</v>
      </c>
      <c r="E11296" s="3">
        <v>9</v>
      </c>
      <c r="F11296" s="3">
        <v>9</v>
      </c>
      <c r="G11296" t="s">
        <v>514</v>
      </c>
    </row>
    <row r="11297" spans="1:7" x14ac:dyDescent="0.25">
      <c r="A11297" s="1" t="str">
        <f>"510383"</f>
        <v>510383</v>
      </c>
      <c r="B11297" s="2" t="str">
        <f>"FILTRO VOLVO VM-260 OLEO DIESEL"</f>
        <v>FILTRO VOLVO VM-260 OLEO DIESEL</v>
      </c>
      <c r="C11297" s="2" t="str">
        <f>"UN"</f>
        <v>UN</v>
      </c>
      <c r="D11297" s="7">
        <v>701</v>
      </c>
      <c r="E11297" s="3">
        <v>9</v>
      </c>
      <c r="F11297" s="3">
        <v>9</v>
      </c>
      <c r="G11297" t="s">
        <v>515</v>
      </c>
    </row>
    <row r="11298" spans="1:7" x14ac:dyDescent="0.25">
      <c r="A11298" s="1" t="str">
        <f>"510384"</f>
        <v>510384</v>
      </c>
      <c r="B11298" s="2" t="str">
        <f>"FILTRO VOLVO VM-260 OLEO LUBRIFICANTE"</f>
        <v>FILTRO VOLVO VM-260 OLEO LUBRIFICANTE</v>
      </c>
      <c r="C11298" s="2" t="str">
        <f>"UN"</f>
        <v>UN</v>
      </c>
      <c r="D11298" s="7">
        <v>701</v>
      </c>
      <c r="E11298" s="3">
        <v>9</v>
      </c>
      <c r="F11298" s="3">
        <v>9</v>
      </c>
      <c r="G11298" t="s">
        <v>512</v>
      </c>
    </row>
    <row r="11299" spans="1:7" x14ac:dyDescent="0.25">
      <c r="A11299" s="1" t="str">
        <f>"510385"</f>
        <v>510385</v>
      </c>
      <c r="B11299" s="2" t="str">
        <f>"FILTRO VOLVO VM-260 SEPARADOR AGUA"</f>
        <v>FILTRO VOLVO VM-260 SEPARADOR AGUA</v>
      </c>
      <c r="C11299" s="2" t="str">
        <f>"UN"</f>
        <v>UN</v>
      </c>
      <c r="D11299" s="7">
        <v>701</v>
      </c>
      <c r="E11299" s="3">
        <v>9</v>
      </c>
      <c r="F11299" s="3">
        <v>9</v>
      </c>
      <c r="G11299" t="s">
        <v>516</v>
      </c>
    </row>
    <row r="11300" spans="1:7" x14ac:dyDescent="0.25">
      <c r="A11300" s="1" t="str">
        <f>"517805"</f>
        <v>517805</v>
      </c>
      <c r="B11300" s="2" t="str">
        <f>"FILTRO Y SPIRAX SARCO FIG33 CORPO E TAMPA"</f>
        <v>FILTRO Y SPIRAX SARCO FIG33 CORPO E TAMPA</v>
      </c>
      <c r="C11300" s="2" t="str">
        <f>"PC"</f>
        <v>PC</v>
      </c>
      <c r="D11300" s="7">
        <v>908</v>
      </c>
      <c r="E11300" s="3">
        <v>10</v>
      </c>
      <c r="F11300" s="3">
        <v>10</v>
      </c>
      <c r="G11300" t="s">
        <v>515</v>
      </c>
    </row>
    <row r="11301" spans="1:7" x14ac:dyDescent="0.25">
      <c r="A11301" s="1" t="str">
        <f>"520299"</f>
        <v>520299</v>
      </c>
      <c r="B11301" s="2" t="str">
        <f>"FILTRO ZCH S-CW DOMINICK HUNTER (CHICAGO PNEUM.)"</f>
        <v>FILTRO ZCH S-CW DOMINICK HUNTER (CHICAGO PNEUM.)</v>
      </c>
      <c r="C11301" s="2" t="str">
        <f>"PC"</f>
        <v>PC</v>
      </c>
      <c r="D11301" s="7">
        <v>902</v>
      </c>
      <c r="E11301" s="3">
        <v>11</v>
      </c>
      <c r="F11301" s="3">
        <v>11</v>
      </c>
      <c r="G11301" t="s">
        <v>514</v>
      </c>
    </row>
    <row r="11302" spans="1:7" x14ac:dyDescent="0.25">
      <c r="A11302" s="1" t="str">
        <f>"518986"</f>
        <v>518986</v>
      </c>
      <c r="B11302" s="2" t="str">
        <f>"FIM DE CURSO TELEMECANIQUE OSISWITCH IEC/EN 60947-5-1 ZCMD21"</f>
        <v>FIM DE CURSO TELEMECANIQUE OSISWITCH IEC/EN 60947-5-1 ZCMD21</v>
      </c>
      <c r="C11302" s="2" t="str">
        <f>"PC"</f>
        <v>PC</v>
      </c>
      <c r="D11302" s="7">
        <v>908</v>
      </c>
      <c r="E11302" s="3">
        <v>11</v>
      </c>
      <c r="F11302" s="3">
        <v>11</v>
      </c>
      <c r="G11302" t="s">
        <v>512</v>
      </c>
    </row>
    <row r="11303" spans="1:7" x14ac:dyDescent="0.25">
      <c r="A11303" s="1" t="str">
        <f>"505297"</f>
        <v>505297</v>
      </c>
      <c r="B11303" s="2" t="str">
        <f>"FIM DE CURSO XCK P128"</f>
        <v>FIM DE CURSO XCK P128</v>
      </c>
      <c r="C11303" s="2" t="str">
        <f>"UN"</f>
        <v>UN</v>
      </c>
      <c r="D11303" s="7">
        <v>900</v>
      </c>
      <c r="E11303" s="3">
        <v>11</v>
      </c>
      <c r="F11303" s="3">
        <v>11</v>
      </c>
      <c r="G11303" t="s">
        <v>513</v>
      </c>
    </row>
    <row r="11304" spans="1:7" x14ac:dyDescent="0.25">
      <c r="A11304" s="1" t="str">
        <f>"517672"</f>
        <v>517672</v>
      </c>
      <c r="B11304" s="2" t="str">
        <f>"FIM DE OBRA 1 LITRO"</f>
        <v>FIM DE OBRA 1 LITRO</v>
      </c>
      <c r="C11304" s="2" t="str">
        <f>"UN"</f>
        <v>UN</v>
      </c>
      <c r="D11304" s="7">
        <v>400</v>
      </c>
      <c r="E11304" s="3">
        <v>4</v>
      </c>
      <c r="F11304" s="3">
        <v>4</v>
      </c>
      <c r="G11304" t="s">
        <v>514</v>
      </c>
    </row>
    <row r="11305" spans="1:7" x14ac:dyDescent="0.25">
      <c r="A11305" s="1" t="str">
        <f>"821"</f>
        <v>821</v>
      </c>
      <c r="B11305" s="2" t="str">
        <f>"FIME TERMO ENCOLHIDO DE PVC 0,040 X 860 X 4500"</f>
        <v>FIME TERMO ENCOLHIDO DE PVC 0,040 X 860 X 4500</v>
      </c>
      <c r="C11305" s="2" t="str">
        <f>"KG"</f>
        <v>KG</v>
      </c>
      <c r="D11305" s="7">
        <v>300</v>
      </c>
      <c r="E11305" s="3">
        <v>1</v>
      </c>
      <c r="F11305" s="3">
        <v>1</v>
      </c>
      <c r="G11305" t="s">
        <v>514</v>
      </c>
    </row>
    <row r="11306" spans="1:7" x14ac:dyDescent="0.25">
      <c r="A11306" s="1" t="str">
        <f>"518366"</f>
        <v>518366</v>
      </c>
      <c r="B11306" s="2" t="str">
        <f>"FINAME"</f>
        <v>FINAME</v>
      </c>
      <c r="C11306" s="2" t="str">
        <f>"UN"</f>
        <v>UN</v>
      </c>
      <c r="D11306" s="7">
        <v>99999</v>
      </c>
      <c r="E11306" s="3">
        <v>99</v>
      </c>
      <c r="F11306" s="3">
        <v>99</v>
      </c>
      <c r="G11306" t="s">
        <v>512</v>
      </c>
    </row>
    <row r="11307" spans="1:7" x14ac:dyDescent="0.25">
      <c r="A11307" s="1" t="str">
        <f>"521674"</f>
        <v>521674</v>
      </c>
      <c r="B11307" s="2" t="str">
        <f>"FIO"</f>
        <v>FIO</v>
      </c>
      <c r="C11307" s="2" t="str">
        <f>"UN"</f>
        <v>UN</v>
      </c>
      <c r="D11307" s="7">
        <v>99999</v>
      </c>
      <c r="E11307" s="3">
        <v>99</v>
      </c>
      <c r="F11307" s="3">
        <v>99</v>
      </c>
      <c r="G11307" t="s">
        <v>513</v>
      </c>
    </row>
    <row r="11308" spans="1:7" x14ac:dyDescent="0.25">
      <c r="A11308" s="1" t="str">
        <f>"500382"</f>
        <v>500382</v>
      </c>
      <c r="B11308" s="2" t="str">
        <f>"FIO 2,5MM PRETO"</f>
        <v>FIO 2,5MM PRETO</v>
      </c>
      <c r="C11308" s="2" t="str">
        <f>"MT"</f>
        <v>MT</v>
      </c>
      <c r="D11308" s="7">
        <v>602</v>
      </c>
      <c r="E11308" s="3">
        <v>8</v>
      </c>
      <c r="F11308" s="3">
        <v>8</v>
      </c>
      <c r="G11308" t="s">
        <v>514</v>
      </c>
    </row>
    <row r="11309" spans="1:7" x14ac:dyDescent="0.25">
      <c r="A11309" s="1" t="str">
        <f>"506138"</f>
        <v>506138</v>
      </c>
      <c r="B11309" s="2" t="str">
        <f>"FIO APARADOR GRAMA 3MM"</f>
        <v>FIO APARADOR GRAMA 3MM</v>
      </c>
      <c r="C11309" s="2" t="str">
        <f>"UN"</f>
        <v>UN</v>
      </c>
      <c r="D11309" s="7">
        <v>402</v>
      </c>
      <c r="E11309" s="3">
        <v>4</v>
      </c>
      <c r="F11309" s="3">
        <v>4</v>
      </c>
      <c r="G11309" t="s">
        <v>514</v>
      </c>
    </row>
    <row r="11310" spans="1:7" x14ac:dyDescent="0.25">
      <c r="A11310" s="1" t="str">
        <f>"514136"</f>
        <v>514136</v>
      </c>
      <c r="B11310" s="2" t="str">
        <f>"FIO CABINHO"</f>
        <v>FIO CABINHO</v>
      </c>
      <c r="C11310" s="2" t="str">
        <f>"UN"</f>
        <v>UN</v>
      </c>
      <c r="D11310" s="7">
        <v>704</v>
      </c>
      <c r="E11310" s="3">
        <v>9</v>
      </c>
      <c r="F11310" s="3">
        <v>9</v>
      </c>
      <c r="G11310" t="s">
        <v>514</v>
      </c>
    </row>
    <row r="11311" spans="1:7" x14ac:dyDescent="0.25">
      <c r="A11311" s="1" t="str">
        <f>"505244"</f>
        <v>505244</v>
      </c>
      <c r="B11311" s="2" t="str">
        <f>"FIO CRISTAL"</f>
        <v>FIO CRISTAL</v>
      </c>
      <c r="C11311" s="2" t="str">
        <f>"UN"</f>
        <v>UN</v>
      </c>
      <c r="D11311" s="7">
        <v>704</v>
      </c>
      <c r="E11311" s="3">
        <v>9</v>
      </c>
      <c r="F11311" s="3">
        <v>9</v>
      </c>
      <c r="G11311" t="s">
        <v>513</v>
      </c>
    </row>
    <row r="11312" spans="1:7" x14ac:dyDescent="0.25">
      <c r="A11312" s="1" t="str">
        <f>"500003"</f>
        <v>500003</v>
      </c>
      <c r="B11312" s="2" t="str">
        <f>"FIO DE TELEFONE F1 (CINZA)"</f>
        <v>FIO DE TELEFONE F1 (CINZA)</v>
      </c>
      <c r="C11312" s="2" t="str">
        <f>"MT"</f>
        <v>MT</v>
      </c>
      <c r="D11312" s="7">
        <v>602</v>
      </c>
      <c r="E11312" s="3">
        <v>8</v>
      </c>
      <c r="F11312" s="3">
        <v>8</v>
      </c>
      <c r="G11312" t="s">
        <v>512</v>
      </c>
    </row>
    <row r="11313" spans="1:7" x14ac:dyDescent="0.25">
      <c r="A11313" s="1" t="str">
        <f>"515648"</f>
        <v>515648</v>
      </c>
      <c r="B11313" s="2" t="str">
        <f>"FIO DENTAL"</f>
        <v>FIO DENTAL</v>
      </c>
      <c r="C11313" s="2" t="str">
        <f>"UN"</f>
        <v>UN</v>
      </c>
      <c r="D11313" s="7">
        <v>401</v>
      </c>
      <c r="E11313" s="3">
        <v>4</v>
      </c>
      <c r="F11313" s="3">
        <v>4</v>
      </c>
      <c r="G11313" t="s">
        <v>513</v>
      </c>
    </row>
    <row r="11314" spans="1:7" x14ac:dyDescent="0.25">
      <c r="A11314" s="1" t="str">
        <f>"503425"</f>
        <v>503425</v>
      </c>
      <c r="B11314" s="2" t="str">
        <f>"FIO FLEX SILICONE 10MM ALTA TEMPERATURA"</f>
        <v>FIO FLEX SILICONE 10MM ALTA TEMPERATURA</v>
      </c>
      <c r="C11314" s="2" t="str">
        <f>"MT"</f>
        <v>MT</v>
      </c>
      <c r="D11314" s="7">
        <v>602</v>
      </c>
      <c r="E11314" s="3">
        <v>8</v>
      </c>
      <c r="F11314" s="3">
        <v>8</v>
      </c>
      <c r="G11314" t="s">
        <v>514</v>
      </c>
    </row>
    <row r="11315" spans="1:7" x14ac:dyDescent="0.25">
      <c r="A11315" s="1" t="str">
        <f>"503424"</f>
        <v>503424</v>
      </c>
      <c r="B11315" s="2" t="str">
        <f>"FIO FLEX SILICONE 2,5MM ALTA TEMPERATURA"</f>
        <v>FIO FLEX SILICONE 2,5MM ALTA TEMPERATURA</v>
      </c>
      <c r="C11315" s="2" t="str">
        <f>"MT"</f>
        <v>MT</v>
      </c>
      <c r="D11315" s="7">
        <v>602</v>
      </c>
      <c r="E11315" s="3">
        <v>8</v>
      </c>
      <c r="F11315" s="3">
        <v>8</v>
      </c>
      <c r="G11315" t="s">
        <v>514</v>
      </c>
    </row>
    <row r="11316" spans="1:7" x14ac:dyDescent="0.25">
      <c r="A11316" s="1" t="str">
        <f>"504055"</f>
        <v>504055</v>
      </c>
      <c r="B11316" s="2" t="str">
        <f>"FIO FLEXIVEL 1,5MM VERMELHO"</f>
        <v>FIO FLEXIVEL 1,5MM VERMELHO</v>
      </c>
      <c r="C11316" s="2" t="str">
        <f>"MT"</f>
        <v>MT</v>
      </c>
      <c r="D11316" s="7">
        <v>602</v>
      </c>
      <c r="E11316" s="3">
        <v>8</v>
      </c>
      <c r="F11316" s="3">
        <v>8</v>
      </c>
      <c r="G11316" t="s">
        <v>514</v>
      </c>
    </row>
    <row r="11317" spans="1:7" x14ac:dyDescent="0.25">
      <c r="A11317" s="1" t="str">
        <f>"504056"</f>
        <v>504056</v>
      </c>
      <c r="B11317" s="2" t="str">
        <f>"FIO FLEXIVEL 2,5MM PRETO"</f>
        <v>FIO FLEXIVEL 2,5MM PRETO</v>
      </c>
      <c r="C11317" s="2" t="str">
        <f>"MT"</f>
        <v>MT</v>
      </c>
      <c r="D11317" s="7">
        <v>602</v>
      </c>
      <c r="E11317" s="3">
        <v>8</v>
      </c>
      <c r="F11317" s="3">
        <v>8</v>
      </c>
      <c r="G11317" t="s">
        <v>513</v>
      </c>
    </row>
    <row r="11318" spans="1:7" x14ac:dyDescent="0.25">
      <c r="A11318" s="1" t="str">
        <f>"510046"</f>
        <v>510046</v>
      </c>
      <c r="B11318" s="2" t="str">
        <f>"FIO SOLDA ESTANHO"</f>
        <v>FIO SOLDA ESTANHO</v>
      </c>
      <c r="C11318" s="2" t="str">
        <f>"UN"</f>
        <v>UN</v>
      </c>
      <c r="D11318" s="7">
        <v>900</v>
      </c>
      <c r="E11318" s="3">
        <v>11</v>
      </c>
      <c r="F11318" s="3">
        <v>11</v>
      </c>
      <c r="G11318" t="s">
        <v>513</v>
      </c>
    </row>
    <row r="11319" spans="1:7" x14ac:dyDescent="0.25">
      <c r="A11319" s="1" t="str">
        <f>"505862"</f>
        <v>505862</v>
      </c>
      <c r="B11319" s="2" t="str">
        <f>"FIO SOLIDO 1,5 MM AMARELO"</f>
        <v>FIO SOLIDO 1,5 MM AMARELO</v>
      </c>
      <c r="C11319" s="2" t="str">
        <f>"MT"</f>
        <v>MT</v>
      </c>
      <c r="D11319" s="7">
        <v>602</v>
      </c>
      <c r="E11319" s="3">
        <v>8</v>
      </c>
      <c r="F11319" s="3">
        <v>8</v>
      </c>
      <c r="G11319" t="s">
        <v>513</v>
      </c>
    </row>
    <row r="11320" spans="1:7" x14ac:dyDescent="0.25">
      <c r="A11320" s="1" t="str">
        <f>"505863"</f>
        <v>505863</v>
      </c>
      <c r="B11320" s="2" t="str">
        <f>"FIO SOLIDO 1,5 MM BRANCO"</f>
        <v>FIO SOLIDO 1,5 MM BRANCO</v>
      </c>
      <c r="C11320" s="2" t="str">
        <f>"MT"</f>
        <v>MT</v>
      </c>
      <c r="D11320" s="7">
        <v>602</v>
      </c>
      <c r="E11320" s="3">
        <v>8</v>
      </c>
      <c r="F11320" s="3">
        <v>8</v>
      </c>
      <c r="G11320" t="s">
        <v>512</v>
      </c>
    </row>
    <row r="11321" spans="1:7" x14ac:dyDescent="0.25">
      <c r="A11321" s="1" t="str">
        <f>"509531"</f>
        <v>509531</v>
      </c>
      <c r="B11321" s="2" t="str">
        <f>"FIO SOLIDO 10MM AZUL"</f>
        <v>FIO SOLIDO 10MM AZUL</v>
      </c>
      <c r="C11321" s="2" t="str">
        <f>"UN"</f>
        <v>UN</v>
      </c>
      <c r="D11321" s="7">
        <v>900</v>
      </c>
      <c r="E11321" s="3">
        <v>11</v>
      </c>
      <c r="F11321" s="3">
        <v>11</v>
      </c>
      <c r="G11321" t="s">
        <v>513</v>
      </c>
    </row>
    <row r="11322" spans="1:7" x14ac:dyDescent="0.25">
      <c r="A11322" s="1" t="str">
        <f>"509530"</f>
        <v>509530</v>
      </c>
      <c r="B11322" s="2" t="str">
        <f>"FIO SOLIDO 10MM PRETO"</f>
        <v>FIO SOLIDO 10MM PRETO</v>
      </c>
      <c r="C11322" s="2" t="str">
        <f>"UN"</f>
        <v>UN</v>
      </c>
      <c r="D11322" s="7">
        <v>900</v>
      </c>
      <c r="E11322" s="3">
        <v>11</v>
      </c>
      <c r="F11322" s="3">
        <v>11</v>
      </c>
      <c r="G11322" t="s">
        <v>514</v>
      </c>
    </row>
    <row r="11323" spans="1:7" x14ac:dyDescent="0.25">
      <c r="A11323" s="1" t="str">
        <f>"505628"</f>
        <v>505628</v>
      </c>
      <c r="B11323" s="2" t="str">
        <f>"FIO SOLIDO 16 MM PRETO"</f>
        <v>FIO SOLIDO 16 MM PRETO</v>
      </c>
      <c r="C11323" s="2" t="str">
        <f>"MT"</f>
        <v>MT</v>
      </c>
      <c r="D11323" s="7">
        <v>99999</v>
      </c>
      <c r="E11323" s="3">
        <v>99</v>
      </c>
      <c r="F11323" s="3">
        <v>99</v>
      </c>
      <c r="G11323" t="s">
        <v>515</v>
      </c>
    </row>
    <row r="11324" spans="1:7" x14ac:dyDescent="0.25">
      <c r="A11324" s="1" t="str">
        <f>"503799"</f>
        <v>503799</v>
      </c>
      <c r="B11324" s="2" t="str">
        <f>"FIO SOLIDO 2,5 MM AMARELO"</f>
        <v>FIO SOLIDO 2,5 MM AMARELO</v>
      </c>
      <c r="C11324" s="2" t="str">
        <f>"MT"</f>
        <v>MT</v>
      </c>
      <c r="D11324" s="7">
        <v>602</v>
      </c>
      <c r="E11324" s="3">
        <v>8</v>
      </c>
      <c r="F11324" s="3">
        <v>8</v>
      </c>
      <c r="G11324" t="s">
        <v>512</v>
      </c>
    </row>
    <row r="11325" spans="1:7" x14ac:dyDescent="0.25">
      <c r="A11325" s="1" t="str">
        <f>"500571"</f>
        <v>500571</v>
      </c>
      <c r="B11325" s="2" t="str">
        <f>"FIO SOLIDO 2,5 MM BRANCO"</f>
        <v>FIO SOLIDO 2,5 MM BRANCO</v>
      </c>
      <c r="C11325" s="2" t="str">
        <f>"MT"</f>
        <v>MT</v>
      </c>
      <c r="D11325" s="7">
        <v>602</v>
      </c>
      <c r="E11325" s="3">
        <v>8</v>
      </c>
      <c r="F11325" s="3">
        <v>8</v>
      </c>
      <c r="G11325" t="s">
        <v>516</v>
      </c>
    </row>
    <row r="11326" spans="1:7" x14ac:dyDescent="0.25">
      <c r="A11326" s="1" t="str">
        <f>"500457"</f>
        <v>500457</v>
      </c>
      <c r="B11326" s="2" t="str">
        <f>"FIO SOLIDO 6 MM PRETO"</f>
        <v>FIO SOLIDO 6 MM PRETO</v>
      </c>
      <c r="C11326" s="2" t="str">
        <f>"MT"</f>
        <v>MT</v>
      </c>
      <c r="D11326" s="7">
        <v>602</v>
      </c>
      <c r="E11326" s="3">
        <v>8</v>
      </c>
      <c r="F11326" s="3">
        <v>8</v>
      </c>
      <c r="G11326" t="s">
        <v>515</v>
      </c>
    </row>
    <row r="11327" spans="1:7" x14ac:dyDescent="0.25">
      <c r="A11327" s="1" t="str">
        <f>"509136"</f>
        <v>509136</v>
      </c>
      <c r="B11327" s="2" t="str">
        <f>"FIO SPAGUETE"</f>
        <v>FIO SPAGUETE</v>
      </c>
      <c r="C11327" s="2" t="str">
        <f t="shared" ref="C11327:C11361" si="442">"UN"</f>
        <v>UN</v>
      </c>
      <c r="D11327" s="7">
        <v>900</v>
      </c>
      <c r="E11327" s="3">
        <v>11</v>
      </c>
      <c r="F11327" s="3">
        <v>11</v>
      </c>
      <c r="G11327" t="s">
        <v>514</v>
      </c>
    </row>
    <row r="11328" spans="1:7" x14ac:dyDescent="0.25">
      <c r="A11328" s="1" t="str">
        <f>"518993"</f>
        <v>518993</v>
      </c>
      <c r="B11328" s="2" t="str">
        <f>"FIREWALL AKER IS/VM INTEGRATED 101-200 IPS"</f>
        <v>FIREWALL AKER IS/VM INTEGRATED 101-200 IPS</v>
      </c>
      <c r="C11328" s="2" t="str">
        <f t="shared" si="442"/>
        <v>UN</v>
      </c>
      <c r="D11328" s="7">
        <v>99999</v>
      </c>
      <c r="E11328" s="3">
        <v>99</v>
      </c>
      <c r="F11328" s="3">
        <v>99</v>
      </c>
      <c r="G11328" t="s">
        <v>512</v>
      </c>
    </row>
    <row r="11329" spans="1:7" x14ac:dyDescent="0.25">
      <c r="A11329" s="1" t="str">
        <f>"510513"</f>
        <v>510513</v>
      </c>
      <c r="B11329" s="2" t="str">
        <f>"FITA"</f>
        <v>FITA</v>
      </c>
      <c r="C11329" s="2" t="str">
        <f t="shared" si="442"/>
        <v>UN</v>
      </c>
      <c r="D11329" s="7">
        <v>401</v>
      </c>
      <c r="E11329" s="3">
        <v>4</v>
      </c>
      <c r="F11329" s="3">
        <v>4</v>
      </c>
      <c r="G11329" t="s">
        <v>513</v>
      </c>
    </row>
    <row r="11330" spans="1:7" x14ac:dyDescent="0.25">
      <c r="A11330" s="1" t="str">
        <f>"514180"</f>
        <v>514180</v>
      </c>
      <c r="B11330" s="2" t="str">
        <f>"FITA 3M AMARELA - 100MM X 30 MTS"</f>
        <v>FITA 3M AMARELA - 100MM X 30 MTS</v>
      </c>
      <c r="C11330" s="2" t="str">
        <f t="shared" si="442"/>
        <v>UN</v>
      </c>
      <c r="D11330" s="7">
        <v>408</v>
      </c>
      <c r="E11330" s="3">
        <v>4</v>
      </c>
      <c r="F11330" s="3">
        <v>4</v>
      </c>
      <c r="G11330" t="s">
        <v>514</v>
      </c>
    </row>
    <row r="11331" spans="1:7" x14ac:dyDescent="0.25">
      <c r="A11331" s="1" t="str">
        <f>"526290"</f>
        <v>526290</v>
      </c>
      <c r="B11331" s="2" t="str">
        <f>"FITA 3M AMARELA - 100MM X 30 MTS"</f>
        <v>FITA 3M AMARELA - 100MM X 30 MTS</v>
      </c>
      <c r="C11331" s="2" t="str">
        <f t="shared" si="442"/>
        <v>UN</v>
      </c>
      <c r="D11331" s="7">
        <v>408</v>
      </c>
      <c r="E11331" s="3">
        <v>4</v>
      </c>
      <c r="F11331" s="3">
        <v>4</v>
      </c>
      <c r="G11331" t="s">
        <v>514</v>
      </c>
    </row>
    <row r="11332" spans="1:7" x14ac:dyDescent="0.25">
      <c r="A11332" s="1" t="str">
        <f>"514181"</f>
        <v>514181</v>
      </c>
      <c r="B11332" s="2" t="str">
        <f>"FITA 3M AZUL - 100MM X 30 MTS"</f>
        <v>FITA 3M AZUL - 100MM X 30 MTS</v>
      </c>
      <c r="C11332" s="2" t="str">
        <f t="shared" si="442"/>
        <v>UN</v>
      </c>
      <c r="D11332" s="7">
        <v>408</v>
      </c>
      <c r="E11332" s="3">
        <v>4</v>
      </c>
      <c r="F11332" s="3">
        <v>4</v>
      </c>
      <c r="G11332" t="s">
        <v>512</v>
      </c>
    </row>
    <row r="11333" spans="1:7" x14ac:dyDescent="0.25">
      <c r="A11333" s="1" t="str">
        <f>"526289"</f>
        <v>526289</v>
      </c>
      <c r="B11333" s="2" t="str">
        <f>"FITA 3M AZUL - 50MM X 30 MTS"</f>
        <v>FITA 3M AZUL - 50MM X 30 MTS</v>
      </c>
      <c r="C11333" s="2" t="str">
        <f t="shared" si="442"/>
        <v>UN</v>
      </c>
      <c r="D11333" s="7">
        <v>408</v>
      </c>
      <c r="E11333" s="3">
        <v>4</v>
      </c>
      <c r="F11333" s="3">
        <v>4</v>
      </c>
      <c r="G11333" t="s">
        <v>513</v>
      </c>
    </row>
    <row r="11334" spans="1:7" x14ac:dyDescent="0.25">
      <c r="A11334" s="1" t="str">
        <f>"514182"</f>
        <v>514182</v>
      </c>
      <c r="B11334" s="2" t="str">
        <f>"FITA 3M PRETA - 100MM X 30 MTS"</f>
        <v>FITA 3M PRETA - 100MM X 30 MTS</v>
      </c>
      <c r="C11334" s="2" t="str">
        <f t="shared" si="442"/>
        <v>UN</v>
      </c>
      <c r="D11334" s="7">
        <v>408</v>
      </c>
      <c r="E11334" s="3">
        <v>4</v>
      </c>
      <c r="F11334" s="3">
        <v>4</v>
      </c>
      <c r="G11334" t="s">
        <v>514</v>
      </c>
    </row>
    <row r="11335" spans="1:7" x14ac:dyDescent="0.25">
      <c r="A11335" s="1" t="str">
        <f>"514183"</f>
        <v>514183</v>
      </c>
      <c r="B11335" s="2" t="str">
        <f>"FITA 3M VERDE - 100MM X 30 MTS"</f>
        <v>FITA 3M VERDE - 100MM X 30 MTS</v>
      </c>
      <c r="C11335" s="2" t="str">
        <f t="shared" si="442"/>
        <v>UN</v>
      </c>
      <c r="D11335" s="7">
        <v>408</v>
      </c>
      <c r="E11335" s="3">
        <v>4</v>
      </c>
      <c r="F11335" s="3">
        <v>4</v>
      </c>
      <c r="G11335" t="s">
        <v>514</v>
      </c>
    </row>
    <row r="11336" spans="1:7" x14ac:dyDescent="0.25">
      <c r="A11336" s="1" t="str">
        <f>"513589"</f>
        <v>513589</v>
      </c>
      <c r="B11336" s="2" t="str">
        <f>"FITA 3M VERDE - 50MM X 30 MTS"</f>
        <v>FITA 3M VERDE - 50MM X 30 MTS</v>
      </c>
      <c r="C11336" s="2" t="str">
        <f t="shared" si="442"/>
        <v>UN</v>
      </c>
      <c r="D11336" s="7">
        <v>408</v>
      </c>
      <c r="E11336" s="3">
        <v>4</v>
      </c>
      <c r="F11336" s="3">
        <v>4</v>
      </c>
      <c r="G11336" t="s">
        <v>514</v>
      </c>
    </row>
    <row r="11337" spans="1:7" x14ac:dyDescent="0.25">
      <c r="A11337" s="1" t="str">
        <f>"514184"</f>
        <v>514184</v>
      </c>
      <c r="B11337" s="2" t="str">
        <f>"FITA 3M VERMELHA - 100MM X 30 MTS"</f>
        <v>FITA 3M VERMELHA - 100MM X 30 MTS</v>
      </c>
      <c r="C11337" s="2" t="str">
        <f t="shared" si="442"/>
        <v>UN</v>
      </c>
      <c r="D11337" s="7">
        <v>408</v>
      </c>
      <c r="E11337" s="3">
        <v>4</v>
      </c>
      <c r="F11337" s="3">
        <v>4</v>
      </c>
      <c r="G11337" t="s">
        <v>513</v>
      </c>
    </row>
    <row r="11338" spans="1:7" x14ac:dyDescent="0.25">
      <c r="A11338" s="1" t="str">
        <f>"519495"</f>
        <v>519495</v>
      </c>
      <c r="B11338" s="2" t="str">
        <f>"FITA AÇO INOX 3/4"""</f>
        <v>FITA AÇO INOX 3/4"</v>
      </c>
      <c r="C11338" s="2" t="str">
        <f t="shared" si="442"/>
        <v>UN</v>
      </c>
      <c r="D11338" s="7">
        <v>811</v>
      </c>
      <c r="E11338" s="3">
        <v>8</v>
      </c>
      <c r="F11338" s="3">
        <v>8</v>
      </c>
      <c r="G11338" t="s">
        <v>512</v>
      </c>
    </row>
    <row r="11339" spans="1:7" x14ac:dyDescent="0.25">
      <c r="A11339" s="1" t="str">
        <f>"511018"</f>
        <v>511018</v>
      </c>
      <c r="B11339" s="2" t="str">
        <f>"FITA ADESIVA"</f>
        <v>FITA ADESIVA</v>
      </c>
      <c r="C11339" s="2" t="str">
        <f t="shared" si="442"/>
        <v>UN</v>
      </c>
      <c r="D11339" s="7">
        <v>401</v>
      </c>
      <c r="E11339" s="3">
        <v>4</v>
      </c>
      <c r="F11339" s="3">
        <v>4</v>
      </c>
      <c r="G11339" t="s">
        <v>513</v>
      </c>
    </row>
    <row r="11340" spans="1:7" x14ac:dyDescent="0.25">
      <c r="A11340" s="1" t="str">
        <f>"524559"</f>
        <v>524559</v>
      </c>
      <c r="B11340" s="2" t="str">
        <f>"FITA ADESIVA DUREX PRETA (LARG. 1CM)"</f>
        <v>FITA ADESIVA DUREX PRETA (LARG. 1CM)</v>
      </c>
      <c r="C11340" s="2" t="str">
        <f t="shared" si="442"/>
        <v>UN</v>
      </c>
      <c r="D11340" s="7">
        <v>99999</v>
      </c>
      <c r="E11340" s="3">
        <v>4</v>
      </c>
      <c r="F11340" s="3">
        <v>4</v>
      </c>
      <c r="G11340" t="s">
        <v>514</v>
      </c>
    </row>
    <row r="11341" spans="1:7" x14ac:dyDescent="0.25">
      <c r="A11341" s="1" t="str">
        <f>"514376"</f>
        <v>514376</v>
      </c>
      <c r="B11341" s="2" t="str">
        <f>"FITA ADESIVA IMPRESSA ICEGURT 48X100 MTS"</f>
        <v>FITA ADESIVA IMPRESSA ICEGURT 48X100 MTS</v>
      </c>
      <c r="C11341" s="2" t="str">
        <f t="shared" si="442"/>
        <v>UN</v>
      </c>
      <c r="D11341" s="7">
        <v>108</v>
      </c>
      <c r="E11341" s="3">
        <v>1</v>
      </c>
      <c r="F11341" s="3">
        <v>1</v>
      </c>
      <c r="G11341" t="s">
        <v>514</v>
      </c>
    </row>
    <row r="11342" spans="1:7" x14ac:dyDescent="0.25">
      <c r="A11342" s="1" t="str">
        <f>"7016"</f>
        <v>7016</v>
      </c>
      <c r="B11342" s="2" t="str">
        <f>"FITA ADESIVA IMPRESSA ICEGURT 48X100 MTS"</f>
        <v>FITA ADESIVA IMPRESSA ICEGURT 48X100 MTS</v>
      </c>
      <c r="C11342" s="2" t="str">
        <f t="shared" si="442"/>
        <v>UN</v>
      </c>
      <c r="D11342" s="7">
        <v>108</v>
      </c>
      <c r="E11342" s="3">
        <v>1</v>
      </c>
      <c r="F11342" s="3">
        <v>1</v>
      </c>
      <c r="G11342" t="s">
        <v>514</v>
      </c>
    </row>
    <row r="11343" spans="1:7" x14ac:dyDescent="0.25">
      <c r="A11343" s="1" t="str">
        <f>"516365"</f>
        <v>516365</v>
      </c>
      <c r="B11343" s="2" t="str">
        <f>"FITA ADESIVA IMPRESSA ICEGURT 48X1200 METROS"</f>
        <v>FITA ADESIVA IMPRESSA ICEGURT 48X1200 METROS</v>
      </c>
      <c r="C11343" s="2" t="str">
        <f t="shared" si="442"/>
        <v>UN</v>
      </c>
      <c r="D11343" s="7">
        <v>108</v>
      </c>
      <c r="E11343" s="3">
        <v>1</v>
      </c>
      <c r="F11343" s="3">
        <v>1</v>
      </c>
      <c r="G11343" t="s">
        <v>513</v>
      </c>
    </row>
    <row r="11344" spans="1:7" x14ac:dyDescent="0.25">
      <c r="A11344" s="1" t="str">
        <f>"516186"</f>
        <v>516186</v>
      </c>
      <c r="B11344" s="2" t="str">
        <f>"FITA ADESIVA IMPRESSA ICEGURT 48X1800 METROS"</f>
        <v>FITA ADESIVA IMPRESSA ICEGURT 48X1800 METROS</v>
      </c>
      <c r="C11344" s="2" t="str">
        <f t="shared" si="442"/>
        <v>UN</v>
      </c>
      <c r="D11344" s="7">
        <v>108</v>
      </c>
      <c r="E11344" s="3">
        <v>1</v>
      </c>
      <c r="F11344" s="3">
        <v>1</v>
      </c>
      <c r="G11344" t="s">
        <v>513</v>
      </c>
    </row>
    <row r="11345" spans="1:7" x14ac:dyDescent="0.25">
      <c r="A11345" s="1" t="str">
        <f>"523663"</f>
        <v>523663</v>
      </c>
      <c r="B11345" s="2" t="str">
        <f>"FITA ADESIVA P/ AUTOCLAVE 1322 18MM X 55MT"</f>
        <v>FITA ADESIVA P/ AUTOCLAVE 1322 18MM X 55MT</v>
      </c>
      <c r="C11345" s="2" t="str">
        <f t="shared" si="442"/>
        <v>UN</v>
      </c>
      <c r="D11345" s="7">
        <v>406</v>
      </c>
      <c r="E11345" s="3">
        <v>4</v>
      </c>
      <c r="F11345" s="3">
        <v>4</v>
      </c>
      <c r="G11345" t="s">
        <v>513</v>
      </c>
    </row>
    <row r="11346" spans="1:7" x14ac:dyDescent="0.25">
      <c r="A11346" s="1" t="str">
        <f>"519310"</f>
        <v>519310</v>
      </c>
      <c r="B11346" s="2" t="str">
        <f>"FITA ADESIVA P/ IDENTIFICAÇÃO LACRE 19MM X 30MT"</f>
        <v>FITA ADESIVA P/ IDENTIFICAÇÃO LACRE 19MM X 30MT</v>
      </c>
      <c r="C11346" s="2" t="str">
        <f t="shared" si="442"/>
        <v>UN</v>
      </c>
      <c r="D11346" s="7">
        <v>406</v>
      </c>
      <c r="E11346" s="3">
        <v>4</v>
      </c>
      <c r="F11346" s="3">
        <v>4</v>
      </c>
      <c r="G11346" t="s">
        <v>512</v>
      </c>
    </row>
    <row r="11347" spans="1:7" x14ac:dyDescent="0.25">
      <c r="A11347" s="1" t="str">
        <f>"225"</f>
        <v>225</v>
      </c>
      <c r="B11347" s="2" t="str">
        <f>"FITA ADESIVA PRETA/AMARELA 38MMX15 MTS"</f>
        <v>FITA ADESIVA PRETA/AMARELA 38MMX15 MTS</v>
      </c>
      <c r="C11347" s="2" t="str">
        <f t="shared" si="442"/>
        <v>UN</v>
      </c>
      <c r="D11347" s="7">
        <v>108</v>
      </c>
      <c r="E11347" s="3">
        <v>1</v>
      </c>
      <c r="F11347" s="3">
        <v>1</v>
      </c>
      <c r="G11347" t="s">
        <v>513</v>
      </c>
    </row>
    <row r="11348" spans="1:7" x14ac:dyDescent="0.25">
      <c r="A11348" s="1" t="str">
        <f>"6801"</f>
        <v>6801</v>
      </c>
      <c r="B11348" s="2" t="str">
        <f>"FITA ADESIVA TRANS. ROT MELT 48X1200 MT"</f>
        <v>FITA ADESIVA TRANS. ROT MELT 48X1200 MT</v>
      </c>
      <c r="C11348" s="2" t="str">
        <f t="shared" si="442"/>
        <v>UN</v>
      </c>
      <c r="D11348" s="7">
        <v>108</v>
      </c>
      <c r="E11348" s="3">
        <v>1</v>
      </c>
      <c r="F11348" s="3">
        <v>1</v>
      </c>
      <c r="G11348" t="s">
        <v>514</v>
      </c>
    </row>
    <row r="11349" spans="1:7" x14ac:dyDescent="0.25">
      <c r="A11349" s="1" t="str">
        <f>"216"</f>
        <v>216</v>
      </c>
      <c r="B11349" s="2" t="str">
        <f>"FITA ADESIVA TRANSP. POLICRIL 45X100 MTS"</f>
        <v>FITA ADESIVA TRANSP. POLICRIL 45X100 MTS</v>
      </c>
      <c r="C11349" s="2" t="str">
        <f t="shared" si="442"/>
        <v>UN</v>
      </c>
      <c r="D11349" s="7">
        <v>108</v>
      </c>
      <c r="E11349" s="3">
        <v>1</v>
      </c>
      <c r="F11349" s="3">
        <v>1</v>
      </c>
      <c r="G11349" t="s">
        <v>515</v>
      </c>
    </row>
    <row r="11350" spans="1:7" x14ac:dyDescent="0.25">
      <c r="A11350" s="1" t="str">
        <f>"217"</f>
        <v>217</v>
      </c>
      <c r="B11350" s="2" t="str">
        <f>"FITA ADESIVA TRANSP. ROT MELT 45X1800 MT"</f>
        <v>FITA ADESIVA TRANSP. ROT MELT 45X1800 MT</v>
      </c>
      <c r="C11350" s="2" t="str">
        <f t="shared" si="442"/>
        <v>UN</v>
      </c>
      <c r="D11350" s="7">
        <v>108</v>
      </c>
      <c r="E11350" s="3">
        <v>1</v>
      </c>
      <c r="F11350" s="3">
        <v>1</v>
      </c>
      <c r="G11350" t="s">
        <v>512</v>
      </c>
    </row>
    <row r="11351" spans="1:7" x14ac:dyDescent="0.25">
      <c r="A11351" s="1" t="str">
        <f>"512529"</f>
        <v>512529</v>
      </c>
      <c r="B11351" s="2" t="str">
        <f>"FITA ALTO-ADERENTE ALIMINIZADA 200X10MT"</f>
        <v>FITA ALTO-ADERENTE ALIMINIZADA 200X10MT</v>
      </c>
      <c r="C11351" s="2" t="str">
        <f t="shared" si="442"/>
        <v>UN</v>
      </c>
      <c r="D11351" s="7">
        <v>812</v>
      </c>
      <c r="E11351" s="3">
        <v>10</v>
      </c>
      <c r="F11351" s="3">
        <v>10</v>
      </c>
      <c r="G11351" t="s">
        <v>516</v>
      </c>
    </row>
    <row r="11352" spans="1:7" x14ac:dyDescent="0.25">
      <c r="A11352" s="1" t="str">
        <f>"515569"</f>
        <v>515569</v>
      </c>
      <c r="B11352" s="2" t="str">
        <f>"FITA ALUMINIO 1/2"""</f>
        <v>FITA ALUMINIO 1/2"</v>
      </c>
      <c r="C11352" s="2" t="str">
        <f t="shared" si="442"/>
        <v>UN</v>
      </c>
      <c r="D11352" s="7">
        <v>803</v>
      </c>
      <c r="E11352" s="3">
        <v>10</v>
      </c>
      <c r="F11352" s="3">
        <v>10</v>
      </c>
      <c r="G11352" t="s">
        <v>515</v>
      </c>
    </row>
    <row r="11353" spans="1:7" x14ac:dyDescent="0.25">
      <c r="A11353" s="1" t="str">
        <f>"522168"</f>
        <v>522168</v>
      </c>
      <c r="B11353" s="2" t="str">
        <f>"FITA ALUMINIO 7/8 X 1/8 X 3MM"</f>
        <v>FITA ALUMINIO 7/8 X 1/8 X 3MM</v>
      </c>
      <c r="C11353" s="2" t="str">
        <f t="shared" si="442"/>
        <v>UN</v>
      </c>
      <c r="D11353" s="7">
        <v>600</v>
      </c>
      <c r="E11353" s="3">
        <v>8</v>
      </c>
      <c r="F11353" s="3">
        <v>8</v>
      </c>
      <c r="G11353" t="s">
        <v>514</v>
      </c>
    </row>
    <row r="11354" spans="1:7" x14ac:dyDescent="0.25">
      <c r="A11354" s="1" t="str">
        <f>"517488"</f>
        <v>517488</v>
      </c>
      <c r="B11354" s="2" t="str">
        <f>"FITA ALUMINIZADA 45MMX45MT"</f>
        <v>FITA ALUMINIZADA 45MMX45MT</v>
      </c>
      <c r="C11354" s="2" t="str">
        <f t="shared" si="442"/>
        <v>UN</v>
      </c>
      <c r="D11354" s="7">
        <v>918</v>
      </c>
      <c r="E11354" s="3">
        <v>10</v>
      </c>
      <c r="F11354" s="3">
        <v>10</v>
      </c>
      <c r="G11354" t="s">
        <v>512</v>
      </c>
    </row>
    <row r="11355" spans="1:7" x14ac:dyDescent="0.25">
      <c r="A11355" s="1" t="str">
        <f>"525385"</f>
        <v>525385</v>
      </c>
      <c r="B11355" s="2" t="str">
        <f>"FITA ANCORAGEM POLIETER 45MM LARG X 80CM COMP X 35KN CAPAC."</f>
        <v>FITA ANCORAGEM POLIETER 45MM LARG X 80CM COMP X 35KN CAPAC.</v>
      </c>
      <c r="C11355" s="2" t="str">
        <f t="shared" si="442"/>
        <v>UN</v>
      </c>
      <c r="D11355" s="7">
        <v>919</v>
      </c>
      <c r="E11355" s="3">
        <v>10</v>
      </c>
      <c r="F11355" s="3">
        <v>10</v>
      </c>
      <c r="G11355" t="s">
        <v>513</v>
      </c>
    </row>
    <row r="11356" spans="1:7" x14ac:dyDescent="0.25">
      <c r="A11356" s="1" t="str">
        <f>"513259"</f>
        <v>513259</v>
      </c>
      <c r="B11356" s="2" t="str">
        <f>"FITA ANTIDERRAPANTE"</f>
        <v>FITA ANTIDERRAPANTE</v>
      </c>
      <c r="C11356" s="2" t="str">
        <f t="shared" si="442"/>
        <v>UN</v>
      </c>
      <c r="D11356" s="7">
        <v>803</v>
      </c>
      <c r="E11356" s="3">
        <v>10</v>
      </c>
      <c r="F11356" s="3">
        <v>10</v>
      </c>
      <c r="G11356" t="s">
        <v>514</v>
      </c>
    </row>
    <row r="11357" spans="1:7" x14ac:dyDescent="0.25">
      <c r="A11357" s="1" t="str">
        <f>"520695"</f>
        <v>520695</v>
      </c>
      <c r="B11357" s="2" t="str">
        <f>"FITA ANTIDERRAPANTE ZEBRADA 50MM COD 002959"</f>
        <v>FITA ANTIDERRAPANTE ZEBRADA 50MM COD 002959</v>
      </c>
      <c r="C11357" s="2" t="str">
        <f t="shared" si="442"/>
        <v>UN</v>
      </c>
      <c r="D11357" s="7">
        <v>917</v>
      </c>
      <c r="E11357" s="3">
        <v>4</v>
      </c>
      <c r="F11357" s="3">
        <v>4</v>
      </c>
      <c r="G11357" t="s">
        <v>514</v>
      </c>
    </row>
    <row r="11358" spans="1:7" x14ac:dyDescent="0.25">
      <c r="A11358" s="1" t="str">
        <f>"500089"</f>
        <v>500089</v>
      </c>
      <c r="B11358" s="2" t="str">
        <f>"FITA CREPE 19MM"</f>
        <v>FITA CREPE 19MM</v>
      </c>
      <c r="C11358" s="2" t="str">
        <f t="shared" si="442"/>
        <v>UN</v>
      </c>
      <c r="D11358" s="7">
        <v>99999</v>
      </c>
      <c r="E11358" s="3">
        <v>10</v>
      </c>
      <c r="F11358" s="3">
        <v>10</v>
      </c>
      <c r="G11358" t="s">
        <v>512</v>
      </c>
    </row>
    <row r="11359" spans="1:7" x14ac:dyDescent="0.25">
      <c r="A11359" s="1" t="str">
        <f>"512441"</f>
        <v>512441</v>
      </c>
      <c r="B11359" s="2" t="str">
        <f>"FITA CREPE 50MM"</f>
        <v>FITA CREPE 50MM</v>
      </c>
      <c r="C11359" s="2" t="str">
        <f t="shared" si="442"/>
        <v>UN</v>
      </c>
      <c r="D11359" s="7">
        <v>403</v>
      </c>
      <c r="E11359" s="3">
        <v>4</v>
      </c>
      <c r="F11359" s="3">
        <v>4</v>
      </c>
      <c r="G11359" t="s">
        <v>513</v>
      </c>
    </row>
    <row r="11360" spans="1:7" x14ac:dyDescent="0.25">
      <c r="A11360" s="1" t="str">
        <f>"503994"</f>
        <v>503994</v>
      </c>
      <c r="B11360" s="2" t="str">
        <f>"FITA DATADOR PRETA COD.110210 (SAQUINHO) 122MTX30MM"</f>
        <v>FITA DATADOR PRETA COD.110210 (SAQUINHO) 122MTX30MM</v>
      </c>
      <c r="C11360" s="2" t="str">
        <f t="shared" si="442"/>
        <v>UN</v>
      </c>
      <c r="D11360" s="7">
        <v>907</v>
      </c>
      <c r="E11360" s="3">
        <v>11</v>
      </c>
      <c r="F11360" s="3">
        <v>11</v>
      </c>
      <c r="G11360" t="s">
        <v>514</v>
      </c>
    </row>
    <row r="11361" spans="1:7" x14ac:dyDescent="0.25">
      <c r="A11361" s="1" t="str">
        <f>"AG84439199"</f>
        <v>AG84439199</v>
      </c>
      <c r="B11361" s="2" t="str">
        <f>"FITA DATADOR SAQUINHO"</f>
        <v>FITA DATADOR SAQUINHO</v>
      </c>
      <c r="C11361" s="2" t="str">
        <f t="shared" si="442"/>
        <v>UN</v>
      </c>
      <c r="D11361" s="7">
        <v>99999</v>
      </c>
      <c r="E11361" s="3">
        <v>99</v>
      </c>
      <c r="F11361" s="3">
        <v>99</v>
      </c>
      <c r="G11361" t="s">
        <v>514</v>
      </c>
    </row>
    <row r="11362" spans="1:7" x14ac:dyDescent="0.25">
      <c r="A11362" s="1" t="str">
        <f>"527289"</f>
        <v>527289</v>
      </c>
      <c r="B11362" s="8" t="s">
        <v>498</v>
      </c>
      <c r="C11362" s="2" t="str">
        <f>"PC"</f>
        <v>PC</v>
      </c>
      <c r="D11362" s="7">
        <v>501</v>
      </c>
      <c r="E11362" s="3">
        <v>5</v>
      </c>
      <c r="F11362" s="3">
        <v>5</v>
      </c>
      <c r="G11362" t="s">
        <v>514</v>
      </c>
    </row>
    <row r="11363" spans="1:7" x14ac:dyDescent="0.25">
      <c r="A11363" s="1" t="str">
        <f>"527115"</f>
        <v>527115</v>
      </c>
      <c r="B11363" s="8" t="s">
        <v>489</v>
      </c>
      <c r="C11363" s="2" t="str">
        <f>"PC"</f>
        <v>PC</v>
      </c>
      <c r="D11363" s="7">
        <v>501</v>
      </c>
      <c r="E11363" s="3">
        <v>5</v>
      </c>
      <c r="F11363" s="3">
        <v>5</v>
      </c>
      <c r="G11363" t="s">
        <v>513</v>
      </c>
    </row>
    <row r="11364" spans="1:7" x14ac:dyDescent="0.25">
      <c r="A11364" s="1" t="str">
        <f>"513752"</f>
        <v>513752</v>
      </c>
      <c r="B11364" s="2" t="str">
        <f>"FITA DE TEFLON DGP-25-550-PPV-A"</f>
        <v>FITA DE TEFLON DGP-25-550-PPV-A</v>
      </c>
      <c r="C11364" s="2" t="str">
        <f t="shared" ref="C11364:C11372" si="443">"UN"</f>
        <v>UN</v>
      </c>
      <c r="D11364" s="7">
        <v>812</v>
      </c>
      <c r="E11364" s="3">
        <v>11</v>
      </c>
      <c r="F11364" s="3">
        <v>11</v>
      </c>
      <c r="G11364" t="s">
        <v>512</v>
      </c>
    </row>
    <row r="11365" spans="1:7" x14ac:dyDescent="0.25">
      <c r="A11365" s="1" t="str">
        <f>"510944"</f>
        <v>510944</v>
      </c>
      <c r="B11365" s="2" t="str">
        <f>"FITA DECORATIVA CETIM BRANCO/DOURADO"</f>
        <v>FITA DECORATIVA CETIM BRANCO/DOURADO</v>
      </c>
      <c r="C11365" s="2" t="str">
        <f t="shared" si="443"/>
        <v>UN</v>
      </c>
      <c r="D11365" s="7">
        <v>403</v>
      </c>
      <c r="E11365" s="3">
        <v>4</v>
      </c>
      <c r="F11365" s="3">
        <v>4</v>
      </c>
      <c r="G11365" t="s">
        <v>513</v>
      </c>
    </row>
    <row r="11366" spans="1:7" x14ac:dyDescent="0.25">
      <c r="A11366" s="1" t="str">
        <f>"510945"</f>
        <v>510945</v>
      </c>
      <c r="B11366" s="2" t="str">
        <f>"FITA DECORATIVA DOURADO"</f>
        <v>FITA DECORATIVA DOURADO</v>
      </c>
      <c r="C11366" s="2" t="str">
        <f t="shared" si="443"/>
        <v>UN</v>
      </c>
      <c r="D11366" s="7">
        <v>403</v>
      </c>
      <c r="E11366" s="3">
        <v>4</v>
      </c>
      <c r="F11366" s="3">
        <v>4</v>
      </c>
      <c r="G11366" t="s">
        <v>514</v>
      </c>
    </row>
    <row r="11367" spans="1:7" x14ac:dyDescent="0.25">
      <c r="A11367" s="1" t="str">
        <f>"510942"</f>
        <v>510942</v>
      </c>
      <c r="B11367" s="2" t="str">
        <f>"FITA DECORATIVA XADREZ"</f>
        <v>FITA DECORATIVA XADREZ</v>
      </c>
      <c r="C11367" s="2" t="str">
        <f t="shared" si="443"/>
        <v>UN</v>
      </c>
      <c r="D11367" s="7">
        <v>403</v>
      </c>
      <c r="E11367" s="3">
        <v>4</v>
      </c>
      <c r="F11367" s="3">
        <v>4</v>
      </c>
      <c r="G11367" t="s">
        <v>514</v>
      </c>
    </row>
    <row r="11368" spans="1:7" x14ac:dyDescent="0.25">
      <c r="A11368" s="1" t="str">
        <f>"510265"</f>
        <v>510265</v>
      </c>
      <c r="B11368" s="2" t="str">
        <f>"FITA DEMARCACAO AMARELA"</f>
        <v>FITA DEMARCACAO AMARELA</v>
      </c>
      <c r="C11368" s="2" t="str">
        <f t="shared" si="443"/>
        <v>UN</v>
      </c>
      <c r="D11368" s="7">
        <v>502</v>
      </c>
      <c r="E11368" s="3">
        <v>5</v>
      </c>
      <c r="F11368" s="3">
        <v>5</v>
      </c>
      <c r="G11368" t="s">
        <v>514</v>
      </c>
    </row>
    <row r="11369" spans="1:7" x14ac:dyDescent="0.25">
      <c r="A11369" s="1" t="str">
        <f>"510268"</f>
        <v>510268</v>
      </c>
      <c r="B11369" s="2" t="str">
        <f>"FITA DEMARCACAO VERMELHA"</f>
        <v>FITA DEMARCACAO VERMELHA</v>
      </c>
      <c r="C11369" s="2" t="str">
        <f t="shared" si="443"/>
        <v>UN</v>
      </c>
      <c r="D11369" s="7">
        <v>917</v>
      </c>
      <c r="E11369" s="3">
        <v>10</v>
      </c>
      <c r="F11369" s="3">
        <v>10</v>
      </c>
      <c r="G11369" t="s">
        <v>513</v>
      </c>
    </row>
    <row r="11370" spans="1:7" x14ac:dyDescent="0.25">
      <c r="A11370" s="1" t="str">
        <f>"513928"</f>
        <v>513928</v>
      </c>
      <c r="B11370" s="2" t="str">
        <f>"FITA DUPLA FACE"</f>
        <v>FITA DUPLA FACE</v>
      </c>
      <c r="C11370" s="2" t="str">
        <f t="shared" si="443"/>
        <v>UN</v>
      </c>
      <c r="D11370" s="7">
        <v>919</v>
      </c>
      <c r="E11370" s="3">
        <v>10</v>
      </c>
      <c r="F11370" s="3">
        <v>10</v>
      </c>
      <c r="G11370" t="s">
        <v>513</v>
      </c>
    </row>
    <row r="11371" spans="1:7" x14ac:dyDescent="0.25">
      <c r="A11371" s="1" t="str">
        <f>"513628"</f>
        <v>513628</v>
      </c>
      <c r="B11371" s="2" t="str">
        <f>"FITA DUPLA FACE CAMINHÕES"</f>
        <v>FITA DUPLA FACE CAMINHÕES</v>
      </c>
      <c r="C11371" s="2" t="str">
        <f t="shared" si="443"/>
        <v>UN</v>
      </c>
      <c r="D11371" s="7">
        <v>99999</v>
      </c>
      <c r="E11371" s="3">
        <v>99</v>
      </c>
      <c r="F11371" s="3">
        <v>99</v>
      </c>
      <c r="G11371" t="s">
        <v>513</v>
      </c>
    </row>
    <row r="11372" spans="1:7" x14ac:dyDescent="0.25">
      <c r="A11372" s="1" t="str">
        <f>"511398"</f>
        <v>511398</v>
      </c>
      <c r="B11372" s="2" t="str">
        <f>"FITA INDUSTRIALIZADA BRANCA 5 X 2,60"</f>
        <v>FITA INDUSTRIALIZADA BRANCA 5 X 2,60</v>
      </c>
      <c r="C11372" s="2" t="str">
        <f t="shared" si="443"/>
        <v>UN</v>
      </c>
      <c r="D11372" s="7">
        <v>704</v>
      </c>
      <c r="E11372" s="3">
        <v>9</v>
      </c>
      <c r="F11372" s="3">
        <v>9</v>
      </c>
      <c r="G11372" t="s">
        <v>512</v>
      </c>
    </row>
    <row r="11373" spans="1:7" x14ac:dyDescent="0.25">
      <c r="A11373" s="1" t="str">
        <f>"513602"</f>
        <v>513602</v>
      </c>
      <c r="B11373" s="2" t="str">
        <f>"FITA ISOLANTE (CAMINHÕES)"</f>
        <v>FITA ISOLANTE (CAMINHÕES)</v>
      </c>
      <c r="C11373" s="2" t="str">
        <f>"PC"</f>
        <v>PC</v>
      </c>
      <c r="D11373" s="7">
        <v>402</v>
      </c>
      <c r="E11373" s="3">
        <v>4</v>
      </c>
      <c r="F11373" s="3">
        <v>4</v>
      </c>
      <c r="G11373" t="s">
        <v>513</v>
      </c>
    </row>
    <row r="11374" spans="1:7" x14ac:dyDescent="0.25">
      <c r="A11374" s="1" t="str">
        <f>"500012"</f>
        <v>500012</v>
      </c>
      <c r="B11374" s="2" t="str">
        <f>"FITA ISOLANTE 19MMX20MT"</f>
        <v>FITA ISOLANTE 19MMX20MT</v>
      </c>
      <c r="C11374" s="2" t="str">
        <f>"PC"</f>
        <v>PC</v>
      </c>
      <c r="D11374" s="7">
        <v>402</v>
      </c>
      <c r="E11374" s="3">
        <v>4</v>
      </c>
      <c r="F11374" s="3">
        <v>4</v>
      </c>
      <c r="G11374" t="s">
        <v>514</v>
      </c>
    </row>
    <row r="11375" spans="1:7" x14ac:dyDescent="0.25">
      <c r="A11375" s="1" t="str">
        <f>"503155"</f>
        <v>503155</v>
      </c>
      <c r="B11375" s="2" t="str">
        <f>"FITA ISOLANTE ALTA FUSAO"</f>
        <v>FITA ISOLANTE ALTA FUSAO</v>
      </c>
      <c r="C11375" s="2" t="str">
        <f t="shared" ref="C11375:C11384" si="444">"UN"</f>
        <v>UN</v>
      </c>
      <c r="D11375" s="7">
        <v>402</v>
      </c>
      <c r="E11375" s="3">
        <v>4</v>
      </c>
      <c r="F11375" s="3">
        <v>4</v>
      </c>
      <c r="G11375" t="s">
        <v>515</v>
      </c>
    </row>
    <row r="11376" spans="1:7" x14ac:dyDescent="0.25">
      <c r="A11376" s="1" t="str">
        <f>"525365"</f>
        <v>525365</v>
      </c>
      <c r="B11376" s="2" t="str">
        <f>"FITA ISOLANTE AZUL CLARO 10MT"</f>
        <v>FITA ISOLANTE AZUL CLARO 10MT</v>
      </c>
      <c r="C11376" s="2" t="str">
        <f t="shared" si="444"/>
        <v>UN</v>
      </c>
      <c r="D11376" s="7">
        <v>408</v>
      </c>
      <c r="E11376" s="3">
        <v>4</v>
      </c>
      <c r="F11376" s="3">
        <v>4</v>
      </c>
      <c r="G11376" t="s">
        <v>512</v>
      </c>
    </row>
    <row r="11377" spans="1:7" x14ac:dyDescent="0.25">
      <c r="A11377" s="1" t="str">
        <f>"509790"</f>
        <v>509790</v>
      </c>
      <c r="B11377" s="2" t="str">
        <f>"FITA ISOLANTE COLORIDA AM 10MT"</f>
        <v>FITA ISOLANTE COLORIDA AM 10MT</v>
      </c>
      <c r="C11377" s="2" t="str">
        <f t="shared" si="444"/>
        <v>UN</v>
      </c>
      <c r="D11377" s="7">
        <v>99999</v>
      </c>
      <c r="E11377" s="3">
        <v>99</v>
      </c>
      <c r="F11377" s="3">
        <v>99</v>
      </c>
      <c r="G11377" t="s">
        <v>516</v>
      </c>
    </row>
    <row r="11378" spans="1:7" x14ac:dyDescent="0.25">
      <c r="A11378" s="1" t="str">
        <f>"509792"</f>
        <v>509792</v>
      </c>
      <c r="B11378" s="2" t="str">
        <f>"FITA ISOLANTE COLORIDA AZ 10MT"</f>
        <v>FITA ISOLANTE COLORIDA AZ 10MT</v>
      </c>
      <c r="C11378" s="2" t="str">
        <f t="shared" si="444"/>
        <v>UN</v>
      </c>
      <c r="D11378" s="7">
        <v>900</v>
      </c>
      <c r="E11378" s="3">
        <v>11</v>
      </c>
      <c r="F11378" s="3">
        <v>11</v>
      </c>
      <c r="G11378" t="s">
        <v>515</v>
      </c>
    </row>
    <row r="11379" spans="1:7" x14ac:dyDescent="0.25">
      <c r="A11379" s="1" t="str">
        <f>"509791"</f>
        <v>509791</v>
      </c>
      <c r="B11379" s="2" t="str">
        <f>"FITA ISOLANTE COLORIDA BR 10MT"</f>
        <v>FITA ISOLANTE COLORIDA BR 10MT</v>
      </c>
      <c r="C11379" s="2" t="str">
        <f t="shared" si="444"/>
        <v>UN</v>
      </c>
      <c r="D11379" s="7">
        <v>900</v>
      </c>
      <c r="E11379" s="3">
        <v>11</v>
      </c>
      <c r="F11379" s="3">
        <v>11</v>
      </c>
      <c r="G11379" t="s">
        <v>514</v>
      </c>
    </row>
    <row r="11380" spans="1:7" x14ac:dyDescent="0.25">
      <c r="A11380" s="1" t="str">
        <f>"511667"</f>
        <v>511667</v>
      </c>
      <c r="B11380" s="2" t="str">
        <f>"FITA ISOLANTE COLORIDA VD 10M"</f>
        <v>FITA ISOLANTE COLORIDA VD 10M</v>
      </c>
      <c r="C11380" s="2" t="str">
        <f t="shared" si="444"/>
        <v>UN</v>
      </c>
      <c r="D11380" s="7">
        <v>600</v>
      </c>
      <c r="E11380" s="3">
        <v>8</v>
      </c>
      <c r="F11380" s="3">
        <v>8</v>
      </c>
      <c r="G11380" t="s">
        <v>512</v>
      </c>
    </row>
    <row r="11381" spans="1:7" x14ac:dyDescent="0.25">
      <c r="A11381" s="1" t="str">
        <f>"509789"</f>
        <v>509789</v>
      </c>
      <c r="B11381" s="2" t="str">
        <f>"FITA ISOLANTE COLORIDA VM 10MT"</f>
        <v>FITA ISOLANTE COLORIDA VM 10MT</v>
      </c>
      <c r="C11381" s="2" t="str">
        <f t="shared" si="444"/>
        <v>UN</v>
      </c>
      <c r="D11381" s="7">
        <v>900</v>
      </c>
      <c r="E11381" s="3">
        <v>11</v>
      </c>
      <c r="F11381" s="3">
        <v>11</v>
      </c>
      <c r="G11381" t="s">
        <v>513</v>
      </c>
    </row>
    <row r="11382" spans="1:7" x14ac:dyDescent="0.25">
      <c r="A11382" s="1" t="str">
        <f>"507056"</f>
        <v>507056</v>
      </c>
      <c r="B11382" s="2" t="str">
        <f>"FITA ISOLANTE LIQUIDA"</f>
        <v>FITA ISOLANTE LIQUIDA</v>
      </c>
      <c r="C11382" s="2" t="str">
        <f t="shared" si="444"/>
        <v>UN</v>
      </c>
      <c r="D11382" s="7">
        <v>600</v>
      </c>
      <c r="E11382" s="3">
        <v>8</v>
      </c>
      <c r="F11382" s="3">
        <v>8</v>
      </c>
      <c r="G11382" t="s">
        <v>514</v>
      </c>
    </row>
    <row r="11383" spans="1:7" x14ac:dyDescent="0.25">
      <c r="A11383" s="1" t="str">
        <f>"515199"</f>
        <v>515199</v>
      </c>
      <c r="B11383" s="2" t="str">
        <f>"FITA LTO 3 400/800GB"</f>
        <v>FITA LTO 3 400/800GB</v>
      </c>
      <c r="C11383" s="2" t="str">
        <f t="shared" si="444"/>
        <v>UN</v>
      </c>
      <c r="D11383" s="7">
        <v>401</v>
      </c>
      <c r="E11383" s="3">
        <v>4</v>
      </c>
      <c r="F11383" s="3">
        <v>4</v>
      </c>
      <c r="G11383" t="s">
        <v>514</v>
      </c>
    </row>
    <row r="11384" spans="1:7" x14ac:dyDescent="0.25">
      <c r="A11384" s="1" t="str">
        <f>"501865"</f>
        <v>501865</v>
      </c>
      <c r="B11384" s="2" t="str">
        <f>"FITA M231 P/ MAQUINA DE ESCREVER"</f>
        <v>FITA M231 P/ MAQUINA DE ESCREVER</v>
      </c>
      <c r="C11384" s="2" t="str">
        <f t="shared" si="444"/>
        <v>UN</v>
      </c>
      <c r="D11384" s="7">
        <v>402</v>
      </c>
      <c r="E11384" s="3">
        <v>4</v>
      </c>
      <c r="F11384" s="3">
        <v>4</v>
      </c>
      <c r="G11384" t="s">
        <v>512</v>
      </c>
    </row>
    <row r="11385" spans="1:7" x14ac:dyDescent="0.25">
      <c r="A11385" s="1" t="str">
        <f>"523305"</f>
        <v>523305</v>
      </c>
      <c r="B11385" s="2" t="str">
        <f>"FITA METALICA PERFURADA"</f>
        <v>FITA METALICA PERFURADA</v>
      </c>
      <c r="C11385" s="2" t="str">
        <f>"BR"</f>
        <v>BR</v>
      </c>
      <c r="D11385" s="7">
        <v>917</v>
      </c>
      <c r="E11385" s="3">
        <v>10</v>
      </c>
      <c r="F11385" s="3">
        <v>10</v>
      </c>
      <c r="G11385" t="s">
        <v>513</v>
      </c>
    </row>
    <row r="11386" spans="1:7" x14ac:dyDescent="0.25">
      <c r="A11386" s="1" t="str">
        <f>"839"</f>
        <v>839</v>
      </c>
      <c r="B11386" s="2" t="str">
        <f>"FITA MPM JR 7,5/0,080 PARA LEITE UHT"</f>
        <v>FITA MPM JR 7,5/0,080 PARA LEITE UHT</v>
      </c>
      <c r="C11386" s="2" t="str">
        <f>"KG"</f>
        <v>KG</v>
      </c>
      <c r="D11386" s="7">
        <v>301</v>
      </c>
      <c r="E11386" s="3">
        <v>1</v>
      </c>
      <c r="F11386" s="3">
        <v>1</v>
      </c>
      <c r="G11386" t="s">
        <v>514</v>
      </c>
    </row>
    <row r="11387" spans="1:7" x14ac:dyDescent="0.25">
      <c r="A11387" s="1" t="str">
        <f>"519065"</f>
        <v>519065</v>
      </c>
      <c r="B11387" s="2" t="str">
        <f>"FITA MPM JR 7,5X0,08MM"</f>
        <v>FITA MPM JR 7,5X0,08MM</v>
      </c>
      <c r="C11387" s="2" t="str">
        <f>"UN"</f>
        <v>UN</v>
      </c>
      <c r="D11387" s="7">
        <v>108</v>
      </c>
      <c r="E11387" s="3">
        <v>1</v>
      </c>
      <c r="F11387" s="3">
        <v>1</v>
      </c>
      <c r="G11387" t="s">
        <v>514</v>
      </c>
    </row>
    <row r="11388" spans="1:7" x14ac:dyDescent="0.25">
      <c r="A11388" s="1" t="str">
        <f>"519946"</f>
        <v>519946</v>
      </c>
      <c r="B11388" s="2" t="str">
        <f>"FITA MULT-USO VEDACIT AUTO ADESIVA 300MM"</f>
        <v>FITA MULT-USO VEDACIT AUTO ADESIVA 300MM</v>
      </c>
      <c r="C11388" s="2" t="str">
        <f>"MT"</f>
        <v>MT</v>
      </c>
      <c r="D11388" s="7">
        <v>808</v>
      </c>
      <c r="E11388" s="3">
        <v>10</v>
      </c>
      <c r="F11388" s="3">
        <v>10</v>
      </c>
      <c r="G11388" t="s">
        <v>514</v>
      </c>
    </row>
    <row r="11389" spans="1:7" x14ac:dyDescent="0.25">
      <c r="A11389" s="1" t="str">
        <f>"505819"</f>
        <v>505819</v>
      </c>
      <c r="B11389" s="2" t="str">
        <f>"FITA NIQUEL CROMO 8020 - 10CM X 1,00MM"</f>
        <v>FITA NIQUEL CROMO 8020 - 10CM X 1,00MM</v>
      </c>
      <c r="C11389" s="2" t="str">
        <f>"UN"</f>
        <v>UN</v>
      </c>
      <c r="D11389" s="7">
        <v>900</v>
      </c>
      <c r="E11389" s="3">
        <v>11</v>
      </c>
      <c r="F11389" s="3">
        <v>11</v>
      </c>
      <c r="G11389" t="s">
        <v>513</v>
      </c>
    </row>
    <row r="11390" spans="1:7" x14ac:dyDescent="0.25">
      <c r="A11390" s="1" t="str">
        <f>"519741"</f>
        <v>519741</v>
      </c>
      <c r="B11390" s="2" t="str">
        <f>"FITA NIQUEL CROMO ZWAEST150 (X4P2002)"</f>
        <v>FITA NIQUEL CROMO ZWAEST150 (X4P2002)</v>
      </c>
      <c r="C11390" s="2" t="str">
        <f>"MT"</f>
        <v>MT</v>
      </c>
      <c r="D11390" s="7">
        <v>900</v>
      </c>
      <c r="E11390" s="3">
        <v>11</v>
      </c>
      <c r="F11390" s="3">
        <v>11</v>
      </c>
      <c r="G11390" t="s">
        <v>512</v>
      </c>
    </row>
    <row r="11391" spans="1:7" x14ac:dyDescent="0.25">
      <c r="A11391" s="1" t="str">
        <f>"517489"</f>
        <v>517489</v>
      </c>
      <c r="B11391" s="2" t="str">
        <f>"FITA P/ EMENDA ELASTOMERICA 48MMX3MMX10M"</f>
        <v>FITA P/ EMENDA ELASTOMERICA 48MMX3MMX10M</v>
      </c>
      <c r="C11391" s="2" t="str">
        <f>"UN"</f>
        <v>UN</v>
      </c>
      <c r="D11391" s="7">
        <v>918</v>
      </c>
      <c r="E11391" s="3">
        <v>10</v>
      </c>
      <c r="F11391" s="3">
        <v>10</v>
      </c>
      <c r="G11391" t="s">
        <v>513</v>
      </c>
    </row>
    <row r="11392" spans="1:7" x14ac:dyDescent="0.25">
      <c r="A11392" s="1" t="str">
        <f>"3318"</f>
        <v>3318</v>
      </c>
      <c r="B11392" s="2" t="str">
        <f>"FITA P/ IMPRESSORA EPSON FX 2190"</f>
        <v>FITA P/ IMPRESSORA EPSON FX 2190</v>
      </c>
      <c r="C11392" s="2" t="str">
        <f>"PC"</f>
        <v>PC</v>
      </c>
      <c r="D11392" s="7">
        <v>401</v>
      </c>
      <c r="E11392" s="3">
        <v>4</v>
      </c>
      <c r="F11392" s="3">
        <v>4</v>
      </c>
      <c r="G11392" t="s">
        <v>514</v>
      </c>
    </row>
    <row r="11393" spans="1:7" x14ac:dyDescent="0.25">
      <c r="A11393" s="1" t="str">
        <f>"2253"</f>
        <v>2253</v>
      </c>
      <c r="B11393" s="2" t="str">
        <f>"FITA P/ IMPRESSORA EPSON FX-2170"</f>
        <v>FITA P/ IMPRESSORA EPSON FX-2170</v>
      </c>
      <c r="C11393" s="2" t="str">
        <f>"PC"</f>
        <v>PC</v>
      </c>
      <c r="D11393" s="7">
        <v>401</v>
      </c>
      <c r="E11393" s="3">
        <v>4</v>
      </c>
      <c r="F11393" s="3">
        <v>4</v>
      </c>
      <c r="G11393" t="s">
        <v>514</v>
      </c>
    </row>
    <row r="11394" spans="1:7" x14ac:dyDescent="0.25">
      <c r="A11394" s="1" t="str">
        <f>"2252"</f>
        <v>2252</v>
      </c>
      <c r="B11394" s="2" t="str">
        <f>"FITA P/ IMPRESSORA EPSON FX-890"</f>
        <v>FITA P/ IMPRESSORA EPSON FX-890</v>
      </c>
      <c r="C11394" s="2" t="str">
        <f>"PC"</f>
        <v>PC</v>
      </c>
      <c r="D11394" s="7">
        <v>401</v>
      </c>
      <c r="E11394" s="3">
        <v>4</v>
      </c>
      <c r="F11394" s="3">
        <v>4</v>
      </c>
      <c r="G11394" t="s">
        <v>514</v>
      </c>
    </row>
    <row r="11395" spans="1:7" x14ac:dyDescent="0.25">
      <c r="A11395" s="1" t="str">
        <f>"2254"</f>
        <v>2254</v>
      </c>
      <c r="B11395" s="2" t="str">
        <f>"FITA P/ IMPRESSORA EPSON LX-300"</f>
        <v>FITA P/ IMPRESSORA EPSON LX-300</v>
      </c>
      <c r="C11395" s="2" t="str">
        <f>"PC"</f>
        <v>PC</v>
      </c>
      <c r="D11395" s="7">
        <v>401</v>
      </c>
      <c r="E11395" s="3">
        <v>4</v>
      </c>
      <c r="F11395" s="3">
        <v>4</v>
      </c>
      <c r="G11395" t="s">
        <v>513</v>
      </c>
    </row>
    <row r="11396" spans="1:7" x14ac:dyDescent="0.25">
      <c r="A11396" s="1" t="str">
        <f>"2255"</f>
        <v>2255</v>
      </c>
      <c r="B11396" s="2" t="str">
        <f>"FITA P/ IMPRESSORA EPSON MX-100"</f>
        <v>FITA P/ IMPRESSORA EPSON MX-100</v>
      </c>
      <c r="C11396" s="2" t="str">
        <f>"PC"</f>
        <v>PC</v>
      </c>
      <c r="D11396" s="7">
        <v>401</v>
      </c>
      <c r="E11396" s="3">
        <v>4</v>
      </c>
      <c r="F11396" s="3">
        <v>4</v>
      </c>
      <c r="G11396" t="s">
        <v>513</v>
      </c>
    </row>
    <row r="11397" spans="1:7" x14ac:dyDescent="0.25">
      <c r="A11397" s="1" t="str">
        <f>"521895"</f>
        <v>521895</v>
      </c>
      <c r="B11397" s="2" t="str">
        <f>"FITA P/ ROTULADOR MANUAL"</f>
        <v>FITA P/ ROTULADOR MANUAL</v>
      </c>
      <c r="C11397" s="2" t="str">
        <f t="shared" ref="C11397:C11419" si="445">"UN"</f>
        <v>UN</v>
      </c>
      <c r="D11397" s="7">
        <v>99999</v>
      </c>
      <c r="E11397" s="3">
        <v>99</v>
      </c>
      <c r="F11397" s="3">
        <v>99</v>
      </c>
      <c r="G11397" t="s">
        <v>513</v>
      </c>
    </row>
    <row r="11398" spans="1:7" x14ac:dyDescent="0.25">
      <c r="A11398" s="1" t="str">
        <f>"518546"</f>
        <v>518546</v>
      </c>
      <c r="B11398" s="2" t="str">
        <f>"FITA PVC S/ ADESIVO 100MM X 10M BRANCO"</f>
        <v>FITA PVC S/ ADESIVO 100MM X 10M BRANCO</v>
      </c>
      <c r="C11398" s="2" t="str">
        <f t="shared" si="445"/>
        <v>UN</v>
      </c>
      <c r="D11398" s="7">
        <v>916</v>
      </c>
      <c r="E11398" s="3">
        <v>10</v>
      </c>
      <c r="F11398" s="3">
        <v>10</v>
      </c>
      <c r="G11398" t="s">
        <v>512</v>
      </c>
    </row>
    <row r="11399" spans="1:7" x14ac:dyDescent="0.25">
      <c r="A11399" s="1" t="str">
        <f>"517487"</f>
        <v>517487</v>
      </c>
      <c r="B11399" s="2" t="str">
        <f>"FITA PVC S/ADESIVO 100MM X 50MM P/ TUBO ESP BCO"</f>
        <v>FITA PVC S/ADESIVO 100MM X 50MM P/ TUBO ESP BCO</v>
      </c>
      <c r="C11399" s="2" t="str">
        <f t="shared" si="445"/>
        <v>UN</v>
      </c>
      <c r="D11399" s="7">
        <v>918</v>
      </c>
      <c r="E11399" s="3">
        <v>10</v>
      </c>
      <c r="F11399" s="3">
        <v>10</v>
      </c>
      <c r="G11399" t="s">
        <v>513</v>
      </c>
    </row>
    <row r="11400" spans="1:7" x14ac:dyDescent="0.25">
      <c r="A11400" s="1" t="str">
        <f>"501582"</f>
        <v>501582</v>
      </c>
      <c r="B11400" s="2" t="str">
        <f>"FITA REFLETIVA"</f>
        <v>FITA REFLETIVA</v>
      </c>
      <c r="C11400" s="2" t="str">
        <f t="shared" si="445"/>
        <v>UN</v>
      </c>
      <c r="D11400" s="7">
        <v>704</v>
      </c>
      <c r="E11400" s="3">
        <v>9</v>
      </c>
      <c r="F11400" s="3">
        <v>9</v>
      </c>
      <c r="G11400" t="s">
        <v>514</v>
      </c>
    </row>
    <row r="11401" spans="1:7" x14ac:dyDescent="0.25">
      <c r="A11401" s="1" t="str">
        <f>"503285"</f>
        <v>503285</v>
      </c>
      <c r="B11401" s="2" t="str">
        <f>"FITA TEFLONADA 13MM C/A 30MT SAQUINHO"</f>
        <v>FITA TEFLONADA 13MM C/A 30MT SAQUINHO</v>
      </c>
      <c r="C11401" s="2" t="str">
        <f t="shared" si="445"/>
        <v>UN</v>
      </c>
      <c r="D11401" s="7">
        <v>918</v>
      </c>
      <c r="E11401" s="3">
        <v>11</v>
      </c>
      <c r="F11401" s="3">
        <v>11</v>
      </c>
      <c r="G11401" t="s">
        <v>515</v>
      </c>
    </row>
    <row r="11402" spans="1:7" x14ac:dyDescent="0.25">
      <c r="A11402" s="1" t="str">
        <f>"509310"</f>
        <v>509310</v>
      </c>
      <c r="B11402" s="2" t="str">
        <f>"FITA TEFLONADA 19MM C/A 30MT SAQUINHO"</f>
        <v>FITA TEFLONADA 19MM C/A 30MT SAQUINHO</v>
      </c>
      <c r="C11402" s="2" t="str">
        <f t="shared" si="445"/>
        <v>UN</v>
      </c>
      <c r="D11402" s="7">
        <v>918</v>
      </c>
      <c r="E11402" s="3">
        <v>11</v>
      </c>
      <c r="F11402" s="3">
        <v>11</v>
      </c>
      <c r="G11402" t="s">
        <v>512</v>
      </c>
    </row>
    <row r="11403" spans="1:7" x14ac:dyDescent="0.25">
      <c r="A11403" s="1" t="str">
        <f>"509210"</f>
        <v>509210</v>
      </c>
      <c r="B11403" s="2" t="str">
        <f>"FITA TEFLONADA 20MM C/A 30MT SAQUINHO"</f>
        <v>FITA TEFLONADA 20MM C/A 30MT SAQUINHO</v>
      </c>
      <c r="C11403" s="2" t="str">
        <f t="shared" si="445"/>
        <v>UN</v>
      </c>
      <c r="D11403" s="7">
        <v>918</v>
      </c>
      <c r="E11403" s="3">
        <v>11</v>
      </c>
      <c r="F11403" s="3">
        <v>11</v>
      </c>
      <c r="G11403" t="s">
        <v>516</v>
      </c>
    </row>
    <row r="11404" spans="1:7" x14ac:dyDescent="0.25">
      <c r="A11404" s="1" t="str">
        <f>"512422"</f>
        <v>512422</v>
      </c>
      <c r="B11404" s="2" t="str">
        <f>"FITA TEFLONADA 30MM C/A 30MT SAQUINHO"</f>
        <v>FITA TEFLONADA 30MM C/A 30MT SAQUINHO</v>
      </c>
      <c r="C11404" s="2" t="str">
        <f t="shared" si="445"/>
        <v>UN</v>
      </c>
      <c r="D11404" s="7">
        <v>918</v>
      </c>
      <c r="E11404" s="3">
        <v>11</v>
      </c>
      <c r="F11404" s="3">
        <v>11</v>
      </c>
      <c r="G11404" t="s">
        <v>515</v>
      </c>
    </row>
    <row r="11405" spans="1:7" x14ac:dyDescent="0.25">
      <c r="A11405" s="1" t="str">
        <f>"511460"</f>
        <v>511460</v>
      </c>
      <c r="B11405" s="2" t="str">
        <f>"FITA TEFLONADA 50MM X 15 MICRAS"</f>
        <v>FITA TEFLONADA 50MM X 15 MICRAS</v>
      </c>
      <c r="C11405" s="2" t="str">
        <f t="shared" si="445"/>
        <v>UN</v>
      </c>
      <c r="D11405" s="7">
        <v>918</v>
      </c>
      <c r="E11405" s="3">
        <v>11</v>
      </c>
      <c r="F11405" s="3">
        <v>11</v>
      </c>
      <c r="G11405" t="s">
        <v>514</v>
      </c>
    </row>
    <row r="11406" spans="1:7" x14ac:dyDescent="0.25">
      <c r="A11406" s="1" t="str">
        <f>"521197"</f>
        <v>521197</v>
      </c>
      <c r="B11406" s="2" t="str">
        <f>"FITA TESTE CLORO LIVRE MICRO 7 MICRO 20 (100 TESTES)"</f>
        <v>FITA TESTE CLORO LIVRE MICRO 7 MICRO 20 (100 TESTES)</v>
      </c>
      <c r="C11406" s="2" t="str">
        <f t="shared" si="445"/>
        <v>UN</v>
      </c>
      <c r="D11406" s="7">
        <v>406</v>
      </c>
      <c r="E11406" s="3">
        <v>4</v>
      </c>
      <c r="F11406" s="3">
        <v>4</v>
      </c>
      <c r="G11406" t="s">
        <v>512</v>
      </c>
    </row>
    <row r="11407" spans="1:7" x14ac:dyDescent="0.25">
      <c r="A11407" s="1" t="str">
        <f>"507169"</f>
        <v>507169</v>
      </c>
      <c r="B11407" s="2" t="str">
        <f>"FITA ZEBRADA 200MT PRETA/AMARELA"</f>
        <v>FITA ZEBRADA 200MT PRETA/AMARELA</v>
      </c>
      <c r="C11407" s="2" t="str">
        <f t="shared" si="445"/>
        <v>UN</v>
      </c>
      <c r="D11407" s="7">
        <v>919</v>
      </c>
      <c r="E11407" s="3">
        <v>10</v>
      </c>
      <c r="F11407" s="3">
        <v>10</v>
      </c>
      <c r="G11407" t="s">
        <v>513</v>
      </c>
    </row>
    <row r="11408" spans="1:7" x14ac:dyDescent="0.25">
      <c r="A11408" s="1" t="str">
        <f>"520958"</f>
        <v>520958</v>
      </c>
      <c r="B11408" s="2" t="str">
        <f>"FITAS TESTE ACIDO PERACETICO 50 A 500 MG/L (PPM) (1 CAIXA)"</f>
        <v>FITAS TESTE ACIDO PERACETICO 50 A 500 MG/L (PPM) (1 CAIXA)</v>
      </c>
      <c r="C11408" s="2" t="str">
        <f t="shared" si="445"/>
        <v>UN</v>
      </c>
      <c r="D11408" s="7">
        <v>406</v>
      </c>
      <c r="E11408" s="3">
        <v>4</v>
      </c>
      <c r="F11408" s="3">
        <v>4</v>
      </c>
      <c r="G11408" t="s">
        <v>514</v>
      </c>
    </row>
    <row r="11409" spans="1:7" x14ac:dyDescent="0.25">
      <c r="A11409" s="1" t="str">
        <f>"517990"</f>
        <v>517990</v>
      </c>
      <c r="B11409" s="2" t="str">
        <f>"FITAS TESTE CLORO LIVRE PARA MICRO 7 PLUS (100 TESTES)"</f>
        <v>FITAS TESTE CLORO LIVRE PARA MICRO 7 PLUS (100 TESTES)</v>
      </c>
      <c r="C11409" s="2" t="str">
        <f t="shared" si="445"/>
        <v>UN</v>
      </c>
      <c r="D11409" s="7">
        <v>811</v>
      </c>
      <c r="E11409" s="3">
        <v>8</v>
      </c>
      <c r="F11409" s="3">
        <v>8</v>
      </c>
      <c r="G11409" t="s">
        <v>514</v>
      </c>
    </row>
    <row r="11410" spans="1:7" x14ac:dyDescent="0.25">
      <c r="A11410" s="1" t="str">
        <f>"517989"</f>
        <v>517989</v>
      </c>
      <c r="B11410" s="2" t="str">
        <f>"FITAS TESTE PH PARA MICRO 7 PLUS (100 TESTES)"</f>
        <v>FITAS TESTE PH PARA MICRO 7 PLUS (100 TESTES)</v>
      </c>
      <c r="C11410" s="2" t="str">
        <f t="shared" si="445"/>
        <v>UN</v>
      </c>
      <c r="D11410" s="7">
        <v>811</v>
      </c>
      <c r="E11410" s="3">
        <v>8</v>
      </c>
      <c r="F11410" s="3">
        <v>8</v>
      </c>
      <c r="G11410" t="s">
        <v>512</v>
      </c>
    </row>
    <row r="11411" spans="1:7" x14ac:dyDescent="0.25">
      <c r="A11411" s="1" t="str">
        <f>"515510"</f>
        <v>515510</v>
      </c>
      <c r="B11411" s="2" t="str">
        <f>"FITILHO"</f>
        <v>FITILHO</v>
      </c>
      <c r="C11411" s="2" t="str">
        <f t="shared" si="445"/>
        <v>UN</v>
      </c>
      <c r="D11411" s="7">
        <v>401</v>
      </c>
      <c r="E11411" s="3">
        <v>4</v>
      </c>
      <c r="F11411" s="3">
        <v>4</v>
      </c>
      <c r="G11411" t="s">
        <v>513</v>
      </c>
    </row>
    <row r="11412" spans="1:7" x14ac:dyDescent="0.25">
      <c r="A11412" s="1" t="str">
        <f>"525144"</f>
        <v>525144</v>
      </c>
      <c r="B11412" s="2" t="str">
        <f>"FIXAÇÃO DE SUPORTE"</f>
        <v>FIXAÇÃO DE SUPORTE</v>
      </c>
      <c r="C11412" s="2" t="str">
        <f t="shared" si="445"/>
        <v>UN</v>
      </c>
      <c r="D11412" s="7">
        <v>99999</v>
      </c>
      <c r="E11412" s="3">
        <v>99</v>
      </c>
      <c r="F11412" s="3">
        <v>99</v>
      </c>
      <c r="G11412" t="s">
        <v>514</v>
      </c>
    </row>
    <row r="11413" spans="1:7" x14ac:dyDescent="0.25">
      <c r="A11413" s="1" t="str">
        <f>"521785"</f>
        <v>521785</v>
      </c>
      <c r="B11413" s="2" t="str">
        <f>"FIXAÇÃO DIAFRAGMA COD9900109056 P/ BOMBA MS1B108A31C400"</f>
        <v>FIXAÇÃO DIAFRAGMA COD9900109056 P/ BOMBA MS1B108A31C400</v>
      </c>
      <c r="C11413" s="2" t="str">
        <f t="shared" si="445"/>
        <v>UN</v>
      </c>
      <c r="D11413" s="7">
        <v>918</v>
      </c>
      <c r="E11413" s="3">
        <v>4</v>
      </c>
      <c r="F11413" s="3">
        <v>4</v>
      </c>
      <c r="G11413" t="s">
        <v>514</v>
      </c>
    </row>
    <row r="11414" spans="1:7" x14ac:dyDescent="0.25">
      <c r="A11414" s="1" t="str">
        <f>"517448"</f>
        <v>517448</v>
      </c>
      <c r="B11414" s="2" t="str">
        <f>"FIXAÇAO FESTO SNCB-32"</f>
        <v>FIXAÇAO FESTO SNCB-32</v>
      </c>
      <c r="C11414" s="2" t="str">
        <f t="shared" si="445"/>
        <v>UN</v>
      </c>
      <c r="D11414" s="7">
        <v>913</v>
      </c>
      <c r="E11414" s="3">
        <v>11</v>
      </c>
      <c r="F11414" s="3">
        <v>11</v>
      </c>
      <c r="G11414" t="s">
        <v>514</v>
      </c>
    </row>
    <row r="11415" spans="1:7" x14ac:dyDescent="0.25">
      <c r="A11415" s="1" t="str">
        <f>"517445"</f>
        <v>517445</v>
      </c>
      <c r="B11415" s="2" t="str">
        <f>"FIXAÇAO FESTO SNCL-32"</f>
        <v>FIXAÇAO FESTO SNCL-32</v>
      </c>
      <c r="C11415" s="2" t="str">
        <f t="shared" si="445"/>
        <v>UN</v>
      </c>
      <c r="D11415" s="7">
        <v>913</v>
      </c>
      <c r="E11415" s="3">
        <v>11</v>
      </c>
      <c r="F11415" s="3">
        <v>11</v>
      </c>
      <c r="G11415" t="s">
        <v>513</v>
      </c>
    </row>
    <row r="11416" spans="1:7" x14ac:dyDescent="0.25">
      <c r="A11416" s="1" t="str">
        <f>"516174"</f>
        <v>516174</v>
      </c>
      <c r="B11416" s="2" t="str">
        <f>"FIXAÇÃO MS6-MV"</f>
        <v>FIXAÇÃO MS6-MV</v>
      </c>
      <c r="C11416" s="2" t="str">
        <f t="shared" si="445"/>
        <v>UN</v>
      </c>
      <c r="D11416" s="7">
        <v>913</v>
      </c>
      <c r="E11416" s="3">
        <v>11</v>
      </c>
      <c r="F11416" s="3">
        <v>11</v>
      </c>
      <c r="G11416" t="s">
        <v>512</v>
      </c>
    </row>
    <row r="11417" spans="1:7" x14ac:dyDescent="0.25">
      <c r="A11417" s="1" t="str">
        <f>"523156"</f>
        <v>523156</v>
      </c>
      <c r="B11417" s="8" t="s">
        <v>362</v>
      </c>
      <c r="C11417" s="2" t="str">
        <f t="shared" si="445"/>
        <v>UN</v>
      </c>
      <c r="D11417" s="7">
        <v>901</v>
      </c>
      <c r="E11417" s="3">
        <v>10</v>
      </c>
      <c r="F11417" s="3">
        <v>10</v>
      </c>
      <c r="G11417" t="s">
        <v>513</v>
      </c>
    </row>
    <row r="11418" spans="1:7" x14ac:dyDescent="0.25">
      <c r="A11418" s="1" t="str">
        <f>"511885"</f>
        <v>511885</v>
      </c>
      <c r="B11418" s="2" t="str">
        <f>"FIXAÇAO OSCILANTE SNC -32"</f>
        <v>FIXAÇAO OSCILANTE SNC -32</v>
      </c>
      <c r="C11418" s="2" t="str">
        <f t="shared" si="445"/>
        <v>UN</v>
      </c>
      <c r="D11418" s="7">
        <v>913</v>
      </c>
      <c r="E11418" s="3">
        <v>11</v>
      </c>
      <c r="F11418" s="3">
        <v>11</v>
      </c>
      <c r="G11418" t="s">
        <v>514</v>
      </c>
    </row>
    <row r="11419" spans="1:7" x14ac:dyDescent="0.25">
      <c r="A11419" s="1" t="str">
        <f>"517625"</f>
        <v>517625</v>
      </c>
      <c r="B11419" s="2" t="str">
        <f>"FIXAÇAO OSCILANTE SNCB-32 - INOX"</f>
        <v>FIXAÇAO OSCILANTE SNCB-32 - INOX</v>
      </c>
      <c r="C11419" s="2" t="str">
        <f t="shared" si="445"/>
        <v>UN</v>
      </c>
      <c r="D11419" s="7">
        <v>913</v>
      </c>
      <c r="E11419" s="3">
        <v>11</v>
      </c>
      <c r="F11419" s="3">
        <v>11</v>
      </c>
      <c r="G11419" t="s">
        <v>514</v>
      </c>
    </row>
    <row r="11420" spans="1:7" x14ac:dyDescent="0.25">
      <c r="A11420" s="1" t="str">
        <f>"512338"</f>
        <v>512338</v>
      </c>
      <c r="B11420" s="2" t="str">
        <f>"FIXAÇAO OSCILANTE SNCB-40"</f>
        <v>FIXAÇAO OSCILANTE SNCB-40</v>
      </c>
      <c r="C11420" s="2" t="str">
        <f>"PC"</f>
        <v>PC</v>
      </c>
      <c r="D11420" s="7">
        <v>913</v>
      </c>
      <c r="E11420" s="3">
        <v>11</v>
      </c>
      <c r="F11420" s="3">
        <v>11</v>
      </c>
      <c r="G11420" t="s">
        <v>514</v>
      </c>
    </row>
    <row r="11421" spans="1:7" x14ac:dyDescent="0.25">
      <c r="A11421" s="1" t="str">
        <f>"517450"</f>
        <v>517450</v>
      </c>
      <c r="B11421" s="2" t="str">
        <f>"FIXAÇAO OSCILANTE SNCB-50"</f>
        <v>FIXAÇAO OSCILANTE SNCB-50</v>
      </c>
      <c r="C11421" s="2" t="str">
        <f>"UN"</f>
        <v>UN</v>
      </c>
      <c r="D11421" s="7">
        <v>913</v>
      </c>
      <c r="E11421" s="3">
        <v>11</v>
      </c>
      <c r="F11421" s="3">
        <v>11</v>
      </c>
      <c r="G11421" t="s">
        <v>513</v>
      </c>
    </row>
    <row r="11422" spans="1:7" x14ac:dyDescent="0.25">
      <c r="A11422" s="1" t="str">
        <f>"517449"</f>
        <v>517449</v>
      </c>
      <c r="B11422" s="2" t="str">
        <f>"FIXAÇAO OSCILANTE SNCB-63"</f>
        <v>FIXAÇAO OSCILANTE SNCB-63</v>
      </c>
      <c r="C11422" s="2" t="str">
        <f>"UN"</f>
        <v>UN</v>
      </c>
      <c r="D11422" s="7">
        <v>913</v>
      </c>
      <c r="E11422" s="3">
        <v>11</v>
      </c>
      <c r="F11422" s="3">
        <v>11</v>
      </c>
      <c r="G11422" t="s">
        <v>513</v>
      </c>
    </row>
    <row r="11423" spans="1:7" x14ac:dyDescent="0.25">
      <c r="A11423" s="1" t="str">
        <f>"511233"</f>
        <v>511233</v>
      </c>
      <c r="B11423" s="2" t="str">
        <f>"FIXAÇAO OSCILANTE SNCB-80"</f>
        <v>FIXAÇAO OSCILANTE SNCB-80</v>
      </c>
      <c r="C11423" s="2" t="str">
        <f>"UN"</f>
        <v>UN</v>
      </c>
      <c r="D11423" s="7">
        <v>913</v>
      </c>
      <c r="E11423" s="3">
        <v>11</v>
      </c>
      <c r="F11423" s="3">
        <v>11</v>
      </c>
      <c r="G11423" t="s">
        <v>513</v>
      </c>
    </row>
    <row r="11424" spans="1:7" x14ac:dyDescent="0.25">
      <c r="A11424" s="1" t="str">
        <f>"512339"</f>
        <v>512339</v>
      </c>
      <c r="B11424" s="2" t="str">
        <f>"FIXAÇAO OSCILANTE SNCL-40"</f>
        <v>FIXAÇAO OSCILANTE SNCL-40</v>
      </c>
      <c r="C11424" s="2" t="str">
        <f>"PC"</f>
        <v>PC</v>
      </c>
      <c r="D11424" s="7">
        <v>913</v>
      </c>
      <c r="E11424" s="3">
        <v>11</v>
      </c>
      <c r="F11424" s="3">
        <v>11</v>
      </c>
      <c r="G11424" t="s">
        <v>512</v>
      </c>
    </row>
    <row r="11425" spans="1:7" x14ac:dyDescent="0.25">
      <c r="A11425" s="1" t="str">
        <f>"517447"</f>
        <v>517447</v>
      </c>
      <c r="B11425" s="2" t="str">
        <f>"FIXAÇAO OSCILANTE SNCL-50"</f>
        <v>FIXAÇAO OSCILANTE SNCL-50</v>
      </c>
      <c r="C11425" s="2" t="str">
        <f>"UN"</f>
        <v>UN</v>
      </c>
      <c r="D11425" s="7">
        <v>913</v>
      </c>
      <c r="E11425" s="3">
        <v>11</v>
      </c>
      <c r="F11425" s="3">
        <v>11</v>
      </c>
      <c r="G11425" t="s">
        <v>513</v>
      </c>
    </row>
    <row r="11426" spans="1:7" x14ac:dyDescent="0.25">
      <c r="A11426" s="1" t="str">
        <f>"517446"</f>
        <v>517446</v>
      </c>
      <c r="B11426" s="2" t="str">
        <f>"FIXAÇAO OSCILANTE SNCL-63 174407"</f>
        <v>FIXAÇAO OSCILANTE SNCL-63 174407</v>
      </c>
      <c r="C11426" s="2" t="str">
        <f>"UN"</f>
        <v>UN</v>
      </c>
      <c r="D11426" s="7">
        <v>913</v>
      </c>
      <c r="E11426" s="3">
        <v>11</v>
      </c>
      <c r="F11426" s="3">
        <v>11</v>
      </c>
      <c r="G11426" t="s">
        <v>514</v>
      </c>
    </row>
    <row r="11427" spans="1:7" x14ac:dyDescent="0.25">
      <c r="A11427" s="1" t="str">
        <f>"511232"</f>
        <v>511232</v>
      </c>
      <c r="B11427" s="2" t="str">
        <f>"FIXAÇAO OSCILANTE SNCL-80"</f>
        <v>FIXAÇAO OSCILANTE SNCL-80</v>
      </c>
      <c r="C11427" s="2" t="str">
        <f>"UN"</f>
        <v>UN</v>
      </c>
      <c r="D11427" s="7">
        <v>913</v>
      </c>
      <c r="E11427" s="3">
        <v>11</v>
      </c>
      <c r="F11427" s="3">
        <v>11</v>
      </c>
      <c r="G11427" t="s">
        <v>515</v>
      </c>
    </row>
    <row r="11428" spans="1:7" x14ac:dyDescent="0.25">
      <c r="A11428" s="1" t="str">
        <f>"511884"</f>
        <v>511884</v>
      </c>
      <c r="B11428" s="2" t="str">
        <f>"FIXAÇAO OSCILANTE SNCS-32"</f>
        <v>FIXAÇAO OSCILANTE SNCS-32</v>
      </c>
      <c r="C11428" s="2" t="str">
        <f>"PC"</f>
        <v>PC</v>
      </c>
      <c r="D11428" s="7">
        <v>913</v>
      </c>
      <c r="E11428" s="3">
        <v>11</v>
      </c>
      <c r="F11428" s="3">
        <v>11</v>
      </c>
      <c r="G11428" t="s">
        <v>512</v>
      </c>
    </row>
    <row r="11429" spans="1:7" x14ac:dyDescent="0.25">
      <c r="A11429" s="1" t="str">
        <f>"517451"</f>
        <v>517451</v>
      </c>
      <c r="B11429" s="2" t="str">
        <f>"FIXAÇAO OSCILANTE SNCS-32"</f>
        <v>FIXAÇAO OSCILANTE SNCS-32</v>
      </c>
      <c r="C11429" s="2" t="str">
        <f t="shared" ref="C11429:C11434" si="446">"UN"</f>
        <v>UN</v>
      </c>
      <c r="D11429" s="7">
        <v>913</v>
      </c>
      <c r="E11429" s="3">
        <v>11</v>
      </c>
      <c r="F11429" s="3">
        <v>11</v>
      </c>
      <c r="G11429" t="s">
        <v>516</v>
      </c>
    </row>
    <row r="11430" spans="1:7" x14ac:dyDescent="0.25">
      <c r="A11430" s="1" t="str">
        <f>"517452"</f>
        <v>517452</v>
      </c>
      <c r="B11430" s="2" t="str">
        <f>"FIXAÇAO OSCILANTE SNCS-40"</f>
        <v>FIXAÇAO OSCILANTE SNCS-40</v>
      </c>
      <c r="C11430" s="2" t="str">
        <f t="shared" si="446"/>
        <v>UN</v>
      </c>
      <c r="D11430" s="7">
        <v>913</v>
      </c>
      <c r="E11430" s="3">
        <v>11</v>
      </c>
      <c r="F11430" s="3">
        <v>11</v>
      </c>
      <c r="G11430" t="s">
        <v>515</v>
      </c>
    </row>
    <row r="11431" spans="1:7" x14ac:dyDescent="0.25">
      <c r="A11431" s="1" t="str">
        <f>"515693"</f>
        <v>515693</v>
      </c>
      <c r="B11431" s="2" t="str">
        <f>"FIXACAO PARA MICTORIO"</f>
        <v>FIXACAO PARA MICTORIO</v>
      </c>
      <c r="C11431" s="2" t="str">
        <f t="shared" si="446"/>
        <v>UN</v>
      </c>
      <c r="D11431" s="7">
        <v>803</v>
      </c>
      <c r="E11431" s="3">
        <v>10</v>
      </c>
      <c r="F11431" s="3">
        <v>10</v>
      </c>
      <c r="G11431" t="s">
        <v>514</v>
      </c>
    </row>
    <row r="11432" spans="1:7" x14ac:dyDescent="0.25">
      <c r="A11432" s="1" t="str">
        <f>"523418"</f>
        <v>523418</v>
      </c>
      <c r="B11432" s="2" t="str">
        <f>"FIXAÇÃO PAREDE MS6-WB 532196"</f>
        <v>FIXAÇÃO PAREDE MS6-WB 532196</v>
      </c>
      <c r="C11432" s="2" t="str">
        <f t="shared" si="446"/>
        <v>UN</v>
      </c>
      <c r="D11432" s="7">
        <v>913</v>
      </c>
      <c r="E11432" s="3">
        <v>11</v>
      </c>
      <c r="F11432" s="3">
        <v>11</v>
      </c>
      <c r="G11432" t="s">
        <v>512</v>
      </c>
    </row>
    <row r="11433" spans="1:7" x14ac:dyDescent="0.25">
      <c r="A11433" s="1" t="str">
        <f>"516173"</f>
        <v>516173</v>
      </c>
      <c r="B11433" s="2" t="str">
        <f>"FIXAÇÃO PAREDE MS6-WP"</f>
        <v>FIXAÇÃO PAREDE MS6-WP</v>
      </c>
      <c r="C11433" s="2" t="str">
        <f t="shared" si="446"/>
        <v>UN</v>
      </c>
      <c r="D11433" s="7">
        <v>913</v>
      </c>
      <c r="E11433" s="3">
        <v>11</v>
      </c>
      <c r="F11433" s="3">
        <v>11</v>
      </c>
      <c r="G11433" t="s">
        <v>513</v>
      </c>
    </row>
    <row r="11434" spans="1:7" x14ac:dyDescent="0.25">
      <c r="A11434" s="1" t="str">
        <f>"525140"</f>
        <v>525140</v>
      </c>
      <c r="B11434" s="2" t="str">
        <f>"FIXAÇÃO PLACA BARRA DE ASPIRAÇÃO"</f>
        <v>FIXAÇÃO PLACA BARRA DE ASPIRAÇÃO</v>
      </c>
      <c r="C11434" s="2" t="str">
        <f t="shared" si="446"/>
        <v>UN</v>
      </c>
      <c r="D11434" s="7">
        <v>99999</v>
      </c>
      <c r="E11434" s="3">
        <v>99</v>
      </c>
      <c r="F11434" s="3">
        <v>99</v>
      </c>
      <c r="G11434" t="s">
        <v>514</v>
      </c>
    </row>
    <row r="11435" spans="1:7" x14ac:dyDescent="0.25">
      <c r="A11435" s="1" t="str">
        <f>"507788"</f>
        <v>507788</v>
      </c>
      <c r="B11435" s="2" t="str">
        <f>"FIXAÇAO SENSOR SMBR-25"</f>
        <v>FIXAÇAO SENSOR SMBR-25</v>
      </c>
      <c r="C11435" s="2" t="str">
        <f>"PC"</f>
        <v>PC</v>
      </c>
      <c r="D11435" s="7">
        <v>908</v>
      </c>
      <c r="E11435" s="3">
        <v>11</v>
      </c>
      <c r="F11435" s="3">
        <v>11</v>
      </c>
      <c r="G11435" t="s">
        <v>514</v>
      </c>
    </row>
    <row r="11436" spans="1:7" x14ac:dyDescent="0.25">
      <c r="A11436" s="1" t="str">
        <f>"508356"</f>
        <v>508356</v>
      </c>
      <c r="B11436" s="2" t="str">
        <f>"FIXADOR 2011239 MAQ. CATERPILAR"</f>
        <v>FIXADOR 2011239 MAQ. CATERPILAR</v>
      </c>
      <c r="C11436" s="2" t="str">
        <f t="shared" ref="C11436:C11449" si="447">"UN"</f>
        <v>UN</v>
      </c>
      <c r="D11436" s="7">
        <v>704</v>
      </c>
      <c r="E11436" s="3">
        <v>9</v>
      </c>
      <c r="F11436" s="3">
        <v>9</v>
      </c>
      <c r="G11436" t="s">
        <v>512</v>
      </c>
    </row>
    <row r="11437" spans="1:7" x14ac:dyDescent="0.25">
      <c r="A11437" s="1" t="str">
        <f>"512868"</f>
        <v>512868</v>
      </c>
      <c r="B11437" s="2" t="str">
        <f>"FIXADOR ADESIVO P/ CHICOTE"</f>
        <v>FIXADOR ADESIVO P/ CHICOTE</v>
      </c>
      <c r="C11437" s="2" t="str">
        <f t="shared" si="447"/>
        <v>UN</v>
      </c>
      <c r="D11437" s="7">
        <v>704</v>
      </c>
      <c r="E11437" s="3">
        <v>9</v>
      </c>
      <c r="F11437" s="3">
        <v>9</v>
      </c>
      <c r="G11437" t="s">
        <v>513</v>
      </c>
    </row>
    <row r="11438" spans="1:7" x14ac:dyDescent="0.25">
      <c r="A11438" s="1" t="str">
        <f>"511909"</f>
        <v>511909</v>
      </c>
      <c r="B11438" s="2" t="str">
        <f>"FIXADOR ANAEROBICO W960 50G"</f>
        <v>FIXADOR ANAEROBICO W960 50G</v>
      </c>
      <c r="C11438" s="2" t="str">
        <f t="shared" si="447"/>
        <v>UN</v>
      </c>
      <c r="D11438" s="7">
        <v>812</v>
      </c>
      <c r="E11438" s="3">
        <v>10</v>
      </c>
      <c r="F11438" s="3">
        <v>10</v>
      </c>
      <c r="G11438" t="s">
        <v>514</v>
      </c>
    </row>
    <row r="11439" spans="1:7" x14ac:dyDescent="0.25">
      <c r="A11439" s="1" t="str">
        <f>"524937"</f>
        <v>524937</v>
      </c>
      <c r="B11439" s="2" t="str">
        <f>"FIXADOR AUTO ADESICO 35X25MM RX-F REIMOLD"</f>
        <v>FIXADOR AUTO ADESICO 35X25MM RX-F REIMOLD</v>
      </c>
      <c r="C11439" s="2" t="str">
        <f t="shared" si="447"/>
        <v>UN</v>
      </c>
      <c r="D11439" s="7">
        <v>811</v>
      </c>
      <c r="E11439" s="3">
        <v>10</v>
      </c>
      <c r="F11439" s="3">
        <v>10</v>
      </c>
      <c r="G11439" t="s">
        <v>514</v>
      </c>
    </row>
    <row r="11440" spans="1:7" x14ac:dyDescent="0.25">
      <c r="A11440" s="1" t="str">
        <f>"521519"</f>
        <v>521519</v>
      </c>
      <c r="B11440" s="2" t="str">
        <f>"FIXADOR DIR. DA VENEZIANA VENT. C/ MOLA 14C/EM50 PN2524500"</f>
        <v>FIXADOR DIR. DA VENEZIANA VENT. C/ MOLA 14C/EM50 PN2524500</v>
      </c>
      <c r="C11440" s="2" t="str">
        <f t="shared" si="447"/>
        <v>UN</v>
      </c>
      <c r="D11440" s="7">
        <v>916</v>
      </c>
      <c r="E11440" s="3">
        <v>10</v>
      </c>
      <c r="F11440" s="3">
        <v>10</v>
      </c>
      <c r="G11440" t="s">
        <v>514</v>
      </c>
    </row>
    <row r="11441" spans="1:7" x14ac:dyDescent="0.25">
      <c r="A11441" s="1" t="str">
        <f>"521521"</f>
        <v>521521</v>
      </c>
      <c r="B11441" s="2" t="str">
        <f>"FIXADOR DX DIR. DA VENEZIANA S/ MOLA 14A/EM50 PN2524100"</f>
        <v>FIXADOR DX DIR. DA VENEZIANA S/ MOLA 14A/EM50 PN2524100</v>
      </c>
      <c r="C11441" s="2" t="str">
        <f t="shared" si="447"/>
        <v>UN</v>
      </c>
      <c r="D11441" s="7">
        <v>916</v>
      </c>
      <c r="E11441" s="3">
        <v>10</v>
      </c>
      <c r="F11441" s="3">
        <v>10</v>
      </c>
      <c r="G11441" t="s">
        <v>513</v>
      </c>
    </row>
    <row r="11442" spans="1:7" x14ac:dyDescent="0.25">
      <c r="A11442" s="1" t="str">
        <f>"521520"</f>
        <v>521520</v>
      </c>
      <c r="B11442" s="2" t="str">
        <f>"FIXADOR ESQ. DA VENEZIANA VENT. C/ MOLA 14D/EM50 PN2524700"</f>
        <v>FIXADOR ESQ. DA VENEZIANA VENT. C/ MOLA 14D/EM50 PN2524700</v>
      </c>
      <c r="C11442" s="2" t="str">
        <f t="shared" si="447"/>
        <v>UN</v>
      </c>
      <c r="D11442" s="7">
        <v>916</v>
      </c>
      <c r="E11442" s="3">
        <v>10</v>
      </c>
      <c r="F11442" s="3">
        <v>10</v>
      </c>
      <c r="G11442" t="s">
        <v>512</v>
      </c>
    </row>
    <row r="11443" spans="1:7" x14ac:dyDescent="0.25">
      <c r="A11443" s="1" t="str">
        <f>"512430"</f>
        <v>512430</v>
      </c>
      <c r="B11443" s="2" t="str">
        <f>"FIXADOR LKCS HELLERMANN"</f>
        <v>FIXADOR LKCS HELLERMANN</v>
      </c>
      <c r="C11443" s="2" t="str">
        <f t="shared" si="447"/>
        <v>UN</v>
      </c>
      <c r="D11443" s="7">
        <v>600</v>
      </c>
      <c r="E11443" s="3">
        <v>8</v>
      </c>
      <c r="F11443" s="3">
        <v>8</v>
      </c>
      <c r="G11443" t="s">
        <v>513</v>
      </c>
    </row>
    <row r="11444" spans="1:7" x14ac:dyDescent="0.25">
      <c r="A11444" s="1" t="str">
        <f>"523574"</f>
        <v>523574</v>
      </c>
      <c r="B11444" s="2" t="str">
        <f>"FIXADOR PORTA PISO"</f>
        <v>FIXADOR PORTA PISO</v>
      </c>
      <c r="C11444" s="2" t="str">
        <f t="shared" si="447"/>
        <v>UN</v>
      </c>
      <c r="D11444" s="7">
        <v>916</v>
      </c>
      <c r="E11444" s="3">
        <v>10</v>
      </c>
      <c r="F11444" s="3">
        <v>10</v>
      </c>
      <c r="G11444" t="s">
        <v>514</v>
      </c>
    </row>
    <row r="11445" spans="1:7" x14ac:dyDescent="0.25">
      <c r="A11445" s="1" t="str">
        <f>"505220"</f>
        <v>505220</v>
      </c>
      <c r="B11445" s="2" t="str">
        <f>"FIXADOR ROLETE MASTER"</f>
        <v>FIXADOR ROLETE MASTER</v>
      </c>
      <c r="C11445" s="2" t="str">
        <f t="shared" si="447"/>
        <v>UN</v>
      </c>
      <c r="D11445" s="7">
        <v>704</v>
      </c>
      <c r="E11445" s="3">
        <v>9</v>
      </c>
      <c r="F11445" s="3">
        <v>9</v>
      </c>
      <c r="G11445" t="s">
        <v>514</v>
      </c>
    </row>
    <row r="11446" spans="1:7" x14ac:dyDescent="0.25">
      <c r="A11446" s="1" t="str">
        <f>"505149"</f>
        <v>505149</v>
      </c>
      <c r="B11446" s="2" t="str">
        <f>"FIXADOR ROLETE SAPATA FREIO"</f>
        <v>FIXADOR ROLETE SAPATA FREIO</v>
      </c>
      <c r="C11446" s="2" t="str">
        <f t="shared" si="447"/>
        <v>UN</v>
      </c>
      <c r="D11446" s="7">
        <v>704</v>
      </c>
      <c r="E11446" s="3">
        <v>9</v>
      </c>
      <c r="F11446" s="3">
        <v>9</v>
      </c>
      <c r="G11446" t="s">
        <v>514</v>
      </c>
    </row>
    <row r="11447" spans="1:7" x14ac:dyDescent="0.25">
      <c r="A11447" s="1" t="str">
        <f>"521522"</f>
        <v>521522</v>
      </c>
      <c r="B11447" s="2" t="str">
        <f>"FIXADOR SX ESQ. DA VENEZIANA S/ MOLA 14B/EM50 PN2524300"</f>
        <v>FIXADOR SX ESQ. DA VENEZIANA S/ MOLA 14B/EM50 PN2524300</v>
      </c>
      <c r="C11447" s="2" t="str">
        <f t="shared" si="447"/>
        <v>UN</v>
      </c>
      <c r="D11447" s="7">
        <v>916</v>
      </c>
      <c r="E11447" s="3">
        <v>10</v>
      </c>
      <c r="F11447" s="3">
        <v>10</v>
      </c>
      <c r="G11447" t="s">
        <v>513</v>
      </c>
    </row>
    <row r="11448" spans="1:7" x14ac:dyDescent="0.25">
      <c r="A11448" s="1" t="str">
        <f>"518170"</f>
        <v>518170</v>
      </c>
      <c r="B11448" s="2" t="str">
        <f>"FLAN"</f>
        <v>FLAN</v>
      </c>
      <c r="C11448" s="2" t="str">
        <f t="shared" si="447"/>
        <v>UN</v>
      </c>
      <c r="D11448" s="7">
        <v>915</v>
      </c>
      <c r="E11448" s="3">
        <v>4</v>
      </c>
      <c r="F11448" s="3">
        <v>4</v>
      </c>
      <c r="G11448" t="s">
        <v>513</v>
      </c>
    </row>
    <row r="11449" spans="1:7" x14ac:dyDescent="0.25">
      <c r="A11449" s="1" t="str">
        <f>"4003"</f>
        <v>4003</v>
      </c>
      <c r="B11449" s="2" t="str">
        <f>"FLAN CARAMELO CAROLINA 180G"</f>
        <v>FLAN CARAMELO CAROLINA 180G</v>
      </c>
      <c r="C11449" s="2" t="str">
        <f t="shared" si="447"/>
        <v>UN</v>
      </c>
      <c r="D11449" s="7">
        <v>55</v>
      </c>
      <c r="E11449" s="3">
        <v>6</v>
      </c>
      <c r="F11449" s="3">
        <v>6</v>
      </c>
      <c r="G11449" t="s">
        <v>513</v>
      </c>
    </row>
    <row r="11450" spans="1:7" x14ac:dyDescent="0.25">
      <c r="A11450" s="1" t="str">
        <f>"118"</f>
        <v>118</v>
      </c>
      <c r="B11450" s="2" t="str">
        <f>"FLAN DE IOGURTE SABOR  BAUNILHA E CALDA CARAMELO"</f>
        <v>FLAN DE IOGURTE SABOR  BAUNILHA E CALDA CARAMELO</v>
      </c>
      <c r="C11450" s="2" t="str">
        <f>"KG"</f>
        <v>KG</v>
      </c>
      <c r="D11450" s="7">
        <v>1900</v>
      </c>
      <c r="E11450" s="3">
        <v>7</v>
      </c>
      <c r="F11450" s="3">
        <v>7</v>
      </c>
      <c r="G11450" t="s">
        <v>512</v>
      </c>
    </row>
    <row r="11451" spans="1:7" x14ac:dyDescent="0.25">
      <c r="A11451" s="1" t="str">
        <f>"119"</f>
        <v>119</v>
      </c>
      <c r="B11451" s="2" t="str">
        <f>"FLAN DE IOGURTE SABOR  COCO E CALDA AMEIXA"</f>
        <v>FLAN DE IOGURTE SABOR  COCO E CALDA AMEIXA</v>
      </c>
      <c r="C11451" s="2" t="str">
        <f>"KG"</f>
        <v>KG</v>
      </c>
      <c r="D11451" s="7">
        <v>1900</v>
      </c>
      <c r="E11451" s="3">
        <v>7</v>
      </c>
      <c r="F11451" s="3">
        <v>7</v>
      </c>
      <c r="G11451" t="s">
        <v>513</v>
      </c>
    </row>
    <row r="11452" spans="1:7" x14ac:dyDescent="0.25">
      <c r="A11452" s="1" t="str">
        <f>"120"</f>
        <v>120</v>
      </c>
      <c r="B11452" s="2" t="str">
        <f>"FLAN DE IOGURTE SABOR  CREAM CHEESE E CALDA GOIABA"</f>
        <v>FLAN DE IOGURTE SABOR  CREAM CHEESE E CALDA GOIABA</v>
      </c>
      <c r="C11452" s="2" t="str">
        <f>"KG"</f>
        <v>KG</v>
      </c>
      <c r="D11452" s="7">
        <v>1900</v>
      </c>
      <c r="E11452" s="3">
        <v>7</v>
      </c>
      <c r="F11452" s="3">
        <v>7</v>
      </c>
      <c r="G11452" t="s">
        <v>514</v>
      </c>
    </row>
    <row r="11453" spans="1:7" x14ac:dyDescent="0.25">
      <c r="A11453" s="1" t="str">
        <f>"4004"</f>
        <v>4004</v>
      </c>
      <c r="B11453" s="2" t="str">
        <f>"FLAN FRUTAS VERMELHAS CAROLINA 180G"</f>
        <v>FLAN FRUTAS VERMELHAS CAROLINA 180G</v>
      </c>
      <c r="C11453" s="2" t="str">
        <f>"UN"</f>
        <v>UN</v>
      </c>
      <c r="D11453" s="7">
        <v>55</v>
      </c>
      <c r="E11453" s="3">
        <v>6</v>
      </c>
      <c r="F11453" s="3">
        <v>6</v>
      </c>
      <c r="G11453" t="s">
        <v>515</v>
      </c>
    </row>
    <row r="11454" spans="1:7" x14ac:dyDescent="0.25">
      <c r="A11454" s="1" t="str">
        <f>"523702"</f>
        <v>523702</v>
      </c>
      <c r="B11454" s="2" t="str">
        <f>"FLANCOX 500MG COMPRIMIDO REVESTIDO"</f>
        <v>FLANCOX 500MG COMPRIMIDO REVESTIDO</v>
      </c>
      <c r="C11454" s="2" t="str">
        <f>"UN"</f>
        <v>UN</v>
      </c>
      <c r="D11454" s="7">
        <v>401</v>
      </c>
      <c r="E11454" s="3">
        <v>4</v>
      </c>
      <c r="F11454" s="3">
        <v>4</v>
      </c>
      <c r="G11454" t="s">
        <v>512</v>
      </c>
    </row>
    <row r="11455" spans="1:7" x14ac:dyDescent="0.25">
      <c r="A11455" s="1" t="str">
        <f>"515368"</f>
        <v>515368</v>
      </c>
      <c r="B11455" s="2" t="str">
        <f>"FLANELA"</f>
        <v>FLANELA</v>
      </c>
      <c r="C11455" s="2" t="str">
        <f>"UN"</f>
        <v>UN</v>
      </c>
      <c r="D11455" s="7">
        <v>401</v>
      </c>
      <c r="E11455" s="3">
        <v>4</v>
      </c>
      <c r="F11455" s="3">
        <v>4</v>
      </c>
      <c r="G11455" t="s">
        <v>516</v>
      </c>
    </row>
    <row r="11456" spans="1:7" x14ac:dyDescent="0.25">
      <c r="A11456" s="1" t="str">
        <f>"505775"</f>
        <v>505775</v>
      </c>
      <c r="B11456" s="2" t="str">
        <f>"FLANGE"</f>
        <v>FLANGE</v>
      </c>
      <c r="C11456" s="2" t="str">
        <f>"UN"</f>
        <v>UN</v>
      </c>
      <c r="D11456" s="7">
        <v>704</v>
      </c>
      <c r="E11456" s="3">
        <v>9</v>
      </c>
      <c r="F11456" s="3">
        <v>9</v>
      </c>
      <c r="G11456" t="s">
        <v>515</v>
      </c>
    </row>
    <row r="11457" spans="1:7" x14ac:dyDescent="0.25">
      <c r="A11457" s="1" t="str">
        <f>"507937"</f>
        <v>507937</v>
      </c>
      <c r="B11457" s="2" t="str">
        <f>"FLANGE 1 1/2"""</f>
        <v>FLANGE 1 1/2"</v>
      </c>
      <c r="C11457" s="2" t="str">
        <f>"BR"</f>
        <v>BR</v>
      </c>
      <c r="D11457" s="7">
        <v>808</v>
      </c>
      <c r="E11457" s="3">
        <v>10</v>
      </c>
      <c r="F11457" s="3">
        <v>10</v>
      </c>
      <c r="G11457" t="s">
        <v>514</v>
      </c>
    </row>
    <row r="11458" spans="1:7" x14ac:dyDescent="0.25">
      <c r="A11458" s="1" t="str">
        <f>"509468"</f>
        <v>509468</v>
      </c>
      <c r="B11458" s="2" t="str">
        <f>"FLANGE 1"""</f>
        <v>FLANGE 1"</v>
      </c>
      <c r="C11458" s="2" t="str">
        <f t="shared" ref="C11458:C11471" si="448">"UN"</f>
        <v>UN</v>
      </c>
      <c r="D11458" s="7">
        <v>403</v>
      </c>
      <c r="E11458" s="3">
        <v>4</v>
      </c>
      <c r="F11458" s="3">
        <v>4</v>
      </c>
      <c r="G11458" t="s">
        <v>512</v>
      </c>
    </row>
    <row r="11459" spans="1:7" x14ac:dyDescent="0.25">
      <c r="A11459" s="1" t="str">
        <f>"503439"</f>
        <v>503439</v>
      </c>
      <c r="B11459" s="2" t="str">
        <f>"FLANGE 3 POSICOES WEG REF. AF3"</f>
        <v>FLANGE 3 POSICOES WEG REF. AF3</v>
      </c>
      <c r="C11459" s="2" t="str">
        <f t="shared" si="448"/>
        <v>UN</v>
      </c>
      <c r="D11459" s="7">
        <v>600</v>
      </c>
      <c r="E11459" s="3">
        <v>8</v>
      </c>
      <c r="F11459" s="3">
        <v>8</v>
      </c>
      <c r="G11459" t="s">
        <v>513</v>
      </c>
    </row>
    <row r="11460" spans="1:7" x14ac:dyDescent="0.25">
      <c r="A11460" s="1" t="str">
        <f>"515055"</f>
        <v>515055</v>
      </c>
      <c r="B11460" s="2" t="str">
        <f>"FLANGE A 071 W22"</f>
        <v>FLANGE A 071 W22</v>
      </c>
      <c r="C11460" s="2" t="str">
        <f t="shared" si="448"/>
        <v>UN</v>
      </c>
      <c r="D11460" s="7">
        <v>812</v>
      </c>
      <c r="E11460" s="3">
        <v>11</v>
      </c>
      <c r="F11460" s="3">
        <v>11</v>
      </c>
      <c r="G11460" t="s">
        <v>514</v>
      </c>
    </row>
    <row r="11461" spans="1:7" x14ac:dyDescent="0.25">
      <c r="A11461" s="1" t="str">
        <f>"524769"</f>
        <v>524769</v>
      </c>
      <c r="B11461" s="2" t="str">
        <f>"FLANGE AÇO CARBONO"</f>
        <v>FLANGE AÇO CARBONO</v>
      </c>
      <c r="C11461" s="2" t="str">
        <f t="shared" si="448"/>
        <v>UN</v>
      </c>
      <c r="D11461" s="7">
        <v>99999</v>
      </c>
      <c r="E11461" s="3">
        <v>99</v>
      </c>
      <c r="F11461" s="3">
        <v>99</v>
      </c>
      <c r="G11461" t="s">
        <v>514</v>
      </c>
    </row>
    <row r="11462" spans="1:7" x14ac:dyDescent="0.25">
      <c r="A11462" s="1" t="str">
        <f>"524768"</f>
        <v>524768</v>
      </c>
      <c r="B11462" s="2" t="str">
        <f>"FLANGE AÇO INOX 4"""</f>
        <v>FLANGE AÇO INOX 4"</v>
      </c>
      <c r="C11462" s="2" t="str">
        <f t="shared" si="448"/>
        <v>UN</v>
      </c>
      <c r="D11462" s="7">
        <v>99999</v>
      </c>
      <c r="E11462" s="3">
        <v>99</v>
      </c>
      <c r="F11462" s="3">
        <v>99</v>
      </c>
      <c r="G11462" t="s">
        <v>512</v>
      </c>
    </row>
    <row r="11463" spans="1:7" x14ac:dyDescent="0.25">
      <c r="A11463" s="1" t="str">
        <f>"516068"</f>
        <v>516068</v>
      </c>
      <c r="B11463" s="2" t="str">
        <f>"FLANGE C MOD. 071 DIN W22"</f>
        <v>FLANGE C MOD. 071 DIN W22</v>
      </c>
      <c r="C11463" s="2" t="str">
        <f t="shared" si="448"/>
        <v>UN</v>
      </c>
      <c r="D11463" s="7">
        <v>918</v>
      </c>
      <c r="E11463" s="3">
        <v>11</v>
      </c>
      <c r="F11463" s="3">
        <v>11</v>
      </c>
      <c r="G11463" t="s">
        <v>513</v>
      </c>
    </row>
    <row r="11464" spans="1:7" x14ac:dyDescent="0.25">
      <c r="A11464" s="1" t="str">
        <f>"526006"</f>
        <v>526006</v>
      </c>
      <c r="B11464" s="2" t="str">
        <f>"FLANGE C MOD. 080 DIN"</f>
        <v>FLANGE C MOD. 080 DIN</v>
      </c>
      <c r="C11464" s="2" t="str">
        <f t="shared" si="448"/>
        <v>UN</v>
      </c>
      <c r="D11464" s="7">
        <v>918</v>
      </c>
      <c r="E11464" s="3">
        <v>11</v>
      </c>
      <c r="F11464" s="3">
        <v>11</v>
      </c>
      <c r="G11464" t="s">
        <v>514</v>
      </c>
    </row>
    <row r="11465" spans="1:7" x14ac:dyDescent="0.25">
      <c r="A11465" s="1" t="str">
        <f>"514899"</f>
        <v>514899</v>
      </c>
      <c r="B11465" s="2" t="str">
        <f>"FLANGE CARRETA"</f>
        <v>FLANGE CARRETA</v>
      </c>
      <c r="C11465" s="2" t="str">
        <f t="shared" si="448"/>
        <v>UN</v>
      </c>
      <c r="D11465" s="7">
        <v>704</v>
      </c>
      <c r="E11465" s="3">
        <v>9</v>
      </c>
      <c r="F11465" s="3">
        <v>9</v>
      </c>
      <c r="G11465" t="s">
        <v>514</v>
      </c>
    </row>
    <row r="11466" spans="1:7" x14ac:dyDescent="0.25">
      <c r="A11466" s="1" t="str">
        <f>"508085"</f>
        <v>508085</v>
      </c>
      <c r="B11466" s="2" t="str">
        <f>"FLANGE CARRETA DIVERSAS DIAMETRO 207MM M-010 500950722"</f>
        <v>FLANGE CARRETA DIVERSAS DIAMETRO 207MM M-010 500950722</v>
      </c>
      <c r="C11466" s="2" t="str">
        <f t="shared" si="448"/>
        <v>UN</v>
      </c>
      <c r="D11466" s="7">
        <v>704</v>
      </c>
      <c r="E11466" s="3">
        <v>9</v>
      </c>
      <c r="F11466" s="3">
        <v>9</v>
      </c>
      <c r="G11466" t="s">
        <v>514</v>
      </c>
    </row>
    <row r="11467" spans="1:7" x14ac:dyDescent="0.25">
      <c r="A11467" s="1" t="str">
        <f>"519589"</f>
        <v>519589</v>
      </c>
      <c r="B11467" s="2" t="str">
        <f>"FLANGE CEGO CALDEIRA"</f>
        <v>FLANGE CEGO CALDEIRA</v>
      </c>
      <c r="C11467" s="2" t="str">
        <f t="shared" si="448"/>
        <v>UN</v>
      </c>
      <c r="D11467" s="7">
        <v>918</v>
      </c>
      <c r="E11467" s="3">
        <v>11</v>
      </c>
      <c r="F11467" s="3">
        <v>11</v>
      </c>
      <c r="G11467" t="s">
        <v>513</v>
      </c>
    </row>
    <row r="11468" spans="1:7" x14ac:dyDescent="0.25">
      <c r="A11468" s="1" t="str">
        <f>"523287"</f>
        <v>523287</v>
      </c>
      <c r="B11468" s="2" t="str">
        <f>"FLANGE CEGO Ø6"" EM INOX ASTM A 312 TP304 CLASSE #150LBS"</f>
        <v>FLANGE CEGO Ø6" EM INOX ASTM A 312 TP304 CLASSE #150LBS</v>
      </c>
      <c r="C11468" s="2" t="str">
        <f t="shared" si="448"/>
        <v>UN</v>
      </c>
      <c r="D11468" s="7">
        <v>915</v>
      </c>
      <c r="E11468" s="3">
        <v>11</v>
      </c>
      <c r="F11468" s="3">
        <v>11</v>
      </c>
      <c r="G11468" t="s">
        <v>512</v>
      </c>
    </row>
    <row r="11469" spans="1:7" x14ac:dyDescent="0.25">
      <c r="A11469" s="1" t="str">
        <f>"525588"</f>
        <v>525588</v>
      </c>
      <c r="B11469" s="2" t="str">
        <f>"FLANGE DO REDUTOR"</f>
        <v>FLANGE DO REDUTOR</v>
      </c>
      <c r="C11469" s="2" t="str">
        <f t="shared" si="448"/>
        <v>UN</v>
      </c>
      <c r="D11469" s="7">
        <v>1300</v>
      </c>
      <c r="E11469" s="3">
        <v>10</v>
      </c>
      <c r="F11469" s="3">
        <v>10</v>
      </c>
      <c r="G11469" t="s">
        <v>513</v>
      </c>
    </row>
    <row r="11470" spans="1:7" x14ac:dyDescent="0.25">
      <c r="A11470" s="1" t="str">
        <f>"510294"</f>
        <v>510294</v>
      </c>
      <c r="B11470" s="2" t="str">
        <f>"FLANGE DO RODOAR"</f>
        <v>FLANGE DO RODOAR</v>
      </c>
      <c r="C11470" s="2" t="str">
        <f t="shared" si="448"/>
        <v>UN</v>
      </c>
      <c r="D11470" s="7">
        <v>704</v>
      </c>
      <c r="E11470" s="3">
        <v>9</v>
      </c>
      <c r="F11470" s="3">
        <v>9</v>
      </c>
      <c r="G11470" t="s">
        <v>514</v>
      </c>
    </row>
    <row r="11471" spans="1:7" x14ac:dyDescent="0.25">
      <c r="A11471" s="1" t="str">
        <f>"516052"</f>
        <v>516052</v>
      </c>
      <c r="B11471" s="2" t="str">
        <f>"FLANGE FIXAÇÃO DOS PISTÕES"</f>
        <v>FLANGE FIXAÇÃO DOS PISTÕES</v>
      </c>
      <c r="C11471" s="2" t="str">
        <f t="shared" si="448"/>
        <v>UN</v>
      </c>
      <c r="D11471" s="7">
        <v>918</v>
      </c>
      <c r="E11471" s="3">
        <v>11</v>
      </c>
      <c r="F11471" s="3">
        <v>11</v>
      </c>
      <c r="G11471" t="s">
        <v>514</v>
      </c>
    </row>
    <row r="11472" spans="1:7" x14ac:dyDescent="0.25">
      <c r="A11472" s="1" t="str">
        <f>"513552"</f>
        <v>513552</v>
      </c>
      <c r="B11472" s="2" t="str">
        <f>"FLANGE GALV. 150 C/SEXTAVADO 4"""</f>
        <v>FLANGE GALV. 150 C/SEXTAVADO 4"</v>
      </c>
      <c r="C11472" s="2" t="str">
        <f>"BR"</f>
        <v>BR</v>
      </c>
      <c r="D11472" s="7">
        <v>808</v>
      </c>
      <c r="E11472" s="3">
        <v>10</v>
      </c>
      <c r="F11472" s="3">
        <v>10</v>
      </c>
      <c r="G11472" t="s">
        <v>514</v>
      </c>
    </row>
    <row r="11473" spans="1:7" x14ac:dyDescent="0.25">
      <c r="A11473" s="1" t="str">
        <f>"510619"</f>
        <v>510619</v>
      </c>
      <c r="B11473" s="2" t="str">
        <f>"FLANGE GEMEC. RIFLEX/LORIA"</f>
        <v>FLANGE GEMEC. RIFLEX/LORIA</v>
      </c>
      <c r="C11473" s="2" t="str">
        <f>"UN"</f>
        <v>UN</v>
      </c>
      <c r="D11473" s="7">
        <v>401</v>
      </c>
      <c r="E11473" s="3">
        <v>4</v>
      </c>
      <c r="F11473" s="3">
        <v>4</v>
      </c>
      <c r="G11473" t="s">
        <v>513</v>
      </c>
    </row>
    <row r="11474" spans="1:7" x14ac:dyDescent="0.25">
      <c r="A11474" s="1" t="str">
        <f>"508084"</f>
        <v>508084</v>
      </c>
      <c r="B11474" s="2" t="str">
        <f>"FLANGE INOX 304 MED. 400X800MM"</f>
        <v>FLANGE INOX 304 MED. 400X800MM</v>
      </c>
      <c r="C11474" s="2" t="str">
        <f>"BR"</f>
        <v>BR</v>
      </c>
      <c r="D11474" s="7">
        <v>807</v>
      </c>
      <c r="E11474" s="3">
        <v>10</v>
      </c>
      <c r="F11474" s="3">
        <v>10</v>
      </c>
      <c r="G11474" t="s">
        <v>513</v>
      </c>
    </row>
    <row r="11475" spans="1:7" x14ac:dyDescent="0.25">
      <c r="A11475" s="1" t="str">
        <f>"514576"</f>
        <v>514576</v>
      </c>
      <c r="B11475" s="2" t="str">
        <f>"FLANGE INTERNA"</f>
        <v>FLANGE INTERNA</v>
      </c>
      <c r="C11475" s="2" t="str">
        <f>"UN"</f>
        <v>UN</v>
      </c>
      <c r="D11475" s="7">
        <v>403</v>
      </c>
      <c r="E11475" s="3">
        <v>11</v>
      </c>
      <c r="F11475" s="3">
        <v>11</v>
      </c>
      <c r="G11475" t="s">
        <v>513</v>
      </c>
    </row>
    <row r="11476" spans="1:7" x14ac:dyDescent="0.25">
      <c r="A11476" s="1" t="str">
        <f>"501013"</f>
        <v>501013</v>
      </c>
      <c r="B11476" s="2" t="str">
        <f>"FLANGE LISA 150 X 2"""</f>
        <v>FLANGE LISA 150 X 2"</v>
      </c>
      <c r="C11476" s="2" t="str">
        <f>"UN"</f>
        <v>UN</v>
      </c>
      <c r="D11476" s="7">
        <v>808</v>
      </c>
      <c r="E11476" s="3">
        <v>10</v>
      </c>
      <c r="F11476" s="3">
        <v>10</v>
      </c>
      <c r="G11476" t="s">
        <v>512</v>
      </c>
    </row>
    <row r="11477" spans="1:7" x14ac:dyDescent="0.25">
      <c r="A11477" s="1" t="str">
        <f>"501014"</f>
        <v>501014</v>
      </c>
      <c r="B11477" s="2" t="str">
        <f>"FLANGE LISA 300 X 2"""</f>
        <v>FLANGE LISA 300 X 2"</v>
      </c>
      <c r="C11477" s="2" t="str">
        <f>"UN"</f>
        <v>UN</v>
      </c>
      <c r="D11477" s="7">
        <v>808</v>
      </c>
      <c r="E11477" s="3">
        <v>10</v>
      </c>
      <c r="F11477" s="3">
        <v>10</v>
      </c>
      <c r="G11477" t="s">
        <v>513</v>
      </c>
    </row>
    <row r="11478" spans="1:7" x14ac:dyDescent="0.25">
      <c r="A11478" s="1" t="str">
        <f>"504057"</f>
        <v>504057</v>
      </c>
      <c r="B11478" s="2" t="str">
        <f>"FLANGE LISO RF DIN PN 10/16 8"""</f>
        <v>FLANGE LISO RF DIN PN 10/16 8"</v>
      </c>
      <c r="C11478" s="2" t="str">
        <f>"BR"</f>
        <v>BR</v>
      </c>
      <c r="D11478" s="7">
        <v>808</v>
      </c>
      <c r="E11478" s="3">
        <v>10</v>
      </c>
      <c r="F11478" s="3">
        <v>10</v>
      </c>
      <c r="G11478" t="s">
        <v>514</v>
      </c>
    </row>
    <row r="11479" spans="1:7" x14ac:dyDescent="0.25">
      <c r="A11479" s="1" t="str">
        <f>"524417"</f>
        <v>524417</v>
      </c>
      <c r="B11479" s="2" t="str">
        <f>"FLANGE LISO RF INOX 150 LBS 8 OD"</f>
        <v>FLANGE LISO RF INOX 150 LBS 8 OD</v>
      </c>
      <c r="C11479" s="2" t="str">
        <f t="shared" ref="C11479:C11490" si="449">"UN"</f>
        <v>UN</v>
      </c>
      <c r="D11479" s="7">
        <v>402</v>
      </c>
      <c r="E11479" s="3">
        <v>4</v>
      </c>
      <c r="F11479" s="3">
        <v>4</v>
      </c>
      <c r="G11479" t="s">
        <v>515</v>
      </c>
    </row>
    <row r="11480" spans="1:7" x14ac:dyDescent="0.25">
      <c r="A11480" s="1" t="str">
        <f>"512973"</f>
        <v>512973</v>
      </c>
      <c r="B11480" s="2" t="str">
        <f>"FLANGE MECANISMO RELAX REGULAGEM TENSÃO"</f>
        <v>FLANGE MECANISMO RELAX REGULAGEM TENSÃO</v>
      </c>
      <c r="C11480" s="2" t="str">
        <f t="shared" si="449"/>
        <v>UN</v>
      </c>
      <c r="D11480" s="7">
        <v>401</v>
      </c>
      <c r="E11480" s="3">
        <v>4</v>
      </c>
      <c r="F11480" s="3">
        <v>4</v>
      </c>
      <c r="G11480" t="s">
        <v>512</v>
      </c>
    </row>
    <row r="11481" spans="1:7" x14ac:dyDescent="0.25">
      <c r="A11481" s="1" t="str">
        <f>"503461"</f>
        <v>503461</v>
      </c>
      <c r="B11481" s="2" t="str">
        <f>"FLANGE MESA GIRATO DES32146 COD.214608-3"</f>
        <v>FLANGE MESA GIRATO DES32146 COD.214608-3</v>
      </c>
      <c r="C11481" s="2" t="str">
        <f t="shared" si="449"/>
        <v>UN</v>
      </c>
      <c r="D11481" s="7">
        <v>918</v>
      </c>
      <c r="E11481" s="3">
        <v>11</v>
      </c>
      <c r="F11481" s="3">
        <v>11</v>
      </c>
      <c r="G11481" t="s">
        <v>516</v>
      </c>
    </row>
    <row r="11482" spans="1:7" x14ac:dyDescent="0.25">
      <c r="A11482" s="1" t="str">
        <f>"510617"</f>
        <v>510617</v>
      </c>
      <c r="B11482" s="2" t="str">
        <f>"FLANGE METAL UNIVERSAL DIR/S"</f>
        <v>FLANGE METAL UNIVERSAL DIR/S</v>
      </c>
      <c r="C11482" s="2" t="str">
        <f t="shared" si="449"/>
        <v>UN</v>
      </c>
      <c r="D11482" s="7">
        <v>401</v>
      </c>
      <c r="E11482" s="3">
        <v>4</v>
      </c>
      <c r="F11482" s="3">
        <v>4</v>
      </c>
      <c r="G11482" t="s">
        <v>515</v>
      </c>
    </row>
    <row r="11483" spans="1:7" x14ac:dyDescent="0.25">
      <c r="A11483" s="1" t="str">
        <f>"518837"</f>
        <v>518837</v>
      </c>
      <c r="B11483" s="2" t="str">
        <f>"FLANGE ORELHA CARDAN 8 FUROS"</f>
        <v>FLANGE ORELHA CARDAN 8 FUROS</v>
      </c>
      <c r="C11483" s="2" t="str">
        <f t="shared" si="449"/>
        <v>UN</v>
      </c>
      <c r="D11483" s="7">
        <v>812</v>
      </c>
      <c r="E11483" s="3">
        <v>11</v>
      </c>
      <c r="F11483" s="3">
        <v>11</v>
      </c>
      <c r="G11483" t="s">
        <v>514</v>
      </c>
    </row>
    <row r="11484" spans="1:7" x14ac:dyDescent="0.25">
      <c r="A11484" s="1" t="str">
        <f>"515856"</f>
        <v>515856</v>
      </c>
      <c r="B11484" s="2" t="str">
        <f>"FLANGE P/ PAINEL 100X50"</f>
        <v>FLANGE P/ PAINEL 100X50</v>
      </c>
      <c r="C11484" s="2" t="str">
        <f t="shared" si="449"/>
        <v>UN</v>
      </c>
      <c r="D11484" s="7">
        <v>99999</v>
      </c>
      <c r="E11484" s="3">
        <v>99</v>
      </c>
      <c r="F11484" s="3">
        <v>99</v>
      </c>
      <c r="G11484" t="s">
        <v>512</v>
      </c>
    </row>
    <row r="11485" spans="1:7" x14ac:dyDescent="0.25">
      <c r="A11485" s="1" t="str">
        <f>"526710"</f>
        <v>526710</v>
      </c>
      <c r="B11485" s="2" t="str">
        <f>"FLANGE P/ VALV DE BLOQUEIO 4"""</f>
        <v>FLANGE P/ VALV DE BLOQUEIO 4"</v>
      </c>
      <c r="C11485" s="2" t="str">
        <f t="shared" si="449"/>
        <v>UN</v>
      </c>
      <c r="D11485" s="7">
        <v>807</v>
      </c>
      <c r="E11485" s="3">
        <v>13</v>
      </c>
      <c r="F11485" s="3">
        <v>13</v>
      </c>
      <c r="G11485" t="s">
        <v>513</v>
      </c>
    </row>
    <row r="11486" spans="1:7" x14ac:dyDescent="0.25">
      <c r="A11486" s="1" t="str">
        <f>"512885"</f>
        <v>512885</v>
      </c>
      <c r="B11486" s="2" t="str">
        <f>"FLANGE P/ VALVULA 2"" TIPO WAFER"</f>
        <v>FLANGE P/ VALVULA 2" TIPO WAFER</v>
      </c>
      <c r="C11486" s="2" t="str">
        <f t="shared" si="449"/>
        <v>UN</v>
      </c>
      <c r="D11486" s="7">
        <v>808</v>
      </c>
      <c r="E11486" s="3">
        <v>10</v>
      </c>
      <c r="F11486" s="3">
        <v>10</v>
      </c>
      <c r="G11486" t="s">
        <v>514</v>
      </c>
    </row>
    <row r="11487" spans="1:7" x14ac:dyDescent="0.25">
      <c r="A11487" s="1" t="str">
        <f>"516282"</f>
        <v>516282</v>
      </c>
      <c r="B11487" s="2" t="str">
        <f>"FLANGE P/ VALVULA 6"""</f>
        <v>FLANGE P/ VALVULA 6"</v>
      </c>
      <c r="C11487" s="2" t="str">
        <f t="shared" si="449"/>
        <v>UN</v>
      </c>
      <c r="D11487" s="7">
        <v>808</v>
      </c>
      <c r="E11487" s="3">
        <v>10</v>
      </c>
      <c r="F11487" s="3">
        <v>10</v>
      </c>
      <c r="G11487" t="s">
        <v>514</v>
      </c>
    </row>
    <row r="11488" spans="1:7" x14ac:dyDescent="0.25">
      <c r="A11488" s="1" t="str">
        <f>"522099"</f>
        <v>522099</v>
      </c>
      <c r="B11488" s="2" t="str">
        <f>"FLANGE PVC MARROM 1/2"""</f>
        <v>FLANGE PVC MARROM 1/2"</v>
      </c>
      <c r="C11488" s="2" t="str">
        <f t="shared" si="449"/>
        <v>UN</v>
      </c>
      <c r="D11488" s="7">
        <v>704</v>
      </c>
      <c r="E11488" s="3">
        <v>9</v>
      </c>
      <c r="F11488" s="3">
        <v>9</v>
      </c>
      <c r="G11488" t="s">
        <v>512</v>
      </c>
    </row>
    <row r="11489" spans="1:7" x14ac:dyDescent="0.25">
      <c r="A11489" s="1" t="str">
        <f>"519134"</f>
        <v>519134</v>
      </c>
      <c r="B11489" s="2" t="str">
        <f>"FLANGE PVC MARROM 20 MM"</f>
        <v>FLANGE PVC MARROM 20 MM</v>
      </c>
      <c r="C11489" s="2" t="str">
        <f t="shared" si="449"/>
        <v>UN</v>
      </c>
      <c r="D11489" s="7">
        <v>704</v>
      </c>
      <c r="E11489" s="3">
        <v>9</v>
      </c>
      <c r="F11489" s="3">
        <v>9</v>
      </c>
      <c r="G11489" t="s">
        <v>513</v>
      </c>
    </row>
    <row r="11490" spans="1:7" x14ac:dyDescent="0.25">
      <c r="A11490" s="1" t="str">
        <f>"514545"</f>
        <v>514545</v>
      </c>
      <c r="B11490" s="2" t="str">
        <f>"FLANGE PVC MARROM 32 MM"</f>
        <v>FLANGE PVC MARROM 32 MM</v>
      </c>
      <c r="C11490" s="2" t="str">
        <f t="shared" si="449"/>
        <v>UN</v>
      </c>
      <c r="D11490" s="7">
        <v>704</v>
      </c>
      <c r="E11490" s="3">
        <v>9</v>
      </c>
      <c r="F11490" s="3">
        <v>9</v>
      </c>
      <c r="G11490" t="s">
        <v>514</v>
      </c>
    </row>
    <row r="11491" spans="1:7" x14ac:dyDescent="0.25">
      <c r="A11491" s="1" t="str">
        <f>"523431"</f>
        <v>523431</v>
      </c>
      <c r="B11491" s="2" t="str">
        <f>"FLANGE PVC MARRON 25 MM"</f>
        <v>FLANGE PVC MARRON 25 MM</v>
      </c>
      <c r="C11491" s="2" t="str">
        <f>"BR"</f>
        <v>BR</v>
      </c>
      <c r="D11491" s="7">
        <v>808</v>
      </c>
      <c r="E11491" s="3">
        <v>10</v>
      </c>
      <c r="F11491" s="3">
        <v>10</v>
      </c>
      <c r="G11491" t="s">
        <v>514</v>
      </c>
    </row>
    <row r="11492" spans="1:7" x14ac:dyDescent="0.25">
      <c r="A11492" s="1" t="str">
        <f>"523430"</f>
        <v>523430</v>
      </c>
      <c r="B11492" s="2" t="str">
        <f>"FLANGE PVC MARRON 40 MM"</f>
        <v>FLANGE PVC MARRON 40 MM</v>
      </c>
      <c r="C11492" s="2" t="str">
        <f>"BR"</f>
        <v>BR</v>
      </c>
      <c r="D11492" s="7">
        <v>808</v>
      </c>
      <c r="E11492" s="3">
        <v>10</v>
      </c>
      <c r="F11492" s="3">
        <v>10</v>
      </c>
      <c r="G11492" t="s">
        <v>514</v>
      </c>
    </row>
    <row r="11493" spans="1:7" x14ac:dyDescent="0.25">
      <c r="A11493" s="1" t="str">
        <f>"501268"</f>
        <v>501268</v>
      </c>
      <c r="B11493" s="2" t="str">
        <f>"FLANGE PVC MARRON 50 MM"</f>
        <v>FLANGE PVC MARRON 50 MM</v>
      </c>
      <c r="C11493" s="2" t="str">
        <f>"BR"</f>
        <v>BR</v>
      </c>
      <c r="D11493" s="7">
        <v>808</v>
      </c>
      <c r="E11493" s="3">
        <v>10</v>
      </c>
      <c r="F11493" s="3">
        <v>10</v>
      </c>
      <c r="G11493" t="s">
        <v>513</v>
      </c>
    </row>
    <row r="11494" spans="1:7" x14ac:dyDescent="0.25">
      <c r="A11494" s="1" t="str">
        <f>"522632"</f>
        <v>522632</v>
      </c>
      <c r="B11494" s="2" t="str">
        <f>"FLANGE PVC MARRON 60 MM"</f>
        <v>FLANGE PVC MARRON 60 MM</v>
      </c>
      <c r="C11494" s="2" t="str">
        <f>"BR"</f>
        <v>BR</v>
      </c>
      <c r="D11494" s="7">
        <v>808</v>
      </c>
      <c r="E11494" s="3">
        <v>10</v>
      </c>
      <c r="F11494" s="3">
        <v>10</v>
      </c>
      <c r="G11494" t="s">
        <v>512</v>
      </c>
    </row>
    <row r="11495" spans="1:7" x14ac:dyDescent="0.25">
      <c r="A11495" s="1" t="str">
        <f>"513368"</f>
        <v>513368</v>
      </c>
      <c r="B11495" s="2" t="str">
        <f>"FLANGE PVC MARRON 75MM"</f>
        <v>FLANGE PVC MARRON 75MM</v>
      </c>
      <c r="C11495" s="2" t="str">
        <f>"UN"</f>
        <v>UN</v>
      </c>
      <c r="D11495" s="7">
        <v>704</v>
      </c>
      <c r="E11495" s="3">
        <v>9</v>
      </c>
      <c r="F11495" s="3">
        <v>9</v>
      </c>
      <c r="G11495" t="s">
        <v>513</v>
      </c>
    </row>
    <row r="11496" spans="1:7" x14ac:dyDescent="0.25">
      <c r="A11496" s="1" t="str">
        <f>"524473"</f>
        <v>524473</v>
      </c>
      <c r="B11496" s="2" t="str">
        <f>"FLANGE SO, 4"" ND, 150 LB, RF, ASME B16.5"</f>
        <v>FLANGE SO, 4" ND, 150 LB, RF, ASME B16.5</v>
      </c>
      <c r="C11496" s="2" t="str">
        <f>"UN"</f>
        <v>UN</v>
      </c>
      <c r="D11496" s="7">
        <v>807</v>
      </c>
      <c r="E11496" s="3">
        <v>10</v>
      </c>
      <c r="F11496" s="3">
        <v>10</v>
      </c>
      <c r="G11496" t="s">
        <v>514</v>
      </c>
    </row>
    <row r="11497" spans="1:7" x14ac:dyDescent="0.25">
      <c r="A11497" s="1" t="str">
        <f>"523286"</f>
        <v>523286</v>
      </c>
      <c r="B11497" s="2" t="str">
        <f>"FLANGE SOLTO Ø4"" AÇO CARBONO  ASTM A 105   CLASSE #150LBS"</f>
        <v>FLANGE SOLTO Ø4" AÇO CARBONO  ASTM A 105   CLASSE #150LBS</v>
      </c>
      <c r="C11497" s="2" t="str">
        <f>"UN"</f>
        <v>UN</v>
      </c>
      <c r="D11497" s="7">
        <v>915</v>
      </c>
      <c r="E11497" s="3">
        <v>11</v>
      </c>
      <c r="F11497" s="3">
        <v>11</v>
      </c>
      <c r="G11497" t="s">
        <v>514</v>
      </c>
    </row>
    <row r="11498" spans="1:7" x14ac:dyDescent="0.25">
      <c r="A11498" s="1" t="str">
        <f>"523285"</f>
        <v>523285</v>
      </c>
      <c r="B11498" s="2" t="str">
        <f>"FLANGE SOLTO Ø6"" AÇO CARBONO  ASTM A 105   CLASSE #150LBS"</f>
        <v>FLANGE SOLTO Ø6" AÇO CARBONO  ASTM A 105   CLASSE #150LBS</v>
      </c>
      <c r="C11498" s="2" t="str">
        <f>"UN"</f>
        <v>UN</v>
      </c>
      <c r="D11498" s="7">
        <v>915</v>
      </c>
      <c r="E11498" s="3">
        <v>11</v>
      </c>
      <c r="F11498" s="3">
        <v>11</v>
      </c>
      <c r="G11498" t="s">
        <v>514</v>
      </c>
    </row>
    <row r="11499" spans="1:7" x14ac:dyDescent="0.25">
      <c r="A11499" s="1" t="str">
        <f>"523391"</f>
        <v>523391</v>
      </c>
      <c r="B11499" s="2" t="str">
        <f>"FLANGE SORF 304B 16,5 150# DIAM 76,20MM"</f>
        <v>FLANGE SORF 304B 16,5 150# DIAM 76,20MM</v>
      </c>
      <c r="C11499" s="2" t="str">
        <f>"PC"</f>
        <v>PC</v>
      </c>
      <c r="D11499" s="7">
        <v>806</v>
      </c>
      <c r="E11499" s="3">
        <v>10</v>
      </c>
      <c r="F11499" s="3">
        <v>10</v>
      </c>
      <c r="G11499" t="s">
        <v>513</v>
      </c>
    </row>
    <row r="11500" spans="1:7" x14ac:dyDescent="0.25">
      <c r="A11500" s="1" t="str">
        <f>"524474"</f>
        <v>524474</v>
      </c>
      <c r="B11500" s="2" t="str">
        <f>"FLANGE SW, 3"" ND, 150 LB, RF, ASME B16.5"</f>
        <v>FLANGE SW, 3" ND, 150 LB, RF, ASME B16.5</v>
      </c>
      <c r="C11500" s="2" t="str">
        <f>"UN"</f>
        <v>UN</v>
      </c>
      <c r="D11500" s="7">
        <v>807</v>
      </c>
      <c r="E11500" s="3">
        <v>10</v>
      </c>
      <c r="F11500" s="3">
        <v>10</v>
      </c>
      <c r="G11500" t="s">
        <v>513</v>
      </c>
    </row>
    <row r="11501" spans="1:7" x14ac:dyDescent="0.25">
      <c r="A11501" s="1" t="str">
        <f>"521676"</f>
        <v>521676</v>
      </c>
      <c r="B11501" s="2" t="str">
        <f>"FLANGE TC 6"" CEGO C/ FURO 3"" CENTRO"</f>
        <v>FLANGE TC 6" CEGO C/ FURO 3" CENTRO</v>
      </c>
      <c r="C11501" s="2" t="str">
        <f>"UN"</f>
        <v>UN</v>
      </c>
      <c r="D11501" s="7">
        <v>915</v>
      </c>
      <c r="E11501" s="3">
        <v>11</v>
      </c>
      <c r="F11501" s="3">
        <v>11</v>
      </c>
      <c r="G11501" t="s">
        <v>513</v>
      </c>
    </row>
    <row r="11502" spans="1:7" x14ac:dyDescent="0.25">
      <c r="A11502" s="1" t="str">
        <f>"522838"</f>
        <v>522838</v>
      </c>
      <c r="B11502" s="2" t="str">
        <f>"FLANGE WN 6""150#RF SCH40 250RMS B16.5 A 105"</f>
        <v>FLANGE WN 6"150#RF SCH40 250RMS B16.5 A 105</v>
      </c>
      <c r="C11502" s="2" t="str">
        <f>"BR"</f>
        <v>BR</v>
      </c>
      <c r="D11502" s="7">
        <v>808</v>
      </c>
      <c r="E11502" s="3">
        <v>10</v>
      </c>
      <c r="F11502" s="3">
        <v>10</v>
      </c>
      <c r="G11502" t="s">
        <v>512</v>
      </c>
    </row>
    <row r="11503" spans="1:7" x14ac:dyDescent="0.25">
      <c r="A11503" s="1" t="str">
        <f>"509503"</f>
        <v>509503</v>
      </c>
      <c r="B11503" s="2" t="str">
        <f>"FLANGEADOR 1/8 X 3/4 P/R22"</f>
        <v>FLANGEADOR 1/8 X 3/4 P/R22</v>
      </c>
      <c r="C11503" s="2" t="str">
        <f t="shared" ref="C11503:C11523" si="450">"UN"</f>
        <v>UN</v>
      </c>
      <c r="D11503" s="7">
        <v>402</v>
      </c>
      <c r="E11503" s="3">
        <v>4</v>
      </c>
      <c r="F11503" s="3">
        <v>4</v>
      </c>
      <c r="G11503" t="s">
        <v>513</v>
      </c>
    </row>
    <row r="11504" spans="1:7" x14ac:dyDescent="0.25">
      <c r="A11504" s="1" t="str">
        <f>"511009"</f>
        <v>511009</v>
      </c>
      <c r="B11504" s="2" t="str">
        <f>"FLANGEMEC RILEX/LORIA"</f>
        <v>FLANGEMEC RILEX/LORIA</v>
      </c>
      <c r="C11504" s="2" t="str">
        <f t="shared" si="450"/>
        <v>UN</v>
      </c>
      <c r="D11504" s="7">
        <v>401</v>
      </c>
      <c r="E11504" s="3">
        <v>4</v>
      </c>
      <c r="F11504" s="3">
        <v>4</v>
      </c>
      <c r="G11504" t="s">
        <v>514</v>
      </c>
    </row>
    <row r="11505" spans="1:7" x14ac:dyDescent="0.25">
      <c r="A11505" s="1" t="str">
        <f>"501877"</f>
        <v>501877</v>
      </c>
      <c r="B11505" s="2" t="str">
        <f>"FLANJE VOLANTE DIR"</f>
        <v>FLANJE VOLANTE DIR</v>
      </c>
      <c r="C11505" s="2" t="str">
        <f t="shared" si="450"/>
        <v>UN</v>
      </c>
      <c r="D11505" s="7">
        <v>704</v>
      </c>
      <c r="E11505" s="3">
        <v>9</v>
      </c>
      <c r="F11505" s="3">
        <v>9</v>
      </c>
      <c r="G11505" t="s">
        <v>515</v>
      </c>
    </row>
    <row r="11506" spans="1:7" x14ac:dyDescent="0.25">
      <c r="A11506" s="1" t="str">
        <f>"517846"</f>
        <v>517846</v>
      </c>
      <c r="B11506" s="2" t="str">
        <f>"FLAT GASKET J 80210036"</f>
        <v>FLAT GASKET J 80210036</v>
      </c>
      <c r="C11506" s="2" t="str">
        <f t="shared" si="450"/>
        <v>UN</v>
      </c>
      <c r="D11506" s="7">
        <v>918</v>
      </c>
      <c r="E11506" s="3">
        <v>11</v>
      </c>
      <c r="F11506" s="3">
        <v>11</v>
      </c>
      <c r="G11506" t="s">
        <v>512</v>
      </c>
    </row>
    <row r="11507" spans="1:7" x14ac:dyDescent="0.25">
      <c r="A11507" s="1" t="str">
        <f>"513105"</f>
        <v>513105</v>
      </c>
      <c r="B11507" s="2" t="str">
        <f>"FLEX MILK LIQUIVERTER TIPO TB+2000L"</f>
        <v>FLEX MILK LIQUIVERTER TIPO TB+2000L</v>
      </c>
      <c r="C11507" s="2" t="str">
        <f t="shared" si="450"/>
        <v>UN</v>
      </c>
      <c r="D11507" s="7">
        <v>408</v>
      </c>
      <c r="E11507" s="3">
        <v>13</v>
      </c>
      <c r="F11507" s="3">
        <v>13</v>
      </c>
      <c r="G11507" t="s">
        <v>516</v>
      </c>
    </row>
    <row r="11508" spans="1:7" x14ac:dyDescent="0.25">
      <c r="A11508" s="1" t="str">
        <f>"524433"</f>
        <v>524433</v>
      </c>
      <c r="B11508" s="2" t="str">
        <f>"FLEXIVEL"</f>
        <v>FLEXIVEL</v>
      </c>
      <c r="C11508" s="2" t="str">
        <f t="shared" si="450"/>
        <v>UN</v>
      </c>
      <c r="D11508" s="7">
        <v>704</v>
      </c>
      <c r="E11508" s="3">
        <v>9</v>
      </c>
      <c r="F11508" s="3">
        <v>9</v>
      </c>
      <c r="G11508" t="s">
        <v>515</v>
      </c>
    </row>
    <row r="11509" spans="1:7" x14ac:dyDescent="0.25">
      <c r="A11509" s="1" t="str">
        <f>"505544"</f>
        <v>505544</v>
      </c>
      <c r="B11509" s="2" t="str">
        <f>"FLEXIVEL 1/4 1100MM"</f>
        <v>FLEXIVEL 1/4 1100MM</v>
      </c>
      <c r="C11509" s="2" t="str">
        <f t="shared" si="450"/>
        <v>UN</v>
      </c>
      <c r="D11509" s="7">
        <v>99999</v>
      </c>
      <c r="E11509" s="3">
        <v>99</v>
      </c>
      <c r="F11509" s="3">
        <v>99</v>
      </c>
      <c r="G11509" t="s">
        <v>514</v>
      </c>
    </row>
    <row r="11510" spans="1:7" x14ac:dyDescent="0.25">
      <c r="A11510" s="1" t="str">
        <f>"508964"</f>
        <v>508964</v>
      </c>
      <c r="B11510" s="2" t="str">
        <f>"FLEXIVEL 3/4"</f>
        <v>FLEXIVEL 3/4</v>
      </c>
      <c r="C11510" s="2" t="str">
        <f t="shared" si="450"/>
        <v>UN</v>
      </c>
      <c r="D11510" s="7">
        <v>402</v>
      </c>
      <c r="E11510" s="3">
        <v>4</v>
      </c>
      <c r="F11510" s="3">
        <v>4</v>
      </c>
      <c r="G11510" t="s">
        <v>512</v>
      </c>
    </row>
    <row r="11511" spans="1:7" x14ac:dyDescent="0.25">
      <c r="A11511" s="1" t="str">
        <f>"502849"</f>
        <v>502849</v>
      </c>
      <c r="B11511" s="2" t="str">
        <f>"FLEXIVEL 900 MM"</f>
        <v>FLEXIVEL 900 MM</v>
      </c>
      <c r="C11511" s="2" t="str">
        <f t="shared" si="450"/>
        <v>UN</v>
      </c>
      <c r="D11511" s="7">
        <v>704</v>
      </c>
      <c r="E11511" s="3">
        <v>9</v>
      </c>
      <c r="F11511" s="3">
        <v>9</v>
      </c>
      <c r="G11511" t="s">
        <v>513</v>
      </c>
    </row>
    <row r="11512" spans="1:7" x14ac:dyDescent="0.25">
      <c r="A11512" s="1" t="str">
        <f>"503012"</f>
        <v>503012</v>
      </c>
      <c r="B11512" s="2" t="str">
        <f>"FLEXIVEL EMBREAGEM"</f>
        <v>FLEXIVEL EMBREAGEM</v>
      </c>
      <c r="C11512" s="2" t="str">
        <f t="shared" si="450"/>
        <v>UN</v>
      </c>
      <c r="D11512" s="7">
        <v>704</v>
      </c>
      <c r="E11512" s="3">
        <v>9</v>
      </c>
      <c r="F11512" s="3">
        <v>9</v>
      </c>
      <c r="G11512" t="s">
        <v>514</v>
      </c>
    </row>
    <row r="11513" spans="1:7" x14ac:dyDescent="0.25">
      <c r="A11513" s="1" t="str">
        <f>"504571"</f>
        <v>504571</v>
      </c>
      <c r="B11513" s="2" t="str">
        <f>"FLEXIVEL FREIO (CARRETA)"</f>
        <v>FLEXIVEL FREIO (CARRETA)</v>
      </c>
      <c r="C11513" s="2" t="str">
        <f t="shared" si="450"/>
        <v>UN</v>
      </c>
      <c r="D11513" s="7">
        <v>704</v>
      </c>
      <c r="E11513" s="3">
        <v>9</v>
      </c>
      <c r="F11513" s="3">
        <v>9</v>
      </c>
      <c r="G11513" t="s">
        <v>514</v>
      </c>
    </row>
    <row r="11514" spans="1:7" x14ac:dyDescent="0.25">
      <c r="A11514" s="1" t="str">
        <f>"525206"</f>
        <v>525206</v>
      </c>
      <c r="B11514" s="8" t="s">
        <v>442</v>
      </c>
      <c r="C11514" s="2" t="str">
        <f t="shared" si="450"/>
        <v>UN</v>
      </c>
      <c r="D11514" s="7">
        <v>913</v>
      </c>
      <c r="E11514" s="3">
        <v>11</v>
      </c>
      <c r="F11514" s="3">
        <v>11</v>
      </c>
      <c r="G11514" t="s">
        <v>512</v>
      </c>
    </row>
    <row r="11515" spans="1:7" x14ac:dyDescent="0.25">
      <c r="A11515" s="1" t="str">
        <f>"516609"</f>
        <v>516609</v>
      </c>
      <c r="B11515" s="2" t="str">
        <f>"FLIP CHARP"</f>
        <v>FLIP CHARP</v>
      </c>
      <c r="C11515" s="2" t="str">
        <f t="shared" si="450"/>
        <v>UN</v>
      </c>
      <c r="D11515" s="7">
        <v>401</v>
      </c>
      <c r="E11515" s="3">
        <v>4</v>
      </c>
      <c r="F11515" s="3">
        <v>4</v>
      </c>
      <c r="G11515" t="s">
        <v>513</v>
      </c>
    </row>
    <row r="11516" spans="1:7" x14ac:dyDescent="0.25">
      <c r="A11516" s="1" t="str">
        <f>"525016"</f>
        <v>525016</v>
      </c>
      <c r="B11516" s="8" t="s">
        <v>427</v>
      </c>
      <c r="C11516" s="2" t="str">
        <f t="shared" si="450"/>
        <v>UN</v>
      </c>
      <c r="D11516" s="7">
        <v>1300</v>
      </c>
      <c r="E11516" s="3">
        <v>13</v>
      </c>
      <c r="F11516" s="3">
        <v>13</v>
      </c>
      <c r="G11516" t="s">
        <v>514</v>
      </c>
    </row>
    <row r="11517" spans="1:7" x14ac:dyDescent="0.25">
      <c r="A11517" s="1" t="str">
        <f>"521308"</f>
        <v>521308</v>
      </c>
      <c r="B11517" s="2" t="str">
        <f>"FLOOR TRIPOD FOR SAS AIR SAMPLERS PBIB5215.P"</f>
        <v>FLOOR TRIPOD FOR SAS AIR SAMPLERS PBIB5215.P</v>
      </c>
      <c r="C11517" s="2" t="str">
        <f t="shared" si="450"/>
        <v>UN</v>
      </c>
      <c r="D11517" s="7">
        <v>1300</v>
      </c>
      <c r="E11517" s="3">
        <v>13</v>
      </c>
      <c r="F11517" s="3">
        <v>13</v>
      </c>
      <c r="G11517" t="s">
        <v>514</v>
      </c>
    </row>
    <row r="11518" spans="1:7" x14ac:dyDescent="0.25">
      <c r="A11518" s="1" t="str">
        <f>"515200"</f>
        <v>515200</v>
      </c>
      <c r="B11518" s="2" t="str">
        <f>"FLORATE SOL OFT GTS"</f>
        <v>FLORATE SOL OFT GTS</v>
      </c>
      <c r="C11518" s="2" t="str">
        <f t="shared" si="450"/>
        <v>UN</v>
      </c>
      <c r="D11518" s="7">
        <v>401</v>
      </c>
      <c r="E11518" s="3">
        <v>4</v>
      </c>
      <c r="F11518" s="3">
        <v>4</v>
      </c>
      <c r="G11518" t="s">
        <v>514</v>
      </c>
    </row>
    <row r="11519" spans="1:7" x14ac:dyDescent="0.25">
      <c r="A11519" s="1" t="str">
        <f>"515247"</f>
        <v>515247</v>
      </c>
      <c r="B11519" s="2" t="str">
        <f>"FLORES"</f>
        <v>FLORES</v>
      </c>
      <c r="C11519" s="2" t="str">
        <f t="shared" si="450"/>
        <v>UN</v>
      </c>
      <c r="D11519" s="7">
        <v>401</v>
      </c>
      <c r="E11519" s="3">
        <v>4</v>
      </c>
      <c r="F11519" s="3">
        <v>4</v>
      </c>
      <c r="G11519" t="s">
        <v>513</v>
      </c>
    </row>
    <row r="11520" spans="1:7" x14ac:dyDescent="0.25">
      <c r="A11520" s="1" t="str">
        <f>"516367"</f>
        <v>516367</v>
      </c>
      <c r="B11520" s="2" t="str">
        <f>"FLOTADOR GFAD 50/TUBOS/GUARFA CORPO/VALV/MIST/02 TQ 15000L"</f>
        <v>FLOTADOR GFAD 50/TUBOS/GUARFA CORPO/VALV/MIST/02 TQ 15000L</v>
      </c>
      <c r="C11520" s="2" t="str">
        <f t="shared" si="450"/>
        <v>UN</v>
      </c>
      <c r="D11520" s="7">
        <v>813</v>
      </c>
      <c r="E11520" s="3">
        <v>13</v>
      </c>
      <c r="F11520" s="3">
        <v>13</v>
      </c>
      <c r="G11520" t="s">
        <v>512</v>
      </c>
    </row>
    <row r="11521" spans="1:7" x14ac:dyDescent="0.25">
      <c r="A11521" s="1" t="str">
        <f>"525020"</f>
        <v>525020</v>
      </c>
      <c r="B11521" s="8" t="s">
        <v>428</v>
      </c>
      <c r="C11521" s="2" t="str">
        <f t="shared" si="450"/>
        <v>UN</v>
      </c>
      <c r="D11521" s="7">
        <v>1300</v>
      </c>
      <c r="E11521" s="3">
        <v>13</v>
      </c>
      <c r="F11521" s="3">
        <v>13</v>
      </c>
      <c r="G11521" t="s">
        <v>513</v>
      </c>
    </row>
    <row r="11522" spans="1:7" x14ac:dyDescent="0.25">
      <c r="A11522" s="1" t="str">
        <f>"514612"</f>
        <v>514612</v>
      </c>
      <c r="B11522" s="2" t="str">
        <f>"FLOTOADOR GFAD 50"</f>
        <v>FLOTOADOR GFAD 50</v>
      </c>
      <c r="C11522" s="2" t="str">
        <f t="shared" si="450"/>
        <v>UN</v>
      </c>
      <c r="D11522" s="7">
        <v>1300</v>
      </c>
      <c r="E11522" s="3">
        <v>13</v>
      </c>
      <c r="F11522" s="3">
        <v>13</v>
      </c>
      <c r="G11522" t="s">
        <v>514</v>
      </c>
    </row>
    <row r="11523" spans="1:7" x14ac:dyDescent="0.25">
      <c r="A11523" s="1" t="str">
        <f>"506253"</f>
        <v>506253</v>
      </c>
      <c r="B11523" s="2" t="str">
        <f>"FLUIDO DE CORTE LATA 500ML"</f>
        <v>FLUIDO DE CORTE LATA 500ML</v>
      </c>
      <c r="C11523" s="2" t="str">
        <f t="shared" si="450"/>
        <v>UN</v>
      </c>
      <c r="D11523" s="7">
        <v>918</v>
      </c>
      <c r="E11523" s="3">
        <v>11</v>
      </c>
      <c r="F11523" s="3">
        <v>11</v>
      </c>
      <c r="G11523" t="s">
        <v>514</v>
      </c>
    </row>
    <row r="11524" spans="1:7" x14ac:dyDescent="0.25">
      <c r="A11524" s="1" t="str">
        <f>"524375"</f>
        <v>524375</v>
      </c>
      <c r="B11524" s="2" t="str">
        <f>"FLUIDO LIMPEZA DO SISTEMA DE INJEÇÃO"</f>
        <v>FLUIDO LIMPEZA DO SISTEMA DE INJEÇÃO</v>
      </c>
      <c r="C11524" s="2" t="str">
        <f>"LT"</f>
        <v>LT</v>
      </c>
      <c r="D11524" s="7">
        <v>702</v>
      </c>
      <c r="E11524" s="3">
        <v>9</v>
      </c>
      <c r="F11524" s="3">
        <v>9</v>
      </c>
      <c r="G11524" t="s">
        <v>514</v>
      </c>
    </row>
    <row r="11525" spans="1:7" x14ac:dyDescent="0.25">
      <c r="A11525" s="1" t="str">
        <f>"508914"</f>
        <v>508914</v>
      </c>
      <c r="B11525" s="2" t="str">
        <f>"FLUIDO P/ TRANSMISSAO AUT. TP-A SULF-A"</f>
        <v>FLUIDO P/ TRANSMISSAO AUT. TP-A SULF-A</v>
      </c>
      <c r="C11525" s="2" t="str">
        <f>"UN"</f>
        <v>UN</v>
      </c>
      <c r="D11525" s="7">
        <v>918</v>
      </c>
      <c r="E11525" s="3">
        <v>11</v>
      </c>
      <c r="F11525" s="3">
        <v>11</v>
      </c>
      <c r="G11525" t="s">
        <v>513</v>
      </c>
    </row>
    <row r="11526" spans="1:7" x14ac:dyDescent="0.25">
      <c r="A11526" s="1" t="str">
        <f>"514392"</f>
        <v>514392</v>
      </c>
      <c r="B11526" s="2" t="str">
        <f>"FLUIDO PARA EMBREAGEM"</f>
        <v>FLUIDO PARA EMBREAGEM</v>
      </c>
      <c r="C11526" s="2" t="str">
        <f>"LT"</f>
        <v>LT</v>
      </c>
      <c r="D11526" s="7">
        <v>702</v>
      </c>
      <c r="E11526" s="3">
        <v>9</v>
      </c>
      <c r="F11526" s="3">
        <v>9</v>
      </c>
      <c r="G11526" t="s">
        <v>513</v>
      </c>
    </row>
    <row r="11527" spans="1:7" x14ac:dyDescent="0.25">
      <c r="A11527" s="1" t="str">
        <f>"522624"</f>
        <v>522624</v>
      </c>
      <c r="B11527" s="2" t="str">
        <f>"FLUIDO PARA FREIO"</f>
        <v>FLUIDO PARA FREIO</v>
      </c>
      <c r="C11527" s="2" t="str">
        <f>"LT"</f>
        <v>LT</v>
      </c>
      <c r="D11527" s="7">
        <v>702</v>
      </c>
      <c r="E11527" s="3">
        <v>9</v>
      </c>
      <c r="F11527" s="3">
        <v>9</v>
      </c>
      <c r="G11527" t="s">
        <v>513</v>
      </c>
    </row>
    <row r="11528" spans="1:7" x14ac:dyDescent="0.25">
      <c r="A11528" s="1" t="str">
        <f>"507865"</f>
        <v>507865</v>
      </c>
      <c r="B11528" s="2" t="str">
        <f>"FLUIDO PARA RADIADOR"</f>
        <v>FLUIDO PARA RADIADOR</v>
      </c>
      <c r="C11528" s="2" t="str">
        <f>"LT"</f>
        <v>LT</v>
      </c>
      <c r="D11528" s="7">
        <v>702</v>
      </c>
      <c r="E11528" s="3">
        <v>9</v>
      </c>
      <c r="F11528" s="3">
        <v>9</v>
      </c>
      <c r="G11528" t="s">
        <v>512</v>
      </c>
    </row>
    <row r="11529" spans="1:7" x14ac:dyDescent="0.25">
      <c r="A11529" s="1" t="str">
        <f>"522812"</f>
        <v>522812</v>
      </c>
      <c r="B11529" s="2" t="str">
        <f>"FLUIDO REF. ISCEON 99 R438A ONU 1078 11,35KG"</f>
        <v>FLUIDO REF. ISCEON 99 R438A ONU 1078 11,35KG</v>
      </c>
      <c r="C11529" s="2" t="str">
        <f t="shared" ref="C11529:C11567" si="451">"UN"</f>
        <v>UN</v>
      </c>
      <c r="D11529" s="7">
        <v>916</v>
      </c>
      <c r="E11529" s="3">
        <v>10</v>
      </c>
      <c r="F11529" s="3">
        <v>10</v>
      </c>
      <c r="G11529" t="s">
        <v>513</v>
      </c>
    </row>
    <row r="11530" spans="1:7" x14ac:dyDescent="0.25">
      <c r="A11530" s="1" t="str">
        <f>"514696"</f>
        <v>514696</v>
      </c>
      <c r="B11530" s="2" t="str">
        <f>"FLUIDO REFRIGERANTE"</f>
        <v>FLUIDO REFRIGERANTE</v>
      </c>
      <c r="C11530" s="2" t="str">
        <f t="shared" si="451"/>
        <v>UN</v>
      </c>
      <c r="D11530" s="7">
        <v>818</v>
      </c>
      <c r="E11530" s="3">
        <v>11</v>
      </c>
      <c r="F11530" s="3">
        <v>11</v>
      </c>
      <c r="G11530" t="s">
        <v>514</v>
      </c>
    </row>
    <row r="11531" spans="1:7" x14ac:dyDescent="0.25">
      <c r="A11531" s="1" t="str">
        <f>"514533"</f>
        <v>514533</v>
      </c>
      <c r="B11531" s="2" t="str">
        <f>"FLUSHING"</f>
        <v>FLUSHING</v>
      </c>
      <c r="C11531" s="2" t="str">
        <f t="shared" si="451"/>
        <v>UN</v>
      </c>
      <c r="D11531" s="7">
        <v>704</v>
      </c>
      <c r="E11531" s="3">
        <v>9</v>
      </c>
      <c r="F11531" s="3">
        <v>9</v>
      </c>
      <c r="G11531" t="s">
        <v>515</v>
      </c>
    </row>
    <row r="11532" spans="1:7" x14ac:dyDescent="0.25">
      <c r="A11532" s="1" t="str">
        <f>"526215"</f>
        <v>526215</v>
      </c>
      <c r="B11532" s="2" t="str">
        <f>"FLUTUADOR DE NIVEL DE COMBUSTÍVEL"</f>
        <v>FLUTUADOR DE NIVEL DE COMBUSTÍVEL</v>
      </c>
      <c r="C11532" s="2" t="str">
        <f t="shared" si="451"/>
        <v>UN</v>
      </c>
      <c r="D11532" s="7">
        <v>704</v>
      </c>
      <c r="E11532" s="3">
        <v>9</v>
      </c>
      <c r="F11532" s="3">
        <v>9</v>
      </c>
      <c r="G11532" t="s">
        <v>512</v>
      </c>
    </row>
    <row r="11533" spans="1:7" x14ac:dyDescent="0.25">
      <c r="A11533" s="1" t="str">
        <f>"521030"</f>
        <v>521030</v>
      </c>
      <c r="B11533" s="2" t="str">
        <f>"FLUXO LAMINAR 2342X1324MM"</f>
        <v>FLUXO LAMINAR 2342X1324MM</v>
      </c>
      <c r="C11533" s="2" t="str">
        <f t="shared" si="451"/>
        <v>UN</v>
      </c>
      <c r="D11533" s="7">
        <v>913</v>
      </c>
      <c r="E11533" s="3">
        <v>10</v>
      </c>
      <c r="F11533" s="3">
        <v>10</v>
      </c>
      <c r="G11533" t="s">
        <v>516</v>
      </c>
    </row>
    <row r="11534" spans="1:7" x14ac:dyDescent="0.25">
      <c r="A11534" s="1" t="str">
        <f>"523628"</f>
        <v>523628</v>
      </c>
      <c r="B11534" s="2" t="str">
        <f>"FLUXO UNIDIREC. MODULADO"</f>
        <v>FLUXO UNIDIREC. MODULADO</v>
      </c>
      <c r="C11534" s="2" t="str">
        <f t="shared" si="451"/>
        <v>UN</v>
      </c>
      <c r="D11534" s="7">
        <v>99999</v>
      </c>
      <c r="E11534" s="3">
        <v>99</v>
      </c>
      <c r="F11534" s="3">
        <v>99</v>
      </c>
      <c r="G11534" t="s">
        <v>515</v>
      </c>
    </row>
    <row r="11535" spans="1:7" x14ac:dyDescent="0.25">
      <c r="A11535" s="1" t="str">
        <f>"522668"</f>
        <v>522668</v>
      </c>
      <c r="B11535" s="2" t="str">
        <f>"FLYER 250 G - C/ VINCO 27X20 CM"</f>
        <v>FLYER 250 G - C/ VINCO 27X20 CM</v>
      </c>
      <c r="C11535" s="2" t="str">
        <f t="shared" si="451"/>
        <v>UN</v>
      </c>
      <c r="D11535" s="7">
        <v>99999</v>
      </c>
      <c r="E11535" s="3">
        <v>99</v>
      </c>
      <c r="F11535" s="3">
        <v>99</v>
      </c>
      <c r="G11535" t="s">
        <v>514</v>
      </c>
    </row>
    <row r="11536" spans="1:7" x14ac:dyDescent="0.25">
      <c r="A11536" s="1" t="str">
        <f>"518470"</f>
        <v>518470</v>
      </c>
      <c r="B11536" s="2" t="str">
        <f>"FOGÃO 2 BOCAS SEMI INDUSTRIAL TITANYUN LAYR"</f>
        <v>FOGÃO 2 BOCAS SEMI INDUSTRIAL TITANYUN LAYR</v>
      </c>
      <c r="C11536" s="2" t="str">
        <f t="shared" si="451"/>
        <v>UN</v>
      </c>
      <c r="D11536" s="7">
        <v>1200</v>
      </c>
      <c r="E11536" s="3">
        <v>4</v>
      </c>
      <c r="F11536" s="3">
        <v>4</v>
      </c>
      <c r="G11536" t="s">
        <v>512</v>
      </c>
    </row>
    <row r="11537" spans="1:7" x14ac:dyDescent="0.25">
      <c r="A11537" s="1" t="str">
        <f>"516448"</f>
        <v>516448</v>
      </c>
      <c r="B11537" s="2" t="str">
        <f>"FOGAO CONTINENTAL ASTRA 4B BRANCO"</f>
        <v>FOGAO CONTINENTAL ASTRA 4B BRANCO</v>
      </c>
      <c r="C11537" s="2" t="str">
        <f t="shared" si="451"/>
        <v>UN</v>
      </c>
      <c r="D11537" s="7">
        <v>1200</v>
      </c>
      <c r="E11537" s="3">
        <v>4</v>
      </c>
      <c r="F11537" s="3">
        <v>4</v>
      </c>
      <c r="G11537" t="s">
        <v>513</v>
      </c>
    </row>
    <row r="11538" spans="1:7" x14ac:dyDescent="0.25">
      <c r="A11538" s="1" t="str">
        <f>"515340"</f>
        <v>515340</v>
      </c>
      <c r="B11538" s="2" t="str">
        <f>"FOGAREIRO INDUSTRIAL 02 BOCAS"</f>
        <v>FOGAREIRO INDUSTRIAL 02 BOCAS</v>
      </c>
      <c r="C11538" s="2" t="str">
        <f t="shared" si="451"/>
        <v>UN</v>
      </c>
      <c r="D11538" s="7">
        <v>900</v>
      </c>
      <c r="E11538" s="3">
        <v>4</v>
      </c>
      <c r="F11538" s="3">
        <v>4</v>
      </c>
      <c r="G11538" t="s">
        <v>514</v>
      </c>
    </row>
    <row r="11539" spans="1:7" x14ac:dyDescent="0.25">
      <c r="A11539" s="1" t="str">
        <f>"521965"</f>
        <v>521965</v>
      </c>
      <c r="B11539" s="2" t="str">
        <f>"FOGOS"</f>
        <v>FOGOS</v>
      </c>
      <c r="C11539" s="2" t="str">
        <f t="shared" si="451"/>
        <v>UN</v>
      </c>
      <c r="D11539" s="7">
        <v>99999</v>
      </c>
      <c r="E11539" s="3">
        <v>99</v>
      </c>
      <c r="F11539" s="3">
        <v>99</v>
      </c>
      <c r="G11539" t="s">
        <v>514</v>
      </c>
    </row>
    <row r="11540" spans="1:7" x14ac:dyDescent="0.25">
      <c r="A11540" s="1" t="str">
        <f>"522647"</f>
        <v>522647</v>
      </c>
      <c r="B11540" s="2" t="str">
        <f>"FOLDER VISITANTES 3 DOBRAS COUCHÊ 120GR"</f>
        <v>FOLDER VISITANTES 3 DOBRAS COUCHÊ 120GR</v>
      </c>
      <c r="C11540" s="2" t="str">
        <f t="shared" si="451"/>
        <v>UN</v>
      </c>
      <c r="D11540" s="7">
        <v>501</v>
      </c>
      <c r="E11540" s="3">
        <v>4</v>
      </c>
      <c r="F11540" s="3">
        <v>4</v>
      </c>
      <c r="G11540" t="s">
        <v>512</v>
      </c>
    </row>
    <row r="11541" spans="1:7" x14ac:dyDescent="0.25">
      <c r="A11541" s="1" t="str">
        <f>"514514"</f>
        <v>514514</v>
      </c>
      <c r="B11541" s="2" t="str">
        <f>"FOLDERS"</f>
        <v>FOLDERS</v>
      </c>
      <c r="C11541" s="2" t="str">
        <f t="shared" si="451"/>
        <v>UN</v>
      </c>
      <c r="D11541" s="7">
        <v>401</v>
      </c>
      <c r="E11541" s="3">
        <v>4</v>
      </c>
      <c r="F11541" s="3">
        <v>4</v>
      </c>
      <c r="G11541" t="s">
        <v>513</v>
      </c>
    </row>
    <row r="11542" spans="1:7" x14ac:dyDescent="0.25">
      <c r="A11542" s="1" t="str">
        <f>"508660"</f>
        <v>508660</v>
      </c>
      <c r="B11542" s="2" t="str">
        <f>"FOLDERS EM PAPEL COUCHE IMPRESSAO 4X4"</f>
        <v>FOLDERS EM PAPEL COUCHE IMPRESSAO 4X4</v>
      </c>
      <c r="C11542" s="2" t="str">
        <f t="shared" si="451"/>
        <v>UN</v>
      </c>
      <c r="D11542" s="7">
        <v>402</v>
      </c>
      <c r="E11542" s="3">
        <v>4</v>
      </c>
      <c r="F11542" s="3">
        <v>4</v>
      </c>
      <c r="G11542" t="s">
        <v>514</v>
      </c>
    </row>
    <row r="11543" spans="1:7" x14ac:dyDescent="0.25">
      <c r="A11543" s="1" t="str">
        <f>"505218"</f>
        <v>505218</v>
      </c>
      <c r="B11543" s="2" t="str">
        <f>"FOLE PNEUMATICO"</f>
        <v>FOLE PNEUMATICO</v>
      </c>
      <c r="C11543" s="2" t="str">
        <f t="shared" si="451"/>
        <v>UN</v>
      </c>
      <c r="D11543" s="7">
        <v>704</v>
      </c>
      <c r="E11543" s="3">
        <v>9</v>
      </c>
      <c r="F11543" s="3">
        <v>9</v>
      </c>
      <c r="G11543" t="s">
        <v>514</v>
      </c>
    </row>
    <row r="11544" spans="1:7" x14ac:dyDescent="0.25">
      <c r="A11544" s="1" t="str">
        <f>"525191"</f>
        <v>525191</v>
      </c>
      <c r="B11544" s="2" t="str">
        <f>"FOLHA CORTA FOGO SP P90 890X2100X50MM GALVANIZADO"</f>
        <v>FOLHA CORTA FOGO SP P90 890X2100X50MM GALVANIZADO</v>
      </c>
      <c r="C11544" s="2" t="str">
        <f t="shared" si="451"/>
        <v>UN</v>
      </c>
      <c r="D11544" s="7">
        <v>917</v>
      </c>
      <c r="E11544" s="3">
        <v>10</v>
      </c>
      <c r="F11544" s="3">
        <v>10</v>
      </c>
      <c r="G11544" t="s">
        <v>514</v>
      </c>
    </row>
    <row r="11545" spans="1:7" x14ac:dyDescent="0.25">
      <c r="A11545" s="1" t="str">
        <f>"521581"</f>
        <v>521581</v>
      </c>
      <c r="B11545" s="2" t="str">
        <f>"FOLHA KRAFT 300GR 23,5 x 31,5CM"</f>
        <v>FOLHA KRAFT 300GR 23,5 x 31,5CM</v>
      </c>
      <c r="C11545" s="2" t="str">
        <f t="shared" si="451"/>
        <v>UN</v>
      </c>
      <c r="D11545" s="7">
        <v>99999</v>
      </c>
      <c r="E11545" s="3">
        <v>99</v>
      </c>
      <c r="F11545" s="3">
        <v>99</v>
      </c>
      <c r="G11545" t="s">
        <v>513</v>
      </c>
    </row>
    <row r="11546" spans="1:7" x14ac:dyDescent="0.25">
      <c r="A11546" s="1" t="str">
        <f>"515216"</f>
        <v>515216</v>
      </c>
      <c r="B11546" s="2" t="str">
        <f>"FOLHA SACHET"</f>
        <v>FOLHA SACHET</v>
      </c>
      <c r="C11546" s="2" t="str">
        <f t="shared" si="451"/>
        <v>UN</v>
      </c>
      <c r="D11546" s="7">
        <v>704</v>
      </c>
      <c r="E11546" s="3">
        <v>9</v>
      </c>
      <c r="F11546" s="3">
        <v>9</v>
      </c>
      <c r="G11546" t="s">
        <v>512</v>
      </c>
    </row>
    <row r="11547" spans="1:7" x14ac:dyDescent="0.25">
      <c r="A11547" s="1" t="str">
        <f>"521755"</f>
        <v>521755</v>
      </c>
      <c r="B11547" s="2" t="str">
        <f>"FOLHETO"</f>
        <v>FOLHETO</v>
      </c>
      <c r="C11547" s="2" t="str">
        <f t="shared" si="451"/>
        <v>UN</v>
      </c>
      <c r="D11547" s="7">
        <v>99999</v>
      </c>
      <c r="E11547" s="3">
        <v>99</v>
      </c>
      <c r="F11547" s="3">
        <v>99</v>
      </c>
      <c r="G11547" t="s">
        <v>513</v>
      </c>
    </row>
    <row r="11548" spans="1:7" x14ac:dyDescent="0.25">
      <c r="A11548" s="1" t="str">
        <f>"521756"</f>
        <v>521756</v>
      </c>
      <c r="B11548" s="2" t="str">
        <f>"FOLHETO PROGRAMAÇÃO"</f>
        <v>FOLHETO PROGRAMAÇÃO</v>
      </c>
      <c r="C11548" s="2" t="str">
        <f t="shared" si="451"/>
        <v>UN</v>
      </c>
      <c r="D11548" s="7">
        <v>99999</v>
      </c>
      <c r="E11548" s="3">
        <v>99</v>
      </c>
      <c r="F11548" s="3">
        <v>99</v>
      </c>
      <c r="G11548" t="s">
        <v>514</v>
      </c>
    </row>
    <row r="11549" spans="1:7" x14ac:dyDescent="0.25">
      <c r="A11549" s="1" t="str">
        <f>"514287"</f>
        <v>514287</v>
      </c>
      <c r="B11549" s="2" t="str">
        <f>"FONE DE OUVIDO C/ MICROFONE"</f>
        <v>FONE DE OUVIDO C/ MICROFONE</v>
      </c>
      <c r="C11549" s="2" t="str">
        <f t="shared" si="451"/>
        <v>UN</v>
      </c>
      <c r="D11549" s="7">
        <v>401</v>
      </c>
      <c r="E11549" s="3">
        <v>4</v>
      </c>
      <c r="F11549" s="3">
        <v>4</v>
      </c>
      <c r="G11549" t="s">
        <v>514</v>
      </c>
    </row>
    <row r="11550" spans="1:7" x14ac:dyDescent="0.25">
      <c r="A11550" s="1" t="str">
        <f>"526194"</f>
        <v>526194</v>
      </c>
      <c r="B11550" s="2" t="str">
        <f>"FONE/MICROFONE PTT TIPO ""D"" P/ RADIO DEP450"</f>
        <v>FONE/MICROFONE PTT TIPO "D" P/ RADIO DEP450</v>
      </c>
      <c r="C11550" s="2" t="str">
        <f t="shared" si="451"/>
        <v>UN</v>
      </c>
      <c r="D11550" s="7">
        <v>99999</v>
      </c>
      <c r="E11550" s="3">
        <v>99</v>
      </c>
      <c r="F11550" s="3">
        <v>99</v>
      </c>
      <c r="G11550" t="s">
        <v>514</v>
      </c>
    </row>
    <row r="11551" spans="1:7" x14ac:dyDescent="0.25">
      <c r="A11551" s="1" t="str">
        <f>"510381"</f>
        <v>510381</v>
      </c>
      <c r="B11551" s="2" t="str">
        <f>"FONTE 110/220VAC 50/60HZ 700mA 12VDC"</f>
        <v>FONTE 110/220VAC 50/60HZ 700mA 12VDC</v>
      </c>
      <c r="C11551" s="2" t="str">
        <f t="shared" si="451"/>
        <v>UN</v>
      </c>
      <c r="D11551" s="7">
        <v>600</v>
      </c>
      <c r="E11551" s="3">
        <v>8</v>
      </c>
      <c r="F11551" s="3">
        <v>8</v>
      </c>
      <c r="G11551" t="s">
        <v>513</v>
      </c>
    </row>
    <row r="11552" spans="1:7" x14ac:dyDescent="0.25">
      <c r="A11552" s="1" t="str">
        <f>"517173"</f>
        <v>517173</v>
      </c>
      <c r="B11552" s="2" t="str">
        <f>"FONTE 12V 10A CHAVEADA P/ CAMERA"</f>
        <v>FONTE 12V 10A CHAVEADA P/ CAMERA</v>
      </c>
      <c r="C11552" s="2" t="str">
        <f t="shared" si="451"/>
        <v>UN</v>
      </c>
      <c r="D11552" s="7">
        <v>811</v>
      </c>
      <c r="E11552" s="3">
        <v>8</v>
      </c>
      <c r="F11552" s="3">
        <v>8</v>
      </c>
      <c r="G11552" t="s">
        <v>513</v>
      </c>
    </row>
    <row r="11553" spans="1:7" x14ac:dyDescent="0.25">
      <c r="A11553" s="1" t="str">
        <f>"526509"</f>
        <v>526509</v>
      </c>
      <c r="B11553" s="2" t="str">
        <f>"FONTE 12VDC/1,5A STEP-PS 1/AC/12DC/1,5"</f>
        <v>FONTE 12VDC/1,5A STEP-PS 1/AC/12DC/1,5</v>
      </c>
      <c r="C11553" s="2" t="str">
        <f t="shared" si="451"/>
        <v>UN</v>
      </c>
      <c r="D11553" s="7">
        <v>600</v>
      </c>
      <c r="E11553" s="3">
        <v>8</v>
      </c>
      <c r="F11553" s="3">
        <v>8</v>
      </c>
      <c r="G11553" t="s">
        <v>513</v>
      </c>
    </row>
    <row r="11554" spans="1:7" x14ac:dyDescent="0.25">
      <c r="A11554" s="1" t="str">
        <f>"520983"</f>
        <v>520983</v>
      </c>
      <c r="B11554" s="2" t="str">
        <f>"FONTE 220/24VDC 2,5 A SITOP SIEMENS"</f>
        <v>FONTE 220/24VDC 2,5 A SITOP SIEMENS</v>
      </c>
      <c r="C11554" s="2" t="str">
        <f t="shared" si="451"/>
        <v>UN</v>
      </c>
      <c r="D11554" s="7">
        <v>900</v>
      </c>
      <c r="E11554" s="3">
        <v>8</v>
      </c>
      <c r="F11554" s="3">
        <v>8</v>
      </c>
      <c r="G11554" t="s">
        <v>512</v>
      </c>
    </row>
    <row r="11555" spans="1:7" x14ac:dyDescent="0.25">
      <c r="A11555" s="1" t="str">
        <f>"524866"</f>
        <v>524866</v>
      </c>
      <c r="B11555" s="2" t="str">
        <f>"FONTE 24VCC 1,5A"</f>
        <v>FONTE 24VCC 1,5A</v>
      </c>
      <c r="C11555" s="2" t="str">
        <f t="shared" si="451"/>
        <v>UN</v>
      </c>
      <c r="D11555" s="7">
        <v>811</v>
      </c>
      <c r="E11555" s="3">
        <v>8</v>
      </c>
      <c r="F11555" s="3">
        <v>8</v>
      </c>
      <c r="G11555" t="s">
        <v>513</v>
      </c>
    </row>
    <row r="11556" spans="1:7" x14ac:dyDescent="0.25">
      <c r="A11556" s="1" t="str">
        <f>"505754"</f>
        <v>505754</v>
      </c>
      <c r="B11556" s="2" t="str">
        <f>"FONTE 9V 110 X 220V P/ BALANÇA"</f>
        <v>FONTE 9V 110 X 220V P/ BALANÇA</v>
      </c>
      <c r="C11556" s="2" t="str">
        <f t="shared" si="451"/>
        <v>UN</v>
      </c>
      <c r="D11556" s="7">
        <v>811</v>
      </c>
      <c r="E11556" s="3">
        <v>10</v>
      </c>
      <c r="F11556" s="3">
        <v>10</v>
      </c>
      <c r="G11556" t="s">
        <v>514</v>
      </c>
    </row>
    <row r="11557" spans="1:7" x14ac:dyDescent="0.25">
      <c r="A11557" s="1" t="str">
        <f>"512192"</f>
        <v>512192</v>
      </c>
      <c r="B11557" s="2" t="str">
        <f>"FONTE ABL 1REM24062 240V X 24V 4A 100W"</f>
        <v>FONTE ABL 1REM24062 240V X 24V 4A 100W</v>
      </c>
      <c r="C11557" s="2" t="str">
        <f t="shared" si="451"/>
        <v>UN</v>
      </c>
      <c r="D11557" s="7">
        <v>600</v>
      </c>
      <c r="E11557" s="3">
        <v>8</v>
      </c>
      <c r="F11557" s="3">
        <v>8</v>
      </c>
      <c r="G11557" t="s">
        <v>515</v>
      </c>
    </row>
    <row r="11558" spans="1:7" x14ac:dyDescent="0.25">
      <c r="A11558" s="1" t="str">
        <f>"511166"</f>
        <v>511166</v>
      </c>
      <c r="B11558" s="2" t="str">
        <f>"FONTE AJUSTAVEL 0 A 24 VDC 2 AMPERES"</f>
        <v>FONTE AJUSTAVEL 0 A 24 VDC 2 AMPERES</v>
      </c>
      <c r="C11558" s="2" t="str">
        <f t="shared" si="451"/>
        <v>UN</v>
      </c>
      <c r="D11558" s="7">
        <v>600</v>
      </c>
      <c r="E11558" s="3">
        <v>8</v>
      </c>
      <c r="F11558" s="3">
        <v>8</v>
      </c>
      <c r="G11558" t="s">
        <v>512</v>
      </c>
    </row>
    <row r="11559" spans="1:7" x14ac:dyDescent="0.25">
      <c r="A11559" s="1" t="str">
        <f>"515540"</f>
        <v>515540</v>
      </c>
      <c r="B11559" s="2" t="str">
        <f>"FONTE ALIMENTACAO 12V - 110/220 V"</f>
        <v>FONTE ALIMENTACAO 12V - 110/220 V</v>
      </c>
      <c r="C11559" s="2" t="str">
        <f t="shared" si="451"/>
        <v>UN</v>
      </c>
      <c r="D11559" s="7">
        <v>811</v>
      </c>
      <c r="E11559" s="3">
        <v>8</v>
      </c>
      <c r="F11559" s="3">
        <v>8</v>
      </c>
      <c r="G11559" t="s">
        <v>516</v>
      </c>
    </row>
    <row r="11560" spans="1:7" x14ac:dyDescent="0.25">
      <c r="A11560" s="1" t="str">
        <f>"518961"</f>
        <v>518961</v>
      </c>
      <c r="B11560" s="2" t="str">
        <f>"FONTE ALIMENTAÇÃO S8JX-G10024CD"</f>
        <v>FONTE ALIMENTAÇÃO S8JX-G10024CD</v>
      </c>
      <c r="C11560" s="2" t="str">
        <f t="shared" si="451"/>
        <v>UN</v>
      </c>
      <c r="D11560" s="7">
        <v>811</v>
      </c>
      <c r="E11560" s="3">
        <v>8</v>
      </c>
      <c r="F11560" s="3">
        <v>8</v>
      </c>
      <c r="G11560" t="s">
        <v>515</v>
      </c>
    </row>
    <row r="11561" spans="1:7" x14ac:dyDescent="0.25">
      <c r="A11561" s="1" t="str">
        <f>"517817"</f>
        <v>517817</v>
      </c>
      <c r="B11561" s="2" t="str">
        <f>"FONTE ALIMENTAÇÃO S8JX-G60024C"</f>
        <v>FONTE ALIMENTAÇÃO S8JX-G60024C</v>
      </c>
      <c r="C11561" s="2" t="str">
        <f t="shared" si="451"/>
        <v>UN</v>
      </c>
      <c r="D11561" s="7">
        <v>811</v>
      </c>
      <c r="E11561" s="3">
        <v>8</v>
      </c>
      <c r="F11561" s="3">
        <v>8</v>
      </c>
      <c r="G11561" t="s">
        <v>514</v>
      </c>
    </row>
    <row r="11562" spans="1:7" x14ac:dyDescent="0.25">
      <c r="A11562" s="1" t="str">
        <f>"519171"</f>
        <v>519171</v>
      </c>
      <c r="B11562" s="2" t="str">
        <f>"FONTE ATX P/ COMPUTADOR"</f>
        <v>FONTE ATX P/ COMPUTADOR</v>
      </c>
      <c r="C11562" s="2" t="str">
        <f t="shared" si="451"/>
        <v>UN</v>
      </c>
      <c r="D11562" s="7">
        <v>811</v>
      </c>
      <c r="E11562" s="3">
        <v>8</v>
      </c>
      <c r="F11562" s="3">
        <v>8</v>
      </c>
      <c r="G11562" t="s">
        <v>512</v>
      </c>
    </row>
    <row r="11563" spans="1:7" x14ac:dyDescent="0.25">
      <c r="A11563" s="1" t="str">
        <f>"518667"</f>
        <v>518667</v>
      </c>
      <c r="B11563" s="2" t="str">
        <f>"FONTE BIVOLT - OPENSTAGE IP"</f>
        <v>FONTE BIVOLT - OPENSTAGE IP</v>
      </c>
      <c r="C11563" s="2" t="str">
        <f t="shared" si="451"/>
        <v>UN</v>
      </c>
      <c r="D11563" s="7">
        <v>811</v>
      </c>
      <c r="E11563" s="3">
        <v>8</v>
      </c>
      <c r="F11563" s="3">
        <v>8</v>
      </c>
      <c r="G11563" t="s">
        <v>513</v>
      </c>
    </row>
    <row r="11564" spans="1:7" x14ac:dyDescent="0.25">
      <c r="A11564" s="1" t="str">
        <f>"518665"</f>
        <v>518665</v>
      </c>
      <c r="B11564" s="2" t="str">
        <f>"FONTE CHAVEADA 1 RELE WSI-1R"</f>
        <v>FONTE CHAVEADA 1 RELE WSI-1R</v>
      </c>
      <c r="C11564" s="2" t="str">
        <f t="shared" si="451"/>
        <v>UN</v>
      </c>
      <c r="D11564" s="7">
        <v>811</v>
      </c>
      <c r="E11564" s="3">
        <v>8</v>
      </c>
      <c r="F11564" s="3">
        <v>8</v>
      </c>
      <c r="G11564" t="s">
        <v>514</v>
      </c>
    </row>
    <row r="11565" spans="1:7" x14ac:dyDescent="0.25">
      <c r="A11565" s="1" t="str">
        <f>"524983"</f>
        <v>524983</v>
      </c>
      <c r="B11565" s="2" t="str">
        <f>"FONTE CHAVEADA 220VAC 24VDC 10A"</f>
        <v>FONTE CHAVEADA 220VAC 24VDC 10A</v>
      </c>
      <c r="C11565" s="2" t="str">
        <f t="shared" si="451"/>
        <v>UN</v>
      </c>
      <c r="D11565" s="7">
        <v>811</v>
      </c>
      <c r="E11565" s="3">
        <v>10</v>
      </c>
      <c r="F11565" s="3">
        <v>10</v>
      </c>
      <c r="G11565" t="s">
        <v>514</v>
      </c>
    </row>
    <row r="11566" spans="1:7" x14ac:dyDescent="0.25">
      <c r="A11566" s="1" t="str">
        <f>"527853"</f>
        <v>527853</v>
      </c>
      <c r="B11566" s="2" t="str">
        <f>"FONTE CHAVEADA 24V PSSS24-W 1,3A - WEG"</f>
        <v>FONTE CHAVEADA 24V PSSS24-W 1,3A - WEG</v>
      </c>
      <c r="C11566" s="2" t="str">
        <f t="shared" si="451"/>
        <v>UN</v>
      </c>
      <c r="D11566" s="7">
        <v>811</v>
      </c>
      <c r="E11566" s="3">
        <v>10</v>
      </c>
      <c r="F11566" s="3">
        <v>10</v>
      </c>
      <c r="G11566" t="s">
        <v>512</v>
      </c>
    </row>
    <row r="11567" spans="1:7" x14ac:dyDescent="0.25">
      <c r="A11567" s="1" t="str">
        <f>"518725"</f>
        <v>518725</v>
      </c>
      <c r="B11567" s="2" t="str">
        <f>"FONTE CHAVEADA 3 RELE WSI-3R"</f>
        <v>FONTE CHAVEADA 3 RELE WSI-3R</v>
      </c>
      <c r="C11567" s="2" t="str">
        <f t="shared" si="451"/>
        <v>UN</v>
      </c>
      <c r="D11567" s="7">
        <v>811</v>
      </c>
      <c r="E11567" s="3">
        <v>8</v>
      </c>
      <c r="F11567" s="3">
        <v>8</v>
      </c>
      <c r="G11567" t="s">
        <v>513</v>
      </c>
    </row>
    <row r="11568" spans="1:7" x14ac:dyDescent="0.25">
      <c r="A11568" s="1" t="str">
        <f>"522499"</f>
        <v>522499</v>
      </c>
      <c r="B11568" s="8" t="s">
        <v>299</v>
      </c>
      <c r="C11568" s="2" t="str">
        <f>"PC"</f>
        <v>PC</v>
      </c>
      <c r="D11568" s="7">
        <v>811</v>
      </c>
      <c r="E11568" s="3">
        <v>8</v>
      </c>
      <c r="F11568" s="3">
        <v>8</v>
      </c>
      <c r="G11568" t="s">
        <v>514</v>
      </c>
    </row>
    <row r="11569" spans="1:7" x14ac:dyDescent="0.25">
      <c r="A11569" s="1" t="str">
        <f>"526432"</f>
        <v>526432</v>
      </c>
      <c r="B11569" s="2" t="str">
        <f>"FONTE CHAVEADA DC 12V 10A METALICA BIVIOLT"</f>
        <v>FONTE CHAVEADA DC 12V 10A METALICA BIVIOLT</v>
      </c>
      <c r="C11569" s="2" t="str">
        <f t="shared" ref="C11569:C11602" si="452">"UN"</f>
        <v>UN</v>
      </c>
      <c r="D11569" s="7">
        <v>811</v>
      </c>
      <c r="E11569" s="3">
        <v>8</v>
      </c>
      <c r="F11569" s="3">
        <v>8</v>
      </c>
      <c r="G11569" t="s">
        <v>514</v>
      </c>
    </row>
    <row r="11570" spans="1:7" x14ac:dyDescent="0.25">
      <c r="A11570" s="1" t="str">
        <f>"503284"</f>
        <v>503284</v>
      </c>
      <c r="B11570" s="2" t="str">
        <f>"FONTE CHAVEADA MOD.SDT-360-ENT.220 SAI24"</f>
        <v>FONTE CHAVEADA MOD.SDT-360-ENT.220 SAI24</v>
      </c>
      <c r="C11570" s="2" t="str">
        <f t="shared" si="452"/>
        <v>UN</v>
      </c>
      <c r="D11570" s="7">
        <v>900</v>
      </c>
      <c r="E11570" s="3">
        <v>11</v>
      </c>
      <c r="F11570" s="3">
        <v>11</v>
      </c>
      <c r="G11570" t="s">
        <v>514</v>
      </c>
    </row>
    <row r="11571" spans="1:7" x14ac:dyDescent="0.25">
      <c r="A11571" s="1" t="str">
        <f>"506048"</f>
        <v>506048</v>
      </c>
      <c r="B11571" s="2" t="str">
        <f>"FONTE CHAVEADA S-145W 12V"</f>
        <v>FONTE CHAVEADA S-145W 12V</v>
      </c>
      <c r="C11571" s="2" t="str">
        <f t="shared" si="452"/>
        <v>UN</v>
      </c>
      <c r="D11571" s="7">
        <v>811</v>
      </c>
      <c r="E11571" s="3">
        <v>8</v>
      </c>
      <c r="F11571" s="3">
        <v>8</v>
      </c>
      <c r="G11571" t="s">
        <v>513</v>
      </c>
    </row>
    <row r="11572" spans="1:7" x14ac:dyDescent="0.25">
      <c r="A11572" s="1" t="str">
        <f>"518666"</f>
        <v>518666</v>
      </c>
      <c r="B11572" s="2" t="str">
        <f>"FONTE CHAVEADA TEMPORIZADA WSI-T"</f>
        <v>FONTE CHAVEADA TEMPORIZADA WSI-T</v>
      </c>
      <c r="C11572" s="2" t="str">
        <f t="shared" si="452"/>
        <v>UN</v>
      </c>
      <c r="D11572" s="7">
        <v>811</v>
      </c>
      <c r="E11572" s="3">
        <v>8</v>
      </c>
      <c r="F11572" s="3">
        <v>8</v>
      </c>
      <c r="G11572" t="s">
        <v>512</v>
      </c>
    </row>
    <row r="11573" spans="1:7" x14ac:dyDescent="0.25">
      <c r="A11573" s="1" t="str">
        <f>"526199"</f>
        <v>526199</v>
      </c>
      <c r="B11573" s="2" t="str">
        <f>"FONTE DE ALIMEN. CHAVEADA 12VCC 10A 120W CHM12-10"</f>
        <v>FONTE DE ALIMEN. CHAVEADA 12VCC 10A 120W CHM12-10</v>
      </c>
      <c r="C11573" s="2" t="str">
        <f t="shared" si="452"/>
        <v>UN</v>
      </c>
      <c r="D11573" s="7">
        <v>811</v>
      </c>
      <c r="E11573" s="3">
        <v>10</v>
      </c>
      <c r="F11573" s="3">
        <v>10</v>
      </c>
      <c r="G11573" t="s">
        <v>513</v>
      </c>
    </row>
    <row r="11574" spans="1:7" x14ac:dyDescent="0.25">
      <c r="A11574" s="1" t="str">
        <f>"524509"</f>
        <v>524509</v>
      </c>
      <c r="B11574" s="2" t="str">
        <f>"FONTE DE ALIMENTAÇÃ 12V 100-240VAC 50/60Hz 2,5A"</f>
        <v>FONTE DE ALIMENTAÇÃ 12V 100-240VAC 50/60Hz 2,5A</v>
      </c>
      <c r="C11574" s="2" t="str">
        <f t="shared" si="452"/>
        <v>UN</v>
      </c>
      <c r="D11574" s="7">
        <v>818</v>
      </c>
      <c r="E11574" s="3">
        <v>10</v>
      </c>
      <c r="F11574" s="3">
        <v>10</v>
      </c>
      <c r="G11574" t="s">
        <v>514</v>
      </c>
    </row>
    <row r="11575" spans="1:7" x14ac:dyDescent="0.25">
      <c r="A11575" s="1" t="str">
        <f>"518797"</f>
        <v>518797</v>
      </c>
      <c r="B11575" s="8" t="s">
        <v>101</v>
      </c>
      <c r="C11575" s="2" t="str">
        <f t="shared" si="452"/>
        <v>UN</v>
      </c>
      <c r="D11575" s="7">
        <v>900</v>
      </c>
      <c r="E11575" s="3">
        <v>11</v>
      </c>
      <c r="F11575" s="3">
        <v>11</v>
      </c>
      <c r="G11575" t="s">
        <v>514</v>
      </c>
    </row>
    <row r="11576" spans="1:7" x14ac:dyDescent="0.25">
      <c r="A11576" s="1" t="str">
        <f>"524974"</f>
        <v>524974</v>
      </c>
      <c r="B11576" s="2" t="str">
        <f>"FONTE DE ALTA TENSÃO C0-24014"</f>
        <v>FONTE DE ALTA TENSÃO C0-24014</v>
      </c>
      <c r="C11576" s="2" t="str">
        <f t="shared" si="452"/>
        <v>UN</v>
      </c>
      <c r="D11576" s="7">
        <v>811</v>
      </c>
      <c r="E11576" s="3">
        <v>11</v>
      </c>
      <c r="F11576" s="3">
        <v>11</v>
      </c>
      <c r="G11576" t="s">
        <v>514</v>
      </c>
    </row>
    <row r="11577" spans="1:7" x14ac:dyDescent="0.25">
      <c r="A11577" s="1" t="str">
        <f>"523564"</f>
        <v>523564</v>
      </c>
      <c r="B11577" s="2" t="str">
        <f>"FONTE ELETRONICA POE 48V 0,5 A"</f>
        <v>FONTE ELETRONICA POE 48V 0,5 A</v>
      </c>
      <c r="C11577" s="2" t="str">
        <f t="shared" si="452"/>
        <v>UN</v>
      </c>
      <c r="D11577" s="7">
        <v>811</v>
      </c>
      <c r="E11577" s="3">
        <v>8</v>
      </c>
      <c r="F11577" s="3">
        <v>8</v>
      </c>
      <c r="G11577" t="s">
        <v>513</v>
      </c>
    </row>
    <row r="11578" spans="1:7" x14ac:dyDescent="0.25">
      <c r="A11578" s="1" t="str">
        <f>"510417"</f>
        <v>510417</v>
      </c>
      <c r="B11578" s="2" t="str">
        <f>"FONTE ESTABILIZADA 12V 3,5A"</f>
        <v>FONTE ESTABILIZADA 12V 3,5A</v>
      </c>
      <c r="C11578" s="2" t="str">
        <f t="shared" si="452"/>
        <v>UN</v>
      </c>
      <c r="D11578" s="7">
        <v>600</v>
      </c>
      <c r="E11578" s="3">
        <v>8</v>
      </c>
      <c r="F11578" s="3">
        <v>8</v>
      </c>
      <c r="G11578" t="s">
        <v>513</v>
      </c>
    </row>
    <row r="11579" spans="1:7" x14ac:dyDescent="0.25">
      <c r="A11579" s="1" t="str">
        <f>"524063"</f>
        <v>524063</v>
      </c>
      <c r="B11579" s="2" t="str">
        <f>"FONTE LEVEL VI AC DC BRICK ZEBRA"</f>
        <v>FONTE LEVEL VI AC DC BRICK ZEBRA</v>
      </c>
      <c r="C11579" s="2" t="str">
        <f t="shared" si="452"/>
        <v>UN</v>
      </c>
      <c r="D11579" s="7">
        <v>99999</v>
      </c>
      <c r="E11579" s="3">
        <v>99</v>
      </c>
      <c r="F11579" s="3">
        <v>99</v>
      </c>
      <c r="G11579" t="s">
        <v>513</v>
      </c>
    </row>
    <row r="11580" spans="1:7" x14ac:dyDescent="0.25">
      <c r="A11580" s="1" t="str">
        <f>"526205"</f>
        <v>526205</v>
      </c>
      <c r="B11580" s="2" t="str">
        <f>"FONTE LOGO 110/220VCA SAÍDA 24VCC/2,5A 6EP1 332-1SH42"</f>
        <v>FONTE LOGO 110/220VCA SAÍDA 24VCC/2,5A 6EP1 332-1SH42</v>
      </c>
      <c r="C11580" s="2" t="str">
        <f t="shared" si="452"/>
        <v>UN</v>
      </c>
      <c r="D11580" s="7">
        <v>811</v>
      </c>
      <c r="E11580" s="3">
        <v>10</v>
      </c>
      <c r="F11580" s="3">
        <v>10</v>
      </c>
      <c r="G11580" t="s">
        <v>512</v>
      </c>
    </row>
    <row r="11581" spans="1:7" x14ac:dyDescent="0.25">
      <c r="A11581" s="1" t="str">
        <f>"514188"</f>
        <v>514188</v>
      </c>
      <c r="B11581" s="2" t="str">
        <f>"FONTE LOGO POWER 220V X 24VDC 1AMP"</f>
        <v>FONTE LOGO POWER 220V X 24VDC 1AMP</v>
      </c>
      <c r="C11581" s="2" t="str">
        <f t="shared" si="452"/>
        <v>UN</v>
      </c>
      <c r="D11581" s="7">
        <v>401</v>
      </c>
      <c r="E11581" s="3">
        <v>4</v>
      </c>
      <c r="F11581" s="3">
        <v>4</v>
      </c>
      <c r="G11581" t="s">
        <v>513</v>
      </c>
    </row>
    <row r="11582" spans="1:7" x14ac:dyDescent="0.25">
      <c r="A11582" s="1" t="str">
        <f>"520943"</f>
        <v>520943</v>
      </c>
      <c r="B11582" s="2" t="str">
        <f>"FONTE LOGO!POWER 1,3A 24V 6EP13311SH03"</f>
        <v>FONTE LOGO!POWER 1,3A 24V 6EP13311SH03</v>
      </c>
      <c r="C11582" s="2" t="str">
        <f t="shared" si="452"/>
        <v>UN</v>
      </c>
      <c r="D11582" s="7">
        <v>811</v>
      </c>
      <c r="E11582" s="3">
        <v>8</v>
      </c>
      <c r="F11582" s="3">
        <v>8</v>
      </c>
      <c r="G11582" t="s">
        <v>514</v>
      </c>
    </row>
    <row r="11583" spans="1:7" x14ac:dyDescent="0.25">
      <c r="A11583" s="1" t="str">
        <f>"523386"</f>
        <v>523386</v>
      </c>
      <c r="B11583" s="2" t="str">
        <f>"FONTE MICRO NO-BREAK DC C/ SUPORTE"</f>
        <v>FONTE MICRO NO-BREAK DC C/ SUPORTE</v>
      </c>
      <c r="C11583" s="2" t="str">
        <f t="shared" si="452"/>
        <v>UN</v>
      </c>
      <c r="D11583" s="7">
        <v>99999</v>
      </c>
      <c r="E11583" s="3">
        <v>99</v>
      </c>
      <c r="F11583" s="3">
        <v>99</v>
      </c>
      <c r="G11583" t="s">
        <v>515</v>
      </c>
    </row>
    <row r="11584" spans="1:7" x14ac:dyDescent="0.25">
      <c r="A11584" s="1" t="str">
        <f>"517803"</f>
        <v>517803</v>
      </c>
      <c r="B11584" s="2" t="str">
        <f>"FONTE OMRON S8JX-G60024C 220VC 24VDC"</f>
        <v>FONTE OMRON S8JX-G60024C 220VC 24VDC</v>
      </c>
      <c r="C11584" s="2" t="str">
        <f t="shared" si="452"/>
        <v>UN</v>
      </c>
      <c r="D11584" s="7">
        <v>900</v>
      </c>
      <c r="E11584" s="3">
        <v>8</v>
      </c>
      <c r="F11584" s="3">
        <v>8</v>
      </c>
      <c r="G11584" t="s">
        <v>512</v>
      </c>
    </row>
    <row r="11585" spans="1:7" x14ac:dyDescent="0.25">
      <c r="A11585" s="1" t="str">
        <f>"506380"</f>
        <v>506380</v>
      </c>
      <c r="B11585" s="2" t="str">
        <f>"FONTE P/ BALANÇA 12V 700MA"</f>
        <v>FONTE P/ BALANÇA 12V 700MA</v>
      </c>
      <c r="C11585" s="2" t="str">
        <f t="shared" si="452"/>
        <v>UN</v>
      </c>
      <c r="D11585" s="7">
        <v>900</v>
      </c>
      <c r="E11585" s="3">
        <v>11</v>
      </c>
      <c r="F11585" s="3">
        <v>11</v>
      </c>
      <c r="G11585" t="s">
        <v>516</v>
      </c>
    </row>
    <row r="11586" spans="1:7" x14ac:dyDescent="0.25">
      <c r="A11586" s="1" t="str">
        <f>"509173"</f>
        <v>509173</v>
      </c>
      <c r="B11586" s="2" t="str">
        <f>"FONTE P/ INNER"</f>
        <v>FONTE P/ INNER</v>
      </c>
      <c r="C11586" s="2" t="str">
        <f t="shared" si="452"/>
        <v>UN</v>
      </c>
      <c r="D11586" s="7">
        <v>402</v>
      </c>
      <c r="E11586" s="3">
        <v>4</v>
      </c>
      <c r="F11586" s="3">
        <v>4</v>
      </c>
      <c r="G11586" t="s">
        <v>515</v>
      </c>
    </row>
    <row r="11587" spans="1:7" x14ac:dyDescent="0.25">
      <c r="A11587" s="1" t="str">
        <f>"517508"</f>
        <v>517508</v>
      </c>
      <c r="B11587" s="2" t="str">
        <f>"FONTE P/ LOGO 24VDC"</f>
        <v>FONTE P/ LOGO 24VDC</v>
      </c>
      <c r="C11587" s="2" t="str">
        <f t="shared" si="452"/>
        <v>UN</v>
      </c>
      <c r="D11587" s="7">
        <v>811</v>
      </c>
      <c r="E11587" s="3">
        <v>8</v>
      </c>
      <c r="F11587" s="3">
        <v>8</v>
      </c>
      <c r="G11587" t="s">
        <v>514</v>
      </c>
    </row>
    <row r="11588" spans="1:7" x14ac:dyDescent="0.25">
      <c r="A11588" s="1" t="str">
        <f>"523680"</f>
        <v>523680</v>
      </c>
      <c r="B11588" s="2" t="str">
        <f>"FONTE PS30-AD005100 INPUT AC100-240V 0,2A 50-60HZ"</f>
        <v>FONTE PS30-AD005100 INPUT AC100-240V 0,2A 50-60HZ</v>
      </c>
      <c r="C11588" s="2" t="str">
        <f t="shared" si="452"/>
        <v>UN</v>
      </c>
      <c r="D11588" s="7">
        <v>99999</v>
      </c>
      <c r="E11588" s="3">
        <v>99</v>
      </c>
      <c r="F11588" s="3">
        <v>99</v>
      </c>
      <c r="G11588" t="s">
        <v>512</v>
      </c>
    </row>
    <row r="11589" spans="1:7" x14ac:dyDescent="0.25">
      <c r="A11589" s="1" t="str">
        <f>"500854"</f>
        <v>500854</v>
      </c>
      <c r="B11589" s="2" t="str">
        <f>"FONTE RETIFICADORA WTEASAC  ALT. P/ CONT"</f>
        <v>FONTE RETIFICADORA WTEASAC  ALT. P/ CONT</v>
      </c>
      <c r="C11589" s="2" t="str">
        <f t="shared" si="452"/>
        <v>UN</v>
      </c>
      <c r="D11589" s="7">
        <v>600</v>
      </c>
      <c r="E11589" s="3">
        <v>8</v>
      </c>
      <c r="F11589" s="3">
        <v>8</v>
      </c>
      <c r="G11589" t="s">
        <v>513</v>
      </c>
    </row>
    <row r="11590" spans="1:7" x14ac:dyDescent="0.25">
      <c r="A11590" s="1" t="str">
        <f>"511683"</f>
        <v>511683</v>
      </c>
      <c r="B11590" s="2" t="str">
        <f>"FONTE SCHNEIDER 132VCA S-24VCC 150W"</f>
        <v>FONTE SCHNEIDER 132VCA S-24VCC 150W</v>
      </c>
      <c r="C11590" s="2" t="str">
        <f t="shared" si="452"/>
        <v>UN</v>
      </c>
      <c r="D11590" s="7">
        <v>600</v>
      </c>
      <c r="E11590" s="3">
        <v>8</v>
      </c>
      <c r="F11590" s="3">
        <v>8</v>
      </c>
      <c r="G11590" t="s">
        <v>514</v>
      </c>
    </row>
    <row r="11591" spans="1:7" x14ac:dyDescent="0.25">
      <c r="A11591" s="1" t="str">
        <f>"520586"</f>
        <v>520586</v>
      </c>
      <c r="B11591" s="8" t="s">
        <v>166</v>
      </c>
      <c r="C11591" s="2" t="str">
        <f t="shared" si="452"/>
        <v>UN</v>
      </c>
      <c r="D11591" s="7">
        <v>600</v>
      </c>
      <c r="E11591" s="3">
        <v>8</v>
      </c>
      <c r="F11591" s="3">
        <v>8</v>
      </c>
      <c r="G11591" t="s">
        <v>514</v>
      </c>
    </row>
    <row r="11592" spans="1:7" x14ac:dyDescent="0.25">
      <c r="A11592" s="1" t="str">
        <f>"516165"</f>
        <v>516165</v>
      </c>
      <c r="B11592" s="2" t="str">
        <f>"FONTE SIEMENS SITOP 2.5 A 220/24V"</f>
        <v>FONTE SIEMENS SITOP 2.5 A 220/24V</v>
      </c>
      <c r="C11592" s="2" t="str">
        <f t="shared" si="452"/>
        <v>UN</v>
      </c>
      <c r="D11592" s="7">
        <v>600</v>
      </c>
      <c r="E11592" s="3">
        <v>8</v>
      </c>
      <c r="F11592" s="3">
        <v>8</v>
      </c>
      <c r="G11592" t="s">
        <v>512</v>
      </c>
    </row>
    <row r="11593" spans="1:7" x14ac:dyDescent="0.25">
      <c r="A11593" s="1" t="str">
        <f>"525363"</f>
        <v>525363</v>
      </c>
      <c r="B11593" s="2" t="str">
        <f>"FONTE SIEMENS SITOP MONO 24VDC 10A 6EP1334 2BA20"</f>
        <v>FONTE SIEMENS SITOP MONO 24VDC 10A 6EP1334 2BA20</v>
      </c>
      <c r="C11593" s="2" t="str">
        <f t="shared" si="452"/>
        <v>UN</v>
      </c>
      <c r="D11593" s="7">
        <v>811</v>
      </c>
      <c r="E11593" s="3">
        <v>11</v>
      </c>
      <c r="F11593" s="3">
        <v>11</v>
      </c>
      <c r="G11593" t="s">
        <v>513</v>
      </c>
    </row>
    <row r="11594" spans="1:7" x14ac:dyDescent="0.25">
      <c r="A11594" s="1" t="str">
        <f>"522553"</f>
        <v>522553</v>
      </c>
      <c r="B11594" s="2" t="str">
        <f>"FONTE SITOP 220/24VDC 1A"</f>
        <v>FONTE SITOP 220/24VDC 1A</v>
      </c>
      <c r="C11594" s="2" t="str">
        <f t="shared" si="452"/>
        <v>UN</v>
      </c>
      <c r="D11594" s="7">
        <v>811</v>
      </c>
      <c r="E11594" s="3">
        <v>10</v>
      </c>
      <c r="F11594" s="3">
        <v>10</v>
      </c>
      <c r="G11594" t="s">
        <v>514</v>
      </c>
    </row>
    <row r="11595" spans="1:7" x14ac:dyDescent="0.25">
      <c r="A11595" s="1" t="str">
        <f>"517869"</f>
        <v>517869</v>
      </c>
      <c r="B11595" s="2" t="str">
        <f>"FONTE SITOP 220VAC/24 VDC 4A"</f>
        <v>FONTE SITOP 220VAC/24 VDC 4A</v>
      </c>
      <c r="C11595" s="2" t="str">
        <f t="shared" si="452"/>
        <v>UN</v>
      </c>
      <c r="D11595" s="7">
        <v>811</v>
      </c>
      <c r="E11595" s="3">
        <v>8</v>
      </c>
      <c r="F11595" s="3">
        <v>8</v>
      </c>
      <c r="G11595" t="s">
        <v>514</v>
      </c>
    </row>
    <row r="11596" spans="1:7" x14ac:dyDescent="0.25">
      <c r="A11596" s="1" t="str">
        <f>"527398"</f>
        <v>527398</v>
      </c>
      <c r="B11596" s="2" t="str">
        <f>"FONTE SITOP 220VAC/24 VDC 5A PSU100L 6EP13331LB00"</f>
        <v>FONTE SITOP 220VAC/24 VDC 5A PSU100L 6EP13331LB00</v>
      </c>
      <c r="C11596" s="2" t="str">
        <f t="shared" si="452"/>
        <v>UN</v>
      </c>
      <c r="D11596" s="7">
        <v>811</v>
      </c>
      <c r="E11596" s="3">
        <v>8</v>
      </c>
      <c r="F11596" s="3">
        <v>8</v>
      </c>
      <c r="G11596" t="s">
        <v>514</v>
      </c>
    </row>
    <row r="11597" spans="1:7" x14ac:dyDescent="0.25">
      <c r="A11597" s="1" t="str">
        <f>"526593"</f>
        <v>526593</v>
      </c>
      <c r="B11597" s="2" t="str">
        <f>"FONTE SITOP 24V/5A 6EP1 333 2AA0"</f>
        <v>FONTE SITOP 24V/5A 6EP1 333 2AA0</v>
      </c>
      <c r="C11597" s="2" t="str">
        <f t="shared" si="452"/>
        <v>UN</v>
      </c>
      <c r="D11597" s="7">
        <v>811</v>
      </c>
      <c r="E11597" s="3">
        <v>8</v>
      </c>
      <c r="F11597" s="3">
        <v>8</v>
      </c>
      <c r="G11597" t="s">
        <v>513</v>
      </c>
    </row>
    <row r="11598" spans="1:7" x14ac:dyDescent="0.25">
      <c r="A11598" s="1" t="str">
        <f>"517511"</f>
        <v>517511</v>
      </c>
      <c r="B11598" s="2" t="str">
        <f>"FONTE SITOP PSU 100S V 2,5 AMP 6EP13322BA20"</f>
        <v>FONTE SITOP PSU 100S V 2,5 AMP 6EP13322BA20</v>
      </c>
      <c r="C11598" s="2" t="str">
        <f t="shared" si="452"/>
        <v>UN</v>
      </c>
      <c r="D11598" s="7">
        <v>811</v>
      </c>
      <c r="E11598" s="3">
        <v>8</v>
      </c>
      <c r="F11598" s="3">
        <v>8</v>
      </c>
      <c r="G11598" t="s">
        <v>512</v>
      </c>
    </row>
    <row r="11599" spans="1:7" x14ac:dyDescent="0.25">
      <c r="A11599" s="1" t="str">
        <f>"518494"</f>
        <v>518494</v>
      </c>
      <c r="B11599" s="2" t="str">
        <f>"FORÇADOR BANDEJA"</f>
        <v>FORÇADOR BANDEJA</v>
      </c>
      <c r="C11599" s="2" t="str">
        <f t="shared" si="452"/>
        <v>UN</v>
      </c>
      <c r="D11599" s="7">
        <v>918</v>
      </c>
      <c r="E11599" s="3">
        <v>11</v>
      </c>
      <c r="F11599" s="3">
        <v>11</v>
      </c>
      <c r="G11599" t="s">
        <v>513</v>
      </c>
    </row>
    <row r="11600" spans="1:7" x14ac:dyDescent="0.25">
      <c r="A11600" s="1" t="str">
        <f>"519557"</f>
        <v>519557</v>
      </c>
      <c r="B11600" s="2" t="str">
        <f>"FORD CARGO 1723"</f>
        <v>FORD CARGO 1723</v>
      </c>
      <c r="C11600" s="2" t="str">
        <f t="shared" si="452"/>
        <v>UN</v>
      </c>
      <c r="D11600" s="7">
        <v>99999</v>
      </c>
      <c r="E11600" s="3">
        <v>99</v>
      </c>
      <c r="F11600" s="3">
        <v>99</v>
      </c>
      <c r="G11600" t="s">
        <v>514</v>
      </c>
    </row>
    <row r="11601" spans="1:7" x14ac:dyDescent="0.25">
      <c r="A11601" s="1" t="str">
        <f>"517742"</f>
        <v>517742</v>
      </c>
      <c r="B11601" s="2" t="str">
        <f>"FORD CARGO 2429 L"</f>
        <v>FORD CARGO 2429 L</v>
      </c>
      <c r="C11601" s="2" t="str">
        <f t="shared" si="452"/>
        <v>UN</v>
      </c>
      <c r="D11601" s="7">
        <v>2000</v>
      </c>
      <c r="E11601" s="3">
        <v>16</v>
      </c>
      <c r="F11601" s="3">
        <v>16</v>
      </c>
      <c r="G11601" t="s">
        <v>514</v>
      </c>
    </row>
    <row r="11602" spans="1:7" x14ac:dyDescent="0.25">
      <c r="A11602" s="1" t="str">
        <f>"515471"</f>
        <v>515471</v>
      </c>
      <c r="B11602" s="2" t="str">
        <f>"FORD FOCUS GH2LH C FLEX"</f>
        <v>FORD FOCUS GH2LH C FLEX</v>
      </c>
      <c r="C11602" s="2" t="str">
        <f t="shared" si="452"/>
        <v>UN</v>
      </c>
      <c r="D11602" s="7">
        <v>2000</v>
      </c>
      <c r="E11602" s="3">
        <v>16</v>
      </c>
      <c r="F11602" s="3">
        <v>16</v>
      </c>
      <c r="G11602" t="s">
        <v>514</v>
      </c>
    </row>
    <row r="11603" spans="1:7" x14ac:dyDescent="0.25">
      <c r="A11603" s="1" t="str">
        <f>"2163"</f>
        <v>2163</v>
      </c>
      <c r="B11603" s="2" t="str">
        <f>"FORM.CONTINUO 1 VIA RAZAO 240X140C/6000"</f>
        <v>FORM.CONTINUO 1 VIA RAZAO 240X140C/6000</v>
      </c>
      <c r="C11603" s="2" t="str">
        <f>"CX"</f>
        <v>CX</v>
      </c>
      <c r="D11603" s="7">
        <v>401</v>
      </c>
      <c r="E11603" s="3">
        <v>4</v>
      </c>
      <c r="F11603" s="3">
        <v>4</v>
      </c>
      <c r="G11603" t="s">
        <v>513</v>
      </c>
    </row>
    <row r="11604" spans="1:7" x14ac:dyDescent="0.25">
      <c r="A11604" s="1" t="str">
        <f>"2161"</f>
        <v>2161</v>
      </c>
      <c r="B11604" s="2" t="str">
        <f>"FORM.CONTINUO 80COL.1VIA/240X280 C/2500"</f>
        <v>FORM.CONTINUO 80COL.1VIA/240X280 C/2500</v>
      </c>
      <c r="C11604" s="2" t="str">
        <f>"CX"</f>
        <v>CX</v>
      </c>
      <c r="D11604" s="7">
        <v>401</v>
      </c>
      <c r="E11604" s="3">
        <v>4</v>
      </c>
      <c r="F11604" s="3">
        <v>4</v>
      </c>
      <c r="G11604" t="s">
        <v>513</v>
      </c>
    </row>
    <row r="11605" spans="1:7" x14ac:dyDescent="0.25">
      <c r="A11605" s="1" t="str">
        <f>"522949"</f>
        <v>522949</v>
      </c>
      <c r="B11605" s="2" t="str">
        <f>"FORMA DINIEPER 350 PETIT"</f>
        <v>FORMA DINIEPER 350 PETIT</v>
      </c>
      <c r="C11605" s="2" t="str">
        <f t="shared" ref="C11605:C11624" si="453">"UN"</f>
        <v>UN</v>
      </c>
      <c r="D11605" s="7">
        <v>812</v>
      </c>
      <c r="E11605" s="3">
        <v>13</v>
      </c>
      <c r="F11605" s="3">
        <v>13</v>
      </c>
      <c r="G11605" t="s">
        <v>513</v>
      </c>
    </row>
    <row r="11606" spans="1:7" x14ac:dyDescent="0.25">
      <c r="A11606" s="1" t="str">
        <f>"523652"</f>
        <v>523652</v>
      </c>
      <c r="B11606" s="2" t="str">
        <f>"FORMA P/ GELO"</f>
        <v>FORMA P/ GELO</v>
      </c>
      <c r="C11606" s="2" t="str">
        <f t="shared" si="453"/>
        <v>UN</v>
      </c>
      <c r="D11606" s="7">
        <v>99999</v>
      </c>
      <c r="E11606" s="3">
        <v>99</v>
      </c>
      <c r="F11606" s="3">
        <v>99</v>
      </c>
      <c r="G11606" t="s">
        <v>512</v>
      </c>
    </row>
    <row r="11607" spans="1:7" x14ac:dyDescent="0.25">
      <c r="A11607" s="1" t="str">
        <f>"518314"</f>
        <v>518314</v>
      </c>
      <c r="B11607" s="2" t="str">
        <f>"FORMA SUFLAIR MARINEX"</f>
        <v>FORMA SUFLAIR MARINEX</v>
      </c>
      <c r="C11607" s="2" t="str">
        <f t="shared" si="453"/>
        <v>UN</v>
      </c>
      <c r="D11607" s="7">
        <v>918</v>
      </c>
      <c r="E11607" s="3">
        <v>10</v>
      </c>
      <c r="F11607" s="3">
        <v>10</v>
      </c>
      <c r="G11607" t="s">
        <v>513</v>
      </c>
    </row>
    <row r="11608" spans="1:7" x14ac:dyDescent="0.25">
      <c r="A11608" s="1" t="str">
        <f>"518812"</f>
        <v>518812</v>
      </c>
      <c r="B11608" s="2" t="str">
        <f>"FORMÃO TRAMONTINA 1 1/4"""</f>
        <v>FORMÃO TRAMONTINA 1 1/4"</v>
      </c>
      <c r="C11608" s="2" t="str">
        <f t="shared" si="453"/>
        <v>UN</v>
      </c>
      <c r="D11608" s="7">
        <v>919</v>
      </c>
      <c r="E11608" s="3">
        <v>4</v>
      </c>
      <c r="F11608" s="3">
        <v>4</v>
      </c>
      <c r="G11608" t="s">
        <v>514</v>
      </c>
    </row>
    <row r="11609" spans="1:7" x14ac:dyDescent="0.25">
      <c r="A11609" s="1" t="str">
        <f>"518811"</f>
        <v>518811</v>
      </c>
      <c r="B11609" s="2" t="str">
        <f>"FORMÃO TRAMONTINA 3/4"""</f>
        <v>FORMÃO TRAMONTINA 3/4"</v>
      </c>
      <c r="C11609" s="2" t="str">
        <f t="shared" si="453"/>
        <v>UN</v>
      </c>
      <c r="D11609" s="7">
        <v>919</v>
      </c>
      <c r="E11609" s="3">
        <v>4</v>
      </c>
      <c r="F11609" s="3">
        <v>4</v>
      </c>
      <c r="G11609" t="s">
        <v>515</v>
      </c>
    </row>
    <row r="11610" spans="1:7" x14ac:dyDescent="0.25">
      <c r="A11610" s="1" t="str">
        <f>"510965"</f>
        <v>510965</v>
      </c>
      <c r="B11610" s="2" t="str">
        <f>"FORMATAÇAO"</f>
        <v>FORMATAÇAO</v>
      </c>
      <c r="C11610" s="2" t="str">
        <f t="shared" si="453"/>
        <v>UN</v>
      </c>
      <c r="D11610" s="7">
        <v>401</v>
      </c>
      <c r="E11610" s="3">
        <v>4</v>
      </c>
      <c r="F11610" s="3">
        <v>4</v>
      </c>
      <c r="G11610" t="s">
        <v>512</v>
      </c>
    </row>
    <row r="11611" spans="1:7" x14ac:dyDescent="0.25">
      <c r="A11611" s="1" t="str">
        <f>"514417"</f>
        <v>514417</v>
      </c>
      <c r="B11611" s="2" t="str">
        <f>"FORMOLDEIDO SOLUCAO INFLAMAVEL 37%"</f>
        <v>FORMOLDEIDO SOLUCAO INFLAMAVEL 37%</v>
      </c>
      <c r="C11611" s="2" t="str">
        <f t="shared" si="453"/>
        <v>UN</v>
      </c>
      <c r="D11611" s="7">
        <v>406</v>
      </c>
      <c r="E11611" s="3">
        <v>4</v>
      </c>
      <c r="F11611" s="3">
        <v>4</v>
      </c>
      <c r="G11611" t="s">
        <v>516</v>
      </c>
    </row>
    <row r="11612" spans="1:7" x14ac:dyDescent="0.25">
      <c r="A11612" s="1" t="str">
        <f>"522680"</f>
        <v>522680</v>
      </c>
      <c r="B11612" s="2" t="str">
        <f>"FORMOLFREE TESTE FORMOL LEITE (FRASCO COM 250 ML)"</f>
        <v>FORMOLFREE TESTE FORMOL LEITE (FRASCO COM 250 ML)</v>
      </c>
      <c r="C11612" s="2" t="str">
        <f t="shared" si="453"/>
        <v>UN</v>
      </c>
      <c r="D11612" s="7">
        <v>406</v>
      </c>
      <c r="E11612" s="3">
        <v>4</v>
      </c>
      <c r="F11612" s="3">
        <v>4</v>
      </c>
      <c r="G11612" t="s">
        <v>515</v>
      </c>
    </row>
    <row r="11613" spans="1:7" x14ac:dyDescent="0.25">
      <c r="A11613" s="1" t="str">
        <f>"4088"</f>
        <v>4088</v>
      </c>
      <c r="B11613" s="2" t="str">
        <f>"FORMULA GARRAFA BRANCA 1250GR- P.28GR"</f>
        <v>FORMULA GARRAFA BRANCA 1250GR- P.28GR</v>
      </c>
      <c r="C11613" s="2" t="str">
        <f t="shared" si="453"/>
        <v>UN</v>
      </c>
      <c r="D11613" s="7">
        <v>105</v>
      </c>
      <c r="E11613" s="3">
        <v>1</v>
      </c>
      <c r="F11613" s="3">
        <v>1</v>
      </c>
      <c r="G11613" t="s">
        <v>514</v>
      </c>
    </row>
    <row r="11614" spans="1:7" x14ac:dyDescent="0.25">
      <c r="A11614" s="1" t="str">
        <f>"6580"</f>
        <v>6580</v>
      </c>
      <c r="B11614" s="2" t="str">
        <f>"FORMULARIO CONTINUO SEGURO DESEMPREGO"</f>
        <v>FORMULARIO CONTINUO SEGURO DESEMPREGO</v>
      </c>
      <c r="C11614" s="2" t="str">
        <f t="shared" si="453"/>
        <v>UN</v>
      </c>
      <c r="D11614" s="7">
        <v>401</v>
      </c>
      <c r="E11614" s="3">
        <v>4</v>
      </c>
      <c r="F11614" s="3">
        <v>4</v>
      </c>
      <c r="G11614" t="s">
        <v>512</v>
      </c>
    </row>
    <row r="11615" spans="1:7" x14ac:dyDescent="0.25">
      <c r="A11615" s="1" t="str">
        <f>"525407"</f>
        <v>525407</v>
      </c>
      <c r="B11615" s="2" t="str">
        <f>"FORMULARIO ECZ 15X65 960 100"</f>
        <v>FORMULARIO ECZ 15X65 960 100</v>
      </c>
      <c r="C11615" s="2" t="str">
        <f t="shared" si="453"/>
        <v>UN</v>
      </c>
      <c r="D11615" s="7">
        <v>811</v>
      </c>
      <c r="E11615" s="3">
        <v>10</v>
      </c>
      <c r="F11615" s="3">
        <v>10</v>
      </c>
      <c r="G11615" t="s">
        <v>513</v>
      </c>
    </row>
    <row r="11616" spans="1:7" x14ac:dyDescent="0.25">
      <c r="A11616" s="1" t="str">
        <f>"525406"</f>
        <v>525406</v>
      </c>
      <c r="B11616" s="2" t="str">
        <f>"FORMULARIO EFZ 4X15 960 100"</f>
        <v>FORMULARIO EFZ 4X15 960 100</v>
      </c>
      <c r="C11616" s="2" t="str">
        <f t="shared" si="453"/>
        <v>UN</v>
      </c>
      <c r="D11616" s="7">
        <v>811</v>
      </c>
      <c r="E11616" s="3">
        <v>10</v>
      </c>
      <c r="F11616" s="3">
        <v>10</v>
      </c>
      <c r="G11616" t="s">
        <v>514</v>
      </c>
    </row>
    <row r="11617" spans="1:7" x14ac:dyDescent="0.25">
      <c r="A11617" s="1" t="str">
        <f>"519129"</f>
        <v>519129</v>
      </c>
      <c r="B11617" s="2" t="str">
        <f>"FORMULARIO SEGURO"</f>
        <v>FORMULARIO SEGURO</v>
      </c>
      <c r="C11617" s="2" t="str">
        <f t="shared" si="453"/>
        <v>UN</v>
      </c>
      <c r="D11617" s="7">
        <v>401</v>
      </c>
      <c r="E11617" s="3">
        <v>4</v>
      </c>
      <c r="F11617" s="3">
        <v>4</v>
      </c>
      <c r="G11617" t="s">
        <v>514</v>
      </c>
    </row>
    <row r="11618" spans="1:7" x14ac:dyDescent="0.25">
      <c r="A11618" s="1" t="str">
        <f>"514725"</f>
        <v>514725</v>
      </c>
      <c r="B11618" s="2" t="str">
        <f>"FORNO"</f>
        <v>FORNO</v>
      </c>
      <c r="C11618" s="2" t="str">
        <f t="shared" si="453"/>
        <v>UN</v>
      </c>
      <c r="D11618" s="7">
        <v>401</v>
      </c>
      <c r="E11618" s="3">
        <v>4</v>
      </c>
      <c r="F11618" s="3">
        <v>4</v>
      </c>
      <c r="G11618" t="s">
        <v>512</v>
      </c>
    </row>
    <row r="11619" spans="1:7" x14ac:dyDescent="0.25">
      <c r="A11619" s="1" t="str">
        <f>"514118"</f>
        <v>514118</v>
      </c>
      <c r="B11619" s="2" t="str">
        <f>"FORNO DE MICROONDAS 23 LITROS ELETROLUX"</f>
        <v>FORNO DE MICROONDAS 23 LITROS ELETROLUX</v>
      </c>
      <c r="C11619" s="2" t="str">
        <f t="shared" si="453"/>
        <v>UN</v>
      </c>
      <c r="D11619" s="7">
        <v>406</v>
      </c>
      <c r="E11619" s="3">
        <v>13</v>
      </c>
      <c r="F11619" s="3">
        <v>13</v>
      </c>
      <c r="G11619" t="s">
        <v>513</v>
      </c>
    </row>
    <row r="11620" spans="1:7" x14ac:dyDescent="0.25">
      <c r="A11620" s="1" t="str">
        <f>"524618"</f>
        <v>524618</v>
      </c>
      <c r="B11620" s="8" t="s">
        <v>393</v>
      </c>
      <c r="C11620" s="2" t="str">
        <f t="shared" si="453"/>
        <v>UN</v>
      </c>
      <c r="D11620" s="7">
        <v>406</v>
      </c>
      <c r="E11620" s="3">
        <v>13</v>
      </c>
      <c r="F11620" s="3">
        <v>13</v>
      </c>
      <c r="G11620" t="s">
        <v>514</v>
      </c>
    </row>
    <row r="11621" spans="1:7" x14ac:dyDescent="0.25">
      <c r="A11621" s="1" t="str">
        <f>"519607"</f>
        <v>519607</v>
      </c>
      <c r="B11621" s="2" t="str">
        <f>"FORNO MUFLA DIG.MIC. C/2 DISPLAY 1.200C 15X10X12CM-220V"</f>
        <v>FORNO MUFLA DIG.MIC. C/2 DISPLAY 1.200C 15X10X12CM-220V</v>
      </c>
      <c r="C11621" s="2" t="str">
        <f t="shared" si="453"/>
        <v>UN</v>
      </c>
      <c r="D11621" s="7">
        <v>1300</v>
      </c>
      <c r="E11621" s="3">
        <v>13</v>
      </c>
      <c r="F11621" s="3">
        <v>13</v>
      </c>
      <c r="G11621" t="s">
        <v>514</v>
      </c>
    </row>
    <row r="11622" spans="1:7" x14ac:dyDescent="0.25">
      <c r="A11622" s="1" t="str">
        <f>"512463"</f>
        <v>512463</v>
      </c>
      <c r="B11622" s="2" t="str">
        <f>"FORQUILHA ALAVANCA AUTOMATICA"</f>
        <v>FORQUILHA ALAVANCA AUTOMATICA</v>
      </c>
      <c r="C11622" s="2" t="str">
        <f t="shared" si="453"/>
        <v>UN</v>
      </c>
      <c r="D11622" s="7">
        <v>704</v>
      </c>
      <c r="E11622" s="3">
        <v>9</v>
      </c>
      <c r="F11622" s="3">
        <v>9</v>
      </c>
      <c r="G11622" t="s">
        <v>514</v>
      </c>
    </row>
    <row r="11623" spans="1:7" x14ac:dyDescent="0.25">
      <c r="A11623" s="1" t="str">
        <f>"526079"</f>
        <v>526079</v>
      </c>
      <c r="B11623" s="2" t="str">
        <f>"FORQUILHA CAMARA FREIO"</f>
        <v>FORQUILHA CAMARA FREIO</v>
      </c>
      <c r="C11623" s="2" t="str">
        <f t="shared" si="453"/>
        <v>UN</v>
      </c>
      <c r="D11623" s="7">
        <v>704</v>
      </c>
      <c r="E11623" s="3">
        <v>9</v>
      </c>
      <c r="F11623" s="3">
        <v>9</v>
      </c>
      <c r="G11623" t="s">
        <v>513</v>
      </c>
    </row>
    <row r="11624" spans="1:7" x14ac:dyDescent="0.25">
      <c r="A11624" s="1" t="str">
        <f>"508452"</f>
        <v>508452</v>
      </c>
      <c r="B11624" s="2" t="str">
        <f>"FORRO BANCO MOTORISTA"</f>
        <v>FORRO BANCO MOTORISTA</v>
      </c>
      <c r="C11624" s="2" t="str">
        <f t="shared" si="453"/>
        <v>UN</v>
      </c>
      <c r="D11624" s="7">
        <v>704</v>
      </c>
      <c r="E11624" s="3">
        <v>9</v>
      </c>
      <c r="F11624" s="3">
        <v>9</v>
      </c>
      <c r="G11624" t="s">
        <v>512</v>
      </c>
    </row>
    <row r="11625" spans="1:7" x14ac:dyDescent="0.25">
      <c r="A11625" s="1" t="str">
        <f>"525305"</f>
        <v>525305</v>
      </c>
      <c r="B11625" s="2" t="str">
        <f>"FORRO DE GESSO ACARTONADO D112 UNIDIR. ESTRUTURADO"</f>
        <v>FORRO DE GESSO ACARTONADO D112 UNIDIR. ESTRUTURADO</v>
      </c>
      <c r="C11625" s="2" t="str">
        <f>"MT"</f>
        <v>MT</v>
      </c>
      <c r="D11625" s="7">
        <v>803</v>
      </c>
      <c r="E11625" s="3">
        <v>10</v>
      </c>
      <c r="F11625" s="3">
        <v>10</v>
      </c>
      <c r="G11625" t="s">
        <v>513</v>
      </c>
    </row>
    <row r="11626" spans="1:7" x14ac:dyDescent="0.25">
      <c r="A11626" s="1" t="str">
        <f>"508450"</f>
        <v>508450</v>
      </c>
      <c r="B11626" s="2" t="str">
        <f>"FORRO LATERAL"</f>
        <v>FORRO LATERAL</v>
      </c>
      <c r="C11626" s="2" t="str">
        <f t="shared" ref="C11626:C11633" si="454">"UN"</f>
        <v>UN</v>
      </c>
      <c r="D11626" s="7">
        <v>704</v>
      </c>
      <c r="E11626" s="3">
        <v>9</v>
      </c>
      <c r="F11626" s="3">
        <v>9</v>
      </c>
      <c r="G11626" t="s">
        <v>514</v>
      </c>
    </row>
    <row r="11627" spans="1:7" x14ac:dyDescent="0.25">
      <c r="A11627" s="1" t="str">
        <f>"508454"</f>
        <v>508454</v>
      </c>
      <c r="B11627" s="2" t="str">
        <f>"FORRO MACEIRA"</f>
        <v>FORRO MACEIRA</v>
      </c>
      <c r="C11627" s="2" t="str">
        <f t="shared" si="454"/>
        <v>UN</v>
      </c>
      <c r="D11627" s="7">
        <v>704</v>
      </c>
      <c r="E11627" s="3">
        <v>9</v>
      </c>
      <c r="F11627" s="3">
        <v>9</v>
      </c>
      <c r="G11627" t="s">
        <v>514</v>
      </c>
    </row>
    <row r="11628" spans="1:7" x14ac:dyDescent="0.25">
      <c r="A11628" s="1" t="str">
        <f>"508449"</f>
        <v>508449</v>
      </c>
      <c r="B11628" s="2" t="str">
        <f>"FORRO PINUS"</f>
        <v>FORRO PINUS</v>
      </c>
      <c r="C11628" s="2" t="str">
        <f t="shared" si="454"/>
        <v>UN</v>
      </c>
      <c r="D11628" s="7">
        <v>704</v>
      </c>
      <c r="E11628" s="3">
        <v>9</v>
      </c>
      <c r="F11628" s="3">
        <v>9</v>
      </c>
      <c r="G11628" t="s">
        <v>514</v>
      </c>
    </row>
    <row r="11629" spans="1:7" x14ac:dyDescent="0.25">
      <c r="A11629" s="1" t="str">
        <f>"514432"</f>
        <v>514432</v>
      </c>
      <c r="B11629" s="2" t="str">
        <f>"FORRO PVC 6MT"</f>
        <v>FORRO PVC 6MT</v>
      </c>
      <c r="C11629" s="2" t="str">
        <f t="shared" si="454"/>
        <v>UN</v>
      </c>
      <c r="D11629" s="7">
        <v>917</v>
      </c>
      <c r="E11629" s="3">
        <v>4</v>
      </c>
      <c r="F11629" s="3">
        <v>4</v>
      </c>
      <c r="G11629" t="s">
        <v>513</v>
      </c>
    </row>
    <row r="11630" spans="1:7" x14ac:dyDescent="0.25">
      <c r="A11630" s="1" t="str">
        <f>"508453"</f>
        <v>508453</v>
      </c>
      <c r="B11630" s="2" t="str">
        <f>"FORRO SOFA CAMA"</f>
        <v>FORRO SOFA CAMA</v>
      </c>
      <c r="C11630" s="2" t="str">
        <f t="shared" si="454"/>
        <v>UN</v>
      </c>
      <c r="D11630" s="7">
        <v>704</v>
      </c>
      <c r="E11630" s="3">
        <v>9</v>
      </c>
      <c r="F11630" s="3">
        <v>9</v>
      </c>
      <c r="G11630" t="s">
        <v>513</v>
      </c>
    </row>
    <row r="11631" spans="1:7" x14ac:dyDescent="0.25">
      <c r="A11631" s="1" t="str">
        <f>"508448"</f>
        <v>508448</v>
      </c>
      <c r="B11631" s="2" t="str">
        <f>"FORRO TETO"</f>
        <v>FORRO TETO</v>
      </c>
      <c r="C11631" s="2" t="str">
        <f t="shared" si="454"/>
        <v>UN</v>
      </c>
      <c r="D11631" s="7">
        <v>704</v>
      </c>
      <c r="E11631" s="3">
        <v>9</v>
      </c>
      <c r="F11631" s="3">
        <v>9</v>
      </c>
      <c r="G11631" t="s">
        <v>513</v>
      </c>
    </row>
    <row r="11632" spans="1:7" x14ac:dyDescent="0.25">
      <c r="A11632" s="1" t="str">
        <f>"513180"</f>
        <v>513180</v>
      </c>
      <c r="B11632" s="2" t="str">
        <f>"FOSFATASE ALCALINA DIASYS"</f>
        <v>FOSFATASE ALCALINA DIASYS</v>
      </c>
      <c r="C11632" s="2" t="str">
        <f t="shared" si="454"/>
        <v>UN</v>
      </c>
      <c r="D11632" s="7">
        <v>406</v>
      </c>
      <c r="E11632" s="3">
        <v>4</v>
      </c>
      <c r="F11632" s="3">
        <v>4</v>
      </c>
      <c r="G11632" t="s">
        <v>512</v>
      </c>
    </row>
    <row r="11633" spans="1:7" x14ac:dyDescent="0.25">
      <c r="A11633" s="1" t="str">
        <f>"520899"</f>
        <v>520899</v>
      </c>
      <c r="B11633" s="2" t="str">
        <f>"FOSFATASE ALCALINA EM TIRAS (50 TIRAS)"</f>
        <v>FOSFATASE ALCALINA EM TIRAS (50 TIRAS)</v>
      </c>
      <c r="C11633" s="2" t="str">
        <f t="shared" si="454"/>
        <v>UN</v>
      </c>
      <c r="D11633" s="7">
        <v>406</v>
      </c>
      <c r="E11633" s="3">
        <v>4</v>
      </c>
      <c r="F11633" s="3">
        <v>4</v>
      </c>
      <c r="G11633" t="s">
        <v>513</v>
      </c>
    </row>
    <row r="11634" spans="1:7" x14ac:dyDescent="0.25">
      <c r="A11634" s="1" t="str">
        <f>"1218"</f>
        <v>1218</v>
      </c>
      <c r="B11634" s="2" t="str">
        <f>"FOSFATO DISSODICO"</f>
        <v>FOSFATO DISSODICO</v>
      </c>
      <c r="C11634" s="2" t="str">
        <f>"kg"</f>
        <v>kg</v>
      </c>
      <c r="D11634" s="7">
        <v>212</v>
      </c>
      <c r="E11634" s="3">
        <v>2</v>
      </c>
      <c r="F11634" s="3">
        <v>2</v>
      </c>
      <c r="G11634" t="s">
        <v>514</v>
      </c>
    </row>
    <row r="11635" spans="1:7" x14ac:dyDescent="0.25">
      <c r="A11635" s="1" t="str">
        <f>"3538"</f>
        <v>3538</v>
      </c>
      <c r="B11635" s="2" t="str">
        <f>"FOSFATO KIT PARA ANALISE"</f>
        <v>FOSFATO KIT PARA ANALISE</v>
      </c>
      <c r="C11635" s="2" t="str">
        <f>"UN"</f>
        <v>UN</v>
      </c>
      <c r="D11635" s="7">
        <v>406</v>
      </c>
      <c r="E11635" s="3">
        <v>4</v>
      </c>
      <c r="F11635" s="3">
        <v>4</v>
      </c>
      <c r="G11635" t="s">
        <v>515</v>
      </c>
    </row>
    <row r="11636" spans="1:7" x14ac:dyDescent="0.25">
      <c r="A11636" s="1" t="str">
        <f>"514953"</f>
        <v>514953</v>
      </c>
      <c r="B11636" s="2" t="str">
        <f>"FOSFORO"</f>
        <v>FOSFORO</v>
      </c>
      <c r="C11636" s="2" t="str">
        <f>"UN"</f>
        <v>UN</v>
      </c>
      <c r="D11636" s="7">
        <v>401</v>
      </c>
      <c r="E11636" s="3">
        <v>4</v>
      </c>
      <c r="F11636" s="3">
        <v>4</v>
      </c>
      <c r="G11636" t="s">
        <v>512</v>
      </c>
    </row>
    <row r="11637" spans="1:7" x14ac:dyDescent="0.25">
      <c r="A11637" s="1" t="str">
        <f>"524658"</f>
        <v>524658</v>
      </c>
      <c r="B11637" s="2" t="str">
        <f>"FOSFORO TOTAL CONJ REAGENTS TNT 0,5-25MG/L 50UN HX0001-00827"</f>
        <v>FOSFORO TOTAL CONJ REAGENTS TNT 0,5-25MG/L 50UN HX0001-00827</v>
      </c>
      <c r="C11637" s="2" t="str">
        <f>"UN"</f>
        <v>UN</v>
      </c>
      <c r="D11637" s="7">
        <v>406</v>
      </c>
      <c r="E11637" s="3">
        <v>10</v>
      </c>
      <c r="F11637" s="3">
        <v>10</v>
      </c>
      <c r="G11637" t="s">
        <v>516</v>
      </c>
    </row>
    <row r="11638" spans="1:7" x14ac:dyDescent="0.25">
      <c r="A11638" s="1" t="str">
        <f>"522715"</f>
        <v>522715</v>
      </c>
      <c r="B11638" s="2" t="str">
        <f>"FOSSCLEAN KIT (CAIXA 2 FOSS CLEAN - 1 FOSS CLEAN BUFFER)"</f>
        <v>FOSSCLEAN KIT (CAIXA 2 FOSS CLEAN - 1 FOSS CLEAN BUFFER)</v>
      </c>
      <c r="C11638" s="2" t="str">
        <f>"UN"</f>
        <v>UN</v>
      </c>
      <c r="D11638" s="7">
        <v>406</v>
      </c>
      <c r="E11638" s="3">
        <v>4</v>
      </c>
      <c r="F11638" s="3">
        <v>4</v>
      </c>
      <c r="G11638" t="s">
        <v>515</v>
      </c>
    </row>
    <row r="11639" spans="1:7" x14ac:dyDescent="0.25">
      <c r="A11639" s="1" t="str">
        <f>"500737"</f>
        <v>500737</v>
      </c>
      <c r="B11639" s="2" t="str">
        <f>"FOTOCELULA  12-24VDC MW02NC - SAQUINHO"</f>
        <v>FOTOCELULA  12-24VDC MW02NC - SAQUINHO</v>
      </c>
      <c r="C11639" s="2" t="str">
        <f>"PC"</f>
        <v>PC</v>
      </c>
      <c r="D11639" s="7">
        <v>908</v>
      </c>
      <c r="E11639" s="3">
        <v>8</v>
      </c>
      <c r="F11639" s="3">
        <v>8</v>
      </c>
      <c r="G11639" t="s">
        <v>514</v>
      </c>
    </row>
    <row r="11640" spans="1:7" x14ac:dyDescent="0.25">
      <c r="A11640" s="1" t="str">
        <f>"526521"</f>
        <v>526521</v>
      </c>
      <c r="B11640" s="2" t="str">
        <f>"FOTOCELULA ABERTA 12X10X19MM COD.4171"</f>
        <v>FOTOCELULA ABERTA 12X10X19MM COD.4171</v>
      </c>
      <c r="C11640" s="2" t="str">
        <f t="shared" ref="C11640:C11671" si="455">"UN"</f>
        <v>UN</v>
      </c>
      <c r="D11640" s="7">
        <v>812</v>
      </c>
      <c r="E11640" s="3">
        <v>10</v>
      </c>
      <c r="F11640" s="3">
        <v>10</v>
      </c>
      <c r="G11640" t="s">
        <v>512</v>
      </c>
    </row>
    <row r="11641" spans="1:7" x14ac:dyDescent="0.25">
      <c r="A11641" s="1" t="str">
        <f>"520386"</f>
        <v>520386</v>
      </c>
      <c r="B11641" s="8" t="s">
        <v>132</v>
      </c>
      <c r="C11641" s="2" t="str">
        <f t="shared" si="455"/>
        <v>UN</v>
      </c>
      <c r="D11641" s="7">
        <v>918</v>
      </c>
      <c r="E11641" s="3">
        <v>11</v>
      </c>
      <c r="F11641" s="3">
        <v>11</v>
      </c>
      <c r="G11641" t="s">
        <v>513</v>
      </c>
    </row>
    <row r="11642" spans="1:7" x14ac:dyDescent="0.25">
      <c r="A11642" s="1" t="str">
        <f>"501166"</f>
        <v>501166</v>
      </c>
      <c r="B11642" s="2" t="str">
        <f>"FOTO-CELULA ALUMINIO OMRON E32-DC200"</f>
        <v>FOTO-CELULA ALUMINIO OMRON E32-DC200</v>
      </c>
      <c r="C11642" s="2" t="str">
        <f t="shared" si="455"/>
        <v>UN</v>
      </c>
      <c r="D11642" s="7">
        <v>900</v>
      </c>
      <c r="E11642" s="3">
        <v>11</v>
      </c>
      <c r="F11642" s="3">
        <v>11</v>
      </c>
      <c r="G11642" t="s">
        <v>514</v>
      </c>
    </row>
    <row r="11643" spans="1:7" x14ac:dyDescent="0.25">
      <c r="A11643" s="1" t="str">
        <f>"512906"</f>
        <v>512906</v>
      </c>
      <c r="B11643" s="2" t="str">
        <f>"FOTOCELULA BARREIRA P/ PORTAO PPA"</f>
        <v>FOTOCELULA BARREIRA P/ PORTAO PPA</v>
      </c>
      <c r="C11643" s="2" t="str">
        <f t="shared" si="455"/>
        <v>UN</v>
      </c>
      <c r="D11643" s="7">
        <v>811</v>
      </c>
      <c r="E11643" s="3">
        <v>8</v>
      </c>
      <c r="F11643" s="3">
        <v>8</v>
      </c>
      <c r="G11643" t="s">
        <v>514</v>
      </c>
    </row>
    <row r="11644" spans="1:7" x14ac:dyDescent="0.25">
      <c r="A11644" s="1" t="str">
        <f>"505127"</f>
        <v>505127</v>
      </c>
      <c r="B11644" s="2" t="str">
        <f>"FOTOCELULA PADRAO CIJ400 C/CONECTOR(FC)"</f>
        <v>FOTOCELULA PADRAO CIJ400 C/CONECTOR(FC)</v>
      </c>
      <c r="C11644" s="2" t="str">
        <f t="shared" si="455"/>
        <v>UN</v>
      </c>
      <c r="D11644" s="7">
        <v>900</v>
      </c>
      <c r="E11644" s="3">
        <v>11</v>
      </c>
      <c r="F11644" s="3">
        <v>11</v>
      </c>
      <c r="G11644" t="s">
        <v>512</v>
      </c>
    </row>
    <row r="11645" spans="1:7" x14ac:dyDescent="0.25">
      <c r="A11645" s="1" t="str">
        <f>"511641"</f>
        <v>511641</v>
      </c>
      <c r="B11645" s="2" t="str">
        <f>"FOTOCELULA PARA ILUNINAÇÃO S/ BASE"</f>
        <v>FOTOCELULA PARA ILUNINAÇÃO S/ BASE</v>
      </c>
      <c r="C11645" s="2" t="str">
        <f t="shared" si="455"/>
        <v>UN</v>
      </c>
      <c r="D11645" s="7">
        <v>99999</v>
      </c>
      <c r="E11645" s="3">
        <v>99</v>
      </c>
      <c r="F11645" s="3">
        <v>99</v>
      </c>
      <c r="G11645" t="s">
        <v>513</v>
      </c>
    </row>
    <row r="11646" spans="1:7" x14ac:dyDescent="0.25">
      <c r="A11646" s="1" t="str">
        <f>"508149"</f>
        <v>508149</v>
      </c>
      <c r="B11646" s="2" t="str">
        <f>"FOTOCELULA STANDER C/ CONEC. DIN BANNER"</f>
        <v>FOTOCELULA STANDER C/ CONEC. DIN BANNER</v>
      </c>
      <c r="C11646" s="2" t="str">
        <f t="shared" si="455"/>
        <v>UN</v>
      </c>
      <c r="D11646" s="7">
        <v>900</v>
      </c>
      <c r="E11646" s="3">
        <v>11</v>
      </c>
      <c r="F11646" s="3">
        <v>11</v>
      </c>
      <c r="G11646" t="s">
        <v>514</v>
      </c>
    </row>
    <row r="11647" spans="1:7" x14ac:dyDescent="0.25">
      <c r="A11647" s="1" t="str">
        <f>"517029"</f>
        <v>517029</v>
      </c>
      <c r="B11647" s="2" t="str">
        <f>"FOTOCELULA ZWAEST152"</f>
        <v>FOTOCELULA ZWAEST152</v>
      </c>
      <c r="C11647" s="2" t="str">
        <f t="shared" si="455"/>
        <v>UN</v>
      </c>
      <c r="D11647" s="7">
        <v>811</v>
      </c>
      <c r="E11647" s="3">
        <v>8</v>
      </c>
      <c r="F11647" s="3">
        <v>8</v>
      </c>
      <c r="G11647" t="s">
        <v>514</v>
      </c>
    </row>
    <row r="11648" spans="1:7" x14ac:dyDescent="0.25">
      <c r="A11648" s="1" t="str">
        <f>"513960"</f>
        <v>513960</v>
      </c>
      <c r="B11648" s="2" t="str">
        <f>"FOTOCOPIA"</f>
        <v>FOTOCOPIA</v>
      </c>
      <c r="C11648" s="2" t="str">
        <f t="shared" si="455"/>
        <v>UN</v>
      </c>
      <c r="D11648" s="7">
        <v>99999</v>
      </c>
      <c r="E11648" s="3">
        <v>99</v>
      </c>
      <c r="F11648" s="3">
        <v>99</v>
      </c>
      <c r="G11648" t="s">
        <v>514</v>
      </c>
    </row>
    <row r="11649" spans="1:7" x14ac:dyDescent="0.25">
      <c r="A11649" s="1" t="str">
        <f>"523265"</f>
        <v>523265</v>
      </c>
      <c r="B11649" s="2" t="str">
        <f>"FOTOMETRO MEDIDOR DE COR P/ AGUA - AK530"</f>
        <v>FOTOMETRO MEDIDOR DE COR P/ AGUA - AK530</v>
      </c>
      <c r="C11649" s="2" t="str">
        <f t="shared" si="455"/>
        <v>UN</v>
      </c>
      <c r="D11649" s="7">
        <v>817</v>
      </c>
      <c r="E11649" s="3">
        <v>4</v>
      </c>
      <c r="F11649" s="3">
        <v>4</v>
      </c>
      <c r="G11649" t="s">
        <v>513</v>
      </c>
    </row>
    <row r="11650" spans="1:7" x14ac:dyDescent="0.25">
      <c r="A11650" s="1" t="str">
        <f>"510842"</f>
        <v>510842</v>
      </c>
      <c r="B11650" s="2" t="str">
        <f>"FOTOS"</f>
        <v>FOTOS</v>
      </c>
      <c r="C11650" s="2" t="str">
        <f t="shared" si="455"/>
        <v>UN</v>
      </c>
      <c r="D11650" s="7">
        <v>401</v>
      </c>
      <c r="E11650" s="3">
        <v>4</v>
      </c>
      <c r="F11650" s="3">
        <v>4</v>
      </c>
      <c r="G11650" t="s">
        <v>512</v>
      </c>
    </row>
    <row r="11651" spans="1:7" x14ac:dyDescent="0.25">
      <c r="A11651" s="1" t="str">
        <f>"523966"</f>
        <v>523966</v>
      </c>
      <c r="B11651" s="2" t="str">
        <f>"FOXIS 200MG CX C/ 10 COMPRIMIDOS"</f>
        <v>FOXIS 200MG CX C/ 10 COMPRIMIDOS</v>
      </c>
      <c r="C11651" s="2" t="str">
        <f t="shared" si="455"/>
        <v>UN</v>
      </c>
      <c r="D11651" s="7">
        <v>401</v>
      </c>
      <c r="E11651" s="3">
        <v>4</v>
      </c>
      <c r="F11651" s="3">
        <v>4</v>
      </c>
      <c r="G11651" t="s">
        <v>513</v>
      </c>
    </row>
    <row r="11652" spans="1:7" x14ac:dyDescent="0.25">
      <c r="A11652" s="1" t="str">
        <f>"515454"</f>
        <v>515454</v>
      </c>
      <c r="B11652" s="2" t="str">
        <f>"FRAGMENTADORA DE PAPEL"</f>
        <v>FRAGMENTADORA DE PAPEL</v>
      </c>
      <c r="C11652" s="2" t="str">
        <f t="shared" si="455"/>
        <v>UN</v>
      </c>
      <c r="D11652" s="7">
        <v>401</v>
      </c>
      <c r="E11652" s="3">
        <v>4</v>
      </c>
      <c r="F11652" s="3">
        <v>4</v>
      </c>
      <c r="G11652" t="s">
        <v>514</v>
      </c>
    </row>
    <row r="11653" spans="1:7" x14ac:dyDescent="0.25">
      <c r="A11653" s="1" t="str">
        <f>"519459"</f>
        <v>519459</v>
      </c>
      <c r="B11653" s="2" t="str">
        <f>"FRAGMENTADORA PAPEL MENNO 100SB"</f>
        <v>FRAGMENTADORA PAPEL MENNO 100SB</v>
      </c>
      <c r="C11653" s="2" t="str">
        <f t="shared" si="455"/>
        <v>UN</v>
      </c>
      <c r="D11653" s="7">
        <v>1300</v>
      </c>
      <c r="E11653" s="3">
        <v>4</v>
      </c>
      <c r="F11653" s="3">
        <v>4</v>
      </c>
      <c r="G11653" t="s">
        <v>514</v>
      </c>
    </row>
    <row r="11654" spans="1:7" x14ac:dyDescent="0.25">
      <c r="A11654" s="1" t="str">
        <f>"523706"</f>
        <v>523706</v>
      </c>
      <c r="B11654" s="2" t="str">
        <f>"FRALDA DESCARTAVEL"</f>
        <v>FRALDA DESCARTAVEL</v>
      </c>
      <c r="C11654" s="2" t="str">
        <f t="shared" si="455"/>
        <v>UN</v>
      </c>
      <c r="D11654" s="7">
        <v>99999</v>
      </c>
      <c r="E11654" s="3">
        <v>99</v>
      </c>
      <c r="F11654" s="3">
        <v>99</v>
      </c>
      <c r="G11654" t="s">
        <v>514</v>
      </c>
    </row>
    <row r="11655" spans="1:7" x14ac:dyDescent="0.25">
      <c r="A11655" s="1" t="str">
        <f>"515638"</f>
        <v>515638</v>
      </c>
      <c r="B11655" s="2" t="str">
        <f>"FRANGO"</f>
        <v>FRANGO</v>
      </c>
      <c r="C11655" s="2" t="str">
        <f t="shared" si="455"/>
        <v>UN</v>
      </c>
      <c r="D11655" s="7">
        <v>401</v>
      </c>
      <c r="E11655" s="3">
        <v>4</v>
      </c>
      <c r="F11655" s="3">
        <v>4</v>
      </c>
      <c r="G11655" t="s">
        <v>513</v>
      </c>
    </row>
    <row r="11656" spans="1:7" x14ac:dyDescent="0.25">
      <c r="A11656" s="1" t="str">
        <f>"505087"</f>
        <v>505087</v>
      </c>
      <c r="B11656" s="2" t="str">
        <f>"FRANJA PARA CANHAO"</f>
        <v>FRANJA PARA CANHAO</v>
      </c>
      <c r="C11656" s="2" t="str">
        <f t="shared" si="455"/>
        <v>UN</v>
      </c>
      <c r="D11656" s="7">
        <v>918</v>
      </c>
      <c r="E11656" s="3">
        <v>11</v>
      </c>
      <c r="F11656" s="3">
        <v>11</v>
      </c>
      <c r="G11656" t="s">
        <v>513</v>
      </c>
    </row>
    <row r="11657" spans="1:7" x14ac:dyDescent="0.25">
      <c r="A11657" s="1" t="str">
        <f>"526773"</f>
        <v>526773</v>
      </c>
      <c r="B11657" s="2" t="str">
        <f>"FRANJA PRETA"</f>
        <v>FRANJA PRETA</v>
      </c>
      <c r="C11657" s="2" t="str">
        <f t="shared" si="455"/>
        <v>UN</v>
      </c>
      <c r="D11657" s="7">
        <v>704</v>
      </c>
      <c r="E11657" s="3">
        <v>9</v>
      </c>
      <c r="F11657" s="3">
        <v>9</v>
      </c>
      <c r="G11657" t="s">
        <v>513</v>
      </c>
    </row>
    <row r="11658" spans="1:7" x14ac:dyDescent="0.25">
      <c r="A11658" s="1" t="str">
        <f>"521087"</f>
        <v>521087</v>
      </c>
      <c r="B11658" s="2" t="str">
        <f>"FRASCO"</f>
        <v>FRASCO</v>
      </c>
      <c r="C11658" s="2" t="str">
        <f t="shared" si="455"/>
        <v>UN</v>
      </c>
      <c r="D11658" s="7">
        <v>99999</v>
      </c>
      <c r="E11658" s="3">
        <v>99</v>
      </c>
      <c r="F11658" s="3">
        <v>99</v>
      </c>
      <c r="G11658" t="s">
        <v>512</v>
      </c>
    </row>
    <row r="11659" spans="1:7" x14ac:dyDescent="0.25">
      <c r="A11659" s="1" t="str">
        <f>"4104"</f>
        <v>4104</v>
      </c>
      <c r="B11659" s="2" t="str">
        <f>"FRASCO 1,25KG ROTULADO MORANGO (CAROLINA)"</f>
        <v>FRASCO 1,25KG ROTULADO MORANGO (CAROLINA)</v>
      </c>
      <c r="C11659" s="2" t="str">
        <f t="shared" si="455"/>
        <v>UN</v>
      </c>
      <c r="D11659" s="7">
        <v>105</v>
      </c>
      <c r="E11659" s="3">
        <v>1</v>
      </c>
      <c r="F11659" s="3">
        <v>1</v>
      </c>
      <c r="G11659" t="s">
        <v>513</v>
      </c>
    </row>
    <row r="11660" spans="1:7" x14ac:dyDescent="0.25">
      <c r="A11660" s="1" t="str">
        <f>"4105"</f>
        <v>4105</v>
      </c>
      <c r="B11660" s="2" t="str">
        <f>"FRASCO 1,25KG ROTULADO SALADA DE FRUTAS (CAROLINA)"</f>
        <v>FRASCO 1,25KG ROTULADO SALADA DE FRUTAS (CAROLINA)</v>
      </c>
      <c r="C11660" s="2" t="str">
        <f t="shared" si="455"/>
        <v>UN</v>
      </c>
      <c r="D11660" s="7">
        <v>105</v>
      </c>
      <c r="E11660" s="3">
        <v>1</v>
      </c>
      <c r="F11660" s="3">
        <v>1</v>
      </c>
      <c r="G11660" t="s">
        <v>514</v>
      </c>
    </row>
    <row r="11661" spans="1:7" x14ac:dyDescent="0.25">
      <c r="A11661" s="1" t="str">
        <f>"3445"</f>
        <v>3445</v>
      </c>
      <c r="B11661" s="2" t="str">
        <f>"FRASCO 1.250GR  PET BRANCO 33GR - GARGALO 38MM."</f>
        <v>FRASCO 1.250GR  PET BRANCO 33GR - GARGALO 38MM.</v>
      </c>
      <c r="C11661" s="2" t="str">
        <f t="shared" si="455"/>
        <v>UN</v>
      </c>
      <c r="D11661" s="7">
        <v>105</v>
      </c>
      <c r="E11661" s="3">
        <v>1</v>
      </c>
      <c r="F11661" s="3">
        <v>1</v>
      </c>
      <c r="G11661" t="s">
        <v>515</v>
      </c>
    </row>
    <row r="11662" spans="1:7" x14ac:dyDescent="0.25">
      <c r="A11662" s="1" t="str">
        <f>"3475"</f>
        <v>3475</v>
      </c>
      <c r="B11662" s="2" t="str">
        <f>"FRASCO 1.250GR  PET CRISTAL 33GR LEITE FERMENTADO CAROLINA"</f>
        <v>FRASCO 1.250GR  PET CRISTAL 33GR LEITE FERMENTADO CAROLINA</v>
      </c>
      <c r="C11662" s="2" t="str">
        <f t="shared" si="455"/>
        <v>UN</v>
      </c>
      <c r="D11662" s="7">
        <v>105</v>
      </c>
      <c r="E11662" s="3">
        <v>1</v>
      </c>
      <c r="F11662" s="3">
        <v>1</v>
      </c>
      <c r="G11662" t="s">
        <v>512</v>
      </c>
    </row>
    <row r="11663" spans="1:7" x14ac:dyDescent="0.25">
      <c r="A11663" s="1" t="str">
        <f>"3476"</f>
        <v>3476</v>
      </c>
      <c r="B11663" s="2" t="str">
        <f>"FRASCO 1.250GR  PET CRISTAL 33GR ROTULADO  FERMENTADO CAROLI"</f>
        <v>FRASCO 1.250GR  PET CRISTAL 33GR ROTULADO  FERMENTADO CAROLI</v>
      </c>
      <c r="C11663" s="2" t="str">
        <f t="shared" si="455"/>
        <v>UN</v>
      </c>
      <c r="D11663" s="7">
        <v>105</v>
      </c>
      <c r="E11663" s="3">
        <v>1</v>
      </c>
      <c r="F11663" s="3">
        <v>1</v>
      </c>
      <c r="G11663" t="s">
        <v>516</v>
      </c>
    </row>
    <row r="11664" spans="1:7" x14ac:dyDescent="0.25">
      <c r="A11664" s="1" t="str">
        <f>"3473"</f>
        <v>3473</v>
      </c>
      <c r="B11664" s="2" t="str">
        <f>"FRASCO 1.250GR  ROTULADO MORANGO (CAROLINA)"</f>
        <v>FRASCO 1.250GR  ROTULADO MORANGO (CAROLINA)</v>
      </c>
      <c r="C11664" s="2" t="str">
        <f t="shared" si="455"/>
        <v>UN</v>
      </c>
      <c r="D11664" s="7">
        <v>105</v>
      </c>
      <c r="E11664" s="3">
        <v>1</v>
      </c>
      <c r="F11664" s="3">
        <v>1</v>
      </c>
      <c r="G11664" t="s">
        <v>515</v>
      </c>
    </row>
    <row r="11665" spans="1:7" x14ac:dyDescent="0.25">
      <c r="A11665" s="1" t="str">
        <f>"3474"</f>
        <v>3474</v>
      </c>
      <c r="B11665" s="2" t="str">
        <f>"FRASCO 1.250GR  ROTULADO SALADA DE FRUTAS (CAROLINA)"</f>
        <v>FRASCO 1.250GR  ROTULADO SALADA DE FRUTAS (CAROLINA)</v>
      </c>
      <c r="C11665" s="2" t="str">
        <f t="shared" si="455"/>
        <v>UN</v>
      </c>
      <c r="D11665" s="7">
        <v>105</v>
      </c>
      <c r="E11665" s="3">
        <v>1</v>
      </c>
      <c r="F11665" s="3">
        <v>1</v>
      </c>
      <c r="G11665" t="s">
        <v>514</v>
      </c>
    </row>
    <row r="11666" spans="1:7" x14ac:dyDescent="0.25">
      <c r="A11666" s="1" t="str">
        <f>"702"</f>
        <v>702</v>
      </c>
      <c r="B11666" s="2" t="str">
        <f>"FRASCO 1000G IG VIGOR S/ROT"</f>
        <v>FRASCO 1000G IG VIGOR S/ROT</v>
      </c>
      <c r="C11666" s="2" t="str">
        <f t="shared" si="455"/>
        <v>UN</v>
      </c>
      <c r="D11666" s="7">
        <v>112</v>
      </c>
      <c r="E11666" s="3">
        <v>1</v>
      </c>
      <c r="F11666" s="3">
        <v>1</v>
      </c>
      <c r="G11666" t="s">
        <v>512</v>
      </c>
    </row>
    <row r="11667" spans="1:7" x14ac:dyDescent="0.25">
      <c r="A11667" s="1" t="str">
        <f>"17"</f>
        <v>17</v>
      </c>
      <c r="B11667" s="2" t="str">
        <f>"FRASCO 1000GR VEMAPLASTIC."</f>
        <v>FRASCO 1000GR VEMAPLASTIC.</v>
      </c>
      <c r="C11667" s="2" t="str">
        <f t="shared" si="455"/>
        <v>UN</v>
      </c>
      <c r="D11667" s="7">
        <v>105</v>
      </c>
      <c r="E11667" s="3">
        <v>1</v>
      </c>
      <c r="F11667" s="3">
        <v>1</v>
      </c>
      <c r="G11667" t="s">
        <v>513</v>
      </c>
    </row>
    <row r="11668" spans="1:7" x14ac:dyDescent="0.25">
      <c r="A11668" s="1" t="str">
        <f>"6722"</f>
        <v>6722</v>
      </c>
      <c r="B11668" s="2" t="str">
        <f>"FRASCO 115GR PEAD FERMENTADO (CAROLINA)"</f>
        <v>FRASCO 115GR PEAD FERMENTADO (CAROLINA)</v>
      </c>
      <c r="C11668" s="2" t="str">
        <f t="shared" si="455"/>
        <v>UN</v>
      </c>
      <c r="D11668" s="7">
        <v>105</v>
      </c>
      <c r="E11668" s="3">
        <v>1</v>
      </c>
      <c r="F11668" s="3">
        <v>1</v>
      </c>
      <c r="G11668" t="s">
        <v>514</v>
      </c>
    </row>
    <row r="11669" spans="1:7" x14ac:dyDescent="0.25">
      <c r="A11669" s="1" t="str">
        <f>"6536"</f>
        <v>6536</v>
      </c>
      <c r="B11669" s="2" t="str">
        <f>"FRASCO 115GR PEAD FERMENTADO ROTULADO (CAROLINA)"</f>
        <v>FRASCO 115GR PEAD FERMENTADO ROTULADO (CAROLINA)</v>
      </c>
      <c r="C11669" s="2" t="str">
        <f t="shared" si="455"/>
        <v>UN</v>
      </c>
      <c r="D11669" s="7">
        <v>105</v>
      </c>
      <c r="E11669" s="3">
        <v>1</v>
      </c>
      <c r="F11669" s="3">
        <v>1</v>
      </c>
      <c r="G11669" t="s">
        <v>514</v>
      </c>
    </row>
    <row r="11670" spans="1:7" x14ac:dyDescent="0.25">
      <c r="A11670" s="1" t="str">
        <f>"3446"</f>
        <v>3446</v>
      </c>
      <c r="B11670" s="2" t="str">
        <f>"FRASCO 1300GR  PET BRANCO 28GR - GARGALO 38MM."</f>
        <v>FRASCO 1300GR  PET BRANCO 28GR - GARGALO 38MM.</v>
      </c>
      <c r="C11670" s="2" t="str">
        <f t="shared" si="455"/>
        <v>UN</v>
      </c>
      <c r="D11670" s="7">
        <v>105</v>
      </c>
      <c r="E11670" s="3">
        <v>1</v>
      </c>
      <c r="F11670" s="3">
        <v>1</v>
      </c>
      <c r="G11670" t="s">
        <v>512</v>
      </c>
    </row>
    <row r="11671" spans="1:7" x14ac:dyDescent="0.25">
      <c r="A11671" s="1" t="str">
        <f>"2465"</f>
        <v>2465</v>
      </c>
      <c r="B11671" s="2" t="str">
        <f>"FRASCO 160GR  PRODUCAO PROPRIA"</f>
        <v>FRASCO 160GR  PRODUCAO PROPRIA</v>
      </c>
      <c r="C11671" s="2" t="str">
        <f t="shared" si="455"/>
        <v>UN</v>
      </c>
      <c r="D11671" s="7">
        <v>105</v>
      </c>
      <c r="E11671" s="3">
        <v>1</v>
      </c>
      <c r="F11671" s="3">
        <v>1</v>
      </c>
      <c r="G11671" t="s">
        <v>513</v>
      </c>
    </row>
    <row r="11672" spans="1:7" x14ac:dyDescent="0.25">
      <c r="A11672" s="1" t="str">
        <f>"3429"</f>
        <v>3429</v>
      </c>
      <c r="B11672" s="2" t="str">
        <f>"FRASCO 170GR  VEMAPLASTIC"</f>
        <v>FRASCO 170GR  VEMAPLASTIC</v>
      </c>
      <c r="C11672" s="2" t="str">
        <f t="shared" ref="C11672:C11703" si="456">"UN"</f>
        <v>UN</v>
      </c>
      <c r="D11672" s="7">
        <v>105</v>
      </c>
      <c r="E11672" s="3">
        <v>1</v>
      </c>
      <c r="F11672" s="3">
        <v>1</v>
      </c>
      <c r="G11672" t="s">
        <v>514</v>
      </c>
    </row>
    <row r="11673" spans="1:7" x14ac:dyDescent="0.25">
      <c r="A11673" s="1" t="str">
        <f>"18"</f>
        <v>18</v>
      </c>
      <c r="B11673" s="2" t="str">
        <f>"FRASCO 180GR  VEMAPLASTIC"</f>
        <v>FRASCO 180GR  VEMAPLASTIC</v>
      </c>
      <c r="C11673" s="2" t="str">
        <f t="shared" si="456"/>
        <v>UN</v>
      </c>
      <c r="D11673" s="7">
        <v>105</v>
      </c>
      <c r="E11673" s="3">
        <v>1</v>
      </c>
      <c r="F11673" s="3">
        <v>1</v>
      </c>
      <c r="G11673" t="s">
        <v>514</v>
      </c>
    </row>
    <row r="11674" spans="1:7" x14ac:dyDescent="0.25">
      <c r="A11674" s="1" t="str">
        <f>"710"</f>
        <v>710</v>
      </c>
      <c r="B11674" s="2" t="str">
        <f>"FRASCO 200G BCO IG VIGOR S/ROT"</f>
        <v>FRASCO 200G BCO IG VIGOR S/ROT</v>
      </c>
      <c r="C11674" s="2" t="str">
        <f t="shared" si="456"/>
        <v>UN</v>
      </c>
      <c r="D11674" s="7">
        <v>105</v>
      </c>
      <c r="E11674" s="3">
        <v>1</v>
      </c>
      <c r="F11674" s="3">
        <v>1</v>
      </c>
      <c r="G11674" t="s">
        <v>514</v>
      </c>
    </row>
    <row r="11675" spans="1:7" x14ac:dyDescent="0.25">
      <c r="A11675" s="1" t="str">
        <f>"3435"</f>
        <v>3435</v>
      </c>
      <c r="B11675" s="2" t="str">
        <f>"FRASCO 200GR  PET CRISTAL 18GR - GARGALO 38MM."</f>
        <v>FRASCO 200GR  PET CRISTAL 18GR - GARGALO 38MM.</v>
      </c>
      <c r="C11675" s="2" t="str">
        <f t="shared" si="456"/>
        <v>UN</v>
      </c>
      <c r="D11675" s="7">
        <v>105</v>
      </c>
      <c r="E11675" s="3">
        <v>1</v>
      </c>
      <c r="F11675" s="3">
        <v>1</v>
      </c>
      <c r="G11675" t="s">
        <v>513</v>
      </c>
    </row>
    <row r="11676" spans="1:7" x14ac:dyDescent="0.25">
      <c r="A11676" s="1" t="str">
        <f>"513215"</f>
        <v>513215</v>
      </c>
      <c r="B11676" s="2" t="str">
        <f>"FRASCO 200GR TAMPA AZUL COLETA LEITE"</f>
        <v>FRASCO 200GR TAMPA AZUL COLETA LEITE</v>
      </c>
      <c r="C11676" s="2" t="str">
        <f t="shared" si="456"/>
        <v>UN</v>
      </c>
      <c r="D11676" s="7">
        <v>406</v>
      </c>
      <c r="E11676" s="3">
        <v>4</v>
      </c>
      <c r="F11676" s="3">
        <v>4</v>
      </c>
      <c r="G11676" t="s">
        <v>512</v>
      </c>
    </row>
    <row r="11677" spans="1:7" x14ac:dyDescent="0.25">
      <c r="A11677" s="1" t="str">
        <f>"3440"</f>
        <v>3440</v>
      </c>
      <c r="B11677" s="2" t="str">
        <f>"FRASCO 500GR  PET BRANCO 19GR - GARGALO 38MM."</f>
        <v>FRASCO 500GR  PET BRANCO 19GR - GARGALO 38MM.</v>
      </c>
      <c r="C11677" s="2" t="str">
        <f t="shared" si="456"/>
        <v>UN</v>
      </c>
      <c r="D11677" s="7">
        <v>105</v>
      </c>
      <c r="E11677" s="3">
        <v>1</v>
      </c>
      <c r="F11677" s="3">
        <v>1</v>
      </c>
      <c r="G11677" t="s">
        <v>513</v>
      </c>
    </row>
    <row r="11678" spans="1:7" x14ac:dyDescent="0.25">
      <c r="A11678" s="1" t="str">
        <f>"5010"</f>
        <v>5010</v>
      </c>
      <c r="B11678" s="2" t="str">
        <f>"FRASCO 500GR  PET BRANCO 19GR ROTULADO SALADA DE FRUTAS (CAR"</f>
        <v>FRASCO 500GR  PET BRANCO 19GR ROTULADO SALADA DE FRUTAS (CAR</v>
      </c>
      <c r="C11678" s="2" t="str">
        <f t="shared" si="456"/>
        <v>UN</v>
      </c>
      <c r="D11678" s="7">
        <v>105</v>
      </c>
      <c r="E11678" s="3">
        <v>1</v>
      </c>
      <c r="F11678" s="3">
        <v>1</v>
      </c>
      <c r="G11678" t="s">
        <v>514</v>
      </c>
    </row>
    <row r="11679" spans="1:7" x14ac:dyDescent="0.25">
      <c r="A11679" s="1" t="str">
        <f>"5005"</f>
        <v>5005</v>
      </c>
      <c r="B11679" s="2" t="str">
        <f>"FRASCO 500GR  ROTULADO SALADA DE FRUTAS (CAROLINA)"</f>
        <v>FRASCO 500GR  ROTULADO SALADA DE FRUTAS (CAROLINA)</v>
      </c>
      <c r="C11679" s="2" t="str">
        <f t="shared" si="456"/>
        <v>UN</v>
      </c>
      <c r="D11679" s="7">
        <v>105</v>
      </c>
      <c r="E11679" s="3">
        <v>1</v>
      </c>
      <c r="F11679" s="3">
        <v>1</v>
      </c>
      <c r="G11679" t="s">
        <v>514</v>
      </c>
    </row>
    <row r="11680" spans="1:7" x14ac:dyDescent="0.25">
      <c r="A11680" s="1" t="str">
        <f>"5009"</f>
        <v>5009</v>
      </c>
      <c r="B11680" s="2" t="str">
        <f>"FRASCO 500GR PET BRANCO  18GR ROTULADO MORANGO (CAROLINA)"</f>
        <v>FRASCO 500GR PET BRANCO  18GR ROTULADO MORANGO (CAROLINA)</v>
      </c>
      <c r="C11680" s="2" t="str">
        <f t="shared" si="456"/>
        <v>UN</v>
      </c>
      <c r="D11680" s="7">
        <v>105</v>
      </c>
      <c r="E11680" s="3">
        <v>1</v>
      </c>
      <c r="F11680" s="3">
        <v>1</v>
      </c>
      <c r="G11680" t="s">
        <v>514</v>
      </c>
    </row>
    <row r="11681" spans="1:7" x14ac:dyDescent="0.25">
      <c r="A11681" s="1" t="str">
        <f>"5008"</f>
        <v>5008</v>
      </c>
      <c r="B11681" s="2" t="str">
        <f>"FRASCO 500GR PET BRANCO 19GR S/ROTULO 38MM"</f>
        <v>FRASCO 500GR PET BRANCO 19GR S/ROTULO 38MM</v>
      </c>
      <c r="C11681" s="2" t="str">
        <f t="shared" si="456"/>
        <v>UN</v>
      </c>
      <c r="D11681" s="7">
        <v>105</v>
      </c>
      <c r="E11681" s="3">
        <v>1</v>
      </c>
      <c r="F11681" s="3">
        <v>1</v>
      </c>
      <c r="G11681" t="s">
        <v>513</v>
      </c>
    </row>
    <row r="11682" spans="1:7" x14ac:dyDescent="0.25">
      <c r="A11682" s="1" t="str">
        <f>"5004"</f>
        <v>5004</v>
      </c>
      <c r="B11682" s="2" t="str">
        <f>"FRASCO 500GR ROTULADO MORANGO (CAROLINA)"</f>
        <v>FRASCO 500GR ROTULADO MORANGO (CAROLINA)</v>
      </c>
      <c r="C11682" s="2" t="str">
        <f t="shared" si="456"/>
        <v>UN</v>
      </c>
      <c r="D11682" s="7">
        <v>105</v>
      </c>
      <c r="E11682" s="3">
        <v>1</v>
      </c>
      <c r="F11682" s="3">
        <v>1</v>
      </c>
      <c r="G11682" t="s">
        <v>513</v>
      </c>
    </row>
    <row r="11683" spans="1:7" x14ac:dyDescent="0.25">
      <c r="A11683" s="1" t="str">
        <f>"5007"</f>
        <v>5007</v>
      </c>
      <c r="B11683" s="2" t="str">
        <f>"FRASCO 500GR ROTULADO MORANGO (CARREFOUR)"</f>
        <v>FRASCO 500GR ROTULADO MORANGO (CARREFOUR)</v>
      </c>
      <c r="C11683" s="2" t="str">
        <f t="shared" si="456"/>
        <v>UN</v>
      </c>
      <c r="D11683" s="7">
        <v>105</v>
      </c>
      <c r="E11683" s="3">
        <v>1</v>
      </c>
      <c r="F11683" s="3">
        <v>1</v>
      </c>
      <c r="G11683" t="s">
        <v>513</v>
      </c>
    </row>
    <row r="11684" spans="1:7" x14ac:dyDescent="0.25">
      <c r="A11684" s="1" t="str">
        <f>"5006"</f>
        <v>5006</v>
      </c>
      <c r="B11684" s="2" t="str">
        <f>"FRASCO 500GR VEMAPLASTIC S/ ROTULO"</f>
        <v>FRASCO 500GR VEMAPLASTIC S/ ROTULO</v>
      </c>
      <c r="C11684" s="2" t="str">
        <f t="shared" si="456"/>
        <v>UN</v>
      </c>
      <c r="D11684" s="7">
        <v>105</v>
      </c>
      <c r="E11684" s="3">
        <v>1</v>
      </c>
      <c r="F11684" s="3">
        <v>1</v>
      </c>
      <c r="G11684" t="s">
        <v>512</v>
      </c>
    </row>
    <row r="11685" spans="1:7" x14ac:dyDescent="0.25">
      <c r="A11685" s="1" t="str">
        <f>"3029"</f>
        <v>3029</v>
      </c>
      <c r="B11685" s="2" t="str">
        <f>"FRASCO 600GR  PRODUCAO PROPRIA"</f>
        <v>FRASCO 600GR  PRODUCAO PROPRIA</v>
      </c>
      <c r="C11685" s="2" t="str">
        <f t="shared" si="456"/>
        <v>UN</v>
      </c>
      <c r="D11685" s="7">
        <v>105</v>
      </c>
      <c r="E11685" s="3">
        <v>1</v>
      </c>
      <c r="F11685" s="3">
        <v>1</v>
      </c>
      <c r="G11685" t="s">
        <v>513</v>
      </c>
    </row>
    <row r="11686" spans="1:7" x14ac:dyDescent="0.25">
      <c r="A11686" s="1" t="str">
        <f>"6715"</f>
        <v>6715</v>
      </c>
      <c r="B11686" s="2" t="str">
        <f>"FRASCO 75GR  FERMENTADO TRAD. CAROLINA ROTULADO"</f>
        <v>FRASCO 75GR  FERMENTADO TRAD. CAROLINA ROTULADO</v>
      </c>
      <c r="C11686" s="2" t="str">
        <f t="shared" si="456"/>
        <v>UN</v>
      </c>
      <c r="D11686" s="7">
        <v>105</v>
      </c>
      <c r="E11686" s="3">
        <v>1</v>
      </c>
      <c r="F11686" s="3">
        <v>1</v>
      </c>
      <c r="G11686" t="s">
        <v>514</v>
      </c>
    </row>
    <row r="11687" spans="1:7" x14ac:dyDescent="0.25">
      <c r="A11687" s="1" t="str">
        <f>"6733"</f>
        <v>6733</v>
      </c>
      <c r="B11687" s="2" t="str">
        <f>"FRASCO 75GR  FERMENTADO TRAD. CARREFOUR ROTULADO"</f>
        <v>FRASCO 75GR  FERMENTADO TRAD. CARREFOUR ROTULADO</v>
      </c>
      <c r="C11687" s="2" t="str">
        <f t="shared" si="456"/>
        <v>UN</v>
      </c>
      <c r="D11687" s="7">
        <v>105</v>
      </c>
      <c r="E11687" s="3">
        <v>1</v>
      </c>
      <c r="F11687" s="3">
        <v>1</v>
      </c>
      <c r="G11687" t="s">
        <v>515</v>
      </c>
    </row>
    <row r="11688" spans="1:7" x14ac:dyDescent="0.25">
      <c r="A11688" s="1" t="str">
        <f>"6720"</f>
        <v>6720</v>
      </c>
      <c r="B11688" s="2" t="str">
        <f>"FRASCO 75GR  FERMENTADO TRAD. QUALITA"</f>
        <v>FRASCO 75GR  FERMENTADO TRAD. QUALITA</v>
      </c>
      <c r="C11688" s="2" t="str">
        <f t="shared" si="456"/>
        <v>UN</v>
      </c>
      <c r="D11688" s="7">
        <v>105</v>
      </c>
      <c r="E11688" s="3">
        <v>1</v>
      </c>
      <c r="F11688" s="3">
        <v>1</v>
      </c>
      <c r="G11688" t="s">
        <v>512</v>
      </c>
    </row>
    <row r="11689" spans="1:7" x14ac:dyDescent="0.25">
      <c r="A11689" s="1" t="str">
        <f>"6719"</f>
        <v>6719</v>
      </c>
      <c r="B11689" s="2" t="str">
        <f>"FRASCO 75GR  FERMENTADO TRAD. QUALITA ROTULADO"</f>
        <v>FRASCO 75GR  FERMENTADO TRAD. QUALITA ROTULADO</v>
      </c>
      <c r="C11689" s="2" t="str">
        <f t="shared" si="456"/>
        <v>UN</v>
      </c>
      <c r="D11689" s="7">
        <v>105</v>
      </c>
      <c r="E11689" s="3">
        <v>1</v>
      </c>
      <c r="F11689" s="3">
        <v>1</v>
      </c>
      <c r="G11689" t="s">
        <v>516</v>
      </c>
    </row>
    <row r="11690" spans="1:7" x14ac:dyDescent="0.25">
      <c r="A11690" s="1" t="str">
        <f>"6716"</f>
        <v>6716</v>
      </c>
      <c r="B11690" s="2" t="str">
        <f>"FRASCO 75GR FERMENT. S/ LACTOSE CAROLINIA ROTULADO"</f>
        <v>FRASCO 75GR FERMENT. S/ LACTOSE CAROLINIA ROTULADO</v>
      </c>
      <c r="C11690" s="2" t="str">
        <f t="shared" si="456"/>
        <v>UN</v>
      </c>
      <c r="D11690" s="7">
        <v>105</v>
      </c>
      <c r="E11690" s="3">
        <v>1</v>
      </c>
      <c r="F11690" s="3">
        <v>1</v>
      </c>
      <c r="G11690" t="s">
        <v>515</v>
      </c>
    </row>
    <row r="11691" spans="1:7" x14ac:dyDescent="0.25">
      <c r="A11691" s="1" t="str">
        <f>"6721"</f>
        <v>6721</v>
      </c>
      <c r="B11691" s="2" t="str">
        <f>"FRASCO 75GR FERMENTADO TRAD. (CAROLINA COMPRADO)"</f>
        <v>FRASCO 75GR FERMENTADO TRAD. (CAROLINA COMPRADO)</v>
      </c>
      <c r="C11691" s="2" t="str">
        <f t="shared" si="456"/>
        <v>UN</v>
      </c>
      <c r="D11691" s="7">
        <v>105</v>
      </c>
      <c r="E11691" s="3">
        <v>1</v>
      </c>
      <c r="F11691" s="3">
        <v>1</v>
      </c>
      <c r="G11691" t="s">
        <v>514</v>
      </c>
    </row>
    <row r="11692" spans="1:7" x14ac:dyDescent="0.25">
      <c r="A11692" s="1" t="str">
        <f>"6718"</f>
        <v>6718</v>
      </c>
      <c r="B11692" s="2" t="str">
        <f>"FRASCO 75GR SEM LACTOSE CAROLINA"</f>
        <v>FRASCO 75GR SEM LACTOSE CAROLINA</v>
      </c>
      <c r="C11692" s="2" t="str">
        <f t="shared" si="456"/>
        <v>UN</v>
      </c>
      <c r="D11692" s="7">
        <v>105</v>
      </c>
      <c r="E11692" s="3">
        <v>1</v>
      </c>
      <c r="F11692" s="3">
        <v>1</v>
      </c>
      <c r="G11692" t="s">
        <v>512</v>
      </c>
    </row>
    <row r="11693" spans="1:7" x14ac:dyDescent="0.25">
      <c r="A11693" s="1" t="str">
        <f>"6717"</f>
        <v>6717</v>
      </c>
      <c r="B11693" s="2" t="str">
        <f>"FRASCO 75GR TRADICIONAL"</f>
        <v>FRASCO 75GR TRADICIONAL</v>
      </c>
      <c r="C11693" s="2" t="str">
        <f t="shared" si="456"/>
        <v>UN</v>
      </c>
      <c r="D11693" s="7">
        <v>105</v>
      </c>
      <c r="E11693" s="3">
        <v>1</v>
      </c>
      <c r="F11693" s="3">
        <v>1</v>
      </c>
      <c r="G11693" t="s">
        <v>513</v>
      </c>
    </row>
    <row r="11694" spans="1:7" x14ac:dyDescent="0.25">
      <c r="A11694" s="1" t="str">
        <f>"6714"</f>
        <v>6714</v>
      </c>
      <c r="B11694" s="2" t="str">
        <f>"FRASCO 80GR FERMENTADO VEMAPLASTIC"</f>
        <v>FRASCO 80GR FERMENTADO VEMAPLASTIC</v>
      </c>
      <c r="C11694" s="2" t="str">
        <f t="shared" si="456"/>
        <v>UN</v>
      </c>
      <c r="D11694" s="7">
        <v>105</v>
      </c>
      <c r="E11694" s="3">
        <v>1</v>
      </c>
      <c r="F11694" s="3">
        <v>1</v>
      </c>
      <c r="G11694" t="s">
        <v>514</v>
      </c>
    </row>
    <row r="11695" spans="1:7" x14ac:dyDescent="0.25">
      <c r="A11695" s="1" t="str">
        <f>"3438"</f>
        <v>3438</v>
      </c>
      <c r="B11695" s="2" t="str">
        <f>"FRASCO 850GR  PET CRISTAL  28GR - GARGALO 38MM LEITE FERMENT"</f>
        <v>FRASCO 850GR  PET CRISTAL  28GR - GARGALO 38MM LEITE FERMENT</v>
      </c>
      <c r="C11695" s="2" t="str">
        <f t="shared" si="456"/>
        <v>UN</v>
      </c>
      <c r="D11695" s="7">
        <v>105</v>
      </c>
      <c r="E11695" s="3">
        <v>1</v>
      </c>
      <c r="F11695" s="3">
        <v>1</v>
      </c>
      <c r="G11695" t="s">
        <v>514</v>
      </c>
    </row>
    <row r="11696" spans="1:7" x14ac:dyDescent="0.25">
      <c r="A11696" s="1" t="str">
        <f>"3441"</f>
        <v>3441</v>
      </c>
      <c r="B11696" s="2" t="str">
        <f>"FRASCO 850GR  PET CRISTAL  28GR - LEIT FERM CARREFOUR"</f>
        <v>FRASCO 850GR  PET CRISTAL  28GR - LEIT FERM CARREFOUR</v>
      </c>
      <c r="C11696" s="2" t="str">
        <f t="shared" si="456"/>
        <v>UN</v>
      </c>
      <c r="D11696" s="7">
        <v>105</v>
      </c>
      <c r="E11696" s="3">
        <v>1</v>
      </c>
      <c r="F11696" s="3">
        <v>1</v>
      </c>
      <c r="G11696" t="s">
        <v>512</v>
      </c>
    </row>
    <row r="11697" spans="1:7" x14ac:dyDescent="0.25">
      <c r="A11697" s="1" t="str">
        <f>"3439"</f>
        <v>3439</v>
      </c>
      <c r="B11697" s="2" t="str">
        <f>"FRASCO 850GR  PET CRISTAL  28GR ROTULADO - GARGALO 38MM LEIT"</f>
        <v>FRASCO 850GR  PET CRISTAL  28GR ROTULADO - GARGALO 38MM LEIT</v>
      </c>
      <c r="C11697" s="2" t="str">
        <f t="shared" si="456"/>
        <v>UN</v>
      </c>
      <c r="D11697" s="7">
        <v>105</v>
      </c>
      <c r="E11697" s="3">
        <v>1</v>
      </c>
      <c r="F11697" s="3">
        <v>1</v>
      </c>
      <c r="G11697" t="s">
        <v>513</v>
      </c>
    </row>
    <row r="11698" spans="1:7" x14ac:dyDescent="0.25">
      <c r="A11698" s="1" t="str">
        <f>"3442"</f>
        <v>3442</v>
      </c>
      <c r="B11698" s="2" t="str">
        <f>"FRASCO 850GR  PET CRISTAL  28GR ROTULADO LEI FERM CARREFOUR"</f>
        <v>FRASCO 850GR  PET CRISTAL  28GR ROTULADO LEI FERM CARREFOUR</v>
      </c>
      <c r="C11698" s="2" t="str">
        <f t="shared" si="456"/>
        <v>UN</v>
      </c>
      <c r="D11698" s="7">
        <v>105</v>
      </c>
      <c r="E11698" s="3">
        <v>1</v>
      </c>
      <c r="F11698" s="3">
        <v>1</v>
      </c>
      <c r="G11698" t="s">
        <v>514</v>
      </c>
    </row>
    <row r="11699" spans="1:7" x14ac:dyDescent="0.25">
      <c r="A11699" s="1" t="str">
        <f>"3434"</f>
        <v>3434</v>
      </c>
      <c r="B11699" s="2" t="str">
        <f>"FRASCO 900GR  PET BRANCO 28GR - GARGALO 38MM."</f>
        <v>FRASCO 900GR  PET BRANCO 28GR - GARGALO 38MM.</v>
      </c>
      <c r="C11699" s="2" t="str">
        <f t="shared" si="456"/>
        <v>UN</v>
      </c>
      <c r="D11699" s="7">
        <v>105</v>
      </c>
      <c r="E11699" s="3">
        <v>1</v>
      </c>
      <c r="F11699" s="3">
        <v>1</v>
      </c>
      <c r="G11699" t="s">
        <v>514</v>
      </c>
    </row>
    <row r="11700" spans="1:7" x14ac:dyDescent="0.25">
      <c r="A11700" s="1" t="str">
        <f>"3426"</f>
        <v>3426</v>
      </c>
      <c r="B11700" s="2" t="str">
        <f>"FRASCO 900GR  PRODUÇAO PROPRIA"</f>
        <v>FRASCO 900GR  PRODUÇAO PROPRIA</v>
      </c>
      <c r="C11700" s="2" t="str">
        <f t="shared" si="456"/>
        <v>UN</v>
      </c>
      <c r="D11700" s="7">
        <v>105</v>
      </c>
      <c r="E11700" s="3">
        <v>1</v>
      </c>
      <c r="F11700" s="3">
        <v>1</v>
      </c>
      <c r="G11700" t="s">
        <v>514</v>
      </c>
    </row>
    <row r="11701" spans="1:7" x14ac:dyDescent="0.25">
      <c r="A11701" s="1" t="str">
        <f>"5003"</f>
        <v>5003</v>
      </c>
      <c r="B11701" s="2" t="str">
        <f>"FRASCO 900GR  VEMAPLASTIC"</f>
        <v>FRASCO 900GR  VEMAPLASTIC</v>
      </c>
      <c r="C11701" s="2" t="str">
        <f t="shared" si="456"/>
        <v>UN</v>
      </c>
      <c r="D11701" s="7">
        <v>105</v>
      </c>
      <c r="E11701" s="3">
        <v>1</v>
      </c>
      <c r="F11701" s="3">
        <v>1</v>
      </c>
      <c r="G11701" t="s">
        <v>513</v>
      </c>
    </row>
    <row r="11702" spans="1:7" x14ac:dyDescent="0.25">
      <c r="A11702" s="1" t="str">
        <f>"513372"</f>
        <v>513372</v>
      </c>
      <c r="B11702" s="2" t="str">
        <f>"FRASCO COLETOR TRANSL 50ML COM TAMPA VERMELHA ESTERIL"</f>
        <v>FRASCO COLETOR TRANSL 50ML COM TAMPA VERMELHA ESTERIL</v>
      </c>
      <c r="C11702" s="2" t="str">
        <f t="shared" si="456"/>
        <v>UN</v>
      </c>
      <c r="D11702" s="7">
        <v>406</v>
      </c>
      <c r="E11702" s="3">
        <v>4</v>
      </c>
      <c r="F11702" s="3">
        <v>4</v>
      </c>
      <c r="G11702" t="s">
        <v>512</v>
      </c>
    </row>
    <row r="11703" spans="1:7" x14ac:dyDescent="0.25">
      <c r="A11703" s="1" t="str">
        <f>"513079"</f>
        <v>513079</v>
      </c>
      <c r="B11703" s="2" t="str">
        <f>"FRASCO COLETOR TRANSL 80ML ESTERIL TAMPA BRANCA"</f>
        <v>FRASCO COLETOR TRANSL 80ML ESTERIL TAMPA BRANCA</v>
      </c>
      <c r="C11703" s="2" t="str">
        <f t="shared" si="456"/>
        <v>UN</v>
      </c>
      <c r="D11703" s="7">
        <v>406</v>
      </c>
      <c r="E11703" s="3">
        <v>4</v>
      </c>
      <c r="F11703" s="3">
        <v>4</v>
      </c>
      <c r="G11703" t="s">
        <v>513</v>
      </c>
    </row>
    <row r="11704" spans="1:7" x14ac:dyDescent="0.25">
      <c r="A11704" s="1" t="str">
        <f>"523487"</f>
        <v>523487</v>
      </c>
      <c r="B11704" s="2" t="str">
        <f>"FRASCO COLETOR TRANSL 80ML NÃO ESTERIL TAMPA VERMELHA"</f>
        <v>FRASCO COLETOR TRANSL 80ML NÃO ESTERIL TAMPA VERMELHA</v>
      </c>
      <c r="C11704" s="2" t="str">
        <f t="shared" ref="C11704:C11718" si="457">"UN"</f>
        <v>UN</v>
      </c>
      <c r="D11704" s="7">
        <v>406</v>
      </c>
      <c r="E11704" s="3">
        <v>4</v>
      </c>
      <c r="F11704" s="3">
        <v>4</v>
      </c>
      <c r="G11704" t="s">
        <v>514</v>
      </c>
    </row>
    <row r="11705" spans="1:7" x14ac:dyDescent="0.25">
      <c r="A11705" s="1" t="str">
        <f>"521478"</f>
        <v>521478</v>
      </c>
      <c r="B11705" s="2" t="str">
        <f>"FRASCO CONTA GOTAS PLAST. 125ML 2260 NALGON"</f>
        <v>FRASCO CONTA GOTAS PLAST. 125ML 2260 NALGON</v>
      </c>
      <c r="C11705" s="2" t="str">
        <f t="shared" si="457"/>
        <v>UN</v>
      </c>
      <c r="D11705" s="7">
        <v>406</v>
      </c>
      <c r="E11705" s="3">
        <v>4</v>
      </c>
      <c r="F11705" s="3">
        <v>4</v>
      </c>
      <c r="G11705" t="s">
        <v>514</v>
      </c>
    </row>
    <row r="11706" spans="1:7" x14ac:dyDescent="0.25">
      <c r="A11706" s="1" t="str">
        <f>"522488"</f>
        <v>522488</v>
      </c>
      <c r="B11706" s="2" t="str">
        <f>"FRASCO DE 5 LITROS P/ SOLUCAO CLEAN MILKOSCAN (FOSS)"</f>
        <v>FRASCO DE 5 LITROS P/ SOLUCAO CLEAN MILKOSCAN (FOSS)</v>
      </c>
      <c r="C11706" s="2" t="str">
        <f t="shared" si="457"/>
        <v>UN</v>
      </c>
      <c r="D11706" s="7">
        <v>406</v>
      </c>
      <c r="E11706" s="3">
        <v>4</v>
      </c>
      <c r="F11706" s="3">
        <v>4</v>
      </c>
      <c r="G11706" t="s">
        <v>514</v>
      </c>
    </row>
    <row r="11707" spans="1:7" x14ac:dyDescent="0.25">
      <c r="A11707" s="1" t="str">
        <f>"522487"</f>
        <v>522487</v>
      </c>
      <c r="B11707" s="2" t="str">
        <f>"FRASCO DE 5 LITROS P/ SOLUCAO ZERO MILKOSCAN (FOSS)"</f>
        <v>FRASCO DE 5 LITROS P/ SOLUCAO ZERO MILKOSCAN (FOSS)</v>
      </c>
      <c r="C11707" s="2" t="str">
        <f t="shared" si="457"/>
        <v>UN</v>
      </c>
      <c r="D11707" s="7">
        <v>406</v>
      </c>
      <c r="E11707" s="3">
        <v>4</v>
      </c>
      <c r="F11707" s="3">
        <v>4</v>
      </c>
      <c r="G11707" t="s">
        <v>513</v>
      </c>
    </row>
    <row r="11708" spans="1:7" x14ac:dyDescent="0.25">
      <c r="A11708" s="1" t="str">
        <f>"525626"</f>
        <v>525626</v>
      </c>
      <c r="B11708" s="2" t="str">
        <f>"FRASCO ERLENMEYER VIDRO 2000ML - CAP LAB"</f>
        <v>FRASCO ERLENMEYER VIDRO 2000ML - CAP LAB</v>
      </c>
      <c r="C11708" s="2" t="str">
        <f t="shared" si="457"/>
        <v>UN</v>
      </c>
      <c r="D11708" s="7">
        <v>99999</v>
      </c>
      <c r="E11708" s="3">
        <v>99</v>
      </c>
      <c r="F11708" s="3">
        <v>99</v>
      </c>
      <c r="G11708" t="s">
        <v>513</v>
      </c>
    </row>
    <row r="11709" spans="1:7" x14ac:dyDescent="0.25">
      <c r="A11709" s="1" t="str">
        <f>"522114"</f>
        <v>522114</v>
      </c>
      <c r="B11709" s="2" t="str">
        <f>"FRASCO P/ ALCOOL GRADUADO 1000ML REF 2310"</f>
        <v>FRASCO P/ ALCOOL GRADUADO 1000ML REF 2310</v>
      </c>
      <c r="C11709" s="2" t="str">
        <f t="shared" si="457"/>
        <v>UN</v>
      </c>
      <c r="D11709" s="7">
        <v>406</v>
      </c>
      <c r="E11709" s="3">
        <v>4</v>
      </c>
      <c r="F11709" s="3">
        <v>4</v>
      </c>
      <c r="G11709" t="s">
        <v>513</v>
      </c>
    </row>
    <row r="11710" spans="1:7" x14ac:dyDescent="0.25">
      <c r="A11710" s="1" t="str">
        <f>"513287"</f>
        <v>513287</v>
      </c>
      <c r="B11710" s="2" t="str">
        <f>"FRASCO PARA DILUICAO DE LEITE 90/99ML"</f>
        <v>FRASCO PARA DILUICAO DE LEITE 90/99ML</v>
      </c>
      <c r="C11710" s="2" t="str">
        <f t="shared" si="457"/>
        <v>UN</v>
      </c>
      <c r="D11710" s="7">
        <v>406</v>
      </c>
      <c r="E11710" s="3">
        <v>4</v>
      </c>
      <c r="F11710" s="3">
        <v>4</v>
      </c>
      <c r="G11710" t="s">
        <v>512</v>
      </c>
    </row>
    <row r="11711" spans="1:7" x14ac:dyDescent="0.25">
      <c r="A11711" s="1" t="str">
        <f>"522324"</f>
        <v>522324</v>
      </c>
      <c r="B11711" s="2" t="str">
        <f>"FRASCO PARA DISPENSADOR 500ML"</f>
        <v>FRASCO PARA DISPENSADOR 500ML</v>
      </c>
      <c r="C11711" s="2" t="str">
        <f t="shared" si="457"/>
        <v>UN</v>
      </c>
      <c r="D11711" s="7">
        <v>406</v>
      </c>
      <c r="E11711" s="3">
        <v>4</v>
      </c>
      <c r="F11711" s="3">
        <v>4</v>
      </c>
      <c r="G11711" t="s">
        <v>513</v>
      </c>
    </row>
    <row r="11712" spans="1:7" x14ac:dyDescent="0.25">
      <c r="A11712" s="1" t="str">
        <f>"3427"</f>
        <v>3427</v>
      </c>
      <c r="B11712" s="2" t="str">
        <f>"FRASCO PET 165G CRISTAL 6.0G FINISH 30MM AMCOR"</f>
        <v>FRASCO PET 165G CRISTAL 6.0G FINISH 30MM AMCOR</v>
      </c>
      <c r="C11712" s="2" t="str">
        <f t="shared" si="457"/>
        <v>UN</v>
      </c>
      <c r="D11712" s="7">
        <v>105</v>
      </c>
      <c r="E11712" s="3">
        <v>1</v>
      </c>
      <c r="F11712" s="3">
        <v>1</v>
      </c>
      <c r="G11712" t="s">
        <v>514</v>
      </c>
    </row>
    <row r="11713" spans="1:7" x14ac:dyDescent="0.25">
      <c r="A11713" s="1" t="str">
        <f>"3431"</f>
        <v>3431</v>
      </c>
      <c r="B11713" s="2" t="str">
        <f>"FRASCO PET 165G CRISTAL 6.0G ROTULADO MORANGO"</f>
        <v>FRASCO PET 165G CRISTAL 6.0G ROTULADO MORANGO</v>
      </c>
      <c r="C11713" s="2" t="str">
        <f t="shared" si="457"/>
        <v>UN</v>
      </c>
      <c r="D11713" s="7">
        <v>105</v>
      </c>
      <c r="E11713" s="3">
        <v>1</v>
      </c>
      <c r="F11713" s="3">
        <v>1</v>
      </c>
      <c r="G11713" t="s">
        <v>515</v>
      </c>
    </row>
    <row r="11714" spans="1:7" x14ac:dyDescent="0.25">
      <c r="A11714" s="1" t="str">
        <f>"4121"</f>
        <v>4121</v>
      </c>
      <c r="B11714" s="2" t="str">
        <f>"FRASCO PET BRANCO 1250 GR PRODUCAO PROPRIA"</f>
        <v>FRASCO PET BRANCO 1250 GR PRODUCAO PROPRIA</v>
      </c>
      <c r="C11714" s="2" t="str">
        <f t="shared" si="457"/>
        <v>UN</v>
      </c>
      <c r="D11714" s="7">
        <v>105</v>
      </c>
      <c r="E11714" s="3">
        <v>1</v>
      </c>
      <c r="F11714" s="3">
        <v>1</v>
      </c>
      <c r="G11714" t="s">
        <v>512</v>
      </c>
    </row>
    <row r="11715" spans="1:7" x14ac:dyDescent="0.25">
      <c r="A11715" s="1" t="str">
        <f>"AG 39233000"</f>
        <v>AG 39233000</v>
      </c>
      <c r="B11715" s="2" t="str">
        <f>"FRASCO PET BRANCO 180G"</f>
        <v>FRASCO PET BRANCO 180G</v>
      </c>
      <c r="C11715" s="2" t="str">
        <f t="shared" si="457"/>
        <v>UN</v>
      </c>
      <c r="D11715" s="7">
        <v>99999</v>
      </c>
      <c r="E11715" s="3">
        <v>1</v>
      </c>
      <c r="F11715" s="3">
        <v>1</v>
      </c>
      <c r="G11715" t="s">
        <v>516</v>
      </c>
    </row>
    <row r="11716" spans="1:7" x14ac:dyDescent="0.25">
      <c r="A11716" s="1" t="str">
        <f>"4120"</f>
        <v>4120</v>
      </c>
      <c r="B11716" s="2" t="str">
        <f>"FRASCO PET BRANCO 800 GR PRODUCAO PROPRIA"</f>
        <v>FRASCO PET BRANCO 800 GR PRODUCAO PROPRIA</v>
      </c>
      <c r="C11716" s="2" t="str">
        <f t="shared" si="457"/>
        <v>UN</v>
      </c>
      <c r="D11716" s="7">
        <v>105</v>
      </c>
      <c r="E11716" s="3">
        <v>1</v>
      </c>
      <c r="F11716" s="3">
        <v>1</v>
      </c>
      <c r="G11716" t="s">
        <v>515</v>
      </c>
    </row>
    <row r="11717" spans="1:7" x14ac:dyDescent="0.25">
      <c r="A11717" s="1" t="str">
        <f>"4122"</f>
        <v>4122</v>
      </c>
      <c r="B11717" s="2" t="str">
        <f>"FRASCO PET CRISTAL 1250 GR PRODUCAO PROPRIA"</f>
        <v>FRASCO PET CRISTAL 1250 GR PRODUCAO PROPRIA</v>
      </c>
      <c r="C11717" s="2" t="str">
        <f t="shared" si="457"/>
        <v>UN</v>
      </c>
      <c r="D11717" s="7">
        <v>105</v>
      </c>
      <c r="E11717" s="3">
        <v>1</v>
      </c>
      <c r="F11717" s="3">
        <v>1</v>
      </c>
      <c r="G11717" t="s">
        <v>514</v>
      </c>
    </row>
    <row r="11718" spans="1:7" x14ac:dyDescent="0.25">
      <c r="A11718" s="1" t="str">
        <f>"522927"</f>
        <v>522927</v>
      </c>
      <c r="B11718" s="2" t="str">
        <f>"FRASCO PET SLEVE 200GR CAROLINA CRISTAL"</f>
        <v>FRASCO PET SLEVE 200GR CAROLINA CRISTAL</v>
      </c>
      <c r="C11718" s="2" t="str">
        <f t="shared" si="457"/>
        <v>UN</v>
      </c>
      <c r="D11718" s="7">
        <v>105</v>
      </c>
      <c r="E11718" s="3">
        <v>1</v>
      </c>
      <c r="F11718" s="3">
        <v>1</v>
      </c>
      <c r="G11718" t="s">
        <v>512</v>
      </c>
    </row>
    <row r="11719" spans="1:7" x14ac:dyDescent="0.25">
      <c r="A11719" s="1" t="str">
        <f>"524389"</f>
        <v>524389</v>
      </c>
      <c r="B11719" s="2" t="str">
        <f>"FRASCO PLASTICO P/ COLETA 100 ML"</f>
        <v>FRASCO PLASTICO P/ COLETA 100 ML</v>
      </c>
      <c r="C11719" s="2" t="str">
        <f>"PC"</f>
        <v>PC</v>
      </c>
      <c r="D11719" s="7">
        <v>406</v>
      </c>
      <c r="E11719" s="3">
        <v>4</v>
      </c>
      <c r="F11719" s="3">
        <v>4</v>
      </c>
      <c r="G11719" t="s">
        <v>513</v>
      </c>
    </row>
    <row r="11720" spans="1:7" x14ac:dyDescent="0.25">
      <c r="A11720" s="1" t="str">
        <f>"523727"</f>
        <v>523727</v>
      </c>
      <c r="B11720" s="2" t="str">
        <f>"FRASCO PLASTICO P/ COLETA 1000 ML"</f>
        <v>FRASCO PLASTICO P/ COLETA 1000 ML</v>
      </c>
      <c r="C11720" s="2" t="str">
        <f>"PC"</f>
        <v>PC</v>
      </c>
      <c r="D11720" s="7">
        <v>406</v>
      </c>
      <c r="E11720" s="3">
        <v>4</v>
      </c>
      <c r="F11720" s="3">
        <v>4</v>
      </c>
      <c r="G11720" t="s">
        <v>514</v>
      </c>
    </row>
    <row r="11721" spans="1:7" x14ac:dyDescent="0.25">
      <c r="A11721" s="1" t="str">
        <f>"523660"</f>
        <v>523660</v>
      </c>
      <c r="B11721" s="2" t="str">
        <f>"FRASCO PLASTICO P/ COLETA 250 ML"</f>
        <v>FRASCO PLASTICO P/ COLETA 250 ML</v>
      </c>
      <c r="C11721" s="2" t="str">
        <f>"PC"</f>
        <v>PC</v>
      </c>
      <c r="D11721" s="7">
        <v>406</v>
      </c>
      <c r="E11721" s="3">
        <v>4</v>
      </c>
      <c r="F11721" s="3">
        <v>4</v>
      </c>
      <c r="G11721" t="s">
        <v>514</v>
      </c>
    </row>
    <row r="11722" spans="1:7" x14ac:dyDescent="0.25">
      <c r="A11722" s="1" t="str">
        <f>"521221"</f>
        <v>521221</v>
      </c>
      <c r="B11722" s="2" t="str">
        <f>"FRASCO PLASTICO POLIETILENO BOCA ESTREITA 1000ML"</f>
        <v>FRASCO PLASTICO POLIETILENO BOCA ESTREITA 1000ML</v>
      </c>
      <c r="C11722" s="2" t="str">
        <f t="shared" ref="C11722:C11755" si="458">"UN"</f>
        <v>UN</v>
      </c>
      <c r="D11722" s="7">
        <v>406</v>
      </c>
      <c r="E11722" s="3">
        <v>4</v>
      </c>
      <c r="F11722" s="3">
        <v>4</v>
      </c>
      <c r="G11722" t="s">
        <v>512</v>
      </c>
    </row>
    <row r="11723" spans="1:7" x14ac:dyDescent="0.25">
      <c r="A11723" s="1" t="str">
        <f>"513288"</f>
        <v>513288</v>
      </c>
      <c r="B11723" s="2" t="str">
        <f>"FRASCO REAGENTE BE (PP) 1000ML"</f>
        <v>FRASCO REAGENTE BE (PP) 1000ML</v>
      </c>
      <c r="C11723" s="2" t="str">
        <f t="shared" si="458"/>
        <v>UN</v>
      </c>
      <c r="D11723" s="7">
        <v>406</v>
      </c>
      <c r="E11723" s="3">
        <v>4</v>
      </c>
      <c r="F11723" s="3">
        <v>4</v>
      </c>
      <c r="G11723" t="s">
        <v>513</v>
      </c>
    </row>
    <row r="11724" spans="1:7" x14ac:dyDescent="0.25">
      <c r="A11724" s="1" t="str">
        <f>"513884"</f>
        <v>513884</v>
      </c>
      <c r="B11724" s="2" t="str">
        <f>"FRASCO REAGENTE COM TAMPA 100ML"</f>
        <v>FRASCO REAGENTE COM TAMPA 100ML</v>
      </c>
      <c r="C11724" s="2" t="str">
        <f t="shared" si="458"/>
        <v>UN</v>
      </c>
      <c r="D11724" s="7">
        <v>406</v>
      </c>
      <c r="E11724" s="3">
        <v>4</v>
      </c>
      <c r="F11724" s="3">
        <v>4</v>
      </c>
      <c r="G11724" t="s">
        <v>514</v>
      </c>
    </row>
    <row r="11725" spans="1:7" x14ac:dyDescent="0.25">
      <c r="A11725" s="1" t="str">
        <f>"513883"</f>
        <v>513883</v>
      </c>
      <c r="B11725" s="2" t="str">
        <f>"FRASCO REAGENTE COM TAMPA 250ML"</f>
        <v>FRASCO REAGENTE COM TAMPA 250ML</v>
      </c>
      <c r="C11725" s="2" t="str">
        <f t="shared" si="458"/>
        <v>UN</v>
      </c>
      <c r="D11725" s="7">
        <v>406</v>
      </c>
      <c r="E11725" s="3">
        <v>4</v>
      </c>
      <c r="F11725" s="3">
        <v>4</v>
      </c>
      <c r="G11725" t="s">
        <v>514</v>
      </c>
    </row>
    <row r="11726" spans="1:7" x14ac:dyDescent="0.25">
      <c r="A11726" s="1" t="str">
        <f>"513516"</f>
        <v>513516</v>
      </c>
      <c r="B11726" s="2" t="str">
        <f>"FRASCO REAGENTE COM TAMPA 250ML AUTOCLAVAVEL"</f>
        <v>FRASCO REAGENTE COM TAMPA 250ML AUTOCLAVAVEL</v>
      </c>
      <c r="C11726" s="2" t="str">
        <f t="shared" si="458"/>
        <v>UN</v>
      </c>
      <c r="D11726" s="7">
        <v>406</v>
      </c>
      <c r="E11726" s="3">
        <v>4</v>
      </c>
      <c r="F11726" s="3">
        <v>4</v>
      </c>
      <c r="G11726" t="s">
        <v>514</v>
      </c>
    </row>
    <row r="11727" spans="1:7" x14ac:dyDescent="0.25">
      <c r="A11727" s="1" t="str">
        <f>"518512"</f>
        <v>518512</v>
      </c>
      <c r="B11727" s="2" t="str">
        <f>"FRASCO REAGENTE COM TAMPA 500ML"</f>
        <v>FRASCO REAGENTE COM TAMPA 500ML</v>
      </c>
      <c r="C11727" s="2" t="str">
        <f t="shared" si="458"/>
        <v>UN</v>
      </c>
      <c r="D11727" s="7">
        <v>406</v>
      </c>
      <c r="E11727" s="3">
        <v>4</v>
      </c>
      <c r="F11727" s="3">
        <v>4</v>
      </c>
      <c r="G11727" t="s">
        <v>513</v>
      </c>
    </row>
    <row r="11728" spans="1:7" x14ac:dyDescent="0.25">
      <c r="A11728" s="1" t="str">
        <f>"522112"</f>
        <v>522112</v>
      </c>
      <c r="B11728" s="2" t="str">
        <f>"FRASCO REAGENTE GRADUADO TP AZ ROSQ AUTOCL 250ML"</f>
        <v>FRASCO REAGENTE GRADUADO TP AZ ROSQ AUTOCL 250ML</v>
      </c>
      <c r="C11728" s="2" t="str">
        <f t="shared" si="458"/>
        <v>UN</v>
      </c>
      <c r="D11728" s="7">
        <v>406</v>
      </c>
      <c r="E11728" s="3">
        <v>4</v>
      </c>
      <c r="F11728" s="3">
        <v>4</v>
      </c>
      <c r="G11728" t="s">
        <v>512</v>
      </c>
    </row>
    <row r="11729" spans="1:7" x14ac:dyDescent="0.25">
      <c r="A11729" s="1" t="str">
        <f>"522113"</f>
        <v>522113</v>
      </c>
      <c r="B11729" s="2" t="str">
        <f>"FRASCO REAGENTE GRADUADO TP AZ ROSQ AUTOCL 500ML"</f>
        <v>FRASCO REAGENTE GRADUADO TP AZ ROSQ AUTOCL 500ML</v>
      </c>
      <c r="C11729" s="2" t="str">
        <f t="shared" si="458"/>
        <v>UN</v>
      </c>
      <c r="D11729" s="7">
        <v>406</v>
      </c>
      <c r="E11729" s="3">
        <v>4</v>
      </c>
      <c r="F11729" s="3">
        <v>4</v>
      </c>
      <c r="G11729" t="s">
        <v>513</v>
      </c>
    </row>
    <row r="11730" spans="1:7" x14ac:dyDescent="0.25">
      <c r="A11730" s="1" t="str">
        <f>"527630"</f>
        <v>527630</v>
      </c>
      <c r="B11730" s="2" t="str">
        <f>"FRASCO REAGENTE PP NALGON BOCA LARGA S/ GRADUAÇÃO 250 ML"</f>
        <v>FRASCO REAGENTE PP NALGON BOCA LARGA S/ GRADUAÇÃO 250 ML</v>
      </c>
      <c r="C11730" s="2" t="str">
        <f t="shared" si="458"/>
        <v>UN</v>
      </c>
      <c r="D11730" s="7">
        <v>406</v>
      </c>
      <c r="E11730" s="3">
        <v>4</v>
      </c>
      <c r="F11730" s="3">
        <v>4</v>
      </c>
      <c r="G11730" t="s">
        <v>514</v>
      </c>
    </row>
    <row r="11731" spans="1:7" x14ac:dyDescent="0.25">
      <c r="A11731" s="1" t="str">
        <f>"522489"</f>
        <v>522489</v>
      </c>
      <c r="B11731" s="2" t="str">
        <f>"FRASCO RECIPIENTE COM TAMPA (1 LITRO) (FOSS)"</f>
        <v>FRASCO RECIPIENTE COM TAMPA (1 LITRO) (FOSS)</v>
      </c>
      <c r="C11731" s="2" t="str">
        <f t="shared" si="458"/>
        <v>UN</v>
      </c>
      <c r="D11731" s="7">
        <v>406</v>
      </c>
      <c r="E11731" s="3">
        <v>4</v>
      </c>
      <c r="F11731" s="3">
        <v>4</v>
      </c>
      <c r="G11731" t="s">
        <v>514</v>
      </c>
    </row>
    <row r="11732" spans="1:7" x14ac:dyDescent="0.25">
      <c r="A11732" s="1" t="str">
        <f>"522040"</f>
        <v>522040</v>
      </c>
      <c r="B11732" s="2" t="str">
        <f>"FRASCO VIDRO 100ML AMBAR ROSCA 24MM TP PLASTICA"</f>
        <v>FRASCO VIDRO 100ML AMBAR ROSCA 24MM TP PLASTICA</v>
      </c>
      <c r="C11732" s="2" t="str">
        <f t="shared" si="458"/>
        <v>UN</v>
      </c>
      <c r="D11732" s="7">
        <v>406</v>
      </c>
      <c r="E11732" s="3">
        <v>4</v>
      </c>
      <c r="F11732" s="3">
        <v>4</v>
      </c>
      <c r="G11732" t="s">
        <v>514</v>
      </c>
    </row>
    <row r="11733" spans="1:7" x14ac:dyDescent="0.25">
      <c r="A11733" s="1" t="str">
        <f>"524053"</f>
        <v>524053</v>
      </c>
      <c r="B11733" s="2" t="str">
        <f>"FRASCO VIDRO 30ML AMBAR TAMPA ROSCA/BATOQUE"</f>
        <v>FRASCO VIDRO 30ML AMBAR TAMPA ROSCA/BATOQUE</v>
      </c>
      <c r="C11733" s="2" t="str">
        <f t="shared" si="458"/>
        <v>UN</v>
      </c>
      <c r="D11733" s="7">
        <v>406</v>
      </c>
      <c r="E11733" s="3">
        <v>4</v>
      </c>
      <c r="F11733" s="3">
        <v>4</v>
      </c>
      <c r="G11733" t="s">
        <v>513</v>
      </c>
    </row>
    <row r="11734" spans="1:7" x14ac:dyDescent="0.25">
      <c r="A11734" s="1" t="str">
        <f>"518239"</f>
        <v>518239</v>
      </c>
      <c r="B11734" s="2" t="str">
        <f>"FRASQUEIRA MAQUIAGEM PEQUENA MARIANA"</f>
        <v>FRASQUEIRA MAQUIAGEM PEQUENA MARIANA</v>
      </c>
      <c r="C11734" s="2" t="str">
        <f t="shared" si="458"/>
        <v>UN</v>
      </c>
      <c r="D11734" s="7">
        <v>817</v>
      </c>
      <c r="E11734" s="3">
        <v>4</v>
      </c>
      <c r="F11734" s="3">
        <v>4</v>
      </c>
      <c r="G11734" t="s">
        <v>513</v>
      </c>
    </row>
    <row r="11735" spans="1:7" x14ac:dyDescent="0.25">
      <c r="A11735" s="1" t="str">
        <f>"520801"</f>
        <v>520801</v>
      </c>
      <c r="B11735" s="2" t="str">
        <f>"FREEZER AÇO INOX 1500X800X2100MM"</f>
        <v>FREEZER AÇO INOX 1500X800X2100MM</v>
      </c>
      <c r="C11735" s="2" t="str">
        <f t="shared" si="458"/>
        <v>UN</v>
      </c>
      <c r="D11735" s="7">
        <v>99999</v>
      </c>
      <c r="E11735" s="3">
        <v>99</v>
      </c>
      <c r="F11735" s="3">
        <v>99</v>
      </c>
      <c r="G11735" t="s">
        <v>513</v>
      </c>
    </row>
    <row r="11736" spans="1:7" x14ac:dyDescent="0.25">
      <c r="A11736" s="1" t="str">
        <f>"514981"</f>
        <v>514981</v>
      </c>
      <c r="B11736" s="2" t="str">
        <f>"FREEZER CHB 53 CONSUL"</f>
        <v>FREEZER CHB 53 CONSUL</v>
      </c>
      <c r="C11736" s="2" t="str">
        <f t="shared" si="458"/>
        <v>UN</v>
      </c>
      <c r="D11736" s="7">
        <v>900</v>
      </c>
      <c r="E11736" s="3">
        <v>13</v>
      </c>
      <c r="F11736" s="3">
        <v>13</v>
      </c>
      <c r="G11736" t="s">
        <v>512</v>
      </c>
    </row>
    <row r="11737" spans="1:7" x14ac:dyDescent="0.25">
      <c r="A11737" s="1" t="str">
        <f>"522775"</f>
        <v>522775</v>
      </c>
      <c r="B11737" s="2" t="str">
        <f>"FREEZER CONSUL COMPACTO 66 220V"</f>
        <v>FREEZER CONSUL COMPACTO 66 220V</v>
      </c>
      <c r="C11737" s="2" t="str">
        <f t="shared" si="458"/>
        <v>UN</v>
      </c>
      <c r="D11737" s="7">
        <v>1300</v>
      </c>
      <c r="E11737" s="3">
        <v>13</v>
      </c>
      <c r="F11737" s="3">
        <v>13</v>
      </c>
      <c r="G11737" t="s">
        <v>513</v>
      </c>
    </row>
    <row r="11738" spans="1:7" x14ac:dyDescent="0.25">
      <c r="A11738" s="1" t="str">
        <f>"522582"</f>
        <v>522582</v>
      </c>
      <c r="B11738" s="2" t="str">
        <f>"FREEZER DUPLA AÇÃO DA550"</f>
        <v>FREEZER DUPLA AÇÃO DA550</v>
      </c>
      <c r="C11738" s="2" t="str">
        <f t="shared" si="458"/>
        <v>UN</v>
      </c>
      <c r="D11738" s="7">
        <v>910</v>
      </c>
      <c r="E11738" s="3">
        <v>13</v>
      </c>
      <c r="F11738" s="3">
        <v>13</v>
      </c>
      <c r="G11738" t="s">
        <v>514</v>
      </c>
    </row>
    <row r="11739" spans="1:7" x14ac:dyDescent="0.25">
      <c r="A11739" s="1" t="str">
        <f>"516622"</f>
        <v>516622</v>
      </c>
      <c r="B11739" s="2" t="str">
        <f>"FREEZER FAST FROST VT307"</f>
        <v>FREEZER FAST FROST VT307</v>
      </c>
      <c r="C11739" s="2" t="str">
        <f t="shared" si="458"/>
        <v>UN</v>
      </c>
      <c r="D11739" s="7">
        <v>1300</v>
      </c>
      <c r="E11739" s="3">
        <v>13</v>
      </c>
      <c r="F11739" s="3">
        <v>13</v>
      </c>
      <c r="G11739" t="s">
        <v>515</v>
      </c>
    </row>
    <row r="11740" spans="1:7" x14ac:dyDescent="0.25">
      <c r="A11740" s="1" t="str">
        <f>"522392"</f>
        <v>522392</v>
      </c>
      <c r="B11740" s="2" t="str">
        <f>"FREEZER HORIZONTAL H-50 CL400"</f>
        <v>FREEZER HORIZONTAL H-50 CL400</v>
      </c>
      <c r="C11740" s="2" t="str">
        <f t="shared" si="458"/>
        <v>UN</v>
      </c>
      <c r="D11740" s="7">
        <v>1500</v>
      </c>
      <c r="E11740" s="3">
        <v>13</v>
      </c>
      <c r="F11740" s="3">
        <v>13</v>
      </c>
      <c r="G11740" t="s">
        <v>512</v>
      </c>
    </row>
    <row r="11741" spans="1:7" x14ac:dyDescent="0.25">
      <c r="A11741" s="1" t="str">
        <f>"511858"</f>
        <v>511858</v>
      </c>
      <c r="B11741" s="2" t="str">
        <f>"FREEZER HORIZONTAL THC 8.032"</f>
        <v>FREEZER HORIZONTAL THC 8.032</v>
      </c>
      <c r="C11741" s="2" t="str">
        <f t="shared" si="458"/>
        <v>UN</v>
      </c>
      <c r="D11741" s="7">
        <v>402</v>
      </c>
      <c r="E11741" s="3">
        <v>4</v>
      </c>
      <c r="F11741" s="3">
        <v>4</v>
      </c>
      <c r="G11741" t="s">
        <v>516</v>
      </c>
    </row>
    <row r="11742" spans="1:7" x14ac:dyDescent="0.25">
      <c r="A11742" s="1" t="str">
        <f>"518460"</f>
        <v>518460</v>
      </c>
      <c r="B11742" s="2" t="str">
        <f>"FREEZER MOD. VT217 280LTS"</f>
        <v>FREEZER MOD. VT217 280LTS</v>
      </c>
      <c r="C11742" s="2" t="str">
        <f t="shared" si="458"/>
        <v>UN</v>
      </c>
      <c r="D11742" s="7">
        <v>1200</v>
      </c>
      <c r="E11742" s="3">
        <v>10</v>
      </c>
      <c r="F11742" s="3">
        <v>10</v>
      </c>
      <c r="G11742" t="s">
        <v>515</v>
      </c>
    </row>
    <row r="11743" spans="1:7" x14ac:dyDescent="0.25">
      <c r="A11743" s="1" t="str">
        <f>"514253"</f>
        <v>514253</v>
      </c>
      <c r="B11743" s="2" t="str">
        <f>"FREEZER VENERE GI TROP 60HZ L135-1969"</f>
        <v>FREEZER VENERE GI TROP 60HZ L135-1969</v>
      </c>
      <c r="C11743" s="2" t="str">
        <f t="shared" si="458"/>
        <v>UN</v>
      </c>
      <c r="D11743" s="7">
        <v>1300</v>
      </c>
      <c r="E11743" s="3">
        <v>13</v>
      </c>
      <c r="F11743" s="3">
        <v>13</v>
      </c>
      <c r="G11743" t="s">
        <v>514</v>
      </c>
    </row>
    <row r="11744" spans="1:7" x14ac:dyDescent="0.25">
      <c r="A11744" s="1" t="str">
        <f>"520580"</f>
        <v>520580</v>
      </c>
      <c r="B11744" s="2" t="str">
        <f>"FREEZER VERTICAL  CL 200-80 CAP. 202 LITROS (COLDLAB)"</f>
        <v>FREEZER VERTICAL  CL 200-80 CAP. 202 LITROS (COLDLAB)</v>
      </c>
      <c r="C11744" s="2" t="str">
        <f t="shared" si="458"/>
        <v>UN</v>
      </c>
      <c r="D11744" s="7">
        <v>1500</v>
      </c>
      <c r="E11744" s="3">
        <v>13</v>
      </c>
      <c r="F11744" s="3">
        <v>13</v>
      </c>
      <c r="G11744" t="s">
        <v>512</v>
      </c>
    </row>
    <row r="11745" spans="1:7" x14ac:dyDescent="0.25">
      <c r="A11745" s="1" t="str">
        <f>"511857"</f>
        <v>511857</v>
      </c>
      <c r="B11745" s="2" t="str">
        <f>"FREEZER VERTICAL GTPC-575 DE 577LTS 220V"</f>
        <v>FREEZER VERTICAL GTPC-575 DE 577LTS 220V</v>
      </c>
      <c r="C11745" s="2" t="str">
        <f t="shared" si="458"/>
        <v>UN</v>
      </c>
      <c r="D11745" s="7">
        <v>910</v>
      </c>
      <c r="E11745" s="3">
        <v>10</v>
      </c>
      <c r="F11745" s="3">
        <v>10</v>
      </c>
      <c r="G11745" t="s">
        <v>513</v>
      </c>
    </row>
    <row r="11746" spans="1:7" x14ac:dyDescent="0.25">
      <c r="A11746" s="1" t="str">
        <f>"522105"</f>
        <v>522105</v>
      </c>
      <c r="B11746" s="2" t="str">
        <f>"FREEZER VESTFROST VT327"</f>
        <v>FREEZER VESTFROST VT327</v>
      </c>
      <c r="C11746" s="2" t="str">
        <f t="shared" si="458"/>
        <v>UN</v>
      </c>
      <c r="D11746" s="7">
        <v>1300</v>
      </c>
      <c r="E11746" s="3">
        <v>13</v>
      </c>
      <c r="F11746" s="3">
        <v>13</v>
      </c>
      <c r="G11746" t="s">
        <v>514</v>
      </c>
    </row>
    <row r="11747" spans="1:7" x14ac:dyDescent="0.25">
      <c r="A11747" s="1" t="str">
        <f>"528146"</f>
        <v>528146</v>
      </c>
      <c r="B11747" s="2" t="str">
        <f>"FREEZER VESTFROST VT-407"</f>
        <v>FREEZER VESTFROST VT-407</v>
      </c>
      <c r="C11747" s="2" t="str">
        <f t="shared" si="458"/>
        <v>UN</v>
      </c>
      <c r="D11747" s="7">
        <v>900</v>
      </c>
      <c r="E11747" s="3">
        <v>13</v>
      </c>
      <c r="F11747" s="3">
        <v>13</v>
      </c>
      <c r="G11747" t="s">
        <v>514</v>
      </c>
    </row>
    <row r="11748" spans="1:7" x14ac:dyDescent="0.25">
      <c r="A11748" s="1" t="str">
        <f>"516625"</f>
        <v>516625</v>
      </c>
      <c r="B11748" s="2" t="str">
        <f>"FREEZER VESTFROST VT-547 60"</f>
        <v>FREEZER VESTFROST VT-547 60</v>
      </c>
      <c r="C11748" s="2" t="str">
        <f t="shared" si="458"/>
        <v>UN</v>
      </c>
      <c r="D11748" s="7">
        <v>1300</v>
      </c>
      <c r="E11748" s="3">
        <v>13</v>
      </c>
      <c r="F11748" s="3">
        <v>13</v>
      </c>
      <c r="G11748" t="s">
        <v>512</v>
      </c>
    </row>
    <row r="11749" spans="1:7" x14ac:dyDescent="0.25">
      <c r="A11749" s="1" t="str">
        <f>"509580"</f>
        <v>509580</v>
      </c>
      <c r="B11749" s="2" t="str">
        <f>"FREIO"</f>
        <v>FREIO</v>
      </c>
      <c r="C11749" s="2" t="str">
        <f t="shared" si="458"/>
        <v>UN</v>
      </c>
      <c r="D11749" s="7">
        <v>918</v>
      </c>
      <c r="E11749" s="3">
        <v>11</v>
      </c>
      <c r="F11749" s="3">
        <v>11</v>
      </c>
      <c r="G11749" t="s">
        <v>513</v>
      </c>
    </row>
    <row r="11750" spans="1:7" x14ac:dyDescent="0.25">
      <c r="A11750" s="1" t="str">
        <f>"518268"</f>
        <v>518268</v>
      </c>
      <c r="B11750" s="2" t="str">
        <f>"FREIO 007 CS MP VD 24CC"</f>
        <v>FREIO 007 CS MP VD 24CC</v>
      </c>
      <c r="C11750" s="2" t="str">
        <f t="shared" si="458"/>
        <v>UN</v>
      </c>
      <c r="D11750" s="7">
        <v>918</v>
      </c>
      <c r="E11750" s="3">
        <v>11</v>
      </c>
      <c r="F11750" s="3">
        <v>11</v>
      </c>
      <c r="G11750" t="s">
        <v>514</v>
      </c>
    </row>
    <row r="11751" spans="1:7" x14ac:dyDescent="0.25">
      <c r="A11751" s="1" t="str">
        <f>"525981"</f>
        <v>525981</v>
      </c>
      <c r="B11751" s="2" t="str">
        <f>"FREIO BMG1 10NM230AC/96DC 0867129X"</f>
        <v>FREIO BMG1 10NM230AC/96DC 0867129X</v>
      </c>
      <c r="C11751" s="2" t="str">
        <f t="shared" si="458"/>
        <v>UN</v>
      </c>
      <c r="D11751" s="7">
        <v>811</v>
      </c>
      <c r="E11751" s="3">
        <v>10</v>
      </c>
      <c r="F11751" s="3">
        <v>10</v>
      </c>
      <c r="G11751" t="s">
        <v>514</v>
      </c>
    </row>
    <row r="11752" spans="1:7" x14ac:dyDescent="0.25">
      <c r="A11752" s="1" t="str">
        <f>"503264"</f>
        <v>503264</v>
      </c>
      <c r="B11752" s="2" t="str">
        <f>"FREIO ELETROMAGNETICO COMPLETO"</f>
        <v>FREIO ELETROMAGNETICO COMPLETO</v>
      </c>
      <c r="C11752" s="2" t="str">
        <f t="shared" si="458"/>
        <v>UN</v>
      </c>
      <c r="D11752" s="7">
        <v>900</v>
      </c>
      <c r="E11752" s="3">
        <v>11</v>
      </c>
      <c r="F11752" s="3">
        <v>11</v>
      </c>
      <c r="G11752" t="s">
        <v>514</v>
      </c>
    </row>
    <row r="11753" spans="1:7" x14ac:dyDescent="0.25">
      <c r="A11753" s="1" t="str">
        <f>"521818"</f>
        <v>521818</v>
      </c>
      <c r="B11753" s="8" t="s">
        <v>225</v>
      </c>
      <c r="C11753" s="2" t="str">
        <f t="shared" si="458"/>
        <v>UN</v>
      </c>
      <c r="D11753" s="7">
        <v>918</v>
      </c>
      <c r="E11753" s="3">
        <v>10</v>
      </c>
      <c r="F11753" s="3">
        <v>10</v>
      </c>
      <c r="G11753" t="s">
        <v>513</v>
      </c>
    </row>
    <row r="11754" spans="1:7" x14ac:dyDescent="0.25">
      <c r="A11754" s="1" t="str">
        <f>"505319"</f>
        <v>505319</v>
      </c>
      <c r="B11754" s="2" t="str">
        <f>"FREIO MOTOR"</f>
        <v>FREIO MOTOR</v>
      </c>
      <c r="C11754" s="2" t="str">
        <f t="shared" si="458"/>
        <v>UN</v>
      </c>
      <c r="D11754" s="7">
        <v>704</v>
      </c>
      <c r="E11754" s="3">
        <v>9</v>
      </c>
      <c r="F11754" s="3">
        <v>9</v>
      </c>
      <c r="G11754" t="s">
        <v>512</v>
      </c>
    </row>
    <row r="11755" spans="1:7" x14ac:dyDescent="0.25">
      <c r="A11755" s="1" t="str">
        <f>"519900"</f>
        <v>519900</v>
      </c>
      <c r="B11755" s="2" t="str">
        <f>"FREIO MOTOR 4 POLOS"</f>
        <v>FREIO MOTOR 4 POLOS</v>
      </c>
      <c r="C11755" s="2" t="str">
        <f t="shared" si="458"/>
        <v>UN</v>
      </c>
      <c r="D11755" s="7">
        <v>704</v>
      </c>
      <c r="E11755" s="3">
        <v>9</v>
      </c>
      <c r="F11755" s="3">
        <v>9</v>
      </c>
      <c r="G11755" t="s">
        <v>513</v>
      </c>
    </row>
    <row r="11756" spans="1:7" x14ac:dyDescent="0.25">
      <c r="A11756" s="1" t="str">
        <f>"514416"</f>
        <v>514416</v>
      </c>
      <c r="B11756" s="2" t="str">
        <f>"FRENTE DO PAINEL"</f>
        <v>FRENTE DO PAINEL</v>
      </c>
      <c r="C11756" s="2" t="str">
        <f>"PC"</f>
        <v>PC</v>
      </c>
      <c r="D11756" s="7">
        <v>806</v>
      </c>
      <c r="E11756" s="3">
        <v>10</v>
      </c>
      <c r="F11756" s="3">
        <v>10</v>
      </c>
      <c r="G11756" t="s">
        <v>514</v>
      </c>
    </row>
    <row r="11757" spans="1:7" x14ac:dyDescent="0.25">
      <c r="A11757" s="1" t="str">
        <f>"509699"</f>
        <v>509699</v>
      </c>
      <c r="B11757" s="2" t="str">
        <f>"FRICÇAO DA ROTU/ BAUCHCAMPOS ROTTEC PLUS"</f>
        <v>FRICÇAO DA ROTU/ BAUCHCAMPOS ROTTEC PLUS</v>
      </c>
      <c r="C11757" s="2" t="str">
        <f>"BR"</f>
        <v>BR</v>
      </c>
      <c r="D11757" s="7">
        <v>808</v>
      </c>
      <c r="E11757" s="3">
        <v>10</v>
      </c>
      <c r="F11757" s="3">
        <v>10</v>
      </c>
      <c r="G11757" t="s">
        <v>514</v>
      </c>
    </row>
    <row r="11758" spans="1:7" x14ac:dyDescent="0.25">
      <c r="A11758" s="1" t="str">
        <f>"519791"</f>
        <v>519791</v>
      </c>
      <c r="B11758" s="2" t="str">
        <f>"FRIGIDEIRA ALUMINIO PEQUENA"</f>
        <v>FRIGIDEIRA ALUMINIO PEQUENA</v>
      </c>
      <c r="C11758" s="2" t="str">
        <f t="shared" ref="C11758:C11789" si="459">"UN"</f>
        <v>UN</v>
      </c>
      <c r="D11758" s="7">
        <v>99999</v>
      </c>
      <c r="E11758" s="3">
        <v>99</v>
      </c>
      <c r="F11758" s="3">
        <v>99</v>
      </c>
      <c r="G11758" t="s">
        <v>514</v>
      </c>
    </row>
    <row r="11759" spans="1:7" x14ac:dyDescent="0.25">
      <c r="A11759" s="1" t="str">
        <f>"526429"</f>
        <v>526429</v>
      </c>
      <c r="B11759" s="2" t="str">
        <f>"FRIGO PAINEL - PIR 70MM"</f>
        <v>FRIGO PAINEL - PIR 70MM</v>
      </c>
      <c r="C11759" s="2" t="str">
        <f t="shared" si="459"/>
        <v>UN</v>
      </c>
      <c r="D11759" s="7">
        <v>803</v>
      </c>
      <c r="E11759" s="3">
        <v>10</v>
      </c>
      <c r="F11759" s="3">
        <v>10</v>
      </c>
      <c r="G11759" t="s">
        <v>513</v>
      </c>
    </row>
    <row r="11760" spans="1:7" x14ac:dyDescent="0.25">
      <c r="A11760" s="1" t="str">
        <f>"515343"</f>
        <v>515343</v>
      </c>
      <c r="B11760" s="2" t="str">
        <f>"FRIGOBAR 47 LT 220V"</f>
        <v>FRIGOBAR 47 LT 220V</v>
      </c>
      <c r="C11760" s="2" t="str">
        <f t="shared" si="459"/>
        <v>UN</v>
      </c>
      <c r="D11760" s="7">
        <v>900</v>
      </c>
      <c r="E11760" s="3">
        <v>4</v>
      </c>
      <c r="F11760" s="3">
        <v>4</v>
      </c>
      <c r="G11760" t="s">
        <v>513</v>
      </c>
    </row>
    <row r="11761" spans="1:7" x14ac:dyDescent="0.25">
      <c r="A11761" s="1" t="str">
        <f>"513607"</f>
        <v>513607</v>
      </c>
      <c r="B11761" s="2" t="str">
        <f>"FRISO CASCA DE COBRA GALAO DE ACABAMENTO"</f>
        <v>FRISO CASCA DE COBRA GALAO DE ACABAMENTO</v>
      </c>
      <c r="C11761" s="2" t="str">
        <f t="shared" si="459"/>
        <v>UN</v>
      </c>
      <c r="D11761" s="7">
        <v>918</v>
      </c>
      <c r="E11761" s="3">
        <v>11</v>
      </c>
      <c r="F11761" s="3">
        <v>11</v>
      </c>
      <c r="G11761" t="s">
        <v>513</v>
      </c>
    </row>
    <row r="11762" spans="1:7" x14ac:dyDescent="0.25">
      <c r="A11762" s="1" t="str">
        <f>"514339"</f>
        <v>514339</v>
      </c>
      <c r="B11762" s="2" t="str">
        <f>"FRISO DE VEDACAO"</f>
        <v>FRISO DE VEDACAO</v>
      </c>
      <c r="C11762" s="2" t="str">
        <f t="shared" si="459"/>
        <v>UN</v>
      </c>
      <c r="D11762" s="7">
        <v>704</v>
      </c>
      <c r="E11762" s="3">
        <v>9</v>
      </c>
      <c r="F11762" s="3">
        <v>9</v>
      </c>
      <c r="G11762" t="s">
        <v>512</v>
      </c>
    </row>
    <row r="11763" spans="1:7" x14ac:dyDescent="0.25">
      <c r="A11763" s="1" t="str">
        <f>"515091"</f>
        <v>515091</v>
      </c>
      <c r="B11763" s="2" t="str">
        <f>"FRIZADEIRA MANUAL P/ CHAPA"</f>
        <v>FRIZADEIRA MANUAL P/ CHAPA</v>
      </c>
      <c r="C11763" s="2" t="str">
        <f t="shared" si="459"/>
        <v>UN</v>
      </c>
      <c r="D11763" s="7">
        <v>817</v>
      </c>
      <c r="E11763" s="3">
        <v>13</v>
      </c>
      <c r="F11763" s="3">
        <v>13</v>
      </c>
      <c r="G11763" t="s">
        <v>513</v>
      </c>
    </row>
    <row r="11764" spans="1:7" x14ac:dyDescent="0.25">
      <c r="A11764" s="1" t="str">
        <f>"514291"</f>
        <v>514291</v>
      </c>
      <c r="B11764" s="2" t="str">
        <f>"FRIZO REMATE DA GRADE"</f>
        <v>FRIZO REMATE DA GRADE</v>
      </c>
      <c r="C11764" s="2" t="str">
        <f t="shared" si="459"/>
        <v>UN</v>
      </c>
      <c r="D11764" s="7">
        <v>704</v>
      </c>
      <c r="E11764" s="3">
        <v>9</v>
      </c>
      <c r="F11764" s="3">
        <v>9</v>
      </c>
      <c r="G11764" t="s">
        <v>514</v>
      </c>
    </row>
    <row r="11765" spans="1:7" x14ac:dyDescent="0.25">
      <c r="A11765" s="1" t="str">
        <f>"522716"</f>
        <v>522716</v>
      </c>
      <c r="B11765" s="2" t="str">
        <f>"FTIR EQUALIZER (CAIXA COM 6 FRASCOS DE 100 ML CADA)"</f>
        <v>FTIR EQUALIZER (CAIXA COM 6 FRASCOS DE 100 ML CADA)</v>
      </c>
      <c r="C11765" s="2" t="str">
        <f t="shared" si="459"/>
        <v>UN</v>
      </c>
      <c r="D11765" s="7">
        <v>406</v>
      </c>
      <c r="E11765" s="3">
        <v>4</v>
      </c>
      <c r="F11765" s="3">
        <v>4</v>
      </c>
      <c r="G11765" t="s">
        <v>515</v>
      </c>
    </row>
    <row r="11766" spans="1:7" x14ac:dyDescent="0.25">
      <c r="A11766" s="1" t="str">
        <f>"514605"</f>
        <v>514605</v>
      </c>
      <c r="B11766" s="2" t="str">
        <f>"FUBA ZAELI"</f>
        <v>FUBA ZAELI</v>
      </c>
      <c r="C11766" s="2" t="str">
        <f t="shared" si="459"/>
        <v>UN</v>
      </c>
      <c r="D11766" s="7">
        <v>401</v>
      </c>
      <c r="E11766" s="3">
        <v>4</v>
      </c>
      <c r="F11766" s="3">
        <v>4</v>
      </c>
      <c r="G11766" t="s">
        <v>512</v>
      </c>
    </row>
    <row r="11767" spans="1:7" x14ac:dyDescent="0.25">
      <c r="A11767" s="1" t="str">
        <f>"518497"</f>
        <v>518497</v>
      </c>
      <c r="B11767" s="2" t="str">
        <f>"FUCHARIO"</f>
        <v>FUCHARIO</v>
      </c>
      <c r="C11767" s="2" t="str">
        <f t="shared" si="459"/>
        <v>UN</v>
      </c>
      <c r="D11767" s="7">
        <v>401</v>
      </c>
      <c r="E11767" s="3">
        <v>4</v>
      </c>
      <c r="F11767" s="3">
        <v>4</v>
      </c>
      <c r="G11767" t="s">
        <v>516</v>
      </c>
    </row>
    <row r="11768" spans="1:7" x14ac:dyDescent="0.25">
      <c r="A11768" s="1" t="str">
        <f>"513145"</f>
        <v>513145</v>
      </c>
      <c r="B11768" s="2" t="str">
        <f>"FUCINHO MANCAL"</f>
        <v>FUCINHO MANCAL</v>
      </c>
      <c r="C11768" s="2" t="str">
        <f t="shared" si="459"/>
        <v>UN</v>
      </c>
      <c r="D11768" s="7">
        <v>704</v>
      </c>
      <c r="E11768" s="3">
        <v>9</v>
      </c>
      <c r="F11768" s="3">
        <v>9</v>
      </c>
      <c r="G11768" t="s">
        <v>515</v>
      </c>
    </row>
    <row r="11769" spans="1:7" x14ac:dyDescent="0.25">
      <c r="A11769" s="1" t="str">
        <f>"514868"</f>
        <v>514868</v>
      </c>
      <c r="B11769" s="2" t="str">
        <f>"FUCSINA DE ZIEHL"</f>
        <v>FUCSINA DE ZIEHL</v>
      </c>
      <c r="C11769" s="2" t="str">
        <f t="shared" si="459"/>
        <v>UN</v>
      </c>
      <c r="D11769" s="7">
        <v>406</v>
      </c>
      <c r="E11769" s="3">
        <v>4</v>
      </c>
      <c r="F11769" s="3">
        <v>4</v>
      </c>
      <c r="G11769" t="s">
        <v>514</v>
      </c>
    </row>
    <row r="11770" spans="1:7" x14ac:dyDescent="0.25">
      <c r="A11770" s="1" t="str">
        <f>"518677"</f>
        <v>518677</v>
      </c>
      <c r="B11770" s="2" t="str">
        <f>"FUNDO CONVERTEDOR FERRUGEM 1LT"</f>
        <v>FUNDO CONVERTEDOR FERRUGEM 1LT</v>
      </c>
      <c r="C11770" s="2" t="str">
        <f t="shared" si="459"/>
        <v>UN</v>
      </c>
      <c r="D11770" s="7">
        <v>918</v>
      </c>
      <c r="E11770" s="3">
        <v>4</v>
      </c>
      <c r="F11770" s="3">
        <v>4</v>
      </c>
      <c r="G11770" t="s">
        <v>512</v>
      </c>
    </row>
    <row r="11771" spans="1:7" x14ac:dyDescent="0.25">
      <c r="A11771" s="1" t="str">
        <f>"515120"</f>
        <v>515120</v>
      </c>
      <c r="B11771" s="2" t="str">
        <f>"FUNDO DE CAIXA PARA EMBALAGEM"</f>
        <v>FUNDO DE CAIXA PARA EMBALAGEM</v>
      </c>
      <c r="C11771" s="2" t="str">
        <f t="shared" si="459"/>
        <v>UN</v>
      </c>
      <c r="D11771" s="7">
        <v>301</v>
      </c>
      <c r="E11771" s="3">
        <v>1</v>
      </c>
      <c r="F11771" s="3">
        <v>1</v>
      </c>
      <c r="G11771" t="s">
        <v>513</v>
      </c>
    </row>
    <row r="11772" spans="1:7" x14ac:dyDescent="0.25">
      <c r="A11772" s="1" t="str">
        <f>"513963"</f>
        <v>513963</v>
      </c>
      <c r="B11772" s="2" t="str">
        <f>"FUNDO EPOXI CINZA N6.5 CLARO MAZA-295"</f>
        <v>FUNDO EPOXI CINZA N6.5 CLARO MAZA-295</v>
      </c>
      <c r="C11772" s="2" t="str">
        <f t="shared" si="459"/>
        <v>UN</v>
      </c>
      <c r="D11772" s="7">
        <v>804</v>
      </c>
      <c r="E11772" s="3">
        <v>99</v>
      </c>
      <c r="F11772" s="3">
        <v>99</v>
      </c>
      <c r="G11772" t="s">
        <v>514</v>
      </c>
    </row>
    <row r="11773" spans="1:7" x14ac:dyDescent="0.25">
      <c r="A11773" s="1" t="str">
        <f>"519943"</f>
        <v>519943</v>
      </c>
      <c r="B11773" s="2" t="str">
        <f>"FUNDO FOSFOTIZANTE P/ REPINTURA AUTOMOTIVA 600ML"</f>
        <v>FUNDO FOSFOTIZANTE P/ REPINTURA AUTOMOTIVA 600ML</v>
      </c>
      <c r="C11773" s="2" t="str">
        <f t="shared" si="459"/>
        <v>UN</v>
      </c>
      <c r="D11773" s="7">
        <v>403</v>
      </c>
      <c r="E11773" s="3">
        <v>4</v>
      </c>
      <c r="F11773" s="3">
        <v>4</v>
      </c>
      <c r="G11773" t="s">
        <v>514</v>
      </c>
    </row>
    <row r="11774" spans="1:7" x14ac:dyDescent="0.25">
      <c r="A11774" s="1" t="str">
        <f>"515934"</f>
        <v>515934</v>
      </c>
      <c r="B11774" s="2" t="str">
        <f>"FUNDO P/ EPOXI 3600LT"</f>
        <v>FUNDO P/ EPOXI 3600LT</v>
      </c>
      <c r="C11774" s="2" t="str">
        <f t="shared" si="459"/>
        <v>UN</v>
      </c>
      <c r="D11774" s="7">
        <v>99999</v>
      </c>
      <c r="E11774" s="3">
        <v>99</v>
      </c>
      <c r="F11774" s="3">
        <v>99</v>
      </c>
      <c r="G11774" t="s">
        <v>512</v>
      </c>
    </row>
    <row r="11775" spans="1:7" x14ac:dyDescent="0.25">
      <c r="A11775" s="1" t="str">
        <f>"518558"</f>
        <v>518558</v>
      </c>
      <c r="B11775" s="2" t="str">
        <f>"FUNDO P/ GALVANIZADO 0,900LT"</f>
        <v>FUNDO P/ GALVANIZADO 0,900LT</v>
      </c>
      <c r="C11775" s="2" t="str">
        <f t="shared" si="459"/>
        <v>UN</v>
      </c>
      <c r="D11775" s="7">
        <v>804</v>
      </c>
      <c r="E11775" s="3">
        <v>10</v>
      </c>
      <c r="F11775" s="3">
        <v>10</v>
      </c>
      <c r="G11775" t="s">
        <v>513</v>
      </c>
    </row>
    <row r="11776" spans="1:7" x14ac:dyDescent="0.25">
      <c r="A11776" s="1" t="str">
        <f>"503780"</f>
        <v>503780</v>
      </c>
      <c r="B11776" s="2" t="str">
        <f>"FUNDO P/ GALVANIZADO 3,600LT"</f>
        <v>FUNDO P/ GALVANIZADO 3,600LT</v>
      </c>
      <c r="C11776" s="2" t="str">
        <f t="shared" si="459"/>
        <v>UN</v>
      </c>
      <c r="D11776" s="7">
        <v>804</v>
      </c>
      <c r="E11776" s="3">
        <v>10</v>
      </c>
      <c r="F11776" s="3">
        <v>10</v>
      </c>
      <c r="G11776" t="s">
        <v>514</v>
      </c>
    </row>
    <row r="11777" spans="1:7" x14ac:dyDescent="0.25">
      <c r="A11777" s="1" t="str">
        <f>"525092"</f>
        <v>525092</v>
      </c>
      <c r="B11777" s="2" t="str">
        <f>"FUNDO P/ PENEIRA INOX 8X2 ALT. 2"""</f>
        <v>FUNDO P/ PENEIRA INOX 8X2 ALT. 2"</v>
      </c>
      <c r="C11777" s="2" t="str">
        <f t="shared" si="459"/>
        <v>UN</v>
      </c>
      <c r="D11777" s="7">
        <v>406</v>
      </c>
      <c r="E11777" s="3">
        <v>10</v>
      </c>
      <c r="F11777" s="3">
        <v>10</v>
      </c>
      <c r="G11777" t="s">
        <v>514</v>
      </c>
    </row>
    <row r="11778" spans="1:7" x14ac:dyDescent="0.25">
      <c r="A11778" s="1" t="str">
        <f>"516139"</f>
        <v>516139</v>
      </c>
      <c r="B11778" s="2" t="str">
        <f>"FUNDO PREPARADOR 3,600LT P/ GESSO"</f>
        <v>FUNDO PREPARADOR 3,600LT P/ GESSO</v>
      </c>
      <c r="C11778" s="2" t="str">
        <f t="shared" si="459"/>
        <v>UN</v>
      </c>
      <c r="D11778" s="7">
        <v>917</v>
      </c>
      <c r="E11778" s="3">
        <v>10</v>
      </c>
      <c r="F11778" s="3">
        <v>10</v>
      </c>
      <c r="G11778" t="s">
        <v>514</v>
      </c>
    </row>
    <row r="11779" spans="1:7" x14ac:dyDescent="0.25">
      <c r="A11779" s="1" t="str">
        <f>"527175"</f>
        <v>527175</v>
      </c>
      <c r="B11779" s="2" t="str">
        <f>"FUNDO PREPARADOR PARA AÇO CARBONO 1LT"</f>
        <v>FUNDO PREPARADOR PARA AÇO CARBONO 1LT</v>
      </c>
      <c r="C11779" s="2" t="str">
        <f t="shared" si="459"/>
        <v>UN</v>
      </c>
      <c r="D11779" s="7">
        <v>804</v>
      </c>
      <c r="E11779" s="3">
        <v>10</v>
      </c>
      <c r="F11779" s="3">
        <v>10</v>
      </c>
      <c r="G11779" t="s">
        <v>513</v>
      </c>
    </row>
    <row r="11780" spans="1:7" x14ac:dyDescent="0.25">
      <c r="A11780" s="1" t="str">
        <f>"505908"</f>
        <v>505908</v>
      </c>
      <c r="B11780" s="2" t="str">
        <f>"FUNDO WASH PRIMER AMARELO 3,600 ML"</f>
        <v>FUNDO WASH PRIMER AMARELO 3,600 ML</v>
      </c>
      <c r="C11780" s="2" t="str">
        <f t="shared" si="459"/>
        <v>UN</v>
      </c>
      <c r="D11780" s="7">
        <v>804</v>
      </c>
      <c r="E11780" s="3">
        <v>10</v>
      </c>
      <c r="F11780" s="3">
        <v>10</v>
      </c>
      <c r="G11780" t="s">
        <v>512</v>
      </c>
    </row>
    <row r="11781" spans="1:7" x14ac:dyDescent="0.25">
      <c r="A11781" s="1" t="str">
        <f>"519616"</f>
        <v>519616</v>
      </c>
      <c r="B11781" s="2" t="str">
        <f>"FUNIL 0355G"</f>
        <v>FUNIL 0355G</v>
      </c>
      <c r="C11781" s="2" t="str">
        <f t="shared" si="459"/>
        <v>UN</v>
      </c>
      <c r="D11781" s="7">
        <v>918</v>
      </c>
      <c r="E11781" s="3">
        <v>11</v>
      </c>
      <c r="F11781" s="3">
        <v>11</v>
      </c>
      <c r="G11781" t="s">
        <v>513</v>
      </c>
    </row>
    <row r="11782" spans="1:7" x14ac:dyDescent="0.25">
      <c r="A11782" s="1" t="str">
        <f>"3534"</f>
        <v>3534</v>
      </c>
      <c r="B11782" s="2" t="str">
        <f>"FUNIL ANALITICO LISO HASTE CURTA 74MM"</f>
        <v>FUNIL ANALITICO LISO HASTE CURTA 74MM</v>
      </c>
      <c r="C11782" s="2" t="str">
        <f t="shared" si="459"/>
        <v>UN</v>
      </c>
      <c r="D11782" s="7">
        <v>406</v>
      </c>
      <c r="E11782" s="3">
        <v>4</v>
      </c>
      <c r="F11782" s="3">
        <v>4</v>
      </c>
      <c r="G11782" t="s">
        <v>514</v>
      </c>
    </row>
    <row r="11783" spans="1:7" x14ac:dyDescent="0.25">
      <c r="A11783" s="1" t="str">
        <f>"511134"</f>
        <v>511134</v>
      </c>
      <c r="B11783" s="2" t="str">
        <f>"FUNIL DE VIDRO DM 100MM CAP. 125ML"</f>
        <v>FUNIL DE VIDRO DM 100MM CAP. 125ML</v>
      </c>
      <c r="C11783" s="2" t="str">
        <f t="shared" si="459"/>
        <v>UN</v>
      </c>
      <c r="D11783" s="7">
        <v>817</v>
      </c>
      <c r="E11783" s="3">
        <v>10</v>
      </c>
      <c r="F11783" s="3">
        <v>10</v>
      </c>
      <c r="G11783" t="s">
        <v>514</v>
      </c>
    </row>
    <row r="11784" spans="1:7" x14ac:dyDescent="0.25">
      <c r="A11784" s="1" t="str">
        <f>"511133"</f>
        <v>511133</v>
      </c>
      <c r="B11784" s="2" t="str">
        <f>"FUNIL DE VIDRO DM 50MM CAP. 15ML"</f>
        <v>FUNIL DE VIDRO DM 50MM CAP. 15ML</v>
      </c>
      <c r="C11784" s="2" t="str">
        <f t="shared" si="459"/>
        <v>UN</v>
      </c>
      <c r="D11784" s="7">
        <v>817</v>
      </c>
      <c r="E11784" s="3">
        <v>10</v>
      </c>
      <c r="F11784" s="3">
        <v>10</v>
      </c>
      <c r="G11784" t="s">
        <v>514</v>
      </c>
    </row>
    <row r="11785" spans="1:7" x14ac:dyDescent="0.25">
      <c r="A11785" s="1" t="str">
        <f>"515486"</f>
        <v>515486</v>
      </c>
      <c r="B11785" s="2" t="str">
        <f>"FUNIL P/ COMBUSTIVEL"</f>
        <v>FUNIL P/ COMBUSTIVEL</v>
      </c>
      <c r="C11785" s="2" t="str">
        <f t="shared" si="459"/>
        <v>UN</v>
      </c>
      <c r="D11785" s="7">
        <v>704</v>
      </c>
      <c r="E11785" s="3">
        <v>9</v>
      </c>
      <c r="F11785" s="3">
        <v>9</v>
      </c>
      <c r="G11785" t="s">
        <v>513</v>
      </c>
    </row>
    <row r="11786" spans="1:7" x14ac:dyDescent="0.25">
      <c r="A11786" s="1" t="str">
        <f>"522711"</f>
        <v>522711</v>
      </c>
      <c r="B11786" s="2" t="str">
        <f>"FUNIL PLASTICO"</f>
        <v>FUNIL PLASTICO</v>
      </c>
      <c r="C11786" s="2" t="str">
        <f t="shared" si="459"/>
        <v>UN</v>
      </c>
      <c r="D11786" s="7">
        <v>99999</v>
      </c>
      <c r="E11786" s="3">
        <v>99</v>
      </c>
      <c r="F11786" s="3">
        <v>99</v>
      </c>
      <c r="G11786" t="s">
        <v>513</v>
      </c>
    </row>
    <row r="11787" spans="1:7" x14ac:dyDescent="0.25">
      <c r="A11787" s="1" t="str">
        <f>"523796"</f>
        <v>523796</v>
      </c>
      <c r="B11787" s="2" t="str">
        <f>"FURADEIRA 110V"</f>
        <v>FURADEIRA 110V</v>
      </c>
      <c r="C11787" s="2" t="str">
        <f t="shared" si="459"/>
        <v>UN</v>
      </c>
      <c r="D11787" s="7">
        <v>99999</v>
      </c>
      <c r="E11787" s="3">
        <v>99</v>
      </c>
      <c r="F11787" s="3">
        <v>99</v>
      </c>
      <c r="G11787" t="s">
        <v>513</v>
      </c>
    </row>
    <row r="11788" spans="1:7" x14ac:dyDescent="0.25">
      <c r="A11788" s="1" t="str">
        <f>"509980"</f>
        <v>509980</v>
      </c>
      <c r="B11788" s="2" t="str">
        <f>"FURADEIRA 16MM 1050W 0-900/0-2.500RPM 220V 50/60Hz VONDER"</f>
        <v>FURADEIRA 16MM 1050W 0-900/0-2.500RPM 220V 50/60Hz VONDER</v>
      </c>
      <c r="C11788" s="2" t="str">
        <f t="shared" si="459"/>
        <v>UN</v>
      </c>
      <c r="D11788" s="7">
        <v>1500</v>
      </c>
      <c r="E11788" s="3">
        <v>13</v>
      </c>
      <c r="F11788" s="3">
        <v>13</v>
      </c>
      <c r="G11788" t="s">
        <v>512</v>
      </c>
    </row>
    <row r="11789" spans="1:7" x14ac:dyDescent="0.25">
      <c r="A11789" s="1" t="str">
        <f>"517251"</f>
        <v>517251</v>
      </c>
      <c r="B11789" s="2" t="str">
        <f>"FURADEIRA BANC FSB1 3P 0625-133"</f>
        <v>FURADEIRA BANC FSB1 3P 0625-133</v>
      </c>
      <c r="C11789" s="2" t="str">
        <f t="shared" si="459"/>
        <v>UN</v>
      </c>
      <c r="D11789" s="7">
        <v>1200</v>
      </c>
      <c r="E11789" s="3">
        <v>4</v>
      </c>
      <c r="F11789" s="3">
        <v>4</v>
      </c>
      <c r="G11789" t="s">
        <v>513</v>
      </c>
    </row>
    <row r="11790" spans="1:7" x14ac:dyDescent="0.25">
      <c r="A11790" s="1" t="str">
        <f>"517707"</f>
        <v>517707</v>
      </c>
      <c r="B11790" s="2" t="str">
        <f>"FURADEIRA BLACK&amp;DECKER 3/8 IMPACT KR505 110V"</f>
        <v>FURADEIRA BLACK&amp;DECKER 3/8 IMPACT KR505 110V</v>
      </c>
      <c r="C11790" s="2" t="str">
        <f t="shared" ref="C11790:C11811" si="460">"UN"</f>
        <v>UN</v>
      </c>
      <c r="D11790" s="7">
        <v>811</v>
      </c>
      <c r="E11790" s="3">
        <v>8</v>
      </c>
      <c r="F11790" s="3">
        <v>8</v>
      </c>
      <c r="G11790" t="s">
        <v>514</v>
      </c>
    </row>
    <row r="11791" spans="1:7" x14ac:dyDescent="0.25">
      <c r="A11791" s="1" t="str">
        <f>"517237"</f>
        <v>517237</v>
      </c>
      <c r="B11791" s="2" t="str">
        <f>"FURADEIRA BOSCH 0601126-178"</f>
        <v>FURADEIRA BOSCH 0601126-178</v>
      </c>
      <c r="C11791" s="2" t="str">
        <f t="shared" si="460"/>
        <v>UN</v>
      </c>
      <c r="D11791" s="7">
        <v>918</v>
      </c>
      <c r="E11791" s="3">
        <v>11</v>
      </c>
      <c r="F11791" s="3">
        <v>11</v>
      </c>
      <c r="G11791" t="s">
        <v>515</v>
      </c>
    </row>
    <row r="11792" spans="1:7" x14ac:dyDescent="0.25">
      <c r="A11792" s="1" t="str">
        <f>"514822"</f>
        <v>514822</v>
      </c>
      <c r="B11792" s="2" t="str">
        <f>"FURADEIRA DE COLUNA RDM-280 1F-220V MOTOMIL"</f>
        <v>FURADEIRA DE COLUNA RDM-280 1F-220V MOTOMIL</v>
      </c>
      <c r="C11792" s="2" t="str">
        <f t="shared" si="460"/>
        <v>UN</v>
      </c>
      <c r="D11792" s="7">
        <v>811</v>
      </c>
      <c r="E11792" s="3">
        <v>4</v>
      </c>
      <c r="F11792" s="3">
        <v>4</v>
      </c>
      <c r="G11792" t="s">
        <v>512</v>
      </c>
    </row>
    <row r="11793" spans="1:7" x14ac:dyDescent="0.25">
      <c r="A11793" s="1" t="str">
        <f>"517704"</f>
        <v>517704</v>
      </c>
      <c r="B11793" s="2" t="str">
        <f>"FURADEIRA DEWALT 1/2 DW505-B2 700W IMP. 220V"</f>
        <v>FURADEIRA DEWALT 1/2 DW505-B2 700W IMP. 220V</v>
      </c>
      <c r="C11793" s="2" t="str">
        <f t="shared" si="460"/>
        <v>UN</v>
      </c>
      <c r="D11793" s="7">
        <v>920</v>
      </c>
      <c r="E11793" s="3">
        <v>8</v>
      </c>
      <c r="F11793" s="3">
        <v>8</v>
      </c>
      <c r="G11793" t="s">
        <v>516</v>
      </c>
    </row>
    <row r="11794" spans="1:7" x14ac:dyDescent="0.25">
      <c r="A11794" s="1" t="str">
        <f>"517678"</f>
        <v>517678</v>
      </c>
      <c r="B11794" s="2" t="str">
        <f>"FURADEIRA IMPACTO GSB 13RE 1/2"" 220V"</f>
        <v>FURADEIRA IMPACTO GSB 13RE 1/2" 220V</v>
      </c>
      <c r="C11794" s="2" t="str">
        <f t="shared" si="460"/>
        <v>UN</v>
      </c>
      <c r="D11794" s="7">
        <v>920</v>
      </c>
      <c r="E11794" s="3">
        <v>13</v>
      </c>
      <c r="F11794" s="3">
        <v>13</v>
      </c>
      <c r="G11794" t="s">
        <v>515</v>
      </c>
    </row>
    <row r="11795" spans="1:7" x14ac:dyDescent="0.25">
      <c r="A11795" s="1" t="str">
        <f>"517679"</f>
        <v>517679</v>
      </c>
      <c r="B11795" s="2" t="str">
        <f>"FURADEIRA IMPACTO GSB 20-2RE 220V"</f>
        <v>FURADEIRA IMPACTO GSB 20-2RE 220V</v>
      </c>
      <c r="C11795" s="2" t="str">
        <f t="shared" si="460"/>
        <v>UN</v>
      </c>
      <c r="D11795" s="7">
        <v>920</v>
      </c>
      <c r="E11795" s="3">
        <v>13</v>
      </c>
      <c r="F11795" s="3">
        <v>13</v>
      </c>
      <c r="G11795" t="s">
        <v>514</v>
      </c>
    </row>
    <row r="11796" spans="1:7" x14ac:dyDescent="0.25">
      <c r="A11796" s="1" t="str">
        <f>"519015"</f>
        <v>519015</v>
      </c>
      <c r="B11796" s="2" t="str">
        <f>"FURADEIRA MAKITA 1630 1/2 HP 220V"</f>
        <v>FURADEIRA MAKITA 1630 1/2 HP 220V</v>
      </c>
      <c r="C11796" s="2" t="str">
        <f t="shared" si="460"/>
        <v>UN</v>
      </c>
      <c r="D11796" s="7">
        <v>1500</v>
      </c>
      <c r="E11796" s="3">
        <v>13</v>
      </c>
      <c r="F11796" s="3">
        <v>13</v>
      </c>
      <c r="G11796" t="s">
        <v>512</v>
      </c>
    </row>
    <row r="11797" spans="1:7" x14ac:dyDescent="0.25">
      <c r="A11797" s="1" t="str">
        <f>"519655"</f>
        <v>519655</v>
      </c>
      <c r="B11797" s="2" t="str">
        <f>"FURADEIRA MAKITA IMPACTO 5/8"" FIV. 1050F 220V"</f>
        <v>FURADEIRA MAKITA IMPACTO 5/8" FIV. 1050F 220V</v>
      </c>
      <c r="C11797" s="2" t="str">
        <f t="shared" si="460"/>
        <v>UN</v>
      </c>
      <c r="D11797" s="7">
        <v>99999</v>
      </c>
      <c r="E11797" s="3">
        <v>99</v>
      </c>
      <c r="F11797" s="3">
        <v>99</v>
      </c>
      <c r="G11797" t="s">
        <v>513</v>
      </c>
    </row>
    <row r="11798" spans="1:7" x14ac:dyDescent="0.25">
      <c r="A11798" s="1" t="str">
        <f>"512286"</f>
        <v>512286</v>
      </c>
      <c r="B11798" s="8" t="s">
        <v>34</v>
      </c>
      <c r="C11798" s="2" t="str">
        <f t="shared" si="460"/>
        <v>UN</v>
      </c>
      <c r="D11798" s="7">
        <v>1500</v>
      </c>
      <c r="E11798" s="3">
        <v>13</v>
      </c>
      <c r="F11798" s="3">
        <v>13</v>
      </c>
      <c r="G11798" t="s">
        <v>514</v>
      </c>
    </row>
    <row r="11799" spans="1:7" x14ac:dyDescent="0.25">
      <c r="A11799" s="1" t="str">
        <f>"518865"</f>
        <v>518865</v>
      </c>
      <c r="B11799" s="2" t="str">
        <f>"FURADEIRA MARTELETE HR2470 220V MAKITA"</f>
        <v>FURADEIRA MARTELETE HR2470 220V MAKITA</v>
      </c>
      <c r="C11799" s="2" t="str">
        <f t="shared" si="460"/>
        <v>UN</v>
      </c>
      <c r="D11799" s="7">
        <v>920</v>
      </c>
      <c r="E11799" s="3">
        <v>4</v>
      </c>
      <c r="F11799" s="3">
        <v>4</v>
      </c>
      <c r="G11799" t="s">
        <v>514</v>
      </c>
    </row>
    <row r="11800" spans="1:7" x14ac:dyDescent="0.25">
      <c r="A11800" s="1" t="str">
        <f>"511537"</f>
        <v>511537</v>
      </c>
      <c r="B11800" s="2" t="str">
        <f>"FURGAO IS 8,4X2,6X2,63MT ALUM.FURGAO"</f>
        <v>FURGAO IS 8,4X2,6X2,63MT ALUM.FURGAO</v>
      </c>
      <c r="C11800" s="2" t="str">
        <f t="shared" si="460"/>
        <v>UN</v>
      </c>
      <c r="D11800" s="7">
        <v>1700</v>
      </c>
      <c r="E11800" s="3">
        <v>13</v>
      </c>
      <c r="F11800" s="3">
        <v>13</v>
      </c>
      <c r="G11800" t="s">
        <v>512</v>
      </c>
    </row>
    <row r="11801" spans="1:7" x14ac:dyDescent="0.25">
      <c r="A11801" s="1" t="str">
        <f>"515548"</f>
        <v>515548</v>
      </c>
      <c r="B11801" s="2" t="str">
        <f>"FUSIVEL"</f>
        <v>FUSIVEL</v>
      </c>
      <c r="C11801" s="2" t="str">
        <f t="shared" si="460"/>
        <v>UN</v>
      </c>
      <c r="D11801" s="7">
        <v>811</v>
      </c>
      <c r="E11801" s="3">
        <v>8</v>
      </c>
      <c r="F11801" s="3">
        <v>8</v>
      </c>
      <c r="G11801" t="s">
        <v>513</v>
      </c>
    </row>
    <row r="11802" spans="1:7" x14ac:dyDescent="0.25">
      <c r="A11802" s="1" t="str">
        <f>"509734"</f>
        <v>509734</v>
      </c>
      <c r="B11802" s="2" t="str">
        <f>"FUSIVEL 400A P/ CHAVE MAX 600A"</f>
        <v>FUSIVEL 400A P/ CHAVE MAX 600A</v>
      </c>
      <c r="C11802" s="2" t="str">
        <f t="shared" si="460"/>
        <v>UN</v>
      </c>
      <c r="D11802" s="7">
        <v>811</v>
      </c>
      <c r="E11802" s="3">
        <v>10</v>
      </c>
      <c r="F11802" s="3">
        <v>10</v>
      </c>
      <c r="G11802" t="s">
        <v>514</v>
      </c>
    </row>
    <row r="11803" spans="1:7" x14ac:dyDescent="0.25">
      <c r="A11803" s="1" t="str">
        <f>"518911"</f>
        <v>518911</v>
      </c>
      <c r="B11803" s="2" t="str">
        <f>"FUSIVEL ALTA TENSÃO HH DE A.T. TIPO U6 80A 15/17,5KV 325MM2"</f>
        <v>FUSIVEL ALTA TENSÃO HH DE A.T. TIPO U6 80A 15/17,5KV 325MM2</v>
      </c>
      <c r="C11803" s="2" t="str">
        <f t="shared" si="460"/>
        <v>UN</v>
      </c>
      <c r="D11803" s="7">
        <v>811</v>
      </c>
      <c r="E11803" s="3">
        <v>8</v>
      </c>
      <c r="F11803" s="3">
        <v>8</v>
      </c>
      <c r="G11803" t="s">
        <v>514</v>
      </c>
    </row>
    <row r="11804" spans="1:7" x14ac:dyDescent="0.25">
      <c r="A11804" s="1" t="str">
        <f>"513054"</f>
        <v>513054</v>
      </c>
      <c r="B11804" s="2" t="str">
        <f>"FUSIVEL LAMINA 05A"</f>
        <v>FUSIVEL LAMINA 05A</v>
      </c>
      <c r="C11804" s="2" t="str">
        <f t="shared" si="460"/>
        <v>UN</v>
      </c>
      <c r="D11804" s="7">
        <v>99999</v>
      </c>
      <c r="E11804" s="3">
        <v>99</v>
      </c>
      <c r="F11804" s="3">
        <v>99</v>
      </c>
      <c r="G11804" t="s">
        <v>514</v>
      </c>
    </row>
    <row r="11805" spans="1:7" x14ac:dyDescent="0.25">
      <c r="A11805" s="1" t="str">
        <f>"511431"</f>
        <v>511431</v>
      </c>
      <c r="B11805" s="2" t="str">
        <f>"FUSIVEL LAMINA 10A"</f>
        <v>FUSIVEL LAMINA 10A</v>
      </c>
      <c r="C11805" s="2" t="str">
        <f t="shared" si="460"/>
        <v>UN</v>
      </c>
      <c r="D11805" s="7">
        <v>99999</v>
      </c>
      <c r="E11805" s="3">
        <v>99</v>
      </c>
      <c r="F11805" s="3">
        <v>99</v>
      </c>
      <c r="G11805" t="s">
        <v>513</v>
      </c>
    </row>
    <row r="11806" spans="1:7" x14ac:dyDescent="0.25">
      <c r="A11806" s="1" t="str">
        <f>"511429"</f>
        <v>511429</v>
      </c>
      <c r="B11806" s="2" t="str">
        <f>"FUSIVEL LAMINA 15A"</f>
        <v>FUSIVEL LAMINA 15A</v>
      </c>
      <c r="C11806" s="2" t="str">
        <f t="shared" si="460"/>
        <v>UN</v>
      </c>
      <c r="D11806" s="7">
        <v>99999</v>
      </c>
      <c r="E11806" s="3">
        <v>99</v>
      </c>
      <c r="F11806" s="3">
        <v>99</v>
      </c>
      <c r="G11806" t="s">
        <v>512</v>
      </c>
    </row>
    <row r="11807" spans="1:7" x14ac:dyDescent="0.25">
      <c r="A11807" s="1" t="str">
        <f>"508351"</f>
        <v>508351</v>
      </c>
      <c r="B11807" s="2" t="str">
        <f>"FUSIVEL LAMINA 20A"</f>
        <v>FUSIVEL LAMINA 20A</v>
      </c>
      <c r="C11807" s="2" t="str">
        <f t="shared" si="460"/>
        <v>UN</v>
      </c>
      <c r="D11807" s="7">
        <v>704</v>
      </c>
      <c r="E11807" s="3">
        <v>9</v>
      </c>
      <c r="F11807" s="3">
        <v>9</v>
      </c>
      <c r="G11807" t="s">
        <v>513</v>
      </c>
    </row>
    <row r="11808" spans="1:7" x14ac:dyDescent="0.25">
      <c r="A11808" s="1" t="str">
        <f>"519244"</f>
        <v>519244</v>
      </c>
      <c r="B11808" s="2" t="str">
        <f>"FUSIVEL LAMINA 25A"</f>
        <v>FUSIVEL LAMINA 25A</v>
      </c>
      <c r="C11808" s="2" t="str">
        <f t="shared" si="460"/>
        <v>UN</v>
      </c>
      <c r="D11808" s="7">
        <v>704</v>
      </c>
      <c r="E11808" s="3">
        <v>9</v>
      </c>
      <c r="F11808" s="3">
        <v>9</v>
      </c>
      <c r="G11808" t="s">
        <v>514</v>
      </c>
    </row>
    <row r="11809" spans="1:7" x14ac:dyDescent="0.25">
      <c r="A11809" s="1" t="str">
        <f>"511430"</f>
        <v>511430</v>
      </c>
      <c r="B11809" s="2" t="str">
        <f>"FUSIVEL LAMINA 30A"</f>
        <v>FUSIVEL LAMINA 30A</v>
      </c>
      <c r="C11809" s="2" t="str">
        <f t="shared" si="460"/>
        <v>UN</v>
      </c>
      <c r="D11809" s="7">
        <v>600</v>
      </c>
      <c r="E11809" s="3">
        <v>8</v>
      </c>
      <c r="F11809" s="3">
        <v>8</v>
      </c>
      <c r="G11809" t="s">
        <v>514</v>
      </c>
    </row>
    <row r="11810" spans="1:7" x14ac:dyDescent="0.25">
      <c r="A11810" s="1" t="str">
        <f>"519233"</f>
        <v>519233</v>
      </c>
      <c r="B11810" s="2" t="str">
        <f>"FUSIVEL LAMINA 40A"</f>
        <v>FUSIVEL LAMINA 40A</v>
      </c>
      <c r="C11810" s="2" t="str">
        <f t="shared" si="460"/>
        <v>UN</v>
      </c>
      <c r="D11810" s="7">
        <v>600</v>
      </c>
      <c r="E11810" s="3">
        <v>8</v>
      </c>
      <c r="F11810" s="3">
        <v>8</v>
      </c>
      <c r="G11810" t="s">
        <v>514</v>
      </c>
    </row>
    <row r="11811" spans="1:7" x14ac:dyDescent="0.25">
      <c r="A11811" s="1" t="str">
        <f>"519234"</f>
        <v>519234</v>
      </c>
      <c r="B11811" s="2" t="str">
        <f>"FUSIVEL LAMINA 50A"</f>
        <v>FUSIVEL LAMINA 50A</v>
      </c>
      <c r="C11811" s="2" t="str">
        <f t="shared" si="460"/>
        <v>UN</v>
      </c>
      <c r="D11811" s="7">
        <v>600</v>
      </c>
      <c r="E11811" s="3">
        <v>8</v>
      </c>
      <c r="F11811" s="3">
        <v>8</v>
      </c>
      <c r="G11811" t="s">
        <v>513</v>
      </c>
    </row>
    <row r="11812" spans="1:7" x14ac:dyDescent="0.25">
      <c r="A11812" s="1" t="str">
        <f>"509660"</f>
        <v>509660</v>
      </c>
      <c r="B11812" s="2" t="str">
        <f>"FUSIVEL NH 3NA3 824 DE 80A"</f>
        <v>FUSIVEL NH 3NA3 824 DE 80A</v>
      </c>
      <c r="C11812" s="2" t="str">
        <f>"PC"</f>
        <v>PC</v>
      </c>
      <c r="D11812" s="7">
        <v>600</v>
      </c>
      <c r="E11812" s="3">
        <v>8</v>
      </c>
      <c r="F11812" s="3">
        <v>8</v>
      </c>
      <c r="G11812" t="s">
        <v>513</v>
      </c>
    </row>
    <row r="11813" spans="1:7" x14ac:dyDescent="0.25">
      <c r="A11813" s="1" t="str">
        <f>"510402"</f>
        <v>510402</v>
      </c>
      <c r="B11813" s="2" t="str">
        <f>"FUSIVEL SIEMENS NH 3/2 630A"</f>
        <v>FUSIVEL SIEMENS NH 3/2 630A</v>
      </c>
      <c r="C11813" s="2" t="str">
        <f t="shared" ref="C11813:C11829" si="461">"UN"</f>
        <v>UN</v>
      </c>
      <c r="D11813" s="7">
        <v>600</v>
      </c>
      <c r="E11813" s="3">
        <v>8</v>
      </c>
      <c r="F11813" s="3">
        <v>8</v>
      </c>
      <c r="G11813" t="s">
        <v>513</v>
      </c>
    </row>
    <row r="11814" spans="1:7" x14ac:dyDescent="0.25">
      <c r="A11814" s="1" t="str">
        <f>"513656"</f>
        <v>513656</v>
      </c>
      <c r="B11814" s="2" t="str">
        <f>"FUSIVEL SIEMENS NH 630A 3NE1 436-0"</f>
        <v>FUSIVEL SIEMENS NH 630A 3NE1 436-0</v>
      </c>
      <c r="C11814" s="2" t="str">
        <f t="shared" si="461"/>
        <v>UN</v>
      </c>
      <c r="D11814" s="7">
        <v>900</v>
      </c>
      <c r="E11814" s="3">
        <v>11</v>
      </c>
      <c r="F11814" s="3">
        <v>11</v>
      </c>
      <c r="G11814" t="s">
        <v>512</v>
      </c>
    </row>
    <row r="11815" spans="1:7" x14ac:dyDescent="0.25">
      <c r="A11815" s="1" t="str">
        <f>"508601"</f>
        <v>508601</v>
      </c>
      <c r="B11815" s="2" t="str">
        <f>"FUSIVEL SIEMENS NH00 160A 3NA3 836"</f>
        <v>FUSIVEL SIEMENS NH00 160A 3NA3 836</v>
      </c>
      <c r="C11815" s="2" t="str">
        <f t="shared" si="461"/>
        <v>UN</v>
      </c>
      <c r="D11815" s="7">
        <v>900</v>
      </c>
      <c r="E11815" s="3">
        <v>11</v>
      </c>
      <c r="F11815" s="3">
        <v>11</v>
      </c>
      <c r="G11815" t="s">
        <v>513</v>
      </c>
    </row>
    <row r="11816" spans="1:7" x14ac:dyDescent="0.25">
      <c r="A11816" s="1" t="str">
        <f>"509661"</f>
        <v>509661</v>
      </c>
      <c r="B11816" s="2" t="str">
        <f>"FUSIVEL SIEMENS NH01 250A 3NA3 144"</f>
        <v>FUSIVEL SIEMENS NH01 250A 3NA3 144</v>
      </c>
      <c r="C11816" s="2" t="str">
        <f t="shared" si="461"/>
        <v>UN</v>
      </c>
      <c r="D11816" s="7">
        <v>600</v>
      </c>
      <c r="E11816" s="3">
        <v>8</v>
      </c>
      <c r="F11816" s="3">
        <v>8</v>
      </c>
      <c r="G11816" t="s">
        <v>514</v>
      </c>
    </row>
    <row r="11817" spans="1:7" x14ac:dyDescent="0.25">
      <c r="A11817" s="1" t="str">
        <f>"508943"</f>
        <v>508943</v>
      </c>
      <c r="B11817" s="2" t="str">
        <f>"FUSIVEL SIEMENS NH02 315A 3NE4 330-OB"</f>
        <v>FUSIVEL SIEMENS NH02 315A 3NE4 330-OB</v>
      </c>
      <c r="C11817" s="2" t="str">
        <f t="shared" si="461"/>
        <v>UN</v>
      </c>
      <c r="D11817" s="7">
        <v>900</v>
      </c>
      <c r="E11817" s="3">
        <v>11</v>
      </c>
      <c r="F11817" s="3">
        <v>11</v>
      </c>
      <c r="G11817" t="s">
        <v>515</v>
      </c>
    </row>
    <row r="11818" spans="1:7" x14ac:dyDescent="0.25">
      <c r="A11818" s="1" t="str">
        <f>"508599"</f>
        <v>508599</v>
      </c>
      <c r="B11818" s="2" t="str">
        <f>"FUSIVEL SIEMENS NH03 400A 3NA3 360"</f>
        <v>FUSIVEL SIEMENS NH03 400A 3NA3 360</v>
      </c>
      <c r="C11818" s="2" t="str">
        <f t="shared" si="461"/>
        <v>UN</v>
      </c>
      <c r="D11818" s="7">
        <v>900</v>
      </c>
      <c r="E11818" s="3">
        <v>11</v>
      </c>
      <c r="F11818" s="3">
        <v>11</v>
      </c>
      <c r="G11818" t="s">
        <v>512</v>
      </c>
    </row>
    <row r="11819" spans="1:7" x14ac:dyDescent="0.25">
      <c r="A11819" s="1" t="str">
        <f>"512864"</f>
        <v>512864</v>
      </c>
      <c r="B11819" s="2" t="str">
        <f>"FUSIVEL SIEMENS NH03 630A 3NA3 3 372"</f>
        <v>FUSIVEL SIEMENS NH03 630A 3NA3 3 372</v>
      </c>
      <c r="C11819" s="2" t="str">
        <f t="shared" si="461"/>
        <v>UN</v>
      </c>
      <c r="D11819" s="7">
        <v>900</v>
      </c>
      <c r="E11819" s="3">
        <v>11</v>
      </c>
      <c r="F11819" s="3">
        <v>11</v>
      </c>
      <c r="G11819" t="s">
        <v>516</v>
      </c>
    </row>
    <row r="11820" spans="1:7" x14ac:dyDescent="0.25">
      <c r="A11820" s="1" t="str">
        <f>"501766"</f>
        <v>501766</v>
      </c>
      <c r="B11820" s="2" t="str">
        <f>"FUTURIT AZUL DEL REY"</f>
        <v>FUTURIT AZUL DEL REY</v>
      </c>
      <c r="C11820" s="2" t="str">
        <f t="shared" si="461"/>
        <v>UN</v>
      </c>
      <c r="D11820" s="7">
        <v>403</v>
      </c>
      <c r="E11820" s="3">
        <v>4</v>
      </c>
      <c r="F11820" s="3">
        <v>4</v>
      </c>
      <c r="G11820" t="s">
        <v>515</v>
      </c>
    </row>
    <row r="11821" spans="1:7" x14ac:dyDescent="0.25">
      <c r="A11821" s="1" t="str">
        <f>"502918"</f>
        <v>502918</v>
      </c>
      <c r="B11821" s="2" t="str">
        <f>"FUTURIT PLATINA 3.6"</f>
        <v>FUTURIT PLATINA 3.6</v>
      </c>
      <c r="C11821" s="2" t="str">
        <f t="shared" si="461"/>
        <v>UN</v>
      </c>
      <c r="D11821" s="7">
        <v>403</v>
      </c>
      <c r="E11821" s="3">
        <v>4</v>
      </c>
      <c r="F11821" s="3">
        <v>4</v>
      </c>
      <c r="G11821" t="s">
        <v>514</v>
      </c>
    </row>
    <row r="11822" spans="1:7" x14ac:dyDescent="0.25">
      <c r="A11822" s="1" t="str">
        <f>"501767"</f>
        <v>501767</v>
      </c>
      <c r="B11822" s="2" t="str">
        <f>"FUTURIT ZARCAO"</f>
        <v>FUTURIT ZARCAO</v>
      </c>
      <c r="C11822" s="2" t="str">
        <f t="shared" si="461"/>
        <v>UN</v>
      </c>
      <c r="D11822" s="7">
        <v>403</v>
      </c>
      <c r="E11822" s="3">
        <v>4</v>
      </c>
      <c r="F11822" s="3">
        <v>4</v>
      </c>
      <c r="G11822" t="s">
        <v>512</v>
      </c>
    </row>
    <row r="11823" spans="1:7" x14ac:dyDescent="0.25">
      <c r="A11823" s="1" t="str">
        <f>"513985"</f>
        <v>513985</v>
      </c>
      <c r="B11823" s="2" t="str">
        <f>"FUZIVEL 250A EMPILHADEIRA TOYOTA"</f>
        <v>FUZIVEL 250A EMPILHADEIRA TOYOTA</v>
      </c>
      <c r="C11823" s="2" t="str">
        <f t="shared" si="461"/>
        <v>UN</v>
      </c>
      <c r="D11823" s="7">
        <v>600</v>
      </c>
      <c r="E11823" s="3">
        <v>8</v>
      </c>
      <c r="F11823" s="3">
        <v>8</v>
      </c>
      <c r="G11823" t="s">
        <v>513</v>
      </c>
    </row>
    <row r="11824" spans="1:7" x14ac:dyDescent="0.25">
      <c r="A11824" s="1" t="str">
        <f>"503157"</f>
        <v>503157</v>
      </c>
      <c r="B11824" s="2" t="str">
        <f>"FUZIVEL 275A TOYOTA EMPILHADEIRA FBRE15"</f>
        <v>FUZIVEL 275A TOYOTA EMPILHADEIRA FBRE15</v>
      </c>
      <c r="C11824" s="2" t="str">
        <f t="shared" si="461"/>
        <v>UN</v>
      </c>
      <c r="D11824" s="7">
        <v>600</v>
      </c>
      <c r="E11824" s="3">
        <v>8</v>
      </c>
      <c r="F11824" s="3">
        <v>8</v>
      </c>
      <c r="G11824" t="s">
        <v>514</v>
      </c>
    </row>
    <row r="11825" spans="1:7" x14ac:dyDescent="0.25">
      <c r="A11825" s="1" t="str">
        <f>"504093"</f>
        <v>504093</v>
      </c>
      <c r="B11825" s="2" t="str">
        <f>"FUZIVEL CARTUCHO LOUÇA 08X30MM 2A 500V"</f>
        <v>FUZIVEL CARTUCHO LOUÇA 08X30MM 2A 500V</v>
      </c>
      <c r="C11825" s="2" t="str">
        <f t="shared" si="461"/>
        <v>UN</v>
      </c>
      <c r="D11825" s="7">
        <v>600</v>
      </c>
      <c r="E11825" s="3">
        <v>8</v>
      </c>
      <c r="F11825" s="3">
        <v>8</v>
      </c>
      <c r="G11825" t="s">
        <v>514</v>
      </c>
    </row>
    <row r="11826" spans="1:7" x14ac:dyDescent="0.25">
      <c r="A11826" s="1" t="str">
        <f>"500894"</f>
        <v>500894</v>
      </c>
      <c r="B11826" s="2" t="str">
        <f>"FUZIVEL CARTUCHO LOUÇA 10X38MM 10A 500V"</f>
        <v>FUZIVEL CARTUCHO LOUÇA 10X38MM 10A 500V</v>
      </c>
      <c r="C11826" s="2" t="str">
        <f t="shared" si="461"/>
        <v>UN</v>
      </c>
      <c r="D11826" s="7">
        <v>600</v>
      </c>
      <c r="E11826" s="3">
        <v>8</v>
      </c>
      <c r="F11826" s="3">
        <v>8</v>
      </c>
      <c r="G11826" t="s">
        <v>512</v>
      </c>
    </row>
    <row r="11827" spans="1:7" x14ac:dyDescent="0.25">
      <c r="A11827" s="1" t="str">
        <f>"500893"</f>
        <v>500893</v>
      </c>
      <c r="B11827" s="2" t="str">
        <f>"FUZIVEL CARTUCHO LOUÇA 10X38MM 16A 500V"</f>
        <v>FUZIVEL CARTUCHO LOUÇA 10X38MM 16A 500V</v>
      </c>
      <c r="C11827" s="2" t="str">
        <f t="shared" si="461"/>
        <v>UN</v>
      </c>
      <c r="D11827" s="7">
        <v>600</v>
      </c>
      <c r="E11827" s="3">
        <v>8</v>
      </c>
      <c r="F11827" s="3">
        <v>8</v>
      </c>
      <c r="G11827" t="s">
        <v>513</v>
      </c>
    </row>
    <row r="11828" spans="1:7" x14ac:dyDescent="0.25">
      <c r="A11828" s="1" t="str">
        <f>"500892"</f>
        <v>500892</v>
      </c>
      <c r="B11828" s="2" t="str">
        <f>"FUZIVEL CARTUCHO LOUÇA 10X38MM 20A 500V"</f>
        <v>FUZIVEL CARTUCHO LOUÇA 10X38MM 20A 500V</v>
      </c>
      <c r="C11828" s="2" t="str">
        <f t="shared" si="461"/>
        <v>UN</v>
      </c>
      <c r="D11828" s="7">
        <v>600</v>
      </c>
      <c r="E11828" s="3">
        <v>8</v>
      </c>
      <c r="F11828" s="3">
        <v>8</v>
      </c>
      <c r="G11828" t="s">
        <v>514</v>
      </c>
    </row>
    <row r="11829" spans="1:7" x14ac:dyDescent="0.25">
      <c r="A11829" s="1" t="str">
        <f>"500843"</f>
        <v>500843</v>
      </c>
      <c r="B11829" s="2" t="str">
        <f>"FUZIVEL CARTUCHO LOUÇA 10X38MM 25A 600V"</f>
        <v>FUZIVEL CARTUCHO LOUÇA 10X38MM 25A 600V</v>
      </c>
      <c r="C11829" s="2" t="str">
        <f t="shared" si="461"/>
        <v>UN</v>
      </c>
      <c r="D11829" s="7">
        <v>600</v>
      </c>
      <c r="E11829" s="3">
        <v>8</v>
      </c>
      <c r="F11829" s="3">
        <v>8</v>
      </c>
      <c r="G11829" t="s">
        <v>514</v>
      </c>
    </row>
    <row r="11830" spans="1:7" x14ac:dyDescent="0.25">
      <c r="A11830" s="1" t="str">
        <f>"501232"</f>
        <v>501232</v>
      </c>
      <c r="B11830" s="2" t="str">
        <f>"FUZIVEL CARTUCHO LOUÇA 10X38MM 30A 500V"</f>
        <v>FUZIVEL CARTUCHO LOUÇA 10X38MM 30A 500V</v>
      </c>
      <c r="C11830" s="2" t="str">
        <f>"PC"</f>
        <v>PC</v>
      </c>
      <c r="D11830" s="7">
        <v>600</v>
      </c>
      <c r="E11830" s="3">
        <v>8</v>
      </c>
      <c r="F11830" s="3">
        <v>8</v>
      </c>
      <c r="G11830" t="s">
        <v>514</v>
      </c>
    </row>
    <row r="11831" spans="1:7" x14ac:dyDescent="0.25">
      <c r="A11831" s="1" t="str">
        <f>"525489"</f>
        <v>525489</v>
      </c>
      <c r="B11831" s="2" t="str">
        <f>"FUZIVEL CARTUCHO PAPEL 14X51MM 40A 80ka 500V"</f>
        <v>FUZIVEL CARTUCHO PAPEL 14X51MM 40A 80ka 500V</v>
      </c>
      <c r="C11831" s="2" t="str">
        <f>"PC"</f>
        <v>PC</v>
      </c>
      <c r="D11831" s="7">
        <v>600</v>
      </c>
      <c r="E11831" s="3">
        <v>8</v>
      </c>
      <c r="F11831" s="3">
        <v>8</v>
      </c>
      <c r="G11831" t="s">
        <v>513</v>
      </c>
    </row>
    <row r="11832" spans="1:7" x14ac:dyDescent="0.25">
      <c r="A11832" s="1" t="str">
        <f>"512267"</f>
        <v>512267</v>
      </c>
      <c r="B11832" s="2" t="str">
        <f>"FUZIVEL DE VIDRO 0.25A (PEQUENO)"</f>
        <v>FUZIVEL DE VIDRO 0.25A (PEQUENO)</v>
      </c>
      <c r="C11832" s="2" t="str">
        <f t="shared" ref="C11832:C11863" si="462">"UN"</f>
        <v>UN</v>
      </c>
      <c r="D11832" s="7">
        <v>600</v>
      </c>
      <c r="E11832" s="3">
        <v>8</v>
      </c>
      <c r="F11832" s="3">
        <v>8</v>
      </c>
      <c r="G11832" t="s">
        <v>512</v>
      </c>
    </row>
    <row r="11833" spans="1:7" x14ac:dyDescent="0.25">
      <c r="A11833" s="1" t="str">
        <f>"503668"</f>
        <v>503668</v>
      </c>
      <c r="B11833" s="2" t="str">
        <f>"FUZIVEL DE VIDRO 10A (GRANDE)"</f>
        <v>FUZIVEL DE VIDRO 10A (GRANDE)</v>
      </c>
      <c r="C11833" s="2" t="str">
        <f t="shared" si="462"/>
        <v>UN</v>
      </c>
      <c r="D11833" s="7">
        <v>99999</v>
      </c>
      <c r="E11833" s="3">
        <v>10</v>
      </c>
      <c r="F11833" s="3">
        <v>10</v>
      </c>
      <c r="G11833" t="s">
        <v>513</v>
      </c>
    </row>
    <row r="11834" spans="1:7" x14ac:dyDescent="0.25">
      <c r="A11834" s="1" t="str">
        <f>"510283"</f>
        <v>510283</v>
      </c>
      <c r="B11834" s="2" t="str">
        <f>"FUZIVEL DE VIDRO 10A (PEQUENO)"</f>
        <v>FUZIVEL DE VIDRO 10A (PEQUENO)</v>
      </c>
      <c r="C11834" s="2" t="str">
        <f t="shared" si="462"/>
        <v>UN</v>
      </c>
      <c r="D11834" s="7">
        <v>600</v>
      </c>
      <c r="E11834" s="3">
        <v>8</v>
      </c>
      <c r="F11834" s="3">
        <v>8</v>
      </c>
      <c r="G11834" t="s">
        <v>514</v>
      </c>
    </row>
    <row r="11835" spans="1:7" x14ac:dyDescent="0.25">
      <c r="A11835" s="1" t="str">
        <f>"520187"</f>
        <v>520187</v>
      </c>
      <c r="B11835" s="2" t="str">
        <f>"FUZIVEL DE VIDRO 15A (GRANDE)"</f>
        <v>FUZIVEL DE VIDRO 15A (GRANDE)</v>
      </c>
      <c r="C11835" s="2" t="str">
        <f t="shared" si="462"/>
        <v>UN</v>
      </c>
      <c r="D11835" s="7">
        <v>600</v>
      </c>
      <c r="E11835" s="3">
        <v>8</v>
      </c>
      <c r="F11835" s="3">
        <v>8</v>
      </c>
      <c r="G11835" t="s">
        <v>514</v>
      </c>
    </row>
    <row r="11836" spans="1:7" x14ac:dyDescent="0.25">
      <c r="A11836" s="1" t="str">
        <f>"510284"</f>
        <v>510284</v>
      </c>
      <c r="B11836" s="2" t="str">
        <f>"FUZIVEL DE VIDRO 15A (PEQUENO)"</f>
        <v>FUZIVEL DE VIDRO 15A (PEQUENO)</v>
      </c>
      <c r="C11836" s="2" t="str">
        <f t="shared" si="462"/>
        <v>UN</v>
      </c>
      <c r="D11836" s="7">
        <v>600</v>
      </c>
      <c r="E11836" s="3">
        <v>8</v>
      </c>
      <c r="F11836" s="3">
        <v>8</v>
      </c>
      <c r="G11836" t="s">
        <v>514</v>
      </c>
    </row>
    <row r="11837" spans="1:7" x14ac:dyDescent="0.25">
      <c r="A11837" s="1" t="str">
        <f>"503665"</f>
        <v>503665</v>
      </c>
      <c r="B11837" s="2" t="str">
        <f>"FUZIVEL DE VIDRO 1A (GRANDE)"</f>
        <v>FUZIVEL DE VIDRO 1A (GRANDE)</v>
      </c>
      <c r="C11837" s="2" t="str">
        <f t="shared" si="462"/>
        <v>UN</v>
      </c>
      <c r="D11837" s="7">
        <v>600</v>
      </c>
      <c r="E11837" s="3">
        <v>8</v>
      </c>
      <c r="F11837" s="3">
        <v>8</v>
      </c>
      <c r="G11837" t="s">
        <v>513</v>
      </c>
    </row>
    <row r="11838" spans="1:7" x14ac:dyDescent="0.25">
      <c r="A11838" s="1" t="str">
        <f>"526053"</f>
        <v>526053</v>
      </c>
      <c r="B11838" s="2" t="str">
        <f>"FUZIVEL DE VIDRO 1A (PEQUENO)"</f>
        <v>FUZIVEL DE VIDRO 1A (PEQUENO)</v>
      </c>
      <c r="C11838" s="2" t="str">
        <f t="shared" si="462"/>
        <v>UN</v>
      </c>
      <c r="D11838" s="7">
        <v>600</v>
      </c>
      <c r="E11838" s="3">
        <v>8</v>
      </c>
      <c r="F11838" s="3">
        <v>8</v>
      </c>
      <c r="G11838" t="s">
        <v>513</v>
      </c>
    </row>
    <row r="11839" spans="1:7" x14ac:dyDescent="0.25">
      <c r="A11839" s="1" t="str">
        <f>"503666"</f>
        <v>503666</v>
      </c>
      <c r="B11839" s="2" t="str">
        <f>"FUZIVEL DE VIDRO 2A (GRANDE)"</f>
        <v>FUZIVEL DE VIDRO 2A (GRANDE)</v>
      </c>
      <c r="C11839" s="2" t="str">
        <f t="shared" si="462"/>
        <v>UN</v>
      </c>
      <c r="D11839" s="7">
        <v>600</v>
      </c>
      <c r="E11839" s="3">
        <v>8</v>
      </c>
      <c r="F11839" s="3">
        <v>8</v>
      </c>
      <c r="G11839" t="s">
        <v>513</v>
      </c>
    </row>
    <row r="11840" spans="1:7" x14ac:dyDescent="0.25">
      <c r="A11840" s="1" t="str">
        <f>"510280"</f>
        <v>510280</v>
      </c>
      <c r="B11840" s="2" t="str">
        <f>"FUZIVEL DE VIDRO 2A (PEQUENO)"</f>
        <v>FUZIVEL DE VIDRO 2A (PEQUENO)</v>
      </c>
      <c r="C11840" s="2" t="str">
        <f t="shared" si="462"/>
        <v>UN</v>
      </c>
      <c r="D11840" s="7">
        <v>600</v>
      </c>
      <c r="E11840" s="3">
        <v>8</v>
      </c>
      <c r="F11840" s="3">
        <v>8</v>
      </c>
      <c r="G11840" t="s">
        <v>512</v>
      </c>
    </row>
    <row r="11841" spans="1:7" x14ac:dyDescent="0.25">
      <c r="A11841" s="1" t="str">
        <f>"517933"</f>
        <v>517933</v>
      </c>
      <c r="B11841" s="2" t="str">
        <f>"FUZIVEL DE VIDRO 3A (PEQUENO)"</f>
        <v>FUZIVEL DE VIDRO 3A (PEQUENO)</v>
      </c>
      <c r="C11841" s="2" t="str">
        <f t="shared" si="462"/>
        <v>UN</v>
      </c>
      <c r="D11841" s="7">
        <v>811</v>
      </c>
      <c r="E11841" s="3">
        <v>8</v>
      </c>
      <c r="F11841" s="3">
        <v>8</v>
      </c>
      <c r="G11841" t="s">
        <v>513</v>
      </c>
    </row>
    <row r="11842" spans="1:7" x14ac:dyDescent="0.25">
      <c r="A11842" s="1" t="str">
        <f>"503667"</f>
        <v>503667</v>
      </c>
      <c r="B11842" s="2" t="str">
        <f>"FUZIVEL DE VIDRO 5A (GRANDE)"</f>
        <v>FUZIVEL DE VIDRO 5A (GRANDE)</v>
      </c>
      <c r="C11842" s="2" t="str">
        <f t="shared" si="462"/>
        <v>UN</v>
      </c>
      <c r="D11842" s="7">
        <v>600</v>
      </c>
      <c r="E11842" s="3">
        <v>8</v>
      </c>
      <c r="F11842" s="3">
        <v>8</v>
      </c>
      <c r="G11842" t="s">
        <v>514</v>
      </c>
    </row>
    <row r="11843" spans="1:7" x14ac:dyDescent="0.25">
      <c r="A11843" s="1" t="str">
        <f>"510281"</f>
        <v>510281</v>
      </c>
      <c r="B11843" s="2" t="str">
        <f>"FUZIVEL DE VIDRO 5A (PEQUENO)"</f>
        <v>FUZIVEL DE VIDRO 5A (PEQUENO)</v>
      </c>
      <c r="C11843" s="2" t="str">
        <f t="shared" si="462"/>
        <v>UN</v>
      </c>
      <c r="D11843" s="7">
        <v>601</v>
      </c>
      <c r="E11843" s="3">
        <v>8</v>
      </c>
      <c r="F11843" s="3">
        <v>8</v>
      </c>
      <c r="G11843" t="s">
        <v>515</v>
      </c>
    </row>
    <row r="11844" spans="1:7" x14ac:dyDescent="0.25">
      <c r="A11844" s="1" t="str">
        <f>"527213"</f>
        <v>527213</v>
      </c>
      <c r="B11844" s="2" t="str">
        <f>"FUZIVEL DE VIDRO 600 MA 30MM"</f>
        <v>FUZIVEL DE VIDRO 600 MA 30MM</v>
      </c>
      <c r="C11844" s="2" t="str">
        <f t="shared" si="462"/>
        <v>UN</v>
      </c>
      <c r="D11844" s="7">
        <v>600</v>
      </c>
      <c r="E11844" s="3">
        <v>8</v>
      </c>
      <c r="F11844" s="3">
        <v>8</v>
      </c>
      <c r="G11844" t="s">
        <v>512</v>
      </c>
    </row>
    <row r="11845" spans="1:7" x14ac:dyDescent="0.25">
      <c r="A11845" s="1" t="str">
        <f>"520188"</f>
        <v>520188</v>
      </c>
      <c r="B11845" s="2" t="str">
        <f>"FUZIVEL DE VIDRO 6A (PEQUENO)"</f>
        <v>FUZIVEL DE VIDRO 6A (PEQUENO)</v>
      </c>
      <c r="C11845" s="2" t="str">
        <f t="shared" si="462"/>
        <v>UN</v>
      </c>
      <c r="D11845" s="7">
        <v>600</v>
      </c>
      <c r="E11845" s="3">
        <v>8</v>
      </c>
      <c r="F11845" s="3">
        <v>8</v>
      </c>
      <c r="G11845" t="s">
        <v>516</v>
      </c>
    </row>
    <row r="11846" spans="1:7" x14ac:dyDescent="0.25">
      <c r="A11846" s="1" t="str">
        <f>"502833"</f>
        <v>502833</v>
      </c>
      <c r="B11846" s="2" t="str">
        <f>"FUZIVEL DE VIDRO 8A (GRANDE)"</f>
        <v>FUZIVEL DE VIDRO 8A (GRANDE)</v>
      </c>
      <c r="C11846" s="2" t="str">
        <f t="shared" si="462"/>
        <v>UN</v>
      </c>
      <c r="D11846" s="7">
        <v>600</v>
      </c>
      <c r="E11846" s="3">
        <v>8</v>
      </c>
      <c r="F11846" s="3">
        <v>8</v>
      </c>
      <c r="G11846" t="s">
        <v>515</v>
      </c>
    </row>
    <row r="11847" spans="1:7" x14ac:dyDescent="0.25">
      <c r="A11847" s="1" t="str">
        <f>"510282"</f>
        <v>510282</v>
      </c>
      <c r="B11847" s="2" t="str">
        <f>"FUZIVEL DE VIDRO 8A (PEQUENO)"</f>
        <v>FUZIVEL DE VIDRO 8A (PEQUENO)</v>
      </c>
      <c r="C11847" s="2" t="str">
        <f t="shared" si="462"/>
        <v>UN</v>
      </c>
      <c r="D11847" s="7">
        <v>600</v>
      </c>
      <c r="E11847" s="3">
        <v>8</v>
      </c>
      <c r="F11847" s="3">
        <v>8</v>
      </c>
      <c r="G11847" t="s">
        <v>514</v>
      </c>
    </row>
    <row r="11848" spans="1:7" x14ac:dyDescent="0.25">
      <c r="A11848" s="1" t="str">
        <f>"501101"</f>
        <v>501101</v>
      </c>
      <c r="B11848" s="2" t="str">
        <f>"FUZIVEL DIAZED 5SB2 11 2A"</f>
        <v>FUZIVEL DIAZED 5SB2 11 2A</v>
      </c>
      <c r="C11848" s="2" t="str">
        <f t="shared" si="462"/>
        <v>UN</v>
      </c>
      <c r="D11848" s="7">
        <v>600</v>
      </c>
      <c r="E11848" s="3">
        <v>8</v>
      </c>
      <c r="F11848" s="3">
        <v>8</v>
      </c>
      <c r="G11848" t="s">
        <v>512</v>
      </c>
    </row>
    <row r="11849" spans="1:7" x14ac:dyDescent="0.25">
      <c r="A11849" s="1" t="str">
        <f>"501102"</f>
        <v>501102</v>
      </c>
      <c r="B11849" s="2" t="str">
        <f>"FUZIVEL DIAZED 5SB2 21 4A"</f>
        <v>FUZIVEL DIAZED 5SB2 21 4A</v>
      </c>
      <c r="C11849" s="2" t="str">
        <f t="shared" si="462"/>
        <v>UN</v>
      </c>
      <c r="D11849" s="7">
        <v>600</v>
      </c>
      <c r="E11849" s="3">
        <v>8</v>
      </c>
      <c r="F11849" s="3">
        <v>8</v>
      </c>
      <c r="G11849" t="s">
        <v>513</v>
      </c>
    </row>
    <row r="11850" spans="1:7" x14ac:dyDescent="0.25">
      <c r="A11850" s="1" t="str">
        <f>"501103"</f>
        <v>501103</v>
      </c>
      <c r="B11850" s="2" t="str">
        <f>"FUZIVEL DIAZED 5SB2 31 6A"</f>
        <v>FUZIVEL DIAZED 5SB2 31 6A</v>
      </c>
      <c r="C11850" s="2" t="str">
        <f t="shared" si="462"/>
        <v>UN</v>
      </c>
      <c r="D11850" s="7">
        <v>600</v>
      </c>
      <c r="E11850" s="3">
        <v>8</v>
      </c>
      <c r="F11850" s="3">
        <v>8</v>
      </c>
      <c r="G11850" t="s">
        <v>514</v>
      </c>
    </row>
    <row r="11851" spans="1:7" x14ac:dyDescent="0.25">
      <c r="A11851" s="1" t="str">
        <f>"501104"</f>
        <v>501104</v>
      </c>
      <c r="B11851" s="2" t="str">
        <f>"FUZIVEL DIAZED 5SB2 51 10A"</f>
        <v>FUZIVEL DIAZED 5SB2 51 10A</v>
      </c>
      <c r="C11851" s="2" t="str">
        <f t="shared" si="462"/>
        <v>UN</v>
      </c>
      <c r="D11851" s="7">
        <v>600</v>
      </c>
      <c r="E11851" s="3">
        <v>8</v>
      </c>
      <c r="F11851" s="3">
        <v>8</v>
      </c>
      <c r="G11851" t="s">
        <v>514</v>
      </c>
    </row>
    <row r="11852" spans="1:7" x14ac:dyDescent="0.25">
      <c r="A11852" s="1" t="str">
        <f>"501105"</f>
        <v>501105</v>
      </c>
      <c r="B11852" s="2" t="str">
        <f>"FUZIVEL DIAZED 5SB2 61 16A"</f>
        <v>FUZIVEL DIAZED 5SB2 61 16A</v>
      </c>
      <c r="C11852" s="2" t="str">
        <f t="shared" si="462"/>
        <v>UN</v>
      </c>
      <c r="D11852" s="7">
        <v>600</v>
      </c>
      <c r="E11852" s="3">
        <v>8</v>
      </c>
      <c r="F11852" s="3">
        <v>8</v>
      </c>
      <c r="G11852" t="s">
        <v>512</v>
      </c>
    </row>
    <row r="11853" spans="1:7" x14ac:dyDescent="0.25">
      <c r="A11853" s="1" t="str">
        <f>"501106"</f>
        <v>501106</v>
      </c>
      <c r="B11853" s="2" t="str">
        <f>"FUZIVEL DIAZED 5SB2 71 20A"</f>
        <v>FUZIVEL DIAZED 5SB2 71 20A</v>
      </c>
      <c r="C11853" s="2" t="str">
        <f t="shared" si="462"/>
        <v>UN</v>
      </c>
      <c r="D11853" s="7">
        <v>600</v>
      </c>
      <c r="E11853" s="3">
        <v>8</v>
      </c>
      <c r="F11853" s="3">
        <v>8</v>
      </c>
      <c r="G11853" t="s">
        <v>513</v>
      </c>
    </row>
    <row r="11854" spans="1:7" x14ac:dyDescent="0.25">
      <c r="A11854" s="1" t="str">
        <f>"501107"</f>
        <v>501107</v>
      </c>
      <c r="B11854" s="2" t="str">
        <f>"FUZIVEL DIAZED 5SB2 81 25A"</f>
        <v>FUZIVEL DIAZED 5SB2 81 25A</v>
      </c>
      <c r="C11854" s="2" t="str">
        <f t="shared" si="462"/>
        <v>UN</v>
      </c>
      <c r="D11854" s="7">
        <v>600</v>
      </c>
      <c r="E11854" s="3">
        <v>8</v>
      </c>
      <c r="F11854" s="3">
        <v>8</v>
      </c>
      <c r="G11854" t="s">
        <v>514</v>
      </c>
    </row>
    <row r="11855" spans="1:7" x14ac:dyDescent="0.25">
      <c r="A11855" s="1" t="str">
        <f>"501109"</f>
        <v>501109</v>
      </c>
      <c r="B11855" s="2" t="str">
        <f>"FUZIVEL DIAZED 5SB4 11 35A"</f>
        <v>FUZIVEL DIAZED 5SB4 11 35A</v>
      </c>
      <c r="C11855" s="2" t="str">
        <f t="shared" si="462"/>
        <v>UN</v>
      </c>
      <c r="D11855" s="7">
        <v>600</v>
      </c>
      <c r="E11855" s="3">
        <v>8</v>
      </c>
      <c r="F11855" s="3">
        <v>8</v>
      </c>
      <c r="G11855" t="s">
        <v>514</v>
      </c>
    </row>
    <row r="11856" spans="1:7" x14ac:dyDescent="0.25">
      <c r="A11856" s="1" t="str">
        <f>"501110"</f>
        <v>501110</v>
      </c>
      <c r="B11856" s="2" t="str">
        <f>"FUZIVEL DIAZED 5SB4 21 50A"</f>
        <v>FUZIVEL DIAZED 5SB4 21 50A</v>
      </c>
      <c r="C11856" s="2" t="str">
        <f t="shared" si="462"/>
        <v>UN</v>
      </c>
      <c r="D11856" s="7">
        <v>600</v>
      </c>
      <c r="E11856" s="3">
        <v>8</v>
      </c>
      <c r="F11856" s="3">
        <v>8</v>
      </c>
      <c r="G11856" t="s">
        <v>514</v>
      </c>
    </row>
    <row r="11857" spans="1:7" x14ac:dyDescent="0.25">
      <c r="A11857" s="1" t="str">
        <f>"501111"</f>
        <v>501111</v>
      </c>
      <c r="B11857" s="2" t="str">
        <f>"FUZIVEL DIAZED 5SB4 31 63A"</f>
        <v>FUZIVEL DIAZED 5SB4 31 63A</v>
      </c>
      <c r="C11857" s="2" t="str">
        <f t="shared" si="462"/>
        <v>UN</v>
      </c>
      <c r="D11857" s="7">
        <v>600</v>
      </c>
      <c r="E11857" s="3">
        <v>8</v>
      </c>
      <c r="F11857" s="3">
        <v>8</v>
      </c>
      <c r="G11857" t="s">
        <v>513</v>
      </c>
    </row>
    <row r="11858" spans="1:7" x14ac:dyDescent="0.25">
      <c r="A11858" s="1" t="str">
        <f>"516039"</f>
        <v>516039</v>
      </c>
      <c r="B11858" s="2" t="str">
        <f>"FUZIVEL NH 315A 3NE4 330-OB"</f>
        <v>FUZIVEL NH 315A 3NE4 330-OB</v>
      </c>
      <c r="C11858" s="2" t="str">
        <f t="shared" si="462"/>
        <v>UN</v>
      </c>
      <c r="D11858" s="7">
        <v>811</v>
      </c>
      <c r="E11858" s="3">
        <v>8</v>
      </c>
      <c r="F11858" s="3">
        <v>8</v>
      </c>
      <c r="G11858" t="s">
        <v>512</v>
      </c>
    </row>
    <row r="11859" spans="1:7" x14ac:dyDescent="0.25">
      <c r="A11859" s="1" t="str">
        <f>"505424"</f>
        <v>505424</v>
      </c>
      <c r="B11859" s="2" t="str">
        <f>"FUZIVEL NH 3NA1 225 DE 200A"</f>
        <v>FUZIVEL NH 3NA1 225 DE 200A</v>
      </c>
      <c r="C11859" s="2" t="str">
        <f t="shared" si="462"/>
        <v>UN</v>
      </c>
      <c r="D11859" s="7">
        <v>600</v>
      </c>
      <c r="E11859" s="3">
        <v>8</v>
      </c>
      <c r="F11859" s="3">
        <v>8</v>
      </c>
      <c r="G11859" t="s">
        <v>513</v>
      </c>
    </row>
    <row r="11860" spans="1:7" x14ac:dyDescent="0.25">
      <c r="A11860" s="1" t="str">
        <f>"505523"</f>
        <v>505523</v>
      </c>
      <c r="B11860" s="2" t="str">
        <f>"FUZIVEL NH 3NA1 500 DE 50A"</f>
        <v>FUZIVEL NH 3NA1 500 DE 50A</v>
      </c>
      <c r="C11860" s="2" t="str">
        <f t="shared" si="462"/>
        <v>UN</v>
      </c>
      <c r="D11860" s="7">
        <v>600</v>
      </c>
      <c r="E11860" s="3">
        <v>8</v>
      </c>
      <c r="F11860" s="3">
        <v>8</v>
      </c>
      <c r="G11860" t="s">
        <v>514</v>
      </c>
    </row>
    <row r="11861" spans="1:7" x14ac:dyDescent="0.25">
      <c r="A11861" s="1" t="str">
        <f>"509689"</f>
        <v>509689</v>
      </c>
      <c r="B11861" s="2" t="str">
        <f>"FUZIVEL NH 3NA3 130 DE 100A"</f>
        <v>FUZIVEL NH 3NA3 130 DE 100A</v>
      </c>
      <c r="C11861" s="2" t="str">
        <f t="shared" si="462"/>
        <v>UN</v>
      </c>
      <c r="D11861" s="7">
        <v>600</v>
      </c>
      <c r="E11861" s="3">
        <v>8</v>
      </c>
      <c r="F11861" s="3">
        <v>8</v>
      </c>
      <c r="G11861" t="s">
        <v>514</v>
      </c>
    </row>
    <row r="11862" spans="1:7" x14ac:dyDescent="0.25">
      <c r="A11862" s="1" t="str">
        <f>"503368"</f>
        <v>503368</v>
      </c>
      <c r="B11862" s="2" t="str">
        <f>"FUZIVEL NH 3NA3 132 DE 125A"</f>
        <v>FUZIVEL NH 3NA3 132 DE 125A</v>
      </c>
      <c r="C11862" s="2" t="str">
        <f t="shared" si="462"/>
        <v>UN</v>
      </c>
      <c r="D11862" s="7">
        <v>600</v>
      </c>
      <c r="E11862" s="3">
        <v>8</v>
      </c>
      <c r="F11862" s="3">
        <v>8</v>
      </c>
      <c r="G11862" t="s">
        <v>514</v>
      </c>
    </row>
    <row r="11863" spans="1:7" x14ac:dyDescent="0.25">
      <c r="A11863" s="1" t="str">
        <f>"503369"</f>
        <v>503369</v>
      </c>
      <c r="B11863" s="2" t="str">
        <f>"FUZIVEL NH 3NA3 136 DE 160A"</f>
        <v>FUZIVEL NH 3NA3 136 DE 160A</v>
      </c>
      <c r="C11863" s="2" t="str">
        <f t="shared" si="462"/>
        <v>UN</v>
      </c>
      <c r="D11863" s="7">
        <v>600</v>
      </c>
      <c r="E11863" s="3">
        <v>8</v>
      </c>
      <c r="F11863" s="3">
        <v>8</v>
      </c>
      <c r="G11863" t="s">
        <v>513</v>
      </c>
    </row>
    <row r="11864" spans="1:7" x14ac:dyDescent="0.25">
      <c r="A11864" s="1" t="str">
        <f>"502119"</f>
        <v>502119</v>
      </c>
      <c r="B11864" s="2" t="str">
        <f>"FUZIVEL NH 3NA3 140 DE 200A"</f>
        <v>FUZIVEL NH 3NA3 140 DE 200A</v>
      </c>
      <c r="C11864" s="2" t="str">
        <f t="shared" ref="C11864:C11880" si="463">"UN"</f>
        <v>UN</v>
      </c>
      <c r="D11864" s="7">
        <v>600</v>
      </c>
      <c r="E11864" s="3">
        <v>8</v>
      </c>
      <c r="F11864" s="3">
        <v>8</v>
      </c>
      <c r="G11864" t="s">
        <v>513</v>
      </c>
    </row>
    <row r="11865" spans="1:7" x14ac:dyDescent="0.25">
      <c r="A11865" s="1" t="str">
        <f>"508165"</f>
        <v>508165</v>
      </c>
      <c r="B11865" s="2" t="str">
        <f>"FUZIVEL NH 3NA3 142 DE 224A"</f>
        <v>FUZIVEL NH 3NA3 142 DE 224A</v>
      </c>
      <c r="C11865" s="2" t="str">
        <f t="shared" si="463"/>
        <v>UN</v>
      </c>
      <c r="D11865" s="7">
        <v>600</v>
      </c>
      <c r="E11865" s="3">
        <v>8</v>
      </c>
      <c r="F11865" s="3">
        <v>8</v>
      </c>
      <c r="G11865" t="s">
        <v>513</v>
      </c>
    </row>
    <row r="11866" spans="1:7" x14ac:dyDescent="0.25">
      <c r="A11866" s="1" t="str">
        <f>"500833"</f>
        <v>500833</v>
      </c>
      <c r="B11866" s="2" t="str">
        <f>"FUZIVEL NH 3NA3 144 DE 250A"</f>
        <v>FUZIVEL NH 3NA3 144 DE 250A</v>
      </c>
      <c r="C11866" s="2" t="str">
        <f t="shared" si="463"/>
        <v>UN</v>
      </c>
      <c r="D11866" s="7">
        <v>600</v>
      </c>
      <c r="E11866" s="3">
        <v>8</v>
      </c>
      <c r="F11866" s="3">
        <v>8</v>
      </c>
      <c r="G11866" t="s">
        <v>512</v>
      </c>
    </row>
    <row r="11867" spans="1:7" x14ac:dyDescent="0.25">
      <c r="A11867" s="1" t="str">
        <f>"510987"</f>
        <v>510987</v>
      </c>
      <c r="B11867" s="2" t="str">
        <f>"FUZIVEL NH 3NA3 244 200A"</f>
        <v>FUZIVEL NH 3NA3 244 200A</v>
      </c>
      <c r="C11867" s="2" t="str">
        <f t="shared" si="463"/>
        <v>UN</v>
      </c>
      <c r="D11867" s="7">
        <v>600</v>
      </c>
      <c r="E11867" s="3">
        <v>8</v>
      </c>
      <c r="F11867" s="3">
        <v>8</v>
      </c>
      <c r="G11867" t="s">
        <v>513</v>
      </c>
    </row>
    <row r="11868" spans="1:7" x14ac:dyDescent="0.25">
      <c r="A11868" s="1" t="str">
        <f>"508503"</f>
        <v>508503</v>
      </c>
      <c r="B11868" s="2" t="str">
        <f>"FUZIVEL NH 3NA3 254 DE 355A"</f>
        <v>FUZIVEL NH 3NA3 254 DE 355A</v>
      </c>
      <c r="C11868" s="2" t="str">
        <f t="shared" si="463"/>
        <v>UN</v>
      </c>
      <c r="D11868" s="7">
        <v>600</v>
      </c>
      <c r="E11868" s="3">
        <v>8</v>
      </c>
      <c r="F11868" s="3">
        <v>8</v>
      </c>
      <c r="G11868" t="s">
        <v>514</v>
      </c>
    </row>
    <row r="11869" spans="1:7" x14ac:dyDescent="0.25">
      <c r="A11869" s="1" t="str">
        <f>"524388"</f>
        <v>524388</v>
      </c>
      <c r="B11869" s="2" t="str">
        <f>"FUZIVEL NH 3NA3 260 DE 400A"</f>
        <v>FUZIVEL NH 3NA3 260 DE 400A</v>
      </c>
      <c r="C11869" s="2" t="str">
        <f t="shared" si="463"/>
        <v>UN</v>
      </c>
      <c r="D11869" s="7">
        <v>811</v>
      </c>
      <c r="E11869" s="3">
        <v>8</v>
      </c>
      <c r="F11869" s="3">
        <v>8</v>
      </c>
      <c r="G11869" t="s">
        <v>515</v>
      </c>
    </row>
    <row r="11870" spans="1:7" x14ac:dyDescent="0.25">
      <c r="A11870" s="1" t="str">
        <f>"505083"</f>
        <v>505083</v>
      </c>
      <c r="B11870" s="2" t="str">
        <f>"FUZIVEL NH 3NA3 372 DE 400A"</f>
        <v>FUZIVEL NH 3NA3 372 DE 400A</v>
      </c>
      <c r="C11870" s="2" t="str">
        <f t="shared" si="463"/>
        <v>UN</v>
      </c>
      <c r="D11870" s="7">
        <v>811</v>
      </c>
      <c r="E11870" s="3">
        <v>8</v>
      </c>
      <c r="F11870" s="3">
        <v>8</v>
      </c>
      <c r="G11870" t="s">
        <v>512</v>
      </c>
    </row>
    <row r="11871" spans="1:7" x14ac:dyDescent="0.25">
      <c r="A11871" s="1" t="str">
        <f>"505426"</f>
        <v>505426</v>
      </c>
      <c r="B11871" s="2" t="str">
        <f>"FUZIVEL NH 3NA3 817 40A"</f>
        <v>FUZIVEL NH 3NA3 817 40A</v>
      </c>
      <c r="C11871" s="2" t="str">
        <f t="shared" si="463"/>
        <v>UN</v>
      </c>
      <c r="D11871" s="7">
        <v>600</v>
      </c>
      <c r="E11871" s="3">
        <v>8</v>
      </c>
      <c r="F11871" s="3">
        <v>8</v>
      </c>
      <c r="G11871" t="s">
        <v>516</v>
      </c>
    </row>
    <row r="11872" spans="1:7" x14ac:dyDescent="0.25">
      <c r="A11872" s="1" t="str">
        <f>"500906"</f>
        <v>500906</v>
      </c>
      <c r="B11872" s="2" t="str">
        <f>"FUZIVEL NH 3NA3 822 DE 63A"</f>
        <v>FUZIVEL NH 3NA3 822 DE 63A</v>
      </c>
      <c r="C11872" s="2" t="str">
        <f t="shared" si="463"/>
        <v>UN</v>
      </c>
      <c r="D11872" s="7">
        <v>600</v>
      </c>
      <c r="E11872" s="3">
        <v>8</v>
      </c>
      <c r="F11872" s="3">
        <v>8</v>
      </c>
      <c r="G11872" t="s">
        <v>515</v>
      </c>
    </row>
    <row r="11873" spans="1:7" x14ac:dyDescent="0.25">
      <c r="A11873" s="1" t="str">
        <f>"500907"</f>
        <v>500907</v>
      </c>
      <c r="B11873" s="2" t="str">
        <f>"FUZIVEL NH 3NA3 824 DE 80A"</f>
        <v>FUZIVEL NH 3NA3 824 DE 80A</v>
      </c>
      <c r="C11873" s="2" t="str">
        <f t="shared" si="463"/>
        <v>UN</v>
      </c>
      <c r="D11873" s="7">
        <v>600</v>
      </c>
      <c r="E11873" s="3">
        <v>8</v>
      </c>
      <c r="F11873" s="3">
        <v>8</v>
      </c>
      <c r="G11873" t="s">
        <v>514</v>
      </c>
    </row>
    <row r="11874" spans="1:7" x14ac:dyDescent="0.25">
      <c r="A11874" s="1" t="str">
        <f>"509961"</f>
        <v>509961</v>
      </c>
      <c r="B11874" s="2" t="str">
        <f>"FUZIVEL NH 3NA3 830 DE 100A"</f>
        <v>FUZIVEL NH 3NA3 830 DE 100A</v>
      </c>
      <c r="C11874" s="2" t="str">
        <f t="shared" si="463"/>
        <v>UN</v>
      </c>
      <c r="D11874" s="7">
        <v>600</v>
      </c>
      <c r="E11874" s="3">
        <v>8</v>
      </c>
      <c r="F11874" s="3">
        <v>8</v>
      </c>
      <c r="G11874" t="s">
        <v>512</v>
      </c>
    </row>
    <row r="11875" spans="1:7" x14ac:dyDescent="0.25">
      <c r="A11875" s="1" t="str">
        <f>"500908"</f>
        <v>500908</v>
      </c>
      <c r="B11875" s="2" t="str">
        <f>"FUZIVEL NH 3NA3 832 DE 125A"</f>
        <v>FUZIVEL NH 3NA3 832 DE 125A</v>
      </c>
      <c r="C11875" s="2" t="str">
        <f t="shared" si="463"/>
        <v>UN</v>
      </c>
      <c r="D11875" s="7">
        <v>600</v>
      </c>
      <c r="E11875" s="3">
        <v>8</v>
      </c>
      <c r="F11875" s="3">
        <v>8</v>
      </c>
      <c r="G11875" t="s">
        <v>513</v>
      </c>
    </row>
    <row r="11876" spans="1:7" x14ac:dyDescent="0.25">
      <c r="A11876" s="1" t="str">
        <f>"500475"</f>
        <v>500475</v>
      </c>
      <c r="B11876" s="2" t="str">
        <f>"FUZIVEL NH 3NA3 836 DE 160A"</f>
        <v>FUZIVEL NH 3NA3 836 DE 160A</v>
      </c>
      <c r="C11876" s="2" t="str">
        <f t="shared" si="463"/>
        <v>UN</v>
      </c>
      <c r="D11876" s="7">
        <v>600</v>
      </c>
      <c r="E11876" s="3">
        <v>8</v>
      </c>
      <c r="F11876" s="3">
        <v>8</v>
      </c>
      <c r="G11876" t="s">
        <v>514</v>
      </c>
    </row>
    <row r="11877" spans="1:7" x14ac:dyDescent="0.25">
      <c r="A11877" s="1" t="str">
        <f>"520217"</f>
        <v>520217</v>
      </c>
      <c r="B11877" s="2" t="str">
        <f>"FUZIVEL NH DIM 00 IEC269 80A"</f>
        <v>FUZIVEL NH DIM 00 IEC269 80A</v>
      </c>
      <c r="C11877" s="2" t="str">
        <f t="shared" si="463"/>
        <v>UN</v>
      </c>
      <c r="D11877" s="7">
        <v>600</v>
      </c>
      <c r="E11877" s="3">
        <v>8</v>
      </c>
      <c r="F11877" s="3">
        <v>8</v>
      </c>
      <c r="G11877" t="s">
        <v>514</v>
      </c>
    </row>
    <row r="11878" spans="1:7" x14ac:dyDescent="0.25">
      <c r="A11878" s="1" t="str">
        <f>"505425"</f>
        <v>505425</v>
      </c>
      <c r="B11878" s="2" t="str">
        <f>"FUZIVEL NH R1231 500V 100A"</f>
        <v>FUZIVEL NH R1231 500V 100A</v>
      </c>
      <c r="C11878" s="2" t="str">
        <f t="shared" si="463"/>
        <v>UN</v>
      </c>
      <c r="D11878" s="7">
        <v>600</v>
      </c>
      <c r="E11878" s="3">
        <v>8</v>
      </c>
      <c r="F11878" s="3">
        <v>8</v>
      </c>
      <c r="G11878" t="s">
        <v>512</v>
      </c>
    </row>
    <row r="11879" spans="1:7" x14ac:dyDescent="0.25">
      <c r="A11879" s="1" t="str">
        <f>"505427"</f>
        <v>505427</v>
      </c>
      <c r="B11879" s="2" t="str">
        <f>"FUZIVEL NH R1231 500V 63A"</f>
        <v>FUZIVEL NH R1231 500V 63A</v>
      </c>
      <c r="C11879" s="2" t="str">
        <f t="shared" si="463"/>
        <v>UN</v>
      </c>
      <c r="D11879" s="7">
        <v>600</v>
      </c>
      <c r="E11879" s="3">
        <v>8</v>
      </c>
      <c r="F11879" s="3">
        <v>8</v>
      </c>
      <c r="G11879" t="s">
        <v>513</v>
      </c>
    </row>
    <row r="11880" spans="1:7" x14ac:dyDescent="0.25">
      <c r="A11880" s="1" t="str">
        <f>"520495"</f>
        <v>520495</v>
      </c>
      <c r="B11880" s="2" t="str">
        <f>"FUZIVEL NH T-02 315A RETARDADO 500VCA"</f>
        <v>FUZIVEL NH T-02 315A RETARDADO 500VCA</v>
      </c>
      <c r="C11880" s="2" t="str">
        <f t="shared" si="463"/>
        <v>UN</v>
      </c>
      <c r="D11880" s="7">
        <v>811</v>
      </c>
      <c r="E11880" s="3">
        <v>11</v>
      </c>
      <c r="F11880" s="3">
        <v>11</v>
      </c>
      <c r="G11880" t="s">
        <v>514</v>
      </c>
    </row>
    <row r="11881" spans="1:7" x14ac:dyDescent="0.25">
      <c r="A11881" s="1" t="str">
        <f>"509778"</f>
        <v>509778</v>
      </c>
      <c r="B11881" s="2" t="str">
        <f>"FUZIVEL SIEMENS NH03 500A 3NA3 365"</f>
        <v>FUZIVEL SIEMENS NH03 500A 3NA3 365</v>
      </c>
      <c r="C11881" s="2" t="str">
        <f>"PC"</f>
        <v>PC</v>
      </c>
      <c r="D11881" s="7">
        <v>600</v>
      </c>
      <c r="E11881" s="3">
        <v>8</v>
      </c>
      <c r="F11881" s="3">
        <v>8</v>
      </c>
      <c r="G11881" t="s">
        <v>514</v>
      </c>
    </row>
    <row r="11882" spans="1:7" x14ac:dyDescent="0.25">
      <c r="A11882" s="1" t="str">
        <f>"510988"</f>
        <v>510988</v>
      </c>
      <c r="B11882" s="2" t="str">
        <f>"FUZIVEL SIEMENS NH03 630A 3NA3 372"</f>
        <v>FUZIVEL SIEMENS NH03 630A 3NA3 372</v>
      </c>
      <c r="C11882" s="2" t="str">
        <f>"UN"</f>
        <v>UN</v>
      </c>
      <c r="D11882" s="7">
        <v>600</v>
      </c>
      <c r="E11882" s="3">
        <v>8</v>
      </c>
      <c r="F11882" s="3">
        <v>8</v>
      </c>
      <c r="G11882" t="s">
        <v>514</v>
      </c>
    </row>
    <row r="11883" spans="1:7" x14ac:dyDescent="0.25">
      <c r="A11883" s="1" t="str">
        <f>"509174"</f>
        <v>509174</v>
      </c>
      <c r="B11883" s="2" t="str">
        <f>"FUZIVEL SITOR 315A - 3NE4330-0B"</f>
        <v>FUZIVEL SITOR 315A - 3NE4330-0B</v>
      </c>
      <c r="C11883" s="2" t="str">
        <f>"UN"</f>
        <v>UN</v>
      </c>
      <c r="D11883" s="7">
        <v>600</v>
      </c>
      <c r="E11883" s="3">
        <v>8</v>
      </c>
      <c r="F11883" s="3">
        <v>8</v>
      </c>
      <c r="G11883" t="s">
        <v>513</v>
      </c>
    </row>
    <row r="11884" spans="1:7" x14ac:dyDescent="0.25">
      <c r="A11884" s="1" t="str">
        <f>"523583"</f>
        <v>523583</v>
      </c>
      <c r="B11884" s="2" t="str">
        <f>"G7 ANTIESPUMENTE (GENÉTICA)"</f>
        <v>G7 ANTIESPUMENTE (GENÉTICA)</v>
      </c>
      <c r="C11884" s="2" t="str">
        <f>"LT"</f>
        <v>LT</v>
      </c>
      <c r="D11884" s="7">
        <v>400</v>
      </c>
      <c r="E11884" s="3">
        <v>10</v>
      </c>
      <c r="F11884" s="3">
        <v>10</v>
      </c>
      <c r="G11884" t="s">
        <v>512</v>
      </c>
    </row>
    <row r="11885" spans="1:7" x14ac:dyDescent="0.25">
      <c r="A11885" s="1" t="str">
        <f>"511094"</f>
        <v>511094</v>
      </c>
      <c r="B11885" s="2" t="str">
        <f>"GABARITO CENTRALIZADOR DA MESA"</f>
        <v>GABARITO CENTRALIZADOR DA MESA</v>
      </c>
      <c r="C11885" s="2" t="str">
        <f>"UN"</f>
        <v>UN</v>
      </c>
      <c r="D11885" s="7">
        <v>918</v>
      </c>
      <c r="E11885" s="3">
        <v>11</v>
      </c>
      <c r="F11885" s="3">
        <v>11</v>
      </c>
      <c r="G11885" t="s">
        <v>513</v>
      </c>
    </row>
    <row r="11886" spans="1:7" x14ac:dyDescent="0.25">
      <c r="A11886" s="1" t="str">
        <f>"527843"</f>
        <v>527843</v>
      </c>
      <c r="B11886" s="2" t="str">
        <f>"GABARITOS PARA KITS DE PESAGEM CTC - GAB"</f>
        <v>GABARITOS PARA KITS DE PESAGEM CTC - GAB</v>
      </c>
      <c r="C11886" s="2" t="str">
        <f>"UN"</f>
        <v>UN</v>
      </c>
      <c r="D11886" s="7">
        <v>1500</v>
      </c>
      <c r="E11886" s="3">
        <v>13</v>
      </c>
      <c r="F11886" s="3">
        <v>13</v>
      </c>
      <c r="G11886" t="s">
        <v>514</v>
      </c>
    </row>
    <row r="11887" spans="1:7" x14ac:dyDescent="0.25">
      <c r="A11887" s="1" t="str">
        <f>"524354"</f>
        <v>524354</v>
      </c>
      <c r="B11887" s="2" t="str">
        <f>"GABIAO TIPO CAIXA ZN/AL - 5X1,5X1"</f>
        <v>GABIAO TIPO CAIXA ZN/AL - 5X1,5X1</v>
      </c>
      <c r="C11887" s="2" t="str">
        <f>"KG"</f>
        <v>KG</v>
      </c>
      <c r="D11887" s="7">
        <v>99999</v>
      </c>
      <c r="E11887" s="3">
        <v>10</v>
      </c>
      <c r="F11887" s="3">
        <v>10</v>
      </c>
      <c r="G11887" t="s">
        <v>514</v>
      </c>
    </row>
    <row r="11888" spans="1:7" x14ac:dyDescent="0.25">
      <c r="A11888" s="1" t="str">
        <f>"527024"</f>
        <v>527024</v>
      </c>
      <c r="B11888" s="2" t="str">
        <f>"GABINE DE MAQ.TERMOF.MOD.DMAX"</f>
        <v>GABINE DE MAQ.TERMOF.MOD.DMAX</v>
      </c>
      <c r="C11888" s="2" t="str">
        <f t="shared" ref="C11888:C11919" si="464">"UN"</f>
        <v>UN</v>
      </c>
      <c r="D11888" s="7">
        <v>1300</v>
      </c>
      <c r="E11888" s="3">
        <v>13</v>
      </c>
      <c r="F11888" s="3">
        <v>13</v>
      </c>
      <c r="G11888" t="s">
        <v>514</v>
      </c>
    </row>
    <row r="11889" spans="1:7" x14ac:dyDescent="0.25">
      <c r="A11889" s="1" t="str">
        <f>"527095"</f>
        <v>527095</v>
      </c>
      <c r="B11889" s="2" t="str">
        <f>"GABINETE SENSOR XTSC1"</f>
        <v>GABINETE SENSOR XTSC1</v>
      </c>
      <c r="C11889" s="2" t="str">
        <f t="shared" si="464"/>
        <v>UN</v>
      </c>
      <c r="D11889" s="7">
        <v>99999</v>
      </c>
      <c r="E11889" s="3">
        <v>99</v>
      </c>
      <c r="F11889" s="3">
        <v>99</v>
      </c>
      <c r="G11889" t="s">
        <v>513</v>
      </c>
    </row>
    <row r="11890" spans="1:7" x14ac:dyDescent="0.25">
      <c r="A11890" s="1" t="str">
        <f>"524351"</f>
        <v>524351</v>
      </c>
      <c r="B11890" s="2" t="str">
        <f>"GABIOES TIPO CAIXA 5X1X1 ZN/AI"</f>
        <v>GABIOES TIPO CAIXA 5X1X1 ZN/AI</v>
      </c>
      <c r="C11890" s="2" t="str">
        <f t="shared" si="464"/>
        <v>UN</v>
      </c>
      <c r="D11890" s="7">
        <v>99999</v>
      </c>
      <c r="E11890" s="3">
        <v>10</v>
      </c>
      <c r="F11890" s="3">
        <v>10</v>
      </c>
      <c r="G11890" t="s">
        <v>513</v>
      </c>
    </row>
    <row r="11891" spans="1:7" x14ac:dyDescent="0.25">
      <c r="A11891" s="1" t="str">
        <f>"514174"</f>
        <v>514174</v>
      </c>
      <c r="B11891" s="2" t="str">
        <f>"GAIOLA"</f>
        <v>GAIOLA</v>
      </c>
      <c r="C11891" s="2" t="str">
        <f t="shared" si="464"/>
        <v>UN</v>
      </c>
      <c r="D11891" s="7">
        <v>704</v>
      </c>
      <c r="E11891" s="3">
        <v>9</v>
      </c>
      <c r="F11891" s="3">
        <v>9</v>
      </c>
      <c r="G11891" t="s">
        <v>513</v>
      </c>
    </row>
    <row r="11892" spans="1:7" x14ac:dyDescent="0.25">
      <c r="A11892" s="1" t="str">
        <f>"501773"</f>
        <v>501773</v>
      </c>
      <c r="B11892" s="2" t="str">
        <f>"GAIOLA AGULHA"</f>
        <v>GAIOLA AGULHA</v>
      </c>
      <c r="C11892" s="2" t="str">
        <f t="shared" si="464"/>
        <v>UN</v>
      </c>
      <c r="D11892" s="7">
        <v>704</v>
      </c>
      <c r="E11892" s="3">
        <v>9</v>
      </c>
      <c r="F11892" s="3">
        <v>9</v>
      </c>
      <c r="G11892" t="s">
        <v>512</v>
      </c>
    </row>
    <row r="11893" spans="1:7" x14ac:dyDescent="0.25">
      <c r="A11893" s="1" t="str">
        <f>"511823"</f>
        <v>511823</v>
      </c>
      <c r="B11893" s="2" t="str">
        <f>"GAIOLA AGULHAS 10X13X10 MS210/025/250"</f>
        <v>GAIOLA AGULHAS 10X13X10 MS210/025/250</v>
      </c>
      <c r="C11893" s="2" t="str">
        <f t="shared" si="464"/>
        <v>UN</v>
      </c>
      <c r="D11893" s="7">
        <v>402</v>
      </c>
      <c r="E11893" s="3">
        <v>4</v>
      </c>
      <c r="F11893" s="3">
        <v>4</v>
      </c>
      <c r="G11893" t="s">
        <v>513</v>
      </c>
    </row>
    <row r="11894" spans="1:7" x14ac:dyDescent="0.25">
      <c r="A11894" s="1" t="str">
        <f>"511741"</f>
        <v>511741</v>
      </c>
      <c r="B11894" s="2" t="str">
        <f>"GAIOLA AGULHAS 10X16X12 MS036/360/046"</f>
        <v>GAIOLA AGULHAS 10X16X12 MS036/360/046</v>
      </c>
      <c r="C11894" s="2" t="str">
        <f t="shared" si="464"/>
        <v>UN</v>
      </c>
      <c r="D11894" s="7">
        <v>402</v>
      </c>
      <c r="E11894" s="3">
        <v>4</v>
      </c>
      <c r="F11894" s="3">
        <v>4</v>
      </c>
      <c r="G11894" t="s">
        <v>514</v>
      </c>
    </row>
    <row r="11895" spans="1:7" x14ac:dyDescent="0.25">
      <c r="A11895" s="1" t="str">
        <f>"512566"</f>
        <v>512566</v>
      </c>
      <c r="B11895" s="2" t="str">
        <f>"GAIOLO MOLA SHL-30"</f>
        <v>GAIOLO MOLA SHL-30</v>
      </c>
      <c r="C11895" s="2" t="str">
        <f t="shared" si="464"/>
        <v>UN</v>
      </c>
      <c r="D11895" s="7">
        <v>704</v>
      </c>
      <c r="E11895" s="3">
        <v>9</v>
      </c>
      <c r="F11895" s="3">
        <v>9</v>
      </c>
      <c r="G11895" t="s">
        <v>515</v>
      </c>
    </row>
    <row r="11896" spans="1:7" x14ac:dyDescent="0.25">
      <c r="A11896" s="1" t="str">
        <f>"513191"</f>
        <v>513191</v>
      </c>
      <c r="B11896" s="2" t="str">
        <f>"GALAO 20 LITROS"</f>
        <v>GALAO 20 LITROS</v>
      </c>
      <c r="C11896" s="2" t="str">
        <f t="shared" si="464"/>
        <v>UN</v>
      </c>
      <c r="D11896" s="7">
        <v>400</v>
      </c>
      <c r="E11896" s="3">
        <v>4</v>
      </c>
      <c r="F11896" s="3">
        <v>4</v>
      </c>
      <c r="G11896" t="s">
        <v>512</v>
      </c>
    </row>
    <row r="11897" spans="1:7" x14ac:dyDescent="0.25">
      <c r="A11897" s="1" t="str">
        <f>"509875"</f>
        <v>509875</v>
      </c>
      <c r="B11897" s="2" t="str">
        <f>"GALAO 60 LITROS"</f>
        <v>GALAO 60 LITROS</v>
      </c>
      <c r="C11897" s="2" t="str">
        <f t="shared" si="464"/>
        <v>UN</v>
      </c>
      <c r="D11897" s="7">
        <v>400</v>
      </c>
      <c r="E11897" s="3">
        <v>4</v>
      </c>
      <c r="F11897" s="3">
        <v>4</v>
      </c>
      <c r="G11897" t="s">
        <v>516</v>
      </c>
    </row>
    <row r="11898" spans="1:7" x14ac:dyDescent="0.25">
      <c r="A11898" s="1" t="str">
        <f>"515717"</f>
        <v>515717</v>
      </c>
      <c r="B11898" s="2" t="str">
        <f>"GALÃO AGUA VAZIO"</f>
        <v>GALÃO AGUA VAZIO</v>
      </c>
      <c r="C11898" s="2" t="str">
        <f t="shared" si="464"/>
        <v>UN</v>
      </c>
      <c r="D11898" s="7">
        <v>401</v>
      </c>
      <c r="E11898" s="3">
        <v>4</v>
      </c>
      <c r="F11898" s="3">
        <v>4</v>
      </c>
      <c r="G11898" t="s">
        <v>515</v>
      </c>
    </row>
    <row r="11899" spans="1:7" x14ac:dyDescent="0.25">
      <c r="A11899" s="1" t="str">
        <f>"526348"</f>
        <v>526348</v>
      </c>
      <c r="B11899" s="2" t="str">
        <f>"GALAXY TAB E 9,6"" MODELO 3G"</f>
        <v>GALAXY TAB E 9,6" MODELO 3G</v>
      </c>
      <c r="C11899" s="2" t="str">
        <f t="shared" si="464"/>
        <v>UN</v>
      </c>
      <c r="D11899" s="7">
        <v>99999</v>
      </c>
      <c r="E11899" s="3">
        <v>99</v>
      </c>
      <c r="F11899" s="3">
        <v>99</v>
      </c>
      <c r="G11899" t="s">
        <v>514</v>
      </c>
    </row>
    <row r="11900" spans="1:7" x14ac:dyDescent="0.25">
      <c r="A11900" s="1" t="str">
        <f>"523737"</f>
        <v>523737</v>
      </c>
      <c r="B11900" s="2" t="str">
        <f>"GAMA RESISTENTE CALOR 250° (COR LARANJA COD 60153)"</f>
        <v>GAMA RESISTENTE CALOR 250° (COR LARANJA COD 60153)</v>
      </c>
      <c r="C11900" s="2" t="str">
        <f t="shared" si="464"/>
        <v>UN</v>
      </c>
      <c r="D11900" s="7">
        <v>400</v>
      </c>
      <c r="E11900" s="3">
        <v>4</v>
      </c>
      <c r="F11900" s="3">
        <v>4</v>
      </c>
      <c r="G11900" t="s">
        <v>512</v>
      </c>
    </row>
    <row r="11901" spans="1:7" x14ac:dyDescent="0.25">
      <c r="A11901" s="1" t="str">
        <f>"525094"</f>
        <v>525094</v>
      </c>
      <c r="B11901" s="2" t="str">
        <f>"GANCHO ADESIVO RETANGULAR"</f>
        <v>GANCHO ADESIVO RETANGULAR</v>
      </c>
      <c r="C11901" s="2" t="str">
        <f t="shared" si="464"/>
        <v>UN</v>
      </c>
      <c r="D11901" s="7">
        <v>99999</v>
      </c>
      <c r="E11901" s="3">
        <v>99</v>
      </c>
      <c r="F11901" s="3">
        <v>99</v>
      </c>
      <c r="G11901" t="s">
        <v>513</v>
      </c>
    </row>
    <row r="11902" spans="1:7" x14ac:dyDescent="0.25">
      <c r="A11902" s="1" t="str">
        <f>"521671"</f>
        <v>521671</v>
      </c>
      <c r="B11902" s="2" t="str">
        <f>"GANCHO CORTINA"</f>
        <v>GANCHO CORTINA</v>
      </c>
      <c r="C11902" s="2" t="str">
        <f t="shared" si="464"/>
        <v>UN</v>
      </c>
      <c r="D11902" s="7">
        <v>99999</v>
      </c>
      <c r="E11902" s="3">
        <v>99</v>
      </c>
      <c r="F11902" s="3">
        <v>99</v>
      </c>
      <c r="G11902" t="s">
        <v>514</v>
      </c>
    </row>
    <row r="11903" spans="1:7" x14ac:dyDescent="0.25">
      <c r="A11903" s="1" t="str">
        <f>"524232"</f>
        <v>524232</v>
      </c>
      <c r="B11903" s="2" t="str">
        <f>"GANCHO CURTO P/ LUMINARIA"</f>
        <v>GANCHO CURTO P/ LUMINARIA</v>
      </c>
      <c r="C11903" s="2" t="str">
        <f t="shared" si="464"/>
        <v>UN</v>
      </c>
      <c r="D11903" s="7">
        <v>811</v>
      </c>
      <c r="E11903" s="3">
        <v>10</v>
      </c>
      <c r="F11903" s="3">
        <v>10</v>
      </c>
      <c r="G11903" t="s">
        <v>514</v>
      </c>
    </row>
    <row r="11904" spans="1:7" x14ac:dyDescent="0.25">
      <c r="A11904" s="1" t="str">
        <f>"523146"</f>
        <v>523146</v>
      </c>
      <c r="B11904" s="2" t="str">
        <f>"GANCHO CURTO P/ PERFILADO 38MM"</f>
        <v>GANCHO CURTO P/ PERFILADO 38MM</v>
      </c>
      <c r="C11904" s="2" t="str">
        <f t="shared" si="464"/>
        <v>UN</v>
      </c>
      <c r="D11904" s="7">
        <v>811</v>
      </c>
      <c r="E11904" s="3">
        <v>10</v>
      </c>
      <c r="F11904" s="3">
        <v>10</v>
      </c>
      <c r="G11904" t="s">
        <v>512</v>
      </c>
    </row>
    <row r="11905" spans="1:7" x14ac:dyDescent="0.25">
      <c r="A11905" s="1" t="str">
        <f>"522240"</f>
        <v>522240</v>
      </c>
      <c r="B11905" s="2" t="str">
        <f>"GANCHO CURTO P/ PERFILADO ACO INOX"</f>
        <v>GANCHO CURTO P/ PERFILADO ACO INOX</v>
      </c>
      <c r="C11905" s="2" t="str">
        <f t="shared" si="464"/>
        <v>UN</v>
      </c>
      <c r="D11905" s="7">
        <v>811</v>
      </c>
      <c r="E11905" s="3">
        <v>10</v>
      </c>
      <c r="F11905" s="3">
        <v>10</v>
      </c>
      <c r="G11905" t="s">
        <v>513</v>
      </c>
    </row>
    <row r="11906" spans="1:7" x14ac:dyDescent="0.25">
      <c r="A11906" s="1" t="str">
        <f>"525143"</f>
        <v>525143</v>
      </c>
      <c r="B11906" s="2" t="str">
        <f>"GANCHO DE ENGATE"</f>
        <v>GANCHO DE ENGATE</v>
      </c>
      <c r="C11906" s="2" t="str">
        <f t="shared" si="464"/>
        <v>UN</v>
      </c>
      <c r="D11906" s="7">
        <v>99999</v>
      </c>
      <c r="E11906" s="3">
        <v>99</v>
      </c>
      <c r="F11906" s="3">
        <v>99</v>
      </c>
      <c r="G11906" t="s">
        <v>514</v>
      </c>
    </row>
    <row r="11907" spans="1:7" x14ac:dyDescent="0.25">
      <c r="A11907" s="1" t="str">
        <f>"515004"</f>
        <v>515004</v>
      </c>
      <c r="B11907" s="2" t="str">
        <f>"GANCHO DE LONA"</f>
        <v>GANCHO DE LONA</v>
      </c>
      <c r="C11907" s="2" t="str">
        <f t="shared" si="464"/>
        <v>UN</v>
      </c>
      <c r="D11907" s="7">
        <v>704</v>
      </c>
      <c r="E11907" s="3">
        <v>9</v>
      </c>
      <c r="F11907" s="3">
        <v>9</v>
      </c>
      <c r="G11907" t="s">
        <v>514</v>
      </c>
    </row>
    <row r="11908" spans="1:7" x14ac:dyDescent="0.25">
      <c r="A11908" s="1" t="str">
        <f>"521773"</f>
        <v>521773</v>
      </c>
      <c r="B11908" s="2" t="str">
        <f>"GANCHO LONGO P/ PERF. 38X38MM GF"</f>
        <v>GANCHO LONGO P/ PERF. 38X38MM GF</v>
      </c>
      <c r="C11908" s="2" t="str">
        <f t="shared" si="464"/>
        <v>UN</v>
      </c>
      <c r="D11908" s="7">
        <v>811</v>
      </c>
      <c r="E11908" s="3">
        <v>11</v>
      </c>
      <c r="F11908" s="3">
        <v>11</v>
      </c>
      <c r="G11908" t="s">
        <v>514</v>
      </c>
    </row>
    <row r="11909" spans="1:7" x14ac:dyDescent="0.25">
      <c r="A11909" s="1" t="str">
        <f>"522574"</f>
        <v>522574</v>
      </c>
      <c r="B11909" s="2" t="str">
        <f>"GANCHO LONGO P/ PERFILADO A/I"</f>
        <v>GANCHO LONGO P/ PERFILADO A/I</v>
      </c>
      <c r="C11909" s="2" t="str">
        <f t="shared" si="464"/>
        <v>UN</v>
      </c>
      <c r="D11909" s="7">
        <v>600</v>
      </c>
      <c r="E11909" s="3">
        <v>10</v>
      </c>
      <c r="F11909" s="3">
        <v>10</v>
      </c>
      <c r="G11909" t="s">
        <v>513</v>
      </c>
    </row>
    <row r="11910" spans="1:7" x14ac:dyDescent="0.25">
      <c r="A11910" s="1" t="str">
        <f>"511572"</f>
        <v>511572</v>
      </c>
      <c r="B11910" s="2" t="str">
        <f>"GANCHO VARAL 6MM"</f>
        <v>GANCHO VARAL 6MM</v>
      </c>
      <c r="C11910" s="2" t="str">
        <f t="shared" si="464"/>
        <v>UN</v>
      </c>
      <c r="D11910" s="7">
        <v>803</v>
      </c>
      <c r="E11910" s="3">
        <v>10</v>
      </c>
      <c r="F11910" s="3">
        <v>10</v>
      </c>
      <c r="G11910" t="s">
        <v>512</v>
      </c>
    </row>
    <row r="11911" spans="1:7" x14ac:dyDescent="0.25">
      <c r="A11911" s="1" t="str">
        <f>"509125"</f>
        <v>509125</v>
      </c>
      <c r="B11911" s="2" t="str">
        <f>"GANCHO VARAL 8MM"</f>
        <v>GANCHO VARAL 8MM</v>
      </c>
      <c r="C11911" s="2" t="str">
        <f t="shared" si="464"/>
        <v>UN</v>
      </c>
      <c r="D11911" s="7">
        <v>917</v>
      </c>
      <c r="E11911" s="3">
        <v>11</v>
      </c>
      <c r="F11911" s="3">
        <v>11</v>
      </c>
      <c r="G11911" t="s">
        <v>513</v>
      </c>
    </row>
    <row r="11912" spans="1:7" x14ac:dyDescent="0.25">
      <c r="A11912" s="1" t="str">
        <f>"513620"</f>
        <v>513620</v>
      </c>
      <c r="B11912" s="2" t="str">
        <f>"GARANTIA ESTENDIDA 1 ANO"</f>
        <v>GARANTIA ESTENDIDA 1 ANO</v>
      </c>
      <c r="C11912" s="2" t="str">
        <f t="shared" si="464"/>
        <v>UN</v>
      </c>
      <c r="D11912" s="7">
        <v>406</v>
      </c>
      <c r="E11912" s="3">
        <v>13</v>
      </c>
      <c r="F11912" s="3">
        <v>13</v>
      </c>
      <c r="G11912" t="s">
        <v>514</v>
      </c>
    </row>
    <row r="11913" spans="1:7" x14ac:dyDescent="0.25">
      <c r="A11913" s="1" t="str">
        <f>"523333"</f>
        <v>523333</v>
      </c>
      <c r="B11913" s="2" t="str">
        <f>"GARANTIA ESTENDIDA 4 ANOS"</f>
        <v>GARANTIA ESTENDIDA 4 ANOS</v>
      </c>
      <c r="C11913" s="2" t="str">
        <f t="shared" si="464"/>
        <v>UN</v>
      </c>
      <c r="D11913" s="7">
        <v>406</v>
      </c>
      <c r="E11913" s="3">
        <v>13</v>
      </c>
      <c r="F11913" s="3">
        <v>13</v>
      </c>
      <c r="G11913" t="s">
        <v>514</v>
      </c>
    </row>
    <row r="11914" spans="1:7" x14ac:dyDescent="0.25">
      <c r="A11914" s="1" t="str">
        <f>"512847"</f>
        <v>512847</v>
      </c>
      <c r="B11914" s="2" t="str">
        <f>"GARFO"</f>
        <v>GARFO</v>
      </c>
      <c r="C11914" s="2" t="str">
        <f t="shared" si="464"/>
        <v>UN</v>
      </c>
      <c r="D11914" s="7">
        <v>99999</v>
      </c>
      <c r="E11914" s="3">
        <v>99</v>
      </c>
      <c r="F11914" s="3">
        <v>99</v>
      </c>
      <c r="G11914" t="s">
        <v>514</v>
      </c>
    </row>
    <row r="11915" spans="1:7" x14ac:dyDescent="0.25">
      <c r="A11915" s="1" t="str">
        <f>"520844"</f>
        <v>520844</v>
      </c>
      <c r="B11915" s="2" t="str">
        <f>"GARFO 1/1/1433/100"</f>
        <v>GARFO 1/1/1433/100</v>
      </c>
      <c r="C11915" s="2" t="str">
        <f t="shared" si="464"/>
        <v>UN</v>
      </c>
      <c r="D11915" s="7">
        <v>1300</v>
      </c>
      <c r="E11915" s="3">
        <v>11</v>
      </c>
      <c r="F11915" s="3">
        <v>11</v>
      </c>
      <c r="G11915" t="s">
        <v>513</v>
      </c>
    </row>
    <row r="11916" spans="1:7" x14ac:dyDescent="0.25">
      <c r="A11916" s="1" t="str">
        <f>"511868"</f>
        <v>511868</v>
      </c>
      <c r="B11916" s="2" t="str">
        <f>"GARFO 1A E 2A"</f>
        <v>GARFO 1A E 2A</v>
      </c>
      <c r="C11916" s="2" t="str">
        <f t="shared" si="464"/>
        <v>UN</v>
      </c>
      <c r="D11916" s="7">
        <v>704</v>
      </c>
      <c r="E11916" s="3">
        <v>9</v>
      </c>
      <c r="F11916" s="3">
        <v>9</v>
      </c>
      <c r="G11916" t="s">
        <v>513</v>
      </c>
    </row>
    <row r="11917" spans="1:7" x14ac:dyDescent="0.25">
      <c r="A11917" s="1" t="str">
        <f>"503458"</f>
        <v>503458</v>
      </c>
      <c r="B11917" s="2" t="str">
        <f>"GARFO 30 P/ HASTE M08 FESTO"</f>
        <v>GARFO 30 P/ HASTE M08 FESTO</v>
      </c>
      <c r="C11917" s="2" t="str">
        <f t="shared" si="464"/>
        <v>UN</v>
      </c>
      <c r="D11917" s="7">
        <v>811</v>
      </c>
      <c r="E11917" s="3">
        <v>10</v>
      </c>
      <c r="F11917" s="3">
        <v>10</v>
      </c>
      <c r="G11917" t="s">
        <v>513</v>
      </c>
    </row>
    <row r="11918" spans="1:7" x14ac:dyDescent="0.25">
      <c r="A11918" s="1" t="str">
        <f>"527027"</f>
        <v>527027</v>
      </c>
      <c r="B11918" s="2" t="str">
        <f>"GARFO 32SGA - M10 X 1,25 - 32954 FESTO"</f>
        <v>GARFO 32SGA - M10 X 1,25 - 32954 FESTO</v>
      </c>
      <c r="C11918" s="2" t="str">
        <f t="shared" si="464"/>
        <v>UN</v>
      </c>
      <c r="D11918" s="7">
        <v>913</v>
      </c>
      <c r="E11918" s="3">
        <v>11</v>
      </c>
      <c r="F11918" s="3">
        <v>11</v>
      </c>
      <c r="G11918" t="s">
        <v>512</v>
      </c>
    </row>
    <row r="11919" spans="1:7" x14ac:dyDescent="0.25">
      <c r="A11919" s="1" t="str">
        <f>"504234"</f>
        <v>504234</v>
      </c>
      <c r="B11919" s="2" t="str">
        <f>"GARFO 40 P/ HASTE M12 FESTO"</f>
        <v>GARFO 40 P/ HASTE M12 FESTO</v>
      </c>
      <c r="C11919" s="2" t="str">
        <f t="shared" si="464"/>
        <v>UN</v>
      </c>
      <c r="D11919" s="7">
        <v>812</v>
      </c>
      <c r="E11919" s="3">
        <v>10</v>
      </c>
      <c r="F11919" s="3">
        <v>10</v>
      </c>
      <c r="G11919" t="s">
        <v>513</v>
      </c>
    </row>
    <row r="11920" spans="1:7" x14ac:dyDescent="0.25">
      <c r="A11920" s="1" t="str">
        <f>"527026"</f>
        <v>527026</v>
      </c>
      <c r="B11920" s="2" t="str">
        <f>"GARFO 40SGA - M12X1,25 - 10767 FESTO"</f>
        <v>GARFO 40SGA - M12X1,25 - 10767 FESTO</v>
      </c>
      <c r="C11920" s="2" t="str">
        <f t="shared" ref="C11920:C11949" si="465">"UN"</f>
        <v>UN</v>
      </c>
      <c r="D11920" s="7">
        <v>913</v>
      </c>
      <c r="E11920" s="3">
        <v>11</v>
      </c>
      <c r="F11920" s="3">
        <v>11</v>
      </c>
      <c r="G11920" t="s">
        <v>514</v>
      </c>
    </row>
    <row r="11921" spans="1:7" x14ac:dyDescent="0.25">
      <c r="A11921" s="1" t="str">
        <f>"503223"</f>
        <v>503223</v>
      </c>
      <c r="B11921" s="2" t="str">
        <f>"GARFO ARTIC BP D35722  COD.11331603 COPO"</f>
        <v>GARFO ARTIC BP D35722  COD.11331603 COPO</v>
      </c>
      <c r="C11921" s="2" t="str">
        <f t="shared" si="465"/>
        <v>UN</v>
      </c>
      <c r="D11921" s="7">
        <v>917</v>
      </c>
      <c r="E11921" s="3">
        <v>11</v>
      </c>
      <c r="F11921" s="3">
        <v>11</v>
      </c>
      <c r="G11921" t="s">
        <v>515</v>
      </c>
    </row>
    <row r="11922" spans="1:7" x14ac:dyDescent="0.25">
      <c r="A11922" s="1" t="str">
        <f>"517588"</f>
        <v>517588</v>
      </c>
      <c r="B11922" s="2" t="str">
        <f>"GARFO COMP. 1100MM EMPILHADEIRA FMX-17"</f>
        <v>GARFO COMP. 1100MM EMPILHADEIRA FMX-17</v>
      </c>
      <c r="C11922" s="2" t="str">
        <f t="shared" si="465"/>
        <v>UN</v>
      </c>
      <c r="D11922" s="7">
        <v>918</v>
      </c>
      <c r="E11922" s="3">
        <v>11</v>
      </c>
      <c r="F11922" s="3">
        <v>11</v>
      </c>
      <c r="G11922" t="s">
        <v>512</v>
      </c>
    </row>
    <row r="11923" spans="1:7" x14ac:dyDescent="0.25">
      <c r="A11923" s="1" t="str">
        <f>"521650"</f>
        <v>521650</v>
      </c>
      <c r="B11923" s="2" t="str">
        <f>"GARFO DA VENEZIANA CENTRAL DO VENTILADOR 27A/EM50 PN2264905"</f>
        <v>GARFO DA VENEZIANA CENTRAL DO VENTILADOR 27A/EM50 PN2264905</v>
      </c>
      <c r="C11923" s="2" t="str">
        <f t="shared" si="465"/>
        <v>UN</v>
      </c>
      <c r="D11923" s="7">
        <v>916</v>
      </c>
      <c r="E11923" s="3">
        <v>10</v>
      </c>
      <c r="F11923" s="3">
        <v>10</v>
      </c>
      <c r="G11923" t="s">
        <v>516</v>
      </c>
    </row>
    <row r="11924" spans="1:7" x14ac:dyDescent="0.25">
      <c r="A11924" s="1" t="str">
        <f>"512213"</f>
        <v>512213</v>
      </c>
      <c r="B11924" s="2" t="str">
        <f>"GARFO DE RODA 130685"</f>
        <v>GARFO DE RODA 130685</v>
      </c>
      <c r="C11924" s="2" t="str">
        <f t="shared" si="465"/>
        <v>UN</v>
      </c>
      <c r="D11924" s="7">
        <v>918</v>
      </c>
      <c r="E11924" s="3">
        <v>11</v>
      </c>
      <c r="F11924" s="3">
        <v>11</v>
      </c>
      <c r="G11924" t="s">
        <v>515</v>
      </c>
    </row>
    <row r="11925" spans="1:7" x14ac:dyDescent="0.25">
      <c r="A11925" s="1" t="str">
        <f>"511463"</f>
        <v>511463</v>
      </c>
      <c r="B11925" s="2" t="str">
        <f>"GARFO DE RODA 149466"</f>
        <v>GARFO DE RODA 149466</v>
      </c>
      <c r="C11925" s="2" t="str">
        <f t="shared" si="465"/>
        <v>UN</v>
      </c>
      <c r="D11925" s="7">
        <v>918</v>
      </c>
      <c r="E11925" s="3">
        <v>11</v>
      </c>
      <c r="F11925" s="3">
        <v>11</v>
      </c>
      <c r="G11925" t="s">
        <v>514</v>
      </c>
    </row>
    <row r="11926" spans="1:7" x14ac:dyDescent="0.25">
      <c r="A11926" s="1" t="str">
        <f>"511464"</f>
        <v>511464</v>
      </c>
      <c r="B11926" s="2" t="str">
        <f>"GARFO DE RODA 179206"</f>
        <v>GARFO DE RODA 179206</v>
      </c>
      <c r="C11926" s="2" t="str">
        <f t="shared" si="465"/>
        <v>UN</v>
      </c>
      <c r="D11926" s="7">
        <v>918</v>
      </c>
      <c r="E11926" s="3">
        <v>11</v>
      </c>
      <c r="F11926" s="3">
        <v>11</v>
      </c>
      <c r="G11926" t="s">
        <v>512</v>
      </c>
    </row>
    <row r="11927" spans="1:7" x14ac:dyDescent="0.25">
      <c r="A11927" s="1" t="str">
        <f>"501795"</f>
        <v>501795</v>
      </c>
      <c r="B11927" s="2" t="str">
        <f>"GARFO DO DIFERENCIAL"</f>
        <v>GARFO DO DIFERENCIAL</v>
      </c>
      <c r="C11927" s="2" t="str">
        <f t="shared" si="465"/>
        <v>UN</v>
      </c>
      <c r="D11927" s="7">
        <v>704</v>
      </c>
      <c r="E11927" s="3">
        <v>9</v>
      </c>
      <c r="F11927" s="3">
        <v>9</v>
      </c>
      <c r="G11927" t="s">
        <v>513</v>
      </c>
    </row>
    <row r="11928" spans="1:7" x14ac:dyDescent="0.25">
      <c r="A11928" s="1" t="str">
        <f>"505741"</f>
        <v>505741</v>
      </c>
      <c r="B11928" s="2" t="str">
        <f>"GARFO EMBREAGEM"</f>
        <v>GARFO EMBREAGEM</v>
      </c>
      <c r="C11928" s="2" t="str">
        <f t="shared" si="465"/>
        <v>UN</v>
      </c>
      <c r="D11928" s="7">
        <v>704</v>
      </c>
      <c r="E11928" s="3">
        <v>9</v>
      </c>
      <c r="F11928" s="3">
        <v>9</v>
      </c>
      <c r="G11928" t="s">
        <v>514</v>
      </c>
    </row>
    <row r="11929" spans="1:7" x14ac:dyDescent="0.25">
      <c r="A11929" s="1" t="str">
        <f>"526378"</f>
        <v>526378</v>
      </c>
      <c r="B11929" s="2" t="str">
        <f>"GARFO EMPILHADEIRA"</f>
        <v>GARFO EMPILHADEIRA</v>
      </c>
      <c r="C11929" s="2" t="str">
        <f t="shared" si="465"/>
        <v>UN</v>
      </c>
      <c r="D11929" s="7">
        <v>918</v>
      </c>
      <c r="E11929" s="3">
        <v>11</v>
      </c>
      <c r="F11929" s="3">
        <v>11</v>
      </c>
      <c r="G11929" t="s">
        <v>514</v>
      </c>
    </row>
    <row r="11930" spans="1:7" x14ac:dyDescent="0.25">
      <c r="A11930" s="1" t="str">
        <f>"500867"</f>
        <v>500867</v>
      </c>
      <c r="B11930" s="2" t="str">
        <f>"GARFO FLANGEADO"</f>
        <v>GARFO FLANGEADO</v>
      </c>
      <c r="C11930" s="2" t="str">
        <f t="shared" si="465"/>
        <v>UN</v>
      </c>
      <c r="D11930" s="7">
        <v>918</v>
      </c>
      <c r="E11930" s="3">
        <v>11</v>
      </c>
      <c r="F11930" s="3">
        <v>11</v>
      </c>
      <c r="G11930" t="s">
        <v>512</v>
      </c>
    </row>
    <row r="11931" spans="1:7" x14ac:dyDescent="0.25">
      <c r="A11931" s="1" t="str">
        <f>"509095"</f>
        <v>509095</v>
      </c>
      <c r="B11931" s="2" t="str">
        <f>"GARFO H EVOLUTION 0083000022"</f>
        <v>GARFO H EVOLUTION 0083000022</v>
      </c>
      <c r="C11931" s="2" t="str">
        <f t="shared" si="465"/>
        <v>UN</v>
      </c>
      <c r="D11931" s="7">
        <v>918</v>
      </c>
      <c r="E11931" s="3">
        <v>11</v>
      </c>
      <c r="F11931" s="3">
        <v>11</v>
      </c>
      <c r="G11931" t="s">
        <v>513</v>
      </c>
    </row>
    <row r="11932" spans="1:7" x14ac:dyDescent="0.25">
      <c r="A11932" s="1" t="str">
        <f>"514157"</f>
        <v>514157</v>
      </c>
      <c r="B11932" s="2" t="str">
        <f>"GARFO PARA ROLO DE PINTURA"</f>
        <v>GARFO PARA ROLO DE PINTURA</v>
      </c>
      <c r="C11932" s="2" t="str">
        <f t="shared" si="465"/>
        <v>UN</v>
      </c>
      <c r="D11932" s="7">
        <v>403</v>
      </c>
      <c r="E11932" s="3">
        <v>4</v>
      </c>
      <c r="F11932" s="3">
        <v>4</v>
      </c>
      <c r="G11932" t="s">
        <v>514</v>
      </c>
    </row>
    <row r="11933" spans="1:7" x14ac:dyDescent="0.25">
      <c r="A11933" s="1" t="str">
        <f>"502042"</f>
        <v>502042</v>
      </c>
      <c r="B11933" s="2" t="str">
        <f>"GARFO ROTULA P/HASTE M10 X 1,25MM"</f>
        <v>GARFO ROTULA P/HASTE M10 X 1,25MM</v>
      </c>
      <c r="C11933" s="2" t="str">
        <f t="shared" si="465"/>
        <v>UN</v>
      </c>
      <c r="D11933" s="7">
        <v>812</v>
      </c>
      <c r="E11933" s="3">
        <v>10</v>
      </c>
      <c r="F11933" s="3">
        <v>10</v>
      </c>
      <c r="G11933" t="s">
        <v>514</v>
      </c>
    </row>
    <row r="11934" spans="1:7" x14ac:dyDescent="0.25">
      <c r="A11934" s="1" t="str">
        <f>"522708"</f>
        <v>522708</v>
      </c>
      <c r="B11934" s="8" t="s">
        <v>327</v>
      </c>
      <c r="C11934" s="2" t="str">
        <f t="shared" si="465"/>
        <v>UN</v>
      </c>
      <c r="D11934" s="7">
        <v>913</v>
      </c>
      <c r="E11934" s="3">
        <v>11</v>
      </c>
      <c r="F11934" s="3">
        <v>11</v>
      </c>
      <c r="G11934" t="s">
        <v>514</v>
      </c>
    </row>
    <row r="11935" spans="1:7" x14ac:dyDescent="0.25">
      <c r="A11935" s="1" t="str">
        <f>"509094"</f>
        <v>509094</v>
      </c>
      <c r="B11935" s="2" t="str">
        <f>"GARFO U EVOLUTION 008300030"</f>
        <v>GARFO U EVOLUTION 008300030</v>
      </c>
      <c r="C11935" s="2" t="str">
        <f t="shared" si="465"/>
        <v>UN</v>
      </c>
      <c r="D11935" s="7">
        <v>918</v>
      </c>
      <c r="E11935" s="3">
        <v>11</v>
      </c>
      <c r="F11935" s="3">
        <v>11</v>
      </c>
      <c r="G11935" t="s">
        <v>513</v>
      </c>
    </row>
    <row r="11936" spans="1:7" x14ac:dyDescent="0.25">
      <c r="A11936" s="1" t="str">
        <f>"509296"</f>
        <v>509296</v>
      </c>
      <c r="B11936" s="2" t="str">
        <f>"GARFO U EVOLUTION 008300058"</f>
        <v>GARFO U EVOLUTION 008300058</v>
      </c>
      <c r="C11936" s="2" t="str">
        <f t="shared" si="465"/>
        <v>UN</v>
      </c>
      <c r="D11936" s="7">
        <v>918</v>
      </c>
      <c r="E11936" s="3">
        <v>11</v>
      </c>
      <c r="F11936" s="3">
        <v>11</v>
      </c>
      <c r="G11936" t="s">
        <v>512</v>
      </c>
    </row>
    <row r="11937" spans="1:7" x14ac:dyDescent="0.25">
      <c r="A11937" s="1" t="str">
        <f>"527674"</f>
        <v>527674</v>
      </c>
      <c r="B11937" s="2" t="str">
        <f>"GARGALO P/ MOLDE DE SOPRO FR. IOGURTE 170G (PEAD) 2X3"</f>
        <v>GARGALO P/ MOLDE DE SOPRO FR. IOGURTE 170G (PEAD) 2X3</v>
      </c>
      <c r="C11937" s="2" t="str">
        <f t="shared" si="465"/>
        <v>UN</v>
      </c>
      <c r="D11937" s="7">
        <v>1300</v>
      </c>
      <c r="E11937" s="3">
        <v>13</v>
      </c>
      <c r="F11937" s="3">
        <v>13</v>
      </c>
      <c r="G11937" t="s">
        <v>513</v>
      </c>
    </row>
    <row r="11938" spans="1:7" x14ac:dyDescent="0.25">
      <c r="A11938" s="1" t="str">
        <f>"527673"</f>
        <v>527673</v>
      </c>
      <c r="B11938" s="2" t="str">
        <f>"GARGALO P/ MOLDE DE SOPRO FR. IOGURTE 170G (PEAD) 2X6"</f>
        <v>GARGALO P/ MOLDE DE SOPRO FR. IOGURTE 170G (PEAD) 2X6</v>
      </c>
      <c r="C11938" s="2" t="str">
        <f t="shared" si="465"/>
        <v>UN</v>
      </c>
      <c r="D11938" s="7">
        <v>1300</v>
      </c>
      <c r="E11938" s="3">
        <v>13</v>
      </c>
      <c r="F11938" s="3">
        <v>13</v>
      </c>
      <c r="G11938" t="s">
        <v>514</v>
      </c>
    </row>
    <row r="11939" spans="1:7" x14ac:dyDescent="0.25">
      <c r="A11939" s="1" t="str">
        <f>"525358"</f>
        <v>525358</v>
      </c>
      <c r="B11939" s="2" t="str">
        <f>"GARGANTA ESCAPE"</f>
        <v>GARGANTA ESCAPE</v>
      </c>
      <c r="C11939" s="2" t="str">
        <f t="shared" si="465"/>
        <v>UN</v>
      </c>
      <c r="D11939" s="7">
        <v>704</v>
      </c>
      <c r="E11939" s="3">
        <v>9</v>
      </c>
      <c r="F11939" s="3">
        <v>9</v>
      </c>
      <c r="G11939" t="s">
        <v>514</v>
      </c>
    </row>
    <row r="11940" spans="1:7" x14ac:dyDescent="0.25">
      <c r="A11940" s="1" t="str">
        <f>"519845"</f>
        <v>519845</v>
      </c>
      <c r="B11940" s="2" t="str">
        <f>"GARRA 7/8X77X520D"</f>
        <v>GARRA 7/8X77X520D</v>
      </c>
      <c r="C11940" s="2" t="str">
        <f t="shared" si="465"/>
        <v>UN</v>
      </c>
      <c r="D11940" s="7">
        <v>918</v>
      </c>
      <c r="E11940" s="3">
        <v>11</v>
      </c>
      <c r="F11940" s="3">
        <v>11</v>
      </c>
      <c r="G11940" t="s">
        <v>514</v>
      </c>
    </row>
    <row r="11941" spans="1:7" x14ac:dyDescent="0.25">
      <c r="A11941" s="1" t="str">
        <f>"515464"</f>
        <v>515464</v>
      </c>
      <c r="B11941" s="2" t="str">
        <f>"GARRA BATERIA REFORCADA"</f>
        <v>GARRA BATERIA REFORCADA</v>
      </c>
      <c r="C11941" s="2" t="str">
        <f t="shared" si="465"/>
        <v>UN</v>
      </c>
      <c r="D11941" s="7">
        <v>704</v>
      </c>
      <c r="E11941" s="3">
        <v>9</v>
      </c>
      <c r="F11941" s="3">
        <v>9</v>
      </c>
      <c r="G11941" t="s">
        <v>513</v>
      </c>
    </row>
    <row r="11942" spans="1:7" x14ac:dyDescent="0.25">
      <c r="A11942" s="1" t="str">
        <f>"524092"</f>
        <v>524092</v>
      </c>
      <c r="B11942" s="2" t="str">
        <f>"GARRA BLOQUEIO E TRAVAMENTO AÇO BOCA 38MM 1 1/2"" GAVM38"</f>
        <v>GARRA BLOQUEIO E TRAVAMENTO AÇO BOCA 38MM 1 1/2" GAVM38</v>
      </c>
      <c r="C11942" s="2" t="str">
        <f t="shared" si="465"/>
        <v>UN</v>
      </c>
      <c r="D11942" s="7">
        <v>817</v>
      </c>
      <c r="E11942" s="3">
        <v>4</v>
      </c>
      <c r="F11942" s="3">
        <v>4</v>
      </c>
      <c r="G11942" t="s">
        <v>513</v>
      </c>
    </row>
    <row r="11943" spans="1:7" x14ac:dyDescent="0.25">
      <c r="A11943" s="1" t="str">
        <f>"510150"</f>
        <v>510150</v>
      </c>
      <c r="B11943" s="2" t="str">
        <f>"GARRA FINAL 8WA1 806 P/ TRILHO SIEMENS"</f>
        <v>GARRA FINAL 8WA1 806 P/ TRILHO SIEMENS</v>
      </c>
      <c r="C11943" s="2" t="str">
        <f t="shared" si="465"/>
        <v>UN</v>
      </c>
      <c r="D11943" s="7">
        <v>600</v>
      </c>
      <c r="E11943" s="3">
        <v>8</v>
      </c>
      <c r="F11943" s="3">
        <v>8</v>
      </c>
      <c r="G11943" t="s">
        <v>513</v>
      </c>
    </row>
    <row r="11944" spans="1:7" x14ac:dyDescent="0.25">
      <c r="A11944" s="1" t="str">
        <f>"510291"</f>
        <v>510291</v>
      </c>
      <c r="B11944" s="2" t="str">
        <f>"GARRA FINAL P/ CONECTOR SAK"</f>
        <v>GARRA FINAL P/ CONECTOR SAK</v>
      </c>
      <c r="C11944" s="2" t="str">
        <f t="shared" si="465"/>
        <v>UN</v>
      </c>
      <c r="D11944" s="7">
        <v>600</v>
      </c>
      <c r="E11944" s="3">
        <v>8</v>
      </c>
      <c r="F11944" s="3">
        <v>8</v>
      </c>
      <c r="G11944" t="s">
        <v>512</v>
      </c>
    </row>
    <row r="11945" spans="1:7" x14ac:dyDescent="0.25">
      <c r="A11945" s="1" t="str">
        <f>"520733"</f>
        <v>520733</v>
      </c>
      <c r="B11945" s="2" t="str">
        <f>"GARRA METALICA 6F BOCA 25,4MM"</f>
        <v>GARRA METALICA 6F BOCA 25,4MM</v>
      </c>
      <c r="C11945" s="2" t="str">
        <f t="shared" si="465"/>
        <v>UN</v>
      </c>
      <c r="D11945" s="7">
        <v>817</v>
      </c>
      <c r="E11945" s="3">
        <v>4</v>
      </c>
      <c r="F11945" s="3">
        <v>4</v>
      </c>
      <c r="G11945" t="s">
        <v>513</v>
      </c>
    </row>
    <row r="11946" spans="1:7" x14ac:dyDescent="0.25">
      <c r="A11946" s="1" t="str">
        <f>"518742"</f>
        <v>518742</v>
      </c>
      <c r="B11946" s="2" t="str">
        <f>"GARRA NEGATIVA 500A BRONZE ARTOCH"</f>
        <v>GARRA NEGATIVA 500A BRONZE ARTOCH</v>
      </c>
      <c r="C11946" s="2" t="str">
        <f t="shared" si="465"/>
        <v>UN</v>
      </c>
      <c r="D11946" s="7">
        <v>811</v>
      </c>
      <c r="E11946" s="3">
        <v>8</v>
      </c>
      <c r="F11946" s="3">
        <v>8</v>
      </c>
      <c r="G11946" t="s">
        <v>514</v>
      </c>
    </row>
    <row r="11947" spans="1:7" x14ac:dyDescent="0.25">
      <c r="A11947" s="1" t="str">
        <f>"522120"</f>
        <v>522120</v>
      </c>
      <c r="B11947" s="2" t="str">
        <f>"GARRA P/ BOBINA GIRAT ENCAIXE GARFOS EMPIL GGBES10-A 1000KG"</f>
        <v>GARRA P/ BOBINA GIRAT ENCAIXE GARFOS EMPIL GGBES10-A 1000KG</v>
      </c>
      <c r="C11947" s="2" t="str">
        <f t="shared" si="465"/>
        <v>UN</v>
      </c>
      <c r="D11947" s="7">
        <v>1300</v>
      </c>
      <c r="E11947" s="3">
        <v>13</v>
      </c>
      <c r="F11947" s="3">
        <v>13</v>
      </c>
      <c r="G11947" t="s">
        <v>515</v>
      </c>
    </row>
    <row r="11948" spans="1:7" x14ac:dyDescent="0.25">
      <c r="A11948" s="1" t="str">
        <f>"524050"</f>
        <v>524050</v>
      </c>
      <c r="B11948" s="2" t="str">
        <f>"GARRA PLASTICA 6 FUROS BOCA 23MM GANCHO 4MM GP254BC"</f>
        <v>GARRA PLASTICA 6 FUROS BOCA 23MM GANCHO 4MM GP254BC</v>
      </c>
      <c r="C11948" s="2" t="str">
        <f t="shared" si="465"/>
        <v>UN</v>
      </c>
      <c r="D11948" s="7">
        <v>817</v>
      </c>
      <c r="E11948" s="3">
        <v>4</v>
      </c>
      <c r="F11948" s="3">
        <v>4</v>
      </c>
      <c r="G11948" t="s">
        <v>512</v>
      </c>
    </row>
    <row r="11949" spans="1:7" x14ac:dyDescent="0.25">
      <c r="A11949" s="1" t="str">
        <f>"520925"</f>
        <v>520925</v>
      </c>
      <c r="B11949" s="2" t="str">
        <f>"GARRAFA SACA AMOSTRA GARGALO 37MM ROLHA/ACABAMENTO CROMADO"</f>
        <v>GARRAFA SACA AMOSTRA GARGALO 37MM ROLHA/ACABAMENTO CROMADO</v>
      </c>
      <c r="C11949" s="2" t="str">
        <f t="shared" si="465"/>
        <v>UN</v>
      </c>
      <c r="D11949" s="7">
        <v>99999</v>
      </c>
      <c r="E11949" s="3">
        <v>99</v>
      </c>
      <c r="F11949" s="3">
        <v>99</v>
      </c>
      <c r="G11949" t="s">
        <v>516</v>
      </c>
    </row>
    <row r="11950" spans="1:7" x14ac:dyDescent="0.25">
      <c r="A11950" s="1" t="str">
        <f>"524875"</f>
        <v>524875</v>
      </c>
      <c r="B11950" s="2" t="str">
        <f>"GARRAFA SLIM 610ML C/ ALÇA E GRAVAÇÃO LOGO CAROLINA"</f>
        <v>GARRAFA SLIM 610ML C/ ALÇA E GRAVAÇÃO LOGO CAROLINA</v>
      </c>
      <c r="C11950" s="2" t="str">
        <f>"PC"</f>
        <v>PC</v>
      </c>
      <c r="D11950" s="7">
        <v>401</v>
      </c>
      <c r="E11950" s="3">
        <v>4</v>
      </c>
      <c r="F11950" s="3">
        <v>4</v>
      </c>
      <c r="G11950" t="s">
        <v>515</v>
      </c>
    </row>
    <row r="11951" spans="1:7" x14ac:dyDescent="0.25">
      <c r="A11951" s="1" t="str">
        <f>"523478"</f>
        <v>523478</v>
      </c>
      <c r="B11951" s="2" t="str">
        <f>"GARRAFA TERMICA 1 LITRO"</f>
        <v>GARRAFA TERMICA 1 LITRO</v>
      </c>
      <c r="C11951" s="2" t="str">
        <f t="shared" ref="C11951:C11962" si="466">"UN"</f>
        <v>UN</v>
      </c>
      <c r="D11951" s="7">
        <v>918</v>
      </c>
      <c r="E11951" s="3">
        <v>4</v>
      </c>
      <c r="F11951" s="3">
        <v>4</v>
      </c>
      <c r="G11951" t="s">
        <v>514</v>
      </c>
    </row>
    <row r="11952" spans="1:7" x14ac:dyDescent="0.25">
      <c r="A11952" s="1" t="str">
        <f>"512909"</f>
        <v>512909</v>
      </c>
      <c r="B11952" s="2" t="str">
        <f>"GARRAFA TERMICA 1,8 LITROS"</f>
        <v>GARRAFA TERMICA 1,8 LITROS</v>
      </c>
      <c r="C11952" s="2" t="str">
        <f t="shared" si="466"/>
        <v>UN</v>
      </c>
      <c r="D11952" s="7">
        <v>918</v>
      </c>
      <c r="E11952" s="3">
        <v>4</v>
      </c>
      <c r="F11952" s="3">
        <v>4</v>
      </c>
      <c r="G11952" t="s">
        <v>512</v>
      </c>
    </row>
    <row r="11953" spans="1:7" x14ac:dyDescent="0.25">
      <c r="A11953" s="1" t="str">
        <f>"509491"</f>
        <v>509491</v>
      </c>
      <c r="B11953" s="2" t="str">
        <f>"GARRAFA TERMICA 12 LITROS TERMOLAR C/ TORNEIRA"</f>
        <v>GARRAFA TERMICA 12 LITROS TERMOLAR C/ TORNEIRA</v>
      </c>
      <c r="C11953" s="2" t="str">
        <f t="shared" si="466"/>
        <v>UN</v>
      </c>
      <c r="D11953" s="7">
        <v>410</v>
      </c>
      <c r="E11953" s="3">
        <v>4</v>
      </c>
      <c r="F11953" s="3">
        <v>4</v>
      </c>
      <c r="G11953" t="s">
        <v>513</v>
      </c>
    </row>
    <row r="11954" spans="1:7" x14ac:dyDescent="0.25">
      <c r="A11954" s="1" t="str">
        <f>"515511"</f>
        <v>515511</v>
      </c>
      <c r="B11954" s="2" t="str">
        <f>"GARRAFA TERMICA 250 ML"</f>
        <v>GARRAFA TERMICA 250 ML</v>
      </c>
      <c r="C11954" s="2" t="str">
        <f t="shared" si="466"/>
        <v>UN</v>
      </c>
      <c r="D11954" s="7">
        <v>401</v>
      </c>
      <c r="E11954" s="3">
        <v>4</v>
      </c>
      <c r="F11954" s="3">
        <v>4</v>
      </c>
      <c r="G11954" t="s">
        <v>514</v>
      </c>
    </row>
    <row r="11955" spans="1:7" x14ac:dyDescent="0.25">
      <c r="A11955" s="1" t="str">
        <f>"509479"</f>
        <v>509479</v>
      </c>
      <c r="B11955" s="2" t="str">
        <f>"GARRAFA TERMICA 6 LITROS TERMOLAR C/ TORNEIRA"</f>
        <v>GARRAFA TERMICA 6 LITROS TERMOLAR C/ TORNEIRA</v>
      </c>
      <c r="C11955" s="2" t="str">
        <f t="shared" si="466"/>
        <v>UN</v>
      </c>
      <c r="D11955" s="7">
        <v>410</v>
      </c>
      <c r="E11955" s="3">
        <v>4</v>
      </c>
      <c r="F11955" s="3">
        <v>4</v>
      </c>
      <c r="G11955" t="s">
        <v>514</v>
      </c>
    </row>
    <row r="11956" spans="1:7" x14ac:dyDescent="0.25">
      <c r="A11956" s="1" t="str">
        <f>"519708"</f>
        <v>519708</v>
      </c>
      <c r="B11956" s="2" t="str">
        <f>"GARRAFA TERMICA INVICTA 3 LITROS"</f>
        <v>GARRAFA TERMICA INVICTA 3 LITROS</v>
      </c>
      <c r="C11956" s="2" t="str">
        <f t="shared" si="466"/>
        <v>UN</v>
      </c>
      <c r="D11956" s="7">
        <v>918</v>
      </c>
      <c r="E11956" s="3">
        <v>4</v>
      </c>
      <c r="F11956" s="3">
        <v>4</v>
      </c>
      <c r="G11956" t="s">
        <v>512</v>
      </c>
    </row>
    <row r="11957" spans="1:7" x14ac:dyDescent="0.25">
      <c r="A11957" s="1" t="str">
        <f>"515096"</f>
        <v>515096</v>
      </c>
      <c r="B11957" s="2" t="str">
        <f>"GARROTE"</f>
        <v>GARROTE</v>
      </c>
      <c r="C11957" s="2" t="str">
        <f t="shared" si="466"/>
        <v>UN</v>
      </c>
      <c r="D11957" s="7">
        <v>401</v>
      </c>
      <c r="E11957" s="3">
        <v>4</v>
      </c>
      <c r="F11957" s="3">
        <v>4</v>
      </c>
      <c r="G11957" t="s">
        <v>513</v>
      </c>
    </row>
    <row r="11958" spans="1:7" x14ac:dyDescent="0.25">
      <c r="A11958" s="1" t="str">
        <f>"500635"</f>
        <v>500635</v>
      </c>
      <c r="B11958" s="2" t="str">
        <f>"GAS - BOTIJAO  2 KG"</f>
        <v>GAS - BOTIJAO  2 KG</v>
      </c>
      <c r="C11958" s="2" t="str">
        <f t="shared" si="466"/>
        <v>UN</v>
      </c>
      <c r="D11958" s="7">
        <v>402</v>
      </c>
      <c r="E11958" s="3">
        <v>4</v>
      </c>
      <c r="F11958" s="3">
        <v>4</v>
      </c>
      <c r="G11958" t="s">
        <v>514</v>
      </c>
    </row>
    <row r="11959" spans="1:7" x14ac:dyDescent="0.25">
      <c r="A11959" s="1" t="str">
        <f>"500634"</f>
        <v>500634</v>
      </c>
      <c r="B11959" s="2" t="str">
        <f>"GAS - BOTIJAO 13 KG"</f>
        <v>GAS - BOTIJAO 13 KG</v>
      </c>
      <c r="C11959" s="2" t="str">
        <f t="shared" si="466"/>
        <v>UN</v>
      </c>
      <c r="D11959" s="7">
        <v>402</v>
      </c>
      <c r="E11959" s="3">
        <v>4</v>
      </c>
      <c r="F11959" s="3">
        <v>4</v>
      </c>
      <c r="G11959" t="s">
        <v>514</v>
      </c>
    </row>
    <row r="11960" spans="1:7" x14ac:dyDescent="0.25">
      <c r="A11960" s="1" t="str">
        <f>"507930"</f>
        <v>507930</v>
      </c>
      <c r="B11960" s="2" t="str">
        <f>"GAS - BOTIJAO 20 KG"</f>
        <v>GAS - BOTIJAO 20 KG</v>
      </c>
      <c r="C11960" s="2" t="str">
        <f t="shared" si="466"/>
        <v>UN</v>
      </c>
      <c r="D11960" s="7">
        <v>99999</v>
      </c>
      <c r="E11960" s="3">
        <v>99</v>
      </c>
      <c r="F11960" s="3">
        <v>99</v>
      </c>
      <c r="G11960" t="s">
        <v>514</v>
      </c>
    </row>
    <row r="11961" spans="1:7" x14ac:dyDescent="0.25">
      <c r="A11961" s="1" t="str">
        <f>"514555"</f>
        <v>514555</v>
      </c>
      <c r="B11961" s="2" t="str">
        <f>"GAS ACETILENO"</f>
        <v>GAS ACETILENO</v>
      </c>
      <c r="C11961" s="2" t="str">
        <f t="shared" si="466"/>
        <v>UN</v>
      </c>
      <c r="D11961" s="7">
        <v>816</v>
      </c>
      <c r="E11961" s="3">
        <v>4</v>
      </c>
      <c r="F11961" s="3">
        <v>4</v>
      </c>
      <c r="G11961" t="s">
        <v>513</v>
      </c>
    </row>
    <row r="11962" spans="1:7" x14ac:dyDescent="0.25">
      <c r="A11962" s="1" t="str">
        <f>"501322"</f>
        <v>501322</v>
      </c>
      <c r="B11962" s="2" t="str">
        <f>"GAS ARGONIO - CILINDRO"</f>
        <v>GAS ARGONIO - CILINDRO</v>
      </c>
      <c r="C11962" s="2" t="str">
        <f t="shared" si="466"/>
        <v>UN</v>
      </c>
      <c r="D11962" s="7">
        <v>99999</v>
      </c>
      <c r="E11962" s="3">
        <v>99</v>
      </c>
      <c r="F11962" s="3">
        <v>99</v>
      </c>
      <c r="G11962" t="s">
        <v>512</v>
      </c>
    </row>
    <row r="11963" spans="1:7" x14ac:dyDescent="0.25">
      <c r="A11963" s="1" t="str">
        <f>"1271"</f>
        <v>1271</v>
      </c>
      <c r="B11963" s="2" t="str">
        <f>"GAS ARGONIO (CILINDRO)"</f>
        <v>GAS ARGONIO (CILINDRO)</v>
      </c>
      <c r="C11963" s="2" t="str">
        <f>"M3"</f>
        <v>M3</v>
      </c>
      <c r="D11963" s="7">
        <v>402</v>
      </c>
      <c r="E11963" s="3">
        <v>4</v>
      </c>
      <c r="F11963" s="3">
        <v>4</v>
      </c>
      <c r="G11963" t="s">
        <v>513</v>
      </c>
    </row>
    <row r="11964" spans="1:7" x14ac:dyDescent="0.25">
      <c r="A11964" s="1" t="str">
        <f>"520318"</f>
        <v>520318</v>
      </c>
      <c r="B11964" s="2" t="str">
        <f>"GAS BUTANO 190G"</f>
        <v>GAS BUTANO 190G</v>
      </c>
      <c r="C11964" s="2" t="str">
        <f t="shared" ref="C11964:C11982" si="467">"UN"</f>
        <v>UN</v>
      </c>
      <c r="D11964" s="7">
        <v>818</v>
      </c>
      <c r="E11964" s="3">
        <v>10</v>
      </c>
      <c r="F11964" s="3">
        <v>10</v>
      </c>
      <c r="G11964" t="s">
        <v>514</v>
      </c>
    </row>
    <row r="11965" spans="1:7" x14ac:dyDescent="0.25">
      <c r="A11965" s="1" t="str">
        <f>"500805"</f>
        <v>500805</v>
      </c>
      <c r="B11965" s="2" t="str">
        <f>"GAS FREON R-12"</f>
        <v>GAS FREON R-12</v>
      </c>
      <c r="C11965" s="2" t="str">
        <f t="shared" si="467"/>
        <v>UN</v>
      </c>
      <c r="D11965" s="7">
        <v>818</v>
      </c>
      <c r="E11965" s="3">
        <v>10</v>
      </c>
      <c r="F11965" s="3">
        <v>10</v>
      </c>
      <c r="G11965" t="s">
        <v>514</v>
      </c>
    </row>
    <row r="11966" spans="1:7" x14ac:dyDescent="0.25">
      <c r="A11966" s="1" t="str">
        <f>"505493"</f>
        <v>505493</v>
      </c>
      <c r="B11966" s="2" t="str">
        <f>"GAS FREON R-134A"</f>
        <v>GAS FREON R-134A</v>
      </c>
      <c r="C11966" s="2" t="str">
        <f t="shared" si="467"/>
        <v>UN</v>
      </c>
      <c r="D11966" s="7">
        <v>99999</v>
      </c>
      <c r="E11966" s="3">
        <v>99</v>
      </c>
      <c r="F11966" s="3">
        <v>99</v>
      </c>
      <c r="G11966" t="s">
        <v>514</v>
      </c>
    </row>
    <row r="11967" spans="1:7" x14ac:dyDescent="0.25">
      <c r="A11967" s="1" t="str">
        <f>"501729"</f>
        <v>501729</v>
      </c>
      <c r="B11967" s="2" t="str">
        <f>"GAS FREON R-22"</f>
        <v>GAS FREON R-22</v>
      </c>
      <c r="C11967" s="2" t="str">
        <f t="shared" si="467"/>
        <v>UN</v>
      </c>
      <c r="D11967" s="7">
        <v>818</v>
      </c>
      <c r="E11967" s="3">
        <v>10</v>
      </c>
      <c r="F11967" s="3">
        <v>10</v>
      </c>
      <c r="G11967" t="s">
        <v>513</v>
      </c>
    </row>
    <row r="11968" spans="1:7" x14ac:dyDescent="0.25">
      <c r="A11968" s="1" t="str">
        <f>"502158"</f>
        <v>502158</v>
      </c>
      <c r="B11968" s="2" t="str">
        <f>"GAS FREON R-401 A"</f>
        <v>GAS FREON R-401 A</v>
      </c>
      <c r="C11968" s="2" t="str">
        <f t="shared" si="467"/>
        <v>UN</v>
      </c>
      <c r="D11968" s="7">
        <v>818</v>
      </c>
      <c r="E11968" s="3">
        <v>10</v>
      </c>
      <c r="F11968" s="3">
        <v>10</v>
      </c>
      <c r="G11968" t="s">
        <v>513</v>
      </c>
    </row>
    <row r="11969" spans="1:7" x14ac:dyDescent="0.25">
      <c r="A11969" s="1" t="str">
        <f>"519241"</f>
        <v>519241</v>
      </c>
      <c r="B11969" s="2" t="str">
        <f>"GAS FREON R-402 A"</f>
        <v>GAS FREON R-402 A</v>
      </c>
      <c r="C11969" s="2" t="str">
        <f t="shared" si="467"/>
        <v>UN</v>
      </c>
      <c r="D11969" s="7">
        <v>818</v>
      </c>
      <c r="E11969" s="3">
        <v>10</v>
      </c>
      <c r="F11969" s="3">
        <v>10</v>
      </c>
      <c r="G11969" t="s">
        <v>513</v>
      </c>
    </row>
    <row r="11970" spans="1:7" x14ac:dyDescent="0.25">
      <c r="A11970" s="1" t="str">
        <f>"523055"</f>
        <v>523055</v>
      </c>
      <c r="B11970" s="2" t="str">
        <f>"GAS FREON R-402 B"</f>
        <v>GAS FREON R-402 B</v>
      </c>
      <c r="C11970" s="2" t="str">
        <f t="shared" si="467"/>
        <v>UN</v>
      </c>
      <c r="D11970" s="7">
        <v>818</v>
      </c>
      <c r="E11970" s="3">
        <v>10</v>
      </c>
      <c r="F11970" s="3">
        <v>10</v>
      </c>
      <c r="G11970" t="s">
        <v>512</v>
      </c>
    </row>
    <row r="11971" spans="1:7" x14ac:dyDescent="0.25">
      <c r="A11971" s="1" t="str">
        <f>"517651"</f>
        <v>517651</v>
      </c>
      <c r="B11971" s="2" t="str">
        <f>"GAS FREON R-404 A 10,9 KG"</f>
        <v>GAS FREON R-404 A 10,9 KG</v>
      </c>
      <c r="C11971" s="2" t="str">
        <f t="shared" si="467"/>
        <v>UN</v>
      </c>
      <c r="D11971" s="7">
        <v>818</v>
      </c>
      <c r="E11971" s="3">
        <v>10</v>
      </c>
      <c r="F11971" s="3">
        <v>10</v>
      </c>
      <c r="G11971" t="s">
        <v>513</v>
      </c>
    </row>
    <row r="11972" spans="1:7" x14ac:dyDescent="0.25">
      <c r="A11972" s="1" t="str">
        <f>"518279"</f>
        <v>518279</v>
      </c>
      <c r="B11972" s="2" t="str">
        <f>"GAS FREON R-410A"</f>
        <v>GAS FREON R-410A</v>
      </c>
      <c r="C11972" s="2" t="str">
        <f t="shared" si="467"/>
        <v>UN</v>
      </c>
      <c r="D11972" s="7">
        <v>818</v>
      </c>
      <c r="E11972" s="3">
        <v>10</v>
      </c>
      <c r="F11972" s="3">
        <v>10</v>
      </c>
      <c r="G11972" t="s">
        <v>514</v>
      </c>
    </row>
    <row r="11973" spans="1:7" x14ac:dyDescent="0.25">
      <c r="A11973" s="1" t="str">
        <f>"526950"</f>
        <v>526950</v>
      </c>
      <c r="B11973" s="2" t="str">
        <f>"GAS FREON R-438"</f>
        <v>GAS FREON R-438</v>
      </c>
      <c r="C11973" s="2" t="str">
        <f t="shared" si="467"/>
        <v>UN</v>
      </c>
      <c r="D11973" s="7">
        <v>804</v>
      </c>
      <c r="E11973" s="3">
        <v>10</v>
      </c>
      <c r="F11973" s="3">
        <v>10</v>
      </c>
      <c r="G11973" t="s">
        <v>515</v>
      </c>
    </row>
    <row r="11974" spans="1:7" x14ac:dyDescent="0.25">
      <c r="A11974" s="1" t="str">
        <f>"524098"</f>
        <v>524098</v>
      </c>
      <c r="B11974" s="2" t="str">
        <f>"GAS HELIO"</f>
        <v>GAS HELIO</v>
      </c>
      <c r="C11974" s="2" t="str">
        <f t="shared" si="467"/>
        <v>UN</v>
      </c>
      <c r="D11974" s="7">
        <v>816</v>
      </c>
      <c r="E11974" s="3">
        <v>4</v>
      </c>
      <c r="F11974" s="3">
        <v>4</v>
      </c>
      <c r="G11974" t="s">
        <v>512</v>
      </c>
    </row>
    <row r="11975" spans="1:7" x14ac:dyDescent="0.25">
      <c r="A11975" s="1" t="str">
        <f>"508858"</f>
        <v>508858</v>
      </c>
      <c r="B11975" s="2" t="str">
        <f>"GAS M049"</f>
        <v>GAS M049</v>
      </c>
      <c r="C11975" s="2" t="str">
        <f t="shared" si="467"/>
        <v>UN</v>
      </c>
      <c r="D11975" s="7">
        <v>704</v>
      </c>
      <c r="E11975" s="3">
        <v>9</v>
      </c>
      <c r="F11975" s="3">
        <v>9</v>
      </c>
      <c r="G11975" t="s">
        <v>516</v>
      </c>
    </row>
    <row r="11976" spans="1:7" x14ac:dyDescent="0.25">
      <c r="A11976" s="1" t="str">
        <f>"505355"</f>
        <v>505355</v>
      </c>
      <c r="B11976" s="2" t="str">
        <f>"GAS MISTURA 19562220"</f>
        <v>GAS MISTURA 19562220</v>
      </c>
      <c r="C11976" s="2" t="str">
        <f t="shared" si="467"/>
        <v>UN</v>
      </c>
      <c r="D11976" s="7">
        <v>816</v>
      </c>
      <c r="E11976" s="3">
        <v>4</v>
      </c>
      <c r="F11976" s="3">
        <v>4</v>
      </c>
      <c r="G11976" t="s">
        <v>515</v>
      </c>
    </row>
    <row r="11977" spans="1:7" x14ac:dyDescent="0.25">
      <c r="A11977" s="1" t="str">
        <f>"502221"</f>
        <v>502221</v>
      </c>
      <c r="B11977" s="2" t="str">
        <f>"GAS NITROGENIO (LIMPEZA)"</f>
        <v>GAS NITROGENIO (LIMPEZA)</v>
      </c>
      <c r="C11977" s="2" t="str">
        <f t="shared" si="467"/>
        <v>UN</v>
      </c>
      <c r="D11977" s="7">
        <v>402</v>
      </c>
      <c r="E11977" s="3">
        <v>4</v>
      </c>
      <c r="F11977" s="3">
        <v>4</v>
      </c>
      <c r="G11977" t="s">
        <v>514</v>
      </c>
    </row>
    <row r="11978" spans="1:7" x14ac:dyDescent="0.25">
      <c r="A11978" s="1" t="str">
        <f>"501829"</f>
        <v>501829</v>
      </c>
      <c r="B11978" s="2" t="str">
        <f>"GAS OXIGENIO CILINDRO"</f>
        <v>GAS OXIGENIO CILINDRO</v>
      </c>
      <c r="C11978" s="2" t="str">
        <f t="shared" si="467"/>
        <v>UN</v>
      </c>
      <c r="D11978" s="7">
        <v>402</v>
      </c>
      <c r="E11978" s="3">
        <v>4</v>
      </c>
      <c r="F11978" s="3">
        <v>4</v>
      </c>
      <c r="G11978" t="s">
        <v>512</v>
      </c>
    </row>
    <row r="11979" spans="1:7" x14ac:dyDescent="0.25">
      <c r="A11979" s="1" t="str">
        <f>"573824"</f>
        <v>573824</v>
      </c>
      <c r="B11979" s="2" t="str">
        <f>"GAS R134 TETRAFLUORETANO"</f>
        <v>GAS R134 TETRAFLUORETANO</v>
      </c>
      <c r="C11979" s="2" t="str">
        <f t="shared" si="467"/>
        <v>UN</v>
      </c>
      <c r="D11979" s="7">
        <v>99999</v>
      </c>
      <c r="E11979" s="3">
        <v>99</v>
      </c>
      <c r="F11979" s="3">
        <v>99</v>
      </c>
      <c r="G11979" t="s">
        <v>513</v>
      </c>
    </row>
    <row r="11980" spans="1:7" x14ac:dyDescent="0.25">
      <c r="A11980" s="1" t="str">
        <f>"508803"</f>
        <v>508803</v>
      </c>
      <c r="B11980" s="2" t="str">
        <f>"GAS R-141-B P/ LIMPEZA DO SISTEMA"</f>
        <v>GAS R-141-B P/ LIMPEZA DO SISTEMA</v>
      </c>
      <c r="C11980" s="2" t="str">
        <f t="shared" si="467"/>
        <v>UN</v>
      </c>
      <c r="D11980" s="7">
        <v>818</v>
      </c>
      <c r="E11980" s="3">
        <v>10</v>
      </c>
      <c r="F11980" s="3">
        <v>10</v>
      </c>
      <c r="G11980" t="s">
        <v>514</v>
      </c>
    </row>
    <row r="11981" spans="1:7" x14ac:dyDescent="0.25">
      <c r="A11981" s="1" t="str">
        <f>"520930"</f>
        <v>520930</v>
      </c>
      <c r="B11981" s="2" t="str">
        <f>"GAS SUVA 404A HP62 10,89KG 9705439110-I"</f>
        <v>GAS SUVA 404A HP62 10,89KG 9705439110-I</v>
      </c>
      <c r="C11981" s="2" t="str">
        <f t="shared" si="467"/>
        <v>UN</v>
      </c>
      <c r="D11981" s="7">
        <v>1300</v>
      </c>
      <c r="E11981" s="3">
        <v>13</v>
      </c>
      <c r="F11981" s="3">
        <v>13</v>
      </c>
      <c r="G11981" t="s">
        <v>514</v>
      </c>
    </row>
    <row r="11982" spans="1:7" x14ac:dyDescent="0.25">
      <c r="A11982" s="1" t="str">
        <f>"514826"</f>
        <v>514826</v>
      </c>
      <c r="B11982" s="2" t="str">
        <f>"GASKET"</f>
        <v>GASKET</v>
      </c>
      <c r="C11982" s="2" t="str">
        <f t="shared" si="467"/>
        <v>UN</v>
      </c>
      <c r="D11982" s="7">
        <v>704</v>
      </c>
      <c r="E11982" s="3">
        <v>9</v>
      </c>
      <c r="F11982" s="3">
        <v>9</v>
      </c>
      <c r="G11982" t="s">
        <v>512</v>
      </c>
    </row>
    <row r="11983" spans="1:7" x14ac:dyDescent="0.25">
      <c r="A11983" s="1" t="str">
        <f>"513757"</f>
        <v>513757</v>
      </c>
      <c r="B11983" s="2" t="str">
        <f>"GASOLINA COMUM"</f>
        <v>GASOLINA COMUM</v>
      </c>
      <c r="C11983" s="2" t="str">
        <f>"LT"</f>
        <v>LT</v>
      </c>
      <c r="D11983" s="7">
        <v>99999</v>
      </c>
      <c r="E11983" s="3">
        <v>99</v>
      </c>
      <c r="F11983" s="3">
        <v>99</v>
      </c>
      <c r="G11983" t="s">
        <v>513</v>
      </c>
    </row>
    <row r="11984" spans="1:7" x14ac:dyDescent="0.25">
      <c r="A11984" s="1" t="str">
        <f>"523697"</f>
        <v>523697</v>
      </c>
      <c r="B11984" s="2" t="str">
        <f>"GATILHO DUCHA HIGIENICA"</f>
        <v>GATILHO DUCHA HIGIENICA</v>
      </c>
      <c r="C11984" s="2" t="str">
        <f t="shared" ref="C11984:C11997" si="468">"UN"</f>
        <v>UN</v>
      </c>
      <c r="D11984" s="7">
        <v>803</v>
      </c>
      <c r="E11984" s="3">
        <v>4</v>
      </c>
      <c r="F11984" s="3">
        <v>4</v>
      </c>
      <c r="G11984" t="s">
        <v>514</v>
      </c>
    </row>
    <row r="11985" spans="1:7" x14ac:dyDescent="0.25">
      <c r="A11985" s="1" t="str">
        <f>"513610"</f>
        <v>513610</v>
      </c>
      <c r="B11985" s="2" t="str">
        <f>"GATILHO R1-25 COMPLETO LJ-12000 JACTO"</f>
        <v>GATILHO R1-25 COMPLETO LJ-12000 JACTO</v>
      </c>
      <c r="C11985" s="2" t="str">
        <f t="shared" si="468"/>
        <v>UN</v>
      </c>
      <c r="D11985" s="7">
        <v>402</v>
      </c>
      <c r="E11985" s="3">
        <v>4</v>
      </c>
      <c r="F11985" s="3">
        <v>4</v>
      </c>
      <c r="G11985" t="s">
        <v>514</v>
      </c>
    </row>
    <row r="11986" spans="1:7" x14ac:dyDescent="0.25">
      <c r="A11986" s="1" t="str">
        <f>"510328"</f>
        <v>510328</v>
      </c>
      <c r="B11986" s="2" t="str">
        <f>"GATILHO TIG"</f>
        <v>GATILHO TIG</v>
      </c>
      <c r="C11986" s="2" t="str">
        <f t="shared" si="468"/>
        <v>UN</v>
      </c>
      <c r="D11986" s="7">
        <v>918</v>
      </c>
      <c r="E11986" s="3">
        <v>11</v>
      </c>
      <c r="F11986" s="3">
        <v>11</v>
      </c>
      <c r="G11986" t="s">
        <v>514</v>
      </c>
    </row>
    <row r="11987" spans="1:7" x14ac:dyDescent="0.25">
      <c r="A11987" s="1" t="str">
        <f>"518185"</f>
        <v>518185</v>
      </c>
      <c r="B11987" s="2" t="str">
        <f>"GATLHO BOMBA BRODEN"</f>
        <v>GATLHO BOMBA BRODEN</v>
      </c>
      <c r="C11987" s="2" t="str">
        <f t="shared" si="468"/>
        <v>UN</v>
      </c>
      <c r="D11987" s="7">
        <v>918</v>
      </c>
      <c r="E11987" s="3">
        <v>10</v>
      </c>
      <c r="F11987" s="3">
        <v>10</v>
      </c>
      <c r="G11987" t="s">
        <v>513</v>
      </c>
    </row>
    <row r="11988" spans="1:7" x14ac:dyDescent="0.25">
      <c r="A11988" s="1" t="str">
        <f>"515358"</f>
        <v>515358</v>
      </c>
      <c r="B11988" s="2" t="str">
        <f>"GATORADE"</f>
        <v>GATORADE</v>
      </c>
      <c r="C11988" s="2" t="str">
        <f t="shared" si="468"/>
        <v>UN</v>
      </c>
      <c r="D11988" s="7">
        <v>401</v>
      </c>
      <c r="E11988" s="3">
        <v>4</v>
      </c>
      <c r="F11988" s="3">
        <v>4</v>
      </c>
      <c r="G11988" t="s">
        <v>512</v>
      </c>
    </row>
    <row r="11989" spans="1:7" x14ac:dyDescent="0.25">
      <c r="A11989" s="1" t="str">
        <f>"507258"</f>
        <v>507258</v>
      </c>
      <c r="B11989" s="2" t="str">
        <f>"GAVETA"</f>
        <v>GAVETA</v>
      </c>
      <c r="C11989" s="2" t="str">
        <f t="shared" si="468"/>
        <v>UN</v>
      </c>
      <c r="D11989" s="7">
        <v>704</v>
      </c>
      <c r="E11989" s="3">
        <v>9</v>
      </c>
      <c r="F11989" s="3">
        <v>9</v>
      </c>
      <c r="G11989" t="s">
        <v>513</v>
      </c>
    </row>
    <row r="11990" spans="1:7" x14ac:dyDescent="0.25">
      <c r="A11990" s="1" t="str">
        <f>"519643"</f>
        <v>519643</v>
      </c>
      <c r="B11990" s="2" t="str">
        <f>"GAVETA P/ DEPOSITO AGUA GSTO130 007291.01"</f>
        <v>GAVETA P/ DEPOSITO AGUA GSTO130 007291.01</v>
      </c>
      <c r="C11990" s="2" t="str">
        <f t="shared" si="468"/>
        <v>UN</v>
      </c>
      <c r="D11990" s="7">
        <v>918</v>
      </c>
      <c r="E11990" s="3">
        <v>4</v>
      </c>
      <c r="F11990" s="3">
        <v>4</v>
      </c>
      <c r="G11990" t="s">
        <v>514</v>
      </c>
    </row>
    <row r="11991" spans="1:7" x14ac:dyDescent="0.25">
      <c r="A11991" s="1" t="str">
        <f>"525089"</f>
        <v>525089</v>
      </c>
      <c r="B11991" s="2" t="str">
        <f>"GAVETEIRO 00278B"</f>
        <v>GAVETEIRO 00278B</v>
      </c>
      <c r="C11991" s="2" t="str">
        <f t="shared" si="468"/>
        <v>UN</v>
      </c>
      <c r="D11991" s="7">
        <v>99999</v>
      </c>
      <c r="E11991" s="3">
        <v>99</v>
      </c>
      <c r="F11991" s="3">
        <v>99</v>
      </c>
      <c r="G11991" t="s">
        <v>514</v>
      </c>
    </row>
    <row r="11992" spans="1:7" x14ac:dyDescent="0.25">
      <c r="A11992" s="1" t="str">
        <f>"515930"</f>
        <v>515930</v>
      </c>
      <c r="B11992" s="2" t="str">
        <f>"GAVETEIRO 02 GVV2E VEGEL"</f>
        <v>GAVETEIRO 02 GVV2E VEGEL</v>
      </c>
      <c r="C11992" s="2" t="str">
        <f t="shared" si="468"/>
        <v>UN</v>
      </c>
      <c r="D11992" s="7">
        <v>99999</v>
      </c>
      <c r="E11992" s="3">
        <v>99</v>
      </c>
      <c r="F11992" s="3">
        <v>99</v>
      </c>
      <c r="G11992" t="s">
        <v>514</v>
      </c>
    </row>
    <row r="11993" spans="1:7" x14ac:dyDescent="0.25">
      <c r="A11993" s="1" t="str">
        <f>"511227"</f>
        <v>511227</v>
      </c>
      <c r="B11993" s="2" t="str">
        <f>"GAVETEIRO 3 GAVETAS CINZA VEGEL"</f>
        <v>GAVETEIRO 3 GAVETAS CINZA VEGEL</v>
      </c>
      <c r="C11993" s="2" t="str">
        <f t="shared" si="468"/>
        <v>UN</v>
      </c>
      <c r="D11993" s="7">
        <v>1200</v>
      </c>
      <c r="E11993" s="3">
        <v>13</v>
      </c>
      <c r="F11993" s="3">
        <v>13</v>
      </c>
      <c r="G11993" t="s">
        <v>513</v>
      </c>
    </row>
    <row r="11994" spans="1:7" x14ac:dyDescent="0.25">
      <c r="A11994" s="1" t="str">
        <f>"513454"</f>
        <v>513454</v>
      </c>
      <c r="B11994" s="2" t="str">
        <f>"GAVETEIRO 4 GAVETAS E FECHADURAS"</f>
        <v>GAVETEIRO 4 GAVETAS E FECHADURAS</v>
      </c>
      <c r="C11994" s="2" t="str">
        <f t="shared" si="468"/>
        <v>UN</v>
      </c>
      <c r="D11994" s="7">
        <v>401</v>
      </c>
      <c r="E11994" s="3">
        <v>4</v>
      </c>
      <c r="F11994" s="3">
        <v>4</v>
      </c>
      <c r="G11994" t="s">
        <v>513</v>
      </c>
    </row>
    <row r="11995" spans="1:7" x14ac:dyDescent="0.25">
      <c r="A11995" s="1" t="str">
        <f>"508009"</f>
        <v>508009</v>
      </c>
      <c r="B11995" s="2" t="str">
        <f>"GAVETEIRO C/ CHAVE ACABAMENTO EM LAMINA E VERNIZ"</f>
        <v>GAVETEIRO C/ CHAVE ACABAMENTO EM LAMINA E VERNIZ</v>
      </c>
      <c r="C11995" s="2" t="str">
        <f t="shared" si="468"/>
        <v>UN</v>
      </c>
      <c r="D11995" s="7">
        <v>401</v>
      </c>
      <c r="E11995" s="3">
        <v>4</v>
      </c>
      <c r="F11995" s="3">
        <v>4</v>
      </c>
      <c r="G11995" t="s">
        <v>513</v>
      </c>
    </row>
    <row r="11996" spans="1:7" x14ac:dyDescent="0.25">
      <c r="A11996" s="1" t="str">
        <f>"515413"</f>
        <v>515413</v>
      </c>
      <c r="B11996" s="2" t="str">
        <f>"GAVETEIRO DE AÇO, MARROM, 03 GAVETAS INF. 2 GAVETAS SUP."</f>
        <v>GAVETEIRO DE AÇO, MARROM, 03 GAVETAS INF. 2 GAVETAS SUP.</v>
      </c>
      <c r="C11996" s="2" t="str">
        <f t="shared" si="468"/>
        <v>UN</v>
      </c>
      <c r="D11996" s="7">
        <v>1300</v>
      </c>
      <c r="E11996" s="3">
        <v>13</v>
      </c>
      <c r="F11996" s="3">
        <v>13</v>
      </c>
      <c r="G11996" t="s">
        <v>512</v>
      </c>
    </row>
    <row r="11997" spans="1:7" x14ac:dyDescent="0.25">
      <c r="A11997" s="1" t="str">
        <f>"521241"</f>
        <v>521241</v>
      </c>
      <c r="B11997" s="2" t="str">
        <f>"GAVETEIRO MDF"</f>
        <v>GAVETEIRO MDF</v>
      </c>
      <c r="C11997" s="2" t="str">
        <f t="shared" si="468"/>
        <v>UN</v>
      </c>
      <c r="D11997" s="7">
        <v>99999</v>
      </c>
      <c r="E11997" s="3">
        <v>99</v>
      </c>
      <c r="F11997" s="3">
        <v>99</v>
      </c>
      <c r="G11997" t="s">
        <v>513</v>
      </c>
    </row>
    <row r="11998" spans="1:7" x14ac:dyDescent="0.25">
      <c r="A11998" s="1" t="str">
        <f>"519296"</f>
        <v>519296</v>
      </c>
      <c r="B11998" s="2" t="str">
        <f>"GAVETEIRO P/ DATAS"</f>
        <v>GAVETEIRO P/ DATAS</v>
      </c>
      <c r="C11998" s="2" t="str">
        <f>"PC"</f>
        <v>PC</v>
      </c>
      <c r="D11998" s="7">
        <v>907</v>
      </c>
      <c r="E11998" s="3">
        <v>10</v>
      </c>
      <c r="F11998" s="3">
        <v>10</v>
      </c>
      <c r="G11998" t="s">
        <v>514</v>
      </c>
    </row>
    <row r="11999" spans="1:7" x14ac:dyDescent="0.25">
      <c r="A11999" s="1" t="str">
        <f>"513239"</f>
        <v>513239</v>
      </c>
      <c r="B11999" s="2" t="str">
        <f>"GAVETEIRO P/ PASTA MDF BRANCO"</f>
        <v>GAVETEIRO P/ PASTA MDF BRANCO</v>
      </c>
      <c r="C11999" s="2" t="str">
        <f t="shared" ref="C11999:C12030" si="469">"UN"</f>
        <v>UN</v>
      </c>
      <c r="D11999" s="7">
        <v>401</v>
      </c>
      <c r="E11999" s="3">
        <v>4</v>
      </c>
      <c r="F11999" s="3">
        <v>4</v>
      </c>
      <c r="G11999" t="s">
        <v>515</v>
      </c>
    </row>
    <row r="12000" spans="1:7" x14ac:dyDescent="0.25">
      <c r="A12000" s="1" t="str">
        <f>"521638"</f>
        <v>521638</v>
      </c>
      <c r="B12000" s="2" t="str">
        <f>"GAVETEIRO PEQ. MULTBOX C3"</f>
        <v>GAVETEIRO PEQ. MULTBOX C3</v>
      </c>
      <c r="C12000" s="2" t="str">
        <f t="shared" si="469"/>
        <v>UN</v>
      </c>
      <c r="D12000" s="7">
        <v>99999</v>
      </c>
      <c r="E12000" s="3">
        <v>99</v>
      </c>
      <c r="F12000" s="3">
        <v>99</v>
      </c>
      <c r="G12000" t="s">
        <v>512</v>
      </c>
    </row>
    <row r="12001" spans="1:7" x14ac:dyDescent="0.25">
      <c r="A12001" s="1" t="str">
        <f>"518581"</f>
        <v>518581</v>
      </c>
      <c r="B12001" s="2" t="str">
        <f>"GAVETEIRO PLASTICO PRETO Nº5"</f>
        <v>GAVETEIRO PLASTICO PRETO Nº5</v>
      </c>
      <c r="C12001" s="2" t="str">
        <f t="shared" si="469"/>
        <v>UN</v>
      </c>
      <c r="D12001" s="7">
        <v>812</v>
      </c>
      <c r="E12001" s="3">
        <v>4</v>
      </c>
      <c r="F12001" s="3">
        <v>4</v>
      </c>
      <c r="G12001" t="s">
        <v>516</v>
      </c>
    </row>
    <row r="12002" spans="1:7" x14ac:dyDescent="0.25">
      <c r="A12002" s="1" t="str">
        <f>"518681"</f>
        <v>518681</v>
      </c>
      <c r="B12002" s="2" t="str">
        <f>"GAVETEIRO PLASTICO PRETO Nº7"</f>
        <v>GAVETEIRO PLASTICO PRETO Nº7</v>
      </c>
      <c r="C12002" s="2" t="str">
        <f t="shared" si="469"/>
        <v>UN</v>
      </c>
      <c r="D12002" s="7">
        <v>812</v>
      </c>
      <c r="E12002" s="3">
        <v>4</v>
      </c>
      <c r="F12002" s="3">
        <v>4</v>
      </c>
      <c r="G12002" t="s">
        <v>515</v>
      </c>
    </row>
    <row r="12003" spans="1:7" x14ac:dyDescent="0.25">
      <c r="A12003" s="1" t="str">
        <f>"517248"</f>
        <v>517248</v>
      </c>
      <c r="B12003" s="2" t="str">
        <f>"GAVETEIRO VOL 2 GAVETAS P/ PASTAS 70,8X47X47,5XM CINZA"</f>
        <v>GAVETEIRO VOL 2 GAVETAS P/ PASTAS 70,8X47X47,5XM CINZA</v>
      </c>
      <c r="C12003" s="2" t="str">
        <f t="shared" si="469"/>
        <v>UN</v>
      </c>
      <c r="D12003" s="7">
        <v>1200</v>
      </c>
      <c r="E12003" s="3">
        <v>4</v>
      </c>
      <c r="F12003" s="3">
        <v>4</v>
      </c>
      <c r="G12003" t="s">
        <v>514</v>
      </c>
    </row>
    <row r="12004" spans="1:7" x14ac:dyDescent="0.25">
      <c r="A12004" s="1" t="str">
        <f>"511378"</f>
        <v>511378</v>
      </c>
      <c r="B12004" s="2" t="str">
        <f>"GAVETEIRO VOL. 4 GAV 64,5X47X47,5CM CINZA"</f>
        <v>GAVETEIRO VOL. 4 GAV 64,5X47X47,5CM CINZA</v>
      </c>
      <c r="C12004" s="2" t="str">
        <f t="shared" si="469"/>
        <v>UN</v>
      </c>
      <c r="D12004" s="7">
        <v>401</v>
      </c>
      <c r="E12004" s="3">
        <v>4</v>
      </c>
      <c r="F12004" s="3">
        <v>4</v>
      </c>
      <c r="G12004" t="s">
        <v>512</v>
      </c>
    </row>
    <row r="12005" spans="1:7" x14ac:dyDescent="0.25">
      <c r="A12005" s="1" t="str">
        <f>"518253"</f>
        <v>518253</v>
      </c>
      <c r="B12005" s="2" t="str">
        <f>"GAVETEIRO VOLANTE"</f>
        <v>GAVETEIRO VOLANTE</v>
      </c>
      <c r="C12005" s="2" t="str">
        <f t="shared" si="469"/>
        <v>UN</v>
      </c>
      <c r="D12005" s="7">
        <v>1200</v>
      </c>
      <c r="E12005" s="3">
        <v>4</v>
      </c>
      <c r="F12005" s="3">
        <v>4</v>
      </c>
      <c r="G12005" t="s">
        <v>513</v>
      </c>
    </row>
    <row r="12006" spans="1:7" x14ac:dyDescent="0.25">
      <c r="A12006" s="1" t="str">
        <f>"511379"</f>
        <v>511379</v>
      </c>
      <c r="B12006" s="2" t="str">
        <f>"GAVETEIRO VOLANTE P/ PASTA SUSPENSA"</f>
        <v>GAVETEIRO VOLANTE P/ PASTA SUSPENSA</v>
      </c>
      <c r="C12006" s="2" t="str">
        <f t="shared" si="469"/>
        <v>UN</v>
      </c>
      <c r="D12006" s="7">
        <v>401</v>
      </c>
      <c r="E12006" s="3">
        <v>4</v>
      </c>
      <c r="F12006" s="3">
        <v>4</v>
      </c>
      <c r="G12006" t="s">
        <v>514</v>
      </c>
    </row>
    <row r="12007" spans="1:7" x14ac:dyDescent="0.25">
      <c r="A12007" s="1" t="str">
        <f>"509446"</f>
        <v>509446</v>
      </c>
      <c r="B12007" s="2" t="str">
        <f>"GAXETA"</f>
        <v>GAXETA</v>
      </c>
      <c r="C12007" s="2" t="str">
        <f t="shared" si="469"/>
        <v>UN</v>
      </c>
      <c r="D12007" s="7">
        <v>402</v>
      </c>
      <c r="E12007" s="3">
        <v>4</v>
      </c>
      <c r="F12007" s="3">
        <v>4</v>
      </c>
      <c r="G12007" t="s">
        <v>514</v>
      </c>
    </row>
    <row r="12008" spans="1:7" x14ac:dyDescent="0.25">
      <c r="A12008" s="1" t="str">
        <f>"526515"</f>
        <v>526515</v>
      </c>
      <c r="B12008" s="2" t="str">
        <f>"GAXETA 006598.03 P/ GELADEIRA GTPC-575 - 2016.055216"</f>
        <v>GAXETA 006598.03 P/ GELADEIRA GTPC-575 - 2016.055216</v>
      </c>
      <c r="C12008" s="2" t="str">
        <f t="shared" si="469"/>
        <v>UN</v>
      </c>
      <c r="D12008" s="7">
        <v>909</v>
      </c>
      <c r="E12008" s="3">
        <v>11</v>
      </c>
      <c r="F12008" s="3">
        <v>11</v>
      </c>
      <c r="G12008" t="s">
        <v>512</v>
      </c>
    </row>
    <row r="12009" spans="1:7" x14ac:dyDescent="0.25">
      <c r="A12009" s="1" t="str">
        <f>"526516"</f>
        <v>526516</v>
      </c>
      <c r="B12009" s="2" t="str">
        <f>"GAXETA 006952 P/ GELADEIRA GPTU-570 - 2016.056973"</f>
        <v>GAXETA 006952 P/ GELADEIRA GPTU-570 - 2016.056973</v>
      </c>
      <c r="C12009" s="2" t="str">
        <f t="shared" si="469"/>
        <v>UN</v>
      </c>
      <c r="D12009" s="7">
        <v>909</v>
      </c>
      <c r="E12009" s="3">
        <v>11</v>
      </c>
      <c r="F12009" s="3">
        <v>11</v>
      </c>
      <c r="G12009" t="s">
        <v>513</v>
      </c>
    </row>
    <row r="12010" spans="1:7" x14ac:dyDescent="0.25">
      <c r="A12010" s="1" t="str">
        <f>"510317"</f>
        <v>510317</v>
      </c>
      <c r="B12010" s="2" t="str">
        <f>"GAXETA 008500021"</f>
        <v>GAXETA 008500021</v>
      </c>
      <c r="C12010" s="2" t="str">
        <f t="shared" si="469"/>
        <v>UN</v>
      </c>
      <c r="D12010" s="7">
        <v>918</v>
      </c>
      <c r="E12010" s="3">
        <v>11</v>
      </c>
      <c r="F12010" s="3">
        <v>11</v>
      </c>
      <c r="G12010" t="s">
        <v>514</v>
      </c>
    </row>
    <row r="12011" spans="1:7" x14ac:dyDescent="0.25">
      <c r="A12011" s="1" t="str">
        <f>"505508"</f>
        <v>505508</v>
      </c>
      <c r="B12011" s="2" t="str">
        <f>"GAXETA 1.1/16""X1.13/16X3/8 TIPO STANDARD"</f>
        <v>GAXETA 1.1/16"X1.13/16X3/8 TIPO STANDARD</v>
      </c>
      <c r="C12011" s="2" t="str">
        <f t="shared" si="469"/>
        <v>UN</v>
      </c>
      <c r="D12011" s="7">
        <v>918</v>
      </c>
      <c r="E12011" s="3">
        <v>11</v>
      </c>
      <c r="F12011" s="3">
        <v>11</v>
      </c>
      <c r="G12011" t="s">
        <v>514</v>
      </c>
    </row>
    <row r="12012" spans="1:7" x14ac:dyDescent="0.25">
      <c r="A12012" s="1" t="str">
        <f>"512228"</f>
        <v>512228</v>
      </c>
      <c r="B12012" s="2" t="str">
        <f>"GAXETA 1150"</f>
        <v>GAXETA 1150</v>
      </c>
      <c r="C12012" s="2" t="str">
        <f t="shared" si="469"/>
        <v>UN</v>
      </c>
      <c r="D12012" s="7">
        <v>918</v>
      </c>
      <c r="E12012" s="3">
        <v>11</v>
      </c>
      <c r="F12012" s="3">
        <v>11</v>
      </c>
      <c r="G12012" t="s">
        <v>514</v>
      </c>
    </row>
    <row r="12013" spans="1:7" x14ac:dyDescent="0.25">
      <c r="A12013" s="1" t="str">
        <f>"507009"</f>
        <v>507009</v>
      </c>
      <c r="B12013" s="2" t="str">
        <f>"GAXETA 1443 - BANDEJA"</f>
        <v>GAXETA 1443 - BANDEJA</v>
      </c>
      <c r="C12013" s="2" t="str">
        <f t="shared" si="469"/>
        <v>UN</v>
      </c>
      <c r="D12013" s="7">
        <v>918</v>
      </c>
      <c r="E12013" s="3">
        <v>11</v>
      </c>
      <c r="F12013" s="3">
        <v>11</v>
      </c>
      <c r="G12013" t="s">
        <v>513</v>
      </c>
    </row>
    <row r="12014" spans="1:7" x14ac:dyDescent="0.25">
      <c r="A12014" s="1" t="str">
        <f>"507008"</f>
        <v>507008</v>
      </c>
      <c r="B12014" s="2" t="str">
        <f>"GAXETA 16 X 22 X 4 - BANDEJA"</f>
        <v>GAXETA 16 X 22 X 4 - BANDEJA</v>
      </c>
      <c r="C12014" s="2" t="str">
        <f t="shared" si="469"/>
        <v>UN</v>
      </c>
      <c r="D12014" s="7">
        <v>918</v>
      </c>
      <c r="E12014" s="3">
        <v>11</v>
      </c>
      <c r="F12014" s="3">
        <v>11</v>
      </c>
      <c r="G12014" t="s">
        <v>512</v>
      </c>
    </row>
    <row r="12015" spans="1:7" x14ac:dyDescent="0.25">
      <c r="A12015" s="1" t="str">
        <f>"512226"</f>
        <v>512226</v>
      </c>
      <c r="B12015" s="2" t="str">
        <f>"GAXETA 20066"</f>
        <v>GAXETA 20066</v>
      </c>
      <c r="C12015" s="2" t="str">
        <f t="shared" si="469"/>
        <v>UN</v>
      </c>
      <c r="D12015" s="7">
        <v>918</v>
      </c>
      <c r="E12015" s="3">
        <v>11</v>
      </c>
      <c r="F12015" s="3">
        <v>11</v>
      </c>
      <c r="G12015" t="s">
        <v>513</v>
      </c>
    </row>
    <row r="12016" spans="1:7" x14ac:dyDescent="0.25">
      <c r="A12016" s="1" t="str">
        <f>"512233"</f>
        <v>512233</v>
      </c>
      <c r="B12016" s="2" t="str">
        <f>"GAXETA 215865"</f>
        <v>GAXETA 215865</v>
      </c>
      <c r="C12016" s="2" t="str">
        <f t="shared" si="469"/>
        <v>UN</v>
      </c>
      <c r="D12016" s="7">
        <v>918</v>
      </c>
      <c r="E12016" s="3">
        <v>11</v>
      </c>
      <c r="F12016" s="3">
        <v>11</v>
      </c>
      <c r="G12016" t="s">
        <v>514</v>
      </c>
    </row>
    <row r="12017" spans="1:7" x14ac:dyDescent="0.25">
      <c r="A12017" s="1" t="str">
        <f>"512227"</f>
        <v>512227</v>
      </c>
      <c r="B12017" s="2" t="str">
        <f>"GAXETA 215867"</f>
        <v>GAXETA 215867</v>
      </c>
      <c r="C12017" s="2" t="str">
        <f t="shared" si="469"/>
        <v>UN</v>
      </c>
      <c r="D12017" s="7">
        <v>918</v>
      </c>
      <c r="E12017" s="3">
        <v>11</v>
      </c>
      <c r="F12017" s="3">
        <v>11</v>
      </c>
      <c r="G12017" t="s">
        <v>514</v>
      </c>
    </row>
    <row r="12018" spans="1:7" x14ac:dyDescent="0.25">
      <c r="A12018" s="1" t="str">
        <f>"512349"</f>
        <v>512349</v>
      </c>
      <c r="B12018" s="2" t="str">
        <f>"GAXETA 2246 PALETEIRO TOYOTA"</f>
        <v>GAXETA 2246 PALETEIRO TOYOTA</v>
      </c>
      <c r="C12018" s="2" t="str">
        <f t="shared" si="469"/>
        <v>UN</v>
      </c>
      <c r="D12018" s="7">
        <v>918</v>
      </c>
      <c r="E12018" s="3">
        <v>11</v>
      </c>
      <c r="F12018" s="3">
        <v>11</v>
      </c>
      <c r="G12018" t="s">
        <v>514</v>
      </c>
    </row>
    <row r="12019" spans="1:7" x14ac:dyDescent="0.25">
      <c r="A12019" s="1" t="str">
        <f>"512350"</f>
        <v>512350</v>
      </c>
      <c r="B12019" s="2" t="str">
        <f>"GAXETA 2247 PALETEIRO TOYOTA"</f>
        <v>GAXETA 2247 PALETEIRO TOYOTA</v>
      </c>
      <c r="C12019" s="2" t="str">
        <f t="shared" si="469"/>
        <v>UN</v>
      </c>
      <c r="D12019" s="7">
        <v>918</v>
      </c>
      <c r="E12019" s="3">
        <v>11</v>
      </c>
      <c r="F12019" s="3">
        <v>11</v>
      </c>
      <c r="G12019" t="s">
        <v>513</v>
      </c>
    </row>
    <row r="12020" spans="1:7" x14ac:dyDescent="0.25">
      <c r="A12020" s="1" t="str">
        <f>"502803"</f>
        <v>502803</v>
      </c>
      <c r="B12020" s="2" t="str">
        <f>"GAXETA 3/4 X 1 X 1/8 TIPO STANDARD"</f>
        <v>GAXETA 3/4 X 1 X 1/8 TIPO STANDARD</v>
      </c>
      <c r="C12020" s="2" t="str">
        <f t="shared" si="469"/>
        <v>UN</v>
      </c>
      <c r="D12020" s="7">
        <v>402</v>
      </c>
      <c r="E12020" s="3">
        <v>4</v>
      </c>
      <c r="F12020" s="3">
        <v>4</v>
      </c>
      <c r="G12020" t="s">
        <v>513</v>
      </c>
    </row>
    <row r="12021" spans="1:7" x14ac:dyDescent="0.25">
      <c r="A12021" s="1" t="str">
        <f>"507092"</f>
        <v>507092</v>
      </c>
      <c r="B12021" s="2" t="str">
        <f>"GAXETA 3/8 RETA"</f>
        <v>GAXETA 3/8 RETA</v>
      </c>
      <c r="C12021" s="2" t="str">
        <f t="shared" si="469"/>
        <v>UN</v>
      </c>
      <c r="D12021" s="7">
        <v>704</v>
      </c>
      <c r="E12021" s="3">
        <v>9</v>
      </c>
      <c r="F12021" s="3">
        <v>9</v>
      </c>
      <c r="G12021" t="s">
        <v>513</v>
      </c>
    </row>
    <row r="12022" spans="1:7" x14ac:dyDescent="0.25">
      <c r="A12022" s="1" t="str">
        <f>"522006"</f>
        <v>522006</v>
      </c>
      <c r="B12022" s="2" t="str">
        <f>"GAXETA 35 X 25 X 7 (POTÃO)"</f>
        <v>GAXETA 35 X 25 X 7 (POTÃO)</v>
      </c>
      <c r="C12022" s="2" t="str">
        <f t="shared" si="469"/>
        <v>UN</v>
      </c>
      <c r="D12022" s="7">
        <v>918</v>
      </c>
      <c r="E12022" s="3">
        <v>11</v>
      </c>
      <c r="F12022" s="3">
        <v>11</v>
      </c>
      <c r="G12022" t="s">
        <v>512</v>
      </c>
    </row>
    <row r="12023" spans="1:7" x14ac:dyDescent="0.25">
      <c r="A12023" s="1" t="str">
        <f>"503598"</f>
        <v>503598</v>
      </c>
      <c r="B12023" s="2" t="str">
        <f>"GAXETA 40 X 47,75 X 8MM TIPO STANDARD"</f>
        <v>GAXETA 40 X 47,75 X 8MM TIPO STANDARD</v>
      </c>
      <c r="C12023" s="2" t="str">
        <f t="shared" si="469"/>
        <v>UN</v>
      </c>
      <c r="D12023" s="7">
        <v>402</v>
      </c>
      <c r="E12023" s="3">
        <v>4</v>
      </c>
      <c r="F12023" s="3">
        <v>4</v>
      </c>
      <c r="G12023" t="s">
        <v>513</v>
      </c>
    </row>
    <row r="12024" spans="1:7" x14ac:dyDescent="0.25">
      <c r="A12024" s="1" t="str">
        <f>"502804"</f>
        <v>502804</v>
      </c>
      <c r="B12024" s="2" t="str">
        <f>"GAXETA 45X62X10MM TIPO STANDARD"</f>
        <v>GAXETA 45X62X10MM TIPO STANDARD</v>
      </c>
      <c r="C12024" s="2" t="str">
        <f t="shared" si="469"/>
        <v>UN</v>
      </c>
      <c r="D12024" s="7">
        <v>402</v>
      </c>
      <c r="E12024" s="3">
        <v>4</v>
      </c>
      <c r="F12024" s="3">
        <v>4</v>
      </c>
      <c r="G12024" t="s">
        <v>514</v>
      </c>
    </row>
    <row r="12025" spans="1:7" x14ac:dyDescent="0.25">
      <c r="A12025" s="1" t="str">
        <f>"504496"</f>
        <v>504496</v>
      </c>
      <c r="B12025" s="2" t="str">
        <f>"GAXETA 47X16X11 (REQUEIJAO)"</f>
        <v>GAXETA 47X16X11 (REQUEIJAO)</v>
      </c>
      <c r="C12025" s="2" t="str">
        <f t="shared" si="469"/>
        <v>UN</v>
      </c>
      <c r="D12025" s="7">
        <v>918</v>
      </c>
      <c r="E12025" s="3">
        <v>11</v>
      </c>
      <c r="F12025" s="3">
        <v>11</v>
      </c>
      <c r="G12025" t="s">
        <v>515</v>
      </c>
    </row>
    <row r="12026" spans="1:7" x14ac:dyDescent="0.25">
      <c r="A12026" s="1" t="str">
        <f>"525188"</f>
        <v>525188</v>
      </c>
      <c r="B12026" s="2" t="str">
        <f>"GAXETA 649203937-500 COD.35496"</f>
        <v>GAXETA 649203937-500 COD.35496</v>
      </c>
      <c r="C12026" s="2" t="str">
        <f t="shared" si="469"/>
        <v>UN</v>
      </c>
      <c r="D12026" s="7">
        <v>402</v>
      </c>
      <c r="E12026" s="3">
        <v>4</v>
      </c>
      <c r="F12026" s="3">
        <v>4</v>
      </c>
      <c r="G12026" t="s">
        <v>512</v>
      </c>
    </row>
    <row r="12027" spans="1:7" x14ac:dyDescent="0.25">
      <c r="A12027" s="1" t="str">
        <f>"512999"</f>
        <v>512999</v>
      </c>
      <c r="B12027" s="2" t="str">
        <f>"GAXETA 9,5MM TEFLON GRAFITADA"</f>
        <v>GAXETA 9,5MM TEFLON GRAFITADA</v>
      </c>
      <c r="C12027" s="2" t="str">
        <f t="shared" si="469"/>
        <v>UN</v>
      </c>
      <c r="D12027" s="7">
        <v>918</v>
      </c>
      <c r="E12027" s="3">
        <v>11</v>
      </c>
      <c r="F12027" s="3">
        <v>11</v>
      </c>
      <c r="G12027" t="s">
        <v>516</v>
      </c>
    </row>
    <row r="12028" spans="1:7" x14ac:dyDescent="0.25">
      <c r="A12028" s="1" t="str">
        <f>"516657"</f>
        <v>516657</v>
      </c>
      <c r="B12028" s="2" t="str">
        <f>"GAXETA APF-1038 RANNIE 132T-70.140"</f>
        <v>GAXETA APF-1038 RANNIE 132T-70.140</v>
      </c>
      <c r="C12028" s="2" t="str">
        <f t="shared" si="469"/>
        <v>UN</v>
      </c>
      <c r="D12028" s="7">
        <v>918</v>
      </c>
      <c r="E12028" s="3">
        <v>11</v>
      </c>
      <c r="F12028" s="3">
        <v>11</v>
      </c>
      <c r="G12028" t="s">
        <v>515</v>
      </c>
    </row>
    <row r="12029" spans="1:7" x14ac:dyDescent="0.25">
      <c r="A12029" s="1" t="str">
        <f>"525448"</f>
        <v>525448</v>
      </c>
      <c r="B12029" s="2" t="str">
        <f>"GAXETA COD. 18702000375 2X23.8X3/8"</f>
        <v>GAXETA COD. 18702000375 2X23.8X3/8</v>
      </c>
      <c r="C12029" s="2" t="str">
        <f t="shared" si="469"/>
        <v>UN</v>
      </c>
      <c r="D12029" s="7">
        <v>918</v>
      </c>
      <c r="E12029" s="3">
        <v>11</v>
      </c>
      <c r="F12029" s="3">
        <v>11</v>
      </c>
      <c r="G12029" t="s">
        <v>514</v>
      </c>
    </row>
    <row r="12030" spans="1:7" x14ac:dyDescent="0.25">
      <c r="A12030" s="1" t="str">
        <f>"503492"</f>
        <v>503492</v>
      </c>
      <c r="B12030" s="2" t="str">
        <f>"GAXETA COD.1662 CILINDRO SELAGEM DINIEPE"</f>
        <v>GAXETA COD.1662 CILINDRO SELAGEM DINIEPE</v>
      </c>
      <c r="C12030" s="2" t="str">
        <f t="shared" si="469"/>
        <v>UN</v>
      </c>
      <c r="D12030" s="7">
        <v>913</v>
      </c>
      <c r="E12030" s="3">
        <v>11</v>
      </c>
      <c r="F12030" s="3">
        <v>11</v>
      </c>
      <c r="G12030" t="s">
        <v>512</v>
      </c>
    </row>
    <row r="12031" spans="1:7" x14ac:dyDescent="0.25">
      <c r="A12031" s="1" t="str">
        <f>"525593"</f>
        <v>525593</v>
      </c>
      <c r="B12031" s="2" t="str">
        <f>"GAXETA COMPACTA ARTEP APF-8977"</f>
        <v>GAXETA COMPACTA ARTEP APF-8977</v>
      </c>
      <c r="C12031" s="2" t="str">
        <f t="shared" ref="C12031:C12054" si="470">"UN"</f>
        <v>UN</v>
      </c>
      <c r="D12031" s="7">
        <v>918</v>
      </c>
      <c r="E12031" s="3">
        <v>11</v>
      </c>
      <c r="F12031" s="3">
        <v>11</v>
      </c>
      <c r="G12031" t="s">
        <v>513</v>
      </c>
    </row>
    <row r="12032" spans="1:7" x14ac:dyDescent="0.25">
      <c r="A12032" s="1" t="str">
        <f>"508644"</f>
        <v>508644</v>
      </c>
      <c r="B12032" s="2" t="str">
        <f>"GAXETA COMPACTA POS 27 APC 3675"</f>
        <v>GAXETA COMPACTA POS 27 APC 3675</v>
      </c>
      <c r="C12032" s="2" t="str">
        <f t="shared" si="470"/>
        <v>UN</v>
      </c>
      <c r="D12032" s="7">
        <v>918</v>
      </c>
      <c r="E12032" s="3">
        <v>11</v>
      </c>
      <c r="F12032" s="3">
        <v>11</v>
      </c>
      <c r="G12032" t="s">
        <v>514</v>
      </c>
    </row>
    <row r="12033" spans="1:7" x14ac:dyDescent="0.25">
      <c r="A12033" s="1" t="str">
        <f>"524746"</f>
        <v>524746</v>
      </c>
      <c r="B12033" s="2" t="str">
        <f>"GAXETA DA CARCAÇA W60627 SPX"</f>
        <v>GAXETA DA CARCAÇA W60627 SPX</v>
      </c>
      <c r="C12033" s="2" t="str">
        <f t="shared" si="470"/>
        <v>UN</v>
      </c>
      <c r="D12033" s="7">
        <v>807</v>
      </c>
      <c r="E12033" s="3">
        <v>11</v>
      </c>
      <c r="F12033" s="3">
        <v>11</v>
      </c>
      <c r="G12033" t="s">
        <v>514</v>
      </c>
    </row>
    <row r="12034" spans="1:7" x14ac:dyDescent="0.25">
      <c r="A12034" s="1" t="str">
        <f>"504454"</f>
        <v>504454</v>
      </c>
      <c r="B12034" s="2" t="str">
        <f>"GAXETA DE VED. PISTAO APC-1419R POS.17"</f>
        <v>GAXETA DE VED. PISTAO APC-1419R POS.17</v>
      </c>
      <c r="C12034" s="2" t="str">
        <f t="shared" si="470"/>
        <v>UN</v>
      </c>
      <c r="D12034" s="7">
        <v>918</v>
      </c>
      <c r="E12034" s="3">
        <v>11</v>
      </c>
      <c r="F12034" s="3">
        <v>11</v>
      </c>
      <c r="G12034" t="s">
        <v>512</v>
      </c>
    </row>
    <row r="12035" spans="1:7" x14ac:dyDescent="0.25">
      <c r="A12035" s="1" t="str">
        <f>"504455"</f>
        <v>504455</v>
      </c>
      <c r="B12035" s="2" t="str">
        <f>"GAXETA DO GUIA DA MOLA SEC.A-4028 POS.61"</f>
        <v>GAXETA DO GUIA DA MOLA SEC.A-4028 POS.61</v>
      </c>
      <c r="C12035" s="2" t="str">
        <f t="shared" si="470"/>
        <v>UN</v>
      </c>
      <c r="D12035" s="7">
        <v>918</v>
      </c>
      <c r="E12035" s="3">
        <v>11</v>
      </c>
      <c r="F12035" s="3">
        <v>11</v>
      </c>
      <c r="G12035" t="s">
        <v>513</v>
      </c>
    </row>
    <row r="12036" spans="1:7" x14ac:dyDescent="0.25">
      <c r="A12036" s="1" t="str">
        <f>"508638"</f>
        <v>508638</v>
      </c>
      <c r="B12036" s="2" t="str">
        <f>"GAXETA DO PISTAO EM POLIMERO POS 11"</f>
        <v>GAXETA DO PISTAO EM POLIMERO POS 11</v>
      </c>
      <c r="C12036" s="2" t="str">
        <f t="shared" si="470"/>
        <v>UN</v>
      </c>
      <c r="D12036" s="7">
        <v>918</v>
      </c>
      <c r="E12036" s="3">
        <v>11</v>
      </c>
      <c r="F12036" s="3">
        <v>11</v>
      </c>
      <c r="G12036" t="s">
        <v>514</v>
      </c>
    </row>
    <row r="12037" spans="1:7" x14ac:dyDescent="0.25">
      <c r="A12037" s="1" t="str">
        <f>"505135"</f>
        <v>505135</v>
      </c>
      <c r="B12037" s="2" t="str">
        <f>"GAXETA EM PERFIL V P/ PISTAO MATERIAL ES"</f>
        <v>GAXETA EM PERFIL V P/ PISTAO MATERIAL ES</v>
      </c>
      <c r="C12037" s="2" t="str">
        <f t="shared" si="470"/>
        <v>UN</v>
      </c>
      <c r="D12037" s="7">
        <v>918</v>
      </c>
      <c r="E12037" s="3">
        <v>11</v>
      </c>
      <c r="F12037" s="3">
        <v>11</v>
      </c>
      <c r="G12037" t="s">
        <v>514</v>
      </c>
    </row>
    <row r="12038" spans="1:7" x14ac:dyDescent="0.25">
      <c r="A12038" s="1" t="str">
        <f>"518204"</f>
        <v>518204</v>
      </c>
      <c r="B12038" s="2" t="str">
        <f>"GAXETA FINAL TROCADOR DE CALOR 0081-EPDM"</f>
        <v>GAXETA FINAL TROCADOR DE CALOR 0081-EPDM</v>
      </c>
      <c r="C12038" s="2" t="str">
        <f t="shared" si="470"/>
        <v>UN</v>
      </c>
      <c r="D12038" s="7">
        <v>915</v>
      </c>
      <c r="E12038" s="3">
        <v>11</v>
      </c>
      <c r="F12038" s="3">
        <v>11</v>
      </c>
      <c r="G12038" t="s">
        <v>514</v>
      </c>
    </row>
    <row r="12039" spans="1:7" x14ac:dyDescent="0.25">
      <c r="A12039" s="1" t="str">
        <f>"502015"</f>
        <v>502015</v>
      </c>
      <c r="B12039" s="2" t="str">
        <f>"GAXETA GRAFITADA 1/4"</f>
        <v>GAXETA GRAFITADA 1/4</v>
      </c>
      <c r="C12039" s="2" t="str">
        <f t="shared" si="470"/>
        <v>UN</v>
      </c>
      <c r="D12039" s="7">
        <v>918</v>
      </c>
      <c r="E12039" s="3">
        <v>11</v>
      </c>
      <c r="F12039" s="3">
        <v>11</v>
      </c>
      <c r="G12039" t="s">
        <v>513</v>
      </c>
    </row>
    <row r="12040" spans="1:7" x14ac:dyDescent="0.25">
      <c r="A12040" s="1" t="str">
        <f>"503297"</f>
        <v>503297</v>
      </c>
      <c r="B12040" s="2" t="str">
        <f>"GAXETA GRAFITADA 5/16"</f>
        <v>GAXETA GRAFITADA 5/16</v>
      </c>
      <c r="C12040" s="2" t="str">
        <f t="shared" si="470"/>
        <v>UN</v>
      </c>
      <c r="D12040" s="7">
        <v>918</v>
      </c>
      <c r="E12040" s="3">
        <v>11</v>
      </c>
      <c r="F12040" s="3">
        <v>11</v>
      </c>
      <c r="G12040" t="s">
        <v>512</v>
      </c>
    </row>
    <row r="12041" spans="1:7" x14ac:dyDescent="0.25">
      <c r="A12041" s="1" t="str">
        <f>"507043"</f>
        <v>507043</v>
      </c>
      <c r="B12041" s="2" t="str">
        <f>"GAXETA GRAFITADA COD. 64722093103"</f>
        <v>GAXETA GRAFITADA COD. 64722093103</v>
      </c>
      <c r="C12041" s="2" t="str">
        <f t="shared" si="470"/>
        <v>UN</v>
      </c>
      <c r="D12041" s="7">
        <v>918</v>
      </c>
      <c r="E12041" s="3">
        <v>11</v>
      </c>
      <c r="F12041" s="3">
        <v>11</v>
      </c>
      <c r="G12041" t="s">
        <v>513</v>
      </c>
    </row>
    <row r="12042" spans="1:7" x14ac:dyDescent="0.25">
      <c r="A12042" s="1" t="str">
        <f>"520448"</f>
        <v>520448</v>
      </c>
      <c r="B12042" s="2" t="str">
        <f>"GAXETA HOMOGENIZADOR APC 2244"</f>
        <v>GAXETA HOMOGENIZADOR APC 2244</v>
      </c>
      <c r="C12042" s="2" t="str">
        <f t="shared" si="470"/>
        <v>UN</v>
      </c>
      <c r="D12042" s="7">
        <v>402</v>
      </c>
      <c r="E12042" s="3">
        <v>4</v>
      </c>
      <c r="F12042" s="3">
        <v>4</v>
      </c>
      <c r="G12042" t="s">
        <v>514</v>
      </c>
    </row>
    <row r="12043" spans="1:7" x14ac:dyDescent="0.25">
      <c r="A12043" s="1" t="str">
        <f>"518041"</f>
        <v>518041</v>
      </c>
      <c r="B12043" s="2" t="str">
        <f>"GAXETA METALFRIO 61X64 S/ ABA COLD 47 G457"</f>
        <v>GAXETA METALFRIO 61X64 S/ ABA COLD 47 G457</v>
      </c>
      <c r="C12043" s="2" t="str">
        <f t="shared" si="470"/>
        <v>UN</v>
      </c>
      <c r="D12043" s="7">
        <v>811</v>
      </c>
      <c r="E12043" s="3">
        <v>8</v>
      </c>
      <c r="F12043" s="3">
        <v>8</v>
      </c>
      <c r="G12043" t="s">
        <v>514</v>
      </c>
    </row>
    <row r="12044" spans="1:7" x14ac:dyDescent="0.25">
      <c r="A12044" s="1" t="str">
        <f>"526479"</f>
        <v>526479</v>
      </c>
      <c r="B12044" s="2" t="str">
        <f>"GAXETA NBR FLUXO N40"</f>
        <v>GAXETA NBR FLUXO N40</v>
      </c>
      <c r="C12044" s="2" t="str">
        <f t="shared" si="470"/>
        <v>UN</v>
      </c>
      <c r="D12044" s="7">
        <v>909</v>
      </c>
      <c r="E12044" s="3">
        <v>11</v>
      </c>
      <c r="F12044" s="3">
        <v>11</v>
      </c>
      <c r="G12044" t="s">
        <v>514</v>
      </c>
    </row>
    <row r="12045" spans="1:7" x14ac:dyDescent="0.25">
      <c r="A12045" s="1" t="str">
        <f>"510408"</f>
        <v>510408</v>
      </c>
      <c r="B12045" s="2" t="str">
        <f>"GAXETA Nº 461 BBA KSB MEGANORM 40-200"</f>
        <v>GAXETA Nº 461 BBA KSB MEGANORM 40-200</v>
      </c>
      <c r="C12045" s="2" t="str">
        <f t="shared" si="470"/>
        <v>UN</v>
      </c>
      <c r="D12045" s="7">
        <v>813</v>
      </c>
      <c r="E12045" s="3">
        <v>10</v>
      </c>
      <c r="F12045" s="3">
        <v>10</v>
      </c>
      <c r="G12045" t="s">
        <v>513</v>
      </c>
    </row>
    <row r="12046" spans="1:7" x14ac:dyDescent="0.25">
      <c r="A12046" s="1" t="str">
        <f>"522511"</f>
        <v>522511</v>
      </c>
      <c r="B12046" s="2" t="str">
        <f>"GAXETA OVAL 110X80X20X8MM"</f>
        <v>GAXETA OVAL 110X80X20X8MM</v>
      </c>
      <c r="C12046" s="2" t="str">
        <f t="shared" si="470"/>
        <v>UN</v>
      </c>
      <c r="D12046" s="7">
        <v>1001</v>
      </c>
      <c r="E12046" s="3">
        <v>10</v>
      </c>
      <c r="F12046" s="3">
        <v>10</v>
      </c>
      <c r="G12046" t="s">
        <v>513</v>
      </c>
    </row>
    <row r="12047" spans="1:7" x14ac:dyDescent="0.25">
      <c r="A12047" s="1" t="str">
        <f>"518880"</f>
        <v>518880</v>
      </c>
      <c r="B12047" s="2" t="str">
        <f>"GAXETA OVAL 300X230X30X08MM"</f>
        <v>GAXETA OVAL 300X230X30X08MM</v>
      </c>
      <c r="C12047" s="2" t="str">
        <f t="shared" si="470"/>
        <v>UN</v>
      </c>
      <c r="D12047" s="7">
        <v>918</v>
      </c>
      <c r="E12047" s="3">
        <v>11</v>
      </c>
      <c r="F12047" s="3">
        <v>11</v>
      </c>
      <c r="G12047" t="s">
        <v>513</v>
      </c>
    </row>
    <row r="12048" spans="1:7" x14ac:dyDescent="0.25">
      <c r="A12048" s="1" t="str">
        <f>"512496"</f>
        <v>512496</v>
      </c>
      <c r="B12048" s="2" t="str">
        <f>"GAXETA OVAL 380X310X40X08MM M-EIT"</f>
        <v>GAXETA OVAL 380X310X40X08MM M-EIT</v>
      </c>
      <c r="C12048" s="2" t="str">
        <f t="shared" si="470"/>
        <v>UN</v>
      </c>
      <c r="D12048" s="7">
        <v>918</v>
      </c>
      <c r="E12048" s="3">
        <v>11</v>
      </c>
      <c r="F12048" s="3">
        <v>11</v>
      </c>
      <c r="G12048" t="s">
        <v>512</v>
      </c>
    </row>
    <row r="12049" spans="1:7" x14ac:dyDescent="0.25">
      <c r="A12049" s="1" t="str">
        <f>"512291"</f>
        <v>512291</v>
      </c>
      <c r="B12049" s="2" t="str">
        <f>"GAXETA OVAL ESCOTILHA 380X450MM ATA"</f>
        <v>GAXETA OVAL ESCOTILHA 380X450MM ATA</v>
      </c>
      <c r="C12049" s="2" t="str">
        <f t="shared" si="470"/>
        <v>UN</v>
      </c>
      <c r="D12049" s="7">
        <v>918</v>
      </c>
      <c r="E12049" s="3">
        <v>11</v>
      </c>
      <c r="F12049" s="3">
        <v>11</v>
      </c>
      <c r="G12049" t="s">
        <v>513</v>
      </c>
    </row>
    <row r="12050" spans="1:7" x14ac:dyDescent="0.25">
      <c r="A12050" s="1" t="str">
        <f>"517979"</f>
        <v>517979</v>
      </c>
      <c r="B12050" s="2" t="str">
        <f>"GAXETA P/ TROCADOR DE CALOR N-40 - EPDM"</f>
        <v>GAXETA P/ TROCADOR DE CALOR N-40 - EPDM</v>
      </c>
      <c r="C12050" s="2" t="str">
        <f t="shared" si="470"/>
        <v>UN</v>
      </c>
      <c r="D12050" s="7">
        <v>909</v>
      </c>
      <c r="E12050" s="3">
        <v>11</v>
      </c>
      <c r="F12050" s="3">
        <v>11</v>
      </c>
      <c r="G12050" t="s">
        <v>514</v>
      </c>
    </row>
    <row r="12051" spans="1:7" x14ac:dyDescent="0.25">
      <c r="A12051" s="1" t="str">
        <f>"506101"</f>
        <v>506101</v>
      </c>
      <c r="B12051" s="2" t="str">
        <f>"GAXETA PISTAO EMPILHADEIRA 12500750-250"</f>
        <v>GAXETA PISTAO EMPILHADEIRA 12500750-250</v>
      </c>
      <c r="C12051" s="2" t="str">
        <f t="shared" si="470"/>
        <v>UN</v>
      </c>
      <c r="D12051" s="7">
        <v>918</v>
      </c>
      <c r="E12051" s="3">
        <v>11</v>
      </c>
      <c r="F12051" s="3">
        <v>11</v>
      </c>
      <c r="G12051" t="s">
        <v>515</v>
      </c>
    </row>
    <row r="12052" spans="1:7" x14ac:dyDescent="0.25">
      <c r="A12052" s="1" t="str">
        <f>"512796"</f>
        <v>512796</v>
      </c>
      <c r="B12052" s="2" t="str">
        <f>"GAXETA PISTÃO K000150 APV CUBE 4600 APF-9625"</f>
        <v>GAXETA PISTÃO K000150 APV CUBE 4600 APF-9625</v>
      </c>
      <c r="C12052" s="2" t="str">
        <f t="shared" si="470"/>
        <v>UN</v>
      </c>
      <c r="D12052" s="7">
        <v>918</v>
      </c>
      <c r="E12052" s="3">
        <v>11</v>
      </c>
      <c r="F12052" s="3">
        <v>11</v>
      </c>
      <c r="G12052" t="s">
        <v>512</v>
      </c>
    </row>
    <row r="12053" spans="1:7" x14ac:dyDescent="0.25">
      <c r="A12053" s="1" t="str">
        <f>"504477"</f>
        <v>504477</v>
      </c>
      <c r="B12053" s="2" t="str">
        <f>"GAXETA POS.18 (HOMO TM3 2,5TPS)"</f>
        <v>GAXETA POS.18 (HOMO TM3 2,5TPS)</v>
      </c>
      <c r="C12053" s="2" t="str">
        <f t="shared" si="470"/>
        <v>UN</v>
      </c>
      <c r="D12053" s="7">
        <v>918</v>
      </c>
      <c r="E12053" s="3">
        <v>11</v>
      </c>
      <c r="F12053" s="3">
        <v>11</v>
      </c>
      <c r="G12053" t="s">
        <v>516</v>
      </c>
    </row>
    <row r="12054" spans="1:7" x14ac:dyDescent="0.25">
      <c r="A12054" s="1" t="str">
        <f>"504476"</f>
        <v>504476</v>
      </c>
      <c r="B12054" s="2" t="str">
        <f>"GAXETA POS.61 (HOMO TM3 2,5TPS)"</f>
        <v>GAXETA POS.61 (HOMO TM3 2,5TPS)</v>
      </c>
      <c r="C12054" s="2" t="str">
        <f t="shared" si="470"/>
        <v>UN</v>
      </c>
      <c r="D12054" s="7">
        <v>918</v>
      </c>
      <c r="E12054" s="3">
        <v>11</v>
      </c>
      <c r="F12054" s="3">
        <v>11</v>
      </c>
      <c r="G12054" t="s">
        <v>515</v>
      </c>
    </row>
    <row r="12055" spans="1:7" x14ac:dyDescent="0.25">
      <c r="A12055" s="1" t="str">
        <f>"527557"</f>
        <v>527557</v>
      </c>
      <c r="B12055" s="2" t="str">
        <f>"GAXETA QUADRADA 3/8 EM FIBRA META-ARAMIDA"</f>
        <v>GAXETA QUADRADA 3/8 EM FIBRA META-ARAMIDA</v>
      </c>
      <c r="C12055" s="2" t="str">
        <f>"KG"</f>
        <v>KG</v>
      </c>
      <c r="D12055" s="7">
        <v>918</v>
      </c>
      <c r="E12055" s="3">
        <v>11</v>
      </c>
      <c r="F12055" s="3">
        <v>11</v>
      </c>
      <c r="G12055" t="s">
        <v>514</v>
      </c>
    </row>
    <row r="12056" spans="1:7" x14ac:dyDescent="0.25">
      <c r="A12056" s="1" t="str">
        <f>"527857"</f>
        <v>527857</v>
      </c>
      <c r="B12056" s="2" t="str">
        <f>"GAXETA QUIMFLEX PTFE 20 X 7MM TFLEX - JUNTA CALDEIRA"</f>
        <v>GAXETA QUIMFLEX PTFE 20 X 7MM TFLEX - JUNTA CALDEIRA</v>
      </c>
      <c r="C12056" s="2" t="str">
        <f>"MT"</f>
        <v>MT</v>
      </c>
      <c r="D12056" s="7">
        <v>402</v>
      </c>
      <c r="E12056" s="3">
        <v>4</v>
      </c>
      <c r="F12056" s="3">
        <v>4</v>
      </c>
      <c r="G12056" t="s">
        <v>512</v>
      </c>
    </row>
    <row r="12057" spans="1:7" x14ac:dyDescent="0.25">
      <c r="A12057" s="1" t="str">
        <f>"506108"</f>
        <v>506108</v>
      </c>
      <c r="B12057" s="2" t="str">
        <f>"GAXETA R-15"</f>
        <v>GAXETA R-15</v>
      </c>
      <c r="C12057" s="2" t="str">
        <f t="shared" ref="C12057:C12091" si="471">"UN"</f>
        <v>UN</v>
      </c>
      <c r="D12057" s="7">
        <v>812</v>
      </c>
      <c r="E12057" s="3">
        <v>10</v>
      </c>
      <c r="F12057" s="3">
        <v>10</v>
      </c>
      <c r="G12057" t="s">
        <v>513</v>
      </c>
    </row>
    <row r="12058" spans="1:7" x14ac:dyDescent="0.25">
      <c r="A12058" s="1" t="str">
        <f>"505003"</f>
        <v>505003</v>
      </c>
      <c r="B12058" s="2" t="str">
        <f>"GAXETA REF.4722142-108 ALFA LAVAL SHL-30"</f>
        <v>GAXETA REF.4722142-108 ALFA LAVAL SHL-30</v>
      </c>
      <c r="C12058" s="2" t="str">
        <f t="shared" si="471"/>
        <v>UN</v>
      </c>
      <c r="D12058" s="7">
        <v>918</v>
      </c>
      <c r="E12058" s="3">
        <v>11</v>
      </c>
      <c r="F12058" s="3">
        <v>11</v>
      </c>
      <c r="G12058" t="s">
        <v>514</v>
      </c>
    </row>
    <row r="12059" spans="1:7" x14ac:dyDescent="0.25">
      <c r="A12059" s="1" t="str">
        <f>"503154"</f>
        <v>503154</v>
      </c>
      <c r="B12059" s="2" t="str">
        <f>"GAXETA STAN 18X25X6MM CILINDRO REQUEIJAO"</f>
        <v>GAXETA STAN 18X25X6MM CILINDRO REQUEIJAO</v>
      </c>
      <c r="C12059" s="2" t="str">
        <f t="shared" si="471"/>
        <v>UN</v>
      </c>
      <c r="D12059" s="7">
        <v>918</v>
      </c>
      <c r="E12059" s="3">
        <v>11</v>
      </c>
      <c r="F12059" s="3">
        <v>11</v>
      </c>
      <c r="G12059" t="s">
        <v>514</v>
      </c>
    </row>
    <row r="12060" spans="1:7" x14ac:dyDescent="0.25">
      <c r="A12060" s="1" t="str">
        <f>"503153"</f>
        <v>503153</v>
      </c>
      <c r="B12060" s="2" t="str">
        <f>"GAXETA STAN 19X25X5MM DESTACADOR SOPRO"</f>
        <v>GAXETA STAN 19X25X5MM DESTACADOR SOPRO</v>
      </c>
      <c r="C12060" s="2" t="str">
        <f t="shared" si="471"/>
        <v>UN</v>
      </c>
      <c r="D12060" s="7">
        <v>918</v>
      </c>
      <c r="E12060" s="3">
        <v>11</v>
      </c>
      <c r="F12060" s="3">
        <v>11</v>
      </c>
      <c r="G12060" t="s">
        <v>512</v>
      </c>
    </row>
    <row r="12061" spans="1:7" x14ac:dyDescent="0.25">
      <c r="A12061" s="1" t="str">
        <f>"505448"</f>
        <v>505448</v>
      </c>
      <c r="B12061" s="2" t="str">
        <f>"GAXETA STAN COD.8500005 BYG L2000"</f>
        <v>GAXETA STAN COD.8500005 BYG L2000</v>
      </c>
      <c r="C12061" s="2" t="str">
        <f t="shared" si="471"/>
        <v>UN</v>
      </c>
      <c r="D12061" s="7">
        <v>918</v>
      </c>
      <c r="E12061" s="3">
        <v>11</v>
      </c>
      <c r="F12061" s="3">
        <v>11</v>
      </c>
      <c r="G12061" t="s">
        <v>513</v>
      </c>
    </row>
    <row r="12062" spans="1:7" x14ac:dyDescent="0.25">
      <c r="A12062" s="1" t="str">
        <f>"505342"</f>
        <v>505342</v>
      </c>
      <c r="B12062" s="2" t="str">
        <f>"GAXETA STAN COD.9620209 BYG L3000"</f>
        <v>GAXETA STAN COD.9620209 BYG L3000</v>
      </c>
      <c r="C12062" s="2" t="str">
        <f t="shared" si="471"/>
        <v>UN</v>
      </c>
      <c r="D12062" s="7">
        <v>918</v>
      </c>
      <c r="E12062" s="3">
        <v>11</v>
      </c>
      <c r="F12062" s="3">
        <v>11</v>
      </c>
      <c r="G12062" t="s">
        <v>514</v>
      </c>
    </row>
    <row r="12063" spans="1:7" x14ac:dyDescent="0.25">
      <c r="A12063" s="1" t="str">
        <f>"525606"</f>
        <v>525606</v>
      </c>
      <c r="B12063" s="2" t="str">
        <f>"GAXETA TEFLON PTFE EXP ADTV (SECO) TEADIT2005 7,9MM"</f>
        <v>GAXETA TEFLON PTFE EXP ADTV (SECO) TEADIT2005 7,9MM</v>
      </c>
      <c r="C12063" s="2" t="str">
        <f t="shared" si="471"/>
        <v>UN</v>
      </c>
      <c r="D12063" s="7">
        <v>918</v>
      </c>
      <c r="E12063" s="3">
        <v>11</v>
      </c>
      <c r="F12063" s="3">
        <v>11</v>
      </c>
      <c r="G12063" t="s">
        <v>514</v>
      </c>
    </row>
    <row r="12064" spans="1:7" x14ac:dyDescent="0.25">
      <c r="A12064" s="1" t="str">
        <f>"502846"</f>
        <v>502846</v>
      </c>
      <c r="B12064" s="2" t="str">
        <f>"GAXETA TIPO STAN 1.1/2 X 2 X 1/4 SOPRO"</f>
        <v>GAXETA TIPO STAN 1.1/2 X 2 X 1/4 SOPRO</v>
      </c>
      <c r="C12064" s="2" t="str">
        <f t="shared" si="471"/>
        <v>UN</v>
      </c>
      <c r="D12064" s="7">
        <v>918</v>
      </c>
      <c r="E12064" s="3">
        <v>11</v>
      </c>
      <c r="F12064" s="3">
        <v>11</v>
      </c>
      <c r="G12064" t="s">
        <v>514</v>
      </c>
    </row>
    <row r="12065" spans="1:7" x14ac:dyDescent="0.25">
      <c r="A12065" s="1" t="str">
        <f>"518203"</f>
        <v>518203</v>
      </c>
      <c r="B12065" s="2" t="str">
        <f>"GAXETA TROCADOR DE CALOR 0081-EPDM"</f>
        <v>GAXETA TROCADOR DE CALOR 0081-EPDM</v>
      </c>
      <c r="C12065" s="2" t="str">
        <f t="shared" si="471"/>
        <v>UN</v>
      </c>
      <c r="D12065" s="7">
        <v>915</v>
      </c>
      <c r="E12065" s="3">
        <v>11</v>
      </c>
      <c r="F12065" s="3">
        <v>11</v>
      </c>
      <c r="G12065" t="s">
        <v>513</v>
      </c>
    </row>
    <row r="12066" spans="1:7" x14ac:dyDescent="0.25">
      <c r="A12066" s="1" t="str">
        <f>"527995"</f>
        <v>527995</v>
      </c>
      <c r="B12066" s="2" t="str">
        <f>"GAXETA TS6M - EPDMP  | TEMP. MAX. 180ºC CLIP-ON"</f>
        <v>GAXETA TS6M - EPDMP  | TEMP. MAX. 180ºC CLIP-ON</v>
      </c>
      <c r="C12066" s="2" t="str">
        <f t="shared" si="471"/>
        <v>UN</v>
      </c>
      <c r="D12066" s="7">
        <v>808</v>
      </c>
      <c r="E12066" s="3">
        <v>11</v>
      </c>
      <c r="F12066" s="3">
        <v>11</v>
      </c>
      <c r="G12066" t="s">
        <v>512</v>
      </c>
    </row>
    <row r="12067" spans="1:7" x14ac:dyDescent="0.25">
      <c r="A12067" s="1" t="str">
        <f>"527997"</f>
        <v>527997</v>
      </c>
      <c r="B12067" s="2" t="str">
        <f>"GAXETA U APC-0047"</f>
        <v>GAXETA U APC-0047</v>
      </c>
      <c r="C12067" s="2" t="str">
        <f t="shared" si="471"/>
        <v>UN</v>
      </c>
      <c r="D12067" s="7">
        <v>918</v>
      </c>
      <c r="E12067" s="3">
        <v>11</v>
      </c>
      <c r="F12067" s="3">
        <v>11</v>
      </c>
      <c r="G12067" t="s">
        <v>513</v>
      </c>
    </row>
    <row r="12068" spans="1:7" x14ac:dyDescent="0.25">
      <c r="A12068" s="1" t="str">
        <f>"520423"</f>
        <v>520423</v>
      </c>
      <c r="B12068" s="2" t="str">
        <f>"GAXETA U VEDABRAS 18X26X4 VITON"</f>
        <v>GAXETA U VEDABRAS 18X26X4 VITON</v>
      </c>
      <c r="C12068" s="2" t="str">
        <f t="shared" si="471"/>
        <v>UN</v>
      </c>
      <c r="D12068" s="7">
        <v>909</v>
      </c>
      <c r="E12068" s="3">
        <v>11</v>
      </c>
      <c r="F12068" s="3">
        <v>11</v>
      </c>
      <c r="G12068" t="s">
        <v>514</v>
      </c>
    </row>
    <row r="12069" spans="1:7" x14ac:dyDescent="0.25">
      <c r="A12069" s="1" t="str">
        <f>"520428"</f>
        <v>520428</v>
      </c>
      <c r="B12069" s="2" t="str">
        <f>"GAXETA U VEDABRAS 25X33X5,5"</f>
        <v>GAXETA U VEDABRAS 25X33X5,5</v>
      </c>
      <c r="C12069" s="2" t="str">
        <f t="shared" si="471"/>
        <v>UN</v>
      </c>
      <c r="D12069" s="7">
        <v>909</v>
      </c>
      <c r="E12069" s="3">
        <v>11</v>
      </c>
      <c r="F12069" s="3">
        <v>11</v>
      </c>
      <c r="G12069" t="s">
        <v>514</v>
      </c>
    </row>
    <row r="12070" spans="1:7" x14ac:dyDescent="0.25">
      <c r="A12070" s="1" t="str">
        <f>"508710"</f>
        <v>508710</v>
      </c>
      <c r="B12070" s="2" t="str">
        <f>"GAXETA V APF-2084 COD.2244 COR AZUL"</f>
        <v>GAXETA V APF-2084 COD.2244 COR AZUL</v>
      </c>
      <c r="C12070" s="2" t="str">
        <f t="shared" si="471"/>
        <v>UN</v>
      </c>
      <c r="D12070" s="7">
        <v>918</v>
      </c>
      <c r="E12070" s="3">
        <v>11</v>
      </c>
      <c r="F12070" s="3">
        <v>11</v>
      </c>
      <c r="G12070" t="s">
        <v>514</v>
      </c>
    </row>
    <row r="12071" spans="1:7" x14ac:dyDescent="0.25">
      <c r="A12071" s="1" t="str">
        <f>"503844"</f>
        <v>503844</v>
      </c>
      <c r="B12071" s="2" t="str">
        <f>"GAXETA V DO PISTAO APC-1486 (ALFALAVAL)"</f>
        <v>GAXETA V DO PISTAO APC-1486 (ALFALAVAL)</v>
      </c>
      <c r="C12071" s="2" t="str">
        <f t="shared" si="471"/>
        <v>UN</v>
      </c>
      <c r="D12071" s="7">
        <v>918</v>
      </c>
      <c r="E12071" s="3">
        <v>11</v>
      </c>
      <c r="F12071" s="3">
        <v>11</v>
      </c>
      <c r="G12071" t="s">
        <v>513</v>
      </c>
    </row>
    <row r="12072" spans="1:7" x14ac:dyDescent="0.25">
      <c r="A12072" s="1" t="str">
        <f>"503049"</f>
        <v>503049</v>
      </c>
      <c r="B12072" s="2" t="str">
        <f>"GAXETA VED PISTAO APC 1419 POS.17 TM3"</f>
        <v>GAXETA VED PISTAO APC 1419 POS.17 TM3</v>
      </c>
      <c r="C12072" s="2" t="str">
        <f t="shared" si="471"/>
        <v>UN</v>
      </c>
      <c r="D12072" s="7">
        <v>918</v>
      </c>
      <c r="E12072" s="3">
        <v>11</v>
      </c>
      <c r="F12072" s="3">
        <v>11</v>
      </c>
      <c r="G12072" t="s">
        <v>513</v>
      </c>
    </row>
    <row r="12073" spans="1:7" x14ac:dyDescent="0.25">
      <c r="A12073" s="1" t="str">
        <f>"504458"</f>
        <v>504458</v>
      </c>
      <c r="B12073" s="2" t="str">
        <f>"GAXETA VED. HASTE MOLA SECUNDARIA POS.61"</f>
        <v>GAXETA VED. HASTE MOLA SECUNDARIA POS.61</v>
      </c>
      <c r="C12073" s="2" t="str">
        <f t="shared" si="471"/>
        <v>UN</v>
      </c>
      <c r="D12073" s="7">
        <v>918</v>
      </c>
      <c r="E12073" s="3">
        <v>11</v>
      </c>
      <c r="F12073" s="3">
        <v>11</v>
      </c>
      <c r="G12073" t="s">
        <v>513</v>
      </c>
    </row>
    <row r="12074" spans="1:7" x14ac:dyDescent="0.25">
      <c r="A12074" s="1" t="str">
        <f>"503132"</f>
        <v>503132</v>
      </c>
      <c r="B12074" s="2" t="str">
        <f>"GAXETA VED.DOSADOR-1336 COD.382743-03"</f>
        <v>GAXETA VED.DOSADOR-1336 COD.382743-03</v>
      </c>
      <c r="C12074" s="2" t="str">
        <f t="shared" si="471"/>
        <v>UN</v>
      </c>
      <c r="D12074" s="7">
        <v>918</v>
      </c>
      <c r="E12074" s="3">
        <v>11</v>
      </c>
      <c r="F12074" s="3">
        <v>11</v>
      </c>
      <c r="G12074" t="s">
        <v>512</v>
      </c>
    </row>
    <row r="12075" spans="1:7" x14ac:dyDescent="0.25">
      <c r="A12075" s="1" t="str">
        <f>"503570"</f>
        <v>503570</v>
      </c>
      <c r="B12075" s="2" t="str">
        <f>"GAXETA VEDACAO CHEVRON BORR.LONADA"</f>
        <v>GAXETA VEDACAO CHEVRON BORR.LONADA</v>
      </c>
      <c r="C12075" s="2" t="str">
        <f t="shared" si="471"/>
        <v>UN</v>
      </c>
      <c r="D12075" s="7">
        <v>918</v>
      </c>
      <c r="E12075" s="3">
        <v>11</v>
      </c>
      <c r="F12075" s="3">
        <v>11</v>
      </c>
      <c r="G12075" t="s">
        <v>513</v>
      </c>
    </row>
    <row r="12076" spans="1:7" x14ac:dyDescent="0.25">
      <c r="A12076" s="1" t="str">
        <f>"524810"</f>
        <v>524810</v>
      </c>
      <c r="B12076" s="2" t="str">
        <f>"GAXETA VT20 LOC IN NBR"</f>
        <v>GAXETA VT20 LOC IN NBR</v>
      </c>
      <c r="C12076" s="2" t="str">
        <f t="shared" si="471"/>
        <v>UN</v>
      </c>
      <c r="D12076" s="7">
        <v>909</v>
      </c>
      <c r="E12076" s="3">
        <v>11</v>
      </c>
      <c r="F12076" s="3">
        <v>11</v>
      </c>
      <c r="G12076" t="s">
        <v>514</v>
      </c>
    </row>
    <row r="12077" spans="1:7" x14ac:dyDescent="0.25">
      <c r="A12077" s="1" t="str">
        <f>"507285"</f>
        <v>507285</v>
      </c>
      <c r="B12077" s="2" t="str">
        <f>"GAXETA W APC1511 REF 647220931-03"</f>
        <v>GAXETA W APC1511 REF 647220931-03</v>
      </c>
      <c r="C12077" s="2" t="str">
        <f t="shared" si="471"/>
        <v>UN</v>
      </c>
      <c r="D12077" s="7">
        <v>918</v>
      </c>
      <c r="E12077" s="3">
        <v>11</v>
      </c>
      <c r="F12077" s="3">
        <v>11</v>
      </c>
      <c r="G12077" t="s">
        <v>515</v>
      </c>
    </row>
    <row r="12078" spans="1:7" x14ac:dyDescent="0.25">
      <c r="A12078" s="1" t="str">
        <f>"508639"</f>
        <v>508639</v>
      </c>
      <c r="B12078" s="2" t="str">
        <f>"GAXETA W POS 12 APC 1506"</f>
        <v>GAXETA W POS 12 APC 1506</v>
      </c>
      <c r="C12078" s="2" t="str">
        <f t="shared" si="471"/>
        <v>UN</v>
      </c>
      <c r="D12078" s="7">
        <v>918</v>
      </c>
      <c r="E12078" s="3">
        <v>11</v>
      </c>
      <c r="F12078" s="3">
        <v>11</v>
      </c>
      <c r="G12078" t="s">
        <v>512</v>
      </c>
    </row>
    <row r="12079" spans="1:7" x14ac:dyDescent="0.25">
      <c r="A12079" s="1" t="str">
        <f>"522320"</f>
        <v>522320</v>
      </c>
      <c r="B12079" s="2" t="str">
        <f>"GAZE (01 PACOTE COM 10 UNIDADES)"</f>
        <v>GAZE (01 PACOTE COM 10 UNIDADES)</v>
      </c>
      <c r="C12079" s="2" t="str">
        <f t="shared" si="471"/>
        <v>UN</v>
      </c>
      <c r="D12079" s="7">
        <v>99999</v>
      </c>
      <c r="E12079" s="3">
        <v>99</v>
      </c>
      <c r="F12079" s="3">
        <v>99</v>
      </c>
      <c r="G12079" t="s">
        <v>516</v>
      </c>
    </row>
    <row r="12080" spans="1:7" x14ac:dyDescent="0.25">
      <c r="A12080" s="1" t="str">
        <f>"520881"</f>
        <v>520881</v>
      </c>
      <c r="B12080" s="2" t="str">
        <f>"GBIC MM LC50"</f>
        <v>GBIC MM LC50</v>
      </c>
      <c r="C12080" s="2" t="str">
        <f t="shared" si="471"/>
        <v>UN</v>
      </c>
      <c r="D12080" s="7">
        <v>401</v>
      </c>
      <c r="E12080" s="3">
        <v>4</v>
      </c>
      <c r="F12080" s="3">
        <v>4</v>
      </c>
      <c r="G12080" t="s">
        <v>515</v>
      </c>
    </row>
    <row r="12081" spans="1:7" x14ac:dyDescent="0.25">
      <c r="A12081" s="1" t="str">
        <f>"515679"</f>
        <v>515679</v>
      </c>
      <c r="B12081" s="2" t="str">
        <f>"GDTECH DDA 100"</f>
        <v>GDTECH DDA 100</v>
      </c>
      <c r="C12081" s="2" t="str">
        <f t="shared" si="471"/>
        <v>UN</v>
      </c>
      <c r="D12081" s="7">
        <v>304</v>
      </c>
      <c r="E12081" s="3">
        <v>4</v>
      </c>
      <c r="F12081" s="3">
        <v>4</v>
      </c>
      <c r="G12081" t="s">
        <v>514</v>
      </c>
    </row>
    <row r="12082" spans="1:7" x14ac:dyDescent="0.25">
      <c r="A12082" s="1" t="str">
        <f>"515681"</f>
        <v>515681</v>
      </c>
      <c r="B12082" s="2" t="str">
        <f>"GDTECH HC-20"</f>
        <v>GDTECH HC-20</v>
      </c>
      <c r="C12082" s="2" t="str">
        <f t="shared" si="471"/>
        <v>UN</v>
      </c>
      <c r="D12082" s="7">
        <v>304</v>
      </c>
      <c r="E12082" s="3">
        <v>4</v>
      </c>
      <c r="F12082" s="3">
        <v>4</v>
      </c>
      <c r="G12082" t="s">
        <v>512</v>
      </c>
    </row>
    <row r="12083" spans="1:7" x14ac:dyDescent="0.25">
      <c r="A12083" s="1" t="str">
        <f>"515680"</f>
        <v>515680</v>
      </c>
      <c r="B12083" s="2" t="str">
        <f>"GDTECH HS100"</f>
        <v>GDTECH HS100</v>
      </c>
      <c r="C12083" s="2" t="str">
        <f t="shared" si="471"/>
        <v>UN</v>
      </c>
      <c r="D12083" s="7">
        <v>304</v>
      </c>
      <c r="E12083" s="3">
        <v>4</v>
      </c>
      <c r="F12083" s="3">
        <v>4</v>
      </c>
      <c r="G12083" t="s">
        <v>513</v>
      </c>
    </row>
    <row r="12084" spans="1:7" x14ac:dyDescent="0.25">
      <c r="A12084" s="1" t="str">
        <f>"502128"</f>
        <v>502128</v>
      </c>
      <c r="B12084" s="2" t="str">
        <f>"GEL DECAPANTE 1,5KG AMAZONIA"</f>
        <v>GEL DECAPANTE 1,5KG AMAZONIA</v>
      </c>
      <c r="C12084" s="2" t="str">
        <f t="shared" si="471"/>
        <v>UN</v>
      </c>
      <c r="D12084" s="7">
        <v>402</v>
      </c>
      <c r="E12084" s="3">
        <v>4</v>
      </c>
      <c r="F12084" s="3">
        <v>4</v>
      </c>
      <c r="G12084" t="s">
        <v>514</v>
      </c>
    </row>
    <row r="12085" spans="1:7" x14ac:dyDescent="0.25">
      <c r="A12085" s="1" t="str">
        <f>"AG39069011"</f>
        <v>AG39069011</v>
      </c>
      <c r="B12085" s="2" t="str">
        <f>"GEL FLOC AMOSTRA GRATIS"</f>
        <v>GEL FLOC AMOSTRA GRATIS</v>
      </c>
      <c r="C12085" s="2" t="str">
        <f t="shared" si="471"/>
        <v>UN</v>
      </c>
      <c r="D12085" s="7">
        <v>99999</v>
      </c>
      <c r="E12085" s="3">
        <v>99</v>
      </c>
      <c r="F12085" s="3">
        <v>99</v>
      </c>
      <c r="G12085" t="s">
        <v>514</v>
      </c>
    </row>
    <row r="12086" spans="1:7" x14ac:dyDescent="0.25">
      <c r="A12086" s="1" t="str">
        <f>"515341"</f>
        <v>515341</v>
      </c>
      <c r="B12086" s="2" t="str">
        <f>"GELADEIRA CONSUL BRANCA 261 LT"</f>
        <v>GELADEIRA CONSUL BRANCA 261 LT</v>
      </c>
      <c r="C12086" s="2" t="str">
        <f t="shared" si="471"/>
        <v>UN</v>
      </c>
      <c r="D12086" s="7">
        <v>900</v>
      </c>
      <c r="E12086" s="3">
        <v>4</v>
      </c>
      <c r="F12086" s="3">
        <v>4</v>
      </c>
      <c r="G12086" t="s">
        <v>512</v>
      </c>
    </row>
    <row r="12087" spans="1:7" x14ac:dyDescent="0.25">
      <c r="A12087" s="1" t="str">
        <f>"516872"</f>
        <v>516872</v>
      </c>
      <c r="B12087" s="2" t="str">
        <f>"GELADEIRA GC48 LITROS INOX C/ GAVETAS 12V"</f>
        <v>GELADEIRA GC48 LITROS INOX C/ GAVETAS 12V</v>
      </c>
      <c r="C12087" s="2" t="str">
        <f t="shared" si="471"/>
        <v>UN</v>
      </c>
      <c r="D12087" s="7">
        <v>1300</v>
      </c>
      <c r="E12087" s="3">
        <v>13</v>
      </c>
      <c r="F12087" s="3">
        <v>13</v>
      </c>
      <c r="G12087" t="s">
        <v>513</v>
      </c>
    </row>
    <row r="12088" spans="1:7" x14ac:dyDescent="0.25">
      <c r="A12088" s="1" t="str">
        <f>"516873"</f>
        <v>516873</v>
      </c>
      <c r="B12088" s="2" t="str">
        <f>"GELADEIRA GC48 LITROS INOX C/ GAVETAS 24V"</f>
        <v>GELADEIRA GC48 LITROS INOX C/ GAVETAS 24V</v>
      </c>
      <c r="C12088" s="2" t="str">
        <f t="shared" si="471"/>
        <v>UN</v>
      </c>
      <c r="D12088" s="7">
        <v>1300</v>
      </c>
      <c r="E12088" s="3">
        <v>13</v>
      </c>
      <c r="F12088" s="3">
        <v>13</v>
      </c>
      <c r="G12088" t="s">
        <v>514</v>
      </c>
    </row>
    <row r="12089" spans="1:7" x14ac:dyDescent="0.25">
      <c r="A12089" s="1" t="str">
        <f>"520714"</f>
        <v>520714</v>
      </c>
      <c r="B12089" s="2" t="str">
        <f>"GELADEIRA GCA53 INOX LEITE 12V CAMINHÃO"</f>
        <v>GELADEIRA GCA53 INOX LEITE 12V CAMINHÃO</v>
      </c>
      <c r="C12089" s="2" t="str">
        <f t="shared" si="471"/>
        <v>UN</v>
      </c>
      <c r="D12089" s="7">
        <v>1300</v>
      </c>
      <c r="E12089" s="3">
        <v>13</v>
      </c>
      <c r="F12089" s="3">
        <v>13</v>
      </c>
      <c r="G12089" t="s">
        <v>514</v>
      </c>
    </row>
    <row r="12090" spans="1:7" x14ac:dyDescent="0.25">
      <c r="A12090" s="1" t="str">
        <f>"520715"</f>
        <v>520715</v>
      </c>
      <c r="B12090" s="2" t="str">
        <f>"GELADEIRA GCA53 INOX LEITE 24V CAMINHÃO"</f>
        <v>GELADEIRA GCA53 INOX LEITE 24V CAMINHÃO</v>
      </c>
      <c r="C12090" s="2" t="str">
        <f t="shared" si="471"/>
        <v>UN</v>
      </c>
      <c r="D12090" s="7">
        <v>1300</v>
      </c>
      <c r="E12090" s="3">
        <v>13</v>
      </c>
      <c r="F12090" s="3">
        <v>13</v>
      </c>
      <c r="G12090" t="s">
        <v>514</v>
      </c>
    </row>
    <row r="12091" spans="1:7" x14ac:dyDescent="0.25">
      <c r="A12091" s="1" t="str">
        <f>"520817"</f>
        <v>520817</v>
      </c>
      <c r="B12091" s="2" t="str">
        <f>"GELADEIRA VERTICAL 2 PORTAS 1500X800X2100MM"</f>
        <v>GELADEIRA VERTICAL 2 PORTAS 1500X800X2100MM</v>
      </c>
      <c r="C12091" s="2" t="str">
        <f t="shared" si="471"/>
        <v>UN</v>
      </c>
      <c r="D12091" s="7">
        <v>1200</v>
      </c>
      <c r="E12091" s="3">
        <v>13</v>
      </c>
      <c r="F12091" s="3">
        <v>13</v>
      </c>
      <c r="G12091" t="s">
        <v>513</v>
      </c>
    </row>
    <row r="12092" spans="1:7" x14ac:dyDescent="0.25">
      <c r="A12092" s="1" t="str">
        <f>"5857"</f>
        <v>5857</v>
      </c>
      <c r="B12092" s="2" t="str">
        <f>"GELATINA ALIMENTICIA  BOBINA 250 BLOOM ROUSSELOT"</f>
        <v>GELATINA ALIMENTICIA  BOBINA 250 BLOOM ROUSSELOT</v>
      </c>
      <c r="C12092" s="2" t="str">
        <f t="shared" ref="C12092:C12098" si="472">"KG"</f>
        <v>KG</v>
      </c>
      <c r="D12092" s="7">
        <v>203</v>
      </c>
      <c r="E12092" s="3">
        <v>2</v>
      </c>
      <c r="F12092" s="3">
        <v>2</v>
      </c>
      <c r="G12092" t="s">
        <v>512</v>
      </c>
    </row>
    <row r="12093" spans="1:7" x14ac:dyDescent="0.25">
      <c r="A12093" s="1" t="str">
        <f>"5855"</f>
        <v>5855</v>
      </c>
      <c r="B12093" s="2" t="str">
        <f>"GELATINA ALIMENTICIA  BOVINA 250 BLOOM GELNEX"</f>
        <v>GELATINA ALIMENTICIA  BOVINA 250 BLOOM GELNEX</v>
      </c>
      <c r="C12093" s="2" t="str">
        <f t="shared" si="472"/>
        <v>KG</v>
      </c>
      <c r="D12093" s="7">
        <v>203</v>
      </c>
      <c r="E12093" s="3">
        <v>2</v>
      </c>
      <c r="F12093" s="3">
        <v>2</v>
      </c>
      <c r="G12093" t="s">
        <v>513</v>
      </c>
    </row>
    <row r="12094" spans="1:7" x14ac:dyDescent="0.25">
      <c r="A12094" s="1" t="str">
        <f>"5834"</f>
        <v>5834</v>
      </c>
      <c r="B12094" s="2" t="str">
        <f>"GELATINA ALIMENTICIA 250 BLOOM"</f>
        <v>GELATINA ALIMENTICIA 250 BLOOM</v>
      </c>
      <c r="C12094" s="2" t="str">
        <f t="shared" si="472"/>
        <v>KG</v>
      </c>
      <c r="D12094" s="7">
        <v>203</v>
      </c>
      <c r="E12094" s="3">
        <v>2</v>
      </c>
      <c r="F12094" s="3">
        <v>2</v>
      </c>
      <c r="G12094" t="s">
        <v>514</v>
      </c>
    </row>
    <row r="12095" spans="1:7" x14ac:dyDescent="0.25">
      <c r="A12095" s="1" t="str">
        <f>"5849"</f>
        <v>5849</v>
      </c>
      <c r="B12095" s="2" t="str">
        <f>"GELATINA ALIMENTICIA GELCO 250 BLOM"</f>
        <v>GELATINA ALIMENTICIA GELCO 250 BLOM</v>
      </c>
      <c r="C12095" s="2" t="str">
        <f t="shared" si="472"/>
        <v>KG</v>
      </c>
      <c r="D12095" s="7">
        <v>203</v>
      </c>
      <c r="E12095" s="3">
        <v>2</v>
      </c>
      <c r="F12095" s="3">
        <v>2</v>
      </c>
      <c r="G12095" t="s">
        <v>514</v>
      </c>
    </row>
    <row r="12096" spans="1:7" x14ac:dyDescent="0.25">
      <c r="A12096" s="1" t="str">
        <f>"514352"</f>
        <v>514352</v>
      </c>
      <c r="B12096" s="2" t="str">
        <f>"GELATINA ALIMENTICIA GELITA GEL-LAC - QUALA"</f>
        <v>GELATINA ALIMENTICIA GELITA GEL-LAC - QUALA</v>
      </c>
      <c r="C12096" s="2" t="str">
        <f t="shared" si="472"/>
        <v>KG</v>
      </c>
      <c r="D12096" s="7">
        <v>203</v>
      </c>
      <c r="E12096" s="3">
        <v>2</v>
      </c>
      <c r="F12096" s="3">
        <v>2</v>
      </c>
      <c r="G12096" t="s">
        <v>514</v>
      </c>
    </row>
    <row r="12097" spans="1:7" x14ac:dyDescent="0.25">
      <c r="A12097" s="1" t="str">
        <f>"6550"</f>
        <v>6550</v>
      </c>
      <c r="B12097" s="2" t="str">
        <f>"GELATINA ALIMENTICIA GELITA GEL-LAC - QUALA"</f>
        <v>GELATINA ALIMENTICIA GELITA GEL-LAC - QUALA</v>
      </c>
      <c r="C12097" s="2" t="str">
        <f t="shared" si="472"/>
        <v>KG</v>
      </c>
      <c r="D12097" s="7">
        <v>203</v>
      </c>
      <c r="E12097" s="3">
        <v>2</v>
      </c>
      <c r="F12097" s="3">
        <v>2</v>
      </c>
      <c r="G12097" t="s">
        <v>513</v>
      </c>
    </row>
    <row r="12098" spans="1:7" x14ac:dyDescent="0.25">
      <c r="A12098" s="1" t="str">
        <f>"5850"</f>
        <v>5850</v>
      </c>
      <c r="B12098" s="2" t="str">
        <f>"GELATINA ALIMENTICIA ROUSSELOT 175 BLOOM"</f>
        <v>GELATINA ALIMENTICIA ROUSSELOT 175 BLOOM</v>
      </c>
      <c r="C12098" s="2" t="str">
        <f t="shared" si="472"/>
        <v>KG</v>
      </c>
      <c r="D12098" s="7">
        <v>203</v>
      </c>
      <c r="E12098" s="3">
        <v>2</v>
      </c>
      <c r="F12098" s="3">
        <v>2</v>
      </c>
      <c r="G12098" t="s">
        <v>513</v>
      </c>
    </row>
    <row r="12099" spans="1:7" x14ac:dyDescent="0.25">
      <c r="A12099" s="1" t="str">
        <f>"AG35030019"</f>
        <v>AG35030019</v>
      </c>
      <c r="B12099" s="2" t="str">
        <f>"GELATINA AMOSTRA GRATIS"</f>
        <v>GELATINA AMOSTRA GRATIS</v>
      </c>
      <c r="C12099" s="2" t="str">
        <f>"UN"</f>
        <v>UN</v>
      </c>
      <c r="D12099" s="7">
        <v>99999</v>
      </c>
      <c r="E12099" s="3">
        <v>99</v>
      </c>
      <c r="F12099" s="3">
        <v>99</v>
      </c>
      <c r="G12099" t="s">
        <v>513</v>
      </c>
    </row>
    <row r="12100" spans="1:7" x14ac:dyDescent="0.25">
      <c r="A12100" s="1" t="str">
        <f>"510874"</f>
        <v>510874</v>
      </c>
      <c r="B12100" s="2" t="str">
        <f>"GELATINA APTI 85GR"</f>
        <v>GELATINA APTI 85GR</v>
      </c>
      <c r="C12100" s="2" t="str">
        <f>"UN"</f>
        <v>UN</v>
      </c>
      <c r="D12100" s="7">
        <v>401</v>
      </c>
      <c r="E12100" s="3">
        <v>4</v>
      </c>
      <c r="F12100" s="3">
        <v>4</v>
      </c>
      <c r="G12100" t="s">
        <v>512</v>
      </c>
    </row>
    <row r="12101" spans="1:7" x14ac:dyDescent="0.25">
      <c r="A12101" s="1" t="str">
        <f>"4159"</f>
        <v>4159</v>
      </c>
      <c r="B12101" s="2" t="str">
        <f>"GELEIA ACAI BANANA - B GEL ACB PR (BORSATO)"</f>
        <v>GELEIA ACAI BANANA - B GEL ACB PR (BORSATO)</v>
      </c>
      <c r="C12101" s="2" t="str">
        <f>"KG"</f>
        <v>KG</v>
      </c>
      <c r="D12101" s="7">
        <v>205</v>
      </c>
      <c r="E12101" s="3">
        <v>2</v>
      </c>
      <c r="F12101" s="3">
        <v>2</v>
      </c>
      <c r="G12101" t="s">
        <v>513</v>
      </c>
    </row>
    <row r="12102" spans="1:7" x14ac:dyDescent="0.25">
      <c r="A12102" s="1" t="str">
        <f>"6251"</f>
        <v>6251</v>
      </c>
      <c r="B12102" s="2" t="str">
        <f>"GELEIA AMEIXA - (DUET)"</f>
        <v>GELEIA AMEIXA - (DUET)</v>
      </c>
      <c r="C12102" s="2" t="str">
        <f>"KG"</f>
        <v>KG</v>
      </c>
      <c r="D12102" s="7">
        <v>219</v>
      </c>
      <c r="E12102" s="3">
        <v>2</v>
      </c>
      <c r="F12102" s="3">
        <v>2</v>
      </c>
      <c r="G12102" t="s">
        <v>514</v>
      </c>
    </row>
    <row r="12103" spans="1:7" x14ac:dyDescent="0.25">
      <c r="A12103" s="1" t="str">
        <f>"6119"</f>
        <v>6119</v>
      </c>
      <c r="B12103" s="2" t="str">
        <f>"GELEIA BI-CAMADA MORANGO - TESTE  T16-322 (DUET)"</f>
        <v>GELEIA BI-CAMADA MORANGO - TESTE  T16-322 (DUET)</v>
      </c>
      <c r="C12103" s="2" t="str">
        <f>"KG"</f>
        <v>KG</v>
      </c>
      <c r="D12103" s="7">
        <v>219</v>
      </c>
      <c r="E12103" s="3">
        <v>2</v>
      </c>
      <c r="F12103" s="3">
        <v>2</v>
      </c>
      <c r="G12103" t="s">
        <v>515</v>
      </c>
    </row>
    <row r="12104" spans="1:7" x14ac:dyDescent="0.25">
      <c r="A12104" s="1" t="str">
        <f>"515711"</f>
        <v>515711</v>
      </c>
      <c r="B12104" s="2" t="str">
        <f>"GELEIA BLUEBERRY"</f>
        <v>GELEIA BLUEBERRY</v>
      </c>
      <c r="C12104" s="2" t="str">
        <f>"UN"</f>
        <v>UN</v>
      </c>
      <c r="D12104" s="7">
        <v>401</v>
      </c>
      <c r="E12104" s="3">
        <v>4</v>
      </c>
      <c r="F12104" s="3">
        <v>4</v>
      </c>
      <c r="G12104" t="s">
        <v>512</v>
      </c>
    </row>
    <row r="12105" spans="1:7" x14ac:dyDescent="0.25">
      <c r="A12105" s="1" t="str">
        <f>"523605"</f>
        <v>523605</v>
      </c>
      <c r="B12105" s="2" t="str">
        <f>"GELEIA DE FRUTAS"</f>
        <v>GELEIA DE FRUTAS</v>
      </c>
      <c r="C12105" s="2" t="str">
        <f>"UN"</f>
        <v>UN</v>
      </c>
      <c r="D12105" s="7">
        <v>99999</v>
      </c>
      <c r="E12105" s="3">
        <v>99</v>
      </c>
      <c r="F12105" s="3">
        <v>99</v>
      </c>
      <c r="G12105" t="s">
        <v>516</v>
      </c>
    </row>
    <row r="12106" spans="1:7" x14ac:dyDescent="0.25">
      <c r="A12106" s="1" t="str">
        <f>"AG20079990"</f>
        <v>AG20079990</v>
      </c>
      <c r="B12106" s="2" t="str">
        <f>"GELEIA DE FRUTAS AMOSTRA GRATIS"</f>
        <v>GELEIA DE FRUTAS AMOSTRA GRATIS</v>
      </c>
      <c r="C12106" s="2" t="str">
        <f>"UN"</f>
        <v>UN</v>
      </c>
      <c r="D12106" s="7">
        <v>99999</v>
      </c>
      <c r="E12106" s="3">
        <v>99</v>
      </c>
      <c r="F12106" s="3">
        <v>99</v>
      </c>
      <c r="G12106" t="s">
        <v>515</v>
      </c>
    </row>
    <row r="12107" spans="1:7" x14ac:dyDescent="0.25">
      <c r="A12107" s="1" t="str">
        <f>"AG21069090"</f>
        <v>AG21069090</v>
      </c>
      <c r="B12107" s="2" t="str">
        <f>"GELEIA DE FRUTAS CONCENTRADA AMOSTRA GRATIS"</f>
        <v>GELEIA DE FRUTAS CONCENTRADA AMOSTRA GRATIS</v>
      </c>
      <c r="C12107" s="2" t="str">
        <f>"UN"</f>
        <v>UN</v>
      </c>
      <c r="D12107" s="7">
        <v>99999</v>
      </c>
      <c r="E12107" s="3">
        <v>99</v>
      </c>
      <c r="F12107" s="3">
        <v>99</v>
      </c>
      <c r="G12107" t="s">
        <v>514</v>
      </c>
    </row>
    <row r="12108" spans="1:7" x14ac:dyDescent="0.25">
      <c r="A12108" s="1" t="str">
        <f>"AG20088000"</f>
        <v>AG20088000</v>
      </c>
      <c r="B12108" s="2" t="str">
        <f>"GELEIA DE FRUTAS MORANGO AMOSTRA GRATIS"</f>
        <v>GELEIA DE FRUTAS MORANGO AMOSTRA GRATIS</v>
      </c>
      <c r="C12108" s="2" t="str">
        <f>"UN"</f>
        <v>UN</v>
      </c>
      <c r="D12108" s="7">
        <v>99999</v>
      </c>
      <c r="E12108" s="3">
        <v>99</v>
      </c>
      <c r="F12108" s="3">
        <v>99</v>
      </c>
      <c r="G12108" t="s">
        <v>512</v>
      </c>
    </row>
    <row r="12109" spans="1:7" x14ac:dyDescent="0.25">
      <c r="A12109" s="1" t="str">
        <f>"745"</f>
        <v>745</v>
      </c>
      <c r="B12109" s="2" t="str">
        <f>"GELEIA DE FRUTAS VERMELHAS BORSATO (GREGO)"</f>
        <v>GELEIA DE FRUTAS VERMELHAS BORSATO (GREGO)</v>
      </c>
      <c r="C12109" s="2" t="str">
        <f>"KG"</f>
        <v>KG</v>
      </c>
      <c r="D12109" s="7">
        <v>219</v>
      </c>
      <c r="E12109" s="3">
        <v>2</v>
      </c>
      <c r="F12109" s="3">
        <v>2</v>
      </c>
      <c r="G12109" t="s">
        <v>513</v>
      </c>
    </row>
    <row r="12110" spans="1:7" x14ac:dyDescent="0.25">
      <c r="A12110" s="1" t="str">
        <f>"735"</f>
        <v>735</v>
      </c>
      <c r="B12110" s="2" t="str">
        <f>"GELEIA DE GOIABA COD. A GEL-GOI CA - FLAN"</f>
        <v>GELEIA DE GOIABA COD. A GEL-GOI CA - FLAN</v>
      </c>
      <c r="C12110" s="2" t="str">
        <f>"KG"</f>
        <v>KG</v>
      </c>
      <c r="D12110" s="7">
        <v>205</v>
      </c>
      <c r="E12110" s="3">
        <v>2</v>
      </c>
      <c r="F12110" s="3">
        <v>2</v>
      </c>
      <c r="G12110" t="s">
        <v>514</v>
      </c>
    </row>
    <row r="12111" spans="1:7" x14ac:dyDescent="0.25">
      <c r="A12111" s="1" t="str">
        <f>"521169"</f>
        <v>521169</v>
      </c>
      <c r="B12111" s="2" t="str">
        <f>"GELEIA DE MORANGO B GEL-MOR GM"</f>
        <v>GELEIA DE MORANGO B GEL-MOR GM</v>
      </c>
      <c r="C12111" s="2" t="str">
        <f>"KG"</f>
        <v>KG</v>
      </c>
      <c r="D12111" s="7">
        <v>219</v>
      </c>
      <c r="E12111" s="3">
        <v>2</v>
      </c>
      <c r="F12111" s="3">
        <v>2</v>
      </c>
      <c r="G12111" t="s">
        <v>514</v>
      </c>
    </row>
    <row r="12112" spans="1:7" x14ac:dyDescent="0.25">
      <c r="A12112" s="1" t="str">
        <f>"744"</f>
        <v>744</v>
      </c>
      <c r="B12112" s="2" t="str">
        <f>"GELEIA DE MORANGO BORSATO (GREGO)"</f>
        <v>GELEIA DE MORANGO BORSATO (GREGO)</v>
      </c>
      <c r="C12112" s="2" t="str">
        <f>"KG"</f>
        <v>KG</v>
      </c>
      <c r="D12112" s="7">
        <v>219</v>
      </c>
      <c r="E12112" s="3">
        <v>2</v>
      </c>
      <c r="F12112" s="3">
        <v>2</v>
      </c>
      <c r="G12112" t="s">
        <v>512</v>
      </c>
    </row>
    <row r="12113" spans="1:7" x14ac:dyDescent="0.25">
      <c r="A12113" s="1" t="str">
        <f>"6246"</f>
        <v>6246</v>
      </c>
      <c r="B12113" s="2" t="str">
        <f>"GELEIA FR.AMARELAS - AM 416-08 (DUET)"</f>
        <v>GELEIA FR.AMARELAS - AM 416-08 (DUET)</v>
      </c>
      <c r="C12113" s="2" t="str">
        <f>"KG"</f>
        <v>KG</v>
      </c>
      <c r="D12113" s="7">
        <v>219</v>
      </c>
      <c r="E12113" s="3">
        <v>2</v>
      </c>
      <c r="F12113" s="3">
        <v>2</v>
      </c>
      <c r="G12113" t="s">
        <v>513</v>
      </c>
    </row>
    <row r="12114" spans="1:7" x14ac:dyDescent="0.25">
      <c r="A12114" s="1" t="str">
        <f>"519684"</f>
        <v>519684</v>
      </c>
      <c r="B12114" s="2" t="str">
        <f>"GELEIA GOIABA 260G"</f>
        <v>GELEIA GOIABA 260G</v>
      </c>
      <c r="C12114" s="2" t="str">
        <f>"UN"</f>
        <v>UN</v>
      </c>
      <c r="D12114" s="7">
        <v>99999</v>
      </c>
      <c r="E12114" s="3">
        <v>99</v>
      </c>
      <c r="F12114" s="3">
        <v>99</v>
      </c>
      <c r="G12114" t="s">
        <v>514</v>
      </c>
    </row>
    <row r="12115" spans="1:7" x14ac:dyDescent="0.25">
      <c r="A12115" s="1" t="str">
        <f>"513834"</f>
        <v>513834</v>
      </c>
      <c r="B12115" s="2" t="str">
        <f>"GELO"</f>
        <v>GELO</v>
      </c>
      <c r="C12115" s="2" t="str">
        <f>"UN"</f>
        <v>UN</v>
      </c>
      <c r="D12115" s="7">
        <v>99999</v>
      </c>
      <c r="E12115" s="3">
        <v>99</v>
      </c>
      <c r="F12115" s="3">
        <v>99</v>
      </c>
      <c r="G12115" t="s">
        <v>514</v>
      </c>
    </row>
    <row r="12116" spans="1:7" x14ac:dyDescent="0.25">
      <c r="A12116" s="1" t="str">
        <f>"509653"</f>
        <v>509653</v>
      </c>
      <c r="B12116" s="2" t="str">
        <f>"GELOX FLEXIVEL 9 X 16 CMS 250GR"</f>
        <v>GELOX FLEXIVEL 9 X 16 CMS 250GR</v>
      </c>
      <c r="C12116" s="2" t="str">
        <f>"UN"</f>
        <v>UN</v>
      </c>
      <c r="D12116" s="7">
        <v>402</v>
      </c>
      <c r="E12116" s="3">
        <v>4</v>
      </c>
      <c r="F12116" s="3">
        <v>4</v>
      </c>
      <c r="G12116" t="s">
        <v>514</v>
      </c>
    </row>
    <row r="12117" spans="1:7" x14ac:dyDescent="0.25">
      <c r="A12117" s="1" t="str">
        <f>"509654"</f>
        <v>509654</v>
      </c>
      <c r="B12117" s="2" t="str">
        <f>"GELOX RIGIDO 200ML 12,3X7,2X3 CMS 60UNID"</f>
        <v>GELOX RIGIDO 200ML 12,3X7,2X3 CMS 60UNID</v>
      </c>
      <c r="C12117" s="2" t="str">
        <f>"PC"</f>
        <v>PC</v>
      </c>
      <c r="D12117" s="7">
        <v>402</v>
      </c>
      <c r="E12117" s="3">
        <v>4</v>
      </c>
      <c r="F12117" s="3">
        <v>4</v>
      </c>
      <c r="G12117" t="s">
        <v>513</v>
      </c>
    </row>
    <row r="12118" spans="1:7" x14ac:dyDescent="0.25">
      <c r="A12118" s="1" t="str">
        <f>"519507"</f>
        <v>519507</v>
      </c>
      <c r="B12118" s="2" t="str">
        <f>"GELOX RIGIDO 400ML 17X10X2,7CM C/48 UNIDADES"</f>
        <v>GELOX RIGIDO 400ML 17X10X2,7CM C/48 UNIDADES</v>
      </c>
      <c r="C12118" s="2" t="str">
        <f>"pc"</f>
        <v>pc</v>
      </c>
      <c r="D12118" s="7">
        <v>402</v>
      </c>
      <c r="E12118" s="3">
        <v>4</v>
      </c>
      <c r="F12118" s="3">
        <v>4</v>
      </c>
      <c r="G12118" t="s">
        <v>512</v>
      </c>
    </row>
    <row r="12119" spans="1:7" x14ac:dyDescent="0.25">
      <c r="A12119" s="1" t="str">
        <f>"514353"</f>
        <v>514353</v>
      </c>
      <c r="B12119" s="2" t="str">
        <f>"GELYCEL F12000S - QUALA"</f>
        <v>GELYCEL F12000S - QUALA</v>
      </c>
      <c r="C12119" s="2" t="str">
        <f>"KG"</f>
        <v>KG</v>
      </c>
      <c r="D12119" s="7">
        <v>203</v>
      </c>
      <c r="E12119" s="3">
        <v>2</v>
      </c>
      <c r="F12119" s="3">
        <v>2</v>
      </c>
      <c r="G12119" t="s">
        <v>513</v>
      </c>
    </row>
    <row r="12120" spans="1:7" x14ac:dyDescent="0.25">
      <c r="A12120" s="1" t="str">
        <f>"6551"</f>
        <v>6551</v>
      </c>
      <c r="B12120" s="2" t="str">
        <f>"GELYCEL F12000S - QUALA"</f>
        <v>GELYCEL F12000S - QUALA</v>
      </c>
      <c r="C12120" s="2" t="str">
        <f>"KG"</f>
        <v>KG</v>
      </c>
      <c r="D12120" s="7">
        <v>203</v>
      </c>
      <c r="E12120" s="3">
        <v>2</v>
      </c>
      <c r="F12120" s="3">
        <v>2</v>
      </c>
      <c r="G12120" t="s">
        <v>514</v>
      </c>
    </row>
    <row r="12121" spans="1:7" x14ac:dyDescent="0.25">
      <c r="A12121" s="1" t="str">
        <f>"511803"</f>
        <v>511803</v>
      </c>
      <c r="B12121" s="2" t="str">
        <f>"GENKI'T"</f>
        <v>GENKI'T</v>
      </c>
      <c r="C12121" s="2" t="str">
        <f t="shared" ref="C12121:C12131" si="473">"UN"</f>
        <v>UN</v>
      </c>
      <c r="D12121" s="7">
        <v>402</v>
      </c>
      <c r="E12121" s="3">
        <v>4</v>
      </c>
      <c r="F12121" s="3">
        <v>4</v>
      </c>
      <c r="G12121" t="s">
        <v>514</v>
      </c>
    </row>
    <row r="12122" spans="1:7" x14ac:dyDescent="0.25">
      <c r="A12122" s="1" t="str">
        <f>"518793"</f>
        <v>518793</v>
      </c>
      <c r="B12122" s="2" t="str">
        <f>"GEOMEMBRANA LISA PEAD 0,8MM - PRETA 5,90X100,00X1,0MM"</f>
        <v>GEOMEMBRANA LISA PEAD 0,8MM - PRETA 5,90X100,00X1,0MM</v>
      </c>
      <c r="C12122" s="2" t="str">
        <f t="shared" si="473"/>
        <v>UN</v>
      </c>
      <c r="D12122" s="7">
        <v>918</v>
      </c>
      <c r="E12122" s="3">
        <v>10</v>
      </c>
      <c r="F12122" s="3">
        <v>10</v>
      </c>
      <c r="G12122" t="s">
        <v>514</v>
      </c>
    </row>
    <row r="12123" spans="1:7" x14ac:dyDescent="0.25">
      <c r="A12123" s="1" t="str">
        <f>"518321"</f>
        <v>518321</v>
      </c>
      <c r="B12123" s="2" t="str">
        <f>"GEOMEMBRANA LISA PEAD 1,5MM - PRETA 5,90X100,00X1,0MM"</f>
        <v>GEOMEMBRANA LISA PEAD 1,5MM - PRETA 5,90X100,00X1,0MM</v>
      </c>
      <c r="C12123" s="2" t="str">
        <f t="shared" si="473"/>
        <v>UN</v>
      </c>
      <c r="D12123" s="7">
        <v>918</v>
      </c>
      <c r="E12123" s="3">
        <v>10</v>
      </c>
      <c r="F12123" s="3">
        <v>10</v>
      </c>
      <c r="G12123" t="s">
        <v>513</v>
      </c>
    </row>
    <row r="12124" spans="1:7" x14ac:dyDescent="0.25">
      <c r="A12124" s="1" t="str">
        <f>"518320"</f>
        <v>518320</v>
      </c>
      <c r="B12124" s="2" t="str">
        <f>"GEOMEMBRANA LISA PEAD 1,5MM - PRETA 5,90X50,00X1,5MM"</f>
        <v>GEOMEMBRANA LISA PEAD 1,5MM - PRETA 5,90X50,00X1,5MM</v>
      </c>
      <c r="C12124" s="2" t="str">
        <f t="shared" si="473"/>
        <v>UN</v>
      </c>
      <c r="D12124" s="7">
        <v>918</v>
      </c>
      <c r="E12124" s="3">
        <v>10</v>
      </c>
      <c r="F12124" s="3">
        <v>10</v>
      </c>
      <c r="G12124" t="s">
        <v>513</v>
      </c>
    </row>
    <row r="12125" spans="1:7" x14ac:dyDescent="0.25">
      <c r="A12125" s="1" t="str">
        <f>"524125"</f>
        <v>524125</v>
      </c>
      <c r="B12125" s="2" t="str">
        <f>"GERADOR DE ESPUMA FIXO BR/NTI"</f>
        <v>GERADOR DE ESPUMA FIXO BR/NTI</v>
      </c>
      <c r="C12125" s="2" t="str">
        <f t="shared" si="473"/>
        <v>UN</v>
      </c>
      <c r="D12125" s="7">
        <v>400</v>
      </c>
      <c r="E12125" s="3">
        <v>4</v>
      </c>
      <c r="F12125" s="3">
        <v>4</v>
      </c>
      <c r="G12125" t="s">
        <v>513</v>
      </c>
    </row>
    <row r="12126" spans="1:7" x14ac:dyDescent="0.25">
      <c r="A12126" s="1" t="str">
        <f>"523264"</f>
        <v>523264</v>
      </c>
      <c r="B12126" s="2" t="str">
        <f>"GERADOR DE ESPUMA HYDRO"</f>
        <v>GERADOR DE ESPUMA HYDRO</v>
      </c>
      <c r="C12126" s="2" t="str">
        <f t="shared" si="473"/>
        <v>UN</v>
      </c>
      <c r="D12126" s="7">
        <v>400</v>
      </c>
      <c r="E12126" s="3">
        <v>4</v>
      </c>
      <c r="F12126" s="3">
        <v>4</v>
      </c>
      <c r="G12126" t="s">
        <v>512</v>
      </c>
    </row>
    <row r="12127" spans="1:7" x14ac:dyDescent="0.25">
      <c r="A12127" s="1" t="str">
        <f>"526433"</f>
        <v>526433</v>
      </c>
      <c r="B12127" s="2" t="str">
        <f>"GERADOR DE SINAL ANALOGICO 4-20MA PORTATIL"</f>
        <v>GERADOR DE SINAL ANALOGICO 4-20MA PORTATIL</v>
      </c>
      <c r="C12127" s="2" t="str">
        <f t="shared" si="473"/>
        <v>UN</v>
      </c>
      <c r="D12127" s="7">
        <v>811</v>
      </c>
      <c r="E12127" s="3">
        <v>8</v>
      </c>
      <c r="F12127" s="3">
        <v>8</v>
      </c>
      <c r="G12127" t="s">
        <v>513</v>
      </c>
    </row>
    <row r="12128" spans="1:7" x14ac:dyDescent="0.25">
      <c r="A12128" s="1" t="str">
        <f>"526860"</f>
        <v>526860</v>
      </c>
      <c r="B12128" s="2" t="str">
        <f>"GERADOR DE VACUO OVEM-10-H-B-QO-CE-N-2P 538833"</f>
        <v>GERADOR DE VACUO OVEM-10-H-B-QO-CE-N-2P 538833</v>
      </c>
      <c r="C12128" s="2" t="str">
        <f t="shared" si="473"/>
        <v>UN</v>
      </c>
      <c r="D12128" s="7">
        <v>808</v>
      </c>
      <c r="E12128" s="3">
        <v>11</v>
      </c>
      <c r="F12128" s="3">
        <v>11</v>
      </c>
      <c r="G12128" t="s">
        <v>514</v>
      </c>
    </row>
    <row r="12129" spans="1:7" x14ac:dyDescent="0.25">
      <c r="A12129" s="1" t="str">
        <f>"503208"</f>
        <v>503208</v>
      </c>
      <c r="B12129" s="2" t="str">
        <f>"GERADOR DE VACUO VAD-1/4 - 9394"</f>
        <v>GERADOR DE VACUO VAD-1/4 - 9394</v>
      </c>
      <c r="C12129" s="2" t="str">
        <f t="shared" si="473"/>
        <v>UN</v>
      </c>
      <c r="D12129" s="7">
        <v>808</v>
      </c>
      <c r="E12129" s="3">
        <v>10</v>
      </c>
      <c r="F12129" s="3">
        <v>10</v>
      </c>
      <c r="G12129" t="s">
        <v>515</v>
      </c>
    </row>
    <row r="12130" spans="1:7" x14ac:dyDescent="0.25">
      <c r="A12130" s="1" t="str">
        <f>"524080"</f>
        <v>524080</v>
      </c>
      <c r="B12130" s="2" t="str">
        <f>"GERADOR ENERGIA CUMMNINS 2 60KVA MOD. C200D6"</f>
        <v>GERADOR ENERGIA CUMMNINS 2 60KVA MOD. C200D6</v>
      </c>
      <c r="C12130" s="2" t="str">
        <f t="shared" si="473"/>
        <v>UN</v>
      </c>
      <c r="D12130" s="7">
        <v>99999</v>
      </c>
      <c r="E12130" s="3">
        <v>99</v>
      </c>
      <c r="F12130" s="3">
        <v>99</v>
      </c>
      <c r="G12130" t="s">
        <v>512</v>
      </c>
    </row>
    <row r="12131" spans="1:7" x14ac:dyDescent="0.25">
      <c r="A12131" s="1" t="str">
        <f>"521045"</f>
        <v>521045</v>
      </c>
      <c r="B12131" s="2" t="str">
        <f>"GERADOR GERAMAC-R 3100-M BIVOLT"</f>
        <v>GERADOR GERAMAC-R 3100-M BIVOLT</v>
      </c>
      <c r="C12131" s="2" t="str">
        <f t="shared" si="473"/>
        <v>UN</v>
      </c>
      <c r="D12131" s="7">
        <v>403</v>
      </c>
      <c r="E12131" s="3">
        <v>4</v>
      </c>
      <c r="F12131" s="3">
        <v>4</v>
      </c>
      <c r="G12131" t="s">
        <v>516</v>
      </c>
    </row>
    <row r="12132" spans="1:7" x14ac:dyDescent="0.25">
      <c r="A12132" s="1" t="str">
        <f>"6700"</f>
        <v>6700</v>
      </c>
      <c r="B12132" s="2" t="str">
        <f>"GERNISINA PLUS 500GR"</f>
        <v>GERNISINA PLUS 500GR</v>
      </c>
      <c r="C12132" s="2" t="str">
        <f>"KG"</f>
        <v>KG</v>
      </c>
      <c r="D12132" s="7">
        <v>209</v>
      </c>
      <c r="E12132" s="3">
        <v>2</v>
      </c>
      <c r="F12132" s="3">
        <v>2</v>
      </c>
      <c r="G12132" t="s">
        <v>515</v>
      </c>
    </row>
    <row r="12133" spans="1:7" x14ac:dyDescent="0.25">
      <c r="A12133" s="1" t="str">
        <f>"515503"</f>
        <v>515503</v>
      </c>
      <c r="B12133" s="2" t="str">
        <f>"GESSO EM PO"</f>
        <v>GESSO EM PO</v>
      </c>
      <c r="C12133" s="2" t="str">
        <f>"UN"</f>
        <v>UN</v>
      </c>
      <c r="D12133" s="7">
        <v>803</v>
      </c>
      <c r="E12133" s="3">
        <v>4</v>
      </c>
      <c r="F12133" s="3">
        <v>4</v>
      </c>
      <c r="G12133" t="s">
        <v>514</v>
      </c>
    </row>
    <row r="12134" spans="1:7" x14ac:dyDescent="0.25">
      <c r="A12134" s="1" t="str">
        <f>"527401"</f>
        <v>527401</v>
      </c>
      <c r="B12134" s="2" t="str">
        <f>"GESSO RAPIDO"</f>
        <v>GESSO RAPIDO</v>
      </c>
      <c r="C12134" s="2" t="str">
        <f>"KG"</f>
        <v>KG</v>
      </c>
      <c r="D12134" s="7">
        <v>803</v>
      </c>
      <c r="E12134" s="3">
        <v>4</v>
      </c>
      <c r="F12134" s="3">
        <v>4</v>
      </c>
      <c r="G12134" t="s">
        <v>512</v>
      </c>
    </row>
    <row r="12135" spans="1:7" x14ac:dyDescent="0.25">
      <c r="A12135" s="1" t="str">
        <f>"513502"</f>
        <v>513502</v>
      </c>
      <c r="B12135" s="2" t="str">
        <f>"GGD 420 CHT CBLO 20 X 64 X 338 2 PEÇAS"</f>
        <v>GGD 420 CHT CBLO 20 X 64 X 338 2 PEÇAS</v>
      </c>
      <c r="C12135" s="2" t="str">
        <f t="shared" ref="C12135:C12143" si="474">"UN"</f>
        <v>UN</v>
      </c>
      <c r="D12135" s="7">
        <v>918</v>
      </c>
      <c r="E12135" s="3">
        <v>11</v>
      </c>
      <c r="F12135" s="3">
        <v>11</v>
      </c>
      <c r="G12135" t="s">
        <v>513</v>
      </c>
    </row>
    <row r="12136" spans="1:7" x14ac:dyDescent="0.25">
      <c r="A12136" s="1" t="str">
        <f>"513503"</f>
        <v>513503</v>
      </c>
      <c r="B12136" s="2" t="str">
        <f>"GGD 420 CHT CBLO 35 X 64 X 338 8 PEÇAS"</f>
        <v>GGD 420 CHT CBLO 35 X 64 X 338 8 PEÇAS</v>
      </c>
      <c r="C12136" s="2" t="str">
        <f t="shared" si="474"/>
        <v>UN</v>
      </c>
      <c r="D12136" s="7">
        <v>918</v>
      </c>
      <c r="E12136" s="3">
        <v>11</v>
      </c>
      <c r="F12136" s="3">
        <v>11</v>
      </c>
      <c r="G12136" t="s">
        <v>514</v>
      </c>
    </row>
    <row r="12137" spans="1:7" x14ac:dyDescent="0.25">
      <c r="A12137" s="1" t="str">
        <f>"522935"</f>
        <v>522935</v>
      </c>
      <c r="B12137" s="2" t="str">
        <f>"GHUNCHO DE ARRASTE CATRACADO 270KG"</f>
        <v>GHUNCHO DE ARRASTE CATRACADO 270KG</v>
      </c>
      <c r="C12137" s="2" t="str">
        <f t="shared" si="474"/>
        <v>UN</v>
      </c>
      <c r="D12137" s="7">
        <v>917</v>
      </c>
      <c r="E12137" s="3">
        <v>4</v>
      </c>
      <c r="F12137" s="3">
        <v>4</v>
      </c>
      <c r="G12137" t="s">
        <v>514</v>
      </c>
    </row>
    <row r="12138" spans="1:7" x14ac:dyDescent="0.25">
      <c r="A12138" s="1" t="str">
        <f>"515649"</f>
        <v>515649</v>
      </c>
      <c r="B12138" s="2" t="str">
        <f>"GILLETTE"</f>
        <v>GILLETTE</v>
      </c>
      <c r="C12138" s="2" t="str">
        <f t="shared" si="474"/>
        <v>UN</v>
      </c>
      <c r="D12138" s="7">
        <v>401</v>
      </c>
      <c r="E12138" s="3">
        <v>4</v>
      </c>
      <c r="F12138" s="3">
        <v>4</v>
      </c>
      <c r="G12138" t="s">
        <v>512</v>
      </c>
    </row>
    <row r="12139" spans="1:7" x14ac:dyDescent="0.25">
      <c r="A12139" s="1" t="str">
        <f>"514728"</f>
        <v>514728</v>
      </c>
      <c r="B12139" s="2" t="str">
        <f>"GIROFLEX LED"</f>
        <v>GIROFLEX LED</v>
      </c>
      <c r="C12139" s="2" t="str">
        <f t="shared" si="474"/>
        <v>UN</v>
      </c>
      <c r="D12139" s="7">
        <v>704</v>
      </c>
      <c r="E12139" s="3">
        <v>9</v>
      </c>
      <c r="F12139" s="3">
        <v>9</v>
      </c>
      <c r="G12139" t="s">
        <v>513</v>
      </c>
    </row>
    <row r="12140" spans="1:7" x14ac:dyDescent="0.25">
      <c r="A12140" s="1" t="str">
        <f>"515586"</f>
        <v>515586</v>
      </c>
      <c r="B12140" s="2" t="str">
        <f>"GIZ BRANCO"</f>
        <v>GIZ BRANCO</v>
      </c>
      <c r="C12140" s="2" t="str">
        <f t="shared" si="474"/>
        <v>UN</v>
      </c>
      <c r="D12140" s="7">
        <v>401</v>
      </c>
      <c r="E12140" s="3">
        <v>4</v>
      </c>
      <c r="F12140" s="3">
        <v>4</v>
      </c>
      <c r="G12140" t="s">
        <v>514</v>
      </c>
    </row>
    <row r="12141" spans="1:7" x14ac:dyDescent="0.25">
      <c r="A12141" s="1" t="str">
        <f>"511527"</f>
        <v>511527</v>
      </c>
      <c r="B12141" s="2" t="str">
        <f>"GLADE ACQUA"</f>
        <v>GLADE ACQUA</v>
      </c>
      <c r="C12141" s="2" t="str">
        <f t="shared" si="474"/>
        <v>UN</v>
      </c>
      <c r="D12141" s="7">
        <v>704</v>
      </c>
      <c r="E12141" s="3">
        <v>9</v>
      </c>
      <c r="F12141" s="3">
        <v>9</v>
      </c>
      <c r="G12141" t="s">
        <v>514</v>
      </c>
    </row>
    <row r="12142" spans="1:7" x14ac:dyDescent="0.25">
      <c r="A12142" s="1" t="str">
        <f>"514275"</f>
        <v>514275</v>
      </c>
      <c r="B12142" s="2" t="str">
        <f>"GLADE LAVANDA"</f>
        <v>GLADE LAVANDA</v>
      </c>
      <c r="C12142" s="2" t="str">
        <f t="shared" si="474"/>
        <v>UN</v>
      </c>
      <c r="D12142" s="7">
        <v>401</v>
      </c>
      <c r="E12142" s="3">
        <v>4</v>
      </c>
      <c r="F12142" s="3">
        <v>4</v>
      </c>
      <c r="G12142" t="s">
        <v>514</v>
      </c>
    </row>
    <row r="12143" spans="1:7" x14ac:dyDescent="0.25">
      <c r="A12143" s="1" t="str">
        <f>"511739"</f>
        <v>511739</v>
      </c>
      <c r="B12143" s="2" t="str">
        <f>"GLADE MANHA DO CAMPO"</f>
        <v>GLADE MANHA DO CAMPO</v>
      </c>
      <c r="C12143" s="2" t="str">
        <f t="shared" si="474"/>
        <v>UN</v>
      </c>
      <c r="D12143" s="7">
        <v>917</v>
      </c>
      <c r="E12143" s="3">
        <v>11</v>
      </c>
      <c r="F12143" s="3">
        <v>11</v>
      </c>
      <c r="G12143" t="s">
        <v>513</v>
      </c>
    </row>
    <row r="12144" spans="1:7" x14ac:dyDescent="0.25">
      <c r="A12144" s="1" t="str">
        <f>"661"</f>
        <v>661</v>
      </c>
      <c r="B12144" s="2" t="str">
        <f>"GLAMOX 90"</f>
        <v>GLAMOX 90</v>
      </c>
      <c r="C12144" s="2" t="str">
        <f>"LT"</f>
        <v>LT</v>
      </c>
      <c r="D12144" s="7">
        <v>302</v>
      </c>
      <c r="E12144" s="3">
        <v>3</v>
      </c>
      <c r="F12144" s="3">
        <v>3</v>
      </c>
      <c r="G12144" t="s">
        <v>512</v>
      </c>
    </row>
    <row r="12145" spans="1:7" x14ac:dyDescent="0.25">
      <c r="A12145" s="1" t="str">
        <f>"2073"</f>
        <v>2073</v>
      </c>
      <c r="B12145" s="2" t="str">
        <f>"GLAMOX 900"</f>
        <v>GLAMOX 900</v>
      </c>
      <c r="C12145" s="2" t="str">
        <f>"LT"</f>
        <v>LT</v>
      </c>
      <c r="D12145" s="7">
        <v>302</v>
      </c>
      <c r="E12145" s="3">
        <v>3</v>
      </c>
      <c r="F12145" s="3">
        <v>3</v>
      </c>
      <c r="G12145" t="s">
        <v>513</v>
      </c>
    </row>
    <row r="12146" spans="1:7" x14ac:dyDescent="0.25">
      <c r="A12146" s="1" t="str">
        <f>"514542"</f>
        <v>514542</v>
      </c>
      <c r="B12146" s="2" t="str">
        <f>"GLICERINA LIQUIDA 1L"</f>
        <v>GLICERINA LIQUIDA 1L</v>
      </c>
      <c r="C12146" s="2" t="str">
        <f t="shared" ref="C12146:C12151" si="475">"UN"</f>
        <v>UN</v>
      </c>
      <c r="D12146" s="7">
        <v>406</v>
      </c>
      <c r="E12146" s="3">
        <v>4</v>
      </c>
      <c r="F12146" s="3">
        <v>4</v>
      </c>
      <c r="G12146" t="s">
        <v>514</v>
      </c>
    </row>
    <row r="12147" spans="1:7" x14ac:dyDescent="0.25">
      <c r="A12147" s="1" t="str">
        <f>"525426"</f>
        <v>525426</v>
      </c>
      <c r="B12147" s="2" t="str">
        <f>"GLICOL ANTICONGELANTE"</f>
        <v>GLICOL ANTICONGELANTE</v>
      </c>
      <c r="C12147" s="2" t="str">
        <f t="shared" si="475"/>
        <v>UN</v>
      </c>
      <c r="D12147" s="7">
        <v>704</v>
      </c>
      <c r="E12147" s="3">
        <v>9</v>
      </c>
      <c r="F12147" s="3">
        <v>9</v>
      </c>
      <c r="G12147" t="s">
        <v>514</v>
      </c>
    </row>
    <row r="12148" spans="1:7" x14ac:dyDescent="0.25">
      <c r="A12148" s="1" t="str">
        <f>"524889"</f>
        <v>524889</v>
      </c>
      <c r="B12148" s="2" t="str">
        <f>"GLICOSIMETRO G-TECH FREE"</f>
        <v>GLICOSIMETRO G-TECH FREE</v>
      </c>
      <c r="C12148" s="2" t="str">
        <f t="shared" si="475"/>
        <v>UN</v>
      </c>
      <c r="D12148" s="7">
        <v>99999</v>
      </c>
      <c r="E12148" s="3">
        <v>99</v>
      </c>
      <c r="F12148" s="3">
        <v>99</v>
      </c>
      <c r="G12148" t="s">
        <v>514</v>
      </c>
    </row>
    <row r="12149" spans="1:7" x14ac:dyDescent="0.25">
      <c r="A12149" s="1" t="str">
        <f>"514557"</f>
        <v>514557</v>
      </c>
      <c r="B12149" s="2" t="str">
        <f>"GLIFOSATO"</f>
        <v>GLIFOSATO</v>
      </c>
      <c r="C12149" s="2" t="str">
        <f t="shared" si="475"/>
        <v>UN</v>
      </c>
      <c r="D12149" s="7">
        <v>400</v>
      </c>
      <c r="E12149" s="3">
        <v>4</v>
      </c>
      <c r="F12149" s="3">
        <v>4</v>
      </c>
      <c r="G12149" t="s">
        <v>513</v>
      </c>
    </row>
    <row r="12150" spans="1:7" x14ac:dyDescent="0.25">
      <c r="A12150" s="1" t="str">
        <f>"517317"</f>
        <v>517317</v>
      </c>
      <c r="B12150" s="2" t="str">
        <f>"GLIFOSATO"</f>
        <v>GLIFOSATO</v>
      </c>
      <c r="C12150" s="2" t="str">
        <f t="shared" si="475"/>
        <v>UN</v>
      </c>
      <c r="D12150" s="7">
        <v>400</v>
      </c>
      <c r="E12150" s="3">
        <v>4</v>
      </c>
      <c r="F12150" s="3">
        <v>4</v>
      </c>
      <c r="G12150" t="s">
        <v>513</v>
      </c>
    </row>
    <row r="12151" spans="1:7" x14ac:dyDescent="0.25">
      <c r="A12151" s="1" t="str">
        <f>"515146"</f>
        <v>515146</v>
      </c>
      <c r="B12151" s="2" t="str">
        <f>"GLITER"</f>
        <v>GLITER</v>
      </c>
      <c r="C12151" s="2" t="str">
        <f t="shared" si="475"/>
        <v>UN</v>
      </c>
      <c r="D12151" s="7">
        <v>401</v>
      </c>
      <c r="E12151" s="3">
        <v>4</v>
      </c>
      <c r="F12151" s="3">
        <v>4</v>
      </c>
      <c r="G12151" t="s">
        <v>513</v>
      </c>
    </row>
    <row r="12152" spans="1:7" x14ac:dyDescent="0.25">
      <c r="A12152" s="1" t="str">
        <f>"7110"</f>
        <v>7110</v>
      </c>
      <c r="B12152" s="2" t="str">
        <f>"GLOBALSYSTEM LAC.8017-5 (LINHA ZERO)"</f>
        <v>GLOBALSYSTEM LAC.8017-5 (LINHA ZERO)</v>
      </c>
      <c r="C12152" s="2" t="str">
        <f>"KG"</f>
        <v>KG</v>
      </c>
      <c r="D12152" s="7">
        <v>1102</v>
      </c>
      <c r="E12152" s="3">
        <v>2</v>
      </c>
      <c r="F12152" s="3">
        <v>2</v>
      </c>
      <c r="G12152" t="s">
        <v>512</v>
      </c>
    </row>
    <row r="12153" spans="1:7" x14ac:dyDescent="0.25">
      <c r="A12153" s="1" t="str">
        <f>"5908"</f>
        <v>5908</v>
      </c>
      <c r="B12153" s="2" t="str">
        <f>"GLOBALSYSTEM LAC.8074-7 (ACHOCOLATADO)"</f>
        <v>GLOBALSYSTEM LAC.8074-7 (ACHOCOLATADO)</v>
      </c>
      <c r="C12153" s="2" t="str">
        <f>"KG"</f>
        <v>KG</v>
      </c>
      <c r="D12153" s="7">
        <v>1102</v>
      </c>
      <c r="E12153" s="3">
        <v>2</v>
      </c>
      <c r="F12153" s="3">
        <v>2</v>
      </c>
      <c r="G12153" t="s">
        <v>513</v>
      </c>
    </row>
    <row r="12154" spans="1:7" x14ac:dyDescent="0.25">
      <c r="A12154" s="1" t="str">
        <f>"71150"</f>
        <v>71150</v>
      </c>
      <c r="B12154" s="2" t="str">
        <f>"GLOBALSYSTEM LAC.8083 - 1 (LINHA SUCO)"</f>
        <v>GLOBALSYSTEM LAC.8083 - 1 (LINHA SUCO)</v>
      </c>
      <c r="C12154" s="2" t="str">
        <f>"KG"</f>
        <v>KG</v>
      </c>
      <c r="D12154" s="7">
        <v>1102</v>
      </c>
      <c r="E12154" s="3">
        <v>2</v>
      </c>
      <c r="F12154" s="3">
        <v>2</v>
      </c>
      <c r="G12154" t="s">
        <v>514</v>
      </c>
    </row>
    <row r="12155" spans="1:7" x14ac:dyDescent="0.25">
      <c r="A12155" s="1" t="str">
        <f>"5907"</f>
        <v>5907</v>
      </c>
      <c r="B12155" s="2" t="str">
        <f>"GLOBALSYSTEM LAC.8144-8 (ACHOCOLATADO)"</f>
        <v>GLOBALSYSTEM LAC.8144-8 (ACHOCOLATADO)</v>
      </c>
      <c r="C12155" s="2" t="str">
        <f>"KG"</f>
        <v>KG</v>
      </c>
      <c r="D12155" s="7">
        <v>1102</v>
      </c>
      <c r="E12155" s="3">
        <v>2</v>
      </c>
      <c r="F12155" s="3">
        <v>2</v>
      </c>
      <c r="G12155" t="s">
        <v>515</v>
      </c>
    </row>
    <row r="12156" spans="1:7" x14ac:dyDescent="0.25">
      <c r="A12156" s="1" t="str">
        <f>"7124"</f>
        <v>7124</v>
      </c>
      <c r="B12156" s="2" t="str">
        <f>"GLOBALSYSTEM LAC.8509-06 (PETIT/CHOCOLATE)"</f>
        <v>GLOBALSYSTEM LAC.8509-06 (PETIT/CHOCOLATE)</v>
      </c>
      <c r="C12156" s="2" t="str">
        <f>"KG"</f>
        <v>KG</v>
      </c>
      <c r="D12156" s="7">
        <v>24</v>
      </c>
      <c r="E12156" s="3">
        <v>2</v>
      </c>
      <c r="F12156" s="3">
        <v>2</v>
      </c>
      <c r="G12156" t="s">
        <v>512</v>
      </c>
    </row>
    <row r="12157" spans="1:7" x14ac:dyDescent="0.25">
      <c r="A12157" s="1" t="str">
        <f>"509767"</f>
        <v>509767</v>
      </c>
      <c r="B12157" s="2" t="str">
        <f>"GLOBO"</f>
        <v>GLOBO</v>
      </c>
      <c r="C12157" s="2" t="str">
        <f t="shared" ref="C12157:C12163" si="476">"UN"</f>
        <v>UN</v>
      </c>
      <c r="D12157" s="7">
        <v>601</v>
      </c>
      <c r="E12157" s="3">
        <v>8</v>
      </c>
      <c r="F12157" s="3">
        <v>8</v>
      </c>
      <c r="G12157" t="s">
        <v>516</v>
      </c>
    </row>
    <row r="12158" spans="1:7" x14ac:dyDescent="0.25">
      <c r="A12158" s="1" t="str">
        <f>"518329"</f>
        <v>518329</v>
      </c>
      <c r="B12158" s="2" t="str">
        <f>"GNRE"</f>
        <v>GNRE</v>
      </c>
      <c r="C12158" s="2" t="str">
        <f t="shared" si="476"/>
        <v>UN</v>
      </c>
      <c r="D12158" s="7">
        <v>99999</v>
      </c>
      <c r="E12158" s="3">
        <v>99</v>
      </c>
      <c r="F12158" s="3">
        <v>99</v>
      </c>
      <c r="G12158" t="s">
        <v>515</v>
      </c>
    </row>
    <row r="12159" spans="1:7" x14ac:dyDescent="0.25">
      <c r="A12159" s="1" t="str">
        <f>"510876"</f>
        <v>510876</v>
      </c>
      <c r="B12159" s="2" t="str">
        <f>"GOIABADA FUGINI 400GR"</f>
        <v>GOIABADA FUGINI 400GR</v>
      </c>
      <c r="C12159" s="2" t="str">
        <f t="shared" si="476"/>
        <v>UN</v>
      </c>
      <c r="D12159" s="7">
        <v>401</v>
      </c>
      <c r="E12159" s="3">
        <v>4</v>
      </c>
      <c r="F12159" s="3">
        <v>4</v>
      </c>
      <c r="G12159" t="s">
        <v>514</v>
      </c>
    </row>
    <row r="12160" spans="1:7" x14ac:dyDescent="0.25">
      <c r="A12160" s="1" t="str">
        <f>"513107"</f>
        <v>513107</v>
      </c>
      <c r="B12160" s="2" t="str">
        <f>"GOL 1.0 GIV 2008/2009 2P FLEX"</f>
        <v>GOL 1.0 GIV 2008/2009 2P FLEX</v>
      </c>
      <c r="C12160" s="2" t="str">
        <f t="shared" si="476"/>
        <v>UN</v>
      </c>
      <c r="D12160" s="7">
        <v>2000</v>
      </c>
      <c r="E12160" s="3">
        <v>16</v>
      </c>
      <c r="F12160" s="3">
        <v>16</v>
      </c>
      <c r="G12160" t="s">
        <v>512</v>
      </c>
    </row>
    <row r="12161" spans="1:7" x14ac:dyDescent="0.25">
      <c r="A12161" s="1" t="str">
        <f>"515183"</f>
        <v>515183</v>
      </c>
      <c r="B12161" s="2" t="str">
        <f>"GOL 1.0 GIV TREND COM DIR. HIDRAULICA"</f>
        <v>GOL 1.0 GIV TREND COM DIR. HIDRAULICA</v>
      </c>
      <c r="C12161" s="2" t="str">
        <f t="shared" si="476"/>
        <v>UN</v>
      </c>
      <c r="D12161" s="7">
        <v>2000</v>
      </c>
      <c r="E12161" s="3">
        <v>16</v>
      </c>
      <c r="F12161" s="3">
        <v>16</v>
      </c>
      <c r="G12161" t="s">
        <v>513</v>
      </c>
    </row>
    <row r="12162" spans="1:7" x14ac:dyDescent="0.25">
      <c r="A12162" s="1" t="str">
        <f>"513108"</f>
        <v>513108</v>
      </c>
      <c r="B12162" s="2" t="str">
        <f>"GOL G6 TRENDLINE 1.0 COMLETO"</f>
        <v>GOL G6 TRENDLINE 1.0 COMLETO</v>
      </c>
      <c r="C12162" s="2" t="str">
        <f t="shared" si="476"/>
        <v>UN</v>
      </c>
      <c r="D12162" s="7">
        <v>2000</v>
      </c>
      <c r="E12162" s="3">
        <v>16</v>
      </c>
      <c r="F12162" s="3">
        <v>16</v>
      </c>
      <c r="G12162" t="s">
        <v>514</v>
      </c>
    </row>
    <row r="12163" spans="1:7" x14ac:dyDescent="0.25">
      <c r="A12163" s="1" t="str">
        <f>"520676"</f>
        <v>520676</v>
      </c>
      <c r="B12163" s="2" t="str">
        <f>"GOL TL MCV C/ AR CONDICIONADO"</f>
        <v>GOL TL MCV C/ AR CONDICIONADO</v>
      </c>
      <c r="C12163" s="2" t="str">
        <f t="shared" si="476"/>
        <v>UN</v>
      </c>
      <c r="D12163" s="7">
        <v>99999</v>
      </c>
      <c r="E12163" s="3">
        <v>99</v>
      </c>
      <c r="F12163" s="3">
        <v>99</v>
      </c>
      <c r="G12163" t="s">
        <v>514</v>
      </c>
    </row>
    <row r="12164" spans="1:7" x14ac:dyDescent="0.25">
      <c r="A12164" s="1" t="str">
        <f>"4074"</f>
        <v>4074</v>
      </c>
      <c r="B12164" s="2" t="str">
        <f>"GOMA GUAR GERME TEX GG 25KG"</f>
        <v>GOMA GUAR GERME TEX GG 25KG</v>
      </c>
      <c r="C12164" s="2" t="str">
        <f>"KG"</f>
        <v>KG</v>
      </c>
      <c r="D12164" s="7">
        <v>222</v>
      </c>
      <c r="E12164" s="3">
        <v>2</v>
      </c>
      <c r="F12164" s="3">
        <v>2</v>
      </c>
      <c r="G12164" t="s">
        <v>512</v>
      </c>
    </row>
    <row r="12165" spans="1:7" x14ac:dyDescent="0.25">
      <c r="A12165" s="1" t="str">
        <f>"518172"</f>
        <v>518172</v>
      </c>
      <c r="B12165" s="2" t="str">
        <f>"GOMA POX 200ML"</f>
        <v>GOMA POX 200ML</v>
      </c>
      <c r="C12165" s="2" t="str">
        <f t="shared" ref="C12165:C12173" si="477">"UN"</f>
        <v>UN</v>
      </c>
      <c r="D12165" s="7">
        <v>918</v>
      </c>
      <c r="E12165" s="3">
        <v>4</v>
      </c>
      <c r="F12165" s="3">
        <v>4</v>
      </c>
      <c r="G12165" t="s">
        <v>513</v>
      </c>
    </row>
    <row r="12166" spans="1:7" x14ac:dyDescent="0.25">
      <c r="A12166" s="1" t="str">
        <f>"527815"</f>
        <v>527815</v>
      </c>
      <c r="B12166" s="2" t="str">
        <f>"GONZO"</f>
        <v>GONZO</v>
      </c>
      <c r="C12166" s="2" t="str">
        <f t="shared" si="477"/>
        <v>UN</v>
      </c>
      <c r="D12166" s="7">
        <v>812</v>
      </c>
      <c r="E12166" s="3">
        <v>10</v>
      </c>
      <c r="F12166" s="3">
        <v>10</v>
      </c>
      <c r="G12166" t="s">
        <v>514</v>
      </c>
    </row>
    <row r="12167" spans="1:7" x14ac:dyDescent="0.25">
      <c r="A12167" s="1" t="str">
        <f>"523269"</f>
        <v>523269</v>
      </c>
      <c r="B12167" s="2" t="str">
        <f>"GONZO 1"""</f>
        <v>GONZO 1"</v>
      </c>
      <c r="C12167" s="2" t="str">
        <f t="shared" si="477"/>
        <v>UN</v>
      </c>
      <c r="D12167" s="7">
        <v>812</v>
      </c>
      <c r="E12167" s="3">
        <v>10</v>
      </c>
      <c r="F12167" s="3">
        <v>10</v>
      </c>
      <c r="G12167" t="s">
        <v>514</v>
      </c>
    </row>
    <row r="12168" spans="1:7" x14ac:dyDescent="0.25">
      <c r="A12168" s="1" t="str">
        <f>"503571"</f>
        <v>503571</v>
      </c>
      <c r="B12168" s="2" t="str">
        <f>"GONZO 1/2"""</f>
        <v>GONZO 1/2"</v>
      </c>
      <c r="C12168" s="2" t="str">
        <f t="shared" si="477"/>
        <v>UN</v>
      </c>
      <c r="D12168" s="7">
        <v>812</v>
      </c>
      <c r="E12168" s="3">
        <v>10</v>
      </c>
      <c r="F12168" s="3">
        <v>10</v>
      </c>
      <c r="G12168" t="s">
        <v>514</v>
      </c>
    </row>
    <row r="12169" spans="1:7" x14ac:dyDescent="0.25">
      <c r="A12169" s="1" t="str">
        <f>"508901"</f>
        <v>508901</v>
      </c>
      <c r="B12169" s="2" t="str">
        <f>"GONZO 3/4"""</f>
        <v>GONZO 3/4"</v>
      </c>
      <c r="C12169" s="2" t="str">
        <f t="shared" si="477"/>
        <v>UN</v>
      </c>
      <c r="D12169" s="7">
        <v>812</v>
      </c>
      <c r="E12169" s="3">
        <v>10</v>
      </c>
      <c r="F12169" s="3">
        <v>10</v>
      </c>
      <c r="G12169" t="s">
        <v>513</v>
      </c>
    </row>
    <row r="12170" spans="1:7" x14ac:dyDescent="0.25">
      <c r="A12170" s="1" t="str">
        <f>"518682"</f>
        <v>518682</v>
      </c>
      <c r="B12170" s="2" t="str">
        <f>"GONZO 3/8"""</f>
        <v>GONZO 3/8"</v>
      </c>
      <c r="C12170" s="2" t="str">
        <f t="shared" si="477"/>
        <v>UN</v>
      </c>
      <c r="D12170" s="7">
        <v>812</v>
      </c>
      <c r="E12170" s="3">
        <v>10</v>
      </c>
      <c r="F12170" s="3">
        <v>10</v>
      </c>
      <c r="G12170" t="s">
        <v>512</v>
      </c>
    </row>
    <row r="12171" spans="1:7" x14ac:dyDescent="0.25">
      <c r="A12171" s="1" t="str">
        <f>"503541"</f>
        <v>503541</v>
      </c>
      <c r="B12171" s="2" t="str">
        <f>"GONZO 5/8"" INOX"</f>
        <v>GONZO 5/8" INOX</v>
      </c>
      <c r="C12171" s="2" t="str">
        <f t="shared" si="477"/>
        <v>UN</v>
      </c>
      <c r="D12171" s="7">
        <v>812</v>
      </c>
      <c r="E12171" s="3">
        <v>10</v>
      </c>
      <c r="F12171" s="3">
        <v>10</v>
      </c>
      <c r="G12171" t="s">
        <v>513</v>
      </c>
    </row>
    <row r="12172" spans="1:7" x14ac:dyDescent="0.25">
      <c r="A12172" s="1" t="str">
        <f>"518536"</f>
        <v>518536</v>
      </c>
      <c r="B12172" s="2" t="str">
        <f>"GONZO 7/8"""</f>
        <v>GONZO 7/8"</v>
      </c>
      <c r="C12172" s="2" t="str">
        <f t="shared" si="477"/>
        <v>UN</v>
      </c>
      <c r="D12172" s="7">
        <v>812</v>
      </c>
      <c r="E12172" s="3">
        <v>10</v>
      </c>
      <c r="F12172" s="3">
        <v>10</v>
      </c>
      <c r="G12172" t="s">
        <v>514</v>
      </c>
    </row>
    <row r="12173" spans="1:7" x14ac:dyDescent="0.25">
      <c r="A12173" s="1" t="str">
        <f>"518630"</f>
        <v>518630</v>
      </c>
      <c r="B12173" s="2" t="str">
        <f>"GONZO Nº02 COM ABA"</f>
        <v>GONZO Nº02 COM ABA</v>
      </c>
      <c r="C12173" s="2" t="str">
        <f t="shared" si="477"/>
        <v>UN</v>
      </c>
      <c r="D12173" s="7">
        <v>812</v>
      </c>
      <c r="E12173" s="3">
        <v>10</v>
      </c>
      <c r="F12173" s="3">
        <v>10</v>
      </c>
      <c r="G12173" t="s">
        <v>514</v>
      </c>
    </row>
    <row r="12174" spans="1:7" x14ac:dyDescent="0.25">
      <c r="A12174" s="1" t="str">
        <f>"516922"</f>
        <v>516922</v>
      </c>
      <c r="B12174" s="2" t="str">
        <f>"GORDURA VEGETAL"</f>
        <v>GORDURA VEGETAL</v>
      </c>
      <c r="C12174" s="2" t="str">
        <f>"KG"</f>
        <v>KG</v>
      </c>
      <c r="D12174" s="7">
        <v>1107</v>
      </c>
      <c r="E12174" s="3">
        <v>2</v>
      </c>
      <c r="F12174" s="3">
        <v>2</v>
      </c>
      <c r="G12174" t="s">
        <v>514</v>
      </c>
    </row>
    <row r="12175" spans="1:7" x14ac:dyDescent="0.25">
      <c r="A12175" s="1" t="str">
        <f>"523815"</f>
        <v>523815</v>
      </c>
      <c r="B12175" s="2" t="str">
        <f>"GORRO PAPAI NOEL"</f>
        <v>GORRO PAPAI NOEL</v>
      </c>
      <c r="C12175" s="2" t="str">
        <f>"UN"</f>
        <v>UN</v>
      </c>
      <c r="D12175" s="7">
        <v>99999</v>
      </c>
      <c r="E12175" s="3">
        <v>99</v>
      </c>
      <c r="F12175" s="3">
        <v>99</v>
      </c>
      <c r="G12175" t="s">
        <v>513</v>
      </c>
    </row>
    <row r="12176" spans="1:7" x14ac:dyDescent="0.25">
      <c r="A12176" s="1" t="str">
        <f>"6173"</f>
        <v>6173</v>
      </c>
      <c r="B12176" s="2" t="str">
        <f>"GOTAS CHOCOLATE AO LEITE-CRM-DR-0070004-039 (BARRY CALLEBAUT"</f>
        <v>GOTAS CHOCOLATE AO LEITE-CRM-DR-0070004-039 (BARRY CALLEBAUT</v>
      </c>
      <c r="C12176" s="2" t="str">
        <f>"KG"</f>
        <v>KG</v>
      </c>
      <c r="D12176" s="7">
        <v>217</v>
      </c>
      <c r="E12176" s="3">
        <v>2</v>
      </c>
      <c r="F12176" s="3">
        <v>2</v>
      </c>
      <c r="G12176" t="s">
        <v>513</v>
      </c>
    </row>
    <row r="12177" spans="1:7" x14ac:dyDescent="0.25">
      <c r="A12177" s="1" t="str">
        <f>"6176"</f>
        <v>6176</v>
      </c>
      <c r="B12177" s="2" t="str">
        <f>"GOTAS COBERTURA CHOCOLATE BRANCO ILW-DR-2072204-039"</f>
        <v>GOTAS COBERTURA CHOCOLATE BRANCO ILW-DR-2072204-039</v>
      </c>
      <c r="C12177" s="2" t="str">
        <f>"KG"</f>
        <v>KG</v>
      </c>
      <c r="D12177" s="7">
        <v>217</v>
      </c>
      <c r="E12177" s="3">
        <v>2</v>
      </c>
      <c r="F12177" s="3">
        <v>2</v>
      </c>
      <c r="G12177" t="s">
        <v>513</v>
      </c>
    </row>
    <row r="12178" spans="1:7" x14ac:dyDescent="0.25">
      <c r="A12178" s="1" t="str">
        <f>"502632"</f>
        <v>502632</v>
      </c>
      <c r="B12178" s="2" t="str">
        <f>"GOVERNADOR DE AR"</f>
        <v>GOVERNADOR DE AR</v>
      </c>
      <c r="C12178" s="2" t="str">
        <f t="shared" ref="C12178:C12197" si="478">"UN"</f>
        <v>UN</v>
      </c>
      <c r="D12178" s="7">
        <v>704</v>
      </c>
      <c r="E12178" s="3">
        <v>9</v>
      </c>
      <c r="F12178" s="3">
        <v>9</v>
      </c>
      <c r="G12178" t="s">
        <v>512</v>
      </c>
    </row>
    <row r="12179" spans="1:7" x14ac:dyDescent="0.25">
      <c r="A12179" s="1" t="str">
        <f>"515060"</f>
        <v>515060</v>
      </c>
      <c r="B12179" s="2" t="str">
        <f>"GPS GARMIN"</f>
        <v>GPS GARMIN</v>
      </c>
      <c r="C12179" s="2" t="str">
        <f t="shared" si="478"/>
        <v>UN</v>
      </c>
      <c r="D12179" s="7">
        <v>401</v>
      </c>
      <c r="E12179" s="3">
        <v>4</v>
      </c>
      <c r="F12179" s="3">
        <v>4</v>
      </c>
      <c r="G12179" t="s">
        <v>513</v>
      </c>
    </row>
    <row r="12180" spans="1:7" x14ac:dyDescent="0.25">
      <c r="A12180" s="1" t="str">
        <f>"515453"</f>
        <v>515453</v>
      </c>
      <c r="B12180" s="2" t="str">
        <f>"GRADE"</f>
        <v>GRADE</v>
      </c>
      <c r="C12180" s="2" t="str">
        <f t="shared" si="478"/>
        <v>UN</v>
      </c>
      <c r="D12180" s="7">
        <v>704</v>
      </c>
      <c r="E12180" s="3">
        <v>9</v>
      </c>
      <c r="F12180" s="3">
        <v>9</v>
      </c>
      <c r="G12180" t="s">
        <v>514</v>
      </c>
    </row>
    <row r="12181" spans="1:7" x14ac:dyDescent="0.25">
      <c r="A12181" s="1" t="str">
        <f>"524039"</f>
        <v>524039</v>
      </c>
      <c r="B12181" s="2" t="str">
        <f>"GRADE APARADOR 007139.02 GSTO-130"</f>
        <v>GRADE APARADOR 007139.02 GSTO-130</v>
      </c>
      <c r="C12181" s="2" t="str">
        <f t="shared" si="478"/>
        <v>UN</v>
      </c>
      <c r="D12181" s="7">
        <v>818</v>
      </c>
      <c r="E12181" s="3">
        <v>4</v>
      </c>
      <c r="F12181" s="3">
        <v>4</v>
      </c>
      <c r="G12181" t="s">
        <v>515</v>
      </c>
    </row>
    <row r="12182" spans="1:7" x14ac:dyDescent="0.25">
      <c r="A12182" s="1" t="str">
        <f>"514502"</f>
        <v>514502</v>
      </c>
      <c r="B12182" s="2" t="str">
        <f>"GRADE CONICA SR400/420"</f>
        <v>GRADE CONICA SR400/420</v>
      </c>
      <c r="C12182" s="2" t="str">
        <f t="shared" si="478"/>
        <v>UN</v>
      </c>
      <c r="D12182" s="7">
        <v>920</v>
      </c>
      <c r="E12182" s="3">
        <v>4</v>
      </c>
      <c r="F12182" s="3">
        <v>4</v>
      </c>
      <c r="G12182" t="s">
        <v>512</v>
      </c>
    </row>
    <row r="12183" spans="1:7" x14ac:dyDescent="0.25">
      <c r="A12183" s="1" t="str">
        <f>"525975"</f>
        <v>525975</v>
      </c>
      <c r="B12183" s="2" t="str">
        <f>"GRADE DE PROTECAO P/ VENTUINHA 150X150 LUKMA"</f>
        <v>GRADE DE PROTECAO P/ VENTUINHA 150X150 LUKMA</v>
      </c>
      <c r="C12183" s="2" t="str">
        <f t="shared" si="478"/>
        <v>UN</v>
      </c>
      <c r="D12183" s="7">
        <v>811</v>
      </c>
      <c r="E12183" s="3">
        <v>10</v>
      </c>
      <c r="F12183" s="3">
        <v>10</v>
      </c>
      <c r="G12183" t="s">
        <v>516</v>
      </c>
    </row>
    <row r="12184" spans="1:7" x14ac:dyDescent="0.25">
      <c r="A12184" s="1" t="str">
        <f>"520755"</f>
        <v>520755</v>
      </c>
      <c r="B12184" s="8" t="s">
        <v>179</v>
      </c>
      <c r="C12184" s="2" t="str">
        <f t="shared" si="478"/>
        <v>UN</v>
      </c>
      <c r="D12184" s="7">
        <v>910</v>
      </c>
      <c r="E12184" s="3">
        <v>10</v>
      </c>
      <c r="F12184" s="3">
        <v>10</v>
      </c>
      <c r="G12184" t="s">
        <v>515</v>
      </c>
    </row>
    <row r="12185" spans="1:7" x14ac:dyDescent="0.25">
      <c r="A12185" s="1" t="str">
        <f>"510444"</f>
        <v>510444</v>
      </c>
      <c r="B12185" s="2" t="str">
        <f>"GRADE P/ PISO"</f>
        <v>GRADE P/ PISO</v>
      </c>
      <c r="C12185" s="2" t="str">
        <f t="shared" si="478"/>
        <v>UN</v>
      </c>
      <c r="D12185" s="7">
        <v>803</v>
      </c>
      <c r="E12185" s="3">
        <v>10</v>
      </c>
      <c r="F12185" s="3">
        <v>10</v>
      </c>
      <c r="G12185" t="s">
        <v>514</v>
      </c>
    </row>
    <row r="12186" spans="1:7" x14ac:dyDescent="0.25">
      <c r="A12186" s="1" t="str">
        <f>"505445"</f>
        <v>505445</v>
      </c>
      <c r="B12186" s="2" t="str">
        <f>"GRAFIATO - BALDE 30KG"</f>
        <v>GRAFIATO - BALDE 30KG</v>
      </c>
      <c r="C12186" s="2" t="str">
        <f t="shared" si="478"/>
        <v>UN</v>
      </c>
      <c r="D12186" s="7">
        <v>917</v>
      </c>
      <c r="E12186" s="3">
        <v>10</v>
      </c>
      <c r="F12186" s="3">
        <v>10</v>
      </c>
      <c r="G12186" t="s">
        <v>512</v>
      </c>
    </row>
    <row r="12187" spans="1:7" x14ac:dyDescent="0.25">
      <c r="A12187" s="1" t="str">
        <f>"512410"</f>
        <v>512410</v>
      </c>
      <c r="B12187" s="2" t="str">
        <f>"GRAFILADOS SELO VERTICAL"</f>
        <v>GRAFILADOS SELO VERTICAL</v>
      </c>
      <c r="C12187" s="2" t="str">
        <f t="shared" si="478"/>
        <v>UN</v>
      </c>
      <c r="D12187" s="7">
        <v>918</v>
      </c>
      <c r="E12187" s="3">
        <v>11</v>
      </c>
      <c r="F12187" s="3">
        <v>11</v>
      </c>
      <c r="G12187" t="s">
        <v>513</v>
      </c>
    </row>
    <row r="12188" spans="1:7" x14ac:dyDescent="0.25">
      <c r="A12188" s="1" t="str">
        <f>"504545"</f>
        <v>504545</v>
      </c>
      <c r="B12188" s="2" t="str">
        <f>"GRAFITE EM PO 300ML"</f>
        <v>GRAFITE EM PO 300ML</v>
      </c>
      <c r="C12188" s="2" t="str">
        <f t="shared" si="478"/>
        <v>UN</v>
      </c>
      <c r="D12188" s="7">
        <v>99999</v>
      </c>
      <c r="E12188" s="3">
        <v>99</v>
      </c>
      <c r="F12188" s="3">
        <v>99</v>
      </c>
      <c r="G12188" t="s">
        <v>514</v>
      </c>
    </row>
    <row r="12189" spans="1:7" x14ac:dyDescent="0.25">
      <c r="A12189" s="1" t="str">
        <f>"6344"</f>
        <v>6344</v>
      </c>
      <c r="B12189" s="2" t="str">
        <f>"GRAFITE FABER CASTEL"</f>
        <v>GRAFITE FABER CASTEL</v>
      </c>
      <c r="C12189" s="2" t="str">
        <f t="shared" si="478"/>
        <v>UN</v>
      </c>
      <c r="D12189" s="7">
        <v>401</v>
      </c>
      <c r="E12189" s="3">
        <v>4</v>
      </c>
      <c r="F12189" s="3">
        <v>4</v>
      </c>
      <c r="G12189" t="s">
        <v>514</v>
      </c>
    </row>
    <row r="12190" spans="1:7" x14ac:dyDescent="0.25">
      <c r="A12190" s="1" t="str">
        <f>"513775"</f>
        <v>513775</v>
      </c>
      <c r="B12190" s="2" t="str">
        <f>"GRAFITE SPRAY 65ML"</f>
        <v>GRAFITE SPRAY 65ML</v>
      </c>
      <c r="C12190" s="2" t="str">
        <f t="shared" si="478"/>
        <v>UN</v>
      </c>
      <c r="D12190" s="7">
        <v>401</v>
      </c>
      <c r="E12190" s="3">
        <v>4</v>
      </c>
      <c r="F12190" s="3">
        <v>4</v>
      </c>
      <c r="G12190" t="s">
        <v>512</v>
      </c>
    </row>
    <row r="12191" spans="1:7" x14ac:dyDescent="0.25">
      <c r="A12191" s="1" t="str">
        <f>"506181"</f>
        <v>506181</v>
      </c>
      <c r="B12191" s="2" t="str">
        <f>"GRAMPEADEIRA POLY-CLIP MOD.BR-6012 PNEUM"</f>
        <v>GRAMPEADEIRA POLY-CLIP MOD.BR-6012 PNEUM</v>
      </c>
      <c r="C12191" s="2" t="str">
        <f t="shared" si="478"/>
        <v>UN</v>
      </c>
      <c r="D12191" s="7">
        <v>918</v>
      </c>
      <c r="E12191" s="3">
        <v>11</v>
      </c>
      <c r="F12191" s="3">
        <v>11</v>
      </c>
      <c r="G12191" t="s">
        <v>513</v>
      </c>
    </row>
    <row r="12192" spans="1:7" x14ac:dyDescent="0.25">
      <c r="A12192" s="1" t="str">
        <f>"6647"</f>
        <v>6647</v>
      </c>
      <c r="B12192" s="2" t="str">
        <f>"GRAMPEADOR METAL SUPER 100 FLS"</f>
        <v>GRAMPEADOR METAL SUPER 100 FLS</v>
      </c>
      <c r="C12192" s="2" t="str">
        <f t="shared" si="478"/>
        <v>UN</v>
      </c>
      <c r="D12192" s="7">
        <v>401</v>
      </c>
      <c r="E12192" s="3">
        <v>4</v>
      </c>
      <c r="F12192" s="3">
        <v>4</v>
      </c>
      <c r="G12192" t="s">
        <v>514</v>
      </c>
    </row>
    <row r="12193" spans="1:7" x14ac:dyDescent="0.25">
      <c r="A12193" s="1" t="str">
        <f>"515140"</f>
        <v>515140</v>
      </c>
      <c r="B12193" s="2" t="str">
        <f>"GRAMPEADOR PNEUM. 80/16"</f>
        <v>GRAMPEADOR PNEUM. 80/16</v>
      </c>
      <c r="C12193" s="2" t="str">
        <f t="shared" si="478"/>
        <v>UN</v>
      </c>
      <c r="D12193" s="7">
        <v>920</v>
      </c>
      <c r="E12193" s="3">
        <v>4</v>
      </c>
      <c r="F12193" s="3">
        <v>4</v>
      </c>
      <c r="G12193" t="s">
        <v>514</v>
      </c>
    </row>
    <row r="12194" spans="1:7" x14ac:dyDescent="0.25">
      <c r="A12194" s="1" t="str">
        <f>"515138"</f>
        <v>515138</v>
      </c>
      <c r="B12194" s="2" t="str">
        <f>"GRAMPEADOR ROCAMA"</f>
        <v>GRAMPEADOR ROCAMA</v>
      </c>
      <c r="C12194" s="2" t="str">
        <f t="shared" si="478"/>
        <v>UN</v>
      </c>
      <c r="D12194" s="7">
        <v>920</v>
      </c>
      <c r="E12194" s="3">
        <v>4</v>
      </c>
      <c r="F12194" s="3">
        <v>4</v>
      </c>
      <c r="G12194" t="s">
        <v>514</v>
      </c>
    </row>
    <row r="12195" spans="1:7" x14ac:dyDescent="0.25">
      <c r="A12195" s="1" t="str">
        <f>"2204"</f>
        <v>2204</v>
      </c>
      <c r="B12195" s="2" t="str">
        <f>"GRAMPEADOR UNIVERSAL 23/8"</f>
        <v>GRAMPEADOR UNIVERSAL 23/8</v>
      </c>
      <c r="C12195" s="2" t="str">
        <f t="shared" si="478"/>
        <v>UN</v>
      </c>
      <c r="D12195" s="7">
        <v>401</v>
      </c>
      <c r="E12195" s="3">
        <v>4</v>
      </c>
      <c r="F12195" s="3">
        <v>4</v>
      </c>
      <c r="G12195" t="s">
        <v>513</v>
      </c>
    </row>
    <row r="12196" spans="1:7" x14ac:dyDescent="0.25">
      <c r="A12196" s="1" t="str">
        <f>"2203"</f>
        <v>2203</v>
      </c>
      <c r="B12196" s="2" t="str">
        <f>"GRAMPEADOR UNIVERSAL 26/6"</f>
        <v>GRAMPEADOR UNIVERSAL 26/6</v>
      </c>
      <c r="C12196" s="2" t="str">
        <f t="shared" si="478"/>
        <v>UN</v>
      </c>
      <c r="D12196" s="7">
        <v>401</v>
      </c>
      <c r="E12196" s="3">
        <v>4</v>
      </c>
      <c r="F12196" s="3">
        <v>4</v>
      </c>
      <c r="G12196" t="s">
        <v>512</v>
      </c>
    </row>
    <row r="12197" spans="1:7" x14ac:dyDescent="0.25">
      <c r="A12197" s="1" t="str">
        <f>"265"</f>
        <v>265</v>
      </c>
      <c r="B12197" s="2" t="str">
        <f>"GRAMPO"</f>
        <v>GRAMPO</v>
      </c>
      <c r="C12197" s="2" t="str">
        <f t="shared" si="478"/>
        <v>UN</v>
      </c>
      <c r="D12197" s="7">
        <v>109</v>
      </c>
      <c r="E12197" s="3">
        <v>1</v>
      </c>
      <c r="F12197" s="3">
        <v>1</v>
      </c>
      <c r="G12197" t="s">
        <v>513</v>
      </c>
    </row>
    <row r="12198" spans="1:7" x14ac:dyDescent="0.25">
      <c r="A12198" s="1" t="str">
        <f>"523222"</f>
        <v>523222</v>
      </c>
      <c r="B12198" s="2" t="str">
        <f>"GRAMPO ""C"" #12 INOX"</f>
        <v>GRAMPO "C" #12 INOX</v>
      </c>
      <c r="C12198" s="2" t="str">
        <f>"PC"</f>
        <v>PC</v>
      </c>
      <c r="D12198" s="7">
        <v>806</v>
      </c>
      <c r="E12198" s="3">
        <v>10</v>
      </c>
      <c r="F12198" s="3">
        <v>10</v>
      </c>
      <c r="G12198" t="s">
        <v>514</v>
      </c>
    </row>
    <row r="12199" spans="1:7" x14ac:dyDescent="0.25">
      <c r="A12199" s="1" t="str">
        <f>"522911"</f>
        <v>522911</v>
      </c>
      <c r="B12199" s="2" t="str">
        <f>"GRAMPO (P/ CONST. CIVIL)"</f>
        <v>GRAMPO (P/ CONST. CIVIL)</v>
      </c>
      <c r="C12199" s="2" t="str">
        <f t="shared" ref="C12199:C12230" si="479">"UN"</f>
        <v>UN</v>
      </c>
      <c r="D12199" s="7">
        <v>917</v>
      </c>
      <c r="E12199" s="3">
        <v>10</v>
      </c>
      <c r="F12199" s="3">
        <v>10</v>
      </c>
      <c r="G12199" t="s">
        <v>514</v>
      </c>
    </row>
    <row r="12200" spans="1:7" x14ac:dyDescent="0.25">
      <c r="A12200" s="1" t="str">
        <f>"509553"</f>
        <v>509553</v>
      </c>
      <c r="B12200" s="2" t="str">
        <f>"GRAMPO /W713228/S3/07"</f>
        <v>GRAMPO /W713228/S3/07</v>
      </c>
      <c r="C12200" s="2" t="str">
        <f t="shared" si="479"/>
        <v>UN</v>
      </c>
      <c r="D12200" s="7">
        <v>918</v>
      </c>
      <c r="E12200" s="3">
        <v>11</v>
      </c>
      <c r="F12200" s="3">
        <v>11</v>
      </c>
      <c r="G12200" t="s">
        <v>514</v>
      </c>
    </row>
    <row r="12201" spans="1:7" x14ac:dyDescent="0.25">
      <c r="A12201" s="1" t="str">
        <f>"505648"</f>
        <v>505648</v>
      </c>
      <c r="B12201" s="2" t="str">
        <f>"GRAMPO 20X102X210/B"</f>
        <v>GRAMPO 20X102X210/B</v>
      </c>
      <c r="C12201" s="2" t="str">
        <f t="shared" si="479"/>
        <v>UN</v>
      </c>
      <c r="D12201" s="7">
        <v>704</v>
      </c>
      <c r="E12201" s="3">
        <v>9</v>
      </c>
      <c r="F12201" s="3">
        <v>9</v>
      </c>
      <c r="G12201" t="s">
        <v>513</v>
      </c>
    </row>
    <row r="12202" spans="1:7" x14ac:dyDescent="0.25">
      <c r="A12202" s="1" t="str">
        <f>"505545"</f>
        <v>505545</v>
      </c>
      <c r="B12202" s="2" t="str">
        <f>"GRAMPO 24X102X520/DA"</f>
        <v>GRAMPO 24X102X520/DA</v>
      </c>
      <c r="C12202" s="2" t="str">
        <f t="shared" si="479"/>
        <v>UN</v>
      </c>
      <c r="D12202" s="7">
        <v>704</v>
      </c>
      <c r="E12202" s="3">
        <v>9</v>
      </c>
      <c r="F12202" s="3">
        <v>9</v>
      </c>
      <c r="G12202" t="s">
        <v>513</v>
      </c>
    </row>
    <row r="12203" spans="1:7" x14ac:dyDescent="0.25">
      <c r="A12203" s="1" t="str">
        <f>"521699"</f>
        <v>521699</v>
      </c>
      <c r="B12203" s="2" t="str">
        <f>"GRAMPO 3/4 X 102 X 260 D"</f>
        <v>GRAMPO 3/4 X 102 X 260 D</v>
      </c>
      <c r="C12203" s="2" t="str">
        <f t="shared" si="479"/>
        <v>UN</v>
      </c>
      <c r="D12203" s="7">
        <v>99999</v>
      </c>
      <c r="E12203" s="3">
        <v>99</v>
      </c>
      <c r="F12203" s="3">
        <v>99</v>
      </c>
      <c r="G12203" t="s">
        <v>513</v>
      </c>
    </row>
    <row r="12204" spans="1:7" x14ac:dyDescent="0.25">
      <c r="A12204" s="1" t="str">
        <f>"520790"</f>
        <v>520790</v>
      </c>
      <c r="B12204" s="2" t="str">
        <f>"GRAMPO 3/8 P/ TUBO DE 3"""</f>
        <v>GRAMPO 3/8 P/ TUBO DE 3"</v>
      </c>
      <c r="C12204" s="2" t="str">
        <f t="shared" si="479"/>
        <v>UN</v>
      </c>
      <c r="D12204" s="7">
        <v>601</v>
      </c>
      <c r="E12204" s="3">
        <v>8</v>
      </c>
      <c r="F12204" s="3">
        <v>8</v>
      </c>
      <c r="G12204" t="s">
        <v>512</v>
      </c>
    </row>
    <row r="12205" spans="1:7" x14ac:dyDescent="0.25">
      <c r="A12205" s="1" t="str">
        <f>"520789"</f>
        <v>520789</v>
      </c>
      <c r="B12205" s="2" t="str">
        <f>"GRAMPO 3/8 P/ TUBO DE 4"""</f>
        <v>GRAMPO 3/8 P/ TUBO DE 4"</v>
      </c>
      <c r="C12205" s="2" t="str">
        <f t="shared" si="479"/>
        <v>UN</v>
      </c>
      <c r="D12205" s="7">
        <v>601</v>
      </c>
      <c r="E12205" s="3">
        <v>8</v>
      </c>
      <c r="F12205" s="3">
        <v>8</v>
      </c>
      <c r="G12205" t="s">
        <v>513</v>
      </c>
    </row>
    <row r="12206" spans="1:7" x14ac:dyDescent="0.25">
      <c r="A12206" s="1" t="str">
        <f>"515139"</f>
        <v>515139</v>
      </c>
      <c r="B12206" s="2" t="str">
        <f>"GRAMPO 50/7 PNEUM"</f>
        <v>GRAMPO 50/7 PNEUM</v>
      </c>
      <c r="C12206" s="2" t="str">
        <f t="shared" si="479"/>
        <v>UN</v>
      </c>
      <c r="D12206" s="7">
        <v>920</v>
      </c>
      <c r="E12206" s="3">
        <v>4</v>
      </c>
      <c r="F12206" s="3">
        <v>4</v>
      </c>
      <c r="G12206" t="s">
        <v>514</v>
      </c>
    </row>
    <row r="12207" spans="1:7" x14ac:dyDescent="0.25">
      <c r="A12207" s="1" t="str">
        <f>"505977"</f>
        <v>505977</v>
      </c>
      <c r="B12207" s="2" t="str">
        <f>"GRAMPO 7/8X92X320D"</f>
        <v>GRAMPO 7/8X92X320D</v>
      </c>
      <c r="C12207" s="2" t="str">
        <f t="shared" si="479"/>
        <v>UN</v>
      </c>
      <c r="D12207" s="7">
        <v>704</v>
      </c>
      <c r="E12207" s="3">
        <v>9</v>
      </c>
      <c r="F12207" s="3">
        <v>9</v>
      </c>
      <c r="G12207" t="s">
        <v>515</v>
      </c>
    </row>
    <row r="12208" spans="1:7" x14ac:dyDescent="0.25">
      <c r="A12208" s="1" t="str">
        <f>"505549"</f>
        <v>505549</v>
      </c>
      <c r="B12208" s="2" t="str">
        <f>"GRAMPO 7/8X92X340/D"</f>
        <v>GRAMPO 7/8X92X340/D</v>
      </c>
      <c r="C12208" s="2" t="str">
        <f t="shared" si="479"/>
        <v>UN</v>
      </c>
      <c r="D12208" s="7">
        <v>704</v>
      </c>
      <c r="E12208" s="3">
        <v>9</v>
      </c>
      <c r="F12208" s="3">
        <v>9</v>
      </c>
      <c r="G12208" t="s">
        <v>512</v>
      </c>
    </row>
    <row r="12209" spans="1:7" x14ac:dyDescent="0.25">
      <c r="A12209" s="1" t="str">
        <f>"505550"</f>
        <v>505550</v>
      </c>
      <c r="B12209" s="2" t="str">
        <f>"GRAMPO 7/8X92X380C"</f>
        <v>GRAMPO 7/8X92X380C</v>
      </c>
      <c r="C12209" s="2" t="str">
        <f t="shared" si="479"/>
        <v>UN</v>
      </c>
      <c r="D12209" s="7">
        <v>704</v>
      </c>
      <c r="E12209" s="3">
        <v>9</v>
      </c>
      <c r="F12209" s="3">
        <v>9</v>
      </c>
      <c r="G12209" t="s">
        <v>516</v>
      </c>
    </row>
    <row r="12210" spans="1:7" x14ac:dyDescent="0.25">
      <c r="A12210" s="1" t="str">
        <f>"522587"</f>
        <v>522587</v>
      </c>
      <c r="B12210" s="2" t="str">
        <f>"GRAMPO 7/8X92X460D"</f>
        <v>GRAMPO 7/8X92X460D</v>
      </c>
      <c r="C12210" s="2" t="str">
        <f t="shared" si="479"/>
        <v>UN</v>
      </c>
      <c r="D12210" s="7">
        <v>704</v>
      </c>
      <c r="E12210" s="3">
        <v>9</v>
      </c>
      <c r="F12210" s="3">
        <v>9</v>
      </c>
      <c r="G12210" t="s">
        <v>515</v>
      </c>
    </row>
    <row r="12211" spans="1:7" x14ac:dyDescent="0.25">
      <c r="A12211" s="1" t="str">
        <f>"526446"</f>
        <v>526446</v>
      </c>
      <c r="B12211" s="2" t="str">
        <f>"GRAMPO 7/8X92X540"</f>
        <v>GRAMPO 7/8X92X540</v>
      </c>
      <c r="C12211" s="2" t="str">
        <f t="shared" si="479"/>
        <v>UN</v>
      </c>
      <c r="D12211" s="7">
        <v>704</v>
      </c>
      <c r="E12211" s="3">
        <v>9</v>
      </c>
      <c r="F12211" s="3">
        <v>9</v>
      </c>
      <c r="G12211" t="s">
        <v>514</v>
      </c>
    </row>
    <row r="12212" spans="1:7" x14ac:dyDescent="0.25">
      <c r="A12212" s="1" t="str">
        <f>"503357"</f>
        <v>503357</v>
      </c>
      <c r="B12212" s="2" t="str">
        <f>"GRAMPO AJUSTAVEL REFORÇADO 1/2"""</f>
        <v>GRAMPO AJUSTAVEL REFORÇADO 1/2"</v>
      </c>
      <c r="C12212" s="2" t="str">
        <f t="shared" si="479"/>
        <v>UN</v>
      </c>
      <c r="D12212" s="7">
        <v>812</v>
      </c>
      <c r="E12212" s="3">
        <v>10</v>
      </c>
      <c r="F12212" s="3">
        <v>10</v>
      </c>
      <c r="G12212" t="s">
        <v>512</v>
      </c>
    </row>
    <row r="12213" spans="1:7" x14ac:dyDescent="0.25">
      <c r="A12213" s="1" t="str">
        <f>"517815"</f>
        <v>517815</v>
      </c>
      <c r="B12213" s="2" t="str">
        <f>"GRAMPO AJUSTAVEL REFORÇADO 9,52MM ASTERBELT"</f>
        <v>GRAMPO AJUSTAVEL REFORÇADO 9,52MM ASTERBELT</v>
      </c>
      <c r="C12213" s="2" t="str">
        <f t="shared" si="479"/>
        <v>UN</v>
      </c>
      <c r="D12213" s="7">
        <v>918</v>
      </c>
      <c r="E12213" s="3">
        <v>11</v>
      </c>
      <c r="F12213" s="3">
        <v>11</v>
      </c>
      <c r="G12213" t="s">
        <v>513</v>
      </c>
    </row>
    <row r="12214" spans="1:7" x14ac:dyDescent="0.25">
      <c r="A12214" s="1" t="str">
        <f>"521768"</f>
        <v>521768</v>
      </c>
      <c r="B12214" s="2" t="str">
        <f>"GRAMPO C COMPLETO G.F"</f>
        <v>GRAMPO C COMPLETO G.F</v>
      </c>
      <c r="C12214" s="2" t="str">
        <f t="shared" si="479"/>
        <v>UN</v>
      </c>
      <c r="D12214" s="7">
        <v>601</v>
      </c>
      <c r="E12214" s="3">
        <v>8</v>
      </c>
      <c r="F12214" s="3">
        <v>8</v>
      </c>
      <c r="G12214" t="s">
        <v>514</v>
      </c>
    </row>
    <row r="12215" spans="1:7" x14ac:dyDescent="0.25">
      <c r="A12215" s="1" t="str">
        <f>"513890"</f>
        <v>513890</v>
      </c>
      <c r="B12215" s="2" t="str">
        <f>"GRAMPO CARROCERIA COM PORCA"</f>
        <v>GRAMPO CARROCERIA COM PORCA</v>
      </c>
      <c r="C12215" s="2" t="str">
        <f t="shared" si="479"/>
        <v>UN</v>
      </c>
      <c r="D12215" s="7">
        <v>99999</v>
      </c>
      <c r="E12215" s="3">
        <v>99</v>
      </c>
      <c r="F12215" s="3">
        <v>99</v>
      </c>
      <c r="G12215" t="s">
        <v>514</v>
      </c>
    </row>
    <row r="12216" spans="1:7" x14ac:dyDescent="0.25">
      <c r="A12216" s="1" t="str">
        <f>"509630"</f>
        <v>509630</v>
      </c>
      <c r="B12216" s="2" t="str">
        <f>"GRAMPO DA PORTA"</f>
        <v>GRAMPO DA PORTA</v>
      </c>
      <c r="C12216" s="2" t="str">
        <f t="shared" si="479"/>
        <v>UN</v>
      </c>
      <c r="D12216" s="7">
        <v>918</v>
      </c>
      <c r="E12216" s="3">
        <v>11</v>
      </c>
      <c r="F12216" s="3">
        <v>11</v>
      </c>
      <c r="G12216" t="s">
        <v>512</v>
      </c>
    </row>
    <row r="12217" spans="1:7" x14ac:dyDescent="0.25">
      <c r="A12217" s="1" t="str">
        <f>"501995"</f>
        <v>501995</v>
      </c>
      <c r="B12217" s="2" t="str">
        <f>"GRAMPO DE REGULAGEM"</f>
        <v>GRAMPO DE REGULAGEM</v>
      </c>
      <c r="C12217" s="2" t="str">
        <f t="shared" si="479"/>
        <v>UN</v>
      </c>
      <c r="D12217" s="7">
        <v>704</v>
      </c>
      <c r="E12217" s="3">
        <v>9</v>
      </c>
      <c r="F12217" s="3">
        <v>9</v>
      </c>
      <c r="G12217" t="s">
        <v>513</v>
      </c>
    </row>
    <row r="12218" spans="1:7" x14ac:dyDescent="0.25">
      <c r="A12218" s="1" t="str">
        <f>"509012"</f>
        <v>509012</v>
      </c>
      <c r="B12218" s="2" t="str">
        <f>"GRAMPO ELASTICO DE AÇO MOLA"</f>
        <v>GRAMPO ELASTICO DE AÇO MOLA</v>
      </c>
      <c r="C12218" s="2" t="str">
        <f t="shared" si="479"/>
        <v>UN</v>
      </c>
      <c r="D12218" s="7">
        <v>402</v>
      </c>
      <c r="E12218" s="3">
        <v>4</v>
      </c>
      <c r="F12218" s="3">
        <v>4</v>
      </c>
      <c r="G12218" t="s">
        <v>514</v>
      </c>
    </row>
    <row r="12219" spans="1:7" x14ac:dyDescent="0.25">
      <c r="A12219" s="1" t="str">
        <f>"510741"</f>
        <v>510741</v>
      </c>
      <c r="B12219" s="2" t="str">
        <f>"GRAMPO EM INOX P/ SPRAY BALL"</f>
        <v>GRAMPO EM INOX P/ SPRAY BALL</v>
      </c>
      <c r="C12219" s="2" t="str">
        <f t="shared" si="479"/>
        <v>UN</v>
      </c>
      <c r="D12219" s="7">
        <v>918</v>
      </c>
      <c r="E12219" s="3">
        <v>11</v>
      </c>
      <c r="F12219" s="3">
        <v>11</v>
      </c>
      <c r="G12219" t="s">
        <v>514</v>
      </c>
    </row>
    <row r="12220" spans="1:7" x14ac:dyDescent="0.25">
      <c r="A12220" s="1" t="str">
        <f>"6648"</f>
        <v>6648</v>
      </c>
      <c r="B12220" s="2" t="str">
        <f>"GRAMPO ENAK 23/06 C/5000"</f>
        <v>GRAMPO ENAK 23/06 C/5000</v>
      </c>
      <c r="C12220" s="2" t="str">
        <f t="shared" si="479"/>
        <v>UN</v>
      </c>
      <c r="D12220" s="7">
        <v>401</v>
      </c>
      <c r="E12220" s="3">
        <v>4</v>
      </c>
      <c r="F12220" s="3">
        <v>4</v>
      </c>
      <c r="G12220" t="s">
        <v>514</v>
      </c>
    </row>
    <row r="12221" spans="1:7" x14ac:dyDescent="0.25">
      <c r="A12221" s="1" t="str">
        <f>"6649"</f>
        <v>6649</v>
      </c>
      <c r="B12221" s="2" t="str">
        <f>"GRAMPO ENAK 23/08 C/1000"</f>
        <v>GRAMPO ENAK 23/08 C/1000</v>
      </c>
      <c r="C12221" s="2" t="str">
        <f t="shared" si="479"/>
        <v>UN</v>
      </c>
      <c r="D12221" s="7">
        <v>401</v>
      </c>
      <c r="E12221" s="3">
        <v>4</v>
      </c>
      <c r="F12221" s="3">
        <v>4</v>
      </c>
      <c r="G12221" t="s">
        <v>513</v>
      </c>
    </row>
    <row r="12222" spans="1:7" x14ac:dyDescent="0.25">
      <c r="A12222" s="1" t="str">
        <f>"6650"</f>
        <v>6650</v>
      </c>
      <c r="B12222" s="2" t="str">
        <f>"GRAMPO ENAK 23/10 C/1000"</f>
        <v>GRAMPO ENAK 23/10 C/1000</v>
      </c>
      <c r="C12222" s="2" t="str">
        <f t="shared" si="479"/>
        <v>UN</v>
      </c>
      <c r="D12222" s="7">
        <v>401</v>
      </c>
      <c r="E12222" s="3">
        <v>4</v>
      </c>
      <c r="F12222" s="3">
        <v>4</v>
      </c>
      <c r="G12222" t="s">
        <v>512</v>
      </c>
    </row>
    <row r="12223" spans="1:7" x14ac:dyDescent="0.25">
      <c r="A12223" s="1" t="str">
        <f>"6651"</f>
        <v>6651</v>
      </c>
      <c r="B12223" s="2" t="str">
        <f>"GRAMPO ENAK 23/13 C/1000"</f>
        <v>GRAMPO ENAK 23/13 C/1000</v>
      </c>
      <c r="C12223" s="2" t="str">
        <f t="shared" si="479"/>
        <v>UN</v>
      </c>
      <c r="D12223" s="7">
        <v>401</v>
      </c>
      <c r="E12223" s="3">
        <v>4</v>
      </c>
      <c r="F12223" s="3">
        <v>4</v>
      </c>
      <c r="G12223" t="s">
        <v>513</v>
      </c>
    </row>
    <row r="12224" spans="1:7" x14ac:dyDescent="0.25">
      <c r="A12224" s="1" t="str">
        <f>"511027"</f>
        <v>511027</v>
      </c>
      <c r="B12224" s="2" t="str">
        <f>"GRAMPO FIX"</f>
        <v>GRAMPO FIX</v>
      </c>
      <c r="C12224" s="2" t="str">
        <f t="shared" si="479"/>
        <v>UN</v>
      </c>
      <c r="D12224" s="7">
        <v>401</v>
      </c>
      <c r="E12224" s="3">
        <v>4</v>
      </c>
      <c r="F12224" s="3">
        <v>4</v>
      </c>
      <c r="G12224" t="s">
        <v>514</v>
      </c>
    </row>
    <row r="12225" spans="1:7" x14ac:dyDescent="0.25">
      <c r="A12225" s="1" t="str">
        <f>"502815"</f>
        <v>502815</v>
      </c>
      <c r="B12225" s="2" t="str">
        <f>"GRAMPO FIX GRADE"</f>
        <v>GRAMPO FIX GRADE</v>
      </c>
      <c r="C12225" s="2" t="str">
        <f t="shared" si="479"/>
        <v>UN</v>
      </c>
      <c r="D12225" s="7">
        <v>704</v>
      </c>
      <c r="E12225" s="3">
        <v>9</v>
      </c>
      <c r="F12225" s="3">
        <v>9</v>
      </c>
      <c r="G12225" t="s">
        <v>514</v>
      </c>
    </row>
    <row r="12226" spans="1:7" x14ac:dyDescent="0.25">
      <c r="A12226" s="1" t="str">
        <f>"515789"</f>
        <v>515789</v>
      </c>
      <c r="B12226" s="2" t="str">
        <f>"GRAMPO LONGO P/ PERFILADO"</f>
        <v>GRAMPO LONGO P/ PERFILADO</v>
      </c>
      <c r="C12226" s="2" t="str">
        <f t="shared" si="479"/>
        <v>UN</v>
      </c>
      <c r="D12226" s="7">
        <v>99999</v>
      </c>
      <c r="E12226" s="3">
        <v>99</v>
      </c>
      <c r="F12226" s="3">
        <v>99</v>
      </c>
      <c r="G12226" t="s">
        <v>514</v>
      </c>
    </row>
    <row r="12227" spans="1:7" x14ac:dyDescent="0.25">
      <c r="A12227" s="1" t="str">
        <f>"514767"</f>
        <v>514767</v>
      </c>
      <c r="B12227" s="2" t="str">
        <f>"GRAMPO MIGUELAO"</f>
        <v>GRAMPO MIGUELAO</v>
      </c>
      <c r="C12227" s="2" t="str">
        <f t="shared" si="479"/>
        <v>UN</v>
      </c>
      <c r="D12227" s="7">
        <v>900</v>
      </c>
      <c r="E12227" s="3">
        <v>8</v>
      </c>
      <c r="F12227" s="3">
        <v>8</v>
      </c>
      <c r="G12227" t="s">
        <v>513</v>
      </c>
    </row>
    <row r="12228" spans="1:7" x14ac:dyDescent="0.25">
      <c r="A12228" s="1" t="str">
        <f>"501813"</f>
        <v>501813</v>
      </c>
      <c r="B12228" s="2" t="str">
        <f>"GRAMPO MOLA"</f>
        <v>GRAMPO MOLA</v>
      </c>
      <c r="C12228" s="2" t="str">
        <f t="shared" si="479"/>
        <v>UN</v>
      </c>
      <c r="D12228" s="7">
        <v>99999</v>
      </c>
      <c r="E12228" s="3">
        <v>99</v>
      </c>
      <c r="F12228" s="3">
        <v>99</v>
      </c>
      <c r="G12228" t="s">
        <v>513</v>
      </c>
    </row>
    <row r="12229" spans="1:7" x14ac:dyDescent="0.25">
      <c r="A12229" s="1" t="str">
        <f>"522948"</f>
        <v>522948</v>
      </c>
      <c r="B12229" s="2" t="str">
        <f>"GRAMPO P/ ACRILICO 6MM"</f>
        <v>GRAMPO P/ ACRILICO 6MM</v>
      </c>
      <c r="C12229" s="2" t="str">
        <f t="shared" si="479"/>
        <v>UN</v>
      </c>
      <c r="D12229" s="7">
        <v>812</v>
      </c>
      <c r="E12229" s="3">
        <v>10</v>
      </c>
      <c r="F12229" s="3">
        <v>10</v>
      </c>
      <c r="G12229" t="s">
        <v>513</v>
      </c>
    </row>
    <row r="12230" spans="1:7" x14ac:dyDescent="0.25">
      <c r="A12230" s="1" t="str">
        <f>"500402"</f>
        <v>500402</v>
      </c>
      <c r="B12230" s="2" t="str">
        <f>"GRAMPO P/ CERCA"</f>
        <v>GRAMPO P/ CERCA</v>
      </c>
      <c r="C12230" s="2" t="str">
        <f t="shared" si="479"/>
        <v>UN</v>
      </c>
      <c r="D12230" s="7">
        <v>403</v>
      </c>
      <c r="E12230" s="3">
        <v>4</v>
      </c>
      <c r="F12230" s="3">
        <v>4</v>
      </c>
      <c r="G12230" t="s">
        <v>512</v>
      </c>
    </row>
    <row r="12231" spans="1:7" x14ac:dyDescent="0.25">
      <c r="A12231" s="1" t="str">
        <f>"502496"</f>
        <v>502496</v>
      </c>
      <c r="B12231" s="2" t="str">
        <f>"GRAMPO P/ FIXACAO COMPLETO"</f>
        <v>GRAMPO P/ FIXACAO COMPLETO</v>
      </c>
      <c r="C12231" s="2" t="str">
        <f t="shared" ref="C12231:C12253" si="480">"UN"</f>
        <v>UN</v>
      </c>
      <c r="D12231" s="7">
        <v>704</v>
      </c>
      <c r="E12231" s="3">
        <v>9</v>
      </c>
      <c r="F12231" s="3">
        <v>9</v>
      </c>
      <c r="G12231" t="s">
        <v>513</v>
      </c>
    </row>
    <row r="12232" spans="1:7" x14ac:dyDescent="0.25">
      <c r="A12232" s="1" t="str">
        <f>"513419"</f>
        <v>513419</v>
      </c>
      <c r="B12232" s="2" t="str">
        <f>"GRAMPO P/ GRAMP 106/8"</f>
        <v>GRAMPO P/ GRAMP 106/8</v>
      </c>
      <c r="C12232" s="2" t="str">
        <f t="shared" si="480"/>
        <v>UN</v>
      </c>
      <c r="D12232" s="7">
        <v>803</v>
      </c>
      <c r="E12232" s="3">
        <v>4</v>
      </c>
      <c r="F12232" s="3">
        <v>4</v>
      </c>
      <c r="G12232" t="s">
        <v>514</v>
      </c>
    </row>
    <row r="12233" spans="1:7" x14ac:dyDescent="0.25">
      <c r="A12233" s="1" t="str">
        <f>"525265"</f>
        <v>525265</v>
      </c>
      <c r="B12233" s="2" t="str">
        <f>"GRAMPO P/ POLICARBONATO 10MM"</f>
        <v>GRAMPO P/ POLICARBONATO 10MM</v>
      </c>
      <c r="C12233" s="2" t="str">
        <f t="shared" si="480"/>
        <v>UN</v>
      </c>
      <c r="D12233" s="7">
        <v>812</v>
      </c>
      <c r="E12233" s="3">
        <v>10</v>
      </c>
      <c r="F12233" s="3">
        <v>10</v>
      </c>
      <c r="G12233" t="s">
        <v>515</v>
      </c>
    </row>
    <row r="12234" spans="1:7" x14ac:dyDescent="0.25">
      <c r="A12234" s="1" t="str">
        <f>"517814"</f>
        <v>517814</v>
      </c>
      <c r="B12234" s="2" t="str">
        <f>"GRAMPO P/ POLICARBONATO 8MM"</f>
        <v>GRAMPO P/ POLICARBONATO 8MM</v>
      </c>
      <c r="C12234" s="2" t="str">
        <f t="shared" si="480"/>
        <v>UN</v>
      </c>
      <c r="D12234" s="7">
        <v>918</v>
      </c>
      <c r="E12234" s="3">
        <v>11</v>
      </c>
      <c r="F12234" s="3">
        <v>11</v>
      </c>
      <c r="G12234" t="s">
        <v>512</v>
      </c>
    </row>
    <row r="12235" spans="1:7" x14ac:dyDescent="0.25">
      <c r="A12235" s="1" t="str">
        <f>"525364"</f>
        <v>525364</v>
      </c>
      <c r="B12235" s="2" t="str">
        <f>"GRAMPO P/ SPRAY BALL INOX (MODELO TCA)"</f>
        <v>GRAMPO P/ SPRAY BALL INOX (MODELO TCA)</v>
      </c>
      <c r="C12235" s="2" t="str">
        <f t="shared" si="480"/>
        <v>UN</v>
      </c>
      <c r="D12235" s="7">
        <v>807</v>
      </c>
      <c r="E12235" s="3">
        <v>11</v>
      </c>
      <c r="F12235" s="3">
        <v>11</v>
      </c>
      <c r="G12235" t="s">
        <v>516</v>
      </c>
    </row>
    <row r="12236" spans="1:7" x14ac:dyDescent="0.25">
      <c r="A12236" s="1" t="str">
        <f>"264"</f>
        <v>264</v>
      </c>
      <c r="B12236" s="2" t="str">
        <f>"GRAMPO PARA BARRINHA LR 10"</f>
        <v>GRAMPO PARA BARRINHA LR 10</v>
      </c>
      <c r="C12236" s="2" t="str">
        <f t="shared" si="480"/>
        <v>UN</v>
      </c>
      <c r="D12236" s="7">
        <v>109</v>
      </c>
      <c r="E12236" s="3">
        <v>1</v>
      </c>
      <c r="F12236" s="3">
        <v>1</v>
      </c>
      <c r="G12236" t="s">
        <v>515</v>
      </c>
    </row>
    <row r="12237" spans="1:7" x14ac:dyDescent="0.25">
      <c r="A12237" s="1" t="str">
        <f>"523584"</f>
        <v>523584</v>
      </c>
      <c r="B12237" s="2" t="str">
        <f>"GRAMPO PLASTICO 195X7X58MM"</f>
        <v>GRAMPO PLASTICO 195X7X58MM</v>
      </c>
      <c r="C12237" s="2" t="str">
        <f t="shared" si="480"/>
        <v>UN</v>
      </c>
      <c r="D12237" s="7">
        <v>99999</v>
      </c>
      <c r="E12237" s="3">
        <v>99</v>
      </c>
      <c r="F12237" s="3">
        <v>99</v>
      </c>
      <c r="G12237" t="s">
        <v>514</v>
      </c>
    </row>
    <row r="12238" spans="1:7" x14ac:dyDescent="0.25">
      <c r="A12238" s="1" t="str">
        <f>"514768"</f>
        <v>514768</v>
      </c>
      <c r="B12238" s="2" t="str">
        <f>"GRAMPO REVESTIMENTO"</f>
        <v>GRAMPO REVESTIMENTO</v>
      </c>
      <c r="C12238" s="2" t="str">
        <f t="shared" si="480"/>
        <v>UN</v>
      </c>
      <c r="D12238" s="7">
        <v>900</v>
      </c>
      <c r="E12238" s="3">
        <v>8</v>
      </c>
      <c r="F12238" s="3">
        <v>8</v>
      </c>
      <c r="G12238" t="s">
        <v>512</v>
      </c>
    </row>
    <row r="12239" spans="1:7" x14ac:dyDescent="0.25">
      <c r="A12239" s="1" t="str">
        <f>"515661"</f>
        <v>515661</v>
      </c>
      <c r="B12239" s="2" t="str">
        <f>"GRAMPO SB4K"</f>
        <v>GRAMPO SB4K</v>
      </c>
      <c r="C12239" s="2" t="str">
        <f t="shared" si="480"/>
        <v>UN</v>
      </c>
      <c r="D12239" s="7">
        <v>811</v>
      </c>
      <c r="E12239" s="3">
        <v>8</v>
      </c>
      <c r="F12239" s="3">
        <v>8</v>
      </c>
      <c r="G12239" t="s">
        <v>513</v>
      </c>
    </row>
    <row r="12240" spans="1:7" x14ac:dyDescent="0.25">
      <c r="A12240" s="1" t="str">
        <f>"501816"</f>
        <v>501816</v>
      </c>
      <c r="B12240" s="2" t="str">
        <f>"GRAMPO SUSPENSOR PNEUMATICO"</f>
        <v>GRAMPO SUSPENSOR PNEUMATICO</v>
      </c>
      <c r="C12240" s="2" t="str">
        <f t="shared" si="480"/>
        <v>UN</v>
      </c>
      <c r="D12240" s="7">
        <v>704</v>
      </c>
      <c r="E12240" s="3">
        <v>9</v>
      </c>
      <c r="F12240" s="3">
        <v>9</v>
      </c>
      <c r="G12240" t="s">
        <v>514</v>
      </c>
    </row>
    <row r="12241" spans="1:7" x14ac:dyDescent="0.25">
      <c r="A12241" s="1" t="str">
        <f>"515787"</f>
        <v>515787</v>
      </c>
      <c r="B12241" s="2" t="str">
        <f>"GRAMPO TIPO C P/ PERFILADO"</f>
        <v>GRAMPO TIPO C P/ PERFILADO</v>
      </c>
      <c r="C12241" s="2" t="str">
        <f t="shared" si="480"/>
        <v>UN</v>
      </c>
      <c r="D12241" s="7">
        <v>99999</v>
      </c>
      <c r="E12241" s="3">
        <v>99</v>
      </c>
      <c r="F12241" s="3">
        <v>99</v>
      </c>
      <c r="G12241" t="s">
        <v>514</v>
      </c>
    </row>
    <row r="12242" spans="1:7" x14ac:dyDescent="0.25">
      <c r="A12242" s="1" t="str">
        <f>"511028"</f>
        <v>511028</v>
      </c>
      <c r="B12242" s="2" t="str">
        <f>"GRAMPO TRILHO"</f>
        <v>GRAMPO TRILHO</v>
      </c>
      <c r="C12242" s="2" t="str">
        <f t="shared" si="480"/>
        <v>UN</v>
      </c>
      <c r="D12242" s="7">
        <v>401</v>
      </c>
      <c r="E12242" s="3">
        <v>4</v>
      </c>
      <c r="F12242" s="3">
        <v>4</v>
      </c>
      <c r="G12242" t="s">
        <v>512</v>
      </c>
    </row>
    <row r="12243" spans="1:7" x14ac:dyDescent="0.25">
      <c r="A12243" s="1" t="str">
        <f>"2200"</f>
        <v>2200</v>
      </c>
      <c r="B12243" s="2" t="str">
        <f>"GRAMPO TRILHO C/50 UND ACC"</f>
        <v>GRAMPO TRILHO C/50 UND ACC</v>
      </c>
      <c r="C12243" s="2" t="str">
        <f t="shared" si="480"/>
        <v>UN</v>
      </c>
      <c r="D12243" s="7">
        <v>401</v>
      </c>
      <c r="E12243" s="3">
        <v>4</v>
      </c>
      <c r="F12243" s="3">
        <v>4</v>
      </c>
      <c r="G12243" t="s">
        <v>513</v>
      </c>
    </row>
    <row r="12244" spans="1:7" x14ac:dyDescent="0.25">
      <c r="A12244" s="1" t="str">
        <f>"527262"</f>
        <v>527262</v>
      </c>
      <c r="B12244" s="2" t="str">
        <f>"GRAMPO U DE VERGALHAO 1X5/16"</f>
        <v>GRAMPO U DE VERGALHAO 1X5/16</v>
      </c>
      <c r="C12244" s="2" t="str">
        <f t="shared" si="480"/>
        <v>UN</v>
      </c>
      <c r="D12244" s="7">
        <v>601</v>
      </c>
      <c r="E12244" s="3">
        <v>8</v>
      </c>
      <c r="F12244" s="3">
        <v>8</v>
      </c>
      <c r="G12244" t="s">
        <v>514</v>
      </c>
    </row>
    <row r="12245" spans="1:7" x14ac:dyDescent="0.25">
      <c r="A12245" s="1" t="str">
        <f>"515533"</f>
        <v>515533</v>
      </c>
      <c r="B12245" s="2" t="str">
        <f>"GRAMPO ZB4K"</f>
        <v>GRAMPO ZB4K</v>
      </c>
      <c r="C12245" s="2" t="str">
        <f t="shared" si="480"/>
        <v>UN</v>
      </c>
      <c r="D12245" s="7">
        <v>811</v>
      </c>
      <c r="E12245" s="3">
        <v>8</v>
      </c>
      <c r="F12245" s="3">
        <v>8</v>
      </c>
      <c r="G12245" t="s">
        <v>514</v>
      </c>
    </row>
    <row r="12246" spans="1:7" x14ac:dyDescent="0.25">
      <c r="A12246" s="1" t="str">
        <f>"2646"</f>
        <v>2646</v>
      </c>
      <c r="B12246" s="2" t="str">
        <f>"GRAMPOS GRAMPEADOR 23/13 C/5000 UND"</f>
        <v>GRAMPOS GRAMPEADOR 23/13 C/5000 UND</v>
      </c>
      <c r="C12246" s="2" t="str">
        <f t="shared" si="480"/>
        <v>UN</v>
      </c>
      <c r="D12246" s="7">
        <v>401</v>
      </c>
      <c r="E12246" s="3">
        <v>4</v>
      </c>
      <c r="F12246" s="3">
        <v>4</v>
      </c>
      <c r="G12246" t="s">
        <v>514</v>
      </c>
    </row>
    <row r="12247" spans="1:7" x14ac:dyDescent="0.25">
      <c r="A12247" s="1" t="str">
        <f>"2245"</f>
        <v>2245</v>
      </c>
      <c r="B12247" s="2" t="str">
        <f>"GRAMPOS GRAMPEADOR 26/6 C/5000 UND. ACC"</f>
        <v>GRAMPOS GRAMPEADOR 26/6 C/5000 UND. ACC</v>
      </c>
      <c r="C12247" s="2" t="str">
        <f t="shared" si="480"/>
        <v>UN</v>
      </c>
      <c r="D12247" s="7">
        <v>401</v>
      </c>
      <c r="E12247" s="3">
        <v>4</v>
      </c>
      <c r="F12247" s="3">
        <v>4</v>
      </c>
      <c r="G12247" t="s">
        <v>513</v>
      </c>
    </row>
    <row r="12248" spans="1:7" x14ac:dyDescent="0.25">
      <c r="A12248" s="1" t="str">
        <f>"509810"</f>
        <v>509810</v>
      </c>
      <c r="B12248" s="2" t="str">
        <f>"GRANDA VITAO 1KG"</f>
        <v>GRANDA VITAO 1KG</v>
      </c>
      <c r="C12248" s="2" t="str">
        <f t="shared" si="480"/>
        <v>UN</v>
      </c>
      <c r="D12248" s="7">
        <v>401</v>
      </c>
      <c r="E12248" s="3">
        <v>4</v>
      </c>
      <c r="F12248" s="3">
        <v>4</v>
      </c>
      <c r="G12248" t="s">
        <v>512</v>
      </c>
    </row>
    <row r="12249" spans="1:7" x14ac:dyDescent="0.25">
      <c r="A12249" s="1" t="str">
        <f>"509256"</f>
        <v>509256</v>
      </c>
      <c r="B12249" s="2" t="str">
        <f>"GRANITO AMARELO 101,5X22 POLIDO"</f>
        <v>GRANITO AMARELO 101,5X22 POLIDO</v>
      </c>
      <c r="C12249" s="2" t="str">
        <f t="shared" si="480"/>
        <v>UN</v>
      </c>
      <c r="D12249" s="7">
        <v>803</v>
      </c>
      <c r="E12249" s="3">
        <v>10</v>
      </c>
      <c r="F12249" s="3">
        <v>10</v>
      </c>
      <c r="G12249" t="s">
        <v>513</v>
      </c>
    </row>
    <row r="12250" spans="1:7" x14ac:dyDescent="0.25">
      <c r="A12250" s="1" t="str">
        <f>"509254"</f>
        <v>509254</v>
      </c>
      <c r="B12250" s="2" t="str">
        <f>"GRANITO AMARELO 152X22 POLIDO"</f>
        <v>GRANITO AMARELO 152X22 POLIDO</v>
      </c>
      <c r="C12250" s="2" t="str">
        <f t="shared" si="480"/>
        <v>UN</v>
      </c>
      <c r="D12250" s="7">
        <v>803</v>
      </c>
      <c r="E12250" s="3">
        <v>10</v>
      </c>
      <c r="F12250" s="3">
        <v>10</v>
      </c>
      <c r="G12250" t="s">
        <v>514</v>
      </c>
    </row>
    <row r="12251" spans="1:7" x14ac:dyDescent="0.25">
      <c r="A12251" s="1" t="str">
        <f>"509253"</f>
        <v>509253</v>
      </c>
      <c r="B12251" s="2" t="str">
        <f>"GRANITO AMARELO 168X22 POLIDO"</f>
        <v>GRANITO AMARELO 168X22 POLIDO</v>
      </c>
      <c r="C12251" s="2" t="str">
        <f t="shared" si="480"/>
        <v>UN</v>
      </c>
      <c r="D12251" s="7">
        <v>803</v>
      </c>
      <c r="E12251" s="3">
        <v>10</v>
      </c>
      <c r="F12251" s="3">
        <v>10</v>
      </c>
      <c r="G12251" t="s">
        <v>514</v>
      </c>
    </row>
    <row r="12252" spans="1:7" x14ac:dyDescent="0.25">
      <c r="A12252" s="1" t="str">
        <f>"509255"</f>
        <v>509255</v>
      </c>
      <c r="B12252" s="2" t="str">
        <f>"GRANITO AMARELO 79X22 POLIDO"</f>
        <v>GRANITO AMARELO 79X22 POLIDO</v>
      </c>
      <c r="C12252" s="2" t="str">
        <f t="shared" si="480"/>
        <v>UN</v>
      </c>
      <c r="D12252" s="7">
        <v>803</v>
      </c>
      <c r="E12252" s="3">
        <v>10</v>
      </c>
      <c r="F12252" s="3">
        <v>10</v>
      </c>
      <c r="G12252" t="s">
        <v>514</v>
      </c>
    </row>
    <row r="12253" spans="1:7" x14ac:dyDescent="0.25">
      <c r="A12253" s="1" t="str">
        <f>"509250"</f>
        <v>509250</v>
      </c>
      <c r="B12253" s="2" t="str">
        <f>"GRANITO CINZA 100X25 DUPLO"</f>
        <v>GRANITO CINZA 100X25 DUPLO</v>
      </c>
      <c r="C12253" s="2" t="str">
        <f t="shared" si="480"/>
        <v>UN</v>
      </c>
      <c r="D12253" s="7">
        <v>601</v>
      </c>
      <c r="E12253" s="3">
        <v>10</v>
      </c>
      <c r="F12253" s="3">
        <v>10</v>
      </c>
      <c r="G12253" t="s">
        <v>513</v>
      </c>
    </row>
    <row r="12254" spans="1:7" x14ac:dyDescent="0.25">
      <c r="A12254" s="1" t="str">
        <f>"509249"</f>
        <v>509249</v>
      </c>
      <c r="B12254" s="2" t="str">
        <f>"GRANITO CINZA 180X70 DUPLO"</f>
        <v>GRANITO CINZA 180X70 DUPLO</v>
      </c>
      <c r="C12254" s="2" t="str">
        <f>"BR"</f>
        <v>BR</v>
      </c>
      <c r="D12254" s="7">
        <v>808</v>
      </c>
      <c r="E12254" s="3">
        <v>10</v>
      </c>
      <c r="F12254" s="3">
        <v>10</v>
      </c>
      <c r="G12254" t="s">
        <v>513</v>
      </c>
    </row>
    <row r="12255" spans="1:7" x14ac:dyDescent="0.25">
      <c r="A12255" s="1" t="str">
        <f>"509252"</f>
        <v>509252</v>
      </c>
      <c r="B12255" s="2" t="str">
        <f>"GRANITO CINZA 380X85 POLIDO"</f>
        <v>GRANITO CINZA 380X85 POLIDO</v>
      </c>
      <c r="C12255" s="2" t="str">
        <f>"UN"</f>
        <v>UN</v>
      </c>
      <c r="D12255" s="7">
        <v>803</v>
      </c>
      <c r="E12255" s="3">
        <v>10</v>
      </c>
      <c r="F12255" s="3">
        <v>10</v>
      </c>
      <c r="G12255" t="s">
        <v>513</v>
      </c>
    </row>
    <row r="12256" spans="1:7" x14ac:dyDescent="0.25">
      <c r="A12256" s="1" t="str">
        <f>"509251"</f>
        <v>509251</v>
      </c>
      <c r="B12256" s="2" t="str">
        <f>"GRANITO CINZA 60X30 DUPLO"</f>
        <v>GRANITO CINZA 60X30 DUPLO</v>
      </c>
      <c r="C12256" s="2" t="str">
        <f>"UN"</f>
        <v>UN</v>
      </c>
      <c r="D12256" s="7">
        <v>803</v>
      </c>
      <c r="E12256" s="3">
        <v>10</v>
      </c>
      <c r="F12256" s="3">
        <v>10</v>
      </c>
      <c r="G12256" t="s">
        <v>512</v>
      </c>
    </row>
    <row r="12257" spans="1:7" x14ac:dyDescent="0.25">
      <c r="A12257" s="1" t="str">
        <f>"514573"</f>
        <v>514573</v>
      </c>
      <c r="B12257" s="2" t="str">
        <f>"GRANOLA"</f>
        <v>GRANOLA</v>
      </c>
      <c r="C12257" s="2" t="str">
        <f>"UN"</f>
        <v>UN</v>
      </c>
      <c r="D12257" s="7">
        <v>401</v>
      </c>
      <c r="E12257" s="3">
        <v>4</v>
      </c>
      <c r="F12257" s="3">
        <v>4</v>
      </c>
      <c r="G12257" t="s">
        <v>513</v>
      </c>
    </row>
    <row r="12258" spans="1:7" x14ac:dyDescent="0.25">
      <c r="A12258" s="1" t="str">
        <f>"988"</f>
        <v>988</v>
      </c>
      <c r="B12258" s="2" t="str">
        <f>"GRANOLA FLAKES TRADICIONAL CÓD. PA026C 15X1000GR"</f>
        <v>GRANOLA FLAKES TRADICIONAL CÓD. PA026C 15X1000GR</v>
      </c>
      <c r="C12258" s="2" t="str">
        <f>"KG"</f>
        <v>KG</v>
      </c>
      <c r="D12258" s="7">
        <v>217</v>
      </c>
      <c r="E12258" s="3">
        <v>2</v>
      </c>
      <c r="F12258" s="3">
        <v>2</v>
      </c>
      <c r="G12258" t="s">
        <v>514</v>
      </c>
    </row>
    <row r="12259" spans="1:7" x14ac:dyDescent="0.25">
      <c r="A12259" s="1" t="str">
        <f>"515028"</f>
        <v>515028</v>
      </c>
      <c r="B12259" s="2" t="str">
        <f>"GRANULADO DORI (4 X 1KG)"</f>
        <v>GRANULADO DORI (4 X 1KG)</v>
      </c>
      <c r="C12259" s="2" t="str">
        <f>"KG"</f>
        <v>KG</v>
      </c>
      <c r="D12259" s="7">
        <v>217</v>
      </c>
      <c r="E12259" s="3">
        <v>2</v>
      </c>
      <c r="F12259" s="3">
        <v>2</v>
      </c>
      <c r="G12259" t="s">
        <v>515</v>
      </c>
    </row>
    <row r="12260" spans="1:7" x14ac:dyDescent="0.25">
      <c r="A12260" s="1" t="str">
        <f>"523357"</f>
        <v>523357</v>
      </c>
      <c r="B12260" s="2" t="str">
        <f>"GRAUTE PEDRISCO 25 KG"</f>
        <v>GRAUTE PEDRISCO 25 KG</v>
      </c>
      <c r="C12260" s="2" t="str">
        <f t="shared" ref="C12260:C12267" si="481">"UN"</f>
        <v>UN</v>
      </c>
      <c r="D12260" s="7">
        <v>803</v>
      </c>
      <c r="E12260" s="3">
        <v>10</v>
      </c>
      <c r="F12260" s="3">
        <v>10</v>
      </c>
      <c r="G12260" t="s">
        <v>512</v>
      </c>
    </row>
    <row r="12261" spans="1:7" x14ac:dyDescent="0.25">
      <c r="A12261" s="1" t="str">
        <f>"514629"</f>
        <v>514629</v>
      </c>
      <c r="B12261" s="2" t="str">
        <f>"GRAV. DO MILENIO 61"</f>
        <v>GRAV. DO MILENIO 61</v>
      </c>
      <c r="C12261" s="2" t="str">
        <f t="shared" si="481"/>
        <v>UN</v>
      </c>
      <c r="D12261" s="7">
        <v>401</v>
      </c>
      <c r="E12261" s="3">
        <v>4</v>
      </c>
      <c r="F12261" s="3">
        <v>4</v>
      </c>
      <c r="G12261" t="s">
        <v>516</v>
      </c>
    </row>
    <row r="12262" spans="1:7" x14ac:dyDescent="0.25">
      <c r="A12262" s="1" t="str">
        <f>"514628"</f>
        <v>514628</v>
      </c>
      <c r="B12262" s="2" t="str">
        <f>"GRAV. EM RELEVO CENTRALIZADO"</f>
        <v>GRAV. EM RELEVO CENTRALIZADO</v>
      </c>
      <c r="C12262" s="2" t="str">
        <f t="shared" si="481"/>
        <v>UN</v>
      </c>
      <c r="D12262" s="7">
        <v>401</v>
      </c>
      <c r="E12262" s="3">
        <v>4</v>
      </c>
      <c r="F12262" s="3">
        <v>4</v>
      </c>
      <c r="G12262" t="s">
        <v>515</v>
      </c>
    </row>
    <row r="12263" spans="1:7" x14ac:dyDescent="0.25">
      <c r="A12263" s="1" t="str">
        <f>"521586"</f>
        <v>521586</v>
      </c>
      <c r="B12263" s="2" t="str">
        <f>"GRAVAÇÃO EM HOT. COR PRATA SUPERIOR CENTRALIZADO"</f>
        <v>GRAVAÇÃO EM HOT. COR PRATA SUPERIOR CENTRALIZADO</v>
      </c>
      <c r="C12263" s="2" t="str">
        <f t="shared" si="481"/>
        <v>UN</v>
      </c>
      <c r="D12263" s="7">
        <v>99999</v>
      </c>
      <c r="E12263" s="3">
        <v>99</v>
      </c>
      <c r="F12263" s="3">
        <v>99</v>
      </c>
      <c r="G12263" t="s">
        <v>514</v>
      </c>
    </row>
    <row r="12264" spans="1:7" x14ac:dyDescent="0.25">
      <c r="A12264" s="1" t="str">
        <f>"518315"</f>
        <v>518315</v>
      </c>
      <c r="B12264" s="2" t="str">
        <f>"GRAVADOR DE DVD P/ SATA"</f>
        <v>GRAVADOR DE DVD P/ SATA</v>
      </c>
      <c r="C12264" s="2" t="str">
        <f t="shared" si="481"/>
        <v>UN</v>
      </c>
      <c r="D12264" s="7">
        <v>811</v>
      </c>
      <c r="E12264" s="3">
        <v>8</v>
      </c>
      <c r="F12264" s="3">
        <v>8</v>
      </c>
      <c r="G12264" t="s">
        <v>512</v>
      </c>
    </row>
    <row r="12265" spans="1:7" x14ac:dyDescent="0.25">
      <c r="A12265" s="1" t="str">
        <f>"517153"</f>
        <v>517153</v>
      </c>
      <c r="B12265" s="2" t="str">
        <f>"GRAVADOR DE IMAGENS 16 CANAIS PHOENIX"</f>
        <v>GRAVADOR DE IMAGENS 16 CANAIS PHOENIX</v>
      </c>
      <c r="C12265" s="2" t="str">
        <f t="shared" si="481"/>
        <v>UN</v>
      </c>
      <c r="D12265" s="7">
        <v>811</v>
      </c>
      <c r="E12265" s="3">
        <v>8</v>
      </c>
      <c r="F12265" s="3">
        <v>8</v>
      </c>
      <c r="G12265" t="s">
        <v>513</v>
      </c>
    </row>
    <row r="12266" spans="1:7" x14ac:dyDescent="0.25">
      <c r="A12266" s="1" t="str">
        <f>"523971"</f>
        <v>523971</v>
      </c>
      <c r="B12266" s="2" t="str">
        <f>"GRAVADOR PEÇAS WESTERN"</f>
        <v>GRAVADOR PEÇAS WESTERN</v>
      </c>
      <c r="C12266" s="2" t="str">
        <f t="shared" si="481"/>
        <v>UN</v>
      </c>
      <c r="D12266" s="7">
        <v>99999</v>
      </c>
      <c r="E12266" s="3">
        <v>99</v>
      </c>
      <c r="F12266" s="3">
        <v>99</v>
      </c>
      <c r="G12266" t="s">
        <v>514</v>
      </c>
    </row>
    <row r="12267" spans="1:7" x14ac:dyDescent="0.25">
      <c r="A12267" s="1" t="str">
        <f>"514295"</f>
        <v>514295</v>
      </c>
      <c r="B12267" s="2" t="str">
        <f>"GRAXA"</f>
        <v>GRAXA</v>
      </c>
      <c r="C12267" s="2" t="str">
        <f t="shared" si="481"/>
        <v>UN</v>
      </c>
      <c r="D12267" s="7">
        <v>704</v>
      </c>
      <c r="E12267" s="3">
        <v>9</v>
      </c>
      <c r="F12267" s="3">
        <v>9</v>
      </c>
      <c r="G12267" t="s">
        <v>514</v>
      </c>
    </row>
    <row r="12268" spans="1:7" x14ac:dyDescent="0.25">
      <c r="A12268" s="1" t="str">
        <f>"520244"</f>
        <v>520244</v>
      </c>
      <c r="B12268" s="2" t="str">
        <f>"GRAXA  CHASSIS CA2  BALDE 18KG"</f>
        <v>GRAXA  CHASSIS CA2  BALDE 18KG</v>
      </c>
      <c r="C12268" s="2" t="str">
        <f>"KG"</f>
        <v>KG</v>
      </c>
      <c r="D12268" s="7">
        <v>702</v>
      </c>
      <c r="E12268" s="3">
        <v>9</v>
      </c>
      <c r="F12268" s="3">
        <v>9</v>
      </c>
      <c r="G12268" t="s">
        <v>512</v>
      </c>
    </row>
    <row r="12269" spans="1:7" x14ac:dyDescent="0.25">
      <c r="A12269" s="1" t="str">
        <f>"512570"</f>
        <v>512570</v>
      </c>
      <c r="B12269" s="2" t="str">
        <f>"GRAXA ALIMENTICIA KLUBER UHI"</f>
        <v>GRAXA ALIMENTICIA KLUBER UHI</v>
      </c>
      <c r="C12269" s="2" t="str">
        <f>"GL"</f>
        <v>GL</v>
      </c>
      <c r="D12269" s="7">
        <v>903</v>
      </c>
      <c r="E12269" s="3">
        <v>11</v>
      </c>
      <c r="F12269" s="3">
        <v>11</v>
      </c>
      <c r="G12269" t="s">
        <v>513</v>
      </c>
    </row>
    <row r="12270" spans="1:7" x14ac:dyDescent="0.25">
      <c r="A12270" s="1" t="str">
        <f>"512439"</f>
        <v>512439</v>
      </c>
      <c r="B12270" s="2" t="str">
        <f>"GRAXA ALIMENTICIA P/ ALTA TEMPERATURA"</f>
        <v>GRAXA ALIMENTICIA P/ ALTA TEMPERATURA</v>
      </c>
      <c r="C12270" s="2" t="str">
        <f>"UN"</f>
        <v>UN</v>
      </c>
      <c r="D12270" s="7">
        <v>99999</v>
      </c>
      <c r="E12270" s="3">
        <v>99</v>
      </c>
      <c r="F12270" s="3">
        <v>99</v>
      </c>
      <c r="G12270" t="s">
        <v>514</v>
      </c>
    </row>
    <row r="12271" spans="1:7" x14ac:dyDescent="0.25">
      <c r="A12271" s="1" t="str">
        <f>"512485"</f>
        <v>512485</v>
      </c>
      <c r="B12271" s="2" t="str">
        <f>"GRAXA ALIMENTICIA WG-3221-FG 400GR"</f>
        <v>GRAXA ALIMENTICIA WG-3221-FG 400GR</v>
      </c>
      <c r="C12271" s="2" t="str">
        <f>"GL"</f>
        <v>GL</v>
      </c>
      <c r="D12271" s="7">
        <v>903</v>
      </c>
      <c r="E12271" s="3">
        <v>11</v>
      </c>
      <c r="F12271" s="3">
        <v>11</v>
      </c>
      <c r="G12271" t="s">
        <v>514</v>
      </c>
    </row>
    <row r="12272" spans="1:7" x14ac:dyDescent="0.25">
      <c r="A12272" s="1" t="str">
        <f>"508224"</f>
        <v>508224</v>
      </c>
      <c r="B12272" s="2" t="str">
        <f>"GRAXA ATOXICA ALIMENTICIA 500GR"</f>
        <v>GRAXA ATOXICA ALIMENTICIA 500GR</v>
      </c>
      <c r="C12272" s="2" t="str">
        <f>"UN"</f>
        <v>UN</v>
      </c>
      <c r="D12272" s="7">
        <v>812</v>
      </c>
      <c r="E12272" s="3">
        <v>10</v>
      </c>
      <c r="F12272" s="3">
        <v>10</v>
      </c>
      <c r="G12272" t="s">
        <v>514</v>
      </c>
    </row>
    <row r="12273" spans="1:7" x14ac:dyDescent="0.25">
      <c r="A12273" s="1" t="str">
        <f>"520245"</f>
        <v>520245</v>
      </c>
      <c r="B12273" s="2" t="str">
        <f>"GRAXA AUTOMOTIVA E INDUSTRIAL  BALDE 20KG TUTELA"</f>
        <v>GRAXA AUTOMOTIVA E INDUSTRIAL  BALDE 20KG TUTELA</v>
      </c>
      <c r="C12273" s="2" t="str">
        <f>"KG"</f>
        <v>KG</v>
      </c>
      <c r="D12273" s="7">
        <v>702</v>
      </c>
      <c r="E12273" s="3">
        <v>9</v>
      </c>
      <c r="F12273" s="3">
        <v>9</v>
      </c>
      <c r="G12273" t="s">
        <v>513</v>
      </c>
    </row>
    <row r="12274" spans="1:7" x14ac:dyDescent="0.25">
      <c r="A12274" s="1" t="str">
        <f>"512440"</f>
        <v>512440</v>
      </c>
      <c r="B12274" s="2" t="str">
        <f>"GRAXA BRANCA 200L 1KG"</f>
        <v>GRAXA BRANCA 200L 1KG</v>
      </c>
      <c r="C12274" s="2" t="str">
        <f>"GL"</f>
        <v>GL</v>
      </c>
      <c r="D12274" s="7">
        <v>903</v>
      </c>
      <c r="E12274" s="3">
        <v>11</v>
      </c>
      <c r="F12274" s="3">
        <v>11</v>
      </c>
      <c r="G12274" t="s">
        <v>512</v>
      </c>
    </row>
    <row r="12275" spans="1:7" x14ac:dyDescent="0.25">
      <c r="A12275" s="1" t="str">
        <f>"515936"</f>
        <v>515936</v>
      </c>
      <c r="B12275" s="2" t="str">
        <f>"GRAXA COMPLEXO DE LITIO 1KG W-CL"</f>
        <v>GRAXA COMPLEXO DE LITIO 1KG W-CL</v>
      </c>
      <c r="C12275" s="2" t="str">
        <f>"UN"</f>
        <v>UN</v>
      </c>
      <c r="D12275" s="7">
        <v>99999</v>
      </c>
      <c r="E12275" s="3">
        <v>10</v>
      </c>
      <c r="F12275" s="3">
        <v>10</v>
      </c>
      <c r="G12275" t="s">
        <v>513</v>
      </c>
    </row>
    <row r="12276" spans="1:7" x14ac:dyDescent="0.25">
      <c r="A12276" s="1" t="str">
        <f>"519799"</f>
        <v>519799</v>
      </c>
      <c r="B12276" s="2" t="str">
        <f>"GRAXA COMPLEXO DE LITIO EXTREMA PRESSÃO 1KG W-CL"</f>
        <v>GRAXA COMPLEXO DE LITIO EXTREMA PRESSÃO 1KG W-CL</v>
      </c>
      <c r="C12276" s="2" t="str">
        <f>"UN"</f>
        <v>UN</v>
      </c>
      <c r="D12276" s="7">
        <v>99999</v>
      </c>
      <c r="E12276" s="3">
        <v>99</v>
      </c>
      <c r="F12276" s="3">
        <v>99</v>
      </c>
      <c r="G12276" t="s">
        <v>514</v>
      </c>
    </row>
    <row r="12277" spans="1:7" x14ac:dyDescent="0.25">
      <c r="A12277" s="1" t="str">
        <f>"521901"</f>
        <v>521901</v>
      </c>
      <c r="B12277" s="8" t="s">
        <v>244</v>
      </c>
      <c r="C12277" s="2" t="str">
        <f>"GL"</f>
        <v>GL</v>
      </c>
      <c r="D12277" s="7">
        <v>903</v>
      </c>
      <c r="E12277" s="3">
        <v>11</v>
      </c>
      <c r="F12277" s="3">
        <v>11</v>
      </c>
      <c r="G12277" t="s">
        <v>514</v>
      </c>
    </row>
    <row r="12278" spans="1:7" x14ac:dyDescent="0.25">
      <c r="A12278" s="1" t="str">
        <f>"518511"</f>
        <v>518511</v>
      </c>
      <c r="B12278" s="2" t="str">
        <f>"GRAXA INCOL CHASSIS CH2 - TAMBOR 170KG"</f>
        <v>GRAXA INCOL CHASSIS CH2 - TAMBOR 170KG</v>
      </c>
      <c r="C12278" s="2" t="str">
        <f>"KG"</f>
        <v>KG</v>
      </c>
      <c r="D12278" s="7">
        <v>702</v>
      </c>
      <c r="E12278" s="3">
        <v>9</v>
      </c>
      <c r="F12278" s="3">
        <v>9</v>
      </c>
      <c r="G12278" t="s">
        <v>514</v>
      </c>
    </row>
    <row r="12279" spans="1:7" x14ac:dyDescent="0.25">
      <c r="A12279" s="1" t="str">
        <f>"517412"</f>
        <v>517412</v>
      </c>
      <c r="B12279" s="8" t="s">
        <v>90</v>
      </c>
      <c r="C12279" s="2" t="str">
        <f>"UN"</f>
        <v>UN</v>
      </c>
      <c r="D12279" s="7">
        <v>918</v>
      </c>
      <c r="E12279" s="3">
        <v>11</v>
      </c>
      <c r="F12279" s="3">
        <v>11</v>
      </c>
      <c r="G12279" t="s">
        <v>513</v>
      </c>
    </row>
    <row r="12280" spans="1:7" x14ac:dyDescent="0.25">
      <c r="A12280" s="1" t="str">
        <f>"505750"</f>
        <v>505750</v>
      </c>
      <c r="B12280" s="2" t="str">
        <f>"GRAXA LIQUIDA 200ML"</f>
        <v>GRAXA LIQUIDA 200ML</v>
      </c>
      <c r="C12280" s="2" t="str">
        <f>"UN"</f>
        <v>UN</v>
      </c>
      <c r="D12280" s="7">
        <v>402</v>
      </c>
      <c r="E12280" s="3">
        <v>4</v>
      </c>
      <c r="F12280" s="3">
        <v>4</v>
      </c>
      <c r="G12280" t="s">
        <v>513</v>
      </c>
    </row>
    <row r="12281" spans="1:7" x14ac:dyDescent="0.25">
      <c r="A12281" s="1" t="str">
        <f>"518885"</f>
        <v>518885</v>
      </c>
      <c r="B12281" s="2" t="str">
        <f>"GRAXA LITHOLINE MP  - TAMBOR 170KG"</f>
        <v>GRAXA LITHOLINE MP  - TAMBOR 170KG</v>
      </c>
      <c r="C12281" s="2" t="str">
        <f>"KG"</f>
        <v>KG</v>
      </c>
      <c r="D12281" s="7">
        <v>702</v>
      </c>
      <c r="E12281" s="3">
        <v>9</v>
      </c>
      <c r="F12281" s="3">
        <v>9</v>
      </c>
      <c r="G12281" t="s">
        <v>513</v>
      </c>
    </row>
    <row r="12282" spans="1:7" x14ac:dyDescent="0.25">
      <c r="A12282" s="1" t="str">
        <f>"512767"</f>
        <v>512767</v>
      </c>
      <c r="B12282" s="2" t="str">
        <f>"GRAXA LUBRIFICANTE SEMI FLUIDA SABAO LITIO MAXLUB 12846"</f>
        <v>GRAXA LUBRIFICANTE SEMI FLUIDA SABAO LITIO MAXLUB 12846</v>
      </c>
      <c r="C12282" s="2" t="str">
        <f>"GL"</f>
        <v>GL</v>
      </c>
      <c r="D12282" s="7">
        <v>903</v>
      </c>
      <c r="E12282" s="3">
        <v>4</v>
      </c>
      <c r="F12282" s="3">
        <v>4</v>
      </c>
      <c r="G12282" t="s">
        <v>512</v>
      </c>
    </row>
    <row r="12283" spans="1:7" x14ac:dyDescent="0.25">
      <c r="A12283" s="1" t="str">
        <f>"519376"</f>
        <v>519376</v>
      </c>
      <c r="B12283" s="2" t="str">
        <f>"GRAXA ROCOL GBE 2T 1KG"</f>
        <v>GRAXA ROCOL GBE 2T 1KG</v>
      </c>
      <c r="C12283" s="2" t="str">
        <f>"PÇ"</f>
        <v>PÇ</v>
      </c>
      <c r="D12283" s="7">
        <v>702</v>
      </c>
      <c r="E12283" s="3">
        <v>11</v>
      </c>
      <c r="F12283" s="3">
        <v>11</v>
      </c>
      <c r="G12283" t="s">
        <v>513</v>
      </c>
    </row>
    <row r="12284" spans="1:7" x14ac:dyDescent="0.25">
      <c r="A12284" s="1" t="str">
        <f>"525477"</f>
        <v>525477</v>
      </c>
      <c r="B12284" s="2" t="str">
        <f>"GRAXA ROCOL SAPPHIRE HI TEMP 2 - 1KG (04.06.002.001.005530)"</f>
        <v>GRAXA ROCOL SAPPHIRE HI TEMP 2 - 1KG (04.06.002.001.005530)</v>
      </c>
      <c r="C12284" s="2" t="str">
        <f>"UN"</f>
        <v>UN</v>
      </c>
      <c r="D12284" s="7">
        <v>903</v>
      </c>
      <c r="E12284" s="3">
        <v>11</v>
      </c>
      <c r="F12284" s="3">
        <v>11</v>
      </c>
      <c r="G12284" t="s">
        <v>514</v>
      </c>
    </row>
    <row r="12285" spans="1:7" x14ac:dyDescent="0.25">
      <c r="A12285" s="1" t="str">
        <f>"502558"</f>
        <v>502558</v>
      </c>
      <c r="B12285" s="2" t="str">
        <f>"GRAXA ROLAMENTO ALTA ROTACAO"</f>
        <v>GRAXA ROLAMENTO ALTA ROTACAO</v>
      </c>
      <c r="C12285" s="2" t="str">
        <f>"UN"</f>
        <v>UN</v>
      </c>
      <c r="D12285" s="7">
        <v>402</v>
      </c>
      <c r="E12285" s="3">
        <v>4</v>
      </c>
      <c r="F12285" s="3">
        <v>4</v>
      </c>
      <c r="G12285" t="s">
        <v>515</v>
      </c>
    </row>
    <row r="12286" spans="1:7" x14ac:dyDescent="0.25">
      <c r="A12286" s="1" t="str">
        <f>"512482"</f>
        <v>512482</v>
      </c>
      <c r="B12286" s="2" t="str">
        <f>"GRAXA SINTETICA ALIMENTICIA WG-1212-FG"</f>
        <v>GRAXA SINTETICA ALIMENTICIA WG-1212-FG</v>
      </c>
      <c r="C12286" s="2" t="str">
        <f>"GL"</f>
        <v>GL</v>
      </c>
      <c r="D12286" s="7">
        <v>903</v>
      </c>
      <c r="E12286" s="3">
        <v>11</v>
      </c>
      <c r="F12286" s="3">
        <v>11</v>
      </c>
      <c r="G12286" t="s">
        <v>512</v>
      </c>
    </row>
    <row r="12287" spans="1:7" x14ac:dyDescent="0.25">
      <c r="A12287" s="1" t="str">
        <f>"511108"</f>
        <v>511108</v>
      </c>
      <c r="B12287" s="2" t="str">
        <f>"GRAXA SINTETICA CHEMLUB 700/EP000 1K"</f>
        <v>GRAXA SINTETICA CHEMLUB 700/EP000 1K</v>
      </c>
      <c r="C12287" s="2" t="str">
        <f>"GL"</f>
        <v>GL</v>
      </c>
      <c r="D12287" s="7">
        <v>903</v>
      </c>
      <c r="E12287" s="3">
        <v>11</v>
      </c>
      <c r="F12287" s="3">
        <v>11</v>
      </c>
      <c r="G12287" t="s">
        <v>516</v>
      </c>
    </row>
    <row r="12288" spans="1:7" x14ac:dyDescent="0.25">
      <c r="A12288" s="1" t="str">
        <f>"521900"</f>
        <v>521900</v>
      </c>
      <c r="B12288" s="8" t="s">
        <v>243</v>
      </c>
      <c r="C12288" s="2" t="str">
        <f>"GL"</f>
        <v>GL</v>
      </c>
      <c r="D12288" s="7">
        <v>903</v>
      </c>
      <c r="E12288" s="3">
        <v>11</v>
      </c>
      <c r="F12288" s="3">
        <v>11</v>
      </c>
      <c r="G12288" t="s">
        <v>515</v>
      </c>
    </row>
    <row r="12289" spans="1:7" x14ac:dyDescent="0.25">
      <c r="A12289" s="1" t="str">
        <f>"512407"</f>
        <v>512407</v>
      </c>
      <c r="B12289" s="8" t="s">
        <v>36</v>
      </c>
      <c r="C12289" s="2" t="str">
        <f t="shared" ref="C12289:C12294" si="482">"UN"</f>
        <v>UN</v>
      </c>
      <c r="D12289" s="7">
        <v>600</v>
      </c>
      <c r="E12289" s="3">
        <v>8</v>
      </c>
      <c r="F12289" s="3">
        <v>8</v>
      </c>
      <c r="G12289" t="s">
        <v>514</v>
      </c>
    </row>
    <row r="12290" spans="1:7" x14ac:dyDescent="0.25">
      <c r="A12290" s="1" t="str">
        <f>"501721"</f>
        <v>501721</v>
      </c>
      <c r="B12290" s="2" t="str">
        <f>"GRAXA UNIGRAX BALDE 20KG"</f>
        <v>GRAXA UNIGRAX BALDE 20KG</v>
      </c>
      <c r="C12290" s="2" t="str">
        <f t="shared" si="482"/>
        <v>UN</v>
      </c>
      <c r="D12290" s="7">
        <v>402</v>
      </c>
      <c r="E12290" s="3">
        <v>4</v>
      </c>
      <c r="F12290" s="3">
        <v>4</v>
      </c>
      <c r="G12290" t="s">
        <v>512</v>
      </c>
    </row>
    <row r="12291" spans="1:7" x14ac:dyDescent="0.25">
      <c r="A12291" s="1" t="str">
        <f>"509066"</f>
        <v>509066</v>
      </c>
      <c r="B12291" s="2" t="str">
        <f>"GRAXEIRA 1/4 RETA"</f>
        <v>GRAXEIRA 1/4 RETA</v>
      </c>
      <c r="C12291" s="2" t="str">
        <f t="shared" si="482"/>
        <v>UN</v>
      </c>
      <c r="D12291" s="7">
        <v>99999</v>
      </c>
      <c r="E12291" s="3">
        <v>99</v>
      </c>
      <c r="F12291" s="3">
        <v>99</v>
      </c>
      <c r="G12291" t="s">
        <v>513</v>
      </c>
    </row>
    <row r="12292" spans="1:7" x14ac:dyDescent="0.25">
      <c r="A12292" s="1" t="str">
        <f>"501575"</f>
        <v>501575</v>
      </c>
      <c r="B12292" s="2" t="str">
        <f>"GRAXEIRA 3/8 RETA"</f>
        <v>GRAXEIRA 3/8 RETA</v>
      </c>
      <c r="C12292" s="2" t="str">
        <f t="shared" si="482"/>
        <v>UN</v>
      </c>
      <c r="D12292" s="7">
        <v>704</v>
      </c>
      <c r="E12292" s="3">
        <v>9</v>
      </c>
      <c r="F12292" s="3">
        <v>9</v>
      </c>
      <c r="G12292" t="s">
        <v>514</v>
      </c>
    </row>
    <row r="12293" spans="1:7" x14ac:dyDescent="0.25">
      <c r="A12293" s="1" t="str">
        <f>"527471"</f>
        <v>527471</v>
      </c>
      <c r="B12293" s="2" t="str">
        <f>"GRAXEIRA M10 X 1"</f>
        <v>GRAXEIRA M10 X 1</v>
      </c>
      <c r="C12293" s="2" t="str">
        <f t="shared" si="482"/>
        <v>UN</v>
      </c>
      <c r="D12293" s="7">
        <v>99999</v>
      </c>
      <c r="E12293" s="3">
        <v>13</v>
      </c>
      <c r="F12293" s="3">
        <v>13</v>
      </c>
      <c r="G12293" t="s">
        <v>514</v>
      </c>
    </row>
    <row r="12294" spans="1:7" x14ac:dyDescent="0.25">
      <c r="A12294" s="1" t="str">
        <f>"502023"</f>
        <v>502023</v>
      </c>
      <c r="B12294" s="2" t="str">
        <f>"GRAXETA RETA M1"</f>
        <v>GRAXETA RETA M1</v>
      </c>
      <c r="C12294" s="2" t="str">
        <f t="shared" si="482"/>
        <v>UN</v>
      </c>
      <c r="D12294" s="7">
        <v>704</v>
      </c>
      <c r="E12294" s="3">
        <v>9</v>
      </c>
      <c r="F12294" s="3">
        <v>9</v>
      </c>
      <c r="G12294" t="s">
        <v>512</v>
      </c>
    </row>
    <row r="12295" spans="1:7" x14ac:dyDescent="0.25">
      <c r="A12295" s="1" t="str">
        <f>"526455"</f>
        <v>526455</v>
      </c>
      <c r="B12295" s="2" t="str">
        <f>"GRD-100 - GERADOR 4/20 MA"</f>
        <v>GRD-100 - GERADOR 4/20 MA</v>
      </c>
      <c r="C12295" s="2" t="str">
        <f>"BR"</f>
        <v>BR</v>
      </c>
      <c r="D12295" s="7">
        <v>808</v>
      </c>
      <c r="E12295" s="3">
        <v>10</v>
      </c>
      <c r="F12295" s="3">
        <v>10</v>
      </c>
      <c r="G12295" t="s">
        <v>513</v>
      </c>
    </row>
    <row r="12296" spans="1:7" x14ac:dyDescent="0.25">
      <c r="A12296" s="1" t="str">
        <f>"511223"</f>
        <v>511223</v>
      </c>
      <c r="B12296" s="2" t="str">
        <f>"GREASING NIPLE COD. 27662"</f>
        <v>GREASING NIPLE COD. 27662</v>
      </c>
      <c r="C12296" s="2" t="str">
        <f t="shared" ref="C12296:C12303" si="483">"UN"</f>
        <v>UN</v>
      </c>
      <c r="D12296" s="7">
        <v>918</v>
      </c>
      <c r="E12296" s="3">
        <v>11</v>
      </c>
      <c r="F12296" s="3">
        <v>11</v>
      </c>
      <c r="G12296" t="s">
        <v>514</v>
      </c>
    </row>
    <row r="12297" spans="1:7" x14ac:dyDescent="0.25">
      <c r="A12297" s="1" t="str">
        <f>"512125"</f>
        <v>512125</v>
      </c>
      <c r="B12297" s="2" t="str">
        <f>"GRELHA C/ FILTRO 130X130MM COD.96120"</f>
        <v>GRELHA C/ FILTRO 130X130MM COD.96120</v>
      </c>
      <c r="C12297" s="2" t="str">
        <f t="shared" si="483"/>
        <v>UN</v>
      </c>
      <c r="D12297" s="7">
        <v>600</v>
      </c>
      <c r="E12297" s="3">
        <v>8</v>
      </c>
      <c r="F12297" s="3">
        <v>8</v>
      </c>
      <c r="G12297" t="s">
        <v>514</v>
      </c>
    </row>
    <row r="12298" spans="1:7" x14ac:dyDescent="0.25">
      <c r="A12298" s="1" t="str">
        <f>"512523"</f>
        <v>512523</v>
      </c>
      <c r="B12298" s="2" t="str">
        <f>"GRELHA C/ FILTRO 203X203 COD 96220"</f>
        <v>GRELHA C/ FILTRO 203X203 COD 96220</v>
      </c>
      <c r="C12298" s="2" t="str">
        <f t="shared" si="483"/>
        <v>UN</v>
      </c>
      <c r="D12298" s="7">
        <v>600</v>
      </c>
      <c r="E12298" s="3">
        <v>8</v>
      </c>
      <c r="F12298" s="3">
        <v>8</v>
      </c>
      <c r="G12298" t="s">
        <v>514</v>
      </c>
    </row>
    <row r="12299" spans="1:7" x14ac:dyDescent="0.25">
      <c r="A12299" s="1" t="str">
        <f>"517032"</f>
        <v>517032</v>
      </c>
      <c r="B12299" s="2" t="str">
        <f>"GRELHA C/ FILTRO 255MM"</f>
        <v>GRELHA C/ FILTRO 255MM</v>
      </c>
      <c r="C12299" s="2" t="str">
        <f t="shared" si="483"/>
        <v>UN</v>
      </c>
      <c r="D12299" s="7">
        <v>811</v>
      </c>
      <c r="E12299" s="3">
        <v>8</v>
      </c>
      <c r="F12299" s="3">
        <v>8</v>
      </c>
      <c r="G12299" t="s">
        <v>513</v>
      </c>
    </row>
    <row r="12300" spans="1:7" x14ac:dyDescent="0.25">
      <c r="A12300" s="1" t="str">
        <f>"517909"</f>
        <v>517909</v>
      </c>
      <c r="B12300" s="2" t="str">
        <f>"GRELHA C/ FILTRO P/ VENTILADOR 150X150MM"</f>
        <v>GRELHA C/ FILTRO P/ VENTILADOR 150X150MM</v>
      </c>
      <c r="C12300" s="2" t="str">
        <f t="shared" si="483"/>
        <v>UN</v>
      </c>
      <c r="D12300" s="7">
        <v>811</v>
      </c>
      <c r="E12300" s="3">
        <v>8</v>
      </c>
      <c r="F12300" s="3">
        <v>8</v>
      </c>
      <c r="G12300" t="s">
        <v>512</v>
      </c>
    </row>
    <row r="12301" spans="1:7" x14ac:dyDescent="0.25">
      <c r="A12301" s="1" t="str">
        <f>"517908"</f>
        <v>517908</v>
      </c>
      <c r="B12301" s="2" t="str">
        <f>"GRELHA C/ FILTRO P/ VENTILADOR 260X260MM"</f>
        <v>GRELHA C/ FILTRO P/ VENTILADOR 260X260MM</v>
      </c>
      <c r="C12301" s="2" t="str">
        <f t="shared" si="483"/>
        <v>UN</v>
      </c>
      <c r="D12301" s="7">
        <v>811</v>
      </c>
      <c r="E12301" s="3">
        <v>8</v>
      </c>
      <c r="F12301" s="3">
        <v>8</v>
      </c>
      <c r="G12301" t="s">
        <v>513</v>
      </c>
    </row>
    <row r="12302" spans="1:7" x14ac:dyDescent="0.25">
      <c r="A12302" s="1" t="str">
        <f>"518560"</f>
        <v>518560</v>
      </c>
      <c r="B12302" s="2" t="str">
        <f>"GRELHA P/ CALHA PINO 1,5 TON 0,5MT 200MM"</f>
        <v>GRELHA P/ CALHA PINO 1,5 TON 0,5MT 200MM</v>
      </c>
      <c r="C12302" s="2" t="str">
        <f t="shared" si="483"/>
        <v>UN</v>
      </c>
      <c r="D12302" s="7">
        <v>917</v>
      </c>
      <c r="E12302" s="3">
        <v>10</v>
      </c>
      <c r="F12302" s="3">
        <v>10</v>
      </c>
      <c r="G12302" t="s">
        <v>514</v>
      </c>
    </row>
    <row r="12303" spans="1:7" x14ac:dyDescent="0.25">
      <c r="A12303" s="1" t="str">
        <f>"519925"</f>
        <v>519925</v>
      </c>
      <c r="B12303" s="2" t="str">
        <f>"GRELHA P/ RALO 15CMX15CM ALUMINIO"</f>
        <v>GRELHA P/ RALO 15CMX15CM ALUMINIO</v>
      </c>
      <c r="C12303" s="2" t="str">
        <f t="shared" si="483"/>
        <v>UN</v>
      </c>
      <c r="D12303" s="7">
        <v>917</v>
      </c>
      <c r="E12303" s="3">
        <v>10</v>
      </c>
      <c r="F12303" s="3">
        <v>10</v>
      </c>
      <c r="G12303" t="s">
        <v>514</v>
      </c>
    </row>
    <row r="12304" spans="1:7" x14ac:dyDescent="0.25">
      <c r="A12304" s="1" t="str">
        <f>"527212"</f>
        <v>527212</v>
      </c>
      <c r="B12304" s="2" t="str">
        <f>"GRELHA PARA RALO TIGRE 150X150 COM BASE"</f>
        <v>GRELHA PARA RALO TIGRE 150X150 COM BASE</v>
      </c>
      <c r="C12304" s="2" t="str">
        <f>"PÇ"</f>
        <v>PÇ</v>
      </c>
      <c r="D12304" s="7">
        <v>809</v>
      </c>
      <c r="E12304" s="3">
        <v>10</v>
      </c>
      <c r="F12304" s="3">
        <v>10</v>
      </c>
      <c r="G12304" t="s">
        <v>514</v>
      </c>
    </row>
    <row r="12305" spans="1:7" x14ac:dyDescent="0.25">
      <c r="A12305" s="1" t="str">
        <f>"519924"</f>
        <v>519924</v>
      </c>
      <c r="B12305" s="2" t="str">
        <f>"GRELHA ROTATIVA P/ RALO 10CMX10CM INOX 304"</f>
        <v>GRELHA ROTATIVA P/ RALO 10CMX10CM INOX 304</v>
      </c>
      <c r="C12305" s="2" t="str">
        <f>"UN"</f>
        <v>UN</v>
      </c>
      <c r="D12305" s="7">
        <v>917</v>
      </c>
      <c r="E12305" s="3">
        <v>10</v>
      </c>
      <c r="F12305" s="3">
        <v>10</v>
      </c>
      <c r="G12305" t="s">
        <v>513</v>
      </c>
    </row>
    <row r="12306" spans="1:7" x14ac:dyDescent="0.25">
      <c r="A12306" s="1" t="str">
        <f>"519923"</f>
        <v>519923</v>
      </c>
      <c r="B12306" s="2" t="str">
        <f>"GRELHA ROTATIVA P/ RALO 15CMX15CM INOX 304"</f>
        <v>GRELHA ROTATIVA P/ RALO 15CMX15CM INOX 304</v>
      </c>
      <c r="C12306" s="2" t="str">
        <f>"UN"</f>
        <v>UN</v>
      </c>
      <c r="D12306" s="7">
        <v>917</v>
      </c>
      <c r="E12306" s="3">
        <v>10</v>
      </c>
      <c r="F12306" s="3">
        <v>10</v>
      </c>
      <c r="G12306" t="s">
        <v>513</v>
      </c>
    </row>
    <row r="12307" spans="1:7" x14ac:dyDescent="0.25">
      <c r="A12307" s="1" t="str">
        <f>"523791"</f>
        <v>523791</v>
      </c>
      <c r="B12307" s="2" t="str">
        <f>"GRILL"</f>
        <v>GRILL</v>
      </c>
      <c r="C12307" s="2" t="str">
        <f>"UN"</f>
        <v>UN</v>
      </c>
      <c r="D12307" s="7">
        <v>99999</v>
      </c>
      <c r="E12307" s="3">
        <v>99</v>
      </c>
      <c r="F12307" s="3">
        <v>99</v>
      </c>
      <c r="G12307" t="s">
        <v>513</v>
      </c>
    </row>
    <row r="12308" spans="1:7" x14ac:dyDescent="0.25">
      <c r="A12308" s="1" t="str">
        <f>"514354"</f>
        <v>514354</v>
      </c>
      <c r="B12308" s="2" t="str">
        <f>"GRINDSTED XANTHAN 200 - QUALA"</f>
        <v>GRINDSTED XANTHAN 200 - QUALA</v>
      </c>
      <c r="C12308" s="2" t="str">
        <f>"KG"</f>
        <v>KG</v>
      </c>
      <c r="D12308" s="7">
        <v>203</v>
      </c>
      <c r="E12308" s="3">
        <v>2</v>
      </c>
      <c r="F12308" s="3">
        <v>2</v>
      </c>
      <c r="G12308" t="s">
        <v>512</v>
      </c>
    </row>
    <row r="12309" spans="1:7" x14ac:dyDescent="0.25">
      <c r="A12309" s="1" t="str">
        <f>"6552"</f>
        <v>6552</v>
      </c>
      <c r="B12309" s="2" t="str">
        <f>"GRINDSTED XANTHAN 200 - QUALA"</f>
        <v>GRINDSTED XANTHAN 200 - QUALA</v>
      </c>
      <c r="C12309" s="2" t="str">
        <f>"KG"</f>
        <v>KG</v>
      </c>
      <c r="D12309" s="7">
        <v>203</v>
      </c>
      <c r="E12309" s="3">
        <v>2</v>
      </c>
      <c r="F12309" s="3">
        <v>2</v>
      </c>
      <c r="G12309" t="s">
        <v>513</v>
      </c>
    </row>
    <row r="12310" spans="1:7" x14ac:dyDescent="0.25">
      <c r="A12310" s="1" t="str">
        <f>"517759"</f>
        <v>517759</v>
      </c>
      <c r="B12310" s="2" t="str">
        <f>"GROSSA P/ MADEIRA 10"</f>
        <v>GROSSA P/ MADEIRA 10</v>
      </c>
      <c r="C12310" s="2" t="str">
        <f t="shared" ref="C12310:C12322" si="484">"UN"</f>
        <v>UN</v>
      </c>
      <c r="D12310" s="7">
        <v>920</v>
      </c>
      <c r="E12310" s="3">
        <v>4</v>
      </c>
      <c r="F12310" s="3">
        <v>4</v>
      </c>
      <c r="G12310" t="s">
        <v>514</v>
      </c>
    </row>
    <row r="12311" spans="1:7" x14ac:dyDescent="0.25">
      <c r="A12311" s="1" t="str">
        <f>"517758"</f>
        <v>517758</v>
      </c>
      <c r="B12311" s="2" t="str">
        <f>"GROSSA P/ MADEIRA 12"</f>
        <v>GROSSA P/ MADEIRA 12</v>
      </c>
      <c r="C12311" s="2" t="str">
        <f t="shared" si="484"/>
        <v>UN</v>
      </c>
      <c r="D12311" s="7">
        <v>920</v>
      </c>
      <c r="E12311" s="3">
        <v>4</v>
      </c>
      <c r="F12311" s="3">
        <v>4</v>
      </c>
      <c r="G12311" t="s">
        <v>515</v>
      </c>
    </row>
    <row r="12312" spans="1:7" x14ac:dyDescent="0.25">
      <c r="A12312" s="1" t="str">
        <f>"523572"</f>
        <v>523572</v>
      </c>
      <c r="B12312" s="2" t="str">
        <f>"GRUPO GERADOR LEÃO ENERGIA LGD250 SERIE 2014.1.225"</f>
        <v>GRUPO GERADOR LEÃO ENERGIA LGD250 SERIE 2014.1.225</v>
      </c>
      <c r="C12312" s="2" t="str">
        <f t="shared" si="484"/>
        <v>UN</v>
      </c>
      <c r="D12312" s="7">
        <v>99999</v>
      </c>
      <c r="E12312" s="3">
        <v>99</v>
      </c>
      <c r="F12312" s="3">
        <v>99</v>
      </c>
      <c r="G12312" t="s">
        <v>512</v>
      </c>
    </row>
    <row r="12313" spans="1:7" x14ac:dyDescent="0.25">
      <c r="A12313" s="1" t="str">
        <f>"503591"</f>
        <v>503591</v>
      </c>
      <c r="B12313" s="2" t="str">
        <f>"GUAIACOL 1%"</f>
        <v>GUAIACOL 1%</v>
      </c>
      <c r="C12313" s="2" t="str">
        <f t="shared" si="484"/>
        <v>UN</v>
      </c>
      <c r="D12313" s="7">
        <v>406</v>
      </c>
      <c r="E12313" s="3">
        <v>4</v>
      </c>
      <c r="F12313" s="3">
        <v>4</v>
      </c>
      <c r="G12313" t="s">
        <v>516</v>
      </c>
    </row>
    <row r="12314" spans="1:7" x14ac:dyDescent="0.25">
      <c r="A12314" s="1" t="str">
        <f>"523895"</f>
        <v>523895</v>
      </c>
      <c r="B12314" s="2" t="str">
        <f>"GUARDA CHUVA"</f>
        <v>GUARDA CHUVA</v>
      </c>
      <c r="C12314" s="2" t="str">
        <f t="shared" si="484"/>
        <v>UN</v>
      </c>
      <c r="D12314" s="7">
        <v>99999</v>
      </c>
      <c r="E12314" s="3">
        <v>99</v>
      </c>
      <c r="F12314" s="3">
        <v>99</v>
      </c>
      <c r="G12314" t="s">
        <v>515</v>
      </c>
    </row>
    <row r="12315" spans="1:7" x14ac:dyDescent="0.25">
      <c r="A12315" s="1" t="str">
        <f>"525420"</f>
        <v>525420</v>
      </c>
      <c r="B12315" s="2" t="str">
        <f>"GUARDA CORPO"</f>
        <v>GUARDA CORPO</v>
      </c>
      <c r="C12315" s="2" t="str">
        <f t="shared" si="484"/>
        <v>UN</v>
      </c>
      <c r="D12315" s="7">
        <v>99999</v>
      </c>
      <c r="E12315" s="3">
        <v>99</v>
      </c>
      <c r="F12315" s="3">
        <v>99</v>
      </c>
      <c r="G12315" t="s">
        <v>514</v>
      </c>
    </row>
    <row r="12316" spans="1:7" x14ac:dyDescent="0.25">
      <c r="A12316" s="1" t="str">
        <f>"522572"</f>
        <v>522572</v>
      </c>
      <c r="B12316" s="2" t="str">
        <f>"GUARDA CORPO P/ ANDAIME 1,50MT"</f>
        <v>GUARDA CORPO P/ ANDAIME 1,50MT</v>
      </c>
      <c r="C12316" s="2" t="str">
        <f t="shared" si="484"/>
        <v>UN</v>
      </c>
      <c r="D12316" s="7">
        <v>919</v>
      </c>
      <c r="E12316" s="3">
        <v>4</v>
      </c>
      <c r="F12316" s="3">
        <v>4</v>
      </c>
      <c r="G12316" t="s">
        <v>512</v>
      </c>
    </row>
    <row r="12317" spans="1:7" x14ac:dyDescent="0.25">
      <c r="A12317" s="1" t="str">
        <f>"515725"</f>
        <v>515725</v>
      </c>
      <c r="B12317" s="2" t="str">
        <f>"GUARDA ROUPA"</f>
        <v>GUARDA ROUPA</v>
      </c>
      <c r="C12317" s="2" t="str">
        <f t="shared" si="484"/>
        <v>UN</v>
      </c>
      <c r="D12317" s="7">
        <v>401</v>
      </c>
      <c r="E12317" s="3">
        <v>4</v>
      </c>
      <c r="F12317" s="3">
        <v>4</v>
      </c>
      <c r="G12317" t="s">
        <v>513</v>
      </c>
    </row>
    <row r="12318" spans="1:7" x14ac:dyDescent="0.25">
      <c r="A12318" s="1" t="str">
        <f>"513251"</f>
        <v>513251</v>
      </c>
      <c r="B12318" s="2" t="str">
        <f>"GUARDANAPO BRANCO 24/23CM LOGO CAROLINA (CX 3000 UNIDADES)"</f>
        <v>GUARDANAPO BRANCO 24/23CM LOGO CAROLINA (CX 3000 UNIDADES)</v>
      </c>
      <c r="C12318" s="2" t="str">
        <f t="shared" si="484"/>
        <v>UN</v>
      </c>
      <c r="D12318" s="7">
        <v>99999</v>
      </c>
      <c r="E12318" s="3">
        <v>99</v>
      </c>
      <c r="F12318" s="3">
        <v>99</v>
      </c>
      <c r="G12318" t="s">
        <v>514</v>
      </c>
    </row>
    <row r="12319" spans="1:7" x14ac:dyDescent="0.25">
      <c r="A12319" s="1" t="str">
        <f>"509859"</f>
        <v>509859</v>
      </c>
      <c r="B12319" s="2" t="str">
        <f>"GUARDANAPO DE PAPEL"</f>
        <v>GUARDANAPO DE PAPEL</v>
      </c>
      <c r="C12319" s="2" t="str">
        <f t="shared" si="484"/>
        <v>UN</v>
      </c>
      <c r="D12319" s="7">
        <v>402</v>
      </c>
      <c r="E12319" s="3">
        <v>4</v>
      </c>
      <c r="F12319" s="3">
        <v>4</v>
      </c>
      <c r="G12319" t="s">
        <v>514</v>
      </c>
    </row>
    <row r="12320" spans="1:7" x14ac:dyDescent="0.25">
      <c r="A12320" s="1" t="str">
        <f>"510773"</f>
        <v>510773</v>
      </c>
      <c r="B12320" s="2" t="str">
        <f>"GUARDA-PO"</f>
        <v>GUARDA-PO</v>
      </c>
      <c r="C12320" s="2" t="str">
        <f t="shared" si="484"/>
        <v>UN</v>
      </c>
      <c r="D12320" s="7">
        <v>704</v>
      </c>
      <c r="E12320" s="3">
        <v>9</v>
      </c>
      <c r="F12320" s="3">
        <v>9</v>
      </c>
      <c r="G12320" t="s">
        <v>512</v>
      </c>
    </row>
    <row r="12321" spans="1:7" x14ac:dyDescent="0.25">
      <c r="A12321" s="1" t="str">
        <f>"515610"</f>
        <v>515610</v>
      </c>
      <c r="B12321" s="2" t="str">
        <f>"GUARNICAO"</f>
        <v>GUARNICAO</v>
      </c>
      <c r="C12321" s="2" t="str">
        <f t="shared" si="484"/>
        <v>UN</v>
      </c>
      <c r="D12321" s="7">
        <v>812</v>
      </c>
      <c r="E12321" s="3">
        <v>4</v>
      </c>
      <c r="F12321" s="3">
        <v>4</v>
      </c>
      <c r="G12321" t="s">
        <v>513</v>
      </c>
    </row>
    <row r="12322" spans="1:7" x14ac:dyDescent="0.25">
      <c r="A12322" s="1" t="str">
        <f>"526892"</f>
        <v>526892</v>
      </c>
      <c r="B12322" s="2" t="str">
        <f>"GUARNICAO 12183 435 X 465 X 26,8mm"</f>
        <v>GUARNICAO 12183 435 X 465 X 26,8mm</v>
      </c>
      <c r="C12322" s="2" t="str">
        <f t="shared" si="484"/>
        <v>UN</v>
      </c>
      <c r="D12322" s="7">
        <v>812</v>
      </c>
      <c r="E12322" s="3">
        <v>4</v>
      </c>
      <c r="F12322" s="3">
        <v>4</v>
      </c>
      <c r="G12322" t="s">
        <v>514</v>
      </c>
    </row>
    <row r="12323" spans="1:7" x14ac:dyDescent="0.25">
      <c r="A12323" s="1" t="str">
        <f>"516876"</f>
        <v>516876</v>
      </c>
      <c r="B12323" s="2" t="str">
        <f>"GUARNIÇÃO AB PRETA 2690 ETSCHEID"</f>
        <v>GUARNIÇÃO AB PRETA 2690 ETSCHEID</v>
      </c>
      <c r="C12323" s="2" t="str">
        <f>"MT"</f>
        <v>MT</v>
      </c>
      <c r="D12323" s="7">
        <v>1600</v>
      </c>
      <c r="E12323" s="3">
        <v>9</v>
      </c>
      <c r="F12323" s="3">
        <v>9</v>
      </c>
      <c r="G12323" t="s">
        <v>514</v>
      </c>
    </row>
    <row r="12324" spans="1:7" x14ac:dyDescent="0.25">
      <c r="A12324" s="1" t="str">
        <f>"509552"</f>
        <v>509552</v>
      </c>
      <c r="B12324" s="2" t="str">
        <f>"GUARNICAO DA PORTA 2C45/E20530/AB/"</f>
        <v>GUARNICAO DA PORTA 2C45/E20530/AB/</v>
      </c>
      <c r="C12324" s="2" t="str">
        <f t="shared" ref="C12324:C12335" si="485">"UN"</f>
        <v>UN</v>
      </c>
      <c r="D12324" s="7">
        <v>915</v>
      </c>
      <c r="E12324" s="3">
        <v>11</v>
      </c>
      <c r="F12324" s="3">
        <v>11</v>
      </c>
      <c r="G12324" t="s">
        <v>514</v>
      </c>
    </row>
    <row r="12325" spans="1:7" x14ac:dyDescent="0.25">
      <c r="A12325" s="1" t="str">
        <f>"522336"</f>
        <v>522336</v>
      </c>
      <c r="B12325" s="2" t="str">
        <f>"GUARNICAO P/PA ALFORT BR 74926738 218X88 (NVT)"</f>
        <v>GUARNICAO P/PA ALFORT BR 74926738 218X88 (NVT)</v>
      </c>
      <c r="C12325" s="2" t="str">
        <f t="shared" si="485"/>
        <v>UN</v>
      </c>
      <c r="D12325" s="7">
        <v>917</v>
      </c>
      <c r="E12325" s="3">
        <v>10</v>
      </c>
      <c r="F12325" s="3">
        <v>10</v>
      </c>
      <c r="G12325" t="s">
        <v>513</v>
      </c>
    </row>
    <row r="12326" spans="1:7" x14ac:dyDescent="0.25">
      <c r="A12326" s="1" t="str">
        <f>"509551"</f>
        <v>509551</v>
      </c>
      <c r="B12326" s="2" t="str">
        <f>"GUARNICAO PARA BRISA 85HB/E0311/AA/"</f>
        <v>GUARNICAO PARA BRISA 85HB/E0311/AA/</v>
      </c>
      <c r="C12326" s="2" t="str">
        <f t="shared" si="485"/>
        <v>UN</v>
      </c>
      <c r="D12326" s="7">
        <v>915</v>
      </c>
      <c r="E12326" s="3">
        <v>11</v>
      </c>
      <c r="F12326" s="3">
        <v>11</v>
      </c>
      <c r="G12326" t="s">
        <v>512</v>
      </c>
    </row>
    <row r="12327" spans="1:7" x14ac:dyDescent="0.25">
      <c r="A12327" s="1" t="str">
        <f>"503586"</f>
        <v>503586</v>
      </c>
      <c r="B12327" s="2" t="str">
        <f>"GUARNICAO PLACA VT20 LOK-IN H"</f>
        <v>GUARNICAO PLACA VT20 LOK-IN H</v>
      </c>
      <c r="C12327" s="2" t="str">
        <f t="shared" si="485"/>
        <v>UN</v>
      </c>
      <c r="D12327" s="7">
        <v>915</v>
      </c>
      <c r="E12327" s="3">
        <v>11</v>
      </c>
      <c r="F12327" s="3">
        <v>11</v>
      </c>
      <c r="G12327" t="s">
        <v>513</v>
      </c>
    </row>
    <row r="12328" spans="1:7" x14ac:dyDescent="0.25">
      <c r="A12328" s="1" t="str">
        <f>"512052"</f>
        <v>512052</v>
      </c>
      <c r="B12328" s="2" t="str">
        <f>"GUARNICAO PLACA VT40 EPDM"</f>
        <v>GUARNICAO PLACA VT40 EPDM</v>
      </c>
      <c r="C12328" s="2" t="str">
        <f t="shared" si="485"/>
        <v>UN</v>
      </c>
      <c r="D12328" s="7">
        <v>915</v>
      </c>
      <c r="E12328" s="3">
        <v>11</v>
      </c>
      <c r="F12328" s="3">
        <v>11</v>
      </c>
      <c r="G12328" t="s">
        <v>514</v>
      </c>
    </row>
    <row r="12329" spans="1:7" x14ac:dyDescent="0.25">
      <c r="A12329" s="1" t="str">
        <f>"506462"</f>
        <v>506462</v>
      </c>
      <c r="B12329" s="2" t="str">
        <f>"GUARNIÇAO TAMPA DA VALVULA"</f>
        <v>GUARNIÇAO TAMPA DA VALVULA</v>
      </c>
      <c r="C12329" s="2" t="str">
        <f t="shared" si="485"/>
        <v>UN</v>
      </c>
      <c r="D12329" s="7">
        <v>915</v>
      </c>
      <c r="E12329" s="3">
        <v>11</v>
      </c>
      <c r="F12329" s="3">
        <v>11</v>
      </c>
      <c r="G12329" t="s">
        <v>514</v>
      </c>
    </row>
    <row r="12330" spans="1:7" x14ac:dyDescent="0.25">
      <c r="A12330" s="1" t="str">
        <f>"527784"</f>
        <v>527784</v>
      </c>
      <c r="B12330" s="2" t="str">
        <f>"GUIA"</f>
        <v>GUIA</v>
      </c>
      <c r="C12330" s="2" t="str">
        <f t="shared" si="485"/>
        <v>UN</v>
      </c>
      <c r="D12330" s="7">
        <v>99999</v>
      </c>
      <c r="E12330" s="3">
        <v>99</v>
      </c>
      <c r="F12330" s="3">
        <v>99</v>
      </c>
      <c r="G12330" t="s">
        <v>514</v>
      </c>
    </row>
    <row r="12331" spans="1:7" x14ac:dyDescent="0.25">
      <c r="A12331" s="1" t="str">
        <f>"518285"</f>
        <v>518285</v>
      </c>
      <c r="B12331" s="2" t="str">
        <f>"GUIA ARRASTE DARD-L1-32-S"</f>
        <v>GUIA ARRASTE DARD-L1-32-S</v>
      </c>
      <c r="C12331" s="2" t="str">
        <f t="shared" si="485"/>
        <v>UN</v>
      </c>
      <c r="D12331" s="7">
        <v>913</v>
      </c>
      <c r="E12331" s="3">
        <v>11</v>
      </c>
      <c r="F12331" s="3">
        <v>11</v>
      </c>
      <c r="G12331" t="s">
        <v>513</v>
      </c>
    </row>
    <row r="12332" spans="1:7" x14ac:dyDescent="0.25">
      <c r="A12332" s="1" t="str">
        <f>"512001"</f>
        <v>512001</v>
      </c>
      <c r="B12332" s="2" t="str">
        <f>"GUIA ARRASTE FKP-25/32"</f>
        <v>GUIA ARRASTE FKP-25/32</v>
      </c>
      <c r="C12332" s="2" t="str">
        <f t="shared" si="485"/>
        <v>UN</v>
      </c>
      <c r="D12332" s="7">
        <v>918</v>
      </c>
      <c r="E12332" s="3">
        <v>11</v>
      </c>
      <c r="F12332" s="3">
        <v>11</v>
      </c>
      <c r="G12332" t="s">
        <v>513</v>
      </c>
    </row>
    <row r="12333" spans="1:7" x14ac:dyDescent="0.25">
      <c r="A12333" s="1" t="str">
        <f>"522881"</f>
        <v>522881</v>
      </c>
      <c r="B12333" s="8" t="s">
        <v>347</v>
      </c>
      <c r="C12333" s="2" t="str">
        <f t="shared" si="485"/>
        <v>UN</v>
      </c>
      <c r="D12333" s="7">
        <v>918</v>
      </c>
      <c r="E12333" s="3">
        <v>11</v>
      </c>
      <c r="F12333" s="3">
        <v>11</v>
      </c>
      <c r="G12333" t="s">
        <v>513</v>
      </c>
    </row>
    <row r="12334" spans="1:7" x14ac:dyDescent="0.25">
      <c r="A12334" s="1" t="str">
        <f>"504157"</f>
        <v>504157</v>
      </c>
      <c r="B12334" s="2" t="str">
        <f>"GUIA DA CORREIA CYKLOP REF.05311101830"</f>
        <v>GUIA DA CORREIA CYKLOP REF.05311101830</v>
      </c>
      <c r="C12334" s="2" t="str">
        <f t="shared" si="485"/>
        <v>UN</v>
      </c>
      <c r="D12334" s="7">
        <v>918</v>
      </c>
      <c r="E12334" s="3">
        <v>11</v>
      </c>
      <c r="F12334" s="3">
        <v>11</v>
      </c>
      <c r="G12334" t="s">
        <v>512</v>
      </c>
    </row>
    <row r="12335" spans="1:7" x14ac:dyDescent="0.25">
      <c r="A12335" s="1" t="str">
        <f>"505834"</f>
        <v>505834</v>
      </c>
      <c r="B12335" s="2" t="str">
        <f>"GUIA DA CORRENTE 29,25X24X3000MM"</f>
        <v>GUIA DA CORRENTE 29,25X24X3000MM</v>
      </c>
      <c r="C12335" s="2" t="str">
        <f t="shared" si="485"/>
        <v>UN</v>
      </c>
      <c r="D12335" s="7">
        <v>918</v>
      </c>
      <c r="E12335" s="3">
        <v>11</v>
      </c>
      <c r="F12335" s="3">
        <v>11</v>
      </c>
      <c r="G12335" t="s">
        <v>513</v>
      </c>
    </row>
    <row r="12336" spans="1:7" x14ac:dyDescent="0.25">
      <c r="A12336" s="1" t="str">
        <f>"526009"</f>
        <v>526009</v>
      </c>
      <c r="B12336" s="2" t="str">
        <f>"GUIA DA CORRENTE E ALMA DMAX"</f>
        <v>GUIA DA CORRENTE E ALMA DMAX</v>
      </c>
      <c r="C12336" s="2" t="str">
        <f>"MT"</f>
        <v>MT</v>
      </c>
      <c r="D12336" s="7">
        <v>812</v>
      </c>
      <c r="E12336" s="3">
        <v>11</v>
      </c>
      <c r="F12336" s="3">
        <v>11</v>
      </c>
      <c r="G12336" t="s">
        <v>514</v>
      </c>
    </row>
    <row r="12337" spans="1:7" x14ac:dyDescent="0.25">
      <c r="A12337" s="1" t="str">
        <f>"507131"</f>
        <v>507131</v>
      </c>
      <c r="B12337" s="2" t="str">
        <f>"GUIA DA FITA COD. 05.3120.204.50"</f>
        <v>GUIA DA FITA COD. 05.3120.204.50</v>
      </c>
      <c r="C12337" s="2" t="str">
        <f t="shared" ref="C12337:C12371" si="486">"UN"</f>
        <v>UN</v>
      </c>
      <c r="D12337" s="7">
        <v>918</v>
      </c>
      <c r="E12337" s="3">
        <v>11</v>
      </c>
      <c r="F12337" s="3">
        <v>11</v>
      </c>
      <c r="G12337" t="s">
        <v>515</v>
      </c>
    </row>
    <row r="12338" spans="1:7" x14ac:dyDescent="0.25">
      <c r="A12338" s="1" t="str">
        <f>"510318"</f>
        <v>510318</v>
      </c>
      <c r="B12338" s="2" t="str">
        <f>"GUIA DA RODA 008540503"</f>
        <v>GUIA DA RODA 008540503</v>
      </c>
      <c r="C12338" s="2" t="str">
        <f t="shared" si="486"/>
        <v>UN</v>
      </c>
      <c r="D12338" s="7">
        <v>918</v>
      </c>
      <c r="E12338" s="3">
        <v>11</v>
      </c>
      <c r="F12338" s="3">
        <v>11</v>
      </c>
      <c r="G12338" t="s">
        <v>512</v>
      </c>
    </row>
    <row r="12339" spans="1:7" x14ac:dyDescent="0.25">
      <c r="A12339" s="1" t="str">
        <f>"503483"</f>
        <v>503483</v>
      </c>
      <c r="B12339" s="2" t="str">
        <f>"GUIA DA SAIDA DO REFIL"</f>
        <v>GUIA DA SAIDA DO REFIL</v>
      </c>
      <c r="C12339" s="2" t="str">
        <f t="shared" si="486"/>
        <v>UN</v>
      </c>
      <c r="D12339" s="7">
        <v>918</v>
      </c>
      <c r="E12339" s="3">
        <v>11</v>
      </c>
      <c r="F12339" s="3">
        <v>11</v>
      </c>
      <c r="G12339" t="s">
        <v>516</v>
      </c>
    </row>
    <row r="12340" spans="1:7" x14ac:dyDescent="0.25">
      <c r="A12340" s="1" t="str">
        <f>"526717"</f>
        <v>526717</v>
      </c>
      <c r="B12340" s="2" t="str">
        <f>"GUIA DA TAMPA 39MM"</f>
        <v>GUIA DA TAMPA 39MM</v>
      </c>
      <c r="C12340" s="2" t="str">
        <f t="shared" si="486"/>
        <v>UN</v>
      </c>
      <c r="D12340" s="7">
        <v>918</v>
      </c>
      <c r="E12340" s="3">
        <v>11</v>
      </c>
      <c r="F12340" s="3">
        <v>11</v>
      </c>
      <c r="G12340" t="s">
        <v>515</v>
      </c>
    </row>
    <row r="12341" spans="1:7" x14ac:dyDescent="0.25">
      <c r="A12341" s="1" t="str">
        <f>"514257"</f>
        <v>514257</v>
      </c>
      <c r="B12341" s="2" t="str">
        <f>"GUIA DA VENTOINHA"</f>
        <v>GUIA DA VENTOINHA</v>
      </c>
      <c r="C12341" s="2" t="str">
        <f t="shared" si="486"/>
        <v>UN</v>
      </c>
      <c r="D12341" s="7">
        <v>402</v>
      </c>
      <c r="E12341" s="3">
        <v>8</v>
      </c>
      <c r="F12341" s="3">
        <v>8</v>
      </c>
      <c r="G12341" t="s">
        <v>514</v>
      </c>
    </row>
    <row r="12342" spans="1:7" x14ac:dyDescent="0.25">
      <c r="A12342" s="1" t="str">
        <f>"507044"</f>
        <v>507044</v>
      </c>
      <c r="B12342" s="2" t="str">
        <f>"GUIA DE BRONZE COD. 64722183718"</f>
        <v>GUIA DE BRONZE COD. 64722183718</v>
      </c>
      <c r="C12342" s="2" t="str">
        <f t="shared" si="486"/>
        <v>UN</v>
      </c>
      <c r="D12342" s="7">
        <v>918</v>
      </c>
      <c r="E12342" s="3">
        <v>11</v>
      </c>
      <c r="F12342" s="3">
        <v>11</v>
      </c>
      <c r="G12342" t="s">
        <v>512</v>
      </c>
    </row>
    <row r="12343" spans="1:7" x14ac:dyDescent="0.25">
      <c r="A12343" s="1" t="str">
        <f>"513814"</f>
        <v>513814</v>
      </c>
      <c r="B12343" s="2" t="str">
        <f>"GUIA DE CABO 19"""</f>
        <v>GUIA DE CABO 19"</v>
      </c>
      <c r="C12343" s="2" t="str">
        <f t="shared" si="486"/>
        <v>UN</v>
      </c>
      <c r="D12343" s="7">
        <v>99999</v>
      </c>
      <c r="E12343" s="3">
        <v>99</v>
      </c>
      <c r="F12343" s="3">
        <v>99</v>
      </c>
      <c r="G12343" t="s">
        <v>513</v>
      </c>
    </row>
    <row r="12344" spans="1:7" x14ac:dyDescent="0.25">
      <c r="A12344" s="1" t="str">
        <f>"519863"</f>
        <v>519863</v>
      </c>
      <c r="B12344" s="2" t="str">
        <f>"GUIA DE CABO HORIZONTAL FECHADO"</f>
        <v>GUIA DE CABO HORIZONTAL FECHADO</v>
      </c>
      <c r="C12344" s="2" t="str">
        <f t="shared" si="486"/>
        <v>UN</v>
      </c>
      <c r="D12344" s="7">
        <v>814</v>
      </c>
      <c r="E12344" s="3">
        <v>8</v>
      </c>
      <c r="F12344" s="3">
        <v>8</v>
      </c>
      <c r="G12344" t="s">
        <v>514</v>
      </c>
    </row>
    <row r="12345" spans="1:7" x14ac:dyDescent="0.25">
      <c r="A12345" s="1" t="str">
        <f>"524683"</f>
        <v>524683</v>
      </c>
      <c r="B12345" s="2" t="str">
        <f>"GUIA DE CORRENTE LODESTAR V2 73269090"</f>
        <v>GUIA DE CORRENTE LODESTAR V2 73269090</v>
      </c>
      <c r="C12345" s="2" t="str">
        <f t="shared" si="486"/>
        <v>UN</v>
      </c>
      <c r="D12345" s="7">
        <v>918</v>
      </c>
      <c r="E12345" s="3">
        <v>10</v>
      </c>
      <c r="F12345" s="3">
        <v>10</v>
      </c>
      <c r="G12345" t="s">
        <v>514</v>
      </c>
    </row>
    <row r="12346" spans="1:7" x14ac:dyDescent="0.25">
      <c r="A12346" s="1" t="str">
        <f>"501401"</f>
        <v>501401</v>
      </c>
      <c r="B12346" s="2" t="str">
        <f>"GUIA DE EMBOLO DE BRONZE ""HOMO"""</f>
        <v>GUIA DE EMBOLO DE BRONZE "HOMO"</v>
      </c>
      <c r="C12346" s="2" t="str">
        <f t="shared" si="486"/>
        <v>UN</v>
      </c>
      <c r="D12346" s="7">
        <v>918</v>
      </c>
      <c r="E12346" s="3">
        <v>11</v>
      </c>
      <c r="F12346" s="3">
        <v>11</v>
      </c>
      <c r="G12346" t="s">
        <v>512</v>
      </c>
    </row>
    <row r="12347" spans="1:7" x14ac:dyDescent="0.25">
      <c r="A12347" s="1" t="str">
        <f>"504363"</f>
        <v>504363</v>
      </c>
      <c r="B12347" s="2" t="str">
        <f>"GUIA DE GRAMPO CARRETA"</f>
        <v>GUIA DE GRAMPO CARRETA</v>
      </c>
      <c r="C12347" s="2" t="str">
        <f t="shared" si="486"/>
        <v>UN</v>
      </c>
      <c r="D12347" s="7">
        <v>704</v>
      </c>
      <c r="E12347" s="3">
        <v>9</v>
      </c>
      <c r="F12347" s="3">
        <v>9</v>
      </c>
      <c r="G12347" t="s">
        <v>513</v>
      </c>
    </row>
    <row r="12348" spans="1:7" x14ac:dyDescent="0.25">
      <c r="A12348" s="1" t="str">
        <f>"502993"</f>
        <v>502993</v>
      </c>
      <c r="B12348" s="2" t="str">
        <f>"GUIA DE GRAMPO TRASEIRO"</f>
        <v>GUIA DE GRAMPO TRASEIRO</v>
      </c>
      <c r="C12348" s="2" t="str">
        <f t="shared" si="486"/>
        <v>UN</v>
      </c>
      <c r="D12348" s="7">
        <v>704</v>
      </c>
      <c r="E12348" s="3">
        <v>9</v>
      </c>
      <c r="F12348" s="3">
        <v>9</v>
      </c>
      <c r="G12348" t="s">
        <v>514</v>
      </c>
    </row>
    <row r="12349" spans="1:7" x14ac:dyDescent="0.25">
      <c r="A12349" s="1" t="str">
        <f>"509449"</f>
        <v>509449</v>
      </c>
      <c r="B12349" s="2" t="str">
        <f>"GUIA DE VALVULA (PAR) M. TRAMONTINI"</f>
        <v>GUIA DE VALVULA (PAR) M. TRAMONTINI</v>
      </c>
      <c r="C12349" s="2" t="str">
        <f t="shared" si="486"/>
        <v>UN</v>
      </c>
      <c r="D12349" s="7">
        <v>704</v>
      </c>
      <c r="E12349" s="3">
        <v>9</v>
      </c>
      <c r="F12349" s="3">
        <v>9</v>
      </c>
      <c r="G12349" t="s">
        <v>514</v>
      </c>
    </row>
    <row r="12350" spans="1:7" x14ac:dyDescent="0.25">
      <c r="A12350" s="1" t="str">
        <f>"509190"</f>
        <v>509190</v>
      </c>
      <c r="B12350" s="2" t="str">
        <f>"GUIA DIREITO DA FITA 05.3120.246.50"</f>
        <v>GUIA DIREITO DA FITA 05.3120.246.50</v>
      </c>
      <c r="C12350" s="2" t="str">
        <f t="shared" si="486"/>
        <v>UN</v>
      </c>
      <c r="D12350" s="7">
        <v>918</v>
      </c>
      <c r="E12350" s="3">
        <v>11</v>
      </c>
      <c r="F12350" s="3">
        <v>11</v>
      </c>
      <c r="G12350" t="s">
        <v>514</v>
      </c>
    </row>
    <row r="12351" spans="1:7" x14ac:dyDescent="0.25">
      <c r="A12351" s="1" t="str">
        <f>"505399"</f>
        <v>505399</v>
      </c>
      <c r="B12351" s="2" t="str">
        <f>"GUIA DO VIDRO"</f>
        <v>GUIA DO VIDRO</v>
      </c>
      <c r="C12351" s="2" t="str">
        <f t="shared" si="486"/>
        <v>UN</v>
      </c>
      <c r="D12351" s="7">
        <v>704</v>
      </c>
      <c r="E12351" s="3">
        <v>9</v>
      </c>
      <c r="F12351" s="3">
        <v>9</v>
      </c>
      <c r="G12351" t="s">
        <v>513</v>
      </c>
    </row>
    <row r="12352" spans="1:7" x14ac:dyDescent="0.25">
      <c r="A12352" s="1" t="str">
        <f>"500718"</f>
        <v>500718</v>
      </c>
      <c r="B12352" s="2" t="str">
        <f>"GUIA EMBOLO AÇO INOX ""HOMO"""</f>
        <v>GUIA EMBOLO AÇO INOX "HOMO"</v>
      </c>
      <c r="C12352" s="2" t="str">
        <f t="shared" si="486"/>
        <v>UN</v>
      </c>
      <c r="D12352" s="7">
        <v>918</v>
      </c>
      <c r="E12352" s="3">
        <v>11</v>
      </c>
      <c r="F12352" s="3">
        <v>11</v>
      </c>
      <c r="G12352" t="s">
        <v>512</v>
      </c>
    </row>
    <row r="12353" spans="1:7" x14ac:dyDescent="0.25">
      <c r="A12353" s="1" t="str">
        <f>"505176"</f>
        <v>505176</v>
      </c>
      <c r="B12353" s="2" t="str">
        <f>"GUIA EMBOLO INOX 45MM ALFA LAVAL"</f>
        <v>GUIA EMBOLO INOX 45MM ALFA LAVAL</v>
      </c>
      <c r="C12353" s="2" t="str">
        <f t="shared" si="486"/>
        <v>UN</v>
      </c>
      <c r="D12353" s="7">
        <v>918</v>
      </c>
      <c r="E12353" s="3">
        <v>11</v>
      </c>
      <c r="F12353" s="3">
        <v>11</v>
      </c>
      <c r="G12353" t="s">
        <v>513</v>
      </c>
    </row>
    <row r="12354" spans="1:7" x14ac:dyDescent="0.25">
      <c r="A12354" s="1" t="str">
        <f>"509189"</f>
        <v>509189</v>
      </c>
      <c r="B12354" s="2" t="str">
        <f>"GUIA ESQUERDO DA FITA 05.3120.245.50"</f>
        <v>GUIA ESQUERDO DA FITA 05.3120.245.50</v>
      </c>
      <c r="C12354" s="2" t="str">
        <f t="shared" si="486"/>
        <v>UN</v>
      </c>
      <c r="D12354" s="7">
        <v>918</v>
      </c>
      <c r="E12354" s="3">
        <v>11</v>
      </c>
      <c r="F12354" s="3">
        <v>11</v>
      </c>
      <c r="G12354" t="s">
        <v>514</v>
      </c>
    </row>
    <row r="12355" spans="1:7" x14ac:dyDescent="0.25">
      <c r="A12355" s="1" t="str">
        <f>"518782"</f>
        <v>518782</v>
      </c>
      <c r="B12355" s="2" t="str">
        <f>"GUIA ESTRELA DE ENTRADA AMARELO 160GR"</f>
        <v>GUIA ESTRELA DE ENTRADA AMARELO 160GR</v>
      </c>
      <c r="C12355" s="2" t="str">
        <f t="shared" si="486"/>
        <v>UN</v>
      </c>
      <c r="D12355" s="7">
        <v>918</v>
      </c>
      <c r="E12355" s="3">
        <v>11</v>
      </c>
      <c r="F12355" s="3">
        <v>11</v>
      </c>
      <c r="G12355" t="s">
        <v>514</v>
      </c>
    </row>
    <row r="12356" spans="1:7" x14ac:dyDescent="0.25">
      <c r="A12356" s="1" t="str">
        <f>"518769"</f>
        <v>518769</v>
      </c>
      <c r="B12356" s="2" t="str">
        <f>"GUIA ESTRELA DE ENTRADA AZUL 180GR"</f>
        <v>GUIA ESTRELA DE ENTRADA AZUL 180GR</v>
      </c>
      <c r="C12356" s="2" t="str">
        <f t="shared" si="486"/>
        <v>UN</v>
      </c>
      <c r="D12356" s="7">
        <v>918</v>
      </c>
      <c r="E12356" s="3">
        <v>11</v>
      </c>
      <c r="F12356" s="3">
        <v>11</v>
      </c>
      <c r="G12356" t="s">
        <v>514</v>
      </c>
    </row>
    <row r="12357" spans="1:7" x14ac:dyDescent="0.25">
      <c r="A12357" s="1" t="str">
        <f>"518785"</f>
        <v>518785</v>
      </c>
      <c r="B12357" s="2" t="str">
        <f>"GUIA ESTRELA DE SAIDA AMARELO 160GR"</f>
        <v>GUIA ESTRELA DE SAIDA AMARELO 160GR</v>
      </c>
      <c r="C12357" s="2" t="str">
        <f t="shared" si="486"/>
        <v>UN</v>
      </c>
      <c r="D12357" s="7">
        <v>918</v>
      </c>
      <c r="E12357" s="3">
        <v>11</v>
      </c>
      <c r="F12357" s="3">
        <v>11</v>
      </c>
      <c r="G12357" t="s">
        <v>513</v>
      </c>
    </row>
    <row r="12358" spans="1:7" x14ac:dyDescent="0.25">
      <c r="A12358" s="1" t="str">
        <f>"518772"</f>
        <v>518772</v>
      </c>
      <c r="B12358" s="2" t="str">
        <f>"GUIA ESTRELA DE SAIDA AZUL 180GR"</f>
        <v>GUIA ESTRELA DE SAIDA AZUL 180GR</v>
      </c>
      <c r="C12358" s="2" t="str">
        <f t="shared" si="486"/>
        <v>UN</v>
      </c>
      <c r="D12358" s="7">
        <v>918</v>
      </c>
      <c r="E12358" s="3">
        <v>11</v>
      </c>
      <c r="F12358" s="3">
        <v>11</v>
      </c>
      <c r="G12358" t="s">
        <v>513</v>
      </c>
    </row>
    <row r="12359" spans="1:7" x14ac:dyDescent="0.25">
      <c r="A12359" s="1" t="str">
        <f>"508793"</f>
        <v>508793</v>
      </c>
      <c r="B12359" s="2" t="str">
        <f>"GUIA EXT GARG ROSQ FRAS PP42 RM04  6731"</f>
        <v>GUIA EXT GARG ROSQ FRAS PP42 RM04  6731</v>
      </c>
      <c r="C12359" s="2" t="str">
        <f t="shared" si="486"/>
        <v>UN</v>
      </c>
      <c r="D12359" s="7">
        <v>918</v>
      </c>
      <c r="E12359" s="3">
        <v>11</v>
      </c>
      <c r="F12359" s="3">
        <v>11</v>
      </c>
      <c r="G12359" t="s">
        <v>513</v>
      </c>
    </row>
    <row r="12360" spans="1:7" x14ac:dyDescent="0.25">
      <c r="A12360" s="1" t="str">
        <f>"518786"</f>
        <v>518786</v>
      </c>
      <c r="B12360" s="2" t="str">
        <f>"GUIA EXTERNO ESTRELA DE SAIDA AMARELO 160GR"</f>
        <v>GUIA EXTERNO ESTRELA DE SAIDA AMARELO 160GR</v>
      </c>
      <c r="C12360" s="2" t="str">
        <f t="shared" si="486"/>
        <v>UN</v>
      </c>
      <c r="D12360" s="7">
        <v>918</v>
      </c>
      <c r="E12360" s="3">
        <v>11</v>
      </c>
      <c r="F12360" s="3">
        <v>11</v>
      </c>
      <c r="G12360" t="s">
        <v>512</v>
      </c>
    </row>
    <row r="12361" spans="1:7" x14ac:dyDescent="0.25">
      <c r="A12361" s="1" t="str">
        <f>"518773"</f>
        <v>518773</v>
      </c>
      <c r="B12361" s="2" t="str">
        <f>"GUIA EXTERNO ESTRELA DE SAIDA AZUL 180GR"</f>
        <v>GUIA EXTERNO ESTRELA DE SAIDA AZUL 180GR</v>
      </c>
      <c r="C12361" s="2" t="str">
        <f t="shared" si="486"/>
        <v>UN</v>
      </c>
      <c r="D12361" s="7">
        <v>918</v>
      </c>
      <c r="E12361" s="3">
        <v>11</v>
      </c>
      <c r="F12361" s="3">
        <v>11</v>
      </c>
      <c r="G12361" t="s">
        <v>513</v>
      </c>
    </row>
    <row r="12362" spans="1:7" x14ac:dyDescent="0.25">
      <c r="A12362" s="1" t="str">
        <f>"519542"</f>
        <v>519542</v>
      </c>
      <c r="B12362" s="2" t="str">
        <f>"GUIA FENG-32-250 34481"</f>
        <v>GUIA FENG-32-250 34481</v>
      </c>
      <c r="C12362" s="2" t="str">
        <f t="shared" si="486"/>
        <v>UN</v>
      </c>
      <c r="D12362" s="7">
        <v>913</v>
      </c>
      <c r="E12362" s="3">
        <v>11</v>
      </c>
      <c r="F12362" s="3">
        <v>11</v>
      </c>
      <c r="G12362" t="s">
        <v>514</v>
      </c>
    </row>
    <row r="12363" spans="1:7" x14ac:dyDescent="0.25">
      <c r="A12363" s="1" t="str">
        <f>"521397"</f>
        <v>521397</v>
      </c>
      <c r="B12363" s="2" t="str">
        <f>"GUIA FENG-32-280"</f>
        <v>GUIA FENG-32-280</v>
      </c>
      <c r="C12363" s="2" t="str">
        <f t="shared" si="486"/>
        <v>UN</v>
      </c>
      <c r="D12363" s="7">
        <v>913</v>
      </c>
      <c r="E12363" s="3">
        <v>11</v>
      </c>
      <c r="F12363" s="3">
        <v>11</v>
      </c>
      <c r="G12363" t="s">
        <v>515</v>
      </c>
    </row>
    <row r="12364" spans="1:7" x14ac:dyDescent="0.25">
      <c r="A12364" s="1" t="str">
        <f>"522433"</f>
        <v>522433</v>
      </c>
      <c r="B12364" s="8" t="s">
        <v>293</v>
      </c>
      <c r="C12364" s="2" t="str">
        <f t="shared" si="486"/>
        <v>UN</v>
      </c>
      <c r="D12364" s="7">
        <v>1300</v>
      </c>
      <c r="E12364" s="3">
        <v>11</v>
      </c>
      <c r="F12364" s="3">
        <v>11</v>
      </c>
      <c r="G12364" t="s">
        <v>512</v>
      </c>
    </row>
    <row r="12365" spans="1:7" x14ac:dyDescent="0.25">
      <c r="A12365" s="1" t="str">
        <f>"508566"</f>
        <v>508566</v>
      </c>
      <c r="B12365" s="2" t="str">
        <f>"GUIA FIXA PRENSA CORTE E PRE-CORTE"</f>
        <v>GUIA FIXA PRENSA CORTE E PRE-CORTE</v>
      </c>
      <c r="C12365" s="2" t="str">
        <f t="shared" si="486"/>
        <v>UN</v>
      </c>
      <c r="D12365" s="7">
        <v>704</v>
      </c>
      <c r="E12365" s="3">
        <v>9</v>
      </c>
      <c r="F12365" s="3">
        <v>9</v>
      </c>
      <c r="G12365" t="s">
        <v>516</v>
      </c>
    </row>
    <row r="12366" spans="1:7" x14ac:dyDescent="0.25">
      <c r="A12366" s="1" t="str">
        <f>"526495"</f>
        <v>526495</v>
      </c>
      <c r="B12366" s="2" t="str">
        <f>"GUIA FIXA PRENSA SELAGEM E FORMAGEM DMAX"</f>
        <v>GUIA FIXA PRENSA SELAGEM E FORMAGEM DMAX</v>
      </c>
      <c r="C12366" s="2" t="str">
        <f t="shared" si="486"/>
        <v>UN</v>
      </c>
      <c r="D12366" s="7">
        <v>918</v>
      </c>
      <c r="E12366" s="3">
        <v>11</v>
      </c>
      <c r="F12366" s="3">
        <v>11</v>
      </c>
      <c r="G12366" t="s">
        <v>515</v>
      </c>
    </row>
    <row r="12367" spans="1:7" x14ac:dyDescent="0.25">
      <c r="A12367" s="1" t="str">
        <f>"509445"</f>
        <v>509445</v>
      </c>
      <c r="B12367" s="2" t="str">
        <f>"GUIA GAXETA"</f>
        <v>GUIA GAXETA</v>
      </c>
      <c r="C12367" s="2" t="str">
        <f t="shared" si="486"/>
        <v>UN</v>
      </c>
      <c r="D12367" s="7">
        <v>402</v>
      </c>
      <c r="E12367" s="3">
        <v>4</v>
      </c>
      <c r="F12367" s="3">
        <v>4</v>
      </c>
      <c r="G12367" t="s">
        <v>514</v>
      </c>
    </row>
    <row r="12368" spans="1:7" x14ac:dyDescent="0.25">
      <c r="A12368" s="1" t="str">
        <f>"523911"</f>
        <v>523911</v>
      </c>
      <c r="B12368" s="2" t="str">
        <f>"GUIA HORIZONTAL FECHADO 1U"</f>
        <v>GUIA HORIZONTAL FECHADO 1U</v>
      </c>
      <c r="C12368" s="2" t="str">
        <f t="shared" si="486"/>
        <v>UN</v>
      </c>
      <c r="D12368" s="7">
        <v>814</v>
      </c>
      <c r="E12368" s="3">
        <v>8</v>
      </c>
      <c r="F12368" s="3">
        <v>8</v>
      </c>
      <c r="G12368" t="s">
        <v>512</v>
      </c>
    </row>
    <row r="12369" spans="1:7" x14ac:dyDescent="0.25">
      <c r="A12369" s="1" t="str">
        <f>"509511"</f>
        <v>509511</v>
      </c>
      <c r="B12369" s="2" t="str">
        <f>"GUIA LATERAL GARRAFA BRASKOP - LEITE FER"</f>
        <v>GUIA LATERAL GARRAFA BRASKOP - LEITE FER</v>
      </c>
      <c r="C12369" s="2" t="str">
        <f t="shared" si="486"/>
        <v>UN</v>
      </c>
      <c r="D12369" s="7">
        <v>918</v>
      </c>
      <c r="E12369" s="3">
        <v>11</v>
      </c>
      <c r="F12369" s="3">
        <v>11</v>
      </c>
      <c r="G12369" t="s">
        <v>513</v>
      </c>
    </row>
    <row r="12370" spans="1:7" x14ac:dyDescent="0.25">
      <c r="A12370" s="1" t="str">
        <f>"511154"</f>
        <v>511154</v>
      </c>
      <c r="B12370" s="2" t="str">
        <f>"GUIA MOLDE DA FORMAGEM"</f>
        <v>GUIA MOLDE DA FORMAGEM</v>
      </c>
      <c r="C12370" s="2" t="str">
        <f t="shared" si="486"/>
        <v>UN</v>
      </c>
      <c r="D12370" s="7">
        <v>918</v>
      </c>
      <c r="E12370" s="3">
        <v>11</v>
      </c>
      <c r="F12370" s="3">
        <v>11</v>
      </c>
      <c r="G12370" t="s">
        <v>514</v>
      </c>
    </row>
    <row r="12371" spans="1:7" x14ac:dyDescent="0.25">
      <c r="A12371" s="1" t="str">
        <f>"516639"</f>
        <v>516639</v>
      </c>
      <c r="B12371" s="2" t="str">
        <f>"GUIA ORING JK 001100 RANNIE 132T-70.140 APF-9291"</f>
        <v>GUIA ORING JK 001100 RANNIE 132T-70.140 APF-9291</v>
      </c>
      <c r="C12371" s="2" t="str">
        <f t="shared" si="486"/>
        <v>UN</v>
      </c>
      <c r="D12371" s="7">
        <v>918</v>
      </c>
      <c r="E12371" s="3">
        <v>11</v>
      </c>
      <c r="F12371" s="3">
        <v>11</v>
      </c>
      <c r="G12371" t="s">
        <v>514</v>
      </c>
    </row>
    <row r="12372" spans="1:7" x14ac:dyDescent="0.25">
      <c r="A12372" s="1" t="str">
        <f>"524387"</f>
        <v>524387</v>
      </c>
      <c r="B12372" s="2" t="str">
        <f>"GUIA P/ PEDRA ARENITO"</f>
        <v>GUIA P/ PEDRA ARENITO</v>
      </c>
      <c r="C12372" s="2" t="str">
        <f>"MT"</f>
        <v>MT</v>
      </c>
      <c r="D12372" s="7">
        <v>917</v>
      </c>
      <c r="E12372" s="3">
        <v>10</v>
      </c>
      <c r="F12372" s="3">
        <v>10</v>
      </c>
      <c r="G12372" t="s">
        <v>512</v>
      </c>
    </row>
    <row r="12373" spans="1:7" x14ac:dyDescent="0.25">
      <c r="A12373" s="1" t="str">
        <f>"525228"</f>
        <v>525228</v>
      </c>
      <c r="B12373" s="2" t="str">
        <f>"GUIA PENA COD. 11-0201_08"</f>
        <v>GUIA PENA COD. 11-0201_08</v>
      </c>
      <c r="C12373" s="2" t="str">
        <f t="shared" ref="C12373:C12400" si="487">"UN"</f>
        <v>UN</v>
      </c>
      <c r="D12373" s="7">
        <v>918</v>
      </c>
      <c r="E12373" s="3">
        <v>11</v>
      </c>
      <c r="F12373" s="3">
        <v>11</v>
      </c>
      <c r="G12373" t="s">
        <v>513</v>
      </c>
    </row>
    <row r="12374" spans="1:7" x14ac:dyDescent="0.25">
      <c r="A12374" s="1" t="str">
        <f>"525229"</f>
        <v>525229</v>
      </c>
      <c r="B12374" s="2" t="str">
        <f>"GUIA PENA DE ENTRADA TUNEL COD. 11-0201_09"</f>
        <v>GUIA PENA DE ENTRADA TUNEL COD. 11-0201_09</v>
      </c>
      <c r="C12374" s="2" t="str">
        <f t="shared" si="487"/>
        <v>UN</v>
      </c>
      <c r="D12374" s="7">
        <v>918</v>
      </c>
      <c r="E12374" s="3">
        <v>11</v>
      </c>
      <c r="F12374" s="3">
        <v>11</v>
      </c>
      <c r="G12374" t="s">
        <v>514</v>
      </c>
    </row>
    <row r="12375" spans="1:7" x14ac:dyDescent="0.25">
      <c r="A12375" s="1" t="str">
        <f>"525230"</f>
        <v>525230</v>
      </c>
      <c r="B12375" s="2" t="str">
        <f>"GUIA PENA DE SAÍDA DO TUNEL COD. 035-010-014"</f>
        <v>GUIA PENA DE SAÍDA DO TUNEL COD. 035-010-014</v>
      </c>
      <c r="C12375" s="2" t="str">
        <f t="shared" si="487"/>
        <v>UN</v>
      </c>
      <c r="D12375" s="7">
        <v>918</v>
      </c>
      <c r="E12375" s="3">
        <v>11</v>
      </c>
      <c r="F12375" s="3">
        <v>11</v>
      </c>
      <c r="G12375" t="s">
        <v>514</v>
      </c>
    </row>
    <row r="12376" spans="1:7" x14ac:dyDescent="0.25">
      <c r="A12376" s="1" t="str">
        <f>"503484"</f>
        <v>503484</v>
      </c>
      <c r="B12376" s="2" t="str">
        <f>"GUIA PRENSA DE AQUECIMENTO DINIEPER"</f>
        <v>GUIA PRENSA DE AQUECIMENTO DINIEPER</v>
      </c>
      <c r="C12376" s="2" t="str">
        <f t="shared" si="487"/>
        <v>UN</v>
      </c>
      <c r="D12376" s="7">
        <v>918</v>
      </c>
      <c r="E12376" s="3">
        <v>11</v>
      </c>
      <c r="F12376" s="3">
        <v>11</v>
      </c>
      <c r="G12376" t="s">
        <v>514</v>
      </c>
    </row>
    <row r="12377" spans="1:7" x14ac:dyDescent="0.25">
      <c r="A12377" s="1" t="str">
        <f>"503634"</f>
        <v>503634</v>
      </c>
      <c r="B12377" s="2" t="str">
        <f>"GUIA PRENSA PRE-CORTE DINIEPER"</f>
        <v>GUIA PRENSA PRE-CORTE DINIEPER</v>
      </c>
      <c r="C12377" s="2" t="str">
        <f t="shared" si="487"/>
        <v>UN</v>
      </c>
      <c r="D12377" s="7">
        <v>918</v>
      </c>
      <c r="E12377" s="3">
        <v>11</v>
      </c>
      <c r="F12377" s="3">
        <v>11</v>
      </c>
      <c r="G12377" t="s">
        <v>513</v>
      </c>
    </row>
    <row r="12378" spans="1:7" x14ac:dyDescent="0.25">
      <c r="A12378" s="1" t="str">
        <f>"500733"</f>
        <v>500733</v>
      </c>
      <c r="B12378" s="2" t="str">
        <f>"GUIA PRENSADOR MAQ SAQUINHO"</f>
        <v>GUIA PRENSADOR MAQ SAQUINHO</v>
      </c>
      <c r="C12378" s="2" t="str">
        <f t="shared" si="487"/>
        <v>UN</v>
      </c>
      <c r="D12378" s="7">
        <v>918</v>
      </c>
      <c r="E12378" s="3">
        <v>11</v>
      </c>
      <c r="F12378" s="3">
        <v>11</v>
      </c>
      <c r="G12378" t="s">
        <v>512</v>
      </c>
    </row>
    <row r="12379" spans="1:7" x14ac:dyDescent="0.25">
      <c r="A12379" s="1" t="str">
        <f>"518780"</f>
        <v>518780</v>
      </c>
      <c r="B12379" s="2" t="str">
        <f>"GUIA ROSCA S/ FIM AMARELO 160GR"</f>
        <v>GUIA ROSCA S/ FIM AMARELO 160GR</v>
      </c>
      <c r="C12379" s="2" t="str">
        <f t="shared" si="487"/>
        <v>UN</v>
      </c>
      <c r="D12379" s="7">
        <v>918</v>
      </c>
      <c r="E12379" s="3">
        <v>11</v>
      </c>
      <c r="F12379" s="3">
        <v>11</v>
      </c>
      <c r="G12379" t="s">
        <v>513</v>
      </c>
    </row>
    <row r="12380" spans="1:7" x14ac:dyDescent="0.25">
      <c r="A12380" s="1" t="str">
        <f>"518767"</f>
        <v>518767</v>
      </c>
      <c r="B12380" s="2" t="str">
        <f>"GUIA ROSCA S/ FIM AZUL 180GR"</f>
        <v>GUIA ROSCA S/ FIM AZUL 180GR</v>
      </c>
      <c r="C12380" s="2" t="str">
        <f t="shared" si="487"/>
        <v>UN</v>
      </c>
      <c r="D12380" s="7">
        <v>918</v>
      </c>
      <c r="E12380" s="3">
        <v>11</v>
      </c>
      <c r="F12380" s="3">
        <v>11</v>
      </c>
      <c r="G12380" t="s">
        <v>514</v>
      </c>
    </row>
    <row r="12381" spans="1:7" x14ac:dyDescent="0.25">
      <c r="A12381" s="1" t="str">
        <f>"504934"</f>
        <v>504934</v>
      </c>
      <c r="B12381" s="2" t="str">
        <f>"GUIA VALVULA ADMISSAO"</f>
        <v>GUIA VALVULA ADMISSAO</v>
      </c>
      <c r="C12381" s="2" t="str">
        <f t="shared" si="487"/>
        <v>UN</v>
      </c>
      <c r="D12381" s="7">
        <v>918</v>
      </c>
      <c r="E12381" s="3">
        <v>11</v>
      </c>
      <c r="F12381" s="3">
        <v>11</v>
      </c>
      <c r="G12381" t="s">
        <v>514</v>
      </c>
    </row>
    <row r="12382" spans="1:7" x14ac:dyDescent="0.25">
      <c r="A12382" s="1" t="str">
        <f>"502673"</f>
        <v>502673</v>
      </c>
      <c r="B12382" s="2" t="str">
        <f>"GUIA VALVULA CUMMINS"</f>
        <v>GUIA VALVULA CUMMINS</v>
      </c>
      <c r="C12382" s="2" t="str">
        <f t="shared" si="487"/>
        <v>UN</v>
      </c>
      <c r="D12382" s="7">
        <v>704</v>
      </c>
      <c r="E12382" s="3">
        <v>9</v>
      </c>
      <c r="F12382" s="3">
        <v>9</v>
      </c>
      <c r="G12382" t="s">
        <v>514</v>
      </c>
    </row>
    <row r="12383" spans="1:7" x14ac:dyDescent="0.25">
      <c r="A12383" s="1" t="str">
        <f>"523910"</f>
        <v>523910</v>
      </c>
      <c r="B12383" s="2" t="str">
        <f>"GUIA VERTICAL FECHADO 45U"</f>
        <v>GUIA VERTICAL FECHADO 45U</v>
      </c>
      <c r="C12383" s="2" t="str">
        <f t="shared" si="487"/>
        <v>UN</v>
      </c>
      <c r="D12383" s="7">
        <v>814</v>
      </c>
      <c r="E12383" s="3">
        <v>8</v>
      </c>
      <c r="F12383" s="3">
        <v>8</v>
      </c>
      <c r="G12383" t="s">
        <v>513</v>
      </c>
    </row>
    <row r="12384" spans="1:7" x14ac:dyDescent="0.25">
      <c r="A12384" s="1" t="str">
        <f>"511207"</f>
        <v>511207</v>
      </c>
      <c r="B12384" s="2" t="str">
        <f>"GUIDE COD. 49513"</f>
        <v>GUIDE COD. 49513</v>
      </c>
      <c r="C12384" s="2" t="str">
        <f t="shared" si="487"/>
        <v>UN</v>
      </c>
      <c r="D12384" s="7">
        <v>918</v>
      </c>
      <c r="E12384" s="3">
        <v>11</v>
      </c>
      <c r="F12384" s="3">
        <v>11</v>
      </c>
      <c r="G12384" t="s">
        <v>513</v>
      </c>
    </row>
    <row r="12385" spans="1:7" x14ac:dyDescent="0.25">
      <c r="A12385" s="1" t="str">
        <f>"511205"</f>
        <v>511205</v>
      </c>
      <c r="B12385" s="2" t="str">
        <f>"GUIDE PIN COD. 221231"</f>
        <v>GUIDE PIN COD. 221231</v>
      </c>
      <c r="C12385" s="2" t="str">
        <f t="shared" si="487"/>
        <v>UN</v>
      </c>
      <c r="D12385" s="7">
        <v>918</v>
      </c>
      <c r="E12385" s="3">
        <v>11</v>
      </c>
      <c r="F12385" s="3">
        <v>11</v>
      </c>
      <c r="G12385" t="s">
        <v>513</v>
      </c>
    </row>
    <row r="12386" spans="1:7" x14ac:dyDescent="0.25">
      <c r="A12386" s="1" t="str">
        <f>"6581"</f>
        <v>6581</v>
      </c>
      <c r="B12386" s="2" t="str">
        <f>"GUILHOTINA FACAO 297 P/8FOLHAS G320B"</f>
        <v>GUILHOTINA FACAO 297 P/8FOLHAS G320B</v>
      </c>
      <c r="C12386" s="2" t="str">
        <f t="shared" si="487"/>
        <v>UN</v>
      </c>
      <c r="D12386" s="7">
        <v>401</v>
      </c>
      <c r="E12386" s="3">
        <v>4</v>
      </c>
      <c r="F12386" s="3">
        <v>4</v>
      </c>
      <c r="G12386" t="s">
        <v>512</v>
      </c>
    </row>
    <row r="12387" spans="1:7" x14ac:dyDescent="0.25">
      <c r="A12387" s="1" t="str">
        <f>"503987"</f>
        <v>503987</v>
      </c>
      <c r="B12387" s="2" t="str">
        <f>"GUILHOTINA FACAO 345X530X90MM"</f>
        <v>GUILHOTINA FACAO 345X530X90MM</v>
      </c>
      <c r="C12387" s="2" t="str">
        <f t="shared" si="487"/>
        <v>UN</v>
      </c>
      <c r="D12387" s="7">
        <v>918</v>
      </c>
      <c r="E12387" s="3">
        <v>11</v>
      </c>
      <c r="F12387" s="3">
        <v>11</v>
      </c>
      <c r="G12387" t="s">
        <v>513</v>
      </c>
    </row>
    <row r="12388" spans="1:7" x14ac:dyDescent="0.25">
      <c r="A12388" s="1" t="str">
        <f>"510223"</f>
        <v>510223</v>
      </c>
      <c r="B12388" s="2" t="str">
        <f>"GUINCHO 2T RODA DE FERRO - GIRAFINHA"</f>
        <v>GUINCHO 2T RODA DE FERRO - GIRAFINHA</v>
      </c>
      <c r="C12388" s="2" t="str">
        <f t="shared" si="487"/>
        <v>UN</v>
      </c>
      <c r="D12388" s="7">
        <v>1200</v>
      </c>
      <c r="E12388" s="3">
        <v>13</v>
      </c>
      <c r="F12388" s="3">
        <v>13</v>
      </c>
      <c r="G12388" t="s">
        <v>514</v>
      </c>
    </row>
    <row r="12389" spans="1:7" x14ac:dyDescent="0.25">
      <c r="A12389" s="1" t="str">
        <f>"521662"</f>
        <v>521662</v>
      </c>
      <c r="B12389" s="2" t="str">
        <f>"GUINCHO ELETRICO 1.000KG 220V"</f>
        <v>GUINCHO ELETRICO 1.000KG 220V</v>
      </c>
      <c r="C12389" s="2" t="str">
        <f t="shared" si="487"/>
        <v>UN</v>
      </c>
      <c r="D12389" s="7">
        <v>811</v>
      </c>
      <c r="E12389" s="3">
        <v>8</v>
      </c>
      <c r="F12389" s="3">
        <v>8</v>
      </c>
      <c r="G12389" t="s">
        <v>515</v>
      </c>
    </row>
    <row r="12390" spans="1:7" x14ac:dyDescent="0.25">
      <c r="A12390" s="1" t="str">
        <f>"509834"</f>
        <v>509834</v>
      </c>
      <c r="B12390" s="2" t="str">
        <f>"GUINHO COLUNA ELETRICO 300/600KG 220V"</f>
        <v>GUINHO COLUNA ELETRICO 300/600KG 220V</v>
      </c>
      <c r="C12390" s="2" t="str">
        <f t="shared" si="487"/>
        <v>UN</v>
      </c>
      <c r="D12390" s="7">
        <v>402</v>
      </c>
      <c r="E12390" s="3">
        <v>4</v>
      </c>
      <c r="F12390" s="3">
        <v>4</v>
      </c>
      <c r="G12390" t="s">
        <v>512</v>
      </c>
    </row>
    <row r="12391" spans="1:7" x14ac:dyDescent="0.25">
      <c r="A12391" s="1" t="str">
        <f>"527302"</f>
        <v>527302</v>
      </c>
      <c r="B12391" s="2" t="str">
        <f>"GUIRLANDA"</f>
        <v>GUIRLANDA</v>
      </c>
      <c r="C12391" s="2" t="str">
        <f t="shared" si="487"/>
        <v>UN</v>
      </c>
      <c r="D12391" s="7">
        <v>99999</v>
      </c>
      <c r="E12391" s="3">
        <v>99</v>
      </c>
      <c r="F12391" s="3">
        <v>99</v>
      </c>
      <c r="G12391" t="s">
        <v>516</v>
      </c>
    </row>
    <row r="12392" spans="1:7" x14ac:dyDescent="0.25">
      <c r="A12392" s="1" t="str">
        <f>"517129"</f>
        <v>517129</v>
      </c>
      <c r="B12392" s="2" t="str">
        <f>"H13 RED 31X130 (8PÇS)"</f>
        <v>H13 RED 31X130 (8PÇS)</v>
      </c>
      <c r="C12392" s="2" t="str">
        <f t="shared" si="487"/>
        <v>UN</v>
      </c>
      <c r="D12392" s="7">
        <v>918</v>
      </c>
      <c r="E12392" s="3">
        <v>11</v>
      </c>
      <c r="F12392" s="3">
        <v>11</v>
      </c>
      <c r="G12392" t="s">
        <v>515</v>
      </c>
    </row>
    <row r="12393" spans="1:7" x14ac:dyDescent="0.25">
      <c r="A12393" s="1" t="str">
        <f>"514522"</f>
        <v>514522</v>
      </c>
      <c r="B12393" s="2" t="str">
        <f>"HALLS"</f>
        <v>HALLS</v>
      </c>
      <c r="C12393" s="2" t="str">
        <f t="shared" si="487"/>
        <v>UN</v>
      </c>
      <c r="D12393" s="7">
        <v>401</v>
      </c>
      <c r="E12393" s="3">
        <v>4</v>
      </c>
      <c r="F12393" s="3">
        <v>4</v>
      </c>
      <c r="G12393" t="s">
        <v>514</v>
      </c>
    </row>
    <row r="12394" spans="1:7" x14ac:dyDescent="0.25">
      <c r="A12394" s="1" t="str">
        <f>"522070"</f>
        <v>522070</v>
      </c>
      <c r="B12394" s="2" t="str">
        <f>"HANG TAB (40UN)"</f>
        <v>HANG TAB (40UN)</v>
      </c>
      <c r="C12394" s="2" t="str">
        <f t="shared" si="487"/>
        <v>UN</v>
      </c>
      <c r="D12394" s="7">
        <v>99999</v>
      </c>
      <c r="E12394" s="3">
        <v>99</v>
      </c>
      <c r="F12394" s="3">
        <v>99</v>
      </c>
      <c r="G12394" t="s">
        <v>512</v>
      </c>
    </row>
    <row r="12395" spans="1:7" x14ac:dyDescent="0.25">
      <c r="A12395" s="1" t="str">
        <f>"501585"</f>
        <v>501585</v>
      </c>
      <c r="B12395" s="2" t="str">
        <f>"HASTE ACELERADOR"</f>
        <v>HASTE ACELERADOR</v>
      </c>
      <c r="C12395" s="2" t="str">
        <f t="shared" si="487"/>
        <v>UN</v>
      </c>
      <c r="D12395" s="7">
        <v>704</v>
      </c>
      <c r="E12395" s="3">
        <v>9</v>
      </c>
      <c r="F12395" s="3">
        <v>9</v>
      </c>
      <c r="G12395" t="s">
        <v>513</v>
      </c>
    </row>
    <row r="12396" spans="1:7" x14ac:dyDescent="0.25">
      <c r="A12396" s="1" t="str">
        <f>"513395"</f>
        <v>513395</v>
      </c>
      <c r="B12396" s="2" t="str">
        <f>"HASTE AMERICANA HA200"</f>
        <v>HASTE AMERICANA HA200</v>
      </c>
      <c r="C12396" s="2" t="str">
        <f t="shared" si="487"/>
        <v>UN</v>
      </c>
      <c r="D12396" s="7">
        <v>400</v>
      </c>
      <c r="E12396" s="3">
        <v>4</v>
      </c>
      <c r="F12396" s="3">
        <v>4</v>
      </c>
      <c r="G12396" t="s">
        <v>514</v>
      </c>
    </row>
    <row r="12397" spans="1:7" x14ac:dyDescent="0.25">
      <c r="A12397" s="1" t="str">
        <f>"514656"</f>
        <v>514656</v>
      </c>
      <c r="B12397" s="2" t="str">
        <f>"HASTE ATERRAMENTO 5/8"""</f>
        <v>HASTE ATERRAMENTO 5/8"</v>
      </c>
      <c r="C12397" s="2" t="str">
        <f t="shared" si="487"/>
        <v>UN</v>
      </c>
      <c r="D12397" s="7">
        <v>601</v>
      </c>
      <c r="E12397" s="3">
        <v>8</v>
      </c>
      <c r="F12397" s="3">
        <v>8</v>
      </c>
      <c r="G12397" t="s">
        <v>514</v>
      </c>
    </row>
    <row r="12398" spans="1:7" x14ac:dyDescent="0.25">
      <c r="A12398" s="1" t="str">
        <f>"524109"</f>
        <v>524109</v>
      </c>
      <c r="B12398" s="2" t="str">
        <f>"HASTE BASE PENTAPE H4 + SAP2-050"</f>
        <v>HASTE BASE PENTAPE H4 + SAP2-050</v>
      </c>
      <c r="C12398" s="2" t="str">
        <f t="shared" si="487"/>
        <v>UN</v>
      </c>
      <c r="D12398" s="7">
        <v>401</v>
      </c>
      <c r="E12398" s="3">
        <v>4</v>
      </c>
      <c r="F12398" s="3">
        <v>4</v>
      </c>
      <c r="G12398" t="s">
        <v>512</v>
      </c>
    </row>
    <row r="12399" spans="1:7" x14ac:dyDescent="0.25">
      <c r="A12399" s="1" t="str">
        <f>"523877"</f>
        <v>523877</v>
      </c>
      <c r="B12399" s="2" t="str">
        <f>"HASTE BASE PENTAPE H4 + SIP1-010"</f>
        <v>HASTE BASE PENTAPE H4 + SIP1-010</v>
      </c>
      <c r="C12399" s="2" t="str">
        <f t="shared" si="487"/>
        <v>UN</v>
      </c>
      <c r="D12399" s="7">
        <v>401</v>
      </c>
      <c r="E12399" s="3">
        <v>4</v>
      </c>
      <c r="F12399" s="3">
        <v>4</v>
      </c>
      <c r="G12399" t="s">
        <v>513</v>
      </c>
    </row>
    <row r="12400" spans="1:7" x14ac:dyDescent="0.25">
      <c r="A12400" s="1" t="str">
        <f>"527290"</f>
        <v>527290</v>
      </c>
      <c r="B12400" s="2" t="str">
        <f>"HASTE C/ BUCHA DE POLIACETAL  RETIFICADO P/ DOSADOR DINI 550"</f>
        <v>HASTE C/ BUCHA DE POLIACETAL  RETIFICADO P/ DOSADOR DINI 550</v>
      </c>
      <c r="C12400" s="2" t="str">
        <f t="shared" si="487"/>
        <v>UN</v>
      </c>
      <c r="D12400" s="7">
        <v>918</v>
      </c>
      <c r="E12400" s="3">
        <v>11</v>
      </c>
      <c r="F12400" s="3">
        <v>11</v>
      </c>
      <c r="G12400" t="s">
        <v>514</v>
      </c>
    </row>
    <row r="12401" spans="1:7" x14ac:dyDescent="0.25">
      <c r="A12401" s="1" t="str">
        <f>"501116"</f>
        <v>501116</v>
      </c>
      <c r="B12401" s="2" t="str">
        <f>"HASTE CIL.PNEUM. NORGREN M/P19968/0050"</f>
        <v>HASTE CIL.PNEUM. NORGREN M/P19968/0050</v>
      </c>
      <c r="C12401" s="2" t="str">
        <f>"BR"</f>
        <v>BR</v>
      </c>
      <c r="D12401" s="7">
        <v>808</v>
      </c>
      <c r="E12401" s="3">
        <v>10</v>
      </c>
      <c r="F12401" s="3">
        <v>10</v>
      </c>
      <c r="G12401" t="s">
        <v>514</v>
      </c>
    </row>
    <row r="12402" spans="1:7" x14ac:dyDescent="0.25">
      <c r="A12402" s="1" t="str">
        <f>"523130"</f>
        <v>523130</v>
      </c>
      <c r="B12402" s="2" t="str">
        <f>"HASTE CILINDRO CENTRAL"</f>
        <v>HASTE CILINDRO CENTRAL</v>
      </c>
      <c r="C12402" s="2" t="str">
        <f>"UN"</f>
        <v>UN</v>
      </c>
      <c r="D12402" s="7">
        <v>914</v>
      </c>
      <c r="E12402" s="3">
        <v>10</v>
      </c>
      <c r="F12402" s="3">
        <v>10</v>
      </c>
      <c r="G12402" t="s">
        <v>514</v>
      </c>
    </row>
    <row r="12403" spans="1:7" x14ac:dyDescent="0.25">
      <c r="A12403" s="1" t="str">
        <f>"502648"</f>
        <v>502648</v>
      </c>
      <c r="B12403" s="2" t="str">
        <f>"HASTE CILINDRO DNC 100-170-PPV"</f>
        <v>HASTE CILINDRO DNC 100-170-PPV</v>
      </c>
      <c r="C12403" s="2" t="str">
        <f>"BR"</f>
        <v>BR</v>
      </c>
      <c r="D12403" s="7">
        <v>808</v>
      </c>
      <c r="E12403" s="3">
        <v>10</v>
      </c>
      <c r="F12403" s="3">
        <v>10</v>
      </c>
      <c r="G12403" t="s">
        <v>513</v>
      </c>
    </row>
    <row r="12404" spans="1:7" x14ac:dyDescent="0.25">
      <c r="A12404" s="1" t="str">
        <f>"503915"</f>
        <v>503915</v>
      </c>
      <c r="B12404" s="2" t="str">
        <f>"HASTE CILINDRO DNC 80-160MM"</f>
        <v>HASTE CILINDRO DNC 80-160MM</v>
      </c>
      <c r="C12404" s="2" t="str">
        <f>"BR"</f>
        <v>BR</v>
      </c>
      <c r="D12404" s="7">
        <v>808</v>
      </c>
      <c r="E12404" s="3">
        <v>10</v>
      </c>
      <c r="F12404" s="3">
        <v>10</v>
      </c>
      <c r="G12404" t="s">
        <v>512</v>
      </c>
    </row>
    <row r="12405" spans="1:7" x14ac:dyDescent="0.25">
      <c r="A12405" s="1" t="str">
        <f>"523129"</f>
        <v>523129</v>
      </c>
      <c r="B12405" s="2" t="str">
        <f>"HASTE CILINDRO LATERAL"</f>
        <v>HASTE CILINDRO LATERAL</v>
      </c>
      <c r="C12405" s="2" t="str">
        <f t="shared" ref="C12405:C12411" si="488">"UN"</f>
        <v>UN</v>
      </c>
      <c r="D12405" s="7">
        <v>914</v>
      </c>
      <c r="E12405" s="3">
        <v>10</v>
      </c>
      <c r="F12405" s="3">
        <v>10</v>
      </c>
      <c r="G12405" t="s">
        <v>513</v>
      </c>
    </row>
    <row r="12406" spans="1:7" x14ac:dyDescent="0.25">
      <c r="A12406" s="1" t="str">
        <f>"513020"</f>
        <v>513020</v>
      </c>
      <c r="B12406" s="2" t="str">
        <f>"HASTE CROMADA 20MM"</f>
        <v>HASTE CROMADA 20MM</v>
      </c>
      <c r="C12406" s="2" t="str">
        <f t="shared" si="488"/>
        <v>UN</v>
      </c>
      <c r="D12406" s="7">
        <v>918</v>
      </c>
      <c r="E12406" s="3">
        <v>11</v>
      </c>
      <c r="F12406" s="3">
        <v>11</v>
      </c>
      <c r="G12406" t="s">
        <v>514</v>
      </c>
    </row>
    <row r="12407" spans="1:7" x14ac:dyDescent="0.25">
      <c r="A12407" s="1" t="str">
        <f>"519662"</f>
        <v>519662</v>
      </c>
      <c r="B12407" s="2" t="str">
        <f>"HASTE CROMADA 25MM"</f>
        <v>HASTE CROMADA 25MM</v>
      </c>
      <c r="C12407" s="2" t="str">
        <f t="shared" si="488"/>
        <v>UN</v>
      </c>
      <c r="D12407" s="7">
        <v>918</v>
      </c>
      <c r="E12407" s="3">
        <v>11</v>
      </c>
      <c r="F12407" s="3">
        <v>11</v>
      </c>
      <c r="G12407" t="s">
        <v>514</v>
      </c>
    </row>
    <row r="12408" spans="1:7" x14ac:dyDescent="0.25">
      <c r="A12408" s="1" t="str">
        <f>"506550"</f>
        <v>506550</v>
      </c>
      <c r="B12408" s="2" t="str">
        <f>"HASTE DE IMPULSO COD. 009300204"</f>
        <v>HASTE DE IMPULSO COD. 009300204</v>
      </c>
      <c r="C12408" s="2" t="str">
        <f t="shared" si="488"/>
        <v>UN</v>
      </c>
      <c r="D12408" s="7">
        <v>918</v>
      </c>
      <c r="E12408" s="3">
        <v>11</v>
      </c>
      <c r="F12408" s="3">
        <v>11</v>
      </c>
      <c r="G12408" t="s">
        <v>514</v>
      </c>
    </row>
    <row r="12409" spans="1:7" x14ac:dyDescent="0.25">
      <c r="A12409" s="1" t="str">
        <f>"524978"</f>
        <v>524978</v>
      </c>
      <c r="B12409" s="2" t="str">
        <f>"HASTE DE NIVEL C0-08059"</f>
        <v>HASTE DE NIVEL C0-08059</v>
      </c>
      <c r="C12409" s="2" t="str">
        <f t="shared" si="488"/>
        <v>UN</v>
      </c>
      <c r="D12409" s="7">
        <v>811</v>
      </c>
      <c r="E12409" s="3">
        <v>11</v>
      </c>
      <c r="F12409" s="3">
        <v>11</v>
      </c>
      <c r="G12409" t="s">
        <v>513</v>
      </c>
    </row>
    <row r="12410" spans="1:7" x14ac:dyDescent="0.25">
      <c r="A12410" s="1" t="str">
        <f>"527103"</f>
        <v>527103</v>
      </c>
      <c r="B12410" s="2" t="str">
        <f>"HASTE DO PISTÃO"</f>
        <v>HASTE DO PISTÃO</v>
      </c>
      <c r="C12410" s="2" t="str">
        <f t="shared" si="488"/>
        <v>UN</v>
      </c>
      <c r="D12410" s="7">
        <v>403</v>
      </c>
      <c r="E12410" s="3">
        <v>4</v>
      </c>
      <c r="F12410" s="3">
        <v>4</v>
      </c>
      <c r="G12410" t="s">
        <v>513</v>
      </c>
    </row>
    <row r="12411" spans="1:7" x14ac:dyDescent="0.25">
      <c r="A12411" s="1" t="str">
        <f>"503538"</f>
        <v>503538</v>
      </c>
      <c r="B12411" s="2" t="str">
        <f>"HASTE EF ACO INOX 303 300MMXM5 NIVEL"</f>
        <v>HASTE EF ACO INOX 303 300MMXM5 NIVEL</v>
      </c>
      <c r="C12411" s="2" t="str">
        <f t="shared" si="488"/>
        <v>UN</v>
      </c>
      <c r="D12411" s="7">
        <v>808</v>
      </c>
      <c r="E12411" s="3">
        <v>10</v>
      </c>
      <c r="F12411" s="3">
        <v>10</v>
      </c>
      <c r="G12411" t="s">
        <v>513</v>
      </c>
    </row>
    <row r="12412" spans="1:7" x14ac:dyDescent="0.25">
      <c r="A12412" s="1" t="str">
        <f>"503278"</f>
        <v>503278</v>
      </c>
      <c r="B12412" s="2" t="str">
        <f>"HASTE FESTO DNC6332PPV S2SAB639 14010151"</f>
        <v>HASTE FESTO DNC6332PPV S2SAB639 14010151</v>
      </c>
      <c r="C12412" s="2" t="str">
        <f>"BR"</f>
        <v>BR</v>
      </c>
      <c r="D12412" s="7">
        <v>808</v>
      </c>
      <c r="E12412" s="3">
        <v>10</v>
      </c>
      <c r="F12412" s="3">
        <v>10</v>
      </c>
      <c r="G12412" t="s">
        <v>512</v>
      </c>
    </row>
    <row r="12413" spans="1:7" x14ac:dyDescent="0.25">
      <c r="A12413" s="1" t="str">
        <f>"503614"</f>
        <v>503614</v>
      </c>
      <c r="B12413" s="2" t="str">
        <f>"HASTE GUIA M5 DATADOR SAQUINHO"</f>
        <v>HASTE GUIA M5 DATADOR SAQUINHO</v>
      </c>
      <c r="C12413" s="2" t="str">
        <f t="shared" ref="C12413:C12449" si="489">"UN"</f>
        <v>UN</v>
      </c>
      <c r="D12413" s="7">
        <v>918</v>
      </c>
      <c r="E12413" s="3">
        <v>11</v>
      </c>
      <c r="F12413" s="3">
        <v>11</v>
      </c>
      <c r="G12413" t="s">
        <v>513</v>
      </c>
    </row>
    <row r="12414" spans="1:7" x14ac:dyDescent="0.25">
      <c r="A12414" s="1" t="str">
        <f>"501466"</f>
        <v>501466</v>
      </c>
      <c r="B12414" s="2" t="str">
        <f>"HASTE P/ ATERRAMENTO 2,40MT"</f>
        <v>HASTE P/ ATERRAMENTO 2,40MT</v>
      </c>
      <c r="C12414" s="2" t="str">
        <f t="shared" si="489"/>
        <v>UN</v>
      </c>
      <c r="D12414" s="7">
        <v>601</v>
      </c>
      <c r="E12414" s="3">
        <v>8</v>
      </c>
      <c r="F12414" s="3">
        <v>8</v>
      </c>
      <c r="G12414" t="s">
        <v>514</v>
      </c>
    </row>
    <row r="12415" spans="1:7" x14ac:dyDescent="0.25">
      <c r="A12415" s="1" t="str">
        <f>"506456"</f>
        <v>506456</v>
      </c>
      <c r="B12415" s="2" t="str">
        <f>"HASTE P/ ATERRAMENTO 5/8 X 2.40M"</f>
        <v>HASTE P/ ATERRAMENTO 5/8 X 2.40M</v>
      </c>
      <c r="C12415" s="2" t="str">
        <f t="shared" si="489"/>
        <v>UN</v>
      </c>
      <c r="D12415" s="7">
        <v>918</v>
      </c>
      <c r="E12415" s="3">
        <v>11</v>
      </c>
      <c r="F12415" s="3">
        <v>11</v>
      </c>
      <c r="G12415" t="s">
        <v>515</v>
      </c>
    </row>
    <row r="12416" spans="1:7" x14ac:dyDescent="0.25">
      <c r="A12416" s="1" t="str">
        <f>"522154"</f>
        <v>522154</v>
      </c>
      <c r="B12416" s="2" t="str">
        <f>"HASTE P/ ATERRAMENTO 5/8 X 3M (DIAMETRO 14,3MM EFETIVO)"</f>
        <v>HASTE P/ ATERRAMENTO 5/8 X 3M (DIAMETRO 14,3MM EFETIVO)</v>
      </c>
      <c r="C12416" s="2" t="str">
        <f t="shared" si="489"/>
        <v>UN</v>
      </c>
      <c r="D12416" s="7">
        <v>918</v>
      </c>
      <c r="E12416" s="3">
        <v>11</v>
      </c>
      <c r="F12416" s="3">
        <v>11</v>
      </c>
      <c r="G12416" t="s">
        <v>512</v>
      </c>
    </row>
    <row r="12417" spans="1:7" x14ac:dyDescent="0.25">
      <c r="A12417" s="1" t="str">
        <f>"500890"</f>
        <v>500890</v>
      </c>
      <c r="B12417" s="2" t="str">
        <f>"HASTE P/ ATERRAMENTO IH-1012"</f>
        <v>HASTE P/ ATERRAMENTO IH-1012</v>
      </c>
      <c r="C12417" s="2" t="str">
        <f t="shared" si="489"/>
        <v>UN</v>
      </c>
      <c r="D12417" s="7">
        <v>601</v>
      </c>
      <c r="E12417" s="3">
        <v>8</v>
      </c>
      <c r="F12417" s="3">
        <v>8</v>
      </c>
      <c r="G12417" t="s">
        <v>516</v>
      </c>
    </row>
    <row r="12418" spans="1:7" x14ac:dyDescent="0.25">
      <c r="A12418" s="1" t="str">
        <f>"505745"</f>
        <v>505745</v>
      </c>
      <c r="B12418" s="2" t="str">
        <f>"HASTE P/ GRAMPO DE INOX 100MM X ROSCA M8"</f>
        <v>HASTE P/ GRAMPO DE INOX 100MM X ROSCA M8</v>
      </c>
      <c r="C12418" s="2" t="str">
        <f t="shared" si="489"/>
        <v>UN</v>
      </c>
      <c r="D12418" s="7">
        <v>704</v>
      </c>
      <c r="E12418" s="3">
        <v>9</v>
      </c>
      <c r="F12418" s="3">
        <v>9</v>
      </c>
      <c r="G12418" t="s">
        <v>515</v>
      </c>
    </row>
    <row r="12419" spans="1:7" x14ac:dyDescent="0.25">
      <c r="A12419" s="1" t="str">
        <f>"503358"</f>
        <v>503358</v>
      </c>
      <c r="B12419" s="2" t="str">
        <f>"HASTE P/ GRAMPO INOX M8 MACHO X 100"</f>
        <v>HASTE P/ GRAMPO INOX M8 MACHO X 100</v>
      </c>
      <c r="C12419" s="2" t="str">
        <f t="shared" si="489"/>
        <v>UN</v>
      </c>
      <c r="D12419" s="7">
        <v>812</v>
      </c>
      <c r="E12419" s="3">
        <v>10</v>
      </c>
      <c r="F12419" s="3">
        <v>10</v>
      </c>
      <c r="G12419" t="s">
        <v>514</v>
      </c>
    </row>
    <row r="12420" spans="1:7" x14ac:dyDescent="0.25">
      <c r="A12420" s="1" t="str">
        <f>"527051"</f>
        <v>527051</v>
      </c>
      <c r="B12420" s="2" t="str">
        <f>"HASTE P/ GRAMPO M08X100MM MACHO INOX"</f>
        <v>HASTE P/ GRAMPO M08X100MM MACHO INOX</v>
      </c>
      <c r="C12420" s="2" t="str">
        <f t="shared" si="489"/>
        <v>UN</v>
      </c>
      <c r="D12420" s="7">
        <v>918</v>
      </c>
      <c r="E12420" s="3">
        <v>11</v>
      </c>
      <c r="F12420" s="3">
        <v>11</v>
      </c>
      <c r="G12420" t="s">
        <v>512</v>
      </c>
    </row>
    <row r="12421" spans="1:7" x14ac:dyDescent="0.25">
      <c r="A12421" s="1" t="str">
        <f>"516925"</f>
        <v>516925</v>
      </c>
      <c r="B12421" s="2" t="str">
        <f>"HASTE P/ GRAMPO M8 FEMEA X 100"</f>
        <v>HASTE P/ GRAMPO M8 FEMEA X 100</v>
      </c>
      <c r="C12421" s="2" t="str">
        <f t="shared" si="489"/>
        <v>UN</v>
      </c>
      <c r="D12421" s="7">
        <v>918</v>
      </c>
      <c r="E12421" s="3">
        <v>11</v>
      </c>
      <c r="F12421" s="3">
        <v>11</v>
      </c>
      <c r="G12421" t="s">
        <v>513</v>
      </c>
    </row>
    <row r="12422" spans="1:7" x14ac:dyDescent="0.25">
      <c r="A12422" s="1" t="str">
        <f>"507107"</f>
        <v>507107</v>
      </c>
      <c r="B12422" s="2" t="str">
        <f>"HASTE PISTAO HIDRAULICO COD. 008552536"</f>
        <v>HASTE PISTAO HIDRAULICO COD. 008552536</v>
      </c>
      <c r="C12422" s="2" t="str">
        <f t="shared" si="489"/>
        <v>UN</v>
      </c>
      <c r="D12422" s="7">
        <v>918</v>
      </c>
      <c r="E12422" s="3">
        <v>11</v>
      </c>
      <c r="F12422" s="3">
        <v>11</v>
      </c>
      <c r="G12422" t="s">
        <v>514</v>
      </c>
    </row>
    <row r="12423" spans="1:7" x14ac:dyDescent="0.25">
      <c r="A12423" s="1" t="str">
        <f>"520382"</f>
        <v>520382</v>
      </c>
      <c r="B12423" s="2" t="str">
        <f>"HASTE PLASTICA M8 T12,7 90MM ASTERBELT"</f>
        <v>HASTE PLASTICA M8 T12,7 90MM ASTERBELT</v>
      </c>
      <c r="C12423" s="2" t="str">
        <f t="shared" si="489"/>
        <v>UN</v>
      </c>
      <c r="D12423" s="7">
        <v>812</v>
      </c>
      <c r="E12423" s="3">
        <v>10</v>
      </c>
      <c r="F12423" s="3">
        <v>10</v>
      </c>
      <c r="G12423" t="s">
        <v>514</v>
      </c>
    </row>
    <row r="12424" spans="1:7" x14ac:dyDescent="0.25">
      <c r="A12424" s="1" t="str">
        <f>"517527"</f>
        <v>517527</v>
      </c>
      <c r="B12424" s="2" t="str">
        <f>"HASTE PLATINA 442G005800"</f>
        <v>HASTE PLATINA 442G005800</v>
      </c>
      <c r="C12424" s="2" t="str">
        <f t="shared" si="489"/>
        <v>UN</v>
      </c>
      <c r="D12424" s="7">
        <v>918</v>
      </c>
      <c r="E12424" s="3">
        <v>11</v>
      </c>
      <c r="F12424" s="3">
        <v>11</v>
      </c>
      <c r="G12424" t="s">
        <v>512</v>
      </c>
    </row>
    <row r="12425" spans="1:7" x14ac:dyDescent="0.25">
      <c r="A12425" s="1" t="str">
        <f>"515097"</f>
        <v>515097</v>
      </c>
      <c r="B12425" s="2" t="str">
        <f>"HASTE RETIFICADA CROMO DURO 30MM"</f>
        <v>HASTE RETIFICADA CROMO DURO 30MM</v>
      </c>
      <c r="C12425" s="2" t="str">
        <f t="shared" si="489"/>
        <v>UN</v>
      </c>
      <c r="D12425" s="7">
        <v>1003</v>
      </c>
      <c r="E12425" s="3">
        <v>11</v>
      </c>
      <c r="F12425" s="3">
        <v>11</v>
      </c>
      <c r="G12425" t="s">
        <v>513</v>
      </c>
    </row>
    <row r="12426" spans="1:7" x14ac:dyDescent="0.25">
      <c r="A12426" s="1" t="str">
        <f>"527507"</f>
        <v>527507</v>
      </c>
      <c r="B12426" s="2" t="str">
        <f>"HASTE TIPO EURO PLASTICA BRALIMPA HE22AZ AZUL"</f>
        <v>HASTE TIPO EURO PLASTICA BRALIMPA HE22AZ AZUL</v>
      </c>
      <c r="C12426" s="2" t="str">
        <f t="shared" si="489"/>
        <v>UN</v>
      </c>
      <c r="D12426" s="7">
        <v>99999</v>
      </c>
      <c r="E12426" s="3">
        <v>99</v>
      </c>
      <c r="F12426" s="3">
        <v>99</v>
      </c>
      <c r="G12426" t="s">
        <v>514</v>
      </c>
    </row>
    <row r="12427" spans="1:7" x14ac:dyDescent="0.25">
      <c r="A12427" s="1" t="str">
        <f>"502198"</f>
        <v>502198</v>
      </c>
      <c r="B12427" s="8" t="s">
        <v>14</v>
      </c>
      <c r="C12427" s="2" t="str">
        <f t="shared" si="489"/>
        <v>UN</v>
      </c>
      <c r="D12427" s="7">
        <v>918</v>
      </c>
      <c r="E12427" s="3">
        <v>11</v>
      </c>
      <c r="F12427" s="3">
        <v>11</v>
      </c>
      <c r="G12427" t="s">
        <v>514</v>
      </c>
    </row>
    <row r="12428" spans="1:7" x14ac:dyDescent="0.25">
      <c r="A12428" s="1" t="str">
        <f>"505438"</f>
        <v>505438</v>
      </c>
      <c r="B12428" s="2" t="str">
        <f>"HASTE VALVULA CUMMINS"</f>
        <v>HASTE VALVULA CUMMINS</v>
      </c>
      <c r="C12428" s="2" t="str">
        <f t="shared" si="489"/>
        <v>UN</v>
      </c>
      <c r="D12428" s="7">
        <v>704</v>
      </c>
      <c r="E12428" s="3">
        <v>9</v>
      </c>
      <c r="F12428" s="3">
        <v>9</v>
      </c>
      <c r="G12428" t="s">
        <v>514</v>
      </c>
    </row>
    <row r="12429" spans="1:7" x14ac:dyDescent="0.25">
      <c r="A12429" s="1" t="str">
        <f>"516644"</f>
        <v>516644</v>
      </c>
      <c r="B12429" s="2" t="str">
        <f>"HASTE VALVULA SEGURANÇA RANNIE 132T-70.140 APF-9615"</f>
        <v>HASTE VALVULA SEGURANÇA RANNIE 132T-70.140 APF-9615</v>
      </c>
      <c r="C12429" s="2" t="str">
        <f t="shared" si="489"/>
        <v>UN</v>
      </c>
      <c r="D12429" s="7">
        <v>918</v>
      </c>
      <c r="E12429" s="3">
        <v>11</v>
      </c>
      <c r="F12429" s="3">
        <v>11</v>
      </c>
      <c r="G12429" t="s">
        <v>513</v>
      </c>
    </row>
    <row r="12430" spans="1:7" x14ac:dyDescent="0.25">
      <c r="A12430" s="1" t="str">
        <f>"511008"</f>
        <v>511008</v>
      </c>
      <c r="B12430" s="2" t="str">
        <f>"HASTE VINCO INTERNO"</f>
        <v>HASTE VINCO INTERNO</v>
      </c>
      <c r="C12430" s="2" t="str">
        <f t="shared" si="489"/>
        <v>UN</v>
      </c>
      <c r="D12430" s="7">
        <v>401</v>
      </c>
      <c r="E12430" s="3">
        <v>4</v>
      </c>
      <c r="F12430" s="3">
        <v>4</v>
      </c>
      <c r="G12430" t="s">
        <v>512</v>
      </c>
    </row>
    <row r="12431" spans="1:7" x14ac:dyDescent="0.25">
      <c r="A12431" s="1" t="str">
        <f>"510630"</f>
        <v>510630</v>
      </c>
      <c r="B12431" s="2" t="str">
        <f>"HAVOLINA XLC SEMI CONCENTRADO 1L"</f>
        <v>HAVOLINA XLC SEMI CONCENTRADO 1L</v>
      </c>
      <c r="C12431" s="2" t="str">
        <f t="shared" si="489"/>
        <v>UN</v>
      </c>
      <c r="D12431" s="7">
        <v>704</v>
      </c>
      <c r="E12431" s="3">
        <v>9</v>
      </c>
      <c r="F12431" s="3">
        <v>9</v>
      </c>
      <c r="G12431" t="s">
        <v>513</v>
      </c>
    </row>
    <row r="12432" spans="1:7" x14ac:dyDescent="0.25">
      <c r="A12432" s="1" t="str">
        <f>"513861"</f>
        <v>513861</v>
      </c>
      <c r="B12432" s="2" t="str">
        <f>"HD 2TB SATA 5900 RPM SEAGATE"</f>
        <v>HD 2TB SATA 5900 RPM SEAGATE</v>
      </c>
      <c r="C12432" s="2" t="str">
        <f t="shared" si="489"/>
        <v>UN</v>
      </c>
      <c r="D12432" s="7">
        <v>1500</v>
      </c>
      <c r="E12432" s="3">
        <v>99</v>
      </c>
      <c r="F12432" s="3">
        <v>99</v>
      </c>
      <c r="G12432" t="s">
        <v>514</v>
      </c>
    </row>
    <row r="12433" spans="1:7" x14ac:dyDescent="0.25">
      <c r="A12433" s="1" t="str">
        <f>"520883"</f>
        <v>520883</v>
      </c>
      <c r="B12433" s="2" t="str">
        <f>"HD 4TB SAMSUNG"</f>
        <v>HD 4TB SAMSUNG</v>
      </c>
      <c r="C12433" s="2" t="str">
        <f t="shared" si="489"/>
        <v>UN</v>
      </c>
      <c r="D12433" s="7">
        <v>401</v>
      </c>
      <c r="E12433" s="3">
        <v>4</v>
      </c>
      <c r="F12433" s="3">
        <v>4</v>
      </c>
      <c r="G12433" t="s">
        <v>514</v>
      </c>
    </row>
    <row r="12434" spans="1:7" x14ac:dyDescent="0.25">
      <c r="A12434" s="1" t="str">
        <f>"515367"</f>
        <v>515367</v>
      </c>
      <c r="B12434" s="2" t="str">
        <f>"HD 500GB"</f>
        <v>HD 500GB</v>
      </c>
      <c r="C12434" s="2" t="str">
        <f t="shared" si="489"/>
        <v>UN</v>
      </c>
      <c r="D12434" s="7">
        <v>601</v>
      </c>
      <c r="E12434" s="3">
        <v>8</v>
      </c>
      <c r="F12434" s="3">
        <v>8</v>
      </c>
      <c r="G12434" t="s">
        <v>514</v>
      </c>
    </row>
    <row r="12435" spans="1:7" x14ac:dyDescent="0.25">
      <c r="A12435" s="1" t="str">
        <f>"523657"</f>
        <v>523657</v>
      </c>
      <c r="B12435" s="2" t="str">
        <f>"HD 600GB"</f>
        <v>HD 600GB</v>
      </c>
      <c r="C12435" s="2" t="str">
        <f t="shared" si="489"/>
        <v>UN</v>
      </c>
      <c r="D12435" s="7">
        <v>601</v>
      </c>
      <c r="E12435" s="3">
        <v>8</v>
      </c>
      <c r="F12435" s="3">
        <v>8</v>
      </c>
      <c r="G12435" t="s">
        <v>513</v>
      </c>
    </row>
    <row r="12436" spans="1:7" x14ac:dyDescent="0.25">
      <c r="A12436" s="1" t="str">
        <f>"515742"</f>
        <v>515742</v>
      </c>
      <c r="B12436" s="2" t="str">
        <f>"HD EXTERNO USB"</f>
        <v>HD EXTERNO USB</v>
      </c>
      <c r="C12436" s="2" t="str">
        <f t="shared" si="489"/>
        <v>UN</v>
      </c>
      <c r="D12436" s="7">
        <v>401</v>
      </c>
      <c r="E12436" s="3">
        <v>4</v>
      </c>
      <c r="F12436" s="3">
        <v>4</v>
      </c>
      <c r="G12436" t="s">
        <v>513</v>
      </c>
    </row>
    <row r="12437" spans="1:7" x14ac:dyDescent="0.25">
      <c r="A12437" s="1" t="str">
        <f>"573837"</f>
        <v>573837</v>
      </c>
      <c r="B12437" s="2" t="str">
        <f>"HD/SSD 120GB"</f>
        <v>HD/SSD 120GB</v>
      </c>
      <c r="C12437" s="2" t="str">
        <f t="shared" si="489"/>
        <v>UN</v>
      </c>
      <c r="D12437" s="7">
        <v>601</v>
      </c>
      <c r="E12437" s="3">
        <v>8</v>
      </c>
      <c r="F12437" s="3">
        <v>8</v>
      </c>
      <c r="G12437" t="s">
        <v>513</v>
      </c>
    </row>
    <row r="12438" spans="1:7" x14ac:dyDescent="0.25">
      <c r="A12438" s="1" t="str">
        <f>"514945"</f>
        <v>514945</v>
      </c>
      <c r="B12438" s="2" t="str">
        <f>"HD/SSD 1TB/1000GB"</f>
        <v>HD/SSD 1TB/1000GB</v>
      </c>
      <c r="C12438" s="2" t="str">
        <f t="shared" si="489"/>
        <v>UN</v>
      </c>
      <c r="D12438" s="7">
        <v>601</v>
      </c>
      <c r="E12438" s="3">
        <v>8</v>
      </c>
      <c r="F12438" s="3">
        <v>8</v>
      </c>
      <c r="G12438" t="s">
        <v>512</v>
      </c>
    </row>
    <row r="12439" spans="1:7" x14ac:dyDescent="0.25">
      <c r="A12439" s="1" t="str">
        <f>"573836"</f>
        <v>573836</v>
      </c>
      <c r="B12439" s="2" t="str">
        <f>"HD/SSD 2TB/2000GB"</f>
        <v>HD/SSD 2TB/2000GB</v>
      </c>
      <c r="C12439" s="2" t="str">
        <f t="shared" si="489"/>
        <v>UN</v>
      </c>
      <c r="D12439" s="7">
        <v>601</v>
      </c>
      <c r="E12439" s="3">
        <v>8</v>
      </c>
      <c r="F12439" s="3">
        <v>8</v>
      </c>
      <c r="G12439" t="s">
        <v>513</v>
      </c>
    </row>
    <row r="12440" spans="1:7" x14ac:dyDescent="0.25">
      <c r="A12440" s="1" t="str">
        <f>"528118"</f>
        <v>528118</v>
      </c>
      <c r="B12440" s="2" t="str">
        <f>"HDD WESTERN DIGITAL WD PURPLE 4TB"</f>
        <v>HDD WESTERN DIGITAL WD PURPLE 4TB</v>
      </c>
      <c r="C12440" s="2" t="str">
        <f t="shared" si="489"/>
        <v>UN</v>
      </c>
      <c r="D12440" s="7">
        <v>601</v>
      </c>
      <c r="E12440" s="3">
        <v>8</v>
      </c>
      <c r="F12440" s="3">
        <v>8</v>
      </c>
      <c r="G12440" t="s">
        <v>514</v>
      </c>
    </row>
    <row r="12441" spans="1:7" x14ac:dyDescent="0.25">
      <c r="A12441" s="1" t="str">
        <f>"513158"</f>
        <v>513158</v>
      </c>
      <c r="B12441" s="2" t="str">
        <f>"HEADSET DOUBLE SOUND"</f>
        <v>HEADSET DOUBLE SOUND</v>
      </c>
      <c r="C12441" s="2" t="str">
        <f t="shared" si="489"/>
        <v>UN</v>
      </c>
      <c r="D12441" s="7">
        <v>401</v>
      </c>
      <c r="E12441" s="3">
        <v>4</v>
      </c>
      <c r="F12441" s="3">
        <v>4</v>
      </c>
      <c r="G12441" t="s">
        <v>515</v>
      </c>
    </row>
    <row r="12442" spans="1:7" x14ac:dyDescent="0.25">
      <c r="A12442" s="1" t="str">
        <f>"525038"</f>
        <v>525038</v>
      </c>
      <c r="B12442" s="2" t="str">
        <f>"HEAVY PALLET PLASTICO 1000X1200X170MM BR"</f>
        <v>HEAVY PALLET PLASTICO 1000X1200X170MM BR</v>
      </c>
      <c r="C12442" s="2" t="str">
        <f t="shared" si="489"/>
        <v>UN</v>
      </c>
      <c r="D12442" s="7">
        <v>99999</v>
      </c>
      <c r="E12442" s="3">
        <v>4</v>
      </c>
      <c r="F12442" s="3">
        <v>4</v>
      </c>
      <c r="G12442" t="s">
        <v>512</v>
      </c>
    </row>
    <row r="12443" spans="1:7" x14ac:dyDescent="0.25">
      <c r="A12443" s="1" t="str">
        <f>"513925"</f>
        <v>513925</v>
      </c>
      <c r="B12443" s="2" t="str">
        <f>"HELICE"</f>
        <v>HELICE</v>
      </c>
      <c r="C12443" s="2" t="str">
        <f t="shared" si="489"/>
        <v>UN</v>
      </c>
      <c r="D12443" s="7">
        <v>918</v>
      </c>
      <c r="E12443" s="3">
        <v>9</v>
      </c>
      <c r="F12443" s="3">
        <v>9</v>
      </c>
      <c r="G12443" t="s">
        <v>516</v>
      </c>
    </row>
    <row r="12444" spans="1:7" x14ac:dyDescent="0.25">
      <c r="A12444" s="1" t="str">
        <f>"524044"</f>
        <v>524044</v>
      </c>
      <c r="B12444" s="2" t="str">
        <f>"HELICE  003255"</f>
        <v>HELICE  003255</v>
      </c>
      <c r="C12444" s="2" t="str">
        <f t="shared" si="489"/>
        <v>UN</v>
      </c>
      <c r="D12444" s="7">
        <v>918</v>
      </c>
      <c r="E12444" s="3">
        <v>4</v>
      </c>
      <c r="F12444" s="3">
        <v>4</v>
      </c>
      <c r="G12444" t="s">
        <v>515</v>
      </c>
    </row>
    <row r="12445" spans="1:7" x14ac:dyDescent="0.25">
      <c r="A12445" s="1" t="str">
        <f>"519312"</f>
        <v>519312</v>
      </c>
      <c r="B12445" s="2" t="str">
        <f>"HELICE 10 PAS CUBO ALUMINIO P/ MOTOR 3CV 4P 680 DIAMETRO"</f>
        <v>HELICE 10 PAS CUBO ALUMINIO P/ MOTOR 3CV 4P 680 DIAMETRO</v>
      </c>
      <c r="C12445" s="2" t="str">
        <f t="shared" si="489"/>
        <v>UN</v>
      </c>
      <c r="D12445" s="7">
        <v>918</v>
      </c>
      <c r="E12445" s="3">
        <v>11</v>
      </c>
      <c r="F12445" s="3">
        <v>11</v>
      </c>
      <c r="G12445" t="s">
        <v>514</v>
      </c>
    </row>
    <row r="12446" spans="1:7" x14ac:dyDescent="0.25">
      <c r="A12446" s="1" t="str">
        <f>"505773"</f>
        <v>505773</v>
      </c>
      <c r="B12446" s="2" t="str">
        <f>"HELICE AR CONDICIONADO"</f>
        <v>HELICE AR CONDICIONADO</v>
      </c>
      <c r="C12446" s="2" t="str">
        <f t="shared" si="489"/>
        <v>UN</v>
      </c>
      <c r="D12446" s="7">
        <v>402</v>
      </c>
      <c r="E12446" s="3">
        <v>4</v>
      </c>
      <c r="F12446" s="3">
        <v>4</v>
      </c>
      <c r="G12446" t="s">
        <v>512</v>
      </c>
    </row>
    <row r="12447" spans="1:7" x14ac:dyDescent="0.25">
      <c r="A12447" s="1" t="str">
        <f>"521514"</f>
        <v>521514</v>
      </c>
      <c r="B12447" s="2" t="str">
        <f>"HELICE COMPLETA VENTILADOR INOX 5/EM50 PN2515500"</f>
        <v>HELICE COMPLETA VENTILADOR INOX 5/EM50 PN2515500</v>
      </c>
      <c r="C12447" s="2" t="str">
        <f t="shared" si="489"/>
        <v>UN</v>
      </c>
      <c r="D12447" s="7">
        <v>916</v>
      </c>
      <c r="E12447" s="3">
        <v>10</v>
      </c>
      <c r="F12447" s="3">
        <v>10</v>
      </c>
      <c r="G12447" t="s">
        <v>513</v>
      </c>
    </row>
    <row r="12448" spans="1:7" x14ac:dyDescent="0.25">
      <c r="A12448" s="1" t="str">
        <f>"508420"</f>
        <v>508420</v>
      </c>
      <c r="B12448" s="2" t="str">
        <f>"HELICE DO CONDENSADOR 8 PAS 10CV"</f>
        <v>HELICE DO CONDENSADOR 8 PAS 10CV</v>
      </c>
      <c r="C12448" s="2" t="str">
        <f t="shared" si="489"/>
        <v>UN</v>
      </c>
      <c r="D12448" s="7">
        <v>704</v>
      </c>
      <c r="E12448" s="3">
        <v>9</v>
      </c>
      <c r="F12448" s="3">
        <v>9</v>
      </c>
      <c r="G12448" t="s">
        <v>514</v>
      </c>
    </row>
    <row r="12449" spans="1:7" x14ac:dyDescent="0.25">
      <c r="A12449" s="1" t="str">
        <f>"509120"</f>
        <v>509120</v>
      </c>
      <c r="B12449" s="2" t="str">
        <f>"HEMOGRAMA COMPLETO"</f>
        <v>HEMOGRAMA COMPLETO</v>
      </c>
      <c r="C12449" s="2" t="str">
        <f t="shared" si="489"/>
        <v>UN</v>
      </c>
      <c r="D12449" s="7">
        <v>402</v>
      </c>
      <c r="E12449" s="3">
        <v>4</v>
      </c>
      <c r="F12449" s="3">
        <v>4</v>
      </c>
      <c r="G12449" t="s">
        <v>514</v>
      </c>
    </row>
    <row r="12450" spans="1:7" x14ac:dyDescent="0.25">
      <c r="A12450" s="1" t="str">
        <f>"519261"</f>
        <v>519261</v>
      </c>
      <c r="B12450" s="2" t="str">
        <f>"HEXUS RC 312"</f>
        <v>HEXUS RC 312</v>
      </c>
      <c r="C12450" s="2" t="str">
        <f>"KG"</f>
        <v>KG</v>
      </c>
      <c r="D12450" s="7">
        <v>1107</v>
      </c>
      <c r="E12450" s="3">
        <v>2</v>
      </c>
      <c r="F12450" s="3">
        <v>2</v>
      </c>
      <c r="G12450" t="s">
        <v>512</v>
      </c>
    </row>
    <row r="12451" spans="1:7" x14ac:dyDescent="0.25">
      <c r="A12451" s="1" t="str">
        <f>"502456"</f>
        <v>502456</v>
      </c>
      <c r="B12451" s="2" t="str">
        <f>"HHS 2000 200ML - WURTH"</f>
        <v>HHS 2000 200ML - WURTH</v>
      </c>
      <c r="C12451" s="2" t="str">
        <f t="shared" ref="C12451:C12456" si="490">"UN"</f>
        <v>UN</v>
      </c>
      <c r="D12451" s="7">
        <v>99999</v>
      </c>
      <c r="E12451" s="3">
        <v>10</v>
      </c>
      <c r="F12451" s="3">
        <v>10</v>
      </c>
      <c r="G12451" t="s">
        <v>513</v>
      </c>
    </row>
    <row r="12452" spans="1:7" x14ac:dyDescent="0.25">
      <c r="A12452" s="1" t="str">
        <f>"511538"</f>
        <v>511538</v>
      </c>
      <c r="B12452" s="2" t="str">
        <f>"HHS 5000 500ML - WURTH"</f>
        <v>HHS 5000 500ML - WURTH</v>
      </c>
      <c r="C12452" s="2" t="str">
        <f t="shared" si="490"/>
        <v>UN</v>
      </c>
      <c r="D12452" s="7">
        <v>99999</v>
      </c>
      <c r="E12452" s="3">
        <v>10</v>
      </c>
      <c r="F12452" s="3">
        <v>10</v>
      </c>
      <c r="G12452" t="s">
        <v>514</v>
      </c>
    </row>
    <row r="12453" spans="1:7" x14ac:dyDescent="0.25">
      <c r="A12453" s="1" t="str">
        <f>"514705"</f>
        <v>514705</v>
      </c>
      <c r="B12453" s="2" t="str">
        <f>"HIDROLAVADORA"</f>
        <v>HIDROLAVADORA</v>
      </c>
      <c r="C12453" s="2" t="str">
        <f t="shared" si="490"/>
        <v>UN</v>
      </c>
      <c r="D12453" s="7">
        <v>401</v>
      </c>
      <c r="E12453" s="3">
        <v>4</v>
      </c>
      <c r="F12453" s="3">
        <v>4</v>
      </c>
      <c r="G12453" t="s">
        <v>514</v>
      </c>
    </row>
    <row r="12454" spans="1:7" x14ac:dyDescent="0.25">
      <c r="A12454" s="1" t="str">
        <f>"512764"</f>
        <v>512764</v>
      </c>
      <c r="B12454" s="2" t="str">
        <f>"HIDROMETRO 2"" 30M3/HORA FLANGEADO SEM CONEXÕES"</f>
        <v>HIDROMETRO 2" 30M3/HORA FLANGEADO SEM CONEXÕES</v>
      </c>
      <c r="C12454" s="2" t="str">
        <f t="shared" si="490"/>
        <v>UN</v>
      </c>
      <c r="D12454" s="7">
        <v>912</v>
      </c>
      <c r="E12454" s="3">
        <v>4</v>
      </c>
      <c r="F12454" s="3">
        <v>4</v>
      </c>
      <c r="G12454" t="s">
        <v>514</v>
      </c>
    </row>
    <row r="12455" spans="1:7" x14ac:dyDescent="0.25">
      <c r="A12455" s="1" t="str">
        <f>"521084"</f>
        <v>521084</v>
      </c>
      <c r="B12455" s="2" t="str">
        <f>"HIDROMETRO DE 2 "" PARA 30 M³/HORA FLAGEADO COM CONEXOES"</f>
        <v>HIDROMETRO DE 2 " PARA 30 M³/HORA FLAGEADO COM CONEXOES</v>
      </c>
      <c r="C12455" s="2" t="str">
        <f t="shared" si="490"/>
        <v>UN</v>
      </c>
      <c r="D12455" s="7">
        <v>912</v>
      </c>
      <c r="E12455" s="3">
        <v>4</v>
      </c>
      <c r="F12455" s="3">
        <v>4</v>
      </c>
      <c r="G12455" t="s">
        <v>513</v>
      </c>
    </row>
    <row r="12456" spans="1:7" x14ac:dyDescent="0.25">
      <c r="A12456" s="1" t="str">
        <f>"521085"</f>
        <v>521085</v>
      </c>
      <c r="B12456" s="2" t="str">
        <f>"HIDROMETRO DE 2 "" PARA 30 M³/HORA FLAGEADO COM CONEXOES"</f>
        <v>HIDROMETRO DE 2 " PARA 30 M³/HORA FLAGEADO COM CONEXOES</v>
      </c>
      <c r="C12456" s="2" t="str">
        <f t="shared" si="490"/>
        <v>UN</v>
      </c>
      <c r="D12456" s="7">
        <v>912</v>
      </c>
      <c r="E12456" s="3">
        <v>4</v>
      </c>
      <c r="F12456" s="3">
        <v>4</v>
      </c>
      <c r="G12456" t="s">
        <v>512</v>
      </c>
    </row>
    <row r="12457" spans="1:7" x14ac:dyDescent="0.25">
      <c r="A12457" s="1" t="str">
        <f>"527724"</f>
        <v>527724</v>
      </c>
      <c r="B12457" s="2" t="str">
        <f>"HIDROMETRO DE 3/4 3M3/H SEM CONEXOES"</f>
        <v>HIDROMETRO DE 3/4 3M3/H SEM CONEXOES</v>
      </c>
      <c r="C12457" s="2" t="str">
        <f>"BR"</f>
        <v>BR</v>
      </c>
      <c r="D12457" s="7">
        <v>808</v>
      </c>
      <c r="E12457" s="3">
        <v>10</v>
      </c>
      <c r="F12457" s="3">
        <v>10</v>
      </c>
      <c r="G12457" t="s">
        <v>513</v>
      </c>
    </row>
    <row r="12458" spans="1:7" x14ac:dyDescent="0.25">
      <c r="A12458" s="1" t="str">
        <f>"506120"</f>
        <v>506120</v>
      </c>
      <c r="B12458" s="2" t="str">
        <f>"HIDROPISTOLA 1/2"""</f>
        <v>HIDROPISTOLA 1/2"</v>
      </c>
      <c r="C12458" s="2" t="str">
        <f>"UN"</f>
        <v>UN</v>
      </c>
      <c r="D12458" s="7">
        <v>402</v>
      </c>
      <c r="E12458" s="3">
        <v>4</v>
      </c>
      <c r="F12458" s="3">
        <v>4</v>
      </c>
      <c r="G12458" t="s">
        <v>514</v>
      </c>
    </row>
    <row r="12459" spans="1:7" x14ac:dyDescent="0.25">
      <c r="A12459" s="1" t="str">
        <f>"506121"</f>
        <v>506121</v>
      </c>
      <c r="B12459" s="2" t="str">
        <f>"HIDROPISTOLA MULTIFUNCIONAL"</f>
        <v>HIDROPISTOLA MULTIFUNCIONAL</v>
      </c>
      <c r="C12459" s="2" t="str">
        <f>"UN"</f>
        <v>UN</v>
      </c>
      <c r="D12459" s="7">
        <v>402</v>
      </c>
      <c r="E12459" s="3">
        <v>4</v>
      </c>
      <c r="F12459" s="3">
        <v>4</v>
      </c>
      <c r="G12459" t="s">
        <v>514</v>
      </c>
    </row>
    <row r="12460" spans="1:7" x14ac:dyDescent="0.25">
      <c r="A12460" s="1" t="str">
        <f>"2729"</f>
        <v>2729</v>
      </c>
      <c r="B12460" s="2" t="str">
        <f>"HIDROQUIMICA BIOTOR 160"</f>
        <v>HIDROQUIMICA BIOTOR 160</v>
      </c>
      <c r="C12460" s="2" t="str">
        <f>"KG"</f>
        <v>KG</v>
      </c>
      <c r="D12460" s="7">
        <v>409</v>
      </c>
      <c r="E12460" s="3">
        <v>4</v>
      </c>
      <c r="F12460" s="3">
        <v>4</v>
      </c>
      <c r="G12460" t="s">
        <v>514</v>
      </c>
    </row>
    <row r="12461" spans="1:7" x14ac:dyDescent="0.25">
      <c r="A12461" s="1" t="str">
        <f>"2728"</f>
        <v>2728</v>
      </c>
      <c r="B12461" s="2" t="str">
        <f>"HIDROQUIMICA EW 660"</f>
        <v>HIDROQUIMICA EW 660</v>
      </c>
      <c r="C12461" s="2" t="str">
        <f>"KG"</f>
        <v>KG</v>
      </c>
      <c r="D12461" s="7">
        <v>409</v>
      </c>
      <c r="E12461" s="3">
        <v>4</v>
      </c>
      <c r="F12461" s="3">
        <v>4</v>
      </c>
      <c r="G12461" t="s">
        <v>513</v>
      </c>
    </row>
    <row r="12462" spans="1:7" x14ac:dyDescent="0.25">
      <c r="A12462" s="1" t="str">
        <f>"3054"</f>
        <v>3054</v>
      </c>
      <c r="B12462" s="2" t="str">
        <f>"HIDROQUIMICA HIDRO 200"</f>
        <v>HIDROQUIMICA HIDRO 200</v>
      </c>
      <c r="C12462" s="2" t="str">
        <f>"LT"</f>
        <v>LT</v>
      </c>
      <c r="D12462" s="7">
        <v>409</v>
      </c>
      <c r="E12462" s="3">
        <v>4</v>
      </c>
      <c r="F12462" s="3">
        <v>4</v>
      </c>
      <c r="G12462" t="s">
        <v>513</v>
      </c>
    </row>
    <row r="12463" spans="1:7" x14ac:dyDescent="0.25">
      <c r="A12463" s="1" t="str">
        <f>"3484"</f>
        <v>3484</v>
      </c>
      <c r="B12463" s="2" t="str">
        <f>"HIDROQUIMICA WH 17"</f>
        <v>HIDROQUIMICA WH 17</v>
      </c>
      <c r="C12463" s="2" t="str">
        <f>"LT"</f>
        <v>LT</v>
      </c>
      <c r="D12463" s="7">
        <v>409</v>
      </c>
      <c r="E12463" s="3">
        <v>4</v>
      </c>
      <c r="F12463" s="3">
        <v>4</v>
      </c>
      <c r="G12463" t="s">
        <v>513</v>
      </c>
    </row>
    <row r="12464" spans="1:7" x14ac:dyDescent="0.25">
      <c r="A12464" s="1" t="str">
        <f>"2731"</f>
        <v>2731</v>
      </c>
      <c r="B12464" s="2" t="str">
        <f>"HIDROQUIMICA WH-34"</f>
        <v>HIDROQUIMICA WH-34</v>
      </c>
      <c r="C12464" s="2" t="str">
        <f>"KG"</f>
        <v>KG</v>
      </c>
      <c r="D12464" s="7">
        <v>409</v>
      </c>
      <c r="E12464" s="3">
        <v>4</v>
      </c>
      <c r="F12464" s="3">
        <v>4</v>
      </c>
      <c r="G12464" t="s">
        <v>512</v>
      </c>
    </row>
    <row r="12465" spans="1:7" x14ac:dyDescent="0.25">
      <c r="A12465" s="1" t="str">
        <f>"509285"</f>
        <v>509285</v>
      </c>
      <c r="B12465" s="2" t="str">
        <f>"HIDROVACUO"</f>
        <v>HIDROVACUO</v>
      </c>
      <c r="C12465" s="2" t="str">
        <f>"UN"</f>
        <v>UN</v>
      </c>
      <c r="D12465" s="7">
        <v>704</v>
      </c>
      <c r="E12465" s="3">
        <v>9</v>
      </c>
      <c r="F12465" s="3">
        <v>9</v>
      </c>
      <c r="G12465" t="s">
        <v>513</v>
      </c>
    </row>
    <row r="12466" spans="1:7" x14ac:dyDescent="0.25">
      <c r="A12466" s="1" t="str">
        <f>"514285"</f>
        <v>514285</v>
      </c>
      <c r="B12466" s="2" t="str">
        <f>"HIDROXIDO DE SODIO 0,1 N"</f>
        <v>HIDROXIDO DE SODIO 0,1 N</v>
      </c>
      <c r="C12466" s="2" t="str">
        <f>"UN"</f>
        <v>UN</v>
      </c>
      <c r="D12466" s="7">
        <v>406</v>
      </c>
      <c r="E12466" s="3">
        <v>4</v>
      </c>
      <c r="F12466" s="3">
        <v>4</v>
      </c>
      <c r="G12466" t="s">
        <v>514</v>
      </c>
    </row>
    <row r="12467" spans="1:7" x14ac:dyDescent="0.25">
      <c r="A12467" s="1" t="str">
        <f>"514498"</f>
        <v>514498</v>
      </c>
      <c r="B12467" s="2" t="str">
        <f>"HIDROXIDO DE SODIO 0,1M"</f>
        <v>HIDROXIDO DE SODIO 0,1M</v>
      </c>
      <c r="C12467" s="2" t="str">
        <f>"UN"</f>
        <v>UN</v>
      </c>
      <c r="D12467" s="7">
        <v>406</v>
      </c>
      <c r="E12467" s="3">
        <v>4</v>
      </c>
      <c r="F12467" s="3">
        <v>4</v>
      </c>
      <c r="G12467" t="s">
        <v>515</v>
      </c>
    </row>
    <row r="12468" spans="1:7" x14ac:dyDescent="0.25">
      <c r="A12468" s="1" t="str">
        <f>"528023"</f>
        <v>528023</v>
      </c>
      <c r="B12468" s="2" t="str">
        <f>"HIDROXIDO DE SODIO, SOLUCAO 1N - CAPLAB- 8 UN"</f>
        <v>HIDROXIDO DE SODIO, SOLUCAO 1N - CAPLAB- 8 UN</v>
      </c>
      <c r="C12468" s="2" t="str">
        <f>"UN"</f>
        <v>UN</v>
      </c>
      <c r="D12468" s="7">
        <v>406</v>
      </c>
      <c r="E12468" s="3">
        <v>4</v>
      </c>
      <c r="F12468" s="3">
        <v>4</v>
      </c>
      <c r="G12468" t="s">
        <v>512</v>
      </c>
    </row>
    <row r="12469" spans="1:7" x14ac:dyDescent="0.25">
      <c r="A12469" s="1" t="str">
        <f>"6282"</f>
        <v>6282</v>
      </c>
      <c r="B12469" s="2" t="str">
        <f>"HIGH CLEAN - CL 2"</f>
        <v>HIGH CLEAN - CL 2</v>
      </c>
      <c r="C12469" s="2" t="str">
        <f>"KG"</f>
        <v>KG</v>
      </c>
      <c r="D12469" s="7">
        <v>917</v>
      </c>
      <c r="E12469" s="3">
        <v>11</v>
      </c>
      <c r="F12469" s="3">
        <v>11</v>
      </c>
      <c r="G12469" t="s">
        <v>516</v>
      </c>
    </row>
    <row r="12470" spans="1:7" x14ac:dyDescent="0.25">
      <c r="A12470" s="1" t="str">
        <f>"6394"</f>
        <v>6394</v>
      </c>
      <c r="B12470" s="2" t="str">
        <f>"HIGH CLEAN - CL2 ONU 2468"</f>
        <v>HIGH CLEAN - CL2 ONU 2468</v>
      </c>
      <c r="C12470" s="2" t="str">
        <f>"KG"</f>
        <v>KG</v>
      </c>
      <c r="D12470" s="7">
        <v>400</v>
      </c>
      <c r="E12470" s="3">
        <v>4</v>
      </c>
      <c r="F12470" s="3">
        <v>4</v>
      </c>
      <c r="G12470" t="s">
        <v>515</v>
      </c>
    </row>
    <row r="12471" spans="1:7" x14ac:dyDescent="0.25">
      <c r="A12471" s="1" t="str">
        <f>"6281"</f>
        <v>6281</v>
      </c>
      <c r="B12471" s="2" t="str">
        <f>"HIGH CLEAN - SA"</f>
        <v>HIGH CLEAN - SA</v>
      </c>
      <c r="C12471" s="2" t="str">
        <f>"KG"</f>
        <v>KG</v>
      </c>
      <c r="D12471" s="7">
        <v>917</v>
      </c>
      <c r="E12471" s="3">
        <v>11</v>
      </c>
      <c r="F12471" s="3">
        <v>11</v>
      </c>
      <c r="G12471" t="s">
        <v>514</v>
      </c>
    </row>
    <row r="12472" spans="1:7" x14ac:dyDescent="0.25">
      <c r="A12472" s="1" t="str">
        <f>"6393"</f>
        <v>6393</v>
      </c>
      <c r="B12472" s="2" t="str">
        <f>"HIGH CLEAN - SA ONU 1760"</f>
        <v>HIGH CLEAN - SA ONU 1760</v>
      </c>
      <c r="C12472" s="2" t="str">
        <f>"KG"</f>
        <v>KG</v>
      </c>
      <c r="D12472" s="7">
        <v>400</v>
      </c>
      <c r="E12472" s="3">
        <v>4</v>
      </c>
      <c r="F12472" s="3">
        <v>4</v>
      </c>
      <c r="G12472" t="s">
        <v>512</v>
      </c>
    </row>
    <row r="12473" spans="1:7" x14ac:dyDescent="0.25">
      <c r="A12473" s="1" t="str">
        <f>"511757"</f>
        <v>511757</v>
      </c>
      <c r="B12473" s="2" t="str">
        <f>"HIGIENIZAÇAO"</f>
        <v>HIGIENIZAÇAO</v>
      </c>
      <c r="C12473" s="2" t="str">
        <f>"UN"</f>
        <v>UN</v>
      </c>
      <c r="D12473" s="7">
        <v>704</v>
      </c>
      <c r="E12473" s="3">
        <v>9</v>
      </c>
      <c r="F12473" s="3">
        <v>9</v>
      </c>
      <c r="G12473" t="s">
        <v>513</v>
      </c>
    </row>
    <row r="12474" spans="1:7" x14ac:dyDescent="0.25">
      <c r="A12474" s="1" t="str">
        <f>"505752"</f>
        <v>505752</v>
      </c>
      <c r="B12474" s="2" t="str">
        <f>"HIGIENIZADOR AR CONDICIONADO"</f>
        <v>HIGIENIZADOR AR CONDICIONADO</v>
      </c>
      <c r="C12474" s="2" t="str">
        <f>"UN"</f>
        <v>UN</v>
      </c>
      <c r="D12474" s="7">
        <v>402</v>
      </c>
      <c r="E12474" s="3">
        <v>4</v>
      </c>
      <c r="F12474" s="3">
        <v>4</v>
      </c>
      <c r="G12474" t="s">
        <v>514</v>
      </c>
    </row>
    <row r="12475" spans="1:7" x14ac:dyDescent="0.25">
      <c r="A12475" s="1" t="str">
        <f>"523890"</f>
        <v>523890</v>
      </c>
      <c r="B12475" s="2" t="str">
        <f>"HIKVISION CAMERA IP BULLET 5MP 50M"</f>
        <v>HIKVISION CAMERA IP BULLET 5MP 50M</v>
      </c>
      <c r="C12475" s="2" t="str">
        <f>"UN"</f>
        <v>UN</v>
      </c>
      <c r="D12475" s="7">
        <v>99999</v>
      </c>
      <c r="E12475" s="3">
        <v>99</v>
      </c>
      <c r="F12475" s="3">
        <v>99</v>
      </c>
      <c r="G12475" t="s">
        <v>514</v>
      </c>
    </row>
    <row r="12476" spans="1:7" x14ac:dyDescent="0.25">
      <c r="A12476" s="1" t="str">
        <f>"526832"</f>
        <v>526832</v>
      </c>
      <c r="B12476" s="2" t="str">
        <f>"HIKVISION CAMERA IP ECO 2MP IR30M DS-2CD1621FWD"</f>
        <v>HIKVISION CAMERA IP ECO 2MP IR30M DS-2CD1621FWD</v>
      </c>
      <c r="C12476" s="2" t="str">
        <f>"MT"</f>
        <v>MT</v>
      </c>
      <c r="D12476" s="7">
        <v>602</v>
      </c>
      <c r="E12476" s="3">
        <v>8</v>
      </c>
      <c r="F12476" s="3">
        <v>8</v>
      </c>
      <c r="G12476" t="s">
        <v>512</v>
      </c>
    </row>
    <row r="12477" spans="1:7" x14ac:dyDescent="0.25">
      <c r="A12477" s="1" t="str">
        <f>"527093"</f>
        <v>527093</v>
      </c>
      <c r="B12477" s="2" t="str">
        <f>"HIKVISION-CAMERA IP BULLET 4MP-VF 2.8-12MM MOT,WDR,SL"</f>
        <v>HIKVISION-CAMERA IP BULLET 4MP-VF 2.8-12MM MOT,WDR,SL</v>
      </c>
      <c r="C12477" s="2" t="str">
        <f>"UN"</f>
        <v>UN</v>
      </c>
      <c r="D12477" s="7">
        <v>814</v>
      </c>
      <c r="E12477" s="3">
        <v>10</v>
      </c>
      <c r="F12477" s="3">
        <v>10</v>
      </c>
      <c r="G12477" t="s">
        <v>513</v>
      </c>
    </row>
    <row r="12478" spans="1:7" x14ac:dyDescent="0.25">
      <c r="A12478" s="1" t="str">
        <f>"513950"</f>
        <v>513950</v>
      </c>
      <c r="B12478" s="2" t="str">
        <f>"HILUX SW4 4X4 SRV"</f>
        <v>HILUX SW4 4X4 SRV</v>
      </c>
      <c r="C12478" s="2" t="str">
        <f>"UN"</f>
        <v>UN</v>
      </c>
      <c r="D12478" s="7">
        <v>99999</v>
      </c>
      <c r="E12478" s="3">
        <v>99</v>
      </c>
      <c r="F12478" s="3">
        <v>99</v>
      </c>
      <c r="G12478" t="s">
        <v>514</v>
      </c>
    </row>
    <row r="12479" spans="1:7" x14ac:dyDescent="0.25">
      <c r="A12479" s="1" t="str">
        <f>"123"</f>
        <v>123</v>
      </c>
      <c r="B12479" s="2" t="str">
        <f>"HIPOCLORITO DE SODIO (CLORO)"</f>
        <v>HIPOCLORITO DE SODIO (CLORO)</v>
      </c>
      <c r="C12479" s="2" t="str">
        <f>"LT"</f>
        <v>LT</v>
      </c>
      <c r="D12479" s="7">
        <v>400</v>
      </c>
      <c r="E12479" s="3">
        <v>4</v>
      </c>
      <c r="F12479" s="3">
        <v>4</v>
      </c>
      <c r="G12479" t="s">
        <v>514</v>
      </c>
    </row>
    <row r="12480" spans="1:7" x14ac:dyDescent="0.25">
      <c r="A12480" s="1" t="str">
        <f>"514471"</f>
        <v>514471</v>
      </c>
      <c r="B12480" s="2" t="str">
        <f>"HITSCOLOR"</f>
        <v>HITSCOLOR</v>
      </c>
      <c r="C12480" s="2" t="str">
        <f t="shared" ref="C12480:C12493" si="491">"UN"</f>
        <v>UN</v>
      </c>
      <c r="D12480" s="7">
        <v>704</v>
      </c>
      <c r="E12480" s="3">
        <v>9</v>
      </c>
      <c r="F12480" s="3">
        <v>9</v>
      </c>
      <c r="G12480" t="s">
        <v>514</v>
      </c>
    </row>
    <row r="12481" spans="1:7" x14ac:dyDescent="0.25">
      <c r="A12481" s="1" t="str">
        <f>"525856"</f>
        <v>525856</v>
      </c>
      <c r="B12481" s="2" t="str">
        <f>"HMI MT4414T (HMI TOUCH)"</f>
        <v>HMI MT4414T (HMI TOUCH)</v>
      </c>
      <c r="C12481" s="2" t="str">
        <f t="shared" si="491"/>
        <v>UN</v>
      </c>
      <c r="D12481" s="7">
        <v>403</v>
      </c>
      <c r="E12481" s="3">
        <v>10</v>
      </c>
      <c r="F12481" s="3">
        <v>10</v>
      </c>
      <c r="G12481" t="s">
        <v>513</v>
      </c>
    </row>
    <row r="12482" spans="1:7" x14ac:dyDescent="0.25">
      <c r="A12482" s="1" t="str">
        <f>"511998"</f>
        <v>511998</v>
      </c>
      <c r="B12482" s="2" t="str">
        <f>"HMI SERIAL CFW-08 HMI-CFW08-RS"</f>
        <v>HMI SERIAL CFW-08 HMI-CFW08-RS</v>
      </c>
      <c r="C12482" s="2" t="str">
        <f t="shared" si="491"/>
        <v>UN</v>
      </c>
      <c r="D12482" s="7">
        <v>600</v>
      </c>
      <c r="E12482" s="3">
        <v>8</v>
      </c>
      <c r="F12482" s="3">
        <v>8</v>
      </c>
      <c r="G12482" t="s">
        <v>512</v>
      </c>
    </row>
    <row r="12483" spans="1:7" x14ac:dyDescent="0.25">
      <c r="A12483" s="1" t="str">
        <f>"520828"</f>
        <v>520828</v>
      </c>
      <c r="B12483" s="2" t="str">
        <f>"HOGOGENIZADOR SPX 250L/H GAULIN5B5.8 400BAR3,8KW BR-16030004"</f>
        <v>HOGOGENIZADOR SPX 250L/H GAULIN5B5.8 400BAR3,8KW BR-16030004</v>
      </c>
      <c r="C12483" s="2" t="str">
        <f t="shared" si="491"/>
        <v>UN</v>
      </c>
      <c r="D12483" s="7">
        <v>1200</v>
      </c>
      <c r="E12483" s="3">
        <v>13</v>
      </c>
      <c r="F12483" s="3">
        <v>13</v>
      </c>
      <c r="G12483" t="s">
        <v>513</v>
      </c>
    </row>
    <row r="12484" spans="1:7" x14ac:dyDescent="0.25">
      <c r="A12484" s="1" t="str">
        <f>"2790"</f>
        <v>2790</v>
      </c>
      <c r="B12484" s="2" t="str">
        <f>"HOLERITI MODELO LABI 2 COR VERDE"</f>
        <v>HOLERITI MODELO LABI 2 COR VERDE</v>
      </c>
      <c r="C12484" s="2" t="str">
        <f t="shared" si="491"/>
        <v>UN</v>
      </c>
      <c r="D12484" s="7">
        <v>401</v>
      </c>
      <c r="E12484" s="3">
        <v>4</v>
      </c>
      <c r="F12484" s="3">
        <v>4</v>
      </c>
      <c r="G12484" t="s">
        <v>514</v>
      </c>
    </row>
    <row r="12485" spans="1:7" x14ac:dyDescent="0.25">
      <c r="A12485" s="1" t="str">
        <f>"511789"</f>
        <v>511789</v>
      </c>
      <c r="B12485" s="2" t="str">
        <f>"HOME PREMIUM H 2612-A"</f>
        <v>HOME PREMIUM H 2612-A</v>
      </c>
      <c r="C12485" s="2" t="str">
        <f t="shared" si="491"/>
        <v>UN</v>
      </c>
      <c r="D12485" s="7">
        <v>600</v>
      </c>
      <c r="E12485" s="3">
        <v>8</v>
      </c>
      <c r="F12485" s="3">
        <v>8</v>
      </c>
      <c r="G12485" t="s">
        <v>514</v>
      </c>
    </row>
    <row r="12486" spans="1:7" x14ac:dyDescent="0.25">
      <c r="A12486" s="1" t="str">
        <f>"514684"</f>
        <v>514684</v>
      </c>
      <c r="B12486" s="2" t="str">
        <f>"HOME THEATER BRITANIA"</f>
        <v>HOME THEATER BRITANIA</v>
      </c>
      <c r="C12486" s="2" t="str">
        <f t="shared" si="491"/>
        <v>UN</v>
      </c>
      <c r="D12486" s="7">
        <v>401</v>
      </c>
      <c r="E12486" s="3">
        <v>4</v>
      </c>
      <c r="F12486" s="3">
        <v>4</v>
      </c>
      <c r="G12486" t="s">
        <v>514</v>
      </c>
    </row>
    <row r="12487" spans="1:7" x14ac:dyDescent="0.25">
      <c r="A12487" s="1" t="str">
        <f>"518017"</f>
        <v>518017</v>
      </c>
      <c r="B12487" s="2" t="str">
        <f>"HOMO CUBE 4600 GPH 1215 SERIE J310905"</f>
        <v>HOMO CUBE 4600 GPH 1215 SERIE J310905</v>
      </c>
      <c r="C12487" s="2" t="str">
        <f t="shared" si="491"/>
        <v>UN</v>
      </c>
      <c r="D12487" s="7">
        <v>1300</v>
      </c>
      <c r="E12487" s="3">
        <v>13</v>
      </c>
      <c r="F12487" s="3">
        <v>13</v>
      </c>
      <c r="G12487" t="s">
        <v>513</v>
      </c>
    </row>
    <row r="12488" spans="1:7" x14ac:dyDescent="0.25">
      <c r="A12488" s="1" t="str">
        <f>"517845"</f>
        <v>517845</v>
      </c>
      <c r="B12488" s="2" t="str">
        <f>"HOMO VALVE SEAT J12410052"</f>
        <v>HOMO VALVE SEAT J12410052</v>
      </c>
      <c r="C12488" s="2" t="str">
        <f t="shared" si="491"/>
        <v>UN</v>
      </c>
      <c r="D12488" s="7">
        <v>918</v>
      </c>
      <c r="E12488" s="3">
        <v>11</v>
      </c>
      <c r="F12488" s="3">
        <v>11</v>
      </c>
      <c r="G12488" t="s">
        <v>513</v>
      </c>
    </row>
    <row r="12489" spans="1:7" x14ac:dyDescent="0.25">
      <c r="A12489" s="1" t="str">
        <f>"513993"</f>
        <v>513993</v>
      </c>
      <c r="B12489" s="2" t="str">
        <f>"HOMOGENEIZADOR RANNIE 132T-70.140"</f>
        <v>HOMOGENEIZADOR RANNIE 132T-70.140</v>
      </c>
      <c r="C12489" s="2" t="str">
        <f t="shared" si="491"/>
        <v>UN</v>
      </c>
      <c r="D12489" s="7">
        <v>1003</v>
      </c>
      <c r="E12489" s="3">
        <v>13</v>
      </c>
      <c r="F12489" s="3">
        <v>13</v>
      </c>
      <c r="G12489" t="s">
        <v>513</v>
      </c>
    </row>
    <row r="12490" spans="1:7" x14ac:dyDescent="0.25">
      <c r="A12490" s="1" t="str">
        <f>"513021"</f>
        <v>513021</v>
      </c>
      <c r="B12490" s="2" t="str">
        <f>"HOMOGENIZADOR  BANCADA"</f>
        <v>HOMOGENIZADOR  BANCADA</v>
      </c>
      <c r="C12490" s="2" t="str">
        <f t="shared" si="491"/>
        <v>UN</v>
      </c>
      <c r="D12490" s="7">
        <v>1500</v>
      </c>
      <c r="E12490" s="3">
        <v>13</v>
      </c>
      <c r="F12490" s="3">
        <v>13</v>
      </c>
      <c r="G12490" t="s">
        <v>512</v>
      </c>
    </row>
    <row r="12491" spans="1:7" x14ac:dyDescent="0.25">
      <c r="A12491" s="1" t="str">
        <f>"516575"</f>
        <v>516575</v>
      </c>
      <c r="B12491" s="2" t="str">
        <f>"HOMOGENIZADOR SPX CUBE 4600/5800"</f>
        <v>HOMOGENIZADOR SPX CUBE 4600/5800</v>
      </c>
      <c r="C12491" s="2" t="str">
        <f t="shared" si="491"/>
        <v>UN</v>
      </c>
      <c r="D12491" s="7">
        <v>1300</v>
      </c>
      <c r="E12491" s="3">
        <v>13</v>
      </c>
      <c r="F12491" s="3">
        <v>13</v>
      </c>
      <c r="G12491" t="s">
        <v>513</v>
      </c>
    </row>
    <row r="12492" spans="1:7" x14ac:dyDescent="0.25">
      <c r="A12492" s="1" t="str">
        <f>"520859"</f>
        <v>520859</v>
      </c>
      <c r="B12492" s="2" t="str">
        <f>"HOMOLOGAÇÃO FLUXO LAMINAR"</f>
        <v>HOMOLOGAÇÃO FLUXO LAMINAR</v>
      </c>
      <c r="C12492" s="2" t="str">
        <f t="shared" si="491"/>
        <v>UN</v>
      </c>
      <c r="D12492" s="7">
        <v>1300</v>
      </c>
      <c r="E12492" s="3">
        <v>11</v>
      </c>
      <c r="F12492" s="3">
        <v>11</v>
      </c>
      <c r="G12492" t="s">
        <v>514</v>
      </c>
    </row>
    <row r="12493" spans="1:7" x14ac:dyDescent="0.25">
      <c r="A12493" s="1" t="str">
        <f>"520681"</f>
        <v>520681</v>
      </c>
      <c r="B12493" s="2" t="str">
        <f>"HORIMETRO COEL 220V"</f>
        <v>HORIMETRO COEL 220V</v>
      </c>
      <c r="C12493" s="2" t="str">
        <f t="shared" si="491"/>
        <v>UN</v>
      </c>
      <c r="D12493" s="7">
        <v>811</v>
      </c>
      <c r="E12493" s="3">
        <v>8</v>
      </c>
      <c r="F12493" s="3">
        <v>8</v>
      </c>
      <c r="G12493" t="s">
        <v>515</v>
      </c>
    </row>
    <row r="12494" spans="1:7" x14ac:dyDescent="0.25">
      <c r="A12494" s="1" t="str">
        <f>"197"</f>
        <v>197</v>
      </c>
      <c r="B12494" s="2" t="str">
        <f>"HOROLITH BR BB 50L-(63KG) - CÓD.83646 (ECOLAB)"</f>
        <v>HOROLITH BR BB 50L-(63KG) - CÓD.83646 (ECOLAB)</v>
      </c>
      <c r="C12494" s="2" t="str">
        <f>"KG"</f>
        <v>KG</v>
      </c>
      <c r="D12494" s="7">
        <v>400</v>
      </c>
      <c r="E12494" s="3">
        <v>4</v>
      </c>
      <c r="F12494" s="3">
        <v>4</v>
      </c>
      <c r="G12494" t="s">
        <v>512</v>
      </c>
    </row>
    <row r="12495" spans="1:7" x14ac:dyDescent="0.25">
      <c r="A12495" s="1" t="str">
        <f>"179"</f>
        <v>179</v>
      </c>
      <c r="B12495" s="2" t="str">
        <f>"HOROLITH BR CTN 1000L - CÓD.83650 (ECOLAB)D-1.26"</f>
        <v>HOROLITH BR CTN 1000L - CÓD.83650 (ECOLAB)D-1.26</v>
      </c>
      <c r="C12495" s="2" t="str">
        <f>"KG"</f>
        <v>KG</v>
      </c>
      <c r="D12495" s="7">
        <v>400</v>
      </c>
      <c r="E12495" s="3">
        <v>4</v>
      </c>
      <c r="F12495" s="3">
        <v>4</v>
      </c>
      <c r="G12495" t="s">
        <v>516</v>
      </c>
    </row>
    <row r="12496" spans="1:7" x14ac:dyDescent="0.25">
      <c r="A12496" s="1" t="str">
        <f>"509800"</f>
        <v>509800</v>
      </c>
      <c r="B12496" s="2" t="str">
        <f>"HP 06615 DC 2GB 250HD VHB"</f>
        <v>HP 06615 DC 2GB 250HD VHB</v>
      </c>
      <c r="C12496" s="2" t="str">
        <f t="shared" ref="C12496:C12512" si="492">"UN"</f>
        <v>UN</v>
      </c>
      <c r="D12496" s="7">
        <v>401</v>
      </c>
      <c r="E12496" s="3">
        <v>4</v>
      </c>
      <c r="F12496" s="3">
        <v>4</v>
      </c>
      <c r="G12496" t="s">
        <v>515</v>
      </c>
    </row>
    <row r="12497" spans="1:7" x14ac:dyDescent="0.25">
      <c r="A12497" s="1" t="str">
        <f>"514789"</f>
        <v>514789</v>
      </c>
      <c r="B12497" s="2" t="str">
        <f>"HP CABO MINI SAS 1X"</f>
        <v>HP CABO MINI SAS 1X</v>
      </c>
      <c r="C12497" s="2" t="str">
        <f t="shared" si="492"/>
        <v>UN</v>
      </c>
      <c r="D12497" s="7">
        <v>401</v>
      </c>
      <c r="E12497" s="3">
        <v>4</v>
      </c>
      <c r="F12497" s="3">
        <v>4</v>
      </c>
      <c r="G12497" t="s">
        <v>514</v>
      </c>
    </row>
    <row r="12498" spans="1:7" x14ac:dyDescent="0.25">
      <c r="A12498" s="1" t="str">
        <f>"525308"</f>
        <v>525308</v>
      </c>
      <c r="B12498" s="2" t="str">
        <f>"HP CPE 4Y NXTDAY STD WAR CPU"</f>
        <v>HP CPE 4Y NXTDAY STD WAR CPU</v>
      </c>
      <c r="C12498" s="2" t="str">
        <f t="shared" si="492"/>
        <v>UN</v>
      </c>
      <c r="D12498" s="7">
        <v>99999</v>
      </c>
      <c r="E12498" s="3">
        <v>99</v>
      </c>
      <c r="F12498" s="3">
        <v>99</v>
      </c>
      <c r="G12498" t="s">
        <v>512</v>
      </c>
    </row>
    <row r="12499" spans="1:7" x14ac:dyDescent="0.25">
      <c r="A12499" s="1" t="str">
        <f>"514278"</f>
        <v>514278</v>
      </c>
      <c r="B12499" s="2" t="str">
        <f>"HP HARD DRIVE 250GB"</f>
        <v>HP HARD DRIVE 250GB</v>
      </c>
      <c r="C12499" s="2" t="str">
        <f t="shared" si="492"/>
        <v>UN</v>
      </c>
      <c r="D12499" s="7">
        <v>1300</v>
      </c>
      <c r="E12499" s="3">
        <v>13</v>
      </c>
      <c r="F12499" s="3">
        <v>13</v>
      </c>
      <c r="G12499" t="s">
        <v>513</v>
      </c>
    </row>
    <row r="12500" spans="1:7" x14ac:dyDescent="0.25">
      <c r="A12500" s="1" t="str">
        <f>"512355"</f>
        <v>512355</v>
      </c>
      <c r="B12500" s="2" t="str">
        <f>"HP HD 300GB SAS 10K SFF HOT-PLUG"</f>
        <v>HP HD 300GB SAS 10K SFF HOT-PLUG</v>
      </c>
      <c r="C12500" s="2" t="str">
        <f t="shared" si="492"/>
        <v>UN</v>
      </c>
      <c r="D12500" s="7">
        <v>402</v>
      </c>
      <c r="E12500" s="3">
        <v>4</v>
      </c>
      <c r="F12500" s="3">
        <v>4</v>
      </c>
      <c r="G12500" t="s">
        <v>514</v>
      </c>
    </row>
    <row r="12501" spans="1:7" x14ac:dyDescent="0.25">
      <c r="A12501" s="1" t="str">
        <f>"512354"</f>
        <v>512354</v>
      </c>
      <c r="B12501" s="2" t="str">
        <f>"HP MEMORIA 8GB PC3-10600E 1X8GB DDR3RIMM"</f>
        <v>HP MEMORIA 8GB PC3-10600E 1X8GB DDR3RIMM</v>
      </c>
      <c r="C12501" s="2" t="str">
        <f t="shared" si="492"/>
        <v>UN</v>
      </c>
      <c r="D12501" s="7">
        <v>402</v>
      </c>
      <c r="E12501" s="3">
        <v>4</v>
      </c>
      <c r="F12501" s="3">
        <v>4</v>
      </c>
      <c r="G12501" t="s">
        <v>514</v>
      </c>
    </row>
    <row r="12502" spans="1:7" x14ac:dyDescent="0.25">
      <c r="A12502" s="1" t="str">
        <f>"514277"</f>
        <v>514277</v>
      </c>
      <c r="B12502" s="2" t="str">
        <f>"HP MEMORY 2GB DUAL RANK"</f>
        <v>HP MEMORY 2GB DUAL RANK</v>
      </c>
      <c r="C12502" s="2" t="str">
        <f t="shared" si="492"/>
        <v>UN</v>
      </c>
      <c r="D12502" s="7">
        <v>1300</v>
      </c>
      <c r="E12502" s="3">
        <v>13</v>
      </c>
      <c r="F12502" s="3">
        <v>13</v>
      </c>
      <c r="G12502" t="s">
        <v>512</v>
      </c>
    </row>
    <row r="12503" spans="1:7" x14ac:dyDescent="0.25">
      <c r="A12503" s="1" t="str">
        <f>"512490"</f>
        <v>512490</v>
      </c>
      <c r="B12503" s="2" t="str">
        <f>"HP MICROCOMPUTADOR 8100 SFF 4G 320G W7"</f>
        <v>HP MICROCOMPUTADOR 8100 SFF 4G 320G W7</v>
      </c>
      <c r="C12503" s="2" t="str">
        <f t="shared" si="492"/>
        <v>UN</v>
      </c>
      <c r="D12503" s="7">
        <v>811</v>
      </c>
      <c r="E12503" s="3">
        <v>10</v>
      </c>
      <c r="F12503" s="3">
        <v>10</v>
      </c>
      <c r="G12503" t="s">
        <v>513</v>
      </c>
    </row>
    <row r="12504" spans="1:7" x14ac:dyDescent="0.25">
      <c r="A12504" s="1" t="str">
        <f>"513269"</f>
        <v>513269</v>
      </c>
      <c r="B12504" s="2" t="str">
        <f>"HP P8/Z STANDARD KEY BOARD BRZL"</f>
        <v>HP P8/Z STANDARD KEY BOARD BRZL</v>
      </c>
      <c r="C12504" s="2" t="str">
        <f t="shared" si="492"/>
        <v>UN</v>
      </c>
      <c r="D12504" s="7">
        <v>401</v>
      </c>
      <c r="E12504" s="3">
        <v>4</v>
      </c>
      <c r="F12504" s="3">
        <v>4</v>
      </c>
      <c r="G12504" t="s">
        <v>514</v>
      </c>
    </row>
    <row r="12505" spans="1:7" x14ac:dyDescent="0.25">
      <c r="A12505" s="1" t="str">
        <f>"514280"</f>
        <v>514280</v>
      </c>
      <c r="B12505" s="2" t="str">
        <f>"HP PROCESSOR INTEL QUAD-CORE"</f>
        <v>HP PROCESSOR INTEL QUAD-CORE</v>
      </c>
      <c r="C12505" s="2" t="str">
        <f t="shared" si="492"/>
        <v>UN</v>
      </c>
      <c r="D12505" s="7">
        <v>1300</v>
      </c>
      <c r="E12505" s="3">
        <v>13</v>
      </c>
      <c r="F12505" s="3">
        <v>13</v>
      </c>
      <c r="G12505" t="s">
        <v>514</v>
      </c>
    </row>
    <row r="12506" spans="1:7" x14ac:dyDescent="0.25">
      <c r="A12506" s="1" t="str">
        <f>"527871"</f>
        <v>527871</v>
      </c>
      <c r="B12506" s="2" t="str">
        <f>"HP PRODESK 600 G3 DESKTOP MINI"</f>
        <v>HP PRODESK 600 G3 DESKTOP MINI</v>
      </c>
      <c r="C12506" s="2" t="str">
        <f t="shared" si="492"/>
        <v>UN</v>
      </c>
      <c r="D12506" s="7">
        <v>1300</v>
      </c>
      <c r="E12506" s="3">
        <v>13</v>
      </c>
      <c r="F12506" s="3">
        <v>13</v>
      </c>
      <c r="G12506" t="s">
        <v>514</v>
      </c>
    </row>
    <row r="12507" spans="1:7" x14ac:dyDescent="0.25">
      <c r="A12507" s="1" t="str">
        <f>"514281"</f>
        <v>514281</v>
      </c>
      <c r="B12507" s="2" t="str">
        <f>"HP SERVER DL380G7"</f>
        <v>HP SERVER DL380G7</v>
      </c>
      <c r="C12507" s="2" t="str">
        <f t="shared" si="492"/>
        <v>UN</v>
      </c>
      <c r="D12507" s="7">
        <v>1300</v>
      </c>
      <c r="E12507" s="3">
        <v>13</v>
      </c>
      <c r="F12507" s="3">
        <v>13</v>
      </c>
      <c r="G12507" t="s">
        <v>513</v>
      </c>
    </row>
    <row r="12508" spans="1:7" x14ac:dyDescent="0.25">
      <c r="A12508" s="1" t="str">
        <f>"514279"</f>
        <v>514279</v>
      </c>
      <c r="B12508" s="2" t="str">
        <f>"HP SERVER S-BUY PROLIANT"</f>
        <v>HP SERVER S-BUY PROLIANT</v>
      </c>
      <c r="C12508" s="2" t="str">
        <f t="shared" si="492"/>
        <v>UN</v>
      </c>
      <c r="D12508" s="7">
        <v>1300</v>
      </c>
      <c r="E12508" s="3">
        <v>13</v>
      </c>
      <c r="F12508" s="3">
        <v>13</v>
      </c>
      <c r="G12508" t="s">
        <v>512</v>
      </c>
    </row>
    <row r="12509" spans="1:7" x14ac:dyDescent="0.25">
      <c r="A12509" s="1" t="str">
        <f>"522621"</f>
        <v>522621</v>
      </c>
      <c r="B12509" s="2" t="str">
        <f>"HP SERVIÇO DE GARANTIA 4 ANOS P/ DESKTOP 9X5 ATEND PROX"</f>
        <v>HP SERVIÇO DE GARANTIA 4 ANOS P/ DESKTOP 9X5 ATEND PROX</v>
      </c>
      <c r="C12509" s="2" t="str">
        <f t="shared" si="492"/>
        <v>UN</v>
      </c>
      <c r="D12509" s="7">
        <v>1300</v>
      </c>
      <c r="E12509" s="3">
        <v>13</v>
      </c>
      <c r="F12509" s="3">
        <v>13</v>
      </c>
      <c r="G12509" t="s">
        <v>513</v>
      </c>
    </row>
    <row r="12510" spans="1:7" x14ac:dyDescent="0.25">
      <c r="A12510" s="1" t="str">
        <f>"522620"</f>
        <v>522620</v>
      </c>
      <c r="B12510" s="2" t="str">
        <f>"HP SERVIÇO DE GARANTIA 4 ANOS P/ NOT 9X5 ATEND PROX DIA UTIL"</f>
        <v>HP SERVIÇO DE GARANTIA 4 ANOS P/ NOT 9X5 ATEND PROX DIA UTIL</v>
      </c>
      <c r="C12510" s="2" t="str">
        <f t="shared" si="492"/>
        <v>UN</v>
      </c>
      <c r="D12510" s="7">
        <v>1300</v>
      </c>
      <c r="E12510" s="3">
        <v>13</v>
      </c>
      <c r="F12510" s="3">
        <v>13</v>
      </c>
      <c r="G12510" t="s">
        <v>514</v>
      </c>
    </row>
    <row r="12511" spans="1:7" x14ac:dyDescent="0.25">
      <c r="A12511" s="1" t="str">
        <f>"514788"</f>
        <v>514788</v>
      </c>
      <c r="B12511" s="2" t="str">
        <f>"HP TAPE KIT SAS 1U AE459B"</f>
        <v>HP TAPE KIT SAS 1U AE459B</v>
      </c>
      <c r="C12511" s="2" t="str">
        <f t="shared" si="492"/>
        <v>UN</v>
      </c>
      <c r="D12511" s="7">
        <v>401</v>
      </c>
      <c r="E12511" s="3">
        <v>4</v>
      </c>
      <c r="F12511" s="3">
        <v>4</v>
      </c>
      <c r="G12511" t="s">
        <v>514</v>
      </c>
    </row>
    <row r="12512" spans="1:7" x14ac:dyDescent="0.25">
      <c r="A12512" s="1" t="str">
        <f>"520665"</f>
        <v>520665</v>
      </c>
      <c r="B12512" s="2" t="str">
        <f>"HRV EX CVT 2016/2016 PRATA"</f>
        <v>HRV EX CVT 2016/2016 PRATA</v>
      </c>
      <c r="C12512" s="2" t="str">
        <f t="shared" si="492"/>
        <v>UN</v>
      </c>
      <c r="D12512" s="7">
        <v>99999</v>
      </c>
      <c r="E12512" s="3">
        <v>99</v>
      </c>
      <c r="F12512" s="3">
        <v>99</v>
      </c>
      <c r="G12512" t="s">
        <v>514</v>
      </c>
    </row>
    <row r="12513" spans="1:7" x14ac:dyDescent="0.25">
      <c r="A12513" s="1" t="str">
        <f>"513922"</f>
        <v>513922</v>
      </c>
      <c r="B12513" s="2" t="str">
        <f>"HS BOND SILICONE INCOLOR"</f>
        <v>HS BOND SILICONE INCOLOR</v>
      </c>
      <c r="C12513" s="2" t="str">
        <f>"PC"</f>
        <v>PC</v>
      </c>
      <c r="D12513" s="7">
        <v>704</v>
      </c>
      <c r="E12513" s="3">
        <v>9</v>
      </c>
      <c r="F12513" s="3">
        <v>9</v>
      </c>
      <c r="G12513" t="s">
        <v>513</v>
      </c>
    </row>
    <row r="12514" spans="1:7" x14ac:dyDescent="0.25">
      <c r="A12514" s="1" t="str">
        <f>"509564"</f>
        <v>509564</v>
      </c>
      <c r="B12514" s="2" t="str">
        <f>"HS LIMPEZA"</f>
        <v>HS LIMPEZA</v>
      </c>
      <c r="C12514" s="2" t="str">
        <f>"UN"</f>
        <v>UN</v>
      </c>
      <c r="D12514" s="7">
        <v>704</v>
      </c>
      <c r="E12514" s="3">
        <v>9</v>
      </c>
      <c r="F12514" s="3">
        <v>9</v>
      </c>
      <c r="G12514" t="s">
        <v>513</v>
      </c>
    </row>
    <row r="12515" spans="1:7" x14ac:dyDescent="0.25">
      <c r="A12515" s="1" t="str">
        <f>"517705"</f>
        <v>517705</v>
      </c>
      <c r="B12515" s="2" t="str">
        <f>"HTH REFIL TESTE CLORO"</f>
        <v>HTH REFIL TESTE CLORO</v>
      </c>
      <c r="C12515" s="2" t="str">
        <f>"UN"</f>
        <v>UN</v>
      </c>
      <c r="D12515" s="7">
        <v>915</v>
      </c>
      <c r="E12515" s="3">
        <v>10</v>
      </c>
      <c r="F12515" s="3">
        <v>10</v>
      </c>
      <c r="G12515" t="s">
        <v>513</v>
      </c>
    </row>
    <row r="12516" spans="1:7" x14ac:dyDescent="0.25">
      <c r="A12516" s="1" t="str">
        <f>"510346"</f>
        <v>510346</v>
      </c>
      <c r="B12516" s="2" t="str">
        <f>"HUB 8 PORTAS - REDE"</f>
        <v>HUB 8 PORTAS - REDE</v>
      </c>
      <c r="C12516" s="2" t="str">
        <f>"UN"</f>
        <v>UN</v>
      </c>
      <c r="D12516" s="7">
        <v>600</v>
      </c>
      <c r="E12516" s="3">
        <v>8</v>
      </c>
      <c r="F12516" s="3">
        <v>8</v>
      </c>
      <c r="G12516" t="s">
        <v>512</v>
      </c>
    </row>
    <row r="12517" spans="1:7" x14ac:dyDescent="0.25">
      <c r="A12517" s="1" t="str">
        <f>"521515"</f>
        <v>521515</v>
      </c>
      <c r="B12517" s="2" t="str">
        <f>"HUB PARA VENTILADORERS EUROEMME 10B/EM50 PN2511600"</f>
        <v>HUB PARA VENTILADORERS EUROEMME 10B/EM50 PN2511600</v>
      </c>
      <c r="C12517" s="2" t="str">
        <f>"UN"</f>
        <v>UN</v>
      </c>
      <c r="D12517" s="7">
        <v>916</v>
      </c>
      <c r="E12517" s="3">
        <v>10</v>
      </c>
      <c r="F12517" s="3">
        <v>10</v>
      </c>
      <c r="G12517" t="s">
        <v>513</v>
      </c>
    </row>
    <row r="12518" spans="1:7" x14ac:dyDescent="0.25">
      <c r="A12518" s="1" t="str">
        <f>"513573"</f>
        <v>513573</v>
      </c>
      <c r="B12518" s="2" t="str">
        <f>"HUB USB 4 ENTRADAS"</f>
        <v>HUB USB 4 ENTRADAS</v>
      </c>
      <c r="C12518" s="2" t="str">
        <f>"UN"</f>
        <v>UN</v>
      </c>
      <c r="D12518" s="7">
        <v>99999</v>
      </c>
      <c r="E12518" s="3">
        <v>99</v>
      </c>
      <c r="F12518" s="3">
        <v>99</v>
      </c>
      <c r="G12518" t="s">
        <v>514</v>
      </c>
    </row>
    <row r="12519" spans="1:7" x14ac:dyDescent="0.25">
      <c r="A12519" s="1" t="str">
        <f>"525595"</f>
        <v>525595</v>
      </c>
      <c r="B12519" s="2" t="str">
        <f>"HUBBY USB"</f>
        <v>HUBBY USB</v>
      </c>
      <c r="C12519" s="2" t="str">
        <f>"MT"</f>
        <v>MT</v>
      </c>
      <c r="D12519" s="7">
        <v>602</v>
      </c>
      <c r="E12519" s="3">
        <v>8</v>
      </c>
      <c r="F12519" s="3">
        <v>8</v>
      </c>
      <c r="G12519" t="s">
        <v>515</v>
      </c>
    </row>
    <row r="12520" spans="1:7" x14ac:dyDescent="0.25">
      <c r="A12520" s="1" t="str">
        <f>"520887"</f>
        <v>520887</v>
      </c>
      <c r="B12520" s="2" t="str">
        <f>"HVR GRAVADOR DIG. IMAGEM HVR TECVOZ"</f>
        <v>HVR GRAVADOR DIG. IMAGEM HVR TECVOZ</v>
      </c>
      <c r="C12520" s="2" t="str">
        <f>"MT"</f>
        <v>MT</v>
      </c>
      <c r="D12520" s="7">
        <v>602</v>
      </c>
      <c r="E12520" s="3">
        <v>8</v>
      </c>
      <c r="F12520" s="3">
        <v>8</v>
      </c>
      <c r="G12520" t="s">
        <v>512</v>
      </c>
    </row>
    <row r="12521" spans="1:7" x14ac:dyDescent="0.25">
      <c r="A12521" s="1" t="str">
        <f>"518809"</f>
        <v>518809</v>
      </c>
      <c r="B12521" s="2" t="str">
        <f>"IBUPRIL 600MG CX 20 COMPRIMIDOS"</f>
        <v>IBUPRIL 600MG CX 20 COMPRIMIDOS</v>
      </c>
      <c r="C12521" s="2" t="str">
        <f t="shared" ref="C12521:C12558" si="493">"UN"</f>
        <v>UN</v>
      </c>
      <c r="D12521" s="7">
        <v>99999</v>
      </c>
      <c r="E12521" s="3">
        <v>99</v>
      </c>
      <c r="F12521" s="3">
        <v>99</v>
      </c>
      <c r="G12521" t="s">
        <v>516</v>
      </c>
    </row>
    <row r="12522" spans="1:7" x14ac:dyDescent="0.25">
      <c r="A12522" s="1" t="str">
        <f>"514646"</f>
        <v>514646</v>
      </c>
      <c r="B12522" s="2" t="str">
        <f>"IBUPROFENO"</f>
        <v>IBUPROFENO</v>
      </c>
      <c r="C12522" s="2" t="str">
        <f t="shared" si="493"/>
        <v>UN</v>
      </c>
      <c r="D12522" s="7">
        <v>406</v>
      </c>
      <c r="E12522" s="3">
        <v>4</v>
      </c>
      <c r="F12522" s="3">
        <v>4</v>
      </c>
      <c r="G12522" t="s">
        <v>515</v>
      </c>
    </row>
    <row r="12523" spans="1:7" x14ac:dyDescent="0.25">
      <c r="A12523" s="1" t="str">
        <f>"518331"</f>
        <v>518331</v>
      </c>
      <c r="B12523" s="2" t="str">
        <f>"ICMS"</f>
        <v>ICMS</v>
      </c>
      <c r="C12523" s="2" t="str">
        <f t="shared" si="493"/>
        <v>UN</v>
      </c>
      <c r="D12523" s="7">
        <v>99999</v>
      </c>
      <c r="E12523" s="3">
        <v>99</v>
      </c>
      <c r="F12523" s="3">
        <v>99</v>
      </c>
      <c r="G12523" t="s">
        <v>514</v>
      </c>
    </row>
    <row r="12524" spans="1:7" x14ac:dyDescent="0.25">
      <c r="A12524" s="1" t="str">
        <f>"518208"</f>
        <v>518208</v>
      </c>
      <c r="B12524" s="2" t="str">
        <f>"IDENTIFICADOR BORNE SAK SIEMENS"</f>
        <v>IDENTIFICADOR BORNE SAK SIEMENS</v>
      </c>
      <c r="C12524" s="2" t="str">
        <f t="shared" si="493"/>
        <v>UN</v>
      </c>
      <c r="D12524" s="7">
        <v>811</v>
      </c>
      <c r="E12524" s="3">
        <v>8</v>
      </c>
      <c r="F12524" s="3">
        <v>8</v>
      </c>
      <c r="G12524" t="s">
        <v>512</v>
      </c>
    </row>
    <row r="12525" spans="1:7" x14ac:dyDescent="0.25">
      <c r="A12525" s="1" t="str">
        <f>"508991"</f>
        <v>508991</v>
      </c>
      <c r="B12525" s="2" t="str">
        <f>"IDENTIFICADOR DE TOMADA 110V"</f>
        <v>IDENTIFICADOR DE TOMADA 110V</v>
      </c>
      <c r="C12525" s="2" t="str">
        <f t="shared" si="493"/>
        <v>UN</v>
      </c>
      <c r="D12525" s="7">
        <v>601</v>
      </c>
      <c r="E12525" s="3">
        <v>8</v>
      </c>
      <c r="F12525" s="3">
        <v>8</v>
      </c>
      <c r="G12525" t="s">
        <v>513</v>
      </c>
    </row>
    <row r="12526" spans="1:7" x14ac:dyDescent="0.25">
      <c r="A12526" s="1" t="str">
        <f>"508992"</f>
        <v>508992</v>
      </c>
      <c r="B12526" s="2" t="str">
        <f>"IDENTIFICADOR DE TOMADA 220V"</f>
        <v>IDENTIFICADOR DE TOMADA 220V</v>
      </c>
      <c r="C12526" s="2" t="str">
        <f t="shared" si="493"/>
        <v>UN</v>
      </c>
      <c r="D12526" s="7">
        <v>601</v>
      </c>
      <c r="E12526" s="3">
        <v>8</v>
      </c>
      <c r="F12526" s="3">
        <v>8</v>
      </c>
      <c r="G12526" t="s">
        <v>514</v>
      </c>
    </row>
    <row r="12527" spans="1:7" x14ac:dyDescent="0.25">
      <c r="A12527" s="1" t="str">
        <f>"510163"</f>
        <v>510163</v>
      </c>
      <c r="B12527" s="2" t="str">
        <f>"IGBT - MAQUINA DE INDUÇAO"</f>
        <v>IGBT - MAQUINA DE INDUÇAO</v>
      </c>
      <c r="C12527" s="2" t="str">
        <f t="shared" si="493"/>
        <v>UN</v>
      </c>
      <c r="D12527" s="7">
        <v>900</v>
      </c>
      <c r="E12527" s="3">
        <v>11</v>
      </c>
      <c r="F12527" s="3">
        <v>11</v>
      </c>
      <c r="G12527" t="s">
        <v>514</v>
      </c>
    </row>
    <row r="12528" spans="1:7" x14ac:dyDescent="0.25">
      <c r="A12528" s="1" t="str">
        <f>"514251"</f>
        <v>514251</v>
      </c>
      <c r="B12528" s="2" t="str">
        <f>"IHM 2700.03 ATOS"</f>
        <v>IHM 2700.03 ATOS</v>
      </c>
      <c r="C12528" s="2" t="str">
        <f t="shared" si="493"/>
        <v>UN</v>
      </c>
      <c r="D12528" s="7">
        <v>1300</v>
      </c>
      <c r="E12528" s="3">
        <v>13</v>
      </c>
      <c r="F12528" s="3">
        <v>13</v>
      </c>
      <c r="G12528" t="s">
        <v>512</v>
      </c>
    </row>
    <row r="12529" spans="1:7" x14ac:dyDescent="0.25">
      <c r="A12529" s="1" t="str">
        <f>"519370"</f>
        <v>519370</v>
      </c>
      <c r="B12529" s="2" t="str">
        <f>"IHM 3,7"" GT02"</f>
        <v>IHM 3,7" GT02</v>
      </c>
      <c r="C12529" s="2" t="str">
        <f t="shared" si="493"/>
        <v>UN</v>
      </c>
      <c r="D12529" s="7">
        <v>918</v>
      </c>
      <c r="E12529" s="3">
        <v>11</v>
      </c>
      <c r="F12529" s="3">
        <v>11</v>
      </c>
      <c r="G12529" t="s">
        <v>513</v>
      </c>
    </row>
    <row r="12530" spans="1:7" x14ac:dyDescent="0.25">
      <c r="A12530" s="1" t="str">
        <f>"526566"</f>
        <v>526566</v>
      </c>
      <c r="B12530" s="2" t="str">
        <f>"IHM 5,6 QVGA TFT COLORIDA. PROD NB5Q-TW00B"</f>
        <v>IHM 5,6 QVGA TFT COLORIDA. PROD NB5Q-TW00B</v>
      </c>
      <c r="C12530" s="2" t="str">
        <f t="shared" si="493"/>
        <v>UN</v>
      </c>
      <c r="D12530" s="7">
        <v>900</v>
      </c>
      <c r="E12530" s="3">
        <v>8</v>
      </c>
      <c r="F12530" s="3">
        <v>8</v>
      </c>
      <c r="G12530" t="s">
        <v>514</v>
      </c>
    </row>
    <row r="12531" spans="1:7" x14ac:dyDescent="0.25">
      <c r="A12531" s="1" t="str">
        <f>"521966"</f>
        <v>521966</v>
      </c>
      <c r="B12531" s="8" t="s">
        <v>268</v>
      </c>
      <c r="C12531" s="2" t="str">
        <f t="shared" si="493"/>
        <v>UN</v>
      </c>
      <c r="D12531" s="7">
        <v>811</v>
      </c>
      <c r="E12531" s="3">
        <v>11</v>
      </c>
      <c r="F12531" s="3">
        <v>11</v>
      </c>
      <c r="G12531" t="s">
        <v>514</v>
      </c>
    </row>
    <row r="12532" spans="1:7" x14ac:dyDescent="0.25">
      <c r="A12532" s="1" t="str">
        <f>"528140"</f>
        <v>528140</v>
      </c>
      <c r="B12532" s="2" t="str">
        <f>"IHM DELTA 4,3- ETHERNET- 480X272 256MB (DOP-103WQ)"</f>
        <v>IHM DELTA 4,3- ETHERNET- 480X272 256MB (DOP-103WQ)</v>
      </c>
      <c r="C12532" s="2" t="str">
        <f t="shared" si="493"/>
        <v>UN</v>
      </c>
      <c r="D12532" s="7">
        <v>918</v>
      </c>
      <c r="E12532" s="3">
        <v>11</v>
      </c>
      <c r="F12532" s="3">
        <v>11</v>
      </c>
      <c r="G12532" t="s">
        <v>514</v>
      </c>
    </row>
    <row r="12533" spans="1:7" x14ac:dyDescent="0.25">
      <c r="A12533" s="1" t="str">
        <f>"512836"</f>
        <v>512836</v>
      </c>
      <c r="B12533" s="2" t="str">
        <f>"IHM GT02 AIG02GQ02D 3,8"" MONO 5VCC"</f>
        <v>IHM GT02 AIG02GQ02D 3,8" MONO 5VCC</v>
      </c>
      <c r="C12533" s="2" t="str">
        <f t="shared" si="493"/>
        <v>UN</v>
      </c>
      <c r="D12533" s="7">
        <v>918</v>
      </c>
      <c r="E12533" s="3">
        <v>11</v>
      </c>
      <c r="F12533" s="3">
        <v>11</v>
      </c>
      <c r="G12533" t="s">
        <v>513</v>
      </c>
    </row>
    <row r="12534" spans="1:7" x14ac:dyDescent="0.25">
      <c r="A12534" s="1" t="str">
        <f>"517211"</f>
        <v>517211</v>
      </c>
      <c r="B12534" s="2" t="str">
        <f>"IHM K VIEW 7"" TOUCH SREEN USB 24VDC 65536 CORES"</f>
        <v>IHM K VIEW 7" TOUCH SREEN USB 24VDC 65536 CORES</v>
      </c>
      <c r="C12534" s="2" t="str">
        <f t="shared" si="493"/>
        <v>UN</v>
      </c>
      <c r="D12534" s="7">
        <v>811</v>
      </c>
      <c r="E12534" s="3">
        <v>8</v>
      </c>
      <c r="F12534" s="3">
        <v>8</v>
      </c>
      <c r="G12534" t="s">
        <v>512</v>
      </c>
    </row>
    <row r="12535" spans="1:7" x14ac:dyDescent="0.25">
      <c r="A12535" s="1" t="str">
        <f>"521039"</f>
        <v>521039</v>
      </c>
      <c r="B12535" s="2" t="str">
        <f>"IHM K VIEW 70"" TOUCH SCREN USB 24V-DC 65536 CORES MT6070 IH"</f>
        <v>IHM K VIEW 70" TOUCH SCREN USB 24V-DC 65536 CORES MT6070 IH</v>
      </c>
      <c r="C12535" s="2" t="str">
        <f t="shared" si="493"/>
        <v>UN</v>
      </c>
      <c r="D12535" s="7">
        <v>900</v>
      </c>
      <c r="E12535" s="3">
        <v>8</v>
      </c>
      <c r="F12535" s="3">
        <v>8</v>
      </c>
      <c r="G12535" t="s">
        <v>513</v>
      </c>
    </row>
    <row r="12536" spans="1:7" x14ac:dyDescent="0.25">
      <c r="A12536" s="1" t="str">
        <f>"526045"</f>
        <v>526045</v>
      </c>
      <c r="B12536" s="2" t="str">
        <f>"IHM KTP 700 BASIC COLOR 6EV 123-2GB03-0AX0"</f>
        <v>IHM KTP 700 BASIC COLOR 6EV 123-2GB03-0AX0</v>
      </c>
      <c r="C12536" s="2" t="str">
        <f t="shared" si="493"/>
        <v>UN</v>
      </c>
      <c r="D12536" s="7">
        <v>811</v>
      </c>
      <c r="E12536" s="3">
        <v>11</v>
      </c>
      <c r="F12536" s="3">
        <v>11</v>
      </c>
      <c r="G12536" t="s">
        <v>514</v>
      </c>
    </row>
    <row r="12537" spans="1:7" x14ac:dyDescent="0.25">
      <c r="A12537" s="1" t="str">
        <f>"517860"</f>
        <v>517860</v>
      </c>
      <c r="B12537" s="2" t="str">
        <f>"IHM KTP400 MONO PN 6AV6647-0AA111-3AX0"</f>
        <v>IHM KTP400 MONO PN 6AV6647-0AA111-3AX0</v>
      </c>
      <c r="C12537" s="2" t="str">
        <f t="shared" si="493"/>
        <v>UN</v>
      </c>
      <c r="D12537" s="7">
        <v>811</v>
      </c>
      <c r="E12537" s="3">
        <v>8</v>
      </c>
      <c r="F12537" s="3">
        <v>8</v>
      </c>
      <c r="G12537" t="s">
        <v>514</v>
      </c>
    </row>
    <row r="12538" spans="1:7" x14ac:dyDescent="0.25">
      <c r="A12538" s="1" t="str">
        <f>"524401"</f>
        <v>524401</v>
      </c>
      <c r="B12538" s="2" t="str">
        <f>"IHM KVIEW 7"" TOUCH SCREAN USB 24VDC 65536 CORES KT6071IP"</f>
        <v>IHM KVIEW 7" TOUCH SCREAN USB 24VDC 65536 CORES KT6071IP</v>
      </c>
      <c r="C12538" s="2" t="str">
        <f t="shared" si="493"/>
        <v>UN</v>
      </c>
      <c r="D12538" s="7">
        <v>811</v>
      </c>
      <c r="E12538" s="3">
        <v>11</v>
      </c>
      <c r="F12538" s="3">
        <v>11</v>
      </c>
      <c r="G12538" t="s">
        <v>514</v>
      </c>
    </row>
    <row r="12539" spans="1:7" x14ac:dyDescent="0.25">
      <c r="A12539" s="1" t="str">
        <f>"522845"</f>
        <v>522845</v>
      </c>
      <c r="B12539" s="8" t="s">
        <v>342</v>
      </c>
      <c r="C12539" s="2" t="str">
        <f t="shared" si="493"/>
        <v>UN</v>
      </c>
      <c r="D12539" s="7">
        <v>900</v>
      </c>
      <c r="E12539" s="3">
        <v>10</v>
      </c>
      <c r="F12539" s="3">
        <v>10</v>
      </c>
      <c r="G12539" t="s">
        <v>513</v>
      </c>
    </row>
    <row r="12540" spans="1:7" x14ac:dyDescent="0.25">
      <c r="A12540" s="1" t="str">
        <f>"514580"</f>
        <v>514580</v>
      </c>
      <c r="B12540" s="2" t="str">
        <f>"IHM LCD RS232/485 512K VCA TM 90A253 VCA"</f>
        <v>IHM LCD RS232/485 512K VCA TM 90A253 VCA</v>
      </c>
      <c r="C12540" s="2" t="str">
        <f t="shared" si="493"/>
        <v>UN</v>
      </c>
      <c r="D12540" s="7">
        <v>811</v>
      </c>
      <c r="E12540" s="3">
        <v>8</v>
      </c>
      <c r="F12540" s="3">
        <v>8</v>
      </c>
      <c r="G12540" t="s">
        <v>513</v>
      </c>
    </row>
    <row r="12541" spans="1:7" x14ac:dyDescent="0.25">
      <c r="A12541" s="1" t="str">
        <f>"507759"</f>
        <v>507759</v>
      </c>
      <c r="B12541" s="2" t="str">
        <f>"IHM NT11 - SF121B - EV1"</f>
        <v>IHM NT11 - SF121B - EV1</v>
      </c>
      <c r="C12541" s="2" t="str">
        <f t="shared" si="493"/>
        <v>UN</v>
      </c>
      <c r="D12541" s="7">
        <v>900</v>
      </c>
      <c r="E12541" s="3">
        <v>11</v>
      </c>
      <c r="F12541" s="3">
        <v>11</v>
      </c>
      <c r="G12541" t="s">
        <v>513</v>
      </c>
    </row>
    <row r="12542" spans="1:7" x14ac:dyDescent="0.25">
      <c r="A12542" s="1" t="str">
        <f>"516314"</f>
        <v>516314</v>
      </c>
      <c r="B12542" s="2" t="str">
        <f>"IHM OMRON NT11S-SF121B-EV1"</f>
        <v>IHM OMRON NT11S-SF121B-EV1</v>
      </c>
      <c r="C12542" s="2" t="str">
        <f t="shared" si="493"/>
        <v>UN</v>
      </c>
      <c r="D12542" s="7">
        <v>900</v>
      </c>
      <c r="E12542" s="3">
        <v>8</v>
      </c>
      <c r="F12542" s="3">
        <v>8</v>
      </c>
      <c r="G12542" t="s">
        <v>512</v>
      </c>
    </row>
    <row r="12543" spans="1:7" x14ac:dyDescent="0.25">
      <c r="A12543" s="1" t="str">
        <f>"520533"</f>
        <v>520533</v>
      </c>
      <c r="B12543" s="2" t="str">
        <f>"IHM OMRON NT31C-ST141-EV2"</f>
        <v>IHM OMRON NT31C-ST141-EV2</v>
      </c>
      <c r="C12543" s="2" t="str">
        <f t="shared" si="493"/>
        <v>UN</v>
      </c>
      <c r="D12543" s="7">
        <v>900</v>
      </c>
      <c r="E12543" s="3">
        <v>8</v>
      </c>
      <c r="F12543" s="3">
        <v>8</v>
      </c>
      <c r="G12543" t="s">
        <v>513</v>
      </c>
    </row>
    <row r="12544" spans="1:7" x14ac:dyDescent="0.25">
      <c r="A12544" s="1" t="str">
        <f>"512776"</f>
        <v>512776</v>
      </c>
      <c r="B12544" s="2" t="str">
        <f>"IHM OMRON NT31C-ST143B-EV3"</f>
        <v>IHM OMRON NT31C-ST143B-EV3</v>
      </c>
      <c r="C12544" s="2" t="str">
        <f t="shared" si="493"/>
        <v>UN</v>
      </c>
      <c r="D12544" s="7">
        <v>900</v>
      </c>
      <c r="E12544" s="3">
        <v>8</v>
      </c>
      <c r="F12544" s="3">
        <v>8</v>
      </c>
      <c r="G12544" t="s">
        <v>514</v>
      </c>
    </row>
    <row r="12545" spans="1:7" x14ac:dyDescent="0.25">
      <c r="A12545" s="1" t="str">
        <f>"517748"</f>
        <v>517748</v>
      </c>
      <c r="B12545" s="2" t="str">
        <f>"IHM PANASONIC GT02, 3.8"" TOUCH RS-232 5VDC 3 CORES"</f>
        <v>IHM PANASONIC GT02, 3.8" TOUCH RS-232 5VDC 3 CORES</v>
      </c>
      <c r="C12545" s="2" t="str">
        <f t="shared" si="493"/>
        <v>UN</v>
      </c>
      <c r="D12545" s="7">
        <v>811</v>
      </c>
      <c r="E12545" s="3">
        <v>8</v>
      </c>
      <c r="F12545" s="3">
        <v>8</v>
      </c>
      <c r="G12545" t="s">
        <v>515</v>
      </c>
    </row>
    <row r="12546" spans="1:7" x14ac:dyDescent="0.25">
      <c r="A12546" s="1" t="str">
        <f>"526592"</f>
        <v>526592</v>
      </c>
      <c r="B12546" s="2" t="str">
        <f>"IHM SIMATIC KTP600 6AV6647-0AD11-3AX0"</f>
        <v>IHM SIMATIC KTP600 6AV6647-0AD11-3AX0</v>
      </c>
      <c r="C12546" s="2" t="str">
        <f t="shared" si="493"/>
        <v>UN</v>
      </c>
      <c r="D12546" s="7">
        <v>811</v>
      </c>
      <c r="E12546" s="3">
        <v>8</v>
      </c>
      <c r="F12546" s="3">
        <v>8</v>
      </c>
      <c r="G12546" t="s">
        <v>512</v>
      </c>
    </row>
    <row r="12547" spans="1:7" x14ac:dyDescent="0.25">
      <c r="A12547" s="1" t="str">
        <f>"526617"</f>
        <v>526617</v>
      </c>
      <c r="B12547" s="2" t="str">
        <f>"IHM SIMATIC KTP700BASIC 6AV21232GB030AX0"</f>
        <v>IHM SIMATIC KTP700BASIC 6AV21232GB030AX0</v>
      </c>
      <c r="C12547" s="2" t="str">
        <f t="shared" si="493"/>
        <v>UN</v>
      </c>
      <c r="D12547" s="7">
        <v>811</v>
      </c>
      <c r="E12547" s="3">
        <v>8</v>
      </c>
      <c r="F12547" s="3">
        <v>8</v>
      </c>
      <c r="G12547" t="s">
        <v>516</v>
      </c>
    </row>
    <row r="12548" spans="1:7" x14ac:dyDescent="0.25">
      <c r="A12548" s="1" t="str">
        <f>"525458"</f>
        <v>525458</v>
      </c>
      <c r="B12548" s="2" t="str">
        <f>"IHM SIMATIC PANEL TP177 MICRO 6AV6 640-0CA11-0AX1"</f>
        <v>IHM SIMATIC PANEL TP177 MICRO 6AV6 640-0CA11-0AX1</v>
      </c>
      <c r="C12548" s="2" t="str">
        <f t="shared" si="493"/>
        <v>UN</v>
      </c>
      <c r="D12548" s="7">
        <v>811</v>
      </c>
      <c r="E12548" s="3">
        <v>11</v>
      </c>
      <c r="F12548" s="3">
        <v>11</v>
      </c>
      <c r="G12548" t="s">
        <v>515</v>
      </c>
    </row>
    <row r="12549" spans="1:7" x14ac:dyDescent="0.25">
      <c r="A12549" s="1" t="str">
        <f>"520716"</f>
        <v>520716</v>
      </c>
      <c r="B12549" s="2" t="str">
        <f>"IHM TFT - CENTRIFUGA REDA RE 100 TE"</f>
        <v>IHM TFT - CENTRIFUGA REDA RE 100 TE</v>
      </c>
      <c r="C12549" s="2" t="str">
        <f t="shared" si="493"/>
        <v>UN</v>
      </c>
      <c r="D12549" s="7">
        <v>1300</v>
      </c>
      <c r="E12549" s="3">
        <v>13</v>
      </c>
      <c r="F12549" s="3">
        <v>13</v>
      </c>
      <c r="G12549" t="s">
        <v>514</v>
      </c>
    </row>
    <row r="12550" spans="1:7" x14ac:dyDescent="0.25">
      <c r="A12550" s="1" t="str">
        <f>"501619"</f>
        <v>501619</v>
      </c>
      <c r="B12550" s="2" t="str">
        <f>"ILHO BOMBA LAV PARABR"</f>
        <v>ILHO BOMBA LAV PARABR</v>
      </c>
      <c r="C12550" s="2" t="str">
        <f t="shared" si="493"/>
        <v>UN</v>
      </c>
      <c r="D12550" s="7">
        <v>704</v>
      </c>
      <c r="E12550" s="3">
        <v>9</v>
      </c>
      <c r="F12550" s="3">
        <v>9</v>
      </c>
      <c r="G12550" t="s">
        <v>512</v>
      </c>
    </row>
    <row r="12551" spans="1:7" x14ac:dyDescent="0.25">
      <c r="A12551" s="1" t="str">
        <f>"527283"</f>
        <v>527283</v>
      </c>
      <c r="B12551" s="2" t="str">
        <f>"ILUMINAÇÃO INDICADOR"</f>
        <v>ILUMINAÇÃO INDICADOR</v>
      </c>
      <c r="C12551" s="2" t="str">
        <f t="shared" si="493"/>
        <v>UN</v>
      </c>
      <c r="D12551" s="7">
        <v>99999</v>
      </c>
      <c r="E12551" s="3">
        <v>99</v>
      </c>
      <c r="F12551" s="3">
        <v>99</v>
      </c>
      <c r="G12551" t="s">
        <v>513</v>
      </c>
    </row>
    <row r="12552" spans="1:7" x14ac:dyDescent="0.25">
      <c r="A12552" s="1" t="str">
        <f>"503431"</f>
        <v>503431</v>
      </c>
      <c r="B12552" s="2" t="str">
        <f>"IMA 400X200X30MM"</f>
        <v>IMA 400X200X30MM</v>
      </c>
      <c r="C12552" s="2" t="str">
        <f t="shared" si="493"/>
        <v>UN</v>
      </c>
      <c r="D12552" s="7">
        <v>918</v>
      </c>
      <c r="E12552" s="3">
        <v>11</v>
      </c>
      <c r="F12552" s="3">
        <v>11</v>
      </c>
      <c r="G12552" t="s">
        <v>514</v>
      </c>
    </row>
    <row r="12553" spans="1:7" x14ac:dyDescent="0.25">
      <c r="A12553" s="1" t="str">
        <f>"513171"</f>
        <v>513171</v>
      </c>
      <c r="B12553" s="2" t="str">
        <f>"IMA ADVU 32 / PA"</f>
        <v>IMA ADVU 32 / PA</v>
      </c>
      <c r="C12553" s="2" t="str">
        <f t="shared" si="493"/>
        <v>UN</v>
      </c>
      <c r="D12553" s="7">
        <v>918</v>
      </c>
      <c r="E12553" s="3">
        <v>11</v>
      </c>
      <c r="F12553" s="3">
        <v>11</v>
      </c>
      <c r="G12553" t="s">
        <v>514</v>
      </c>
    </row>
    <row r="12554" spans="1:7" x14ac:dyDescent="0.25">
      <c r="A12554" s="1" t="str">
        <f>"515564"</f>
        <v>515564</v>
      </c>
      <c r="B12554" s="2" t="str">
        <f>"IMA DO RELOGIO"</f>
        <v>IMA DO RELOGIO</v>
      </c>
      <c r="C12554" s="2" t="str">
        <f t="shared" si="493"/>
        <v>UN</v>
      </c>
      <c r="D12554" s="7">
        <v>704</v>
      </c>
      <c r="E12554" s="3">
        <v>9</v>
      </c>
      <c r="F12554" s="3">
        <v>9</v>
      </c>
      <c r="G12554" t="s">
        <v>512</v>
      </c>
    </row>
    <row r="12555" spans="1:7" x14ac:dyDescent="0.25">
      <c r="A12555" s="1" t="str">
        <f>"509340"</f>
        <v>509340</v>
      </c>
      <c r="B12555" s="2" t="str">
        <f>"IMA JFL"</f>
        <v>IMA JFL</v>
      </c>
      <c r="C12555" s="2" t="str">
        <f t="shared" si="493"/>
        <v>UN</v>
      </c>
      <c r="D12555" s="7">
        <v>601</v>
      </c>
      <c r="E12555" s="3">
        <v>8</v>
      </c>
      <c r="F12555" s="3">
        <v>8</v>
      </c>
      <c r="G12555" t="s">
        <v>513</v>
      </c>
    </row>
    <row r="12556" spans="1:7" x14ac:dyDescent="0.25">
      <c r="A12556" s="1" t="str">
        <f>"521391"</f>
        <v>521391</v>
      </c>
      <c r="B12556" s="2" t="str">
        <f>"IMA P/ PORTA ASTERBELT 5251"</f>
        <v>IMA P/ PORTA ASTERBELT 5251</v>
      </c>
      <c r="C12556" s="2" t="str">
        <f t="shared" si="493"/>
        <v>UN</v>
      </c>
      <c r="D12556" s="7">
        <v>918</v>
      </c>
      <c r="E12556" s="3">
        <v>11</v>
      </c>
      <c r="F12556" s="3">
        <v>11</v>
      </c>
      <c r="G12556" t="s">
        <v>514</v>
      </c>
    </row>
    <row r="12557" spans="1:7" x14ac:dyDescent="0.25">
      <c r="A12557" s="1" t="str">
        <f>"527218"</f>
        <v>527218</v>
      </c>
      <c r="B12557" s="2" t="str">
        <f>"IMA P/ TRAMPA MEGTRAP 135 2.5``"</f>
        <v>IMA P/ TRAMPA MEGTRAP 135 2.5``</v>
      </c>
      <c r="C12557" s="2" t="str">
        <f t="shared" si="493"/>
        <v>UN</v>
      </c>
      <c r="D12557" s="7">
        <v>918</v>
      </c>
      <c r="E12557" s="3">
        <v>11</v>
      </c>
      <c r="F12557" s="3">
        <v>11</v>
      </c>
      <c r="G12557" t="s">
        <v>514</v>
      </c>
    </row>
    <row r="12558" spans="1:7" x14ac:dyDescent="0.25">
      <c r="A12558" s="1" t="str">
        <f>"513962"</f>
        <v>513962</v>
      </c>
      <c r="B12558" s="2" t="str">
        <f>"IMA PARA MURAL"</f>
        <v>IMA PARA MURAL</v>
      </c>
      <c r="C12558" s="2" t="str">
        <f t="shared" si="493"/>
        <v>UN</v>
      </c>
      <c r="D12558" s="7">
        <v>99999</v>
      </c>
      <c r="E12558" s="3">
        <v>99</v>
      </c>
      <c r="F12558" s="3">
        <v>99</v>
      </c>
      <c r="G12558" t="s">
        <v>514</v>
      </c>
    </row>
    <row r="12559" spans="1:7" x14ac:dyDescent="0.25">
      <c r="A12559" s="1" t="str">
        <f>"512294"</f>
        <v>512294</v>
      </c>
      <c r="B12559" s="2" t="str">
        <f>"IMA TT01 - PROTEÇAO BANDEJA"</f>
        <v>IMA TT01 - PROTEÇAO BANDEJA</v>
      </c>
      <c r="C12559" s="2" t="str">
        <f>"PC"</f>
        <v>PC</v>
      </c>
      <c r="D12559" s="7">
        <v>918</v>
      </c>
      <c r="E12559" s="3">
        <v>11</v>
      </c>
      <c r="F12559" s="3">
        <v>11</v>
      </c>
      <c r="G12559" t="s">
        <v>513</v>
      </c>
    </row>
    <row r="12560" spans="1:7" x14ac:dyDescent="0.25">
      <c r="A12560" s="1" t="str">
        <f>"515698"</f>
        <v>515698</v>
      </c>
      <c r="B12560" s="2" t="str">
        <f>"IMOBILIZADOR DE CABECA"</f>
        <v>IMOBILIZADOR DE CABECA</v>
      </c>
      <c r="C12560" s="2" t="str">
        <f t="shared" ref="C12560:C12596" si="494">"UN"</f>
        <v>UN</v>
      </c>
      <c r="D12560" s="7">
        <v>501</v>
      </c>
      <c r="E12560" s="3">
        <v>5</v>
      </c>
      <c r="F12560" s="3">
        <v>5</v>
      </c>
      <c r="G12560" t="s">
        <v>512</v>
      </c>
    </row>
    <row r="12561" spans="1:7" x14ac:dyDescent="0.25">
      <c r="A12561" s="1" t="str">
        <f>"527863"</f>
        <v>527863</v>
      </c>
      <c r="B12561" s="2" t="str">
        <f>"IMOBILIZADOR DE PULSO MUNHEQUEIRA"</f>
        <v>IMOBILIZADOR DE PULSO MUNHEQUEIRA</v>
      </c>
      <c r="C12561" s="2" t="str">
        <f t="shared" si="494"/>
        <v>UN</v>
      </c>
      <c r="D12561" s="7">
        <v>501</v>
      </c>
      <c r="E12561" s="3">
        <v>5</v>
      </c>
      <c r="F12561" s="3">
        <v>5</v>
      </c>
      <c r="G12561" t="s">
        <v>513</v>
      </c>
    </row>
    <row r="12562" spans="1:7" x14ac:dyDescent="0.25">
      <c r="A12562" s="1" t="str">
        <f>"526836"</f>
        <v>526836</v>
      </c>
      <c r="B12562" s="2" t="str">
        <f>"IMOBILIZADOR LATERAL DE CABEÇA (HEAD BLOCK)"</f>
        <v>IMOBILIZADOR LATERAL DE CABEÇA (HEAD BLOCK)</v>
      </c>
      <c r="C12562" s="2" t="str">
        <f t="shared" si="494"/>
        <v>UN</v>
      </c>
      <c r="D12562" s="7">
        <v>99999</v>
      </c>
      <c r="E12562" s="3">
        <v>99</v>
      </c>
      <c r="F12562" s="3">
        <v>99</v>
      </c>
      <c r="G12562" t="s">
        <v>514</v>
      </c>
    </row>
    <row r="12563" spans="1:7" x14ac:dyDescent="0.25">
      <c r="A12563" s="1" t="str">
        <f>"517266"</f>
        <v>517266</v>
      </c>
      <c r="B12563" s="2" t="str">
        <f>"IMP AUT 000S8 S31 50876A  MAQ D"</f>
        <v>IMP AUT 000S8 S31 50876A  MAQ D</v>
      </c>
      <c r="C12563" s="2" t="str">
        <f t="shared" si="494"/>
        <v>UN</v>
      </c>
      <c r="D12563" s="7">
        <v>918</v>
      </c>
      <c r="E12563" s="3">
        <v>11</v>
      </c>
      <c r="F12563" s="3">
        <v>11</v>
      </c>
      <c r="G12563" t="s">
        <v>514</v>
      </c>
    </row>
    <row r="12564" spans="1:7" x14ac:dyDescent="0.25">
      <c r="A12564" s="1" t="str">
        <f>"517275"</f>
        <v>517275</v>
      </c>
      <c r="B12564" s="2" t="str">
        <f>"IMP AUT 1000S8 S2500324 A MAQ E"</f>
        <v>IMP AUT 1000S8 S2500324 A MAQ E</v>
      </c>
      <c r="C12564" s="2" t="str">
        <f t="shared" si="494"/>
        <v>UN</v>
      </c>
      <c r="D12564" s="7">
        <v>918</v>
      </c>
      <c r="E12564" s="3">
        <v>11</v>
      </c>
      <c r="F12564" s="3">
        <v>11</v>
      </c>
      <c r="G12564" t="s">
        <v>514</v>
      </c>
    </row>
    <row r="12565" spans="1:7" x14ac:dyDescent="0.25">
      <c r="A12565" s="1" t="str">
        <f>"517260"</f>
        <v>517260</v>
      </c>
      <c r="B12565" s="2" t="str">
        <f>"IMP AUT. 1000S8 S4190161A MAQ C"</f>
        <v>IMP AUT. 1000S8 S4190161A MAQ C</v>
      </c>
      <c r="C12565" s="2" t="str">
        <f t="shared" si="494"/>
        <v>UN</v>
      </c>
      <c r="D12565" s="7">
        <v>918</v>
      </c>
      <c r="E12565" s="3">
        <v>11</v>
      </c>
      <c r="F12565" s="3">
        <v>11</v>
      </c>
      <c r="G12565" t="s">
        <v>513</v>
      </c>
    </row>
    <row r="12566" spans="1:7" x14ac:dyDescent="0.25">
      <c r="A12566" s="1" t="str">
        <f>"517238"</f>
        <v>517238</v>
      </c>
      <c r="B12566" s="2" t="str">
        <f>"IMP. AUT. 1000S8 S3150877 MAQ A"</f>
        <v>IMP. AUT. 1000S8 S3150877 MAQ A</v>
      </c>
      <c r="C12566" s="2" t="str">
        <f t="shared" si="494"/>
        <v>UN</v>
      </c>
      <c r="D12566" s="7">
        <v>918</v>
      </c>
      <c r="E12566" s="3">
        <v>11</v>
      </c>
      <c r="F12566" s="3">
        <v>11</v>
      </c>
      <c r="G12566" t="s">
        <v>513</v>
      </c>
    </row>
    <row r="12567" spans="1:7" x14ac:dyDescent="0.25">
      <c r="A12567" s="1" t="str">
        <f>"517224"</f>
        <v>517224</v>
      </c>
      <c r="B12567" s="2" t="str">
        <f>"IMP. SERIE 9040 USO9340071 S.FER"</f>
        <v>IMP. SERIE 9040 USO9340071 S.FER</v>
      </c>
      <c r="C12567" s="2" t="str">
        <f t="shared" si="494"/>
        <v>UN</v>
      </c>
      <c r="D12567" s="7">
        <v>918</v>
      </c>
      <c r="E12567" s="3">
        <v>11</v>
      </c>
      <c r="F12567" s="3">
        <v>11</v>
      </c>
      <c r="G12567" t="s">
        <v>513</v>
      </c>
    </row>
    <row r="12568" spans="1:7" x14ac:dyDescent="0.25">
      <c r="A12568" s="1" t="str">
        <f>"517223"</f>
        <v>517223</v>
      </c>
      <c r="B12568" s="2" t="str">
        <f>"IMP. SERIE 9040 USO9340072 MAQ. B"</f>
        <v>IMP. SERIE 9040 USO9340072 MAQ. B</v>
      </c>
      <c r="C12568" s="2" t="str">
        <f t="shared" si="494"/>
        <v>UN</v>
      </c>
      <c r="D12568" s="7">
        <v>918</v>
      </c>
      <c r="E12568" s="3">
        <v>11</v>
      </c>
      <c r="F12568" s="3">
        <v>11</v>
      </c>
      <c r="G12568" t="s">
        <v>512</v>
      </c>
    </row>
    <row r="12569" spans="1:7" x14ac:dyDescent="0.25">
      <c r="A12569" s="1" t="str">
        <f>"522101"</f>
        <v>522101</v>
      </c>
      <c r="B12569" s="2" t="str">
        <f>"IMPERMEABILIZANTE VIAPLUS TOP 18KG"</f>
        <v>IMPERMEABILIZANTE VIAPLUS TOP 18KG</v>
      </c>
      <c r="C12569" s="2" t="str">
        <f t="shared" si="494"/>
        <v>UN</v>
      </c>
      <c r="D12569" s="7">
        <v>917</v>
      </c>
      <c r="E12569" s="3">
        <v>10</v>
      </c>
      <c r="F12569" s="3">
        <v>10</v>
      </c>
      <c r="G12569" t="s">
        <v>513</v>
      </c>
    </row>
    <row r="12570" spans="1:7" x14ac:dyDescent="0.25">
      <c r="A12570" s="1" t="str">
        <f>"518463"</f>
        <v>518463</v>
      </c>
      <c r="B12570" s="2" t="str">
        <f>"IMPOSTOS"</f>
        <v>IMPOSTOS</v>
      </c>
      <c r="C12570" s="2" t="str">
        <f t="shared" si="494"/>
        <v>UN</v>
      </c>
      <c r="D12570" s="7">
        <v>99999</v>
      </c>
      <c r="E12570" s="3">
        <v>99</v>
      </c>
      <c r="F12570" s="3">
        <v>99</v>
      </c>
      <c r="G12570" t="s">
        <v>514</v>
      </c>
    </row>
    <row r="12571" spans="1:7" x14ac:dyDescent="0.25">
      <c r="A12571" s="1" t="str">
        <f>"517285"</f>
        <v>517285</v>
      </c>
      <c r="B12571" s="2" t="str">
        <f>"IMPR. AUTOMATICA 1000 S8 MAQ F"</f>
        <v>IMPR. AUTOMATICA 1000 S8 MAQ F</v>
      </c>
      <c r="C12571" s="2" t="str">
        <f t="shared" si="494"/>
        <v>UN</v>
      </c>
      <c r="D12571" s="7">
        <v>918</v>
      </c>
      <c r="E12571" s="3">
        <v>11</v>
      </c>
      <c r="F12571" s="3">
        <v>11</v>
      </c>
      <c r="G12571" t="s">
        <v>515</v>
      </c>
    </row>
    <row r="12572" spans="1:7" x14ac:dyDescent="0.25">
      <c r="A12572" s="1" t="str">
        <f>"517026"</f>
        <v>517026</v>
      </c>
      <c r="B12572" s="2" t="str">
        <f>"IMPR. MINI CD C/ ETIQ. ADES. 4 CORES CAPA IMPR. 85X85CM"</f>
        <v>IMPR. MINI CD C/ ETIQ. ADES. 4 CORES CAPA IMPR. 85X85CM</v>
      </c>
      <c r="C12572" s="2" t="str">
        <f t="shared" si="494"/>
        <v>UN</v>
      </c>
      <c r="D12572" s="7">
        <v>401</v>
      </c>
      <c r="E12572" s="3">
        <v>4</v>
      </c>
      <c r="F12572" s="3">
        <v>4</v>
      </c>
      <c r="G12572" t="s">
        <v>512</v>
      </c>
    </row>
    <row r="12573" spans="1:7" x14ac:dyDescent="0.25">
      <c r="A12573" s="1" t="str">
        <f>"510276"</f>
        <v>510276</v>
      </c>
      <c r="B12573" s="2" t="str">
        <f>"IMPRES. JATO JAIME1000 S8 IMAGE 3150876A"</f>
        <v>IMPRES. JATO JAIME1000 S8 IMAGE 3150876A</v>
      </c>
      <c r="C12573" s="2" t="str">
        <f t="shared" si="494"/>
        <v>UN</v>
      </c>
      <c r="D12573" s="7">
        <v>402</v>
      </c>
      <c r="E12573" s="3">
        <v>4</v>
      </c>
      <c r="F12573" s="3">
        <v>4</v>
      </c>
      <c r="G12573" t="s">
        <v>516</v>
      </c>
    </row>
    <row r="12574" spans="1:7" x14ac:dyDescent="0.25">
      <c r="A12574" s="1" t="str">
        <f>"510275"</f>
        <v>510275</v>
      </c>
      <c r="B12574" s="2" t="str">
        <f>"IMPRES. JATO JAIME1000 S8 IMAGE 3150877A"</f>
        <v>IMPRES. JATO JAIME1000 S8 IMAGE 3150877A</v>
      </c>
      <c r="C12574" s="2" t="str">
        <f t="shared" si="494"/>
        <v>UN</v>
      </c>
      <c r="D12574" s="7">
        <v>402</v>
      </c>
      <c r="E12574" s="3">
        <v>4</v>
      </c>
      <c r="F12574" s="3">
        <v>4</v>
      </c>
      <c r="G12574" t="s">
        <v>515</v>
      </c>
    </row>
    <row r="12575" spans="1:7" x14ac:dyDescent="0.25">
      <c r="A12575" s="1" t="str">
        <f>"512054"</f>
        <v>512054</v>
      </c>
      <c r="B12575" s="2" t="str">
        <f>"IMPRES. JATO JAIME1000 S8 IMAGE 6150072"</f>
        <v>IMPRES. JATO JAIME1000 S8 IMAGE 6150072</v>
      </c>
      <c r="C12575" s="2" t="str">
        <f t="shared" si="494"/>
        <v>UN</v>
      </c>
      <c r="D12575" s="7">
        <v>402</v>
      </c>
      <c r="E12575" s="3">
        <v>4</v>
      </c>
      <c r="F12575" s="3">
        <v>4</v>
      </c>
      <c r="G12575" t="s">
        <v>514</v>
      </c>
    </row>
    <row r="12576" spans="1:7" x14ac:dyDescent="0.25">
      <c r="A12576" s="1" t="str">
        <f>"514812"</f>
        <v>514812</v>
      </c>
      <c r="B12576" s="2" t="str">
        <f>"IMPRESORA MATRICIAL APSON FX-890"</f>
        <v>IMPRESORA MATRICIAL APSON FX-890</v>
      </c>
      <c r="C12576" s="2" t="str">
        <f t="shared" si="494"/>
        <v>UN</v>
      </c>
      <c r="D12576" s="7">
        <v>811</v>
      </c>
      <c r="E12576" s="3">
        <v>4</v>
      </c>
      <c r="F12576" s="3">
        <v>4</v>
      </c>
      <c r="G12576" t="s">
        <v>512</v>
      </c>
    </row>
    <row r="12577" spans="1:7" x14ac:dyDescent="0.25">
      <c r="A12577" s="1" t="str">
        <f>"518455"</f>
        <v>518455</v>
      </c>
      <c r="B12577" s="2" t="str">
        <f>"IMPRESSÃO"</f>
        <v>IMPRESSÃO</v>
      </c>
      <c r="C12577" s="2" t="str">
        <f t="shared" si="494"/>
        <v>UN</v>
      </c>
      <c r="D12577" s="7">
        <v>401</v>
      </c>
      <c r="E12577" s="3">
        <v>4</v>
      </c>
      <c r="F12577" s="3">
        <v>4</v>
      </c>
      <c r="G12577" t="s">
        <v>513</v>
      </c>
    </row>
    <row r="12578" spans="1:7" x14ac:dyDescent="0.25">
      <c r="A12578" s="1" t="str">
        <f>"514424"</f>
        <v>514424</v>
      </c>
      <c r="B12578" s="2" t="str">
        <f>"IMPRESSAO ANUNCIO PROMOCIONAL"</f>
        <v>IMPRESSAO ANUNCIO PROMOCIONAL</v>
      </c>
      <c r="C12578" s="2" t="str">
        <f t="shared" si="494"/>
        <v>UN</v>
      </c>
      <c r="D12578" s="7">
        <v>401</v>
      </c>
      <c r="E12578" s="3">
        <v>4</v>
      </c>
      <c r="F12578" s="3">
        <v>4</v>
      </c>
      <c r="G12578" t="s">
        <v>514</v>
      </c>
    </row>
    <row r="12579" spans="1:7" x14ac:dyDescent="0.25">
      <c r="A12579" s="1" t="str">
        <f>"515274"</f>
        <v>515274</v>
      </c>
      <c r="B12579" s="8" t="s">
        <v>66</v>
      </c>
      <c r="C12579" s="2" t="str">
        <f t="shared" si="494"/>
        <v>UN</v>
      </c>
      <c r="D12579" s="7">
        <v>1300</v>
      </c>
      <c r="E12579" s="3">
        <v>13</v>
      </c>
      <c r="F12579" s="3">
        <v>13</v>
      </c>
      <c r="G12579" t="s">
        <v>514</v>
      </c>
    </row>
    <row r="12580" spans="1:7" x14ac:dyDescent="0.25">
      <c r="A12580" s="1" t="str">
        <f>"515272"</f>
        <v>515272</v>
      </c>
      <c r="B12580" s="8" t="s">
        <v>64</v>
      </c>
      <c r="C12580" s="2" t="str">
        <f t="shared" si="494"/>
        <v>UN</v>
      </c>
      <c r="D12580" s="7">
        <v>1300</v>
      </c>
      <c r="E12580" s="3">
        <v>13</v>
      </c>
      <c r="F12580" s="3">
        <v>13</v>
      </c>
      <c r="G12580" t="s">
        <v>512</v>
      </c>
    </row>
    <row r="12581" spans="1:7" x14ac:dyDescent="0.25">
      <c r="A12581" s="1" t="str">
        <f>"515273"</f>
        <v>515273</v>
      </c>
      <c r="B12581" s="8" t="s">
        <v>65</v>
      </c>
      <c r="C12581" s="2" t="str">
        <f t="shared" si="494"/>
        <v>UN</v>
      </c>
      <c r="D12581" s="7">
        <v>1300</v>
      </c>
      <c r="E12581" s="3">
        <v>13</v>
      </c>
      <c r="F12581" s="3">
        <v>13</v>
      </c>
      <c r="G12581" t="s">
        <v>513</v>
      </c>
    </row>
    <row r="12582" spans="1:7" x14ac:dyDescent="0.25">
      <c r="A12582" s="1" t="str">
        <f>"515276"</f>
        <v>515276</v>
      </c>
      <c r="B12582" s="8" t="s">
        <v>68</v>
      </c>
      <c r="C12582" s="2" t="str">
        <f t="shared" si="494"/>
        <v>UN</v>
      </c>
      <c r="D12582" s="7">
        <v>1300</v>
      </c>
      <c r="E12582" s="3">
        <v>13</v>
      </c>
      <c r="F12582" s="3">
        <v>13</v>
      </c>
      <c r="G12582" t="s">
        <v>514</v>
      </c>
    </row>
    <row r="12583" spans="1:7" x14ac:dyDescent="0.25">
      <c r="A12583" s="1" t="str">
        <f>"515277"</f>
        <v>515277</v>
      </c>
      <c r="B12583" s="8" t="s">
        <v>69</v>
      </c>
      <c r="C12583" s="2" t="str">
        <f t="shared" si="494"/>
        <v>UN</v>
      </c>
      <c r="D12583" s="7">
        <v>1300</v>
      </c>
      <c r="E12583" s="3">
        <v>13</v>
      </c>
      <c r="F12583" s="3">
        <v>13</v>
      </c>
      <c r="G12583" t="s">
        <v>514</v>
      </c>
    </row>
    <row r="12584" spans="1:7" x14ac:dyDescent="0.25">
      <c r="A12584" s="1" t="str">
        <f>"515271"</f>
        <v>515271</v>
      </c>
      <c r="B12584" s="8" t="s">
        <v>63</v>
      </c>
      <c r="C12584" s="2" t="str">
        <f t="shared" si="494"/>
        <v>UN</v>
      </c>
      <c r="D12584" s="7">
        <v>1300</v>
      </c>
      <c r="E12584" s="3">
        <v>13</v>
      </c>
      <c r="F12584" s="3">
        <v>13</v>
      </c>
      <c r="G12584" t="s">
        <v>514</v>
      </c>
    </row>
    <row r="12585" spans="1:7" x14ac:dyDescent="0.25">
      <c r="A12585" s="1" t="str">
        <f>"515275"</f>
        <v>515275</v>
      </c>
      <c r="B12585" s="8" t="s">
        <v>67</v>
      </c>
      <c r="C12585" s="2" t="str">
        <f t="shared" si="494"/>
        <v>UN</v>
      </c>
      <c r="D12585" s="7">
        <v>1300</v>
      </c>
      <c r="E12585" s="3">
        <v>13</v>
      </c>
      <c r="F12585" s="3">
        <v>13</v>
      </c>
      <c r="G12585" t="s">
        <v>513</v>
      </c>
    </row>
    <row r="12586" spans="1:7" x14ac:dyDescent="0.25">
      <c r="A12586" s="1" t="str">
        <f>"515278"</f>
        <v>515278</v>
      </c>
      <c r="B12586" s="8" t="s">
        <v>70</v>
      </c>
      <c r="C12586" s="2" t="str">
        <f t="shared" si="494"/>
        <v>UN</v>
      </c>
      <c r="D12586" s="7">
        <v>1300</v>
      </c>
      <c r="E12586" s="3">
        <v>13</v>
      </c>
      <c r="F12586" s="3">
        <v>13</v>
      </c>
      <c r="G12586" t="s">
        <v>512</v>
      </c>
    </row>
    <row r="12587" spans="1:7" x14ac:dyDescent="0.25">
      <c r="A12587" s="1" t="str">
        <f>"523886"</f>
        <v>523886</v>
      </c>
      <c r="B12587" s="2" t="str">
        <f>"IMPRESSORA COLORIDA EPSON L1800"</f>
        <v>IMPRESSORA COLORIDA EPSON L1800</v>
      </c>
      <c r="C12587" s="2" t="str">
        <f t="shared" si="494"/>
        <v>UN</v>
      </c>
      <c r="D12587" s="7">
        <v>99999</v>
      </c>
      <c r="E12587" s="3">
        <v>99</v>
      </c>
      <c r="F12587" s="3">
        <v>99</v>
      </c>
      <c r="G12587" t="s">
        <v>513</v>
      </c>
    </row>
    <row r="12588" spans="1:7" x14ac:dyDescent="0.25">
      <c r="A12588" s="1" t="str">
        <f>"515050"</f>
        <v>515050</v>
      </c>
      <c r="B12588" s="2" t="str">
        <f>"IMPRESSORA HP 1212"</f>
        <v>IMPRESSORA HP 1212</v>
      </c>
      <c r="C12588" s="2" t="str">
        <f t="shared" si="494"/>
        <v>UN</v>
      </c>
      <c r="D12588" s="7">
        <v>401</v>
      </c>
      <c r="E12588" s="3">
        <v>4</v>
      </c>
      <c r="F12588" s="3">
        <v>4</v>
      </c>
      <c r="G12588" t="s">
        <v>514</v>
      </c>
    </row>
    <row r="12589" spans="1:7" x14ac:dyDescent="0.25">
      <c r="A12589" s="1" t="str">
        <f>"513806"</f>
        <v>513806</v>
      </c>
      <c r="B12589" s="2" t="str">
        <f>"IMPRESSORA HP 2140"</f>
        <v>IMPRESSORA HP 2140</v>
      </c>
      <c r="C12589" s="2" t="str">
        <f t="shared" si="494"/>
        <v>UN</v>
      </c>
      <c r="D12589" s="7">
        <v>1500</v>
      </c>
      <c r="E12589" s="3">
        <v>13</v>
      </c>
      <c r="F12589" s="3">
        <v>13</v>
      </c>
      <c r="G12589" t="s">
        <v>514</v>
      </c>
    </row>
    <row r="12590" spans="1:7" x14ac:dyDescent="0.25">
      <c r="A12590" s="1" t="str">
        <f>"509248"</f>
        <v>509248</v>
      </c>
      <c r="B12590" s="2" t="str">
        <f>"IMPRESSORA HP LASERJET P1005"</f>
        <v>IMPRESSORA HP LASERJET P1005</v>
      </c>
      <c r="C12590" s="2" t="str">
        <f t="shared" si="494"/>
        <v>UN</v>
      </c>
      <c r="D12590" s="7">
        <v>1500</v>
      </c>
      <c r="E12590" s="3">
        <v>13</v>
      </c>
      <c r="F12590" s="3">
        <v>13</v>
      </c>
      <c r="G12590" t="s">
        <v>514</v>
      </c>
    </row>
    <row r="12591" spans="1:7" x14ac:dyDescent="0.25">
      <c r="A12591" s="1" t="str">
        <f>"522972"</f>
        <v>522972</v>
      </c>
      <c r="B12591" s="2" t="str">
        <f>"IMPRESSORA HP LASERJET P1102W"</f>
        <v>IMPRESSORA HP LASERJET P1102W</v>
      </c>
      <c r="C12591" s="2" t="str">
        <f t="shared" si="494"/>
        <v>UN</v>
      </c>
      <c r="D12591" s="7">
        <v>99999</v>
      </c>
      <c r="E12591" s="3">
        <v>99</v>
      </c>
      <c r="F12591" s="3">
        <v>99</v>
      </c>
      <c r="G12591" t="s">
        <v>513</v>
      </c>
    </row>
    <row r="12592" spans="1:7" x14ac:dyDescent="0.25">
      <c r="A12592" s="1" t="str">
        <f>"521361"</f>
        <v>521361</v>
      </c>
      <c r="B12592" s="2" t="str">
        <f>"IMPRESSORA INK JET VIDEO JET 1220"</f>
        <v>IMPRESSORA INK JET VIDEO JET 1220</v>
      </c>
      <c r="C12592" s="2" t="str">
        <f t="shared" si="494"/>
        <v>UN</v>
      </c>
      <c r="D12592" s="7">
        <v>1004</v>
      </c>
      <c r="E12592" s="3">
        <v>13</v>
      </c>
      <c r="F12592" s="3">
        <v>13</v>
      </c>
      <c r="G12592" t="s">
        <v>513</v>
      </c>
    </row>
    <row r="12593" spans="1:7" x14ac:dyDescent="0.25">
      <c r="A12593" s="1" t="str">
        <f>"512527"</f>
        <v>512527</v>
      </c>
      <c r="B12593" s="2" t="str">
        <f>"IMPRESSORA INK JET VIDEO JET 1510"</f>
        <v>IMPRESSORA INK JET VIDEO JET 1510</v>
      </c>
      <c r="C12593" s="2" t="str">
        <f t="shared" si="494"/>
        <v>UN</v>
      </c>
      <c r="D12593" s="7">
        <v>1004</v>
      </c>
      <c r="E12593" s="3">
        <v>13</v>
      </c>
      <c r="F12593" s="3">
        <v>13</v>
      </c>
      <c r="G12593" t="s">
        <v>513</v>
      </c>
    </row>
    <row r="12594" spans="1:7" x14ac:dyDescent="0.25">
      <c r="A12594" s="1" t="str">
        <f>"516931"</f>
        <v>516931</v>
      </c>
      <c r="B12594" s="2" t="str">
        <f>"IMPRESSORA INK JET VIDEO JET 1520"</f>
        <v>IMPRESSORA INK JET VIDEO JET 1520</v>
      </c>
      <c r="C12594" s="2" t="str">
        <f t="shared" si="494"/>
        <v>UN</v>
      </c>
      <c r="D12594" s="7">
        <v>1004</v>
      </c>
      <c r="E12594" s="3">
        <v>13</v>
      </c>
      <c r="F12594" s="3">
        <v>13</v>
      </c>
      <c r="G12594" t="s">
        <v>512</v>
      </c>
    </row>
    <row r="12595" spans="1:7" x14ac:dyDescent="0.25">
      <c r="A12595" s="1" t="str">
        <f>"512745"</f>
        <v>512745</v>
      </c>
      <c r="B12595" s="2" t="str">
        <f>"IMPRESSORA INK JET VIDEO JET 1610"</f>
        <v>IMPRESSORA INK JET VIDEO JET 1610</v>
      </c>
      <c r="C12595" s="2" t="str">
        <f t="shared" si="494"/>
        <v>UN</v>
      </c>
      <c r="D12595" s="7">
        <v>1300</v>
      </c>
      <c r="E12595" s="3">
        <v>13</v>
      </c>
      <c r="F12595" s="3">
        <v>13</v>
      </c>
      <c r="G12595" t="s">
        <v>513</v>
      </c>
    </row>
    <row r="12596" spans="1:7" x14ac:dyDescent="0.25">
      <c r="A12596" s="1" t="str">
        <f>"515433"</f>
        <v>515433</v>
      </c>
      <c r="B12596" s="2" t="str">
        <f>"IMPRESSORA INK JET VIDEO JET 405SI - 1011717C02ZH"</f>
        <v>IMPRESSORA INK JET VIDEO JET 405SI - 1011717C02ZH</v>
      </c>
      <c r="C12596" s="2" t="str">
        <f t="shared" si="494"/>
        <v>UN</v>
      </c>
      <c r="D12596" s="7">
        <v>1004</v>
      </c>
      <c r="E12596" s="3">
        <v>13</v>
      </c>
      <c r="F12596" s="3">
        <v>13</v>
      </c>
      <c r="G12596" t="s">
        <v>514</v>
      </c>
    </row>
    <row r="12597" spans="1:7" x14ac:dyDescent="0.25">
      <c r="A12597" s="1" t="str">
        <f>"516175"</f>
        <v>516175</v>
      </c>
      <c r="B12597" s="2" t="str">
        <f>"IMPRESSORA INK JET VIDEO JET 43S"</f>
        <v>IMPRESSORA INK JET VIDEO JET 43S</v>
      </c>
      <c r="C12597" s="2" t="str">
        <f>"PC"</f>
        <v>PC</v>
      </c>
      <c r="D12597" s="7">
        <v>907</v>
      </c>
      <c r="E12597" s="3">
        <v>11</v>
      </c>
      <c r="F12597" s="3">
        <v>11</v>
      </c>
      <c r="G12597" t="s">
        <v>515</v>
      </c>
    </row>
    <row r="12598" spans="1:7" x14ac:dyDescent="0.25">
      <c r="A12598" s="1" t="str">
        <f>"515432"</f>
        <v>515432</v>
      </c>
      <c r="B12598" s="2" t="str">
        <f>"IMPRESSORA INK JET VIDEO JET 460 - 040203S109917"</f>
        <v>IMPRESSORA INK JET VIDEO JET 460 - 040203S109917</v>
      </c>
      <c r="C12598" s="2" t="str">
        <f t="shared" ref="C12598:C12604" si="495">"UN"</f>
        <v>UN</v>
      </c>
      <c r="D12598" s="7">
        <v>1004</v>
      </c>
      <c r="E12598" s="3">
        <v>13</v>
      </c>
      <c r="F12598" s="3">
        <v>13</v>
      </c>
      <c r="G12598" t="s">
        <v>512</v>
      </c>
    </row>
    <row r="12599" spans="1:7" x14ac:dyDescent="0.25">
      <c r="A12599" s="1" t="str">
        <f>"518489"</f>
        <v>518489</v>
      </c>
      <c r="B12599" s="2" t="str">
        <f>"IMPRESSORA INK JET VIDEO JET 6210"</f>
        <v>IMPRESSORA INK JET VIDEO JET 6210</v>
      </c>
      <c r="C12599" s="2" t="str">
        <f t="shared" si="495"/>
        <v>UN</v>
      </c>
      <c r="D12599" s="7">
        <v>1004</v>
      </c>
      <c r="E12599" s="3">
        <v>13</v>
      </c>
      <c r="F12599" s="3">
        <v>13</v>
      </c>
      <c r="G12599" t="s">
        <v>516</v>
      </c>
    </row>
    <row r="12600" spans="1:7" x14ac:dyDescent="0.25">
      <c r="A12600" s="1" t="str">
        <f>"504807"</f>
        <v>504807</v>
      </c>
      <c r="B12600" s="2" t="str">
        <f>"IMPRESSORA MATRICIAL EPSON FX-1050"</f>
        <v>IMPRESSORA MATRICIAL EPSON FX-1050</v>
      </c>
      <c r="C12600" s="2" t="str">
        <f t="shared" si="495"/>
        <v>UN</v>
      </c>
      <c r="D12600" s="7">
        <v>811</v>
      </c>
      <c r="E12600" s="3">
        <v>4</v>
      </c>
      <c r="F12600" s="3">
        <v>4</v>
      </c>
      <c r="G12600" t="s">
        <v>515</v>
      </c>
    </row>
    <row r="12601" spans="1:7" x14ac:dyDescent="0.25">
      <c r="A12601" s="1" t="str">
        <f>"514811"</f>
        <v>514811</v>
      </c>
      <c r="B12601" s="2" t="str">
        <f>"IMPRESSORA MATRICIAL EPSON FX-2180"</f>
        <v>IMPRESSORA MATRICIAL EPSON FX-2180</v>
      </c>
      <c r="C12601" s="2" t="str">
        <f t="shared" si="495"/>
        <v>UN</v>
      </c>
      <c r="D12601" s="7">
        <v>811</v>
      </c>
      <c r="E12601" s="3">
        <v>4</v>
      </c>
      <c r="F12601" s="3">
        <v>4</v>
      </c>
      <c r="G12601" t="s">
        <v>514</v>
      </c>
    </row>
    <row r="12602" spans="1:7" x14ac:dyDescent="0.25">
      <c r="A12602" s="1" t="str">
        <f>"514426"</f>
        <v>514426</v>
      </c>
      <c r="B12602" s="2" t="str">
        <f>"IMPRESSORA PRINT 90401GL"</f>
        <v>IMPRESSORA PRINT 90401GL</v>
      </c>
      <c r="C12602" s="2" t="str">
        <f t="shared" si="495"/>
        <v>UN</v>
      </c>
      <c r="D12602" s="7">
        <v>1004</v>
      </c>
      <c r="E12602" s="3">
        <v>13</v>
      </c>
      <c r="F12602" s="3">
        <v>13</v>
      </c>
      <c r="G12602" t="s">
        <v>512</v>
      </c>
    </row>
    <row r="12603" spans="1:7" x14ac:dyDescent="0.25">
      <c r="A12603" s="1" t="str">
        <f>"514998"</f>
        <v>514998</v>
      </c>
      <c r="B12603" s="2" t="str">
        <f>"IMPRESSORA TERMICA"</f>
        <v>IMPRESSORA TERMICA</v>
      </c>
      <c r="C12603" s="2" t="str">
        <f t="shared" si="495"/>
        <v>UN</v>
      </c>
      <c r="D12603" s="7">
        <v>401</v>
      </c>
      <c r="E12603" s="3">
        <v>4</v>
      </c>
      <c r="F12603" s="3">
        <v>4</v>
      </c>
      <c r="G12603" t="s">
        <v>513</v>
      </c>
    </row>
    <row r="12604" spans="1:7" x14ac:dyDescent="0.25">
      <c r="A12604" s="1" t="str">
        <f>"521599"</f>
        <v>521599</v>
      </c>
      <c r="B12604" s="2" t="str">
        <f>"IMPRESSORA TERMICA ELESYS EZ320-203DPI"</f>
        <v>IMPRESSORA TERMICA ELESYS EZ320-203DPI</v>
      </c>
      <c r="C12604" s="2" t="str">
        <f t="shared" si="495"/>
        <v>UN</v>
      </c>
      <c r="D12604" s="7">
        <v>1300</v>
      </c>
      <c r="E12604" s="3">
        <v>13</v>
      </c>
      <c r="F12604" s="3">
        <v>13</v>
      </c>
      <c r="G12604" t="s">
        <v>514</v>
      </c>
    </row>
    <row r="12605" spans="1:7" x14ac:dyDescent="0.25">
      <c r="A12605" s="1" t="str">
        <f>"512177"</f>
        <v>512177</v>
      </c>
      <c r="B12605" s="2" t="str">
        <f>"IMPRESSORA WILLETT 450SI 99191416701"</f>
        <v>IMPRESSORA WILLETT 450SI 99191416701</v>
      </c>
      <c r="C12605" s="2" t="str">
        <f>"PC"</f>
        <v>PC</v>
      </c>
      <c r="D12605" s="7">
        <v>907</v>
      </c>
      <c r="E12605" s="3">
        <v>11</v>
      </c>
      <c r="F12605" s="3">
        <v>11</v>
      </c>
      <c r="G12605" t="s">
        <v>514</v>
      </c>
    </row>
    <row r="12606" spans="1:7" x14ac:dyDescent="0.25">
      <c r="A12606" s="1" t="str">
        <f>"512484"</f>
        <v>512484</v>
      </c>
      <c r="B12606" s="2" t="str">
        <f>"IMPRESSORA WILLETT JATO TINTA MOD.420S"</f>
        <v>IMPRESSORA WILLETT JATO TINTA MOD.420S</v>
      </c>
      <c r="C12606" s="2" t="str">
        <f>"PC"</f>
        <v>PC</v>
      </c>
      <c r="D12606" s="7">
        <v>907</v>
      </c>
      <c r="E12606" s="3">
        <v>11</v>
      </c>
      <c r="F12606" s="3">
        <v>11</v>
      </c>
      <c r="G12606" t="s">
        <v>512</v>
      </c>
    </row>
    <row r="12607" spans="1:7" x14ac:dyDescent="0.25">
      <c r="A12607" s="1" t="str">
        <f>"507955"</f>
        <v>507955</v>
      </c>
      <c r="B12607" s="2" t="str">
        <f>"IMPRESSORA WILLETT JATO TINTA MOD.430 S"</f>
        <v>IMPRESSORA WILLETT JATO TINTA MOD.430 S</v>
      </c>
      <c r="C12607" s="2" t="str">
        <f>"UN"</f>
        <v>UN</v>
      </c>
      <c r="D12607" s="7">
        <v>1004</v>
      </c>
      <c r="E12607" s="3">
        <v>13</v>
      </c>
      <c r="F12607" s="3">
        <v>13</v>
      </c>
      <c r="G12607" t="s">
        <v>513</v>
      </c>
    </row>
    <row r="12608" spans="1:7" x14ac:dyDescent="0.25">
      <c r="A12608" s="1" t="str">
        <f>"517213"</f>
        <v>517213</v>
      </c>
      <c r="B12608" s="2" t="str">
        <f>"IMPRESSORA WILLETT JATO TINTA MOD.43S"</f>
        <v>IMPRESSORA WILLETT JATO TINTA MOD.43S</v>
      </c>
      <c r="C12608" s="2" t="str">
        <f>"UN"</f>
        <v>UN</v>
      </c>
      <c r="D12608" s="7">
        <v>1004</v>
      </c>
      <c r="E12608" s="3">
        <v>13</v>
      </c>
      <c r="F12608" s="3">
        <v>13</v>
      </c>
      <c r="G12608" t="s">
        <v>514</v>
      </c>
    </row>
    <row r="12609" spans="1:7" x14ac:dyDescent="0.25">
      <c r="A12609" s="1" t="str">
        <f>"517443"</f>
        <v>517443</v>
      </c>
      <c r="B12609" s="2" t="str">
        <f>"IMPRESSORA WILLETT LASER MOD. 37E"</f>
        <v>IMPRESSORA WILLETT LASER MOD. 37E</v>
      </c>
      <c r="C12609" s="2" t="str">
        <f>"UN"</f>
        <v>UN</v>
      </c>
      <c r="D12609" s="7">
        <v>1300</v>
      </c>
      <c r="E12609" s="3">
        <v>13</v>
      </c>
      <c r="F12609" s="3">
        <v>13</v>
      </c>
      <c r="G12609" t="s">
        <v>514</v>
      </c>
    </row>
    <row r="12610" spans="1:7" x14ac:dyDescent="0.25">
      <c r="A12610" s="1" t="str">
        <f>"516176"</f>
        <v>516176</v>
      </c>
      <c r="B12610" s="2" t="str">
        <f>"IMPRESSORA WILLETT LASER MOD. 405"</f>
        <v>IMPRESSORA WILLETT LASER MOD. 405</v>
      </c>
      <c r="C12610" s="2" t="str">
        <f>"PC"</f>
        <v>PC</v>
      </c>
      <c r="D12610" s="7">
        <v>907</v>
      </c>
      <c r="E12610" s="3">
        <v>11</v>
      </c>
      <c r="F12610" s="3">
        <v>11</v>
      </c>
      <c r="G12610" t="s">
        <v>514</v>
      </c>
    </row>
    <row r="12611" spans="1:7" x14ac:dyDescent="0.25">
      <c r="A12611" s="1" t="str">
        <f>"516334"</f>
        <v>516334</v>
      </c>
      <c r="B12611" s="2" t="str">
        <f>"IMPRESSORA WILLETT LASER MOD. 450 SI"</f>
        <v>IMPRESSORA WILLETT LASER MOD. 450 SI</v>
      </c>
      <c r="C12611" s="2" t="str">
        <f t="shared" ref="C12611:C12626" si="496">"UN"</f>
        <v>UN</v>
      </c>
      <c r="D12611" s="7">
        <v>1004</v>
      </c>
      <c r="E12611" s="3">
        <v>13</v>
      </c>
      <c r="F12611" s="3">
        <v>13</v>
      </c>
      <c r="G12611" t="s">
        <v>513</v>
      </c>
    </row>
    <row r="12612" spans="1:7" x14ac:dyDescent="0.25">
      <c r="A12612" s="1" t="str">
        <f>"509288"</f>
        <v>509288</v>
      </c>
      <c r="B12612" s="2" t="str">
        <f>"IMPRESSORA WILLETT LASER MOD. 460"</f>
        <v>IMPRESSORA WILLETT LASER MOD. 460</v>
      </c>
      <c r="C12612" s="2" t="str">
        <f t="shared" si="496"/>
        <v>UN</v>
      </c>
      <c r="D12612" s="7">
        <v>1004</v>
      </c>
      <c r="E12612" s="3">
        <v>13</v>
      </c>
      <c r="F12612" s="3">
        <v>13</v>
      </c>
      <c r="G12612" t="s">
        <v>512</v>
      </c>
    </row>
    <row r="12613" spans="1:7" x14ac:dyDescent="0.25">
      <c r="A12613" s="1" t="str">
        <f>"519199"</f>
        <v>519199</v>
      </c>
      <c r="B12613" s="2" t="str">
        <f>"IMPRESSORA ZEBRA GC420 TT 203 DPI USB SERIAL E PARALELA GTN"</f>
        <v>IMPRESSORA ZEBRA GC420 TT 203 DPI USB SERIAL E PARALELA GTN</v>
      </c>
      <c r="C12613" s="2" t="str">
        <f t="shared" si="496"/>
        <v>UN</v>
      </c>
      <c r="D12613" s="7">
        <v>1300</v>
      </c>
      <c r="E12613" s="3">
        <v>13</v>
      </c>
      <c r="F12613" s="3">
        <v>13</v>
      </c>
      <c r="G12613" t="s">
        <v>513</v>
      </c>
    </row>
    <row r="12614" spans="1:7" x14ac:dyDescent="0.25">
      <c r="A12614" s="1" t="str">
        <f>"516984"</f>
        <v>516984</v>
      </c>
      <c r="B12614" s="2" t="str">
        <f>"IMPULSOR DE PARTIDA"</f>
        <v>IMPULSOR DE PARTIDA</v>
      </c>
      <c r="C12614" s="2" t="str">
        <f t="shared" si="496"/>
        <v>UN</v>
      </c>
      <c r="D12614" s="7">
        <v>704</v>
      </c>
      <c r="E12614" s="3">
        <v>9</v>
      </c>
      <c r="F12614" s="3">
        <v>9</v>
      </c>
      <c r="G12614" t="s">
        <v>514</v>
      </c>
    </row>
    <row r="12615" spans="1:7" x14ac:dyDescent="0.25">
      <c r="A12615" s="1" t="str">
        <f>"521731"</f>
        <v>521731</v>
      </c>
      <c r="B12615" s="2" t="str">
        <f>"IN LINE FILTER 50UM"</f>
        <v>IN LINE FILTER 50UM</v>
      </c>
      <c r="C12615" s="2" t="str">
        <f t="shared" si="496"/>
        <v>UN</v>
      </c>
      <c r="D12615" s="7">
        <v>1300</v>
      </c>
      <c r="E12615" s="3">
        <v>13</v>
      </c>
      <c r="F12615" s="3">
        <v>13</v>
      </c>
      <c r="G12615" t="s">
        <v>514</v>
      </c>
    </row>
    <row r="12616" spans="1:7" x14ac:dyDescent="0.25">
      <c r="A12616" s="1" t="str">
        <f>"521732"</f>
        <v>521732</v>
      </c>
      <c r="B12616" s="2" t="str">
        <f>"IN LINE FILTER SCREEN 24UM"</f>
        <v>IN LINE FILTER SCREEN 24UM</v>
      </c>
      <c r="C12616" s="2" t="str">
        <f t="shared" si="496"/>
        <v>UN</v>
      </c>
      <c r="D12616" s="7">
        <v>1300</v>
      </c>
      <c r="E12616" s="3">
        <v>13</v>
      </c>
      <c r="F12616" s="3">
        <v>13</v>
      </c>
      <c r="G12616" t="s">
        <v>514</v>
      </c>
    </row>
    <row r="12617" spans="1:7" x14ac:dyDescent="0.25">
      <c r="A12617" s="1" t="str">
        <f>"4187"</f>
        <v>4187</v>
      </c>
      <c r="B12617" s="2" t="str">
        <f>"INAPAPER BAND. 510GR MORANGO (CAROLINA) DINI 550M"</f>
        <v>INAPAPER BAND. 510GR MORANGO (CAROLINA) DINI 550M</v>
      </c>
      <c r="C12617" s="2" t="str">
        <f t="shared" si="496"/>
        <v>UN</v>
      </c>
      <c r="D12617" s="7">
        <v>100</v>
      </c>
      <c r="E12617" s="3">
        <v>1</v>
      </c>
      <c r="F12617" s="3">
        <v>1</v>
      </c>
      <c r="G12617" t="s">
        <v>513</v>
      </c>
    </row>
    <row r="12618" spans="1:7" x14ac:dyDescent="0.25">
      <c r="A12618" s="1" t="str">
        <f>"4186"</f>
        <v>4186</v>
      </c>
      <c r="B12618" s="2" t="str">
        <f>"INAPAPER BANDEJA DMAX NOVA 360G- MORANGO"</f>
        <v>INAPAPER BANDEJA DMAX NOVA 360G- MORANGO</v>
      </c>
      <c r="C12618" s="2" t="str">
        <f t="shared" si="496"/>
        <v>UN</v>
      </c>
      <c r="D12618" s="7">
        <v>100</v>
      </c>
      <c r="E12618" s="3">
        <v>1</v>
      </c>
      <c r="F12618" s="3">
        <v>1</v>
      </c>
      <c r="G12618" t="s">
        <v>513</v>
      </c>
    </row>
    <row r="12619" spans="1:7" x14ac:dyDescent="0.25">
      <c r="A12619" s="1" t="str">
        <f>"518492"</f>
        <v>518492</v>
      </c>
      <c r="B12619" s="2" t="str">
        <f>"INCETICIDA ALCANCE SPRAY"</f>
        <v>INCETICIDA ALCANCE SPRAY</v>
      </c>
      <c r="C12619" s="2" t="str">
        <f t="shared" si="496"/>
        <v>UN</v>
      </c>
      <c r="D12619" s="7">
        <v>918</v>
      </c>
      <c r="E12619" s="3">
        <v>4</v>
      </c>
      <c r="F12619" s="3">
        <v>4</v>
      </c>
      <c r="G12619" t="s">
        <v>513</v>
      </c>
    </row>
    <row r="12620" spans="1:7" x14ac:dyDescent="0.25">
      <c r="A12620" s="1" t="str">
        <f>"518025"</f>
        <v>518025</v>
      </c>
      <c r="B12620" s="2" t="str">
        <f>"INCUBADORA BOD. CONT. TEMP. -10 A + 60 340BTU/H A 0º TECNAL"</f>
        <v>INCUBADORA BOD. CONT. TEMP. -10 A + 60 340BTU/H A 0º TECNAL</v>
      </c>
      <c r="C12620" s="2" t="str">
        <f t="shared" si="496"/>
        <v>UN</v>
      </c>
      <c r="D12620" s="7">
        <v>1500</v>
      </c>
      <c r="E12620" s="3">
        <v>13</v>
      </c>
      <c r="F12620" s="3">
        <v>13</v>
      </c>
      <c r="G12620" t="s">
        <v>512</v>
      </c>
    </row>
    <row r="12621" spans="1:7" x14ac:dyDescent="0.25">
      <c r="A12621" s="1" t="str">
        <f>"525374"</f>
        <v>525374</v>
      </c>
      <c r="B12621" s="2" t="str">
        <f>"INCUBADORA MICROBIOLOGICA"</f>
        <v>INCUBADORA MICROBIOLOGICA</v>
      </c>
      <c r="C12621" s="2" t="str">
        <f t="shared" si="496"/>
        <v>UN</v>
      </c>
      <c r="D12621" s="7">
        <v>99999</v>
      </c>
      <c r="E12621" s="3">
        <v>99</v>
      </c>
      <c r="F12621" s="3">
        <v>99</v>
      </c>
      <c r="G12621" t="s">
        <v>513</v>
      </c>
    </row>
    <row r="12622" spans="1:7" x14ac:dyDescent="0.25">
      <c r="A12622" s="1" t="str">
        <f>"517987"</f>
        <v>517987</v>
      </c>
      <c r="B12622" s="2" t="str">
        <f>"INCUBADORA PARA BOD MARCA TECNAL, MODELO TE-371"</f>
        <v>INCUBADORA PARA BOD MARCA TECNAL, MODELO TE-371</v>
      </c>
      <c r="C12622" s="2" t="str">
        <f t="shared" si="496"/>
        <v>UN</v>
      </c>
      <c r="D12622" s="7">
        <v>811</v>
      </c>
      <c r="E12622" s="3">
        <v>8</v>
      </c>
      <c r="F12622" s="3">
        <v>8</v>
      </c>
      <c r="G12622" t="s">
        <v>514</v>
      </c>
    </row>
    <row r="12623" spans="1:7" x14ac:dyDescent="0.25">
      <c r="A12623" s="1" t="str">
        <f>"527464"</f>
        <v>527464</v>
      </c>
      <c r="B12623" s="2" t="str">
        <f>"INDICADOR CABEÇOTE TAMANHO 2 KEYSTONE 2210769"</f>
        <v>INDICADOR CABEÇOTE TAMANHO 2 KEYSTONE 2210769</v>
      </c>
      <c r="C12623" s="2" t="str">
        <f t="shared" si="496"/>
        <v>UN</v>
      </c>
      <c r="D12623" s="7">
        <v>807</v>
      </c>
      <c r="E12623" s="3">
        <v>11</v>
      </c>
      <c r="F12623" s="3">
        <v>11</v>
      </c>
      <c r="G12623" t="s">
        <v>515</v>
      </c>
    </row>
    <row r="12624" spans="1:7" x14ac:dyDescent="0.25">
      <c r="A12624" s="1" t="str">
        <f>"519901"</f>
        <v>519901</v>
      </c>
      <c r="B12624" s="2" t="str">
        <f>"INDICADOR DE BATERIA"</f>
        <v>INDICADOR DE BATERIA</v>
      </c>
      <c r="C12624" s="2" t="str">
        <f t="shared" si="496"/>
        <v>UN</v>
      </c>
      <c r="D12624" s="7">
        <v>918</v>
      </c>
      <c r="E12624" s="3">
        <v>11</v>
      </c>
      <c r="F12624" s="3">
        <v>11</v>
      </c>
      <c r="G12624" t="s">
        <v>512</v>
      </c>
    </row>
    <row r="12625" spans="1:7" x14ac:dyDescent="0.25">
      <c r="A12625" s="1" t="str">
        <f>"514294"</f>
        <v>514294</v>
      </c>
      <c r="B12625" s="2" t="str">
        <f>"Indicador de Dureza ( Preto de Erioc. Em Trietil ) FR.100ML"</f>
        <v>Indicador de Dureza ( Preto de Erioc. Em Trietil ) FR.100ML</v>
      </c>
      <c r="C12625" s="2" t="str">
        <f t="shared" si="496"/>
        <v>UN</v>
      </c>
      <c r="D12625" s="7">
        <v>406</v>
      </c>
      <c r="E12625" s="3">
        <v>4</v>
      </c>
      <c r="F12625" s="3">
        <v>4</v>
      </c>
      <c r="G12625" t="s">
        <v>516</v>
      </c>
    </row>
    <row r="12626" spans="1:7" x14ac:dyDescent="0.25">
      <c r="A12626" s="1" t="str">
        <f>"517821"</f>
        <v>517821</v>
      </c>
      <c r="B12626" s="2" t="str">
        <f>"INDICADOR DE FOTOCELULA POLIAM. DF13MM COD.4410 ASTERBELT"</f>
        <v>INDICADOR DE FOTOCELULA POLIAM. DF13MM COD.4410 ASTERBELT</v>
      </c>
      <c r="C12626" s="2" t="str">
        <f t="shared" si="496"/>
        <v>UN</v>
      </c>
      <c r="D12626" s="7">
        <v>918</v>
      </c>
      <c r="E12626" s="3">
        <v>11</v>
      </c>
      <c r="F12626" s="3">
        <v>11</v>
      </c>
      <c r="G12626" t="s">
        <v>515</v>
      </c>
    </row>
    <row r="12627" spans="1:7" x14ac:dyDescent="0.25">
      <c r="A12627" s="1" t="str">
        <f>"523476"</f>
        <v>523476</v>
      </c>
      <c r="B12627" s="2" t="str">
        <f>"INDICADOR DE NIVEL 3/4"" FIG. 081"</f>
        <v>INDICADOR DE NIVEL 3/4" FIG. 081</v>
      </c>
      <c r="C12627" s="2" t="str">
        <f>"PÇ"</f>
        <v>PÇ</v>
      </c>
      <c r="D12627" s="7">
        <v>808</v>
      </c>
      <c r="E12627" s="3">
        <v>10</v>
      </c>
      <c r="F12627" s="3">
        <v>10</v>
      </c>
      <c r="G12627" t="s">
        <v>514</v>
      </c>
    </row>
    <row r="12628" spans="1:7" x14ac:dyDescent="0.25">
      <c r="A12628" s="1" t="str">
        <f>"526913"</f>
        <v>526913</v>
      </c>
      <c r="B12628" s="2" t="str">
        <f>"INDICADOR DE PASSAGEM MOD. WT21-I"</f>
        <v>INDICADOR DE PASSAGEM MOD. WT21-I</v>
      </c>
      <c r="C12628" s="2" t="str">
        <f>"PC"</f>
        <v>PC</v>
      </c>
      <c r="D12628" s="7">
        <v>600</v>
      </c>
      <c r="E12628" s="3">
        <v>8</v>
      </c>
      <c r="F12628" s="3">
        <v>8</v>
      </c>
      <c r="G12628" t="s">
        <v>512</v>
      </c>
    </row>
    <row r="12629" spans="1:7" x14ac:dyDescent="0.25">
      <c r="A12629" s="1" t="str">
        <f>"526574"</f>
        <v>526574</v>
      </c>
      <c r="B12629" s="2" t="str">
        <f>"INDICADOR DE PROCESSO RIA15-1056/0-AAB1"</f>
        <v>INDICADOR DE PROCESSO RIA15-1056/0-AAB1</v>
      </c>
      <c r="C12629" s="2" t="str">
        <f>"PC"</f>
        <v>PC</v>
      </c>
      <c r="D12629" s="7">
        <v>600</v>
      </c>
      <c r="E12629" s="3">
        <v>8</v>
      </c>
      <c r="F12629" s="3">
        <v>8</v>
      </c>
      <c r="G12629" t="s">
        <v>513</v>
      </c>
    </row>
    <row r="12630" spans="1:7" x14ac:dyDescent="0.25">
      <c r="A12630" s="1" t="str">
        <f>"506316"</f>
        <v>506316</v>
      </c>
      <c r="B12630" s="2" t="str">
        <f>"INDICADOR DE RESTRIÇAO COD. 22097208"</f>
        <v>INDICADOR DE RESTRIÇAO COD. 22097208</v>
      </c>
      <c r="C12630" s="2" t="str">
        <f t="shared" ref="C12630:C12641" si="497">"UN"</f>
        <v>UN</v>
      </c>
      <c r="D12630" s="7">
        <v>918</v>
      </c>
      <c r="E12630" s="3">
        <v>11</v>
      </c>
      <c r="F12630" s="3">
        <v>11</v>
      </c>
      <c r="G12630" t="s">
        <v>514</v>
      </c>
    </row>
    <row r="12631" spans="1:7" x14ac:dyDescent="0.25">
      <c r="A12631" s="1" t="str">
        <f>"508057"</f>
        <v>508057</v>
      </c>
      <c r="B12631" s="2" t="str">
        <f>"INDICADOR DE RESTRIÇAO P/ FILTRO CPFX-30"</f>
        <v>INDICADOR DE RESTRIÇAO P/ FILTRO CPFX-30</v>
      </c>
      <c r="C12631" s="2" t="str">
        <f t="shared" si="497"/>
        <v>UN</v>
      </c>
      <c r="D12631" s="7">
        <v>918</v>
      </c>
      <c r="E12631" s="3">
        <v>11</v>
      </c>
      <c r="F12631" s="3">
        <v>11</v>
      </c>
      <c r="G12631" t="s">
        <v>514</v>
      </c>
    </row>
    <row r="12632" spans="1:7" x14ac:dyDescent="0.25">
      <c r="A12632" s="1" t="str">
        <f>"518474"</f>
        <v>518474</v>
      </c>
      <c r="B12632" s="2" t="str">
        <f>"INDICADOR DIGITAL MOD. M200 - 220 VOLTS/SENSOR 3 METROS"</f>
        <v>INDICADOR DIGITAL MOD. M200 - 220 VOLTS/SENSOR 3 METROS</v>
      </c>
      <c r="C12632" s="2" t="str">
        <f t="shared" si="497"/>
        <v>UN</v>
      </c>
      <c r="D12632" s="7">
        <v>600</v>
      </c>
      <c r="E12632" s="3">
        <v>8</v>
      </c>
      <c r="F12632" s="3">
        <v>8</v>
      </c>
      <c r="G12632" t="s">
        <v>512</v>
      </c>
    </row>
    <row r="12633" spans="1:7" x14ac:dyDescent="0.25">
      <c r="A12633" s="1" t="str">
        <f>"525152"</f>
        <v>525152</v>
      </c>
      <c r="B12633" s="2" t="str">
        <f>"INDICADOR DIGITAL WT 221 OP 03I SAIDA 04 20 MA"</f>
        <v>INDICADOR DIGITAL WT 221 OP 03I SAIDA 04 20 MA</v>
      </c>
      <c r="C12633" s="2" t="str">
        <f t="shared" si="497"/>
        <v>UN</v>
      </c>
      <c r="D12633" s="7">
        <v>811</v>
      </c>
      <c r="E12633" s="3">
        <v>10</v>
      </c>
      <c r="F12633" s="3">
        <v>10</v>
      </c>
      <c r="G12633" t="s">
        <v>513</v>
      </c>
    </row>
    <row r="12634" spans="1:7" x14ac:dyDescent="0.25">
      <c r="A12634" s="1" t="str">
        <f>"511442"</f>
        <v>511442</v>
      </c>
      <c r="B12634" s="2" t="str">
        <f>"INDICADOR TEMPERATURA DIGITAL PT100"</f>
        <v>INDICADOR TEMPERATURA DIGITAL PT100</v>
      </c>
      <c r="C12634" s="2" t="str">
        <f t="shared" si="497"/>
        <v>UN</v>
      </c>
      <c r="D12634" s="7">
        <v>600</v>
      </c>
      <c r="E12634" s="3">
        <v>8</v>
      </c>
      <c r="F12634" s="3">
        <v>8</v>
      </c>
      <c r="G12634" t="s">
        <v>514</v>
      </c>
    </row>
    <row r="12635" spans="1:7" x14ac:dyDescent="0.25">
      <c r="A12635" s="1" t="str">
        <f>"514303"</f>
        <v>514303</v>
      </c>
      <c r="B12635" s="2" t="str">
        <f>"INDICADOR UNIVERSAL 100/240VCA/CC N1040I-F"</f>
        <v>INDICADOR UNIVERSAL 100/240VCA/CC N1040I-F</v>
      </c>
      <c r="C12635" s="2" t="str">
        <f t="shared" si="497"/>
        <v>UN</v>
      </c>
      <c r="D12635" s="7">
        <v>600</v>
      </c>
      <c r="E12635" s="3">
        <v>8</v>
      </c>
      <c r="F12635" s="3">
        <v>8</v>
      </c>
      <c r="G12635" t="s">
        <v>514</v>
      </c>
    </row>
    <row r="12636" spans="1:7" x14ac:dyDescent="0.25">
      <c r="A12636" s="1" t="str">
        <f>"527479"</f>
        <v>527479</v>
      </c>
      <c r="B12636" s="2" t="str">
        <f>"INDICADOR UNIVERSAL DE PROCESSOS N1500"</f>
        <v>INDICADOR UNIVERSAL DE PROCESSOS N1500</v>
      </c>
      <c r="C12636" s="2" t="str">
        <f t="shared" si="497"/>
        <v>UN</v>
      </c>
      <c r="D12636" s="7">
        <v>600</v>
      </c>
      <c r="E12636" s="3">
        <v>8</v>
      </c>
      <c r="F12636" s="3">
        <v>8</v>
      </c>
      <c r="G12636" t="s">
        <v>514</v>
      </c>
    </row>
    <row r="12637" spans="1:7" x14ac:dyDescent="0.25">
      <c r="A12637" s="1" t="str">
        <f>"515089"</f>
        <v>515089</v>
      </c>
      <c r="B12637" s="2" t="str">
        <f>"INDICE AZ ACRIMET"</f>
        <v>INDICE AZ ACRIMET</v>
      </c>
      <c r="C12637" s="2" t="str">
        <f t="shared" si="497"/>
        <v>UN</v>
      </c>
      <c r="D12637" s="7">
        <v>401</v>
      </c>
      <c r="E12637" s="3">
        <v>4</v>
      </c>
      <c r="F12637" s="3">
        <v>4</v>
      </c>
      <c r="G12637" t="s">
        <v>513</v>
      </c>
    </row>
    <row r="12638" spans="1:7" x14ac:dyDescent="0.25">
      <c r="A12638" s="1" t="str">
        <f>"500624"</f>
        <v>500624</v>
      </c>
      <c r="B12638" s="2" t="str">
        <f>"INDUZIDO BOSH JF"</f>
        <v>INDUZIDO BOSH JF</v>
      </c>
      <c r="C12638" s="2" t="str">
        <f t="shared" si="497"/>
        <v>UN</v>
      </c>
      <c r="D12638" s="7">
        <v>704</v>
      </c>
      <c r="E12638" s="3">
        <v>9</v>
      </c>
      <c r="F12638" s="3">
        <v>9</v>
      </c>
      <c r="G12638" t="s">
        <v>512</v>
      </c>
    </row>
    <row r="12639" spans="1:7" x14ac:dyDescent="0.25">
      <c r="A12639" s="1" t="str">
        <f>"516543"</f>
        <v>516543</v>
      </c>
      <c r="B12639" s="2" t="str">
        <f>"INFLADOR DE PNEU"</f>
        <v>INFLADOR DE PNEU</v>
      </c>
      <c r="C12639" s="2" t="str">
        <f t="shared" si="497"/>
        <v>UN</v>
      </c>
      <c r="D12639" s="7">
        <v>918</v>
      </c>
      <c r="E12639" s="3">
        <v>4</v>
      </c>
      <c r="F12639" s="3">
        <v>4</v>
      </c>
      <c r="G12639" t="s">
        <v>513</v>
      </c>
    </row>
    <row r="12640" spans="1:7" x14ac:dyDescent="0.25">
      <c r="A12640" s="1" t="str">
        <f>"507874"</f>
        <v>507874</v>
      </c>
      <c r="B12640" s="2" t="str">
        <f>"INJETOR COMMON-RAIL 0445120120"</f>
        <v>INJETOR COMMON-RAIL 0445120120</v>
      </c>
      <c r="C12640" s="2" t="str">
        <f t="shared" si="497"/>
        <v>UN</v>
      </c>
      <c r="D12640" s="7">
        <v>704</v>
      </c>
      <c r="E12640" s="3">
        <v>9</v>
      </c>
      <c r="F12640" s="3">
        <v>9</v>
      </c>
      <c r="G12640" t="s">
        <v>514</v>
      </c>
    </row>
    <row r="12641" spans="1:7" x14ac:dyDescent="0.25">
      <c r="A12641" s="1" t="str">
        <f>"510116"</f>
        <v>510116</v>
      </c>
      <c r="B12641" s="2" t="str">
        <f>"INJETOR MANUAL - CALDEIRA ATA"</f>
        <v>INJETOR MANUAL - CALDEIRA ATA</v>
      </c>
      <c r="C12641" s="2" t="str">
        <f t="shared" si="497"/>
        <v>UN</v>
      </c>
      <c r="D12641" s="7">
        <v>918</v>
      </c>
      <c r="E12641" s="3">
        <v>11</v>
      </c>
      <c r="F12641" s="3">
        <v>11</v>
      </c>
      <c r="G12641" t="s">
        <v>514</v>
      </c>
    </row>
    <row r="12642" spans="1:7" x14ac:dyDescent="0.25">
      <c r="A12642" s="1" t="str">
        <f>"526834"</f>
        <v>526834</v>
      </c>
      <c r="B12642" s="2" t="str">
        <f>"INJETOR POE 60W HIKVISION - 60WPOEINJECTOR"</f>
        <v>INJETOR POE 60W HIKVISION - 60WPOEINJECTOR</v>
      </c>
      <c r="C12642" s="2" t="str">
        <f>"MT"</f>
        <v>MT</v>
      </c>
      <c r="D12642" s="7">
        <v>602</v>
      </c>
      <c r="E12642" s="3">
        <v>8</v>
      </c>
      <c r="F12642" s="3">
        <v>8</v>
      </c>
      <c r="G12642" t="s">
        <v>514</v>
      </c>
    </row>
    <row r="12643" spans="1:7" x14ac:dyDescent="0.25">
      <c r="A12643" s="1" t="str">
        <f>"520565"</f>
        <v>520565</v>
      </c>
      <c r="B12643" s="2" t="str">
        <f>"INJETORA DE CALDEIRA 1"" BRONZE"</f>
        <v>INJETORA DE CALDEIRA 1" BRONZE</v>
      </c>
      <c r="C12643" s="2" t="str">
        <f t="shared" ref="C12643:C12689" si="498">"UN"</f>
        <v>UN</v>
      </c>
      <c r="D12643" s="7">
        <v>918</v>
      </c>
      <c r="E12643" s="3">
        <v>11</v>
      </c>
      <c r="F12643" s="3">
        <v>11</v>
      </c>
      <c r="G12643" t="s">
        <v>513</v>
      </c>
    </row>
    <row r="12644" spans="1:7" x14ac:dyDescent="0.25">
      <c r="A12644" s="1" t="str">
        <f>"518011"</f>
        <v>518011</v>
      </c>
      <c r="B12644" s="2" t="str">
        <f>"INOX 420 BLOCO 315X205X30 (1) M-55 JE"</f>
        <v>INOX 420 BLOCO 315X205X30 (1) M-55 JE</v>
      </c>
      <c r="C12644" s="2" t="str">
        <f t="shared" si="498"/>
        <v>UN</v>
      </c>
      <c r="D12644" s="7">
        <v>918</v>
      </c>
      <c r="E12644" s="3">
        <v>11</v>
      </c>
      <c r="F12644" s="3">
        <v>11</v>
      </c>
      <c r="G12644" t="s">
        <v>513</v>
      </c>
    </row>
    <row r="12645" spans="1:7" x14ac:dyDescent="0.25">
      <c r="A12645" s="1" t="str">
        <f>"516615"</f>
        <v>516615</v>
      </c>
      <c r="B12645" s="2" t="str">
        <f>"INOX 420 BLOCO 35X63X278 M57JE"</f>
        <v>INOX 420 BLOCO 35X63X278 M57JE</v>
      </c>
      <c r="C12645" s="2" t="str">
        <f t="shared" si="498"/>
        <v>UN</v>
      </c>
      <c r="D12645" s="7">
        <v>918</v>
      </c>
      <c r="E12645" s="3">
        <v>11</v>
      </c>
      <c r="F12645" s="3">
        <v>11</v>
      </c>
      <c r="G12645" t="s">
        <v>513</v>
      </c>
    </row>
    <row r="12646" spans="1:7" x14ac:dyDescent="0.25">
      <c r="A12646" s="1" t="str">
        <f>"516614"</f>
        <v>516614</v>
      </c>
      <c r="B12646" s="2" t="str">
        <f>"INOX 420 BLOCO 37X63X278 M57JE"</f>
        <v>INOX 420 BLOCO 37X63X278 M57JE</v>
      </c>
      <c r="C12646" s="2" t="str">
        <f t="shared" si="498"/>
        <v>UN</v>
      </c>
      <c r="D12646" s="7">
        <v>918</v>
      </c>
      <c r="E12646" s="3">
        <v>11</v>
      </c>
      <c r="F12646" s="3">
        <v>11</v>
      </c>
      <c r="G12646" t="s">
        <v>512</v>
      </c>
    </row>
    <row r="12647" spans="1:7" x14ac:dyDescent="0.25">
      <c r="A12647" s="1" t="str">
        <f>"516617"</f>
        <v>516617</v>
      </c>
      <c r="B12647" s="2" t="str">
        <f>"INOX 420 BLOCO 48X113X113 M57JE"</f>
        <v>INOX 420 BLOCO 48X113X113 M57JE</v>
      </c>
      <c r="C12647" s="2" t="str">
        <f t="shared" si="498"/>
        <v>UN</v>
      </c>
      <c r="D12647" s="7">
        <v>918</v>
      </c>
      <c r="E12647" s="3">
        <v>11</v>
      </c>
      <c r="F12647" s="3">
        <v>11</v>
      </c>
      <c r="G12647" t="s">
        <v>513</v>
      </c>
    </row>
    <row r="12648" spans="1:7" x14ac:dyDescent="0.25">
      <c r="A12648" s="1" t="str">
        <f>"518006"</f>
        <v>518006</v>
      </c>
      <c r="B12648" s="2" t="str">
        <f>"INOX 420 BLOCO 83X23X213 (4) M-55 JE"</f>
        <v>INOX 420 BLOCO 83X23X213 (4) M-55 JE</v>
      </c>
      <c r="C12648" s="2" t="str">
        <f t="shared" si="498"/>
        <v>UN</v>
      </c>
      <c r="D12648" s="7">
        <v>918</v>
      </c>
      <c r="E12648" s="3">
        <v>11</v>
      </c>
      <c r="F12648" s="3">
        <v>11</v>
      </c>
      <c r="G12648" t="s">
        <v>514</v>
      </c>
    </row>
    <row r="12649" spans="1:7" x14ac:dyDescent="0.25">
      <c r="A12649" s="1" t="str">
        <f>"518007"</f>
        <v>518007</v>
      </c>
      <c r="B12649" s="2" t="str">
        <f>"INOX 420 BLOCO 83X40X423 (2) M-55 JE"</f>
        <v>INOX 420 BLOCO 83X40X423 (2) M-55 JE</v>
      </c>
      <c r="C12649" s="2" t="str">
        <f t="shared" si="498"/>
        <v>UN</v>
      </c>
      <c r="D12649" s="7">
        <v>918</v>
      </c>
      <c r="E12649" s="3">
        <v>11</v>
      </c>
      <c r="F12649" s="3">
        <v>11</v>
      </c>
      <c r="G12649" t="s">
        <v>515</v>
      </c>
    </row>
    <row r="12650" spans="1:7" x14ac:dyDescent="0.25">
      <c r="A12650" s="1" t="str">
        <f>"518009"</f>
        <v>518009</v>
      </c>
      <c r="B12650" s="2" t="str">
        <f>"INOX 420 BLOCO 83X43X213 (4) M-55 JE"</f>
        <v>INOX 420 BLOCO 83X43X213 (4) M-55 JE</v>
      </c>
      <c r="C12650" s="2" t="str">
        <f t="shared" si="498"/>
        <v>UN</v>
      </c>
      <c r="D12650" s="7">
        <v>918</v>
      </c>
      <c r="E12650" s="3">
        <v>11</v>
      </c>
      <c r="F12650" s="3">
        <v>11</v>
      </c>
      <c r="G12650" t="s">
        <v>512</v>
      </c>
    </row>
    <row r="12651" spans="1:7" x14ac:dyDescent="0.25">
      <c r="A12651" s="1" t="str">
        <f>"505506"</f>
        <v>505506</v>
      </c>
      <c r="B12651" s="2" t="str">
        <f>"INSERT 01MM"</f>
        <v>INSERT 01MM</v>
      </c>
      <c r="C12651" s="2" t="str">
        <f t="shared" si="498"/>
        <v>UN</v>
      </c>
      <c r="D12651" s="7">
        <v>704</v>
      </c>
      <c r="E12651" s="3">
        <v>9</v>
      </c>
      <c r="F12651" s="3">
        <v>9</v>
      </c>
      <c r="G12651" t="s">
        <v>516</v>
      </c>
    </row>
    <row r="12652" spans="1:7" x14ac:dyDescent="0.25">
      <c r="A12652" s="1" t="str">
        <f>"501621"</f>
        <v>501621</v>
      </c>
      <c r="B12652" s="2" t="str">
        <f>"INSERT 06MM"</f>
        <v>INSERT 06MM</v>
      </c>
      <c r="C12652" s="2" t="str">
        <f t="shared" si="498"/>
        <v>UN</v>
      </c>
      <c r="D12652" s="7">
        <v>704</v>
      </c>
      <c r="E12652" s="3">
        <v>9</v>
      </c>
      <c r="F12652" s="3">
        <v>9</v>
      </c>
      <c r="G12652" t="s">
        <v>515</v>
      </c>
    </row>
    <row r="12653" spans="1:7" x14ac:dyDescent="0.25">
      <c r="A12653" s="1" t="str">
        <f>"505641"</f>
        <v>505641</v>
      </c>
      <c r="B12653" s="2" t="str">
        <f>"INSERT 08MM"</f>
        <v>INSERT 08MM</v>
      </c>
      <c r="C12653" s="2" t="str">
        <f t="shared" si="498"/>
        <v>UN</v>
      </c>
      <c r="D12653" s="7">
        <v>704</v>
      </c>
      <c r="E12653" s="3">
        <v>9</v>
      </c>
      <c r="F12653" s="3">
        <v>9</v>
      </c>
      <c r="G12653" t="s">
        <v>514</v>
      </c>
    </row>
    <row r="12654" spans="1:7" x14ac:dyDescent="0.25">
      <c r="A12654" s="1" t="str">
        <f>"519105"</f>
        <v>519105</v>
      </c>
      <c r="B12654" s="2" t="str">
        <f>"INSERT 10MM"</f>
        <v>INSERT 10MM</v>
      </c>
      <c r="C12654" s="2" t="str">
        <f t="shared" si="498"/>
        <v>UN</v>
      </c>
      <c r="D12654" s="7">
        <v>704</v>
      </c>
      <c r="E12654" s="3">
        <v>9</v>
      </c>
      <c r="F12654" s="3">
        <v>9</v>
      </c>
      <c r="G12654" t="s">
        <v>512</v>
      </c>
    </row>
    <row r="12655" spans="1:7" x14ac:dyDescent="0.25">
      <c r="A12655" s="1" t="str">
        <f>"501817"</f>
        <v>501817</v>
      </c>
      <c r="B12655" s="2" t="str">
        <f>"INSERT 12MM"</f>
        <v>INSERT 12MM</v>
      </c>
      <c r="C12655" s="2" t="str">
        <f t="shared" si="498"/>
        <v>UN</v>
      </c>
      <c r="D12655" s="7">
        <v>704</v>
      </c>
      <c r="E12655" s="3">
        <v>9</v>
      </c>
      <c r="F12655" s="3">
        <v>9</v>
      </c>
      <c r="G12655" t="s">
        <v>513</v>
      </c>
    </row>
    <row r="12656" spans="1:7" x14ac:dyDescent="0.25">
      <c r="A12656" s="1" t="str">
        <f>"517103"</f>
        <v>517103</v>
      </c>
      <c r="B12656" s="2" t="str">
        <f>"INSERTO DA MATRIZ - E4199-53327-6/1433/23"</f>
        <v>INSERTO DA MATRIZ - E4199-53327-6/1433/23</v>
      </c>
      <c r="C12656" s="2" t="str">
        <f t="shared" si="498"/>
        <v>UN</v>
      </c>
      <c r="D12656" s="7">
        <v>918</v>
      </c>
      <c r="E12656" s="3">
        <v>11</v>
      </c>
      <c r="F12656" s="3">
        <v>11</v>
      </c>
      <c r="G12656" t="s">
        <v>514</v>
      </c>
    </row>
    <row r="12657" spans="1:7" x14ac:dyDescent="0.25">
      <c r="A12657" s="1" t="str">
        <f>"517115"</f>
        <v>517115</v>
      </c>
      <c r="B12657" s="2" t="str">
        <f>"INSERTO DA MATRIZ II - E4199-53635-6/1433/77"</f>
        <v>INSERTO DA MATRIZ II - E4199-53635-6/1433/77</v>
      </c>
      <c r="C12657" s="2" t="str">
        <f t="shared" si="498"/>
        <v>UN</v>
      </c>
      <c r="D12657" s="7">
        <v>918</v>
      </c>
      <c r="E12657" s="3">
        <v>11</v>
      </c>
      <c r="F12657" s="3">
        <v>11</v>
      </c>
      <c r="G12657" t="s">
        <v>514</v>
      </c>
    </row>
    <row r="12658" spans="1:7" x14ac:dyDescent="0.25">
      <c r="A12658" s="1" t="str">
        <f>"516865"</f>
        <v>516865</v>
      </c>
      <c r="B12658" s="2" t="str">
        <f>"INSERTO LATERAL - OPOSTO - E4199-53627 - 6/1433/79"</f>
        <v>INSERTO LATERAL - OPOSTO - E4199-53627 - 6/1433/79</v>
      </c>
      <c r="C12658" s="2" t="str">
        <f t="shared" si="498"/>
        <v>UN</v>
      </c>
      <c r="D12658" s="7">
        <v>918</v>
      </c>
      <c r="E12658" s="3">
        <v>11</v>
      </c>
      <c r="F12658" s="3">
        <v>11</v>
      </c>
      <c r="G12658" t="s">
        <v>512</v>
      </c>
    </row>
    <row r="12659" spans="1:7" x14ac:dyDescent="0.25">
      <c r="A12659" s="1" t="str">
        <f>"517116"</f>
        <v>517116</v>
      </c>
      <c r="B12659" s="2" t="str">
        <f>"INSERTO LATERAL - OPOSTO - E4199-53628-6/1433/78"</f>
        <v>INSERTO LATERAL - OPOSTO - E4199-53628-6/1433/78</v>
      </c>
      <c r="C12659" s="2" t="str">
        <f t="shared" si="498"/>
        <v>UN</v>
      </c>
      <c r="D12659" s="7">
        <v>918</v>
      </c>
      <c r="E12659" s="3">
        <v>11</v>
      </c>
      <c r="F12659" s="3">
        <v>11</v>
      </c>
      <c r="G12659" t="s">
        <v>513</v>
      </c>
    </row>
    <row r="12660" spans="1:7" x14ac:dyDescent="0.25">
      <c r="A12660" s="1" t="str">
        <f>"519659"</f>
        <v>519659</v>
      </c>
      <c r="B12660" s="2" t="str">
        <f>"INSERTO P/ ROSCA POSTIÇA M10 X 1,50"</f>
        <v>INSERTO P/ ROSCA POSTIÇA M10 X 1,50</v>
      </c>
      <c r="C12660" s="2" t="str">
        <f t="shared" si="498"/>
        <v>UN</v>
      </c>
      <c r="D12660" s="7">
        <v>918</v>
      </c>
      <c r="E12660" s="3">
        <v>11</v>
      </c>
      <c r="F12660" s="3">
        <v>11</v>
      </c>
      <c r="G12660" t="s">
        <v>514</v>
      </c>
    </row>
    <row r="12661" spans="1:7" x14ac:dyDescent="0.25">
      <c r="A12661" s="1" t="str">
        <f>"519660"</f>
        <v>519660</v>
      </c>
      <c r="B12661" s="2" t="str">
        <f>"INSERTO P/ ROSCA POSTIÇA M12 X 1,75"</f>
        <v>INSERTO P/ ROSCA POSTIÇA M12 X 1,75</v>
      </c>
      <c r="C12661" s="2" t="str">
        <f t="shared" si="498"/>
        <v>UN</v>
      </c>
      <c r="D12661" s="7">
        <v>918</v>
      </c>
      <c r="E12661" s="3">
        <v>11</v>
      </c>
      <c r="F12661" s="3">
        <v>11</v>
      </c>
      <c r="G12661" t="s">
        <v>514</v>
      </c>
    </row>
    <row r="12662" spans="1:7" x14ac:dyDescent="0.25">
      <c r="A12662" s="1" t="str">
        <f>"519656"</f>
        <v>519656</v>
      </c>
      <c r="B12662" s="2" t="str">
        <f>"INSERTO P/ ROSCA POSTIÇA M5 X 0,80"</f>
        <v>INSERTO P/ ROSCA POSTIÇA M5 X 0,80</v>
      </c>
      <c r="C12662" s="2" t="str">
        <f t="shared" si="498"/>
        <v>UN</v>
      </c>
      <c r="D12662" s="7">
        <v>918</v>
      </c>
      <c r="E12662" s="3">
        <v>11</v>
      </c>
      <c r="F12662" s="3">
        <v>11</v>
      </c>
      <c r="G12662" t="s">
        <v>514</v>
      </c>
    </row>
    <row r="12663" spans="1:7" x14ac:dyDescent="0.25">
      <c r="A12663" s="1" t="str">
        <f>"519657"</f>
        <v>519657</v>
      </c>
      <c r="B12663" s="2" t="str">
        <f>"INSERTO P/ ROSCA POSTIÇA M6 X 1,00"</f>
        <v>INSERTO P/ ROSCA POSTIÇA M6 X 1,00</v>
      </c>
      <c r="C12663" s="2" t="str">
        <f t="shared" si="498"/>
        <v>UN</v>
      </c>
      <c r="D12663" s="7">
        <v>918</v>
      </c>
      <c r="E12663" s="3">
        <v>11</v>
      </c>
      <c r="F12663" s="3">
        <v>11</v>
      </c>
      <c r="G12663" t="s">
        <v>513</v>
      </c>
    </row>
    <row r="12664" spans="1:7" x14ac:dyDescent="0.25">
      <c r="A12664" s="1" t="str">
        <f>"519658"</f>
        <v>519658</v>
      </c>
      <c r="B12664" s="2" t="str">
        <f>"INSERTO P/ ROSCA POSTIÇA M8 X 1,25"</f>
        <v>INSERTO P/ ROSCA POSTIÇA M8 X 1,25</v>
      </c>
      <c r="C12664" s="2" t="str">
        <f t="shared" si="498"/>
        <v>UN</v>
      </c>
      <c r="D12664" s="7">
        <v>918</v>
      </c>
      <c r="E12664" s="3">
        <v>11</v>
      </c>
      <c r="F12664" s="3">
        <v>11</v>
      </c>
      <c r="G12664" t="s">
        <v>512</v>
      </c>
    </row>
    <row r="12665" spans="1:7" x14ac:dyDescent="0.25">
      <c r="A12665" s="1" t="str">
        <f>"573809"</f>
        <v>573809</v>
      </c>
      <c r="B12665" s="2" t="str">
        <f>"INSET.SBP APAR.45 NOITES GRATIS"</f>
        <v>INSET.SBP APAR.45 NOITES GRATIS</v>
      </c>
      <c r="C12665" s="2" t="str">
        <f t="shared" si="498"/>
        <v>UN</v>
      </c>
      <c r="D12665" s="7">
        <v>918</v>
      </c>
      <c r="E12665" s="3">
        <v>4</v>
      </c>
      <c r="F12665" s="3">
        <v>4</v>
      </c>
      <c r="G12665" t="s">
        <v>513</v>
      </c>
    </row>
    <row r="12666" spans="1:7" x14ac:dyDescent="0.25">
      <c r="A12666" s="1" t="str">
        <f>"524302"</f>
        <v>524302</v>
      </c>
      <c r="B12666" s="2" t="str">
        <f>"INSIT 75MG CX C/ 30CPS"</f>
        <v>INSIT 75MG CX C/ 30CPS</v>
      </c>
      <c r="C12666" s="2" t="str">
        <f t="shared" si="498"/>
        <v>UN</v>
      </c>
      <c r="D12666" s="7">
        <v>99999</v>
      </c>
      <c r="E12666" s="3">
        <v>99</v>
      </c>
      <c r="F12666" s="3">
        <v>99</v>
      </c>
      <c r="G12666" t="s">
        <v>514</v>
      </c>
    </row>
    <row r="12667" spans="1:7" x14ac:dyDescent="0.25">
      <c r="A12667" s="1" t="str">
        <f>"518373"</f>
        <v>518373</v>
      </c>
      <c r="B12667" s="2" t="str">
        <f>"INSS"</f>
        <v>INSS</v>
      </c>
      <c r="C12667" s="2" t="str">
        <f t="shared" si="498"/>
        <v>UN</v>
      </c>
      <c r="D12667" s="7">
        <v>99999</v>
      </c>
      <c r="E12667" s="3">
        <v>99</v>
      </c>
      <c r="F12667" s="3">
        <v>99</v>
      </c>
      <c r="G12667" t="s">
        <v>514</v>
      </c>
    </row>
    <row r="12668" spans="1:7" x14ac:dyDescent="0.25">
      <c r="A12668" s="1" t="str">
        <f>"522860"</f>
        <v>522860</v>
      </c>
      <c r="B12668" s="2" t="str">
        <f>"INSTALAÇÃO"</f>
        <v>INSTALAÇÃO</v>
      </c>
      <c r="C12668" s="2" t="str">
        <f t="shared" si="498"/>
        <v>UN</v>
      </c>
      <c r="D12668" s="7">
        <v>99999</v>
      </c>
      <c r="E12668" s="3">
        <v>99</v>
      </c>
      <c r="F12668" s="3">
        <v>99</v>
      </c>
      <c r="G12668" t="s">
        <v>514</v>
      </c>
    </row>
    <row r="12669" spans="1:7" x14ac:dyDescent="0.25">
      <c r="A12669" s="1" t="str">
        <f>"520871"</f>
        <v>520871</v>
      </c>
      <c r="B12669" s="2" t="str">
        <f>"INSTALAÇÃO ASPIRADOR DE PARTICULAS MATERIAL DE COBERTURA"</f>
        <v>INSTALAÇÃO ASPIRADOR DE PARTICULAS MATERIAL DE COBERTURA</v>
      </c>
      <c r="C12669" s="2" t="str">
        <f t="shared" si="498"/>
        <v>UN</v>
      </c>
      <c r="D12669" s="7">
        <v>1300</v>
      </c>
      <c r="E12669" s="3">
        <v>11</v>
      </c>
      <c r="F12669" s="3">
        <v>11</v>
      </c>
      <c r="G12669" t="s">
        <v>513</v>
      </c>
    </row>
    <row r="12670" spans="1:7" x14ac:dyDescent="0.25">
      <c r="A12670" s="1" t="str">
        <f>"520861"</f>
        <v>520861</v>
      </c>
      <c r="B12670" s="2" t="str">
        <f>"INSTALAÇÃO BARRA ANTIESTÁTICA DO ASPIRADOR DE PARTICULAS"</f>
        <v>INSTALAÇÃO BARRA ANTIESTÁTICA DO ASPIRADOR DE PARTICULAS</v>
      </c>
      <c r="C12670" s="2" t="str">
        <f t="shared" si="498"/>
        <v>UN</v>
      </c>
      <c r="D12670" s="7">
        <v>1300</v>
      </c>
      <c r="E12670" s="3">
        <v>11</v>
      </c>
      <c r="F12670" s="3">
        <v>11</v>
      </c>
      <c r="G12670" t="s">
        <v>513</v>
      </c>
    </row>
    <row r="12671" spans="1:7" x14ac:dyDescent="0.25">
      <c r="A12671" s="1" t="str">
        <f>"520858"</f>
        <v>520858</v>
      </c>
      <c r="B12671" s="2" t="str">
        <f>"INSTALAÇÃO FLUXO LAMINAR"</f>
        <v>INSTALAÇÃO FLUXO LAMINAR</v>
      </c>
      <c r="C12671" s="2" t="str">
        <f t="shared" si="498"/>
        <v>UN</v>
      </c>
      <c r="D12671" s="7">
        <v>1300</v>
      </c>
      <c r="E12671" s="3">
        <v>11</v>
      </c>
      <c r="F12671" s="3">
        <v>11</v>
      </c>
      <c r="G12671" t="s">
        <v>513</v>
      </c>
    </row>
    <row r="12672" spans="1:7" x14ac:dyDescent="0.25">
      <c r="A12672" s="1" t="str">
        <f>"510487"</f>
        <v>510487</v>
      </c>
      <c r="B12672" s="2" t="str">
        <f>"INSTALAÇAO FRIGORIFICA INDUSTRIAL"</f>
        <v>INSTALAÇAO FRIGORIFICA INDUSTRIAL</v>
      </c>
      <c r="C12672" s="2" t="str">
        <f t="shared" si="498"/>
        <v>UN</v>
      </c>
      <c r="D12672" s="7">
        <v>1700</v>
      </c>
      <c r="E12672" s="3">
        <v>13</v>
      </c>
      <c r="F12672" s="3">
        <v>13</v>
      </c>
      <c r="G12672" t="s">
        <v>512</v>
      </c>
    </row>
    <row r="12673" spans="1:7" x14ac:dyDescent="0.25">
      <c r="A12673" s="1" t="str">
        <f>"520860"</f>
        <v>520860</v>
      </c>
      <c r="B12673" s="2" t="str">
        <f>"INSTALAÇÃO U.V. - MATERIAL DE COBERTURA"</f>
        <v>INSTALAÇÃO U.V. - MATERIAL DE COBERTURA</v>
      </c>
      <c r="C12673" s="2" t="str">
        <f t="shared" si="498"/>
        <v>UN</v>
      </c>
      <c r="D12673" s="7">
        <v>1300</v>
      </c>
      <c r="E12673" s="3">
        <v>11</v>
      </c>
      <c r="F12673" s="3">
        <v>11</v>
      </c>
      <c r="G12673" t="s">
        <v>513</v>
      </c>
    </row>
    <row r="12674" spans="1:7" x14ac:dyDescent="0.25">
      <c r="A12674" s="1" t="str">
        <f>"510557"</f>
        <v>510557</v>
      </c>
      <c r="B12674" s="2" t="str">
        <f>"INSTRUMENTAÇAO"</f>
        <v>INSTRUMENTAÇAO</v>
      </c>
      <c r="C12674" s="2" t="str">
        <f t="shared" si="498"/>
        <v>UN</v>
      </c>
      <c r="D12674" s="7">
        <v>1700</v>
      </c>
      <c r="E12674" s="3">
        <v>13</v>
      </c>
      <c r="F12674" s="3">
        <v>13</v>
      </c>
      <c r="G12674" t="s">
        <v>514</v>
      </c>
    </row>
    <row r="12675" spans="1:7" x14ac:dyDescent="0.25">
      <c r="A12675" s="1" t="str">
        <f>"514260"</f>
        <v>514260</v>
      </c>
      <c r="B12675" s="2" t="str">
        <f>"INSTRUMENTO DE MEDIÇÃO ENGRO"</f>
        <v>INSTRUMENTO DE MEDIÇÃO ENGRO</v>
      </c>
      <c r="C12675" s="2" t="str">
        <f t="shared" si="498"/>
        <v>UN</v>
      </c>
      <c r="D12675" s="7">
        <v>811</v>
      </c>
      <c r="E12675" s="3">
        <v>8</v>
      </c>
      <c r="F12675" s="3">
        <v>8</v>
      </c>
      <c r="G12675" t="s">
        <v>515</v>
      </c>
    </row>
    <row r="12676" spans="1:7" x14ac:dyDescent="0.25">
      <c r="A12676" s="1" t="str">
        <f>"520649"</f>
        <v>520649</v>
      </c>
      <c r="B12676" s="2" t="str">
        <f>"INSTRUTHERM THDL-400"</f>
        <v>INSTRUTHERM THDL-400</v>
      </c>
      <c r="C12676" s="2" t="str">
        <f t="shared" si="498"/>
        <v>UN</v>
      </c>
      <c r="D12676" s="7">
        <v>99999</v>
      </c>
      <c r="E12676" s="3">
        <v>99</v>
      </c>
      <c r="F12676" s="3">
        <v>99</v>
      </c>
      <c r="G12676" t="s">
        <v>512</v>
      </c>
    </row>
    <row r="12677" spans="1:7" x14ac:dyDescent="0.25">
      <c r="A12677" s="1" t="str">
        <f>"521824"</f>
        <v>521824</v>
      </c>
      <c r="B12677" s="2" t="str">
        <f>"INSUFLADOR EXAUSTOR"</f>
        <v>INSUFLADOR EXAUSTOR</v>
      </c>
      <c r="C12677" s="2" t="str">
        <f t="shared" si="498"/>
        <v>UN</v>
      </c>
      <c r="D12677" s="7">
        <v>99999</v>
      </c>
      <c r="E12677" s="3">
        <v>99</v>
      </c>
      <c r="F12677" s="3">
        <v>99</v>
      </c>
      <c r="G12677" t="s">
        <v>516</v>
      </c>
    </row>
    <row r="12678" spans="1:7" x14ac:dyDescent="0.25">
      <c r="A12678" s="1" t="str">
        <f>"507904"</f>
        <v>507904</v>
      </c>
      <c r="B12678" s="2" t="str">
        <f>"INSULFILM"</f>
        <v>INSULFILM</v>
      </c>
      <c r="C12678" s="2" t="str">
        <f t="shared" si="498"/>
        <v>UN</v>
      </c>
      <c r="D12678" s="7">
        <v>704</v>
      </c>
      <c r="E12678" s="3">
        <v>9</v>
      </c>
      <c r="F12678" s="3">
        <v>9</v>
      </c>
      <c r="G12678" t="s">
        <v>515</v>
      </c>
    </row>
    <row r="12679" spans="1:7" x14ac:dyDescent="0.25">
      <c r="A12679" s="1" t="str">
        <f>"526061"</f>
        <v>526061</v>
      </c>
      <c r="B12679" s="2" t="str">
        <f>"INTE. DIFERENCIALEZ9R33440EASY9 CLASSE AC 4P 415Vca 30mA 40A"</f>
        <v>INTE. DIFERENCIALEZ9R33440EASY9 CLASSE AC 4P 415Vca 30mA 40A</v>
      </c>
      <c r="C12679" s="2" t="str">
        <f t="shared" si="498"/>
        <v>UN</v>
      </c>
      <c r="D12679" s="7">
        <v>600</v>
      </c>
      <c r="E12679" s="3">
        <v>8</v>
      </c>
      <c r="F12679" s="3">
        <v>8</v>
      </c>
      <c r="G12679" t="s">
        <v>514</v>
      </c>
    </row>
    <row r="12680" spans="1:7" x14ac:dyDescent="0.25">
      <c r="A12680" s="1" t="str">
        <f>"513426"</f>
        <v>513426</v>
      </c>
      <c r="B12680" s="2" t="str">
        <f>"INTEMAL EH817 A HP LTO3 ULTRIUM"</f>
        <v>INTEMAL EH817 A HP LTO3 ULTRIUM</v>
      </c>
      <c r="C12680" s="2" t="str">
        <f t="shared" si="498"/>
        <v>UN</v>
      </c>
      <c r="D12680" s="7">
        <v>1300</v>
      </c>
      <c r="E12680" s="3">
        <v>13</v>
      </c>
      <c r="F12680" s="3">
        <v>13</v>
      </c>
      <c r="G12680" t="s">
        <v>512</v>
      </c>
    </row>
    <row r="12681" spans="1:7" x14ac:dyDescent="0.25">
      <c r="A12681" s="1" t="str">
        <f>"513906"</f>
        <v>513906</v>
      </c>
      <c r="B12681" s="2" t="str">
        <f>"INTERCAP 50LT"</f>
        <v>INTERCAP 50LT</v>
      </c>
      <c r="C12681" s="2" t="str">
        <f t="shared" si="498"/>
        <v>UN</v>
      </c>
      <c r="D12681" s="7">
        <v>99999</v>
      </c>
      <c r="E12681" s="3">
        <v>99</v>
      </c>
      <c r="F12681" s="3">
        <v>99</v>
      </c>
      <c r="G12681" t="s">
        <v>513</v>
      </c>
    </row>
    <row r="12682" spans="1:7" x14ac:dyDescent="0.25">
      <c r="A12682" s="1" t="str">
        <f>"508196"</f>
        <v>508196</v>
      </c>
      <c r="B12682" s="2" t="str">
        <f>"INTERCOOLLER CARGO-2422"</f>
        <v>INTERCOOLLER CARGO-2422</v>
      </c>
      <c r="C12682" s="2" t="str">
        <f t="shared" si="498"/>
        <v>UN</v>
      </c>
      <c r="D12682" s="7">
        <v>402</v>
      </c>
      <c r="E12682" s="3">
        <v>4</v>
      </c>
      <c r="F12682" s="3">
        <v>4</v>
      </c>
      <c r="G12682" t="s">
        <v>514</v>
      </c>
    </row>
    <row r="12683" spans="1:7" x14ac:dyDescent="0.25">
      <c r="A12683" s="1" t="str">
        <f>"526368"</f>
        <v>526368</v>
      </c>
      <c r="B12683" s="2" t="str">
        <f>"INTERFACE 1 REV. 10 A 230 VAC (LED) 493182300060SPA"</f>
        <v>INTERFACE 1 REV. 10 A 230 VAC (LED) 493182300060SPA</v>
      </c>
      <c r="C12683" s="2" t="str">
        <f t="shared" si="498"/>
        <v>UN</v>
      </c>
      <c r="D12683" s="7">
        <v>99999</v>
      </c>
      <c r="E12683" s="3">
        <v>99</v>
      </c>
      <c r="F12683" s="3">
        <v>99</v>
      </c>
      <c r="G12683" t="s">
        <v>514</v>
      </c>
    </row>
    <row r="12684" spans="1:7" x14ac:dyDescent="0.25">
      <c r="A12684" s="1" t="str">
        <f>"517749"</f>
        <v>517749</v>
      </c>
      <c r="B12684" s="2" t="str">
        <f>"INTERFACE CONEXÃO FPO"</f>
        <v>INTERFACE CONEXÃO FPO</v>
      </c>
      <c r="C12684" s="2" t="str">
        <f t="shared" si="498"/>
        <v>UN</v>
      </c>
      <c r="D12684" s="7">
        <v>811</v>
      </c>
      <c r="E12684" s="3">
        <v>8</v>
      </c>
      <c r="F12684" s="3">
        <v>8</v>
      </c>
      <c r="G12684" t="s">
        <v>512</v>
      </c>
    </row>
    <row r="12685" spans="1:7" x14ac:dyDescent="0.25">
      <c r="A12685" s="1" t="str">
        <f>"517774"</f>
        <v>517774</v>
      </c>
      <c r="B12685" s="2" t="str">
        <f>"INTERFACE CONEXÃO FPO"</f>
        <v>INTERFACE CONEXÃO FPO</v>
      </c>
      <c r="C12685" s="2" t="str">
        <f t="shared" si="498"/>
        <v>UN</v>
      </c>
      <c r="D12685" s="7">
        <v>811</v>
      </c>
      <c r="E12685" s="3">
        <v>8</v>
      </c>
      <c r="F12685" s="3">
        <v>8</v>
      </c>
      <c r="G12685" t="s">
        <v>513</v>
      </c>
    </row>
    <row r="12686" spans="1:7" x14ac:dyDescent="0.25">
      <c r="A12686" s="1" t="str">
        <f>"527343"</f>
        <v>527343</v>
      </c>
      <c r="B12686" s="2" t="str">
        <f>"INTERFACE CONV 32 CONVERSOR USB SERIAL SITRAD-FULL GAUGE"</f>
        <v>INTERFACE CONV 32 CONVERSOR USB SERIAL SITRAD-FULL GAUGE</v>
      </c>
      <c r="C12686" s="2" t="str">
        <f t="shared" si="498"/>
        <v>UN</v>
      </c>
      <c r="D12686" s="7">
        <v>811</v>
      </c>
      <c r="E12686" s="3">
        <v>8</v>
      </c>
      <c r="F12686" s="3">
        <v>8</v>
      </c>
      <c r="G12686" t="s">
        <v>514</v>
      </c>
    </row>
    <row r="12687" spans="1:7" x14ac:dyDescent="0.25">
      <c r="A12687" s="1" t="str">
        <f>"4157"</f>
        <v>4157</v>
      </c>
      <c r="B12687" s="2" t="str">
        <f>"INTERFACE DE CONEXAO- NEO KI FP1"</f>
        <v>INTERFACE DE CONEXAO- NEO KI FP1</v>
      </c>
      <c r="C12687" s="2" t="str">
        <f t="shared" si="498"/>
        <v>UN</v>
      </c>
      <c r="D12687" s="7">
        <v>900</v>
      </c>
      <c r="E12687" s="3">
        <v>11</v>
      </c>
      <c r="F12687" s="3">
        <v>11</v>
      </c>
      <c r="G12687" t="s">
        <v>514</v>
      </c>
    </row>
    <row r="12688" spans="1:7" x14ac:dyDescent="0.25">
      <c r="A12688" s="1" t="str">
        <f>"524571"</f>
        <v>524571</v>
      </c>
      <c r="B12688" s="2" t="str">
        <f>"INTERFACE DE DADOS SI-PP-R1A-1404517 PHOENIX CONTCT"</f>
        <v>INTERFACE DE DADOS SI-PP-R1A-1404517 PHOENIX CONTCT</v>
      </c>
      <c r="C12688" s="2" t="str">
        <f t="shared" si="498"/>
        <v>UN</v>
      </c>
      <c r="D12688" s="7">
        <v>811</v>
      </c>
      <c r="E12688" s="3">
        <v>10</v>
      </c>
      <c r="F12688" s="3">
        <v>10</v>
      </c>
      <c r="G12688" t="s">
        <v>514</v>
      </c>
    </row>
    <row r="12689" spans="1:7" x14ac:dyDescent="0.25">
      <c r="A12689" s="1" t="str">
        <f>"526829"</f>
        <v>526829</v>
      </c>
      <c r="B12689" s="2" t="str">
        <f>"INTERFACE DFE32B PROG 18213456"</f>
        <v>INTERFACE DFE32B PROG 18213456</v>
      </c>
      <c r="C12689" s="2" t="str">
        <f t="shared" si="498"/>
        <v>UN</v>
      </c>
      <c r="D12689" s="7">
        <v>811</v>
      </c>
      <c r="E12689" s="3">
        <v>8</v>
      </c>
      <c r="F12689" s="3">
        <v>8</v>
      </c>
      <c r="G12689" t="s">
        <v>513</v>
      </c>
    </row>
    <row r="12690" spans="1:7" x14ac:dyDescent="0.25">
      <c r="A12690" s="1" t="str">
        <f>"526757"</f>
        <v>526757</v>
      </c>
      <c r="B12690" s="2" t="str">
        <f>"INTERFACE ELETR CPV14-GE-MP-4"</f>
        <v>INTERFACE ELETR CPV14-GE-MP-4</v>
      </c>
      <c r="C12690" s="2" t="str">
        <f>"PÇ"</f>
        <v>PÇ</v>
      </c>
      <c r="D12690" s="7">
        <v>808</v>
      </c>
      <c r="E12690" s="3">
        <v>11</v>
      </c>
      <c r="F12690" s="3">
        <v>11</v>
      </c>
      <c r="G12690" t="s">
        <v>512</v>
      </c>
    </row>
    <row r="12691" spans="1:7" x14ac:dyDescent="0.25">
      <c r="A12691" s="1" t="str">
        <f>"526756"</f>
        <v>526756</v>
      </c>
      <c r="B12691" s="2" t="str">
        <f>"INTERFACE ELETR CPV14-GE-MP-8"</f>
        <v>INTERFACE ELETR CPV14-GE-MP-8</v>
      </c>
      <c r="C12691" s="2" t="str">
        <f>"PÇ"</f>
        <v>PÇ</v>
      </c>
      <c r="D12691" s="7">
        <v>808</v>
      </c>
      <c r="E12691" s="3">
        <v>11</v>
      </c>
      <c r="F12691" s="3">
        <v>11</v>
      </c>
      <c r="G12691" t="s">
        <v>513</v>
      </c>
    </row>
    <row r="12692" spans="1:7" x14ac:dyDescent="0.25">
      <c r="A12692" s="1" t="str">
        <f>"514654"</f>
        <v>514654</v>
      </c>
      <c r="B12692" s="2" t="str">
        <f>"INTERFACE P/ INVERSOR SIEMENS 1P 6SL3 255-0VA00-2AA0"</f>
        <v>INTERFACE P/ INVERSOR SIEMENS 1P 6SL3 255-0VA00-2AA0</v>
      </c>
      <c r="C12692" s="2" t="str">
        <f t="shared" ref="C12692:C12730" si="499">"UN"</f>
        <v>UN</v>
      </c>
      <c r="D12692" s="7">
        <v>601</v>
      </c>
      <c r="E12692" s="3">
        <v>8</v>
      </c>
      <c r="F12692" s="3">
        <v>8</v>
      </c>
      <c r="G12692" t="s">
        <v>514</v>
      </c>
    </row>
    <row r="12693" spans="1:7" x14ac:dyDescent="0.25">
      <c r="A12693" s="1" t="str">
        <f>"511996"</f>
        <v>511996</v>
      </c>
      <c r="B12693" s="2" t="str">
        <f>"INTERFACE PARA INVERSOR OP 6SL3255-0VA-2AA0"</f>
        <v>INTERFACE PARA INVERSOR OP 6SL3255-0VA-2AA0</v>
      </c>
      <c r="C12693" s="2" t="str">
        <f t="shared" si="499"/>
        <v>UN</v>
      </c>
      <c r="D12693" s="7">
        <v>600</v>
      </c>
      <c r="E12693" s="3">
        <v>8</v>
      </c>
      <c r="F12693" s="3">
        <v>8</v>
      </c>
      <c r="G12693" t="s">
        <v>514</v>
      </c>
    </row>
    <row r="12694" spans="1:7" x14ac:dyDescent="0.25">
      <c r="A12694" s="1" t="str">
        <f>"514653"</f>
        <v>514653</v>
      </c>
      <c r="B12694" s="2" t="str">
        <f>"INTERFACE PORTEIRO"</f>
        <v>INTERFACE PORTEIRO</v>
      </c>
      <c r="C12694" s="2" t="str">
        <f t="shared" si="499"/>
        <v>UN</v>
      </c>
      <c r="D12694" s="7">
        <v>601</v>
      </c>
      <c r="E12694" s="3">
        <v>8</v>
      </c>
      <c r="F12694" s="3">
        <v>8</v>
      </c>
      <c r="G12694" t="s">
        <v>514</v>
      </c>
    </row>
    <row r="12695" spans="1:7" x14ac:dyDescent="0.25">
      <c r="A12695" s="1" t="str">
        <f>"526588"</f>
        <v>526588</v>
      </c>
      <c r="B12695" s="2" t="str">
        <f>"INTERLIGAÇÃO DISJ./CONT.S0 3RA1921-1A"</f>
        <v>INTERLIGAÇÃO DISJ./CONT.S0 3RA1921-1A</v>
      </c>
      <c r="C12695" s="2" t="str">
        <f t="shared" si="499"/>
        <v>UN</v>
      </c>
      <c r="D12695" s="7">
        <v>811</v>
      </c>
      <c r="E12695" s="3">
        <v>8</v>
      </c>
      <c r="F12695" s="3">
        <v>8</v>
      </c>
      <c r="G12695" t="s">
        <v>513</v>
      </c>
    </row>
    <row r="12696" spans="1:7" x14ac:dyDescent="0.25">
      <c r="A12696" s="1" t="str">
        <f>"511038"</f>
        <v>511038</v>
      </c>
      <c r="B12696" s="2" t="str">
        <f>"INTERR. + TOMADA P/ CONDULETE 1/2"""</f>
        <v>INTERR. + TOMADA P/ CONDULETE 1/2"</v>
      </c>
      <c r="C12696" s="2" t="str">
        <f t="shared" si="499"/>
        <v>UN</v>
      </c>
      <c r="D12696" s="7">
        <v>601</v>
      </c>
      <c r="E12696" s="3">
        <v>8</v>
      </c>
      <c r="F12696" s="3">
        <v>8</v>
      </c>
      <c r="G12696" t="s">
        <v>513</v>
      </c>
    </row>
    <row r="12697" spans="1:7" x14ac:dyDescent="0.25">
      <c r="A12697" s="1" t="str">
        <f>"511020"</f>
        <v>511020</v>
      </c>
      <c r="B12697" s="2" t="str">
        <f>"INTERR. DUPLO + TOMADA C/ ESP. P/COND 1"""</f>
        <v>INTERR. DUPLO + TOMADA C/ ESP. P/COND 1"</v>
      </c>
      <c r="C12697" s="2" t="str">
        <f t="shared" si="499"/>
        <v>UN</v>
      </c>
      <c r="D12697" s="7">
        <v>601</v>
      </c>
      <c r="E12697" s="3">
        <v>8</v>
      </c>
      <c r="F12697" s="3">
        <v>8</v>
      </c>
      <c r="G12697" t="s">
        <v>513</v>
      </c>
    </row>
    <row r="12698" spans="1:7" x14ac:dyDescent="0.25">
      <c r="A12698" s="1" t="str">
        <f>"514113"</f>
        <v>514113</v>
      </c>
      <c r="B12698" s="2" t="str">
        <f>"INTERRUPTOR"</f>
        <v>INTERRUPTOR</v>
      </c>
      <c r="C12698" s="2" t="str">
        <f t="shared" si="499"/>
        <v>UN</v>
      </c>
      <c r="D12698" s="7">
        <v>704</v>
      </c>
      <c r="E12698" s="3">
        <v>9</v>
      </c>
      <c r="F12698" s="3">
        <v>9</v>
      </c>
      <c r="G12698" t="s">
        <v>512</v>
      </c>
    </row>
    <row r="12699" spans="1:7" x14ac:dyDescent="0.25">
      <c r="A12699" s="1" t="str">
        <f>"500355"</f>
        <v>500355</v>
      </c>
      <c r="B12699" s="2" t="str">
        <f>"INTERRUPTOR (3 ALAVANCAS - SIMPLES)"</f>
        <v>INTERRUPTOR (3 ALAVANCAS - SIMPLES)</v>
      </c>
      <c r="C12699" s="2" t="str">
        <f t="shared" si="499"/>
        <v>UN</v>
      </c>
      <c r="D12699" s="7">
        <v>601</v>
      </c>
      <c r="E12699" s="3">
        <v>8</v>
      </c>
      <c r="F12699" s="3">
        <v>8</v>
      </c>
      <c r="G12699" t="s">
        <v>513</v>
      </c>
    </row>
    <row r="12700" spans="1:7" x14ac:dyDescent="0.25">
      <c r="A12700" s="1" t="str">
        <f>"505348"</f>
        <v>505348</v>
      </c>
      <c r="B12700" s="2" t="str">
        <f>"INTERRUPTOR 01 TECLA  SIMPLES + TOMADA 2P+T"</f>
        <v>INTERRUPTOR 01 TECLA  SIMPLES + TOMADA 2P+T</v>
      </c>
      <c r="C12700" s="2" t="str">
        <f t="shared" si="499"/>
        <v>UN</v>
      </c>
      <c r="D12700" s="7">
        <v>601</v>
      </c>
      <c r="E12700" s="3">
        <v>8</v>
      </c>
      <c r="F12700" s="3">
        <v>8</v>
      </c>
      <c r="G12700" t="s">
        <v>514</v>
      </c>
    </row>
    <row r="12701" spans="1:7" x14ac:dyDescent="0.25">
      <c r="A12701" s="1" t="str">
        <f>"500570"</f>
        <v>500570</v>
      </c>
      <c r="B12701" s="2" t="str">
        <f>"INTERRUPTOR 01 TECLA SIMPLES PIAL PLUS"</f>
        <v>INTERRUPTOR 01 TECLA SIMPLES PIAL PLUS</v>
      </c>
      <c r="C12701" s="2" t="str">
        <f t="shared" si="499"/>
        <v>UN</v>
      </c>
      <c r="D12701" s="7">
        <v>601</v>
      </c>
      <c r="E12701" s="3">
        <v>8</v>
      </c>
      <c r="F12701" s="3">
        <v>8</v>
      </c>
      <c r="G12701" t="s">
        <v>515</v>
      </c>
    </row>
    <row r="12702" spans="1:7" x14ac:dyDescent="0.25">
      <c r="A12702" s="1" t="str">
        <f>"503165"</f>
        <v>503165</v>
      </c>
      <c r="B12702" s="2" t="str">
        <f>"INTERRUPTOR 02 TECLAS"</f>
        <v>INTERRUPTOR 02 TECLAS</v>
      </c>
      <c r="C12702" s="2" t="str">
        <f t="shared" si="499"/>
        <v>UN</v>
      </c>
      <c r="D12702" s="7">
        <v>601</v>
      </c>
      <c r="E12702" s="3">
        <v>8</v>
      </c>
      <c r="F12702" s="3">
        <v>8</v>
      </c>
      <c r="G12702" t="s">
        <v>512</v>
      </c>
    </row>
    <row r="12703" spans="1:7" x14ac:dyDescent="0.25">
      <c r="A12703" s="1" t="str">
        <f>"526072"</f>
        <v>526072</v>
      </c>
      <c r="B12703" s="2" t="str">
        <f>"INTERRUPTOR 1 TECLA + TOMADA 2P+T P/ CONDULETE 3/4"</f>
        <v>INTERRUPTOR 1 TECLA + TOMADA 2P+T P/ CONDULETE 3/4</v>
      </c>
      <c r="C12703" s="2" t="str">
        <f t="shared" si="499"/>
        <v>UN</v>
      </c>
      <c r="D12703" s="7">
        <v>811</v>
      </c>
      <c r="E12703" s="3">
        <v>10</v>
      </c>
      <c r="F12703" s="3">
        <v>10</v>
      </c>
      <c r="G12703" t="s">
        <v>516</v>
      </c>
    </row>
    <row r="12704" spans="1:7" x14ac:dyDescent="0.25">
      <c r="A12704" s="1" t="str">
        <f>"512962"</f>
        <v>512962</v>
      </c>
      <c r="B12704" s="2" t="str">
        <f>"INTERRUPTOR 1 TECLA PARALELO"</f>
        <v>INTERRUPTOR 1 TECLA PARALELO</v>
      </c>
      <c r="C12704" s="2" t="str">
        <f t="shared" si="499"/>
        <v>UN</v>
      </c>
      <c r="D12704" s="7">
        <v>811</v>
      </c>
      <c r="E12704" s="3">
        <v>8</v>
      </c>
      <c r="F12704" s="3">
        <v>8</v>
      </c>
      <c r="G12704" t="s">
        <v>515</v>
      </c>
    </row>
    <row r="12705" spans="1:7" x14ac:dyDescent="0.25">
      <c r="A12705" s="1" t="str">
        <f>"505886"</f>
        <v>505886</v>
      </c>
      <c r="B12705" s="2" t="str">
        <f>"INTERRUPTOR 10A 250V 1 SIMP PLACA 1100"</f>
        <v>INTERRUPTOR 10A 250V 1 SIMP PLACA 1100</v>
      </c>
      <c r="C12705" s="2" t="str">
        <f t="shared" si="499"/>
        <v>UN</v>
      </c>
      <c r="D12705" s="7">
        <v>601</v>
      </c>
      <c r="E12705" s="3">
        <v>8</v>
      </c>
      <c r="F12705" s="3">
        <v>8</v>
      </c>
      <c r="G12705" t="s">
        <v>514</v>
      </c>
    </row>
    <row r="12706" spans="1:7" x14ac:dyDescent="0.25">
      <c r="A12706" s="1" t="str">
        <f>"509382"</f>
        <v>509382</v>
      </c>
      <c r="B12706" s="2" t="str">
        <f>"INTERRUPTOR 2 TECLAS SIMPLES C/ TOMADA 2P+T"</f>
        <v>INTERRUPTOR 2 TECLAS SIMPLES C/ TOMADA 2P+T</v>
      </c>
      <c r="C12706" s="2" t="str">
        <f t="shared" si="499"/>
        <v>UN</v>
      </c>
      <c r="D12706" s="7">
        <v>601</v>
      </c>
      <c r="E12706" s="3">
        <v>8</v>
      </c>
      <c r="F12706" s="3">
        <v>8</v>
      </c>
      <c r="G12706" t="s">
        <v>512</v>
      </c>
    </row>
    <row r="12707" spans="1:7" x14ac:dyDescent="0.25">
      <c r="A12707" s="1" t="str">
        <f>"509381"</f>
        <v>509381</v>
      </c>
      <c r="B12707" s="2" t="str">
        <f>"INTERRUPTOR 3 TECLAS SIMPLES"</f>
        <v>INTERRUPTOR 3 TECLAS SIMPLES</v>
      </c>
      <c r="C12707" s="2" t="str">
        <f t="shared" si="499"/>
        <v>UN</v>
      </c>
      <c r="D12707" s="7">
        <v>601</v>
      </c>
      <c r="E12707" s="3">
        <v>8</v>
      </c>
      <c r="F12707" s="3">
        <v>8</v>
      </c>
      <c r="G12707" t="s">
        <v>513</v>
      </c>
    </row>
    <row r="12708" spans="1:7" x14ac:dyDescent="0.25">
      <c r="A12708" s="1" t="str">
        <f>"525324"</f>
        <v>525324</v>
      </c>
      <c r="B12708" s="2" t="str">
        <f>"INTERRUPTOR 4X2 SIMPLES"</f>
        <v>INTERRUPTOR 4X2 SIMPLES</v>
      </c>
      <c r="C12708" s="2" t="str">
        <f t="shared" si="499"/>
        <v>UN</v>
      </c>
      <c r="D12708" s="7">
        <v>601</v>
      </c>
      <c r="E12708" s="3">
        <v>8</v>
      </c>
      <c r="F12708" s="3">
        <v>8</v>
      </c>
      <c r="G12708" t="s">
        <v>514</v>
      </c>
    </row>
    <row r="12709" spans="1:7" x14ac:dyDescent="0.25">
      <c r="A12709" s="1" t="str">
        <f>"527020"</f>
        <v>527020</v>
      </c>
      <c r="B12709" s="2" t="str">
        <f>"INTERRUPTOR DE FLUTUADOR"</f>
        <v>INTERRUPTOR DE FLUTUADOR</v>
      </c>
      <c r="C12709" s="2" t="str">
        <f t="shared" si="499"/>
        <v>UN</v>
      </c>
      <c r="D12709" s="7">
        <v>402</v>
      </c>
      <c r="E12709" s="3">
        <v>4</v>
      </c>
      <c r="F12709" s="3">
        <v>4</v>
      </c>
      <c r="G12709" t="s">
        <v>514</v>
      </c>
    </row>
    <row r="12710" spans="1:7" x14ac:dyDescent="0.25">
      <c r="A12710" s="1" t="str">
        <f>"501953"</f>
        <v>501953</v>
      </c>
      <c r="B12710" s="2" t="str">
        <f>"INTERRUPTOR DE TECLA PARALELO"</f>
        <v>INTERRUPTOR DE TECLA PARALELO</v>
      </c>
      <c r="C12710" s="2" t="str">
        <f t="shared" si="499"/>
        <v>UN</v>
      </c>
      <c r="D12710" s="7">
        <v>704</v>
      </c>
      <c r="E12710" s="3">
        <v>9</v>
      </c>
      <c r="F12710" s="3">
        <v>9</v>
      </c>
      <c r="G12710" t="s">
        <v>512</v>
      </c>
    </row>
    <row r="12711" spans="1:7" x14ac:dyDescent="0.25">
      <c r="A12711" s="1" t="str">
        <f>"500661"</f>
        <v>500661</v>
      </c>
      <c r="B12711" s="2" t="str">
        <f>"INTERRUPTOR DE TEMPERATURA"</f>
        <v>INTERRUPTOR DE TEMPERATURA</v>
      </c>
      <c r="C12711" s="2" t="str">
        <f t="shared" si="499"/>
        <v>UN</v>
      </c>
      <c r="D12711" s="7">
        <v>704</v>
      </c>
      <c r="E12711" s="3">
        <v>9</v>
      </c>
      <c r="F12711" s="3">
        <v>9</v>
      </c>
      <c r="G12711" t="s">
        <v>513</v>
      </c>
    </row>
    <row r="12712" spans="1:7" x14ac:dyDescent="0.25">
      <c r="A12712" s="1" t="str">
        <f>"526203"</f>
        <v>526203</v>
      </c>
      <c r="B12712" s="2" t="str">
        <f>"INTERRUPTOR DIFERENCIAL RESIDUAL EASY9 CLASSE AC 4P 415Vca 3"</f>
        <v>INTERRUPTOR DIFERENCIAL RESIDUAL EASY9 CLASSE AC 4P 415Vca 3</v>
      </c>
      <c r="C12712" s="2" t="str">
        <f t="shared" si="499"/>
        <v>UN</v>
      </c>
      <c r="D12712" s="7">
        <v>811</v>
      </c>
      <c r="E12712" s="3">
        <v>10</v>
      </c>
      <c r="F12712" s="3">
        <v>10</v>
      </c>
      <c r="G12712" t="s">
        <v>514</v>
      </c>
    </row>
    <row r="12713" spans="1:7" x14ac:dyDescent="0.25">
      <c r="A12713" s="1" t="str">
        <f>"527955"</f>
        <v>527955</v>
      </c>
      <c r="B12713" s="2" t="str">
        <f>"INTERRUPTOR DR BIP 25A 30MA CLASSE AC EZ9R33225"</f>
        <v>INTERRUPTOR DR BIP 25A 30MA CLASSE AC EZ9R33225</v>
      </c>
      <c r="C12713" s="2" t="str">
        <f t="shared" si="499"/>
        <v>UN</v>
      </c>
      <c r="D12713" s="7">
        <v>600</v>
      </c>
      <c r="E12713" s="3">
        <v>8</v>
      </c>
      <c r="F12713" s="3">
        <v>8</v>
      </c>
      <c r="G12713" t="s">
        <v>514</v>
      </c>
    </row>
    <row r="12714" spans="1:7" x14ac:dyDescent="0.25">
      <c r="A12714" s="1" t="str">
        <f>"503166"</f>
        <v>503166</v>
      </c>
      <c r="B12714" s="2" t="str">
        <f>"INTERRUPTOR DUPLO P/ CONDULETE 3/4"""</f>
        <v>INTERRUPTOR DUPLO P/ CONDULETE 3/4"</v>
      </c>
      <c r="C12714" s="2" t="str">
        <f t="shared" si="499"/>
        <v>UN</v>
      </c>
      <c r="D12714" s="7">
        <v>601</v>
      </c>
      <c r="E12714" s="3">
        <v>8</v>
      </c>
      <c r="F12714" s="3">
        <v>8</v>
      </c>
      <c r="G12714" t="s">
        <v>514</v>
      </c>
    </row>
    <row r="12715" spans="1:7" x14ac:dyDescent="0.25">
      <c r="A12715" s="1" t="str">
        <f>"513113"</f>
        <v>513113</v>
      </c>
      <c r="B12715" s="2" t="str">
        <f>"INTERRUPTOR FREIO"</f>
        <v>INTERRUPTOR FREIO</v>
      </c>
      <c r="C12715" s="2" t="str">
        <f t="shared" si="499"/>
        <v>UN</v>
      </c>
      <c r="D12715" s="7">
        <v>918</v>
      </c>
      <c r="E12715" s="3">
        <v>11</v>
      </c>
      <c r="F12715" s="3">
        <v>11</v>
      </c>
      <c r="G12715" t="s">
        <v>513</v>
      </c>
    </row>
    <row r="12716" spans="1:7" x14ac:dyDescent="0.25">
      <c r="A12716" s="1" t="str">
        <f>"500316"</f>
        <v>500316</v>
      </c>
      <c r="B12716" s="2" t="str">
        <f>"INTERRUPTOR P/ CAMPAINHA"</f>
        <v>INTERRUPTOR P/ CAMPAINHA</v>
      </c>
      <c r="C12716" s="2" t="str">
        <f t="shared" si="499"/>
        <v>UN</v>
      </c>
      <c r="D12716" s="7">
        <v>601</v>
      </c>
      <c r="E12716" s="3">
        <v>8</v>
      </c>
      <c r="F12716" s="3">
        <v>8</v>
      </c>
      <c r="G12716" t="s">
        <v>512</v>
      </c>
    </row>
    <row r="12717" spans="1:7" x14ac:dyDescent="0.25">
      <c r="A12717" s="1" t="str">
        <f>"505955"</f>
        <v>505955</v>
      </c>
      <c r="B12717" s="2" t="str">
        <f>"INTERRUPTOR PARAL. 10A VT 250V IMPERIA"</f>
        <v>INTERRUPTOR PARAL. 10A VT 250V IMPERIA</v>
      </c>
      <c r="C12717" s="2" t="str">
        <f t="shared" si="499"/>
        <v>UN</v>
      </c>
      <c r="D12717" s="7">
        <v>601</v>
      </c>
      <c r="E12717" s="3">
        <v>8</v>
      </c>
      <c r="F12717" s="3">
        <v>8</v>
      </c>
      <c r="G12717" t="s">
        <v>513</v>
      </c>
    </row>
    <row r="12718" spans="1:7" x14ac:dyDescent="0.25">
      <c r="A12718" s="1" t="str">
        <f>"522871"</f>
        <v>522871</v>
      </c>
      <c r="B12718" s="2" t="str">
        <f>"INTERRUPTOR PARALELO 10A 250V SISTEMA AQUATIC"</f>
        <v>INTERRUPTOR PARALELO 10A 250V SISTEMA AQUATIC</v>
      </c>
      <c r="C12718" s="2" t="str">
        <f t="shared" si="499"/>
        <v>UN</v>
      </c>
      <c r="D12718" s="7">
        <v>601</v>
      </c>
      <c r="E12718" s="3">
        <v>8</v>
      </c>
      <c r="F12718" s="3">
        <v>8</v>
      </c>
      <c r="G12718" t="s">
        <v>514</v>
      </c>
    </row>
    <row r="12719" spans="1:7" x14ac:dyDescent="0.25">
      <c r="A12719" s="1" t="str">
        <f>"504939"</f>
        <v>504939</v>
      </c>
      <c r="B12719" s="2" t="str">
        <f>"INTERRUPTOR PRESSAO DO OLEO"</f>
        <v>INTERRUPTOR PRESSAO DO OLEO</v>
      </c>
      <c r="C12719" s="2" t="str">
        <f t="shared" si="499"/>
        <v>UN</v>
      </c>
      <c r="D12719" s="7">
        <v>918</v>
      </c>
      <c r="E12719" s="3">
        <v>11</v>
      </c>
      <c r="F12719" s="3">
        <v>11</v>
      </c>
      <c r="G12719" t="s">
        <v>514</v>
      </c>
    </row>
    <row r="12720" spans="1:7" x14ac:dyDescent="0.25">
      <c r="A12720" s="1" t="str">
        <f>"522872"</f>
        <v>522872</v>
      </c>
      <c r="B12720" s="2" t="str">
        <f>"INTERRUPTOR SIMPLES 10A 250V SISTEMA AQUATIC"</f>
        <v>INTERRUPTOR SIMPLES 10A 250V SISTEMA AQUATIC</v>
      </c>
      <c r="C12720" s="2" t="str">
        <f t="shared" si="499"/>
        <v>UN</v>
      </c>
      <c r="D12720" s="7">
        <v>601</v>
      </c>
      <c r="E12720" s="3">
        <v>8</v>
      </c>
      <c r="F12720" s="3">
        <v>8</v>
      </c>
      <c r="G12720" t="s">
        <v>514</v>
      </c>
    </row>
    <row r="12721" spans="1:7" x14ac:dyDescent="0.25">
      <c r="A12721" s="1" t="str">
        <f>"522801"</f>
        <v>522801</v>
      </c>
      <c r="B12721" s="2" t="str">
        <f>"INTERRUPTOR SIMPLES 2 TECLA PRIME SCHINEIDER"</f>
        <v>INTERRUPTOR SIMPLES 2 TECLA PRIME SCHINEIDER</v>
      </c>
      <c r="C12721" s="2" t="str">
        <f t="shared" si="499"/>
        <v>UN</v>
      </c>
      <c r="D12721" s="7">
        <v>811</v>
      </c>
      <c r="E12721" s="3">
        <v>11</v>
      </c>
      <c r="F12721" s="3">
        <v>11</v>
      </c>
      <c r="G12721" t="s">
        <v>513</v>
      </c>
    </row>
    <row r="12722" spans="1:7" x14ac:dyDescent="0.25">
      <c r="A12722" s="1" t="str">
        <f>"511834"</f>
        <v>511834</v>
      </c>
      <c r="B12722" s="2" t="str">
        <f>"INTERRUPTOR SIMPLES P/ CONDULETE 1"""</f>
        <v>INTERRUPTOR SIMPLES P/ CONDULETE 1"</v>
      </c>
      <c r="C12722" s="2" t="str">
        <f t="shared" si="499"/>
        <v>UN</v>
      </c>
      <c r="D12722" s="7">
        <v>601</v>
      </c>
      <c r="E12722" s="3">
        <v>8</v>
      </c>
      <c r="F12722" s="3">
        <v>8</v>
      </c>
      <c r="G12722" t="s">
        <v>513</v>
      </c>
    </row>
    <row r="12723" spans="1:7" x14ac:dyDescent="0.25">
      <c r="A12723" s="1" t="str">
        <f>"511104"</f>
        <v>511104</v>
      </c>
      <c r="B12723" s="2" t="str">
        <f>"INTERRUPTOR SIMPLES P/ CONDULETE 3/4"""</f>
        <v>INTERRUPTOR SIMPLES P/ CONDULETE 3/4"</v>
      </c>
      <c r="C12723" s="2" t="str">
        <f t="shared" si="499"/>
        <v>UN</v>
      </c>
      <c r="D12723" s="7">
        <v>601</v>
      </c>
      <c r="E12723" s="3">
        <v>8</v>
      </c>
      <c r="F12723" s="3">
        <v>8</v>
      </c>
      <c r="G12723" t="s">
        <v>513</v>
      </c>
    </row>
    <row r="12724" spans="1:7" x14ac:dyDescent="0.25">
      <c r="A12724" s="1" t="str">
        <f>"527404"</f>
        <v>527404</v>
      </c>
      <c r="B12724" s="2" t="str">
        <f>"INTERRUPTORES 10 AMP  AQUATIC PIAL LEGRAND CÓD. 64201"</f>
        <v>INTERRUPTORES 10 AMP  AQUATIC PIAL LEGRAND CÓD. 64201</v>
      </c>
      <c r="C12724" s="2" t="str">
        <f t="shared" si="499"/>
        <v>UN</v>
      </c>
      <c r="D12724" s="7">
        <v>811</v>
      </c>
      <c r="E12724" s="3">
        <v>8</v>
      </c>
      <c r="F12724" s="3">
        <v>8</v>
      </c>
      <c r="G12724" t="s">
        <v>512</v>
      </c>
    </row>
    <row r="12725" spans="1:7" x14ac:dyDescent="0.25">
      <c r="A12725" s="1" t="str">
        <f>"513601"</f>
        <v>513601</v>
      </c>
      <c r="B12725" s="2" t="str">
        <f>"INTERTRAVAMENTO MECANICO P/ CONTATOR 3RA19 13-2A"</f>
        <v>INTERTRAVAMENTO MECANICO P/ CONTATOR 3RA19 13-2A</v>
      </c>
      <c r="C12725" s="2" t="str">
        <f t="shared" si="499"/>
        <v>UN</v>
      </c>
      <c r="D12725" s="7">
        <v>99999</v>
      </c>
      <c r="E12725" s="3">
        <v>99</v>
      </c>
      <c r="F12725" s="3">
        <v>99</v>
      </c>
      <c r="G12725" t="s">
        <v>513</v>
      </c>
    </row>
    <row r="12726" spans="1:7" x14ac:dyDescent="0.25">
      <c r="A12726" s="1" t="str">
        <f>"515906"</f>
        <v>515906</v>
      </c>
      <c r="B12726" s="2" t="str">
        <f>"INTERTRAVAMENTO MECANICO P/ CONTATOR 3RA1924-2B"</f>
        <v>INTERTRAVAMENTO MECANICO P/ CONTATOR 3RA1924-2B</v>
      </c>
      <c r="C12726" s="2" t="str">
        <f t="shared" si="499"/>
        <v>UN</v>
      </c>
      <c r="D12726" s="7">
        <v>99999</v>
      </c>
      <c r="E12726" s="3">
        <v>99</v>
      </c>
      <c r="F12726" s="3">
        <v>99</v>
      </c>
      <c r="G12726" t="s">
        <v>514</v>
      </c>
    </row>
    <row r="12727" spans="1:7" x14ac:dyDescent="0.25">
      <c r="A12727" s="1" t="str">
        <f>"520541"</f>
        <v>520541</v>
      </c>
      <c r="B12727" s="2" t="str">
        <f>"INTERTRAVAMENTO MECANICO P/ CONTATOR SIEMENS 3RT10 17- 1AN11"</f>
        <v>INTERTRAVAMENTO MECANICO P/ CONTATOR SIEMENS 3RT10 17- 1AN11</v>
      </c>
      <c r="C12727" s="2" t="str">
        <f t="shared" si="499"/>
        <v>UN</v>
      </c>
      <c r="D12727" s="7">
        <v>99999</v>
      </c>
      <c r="E12727" s="3">
        <v>99</v>
      </c>
      <c r="F12727" s="3">
        <v>99</v>
      </c>
      <c r="G12727" t="s">
        <v>515</v>
      </c>
    </row>
    <row r="12728" spans="1:7" x14ac:dyDescent="0.25">
      <c r="A12728" s="1" t="str">
        <f>"516231"</f>
        <v>516231</v>
      </c>
      <c r="B12728" s="2" t="str">
        <f>"INV WEG CFW 08 0026T3848"</f>
        <v>INV WEG CFW 08 0026T3848</v>
      </c>
      <c r="C12728" s="2" t="str">
        <f t="shared" si="499"/>
        <v>UN</v>
      </c>
      <c r="D12728" s="7">
        <v>900</v>
      </c>
      <c r="E12728" s="3">
        <v>8</v>
      </c>
      <c r="F12728" s="3">
        <v>8</v>
      </c>
      <c r="G12728" t="s">
        <v>512</v>
      </c>
    </row>
    <row r="12729" spans="1:7" x14ac:dyDescent="0.25">
      <c r="A12729" s="1" t="str">
        <f>"510144"</f>
        <v>510144</v>
      </c>
      <c r="B12729" s="2" t="str">
        <f>"INV WEG CFW 10 0073 S 2024 4A 220V"</f>
        <v>INV WEG CFW 10 0073 S 2024 4A 220V</v>
      </c>
      <c r="C12729" s="2" t="str">
        <f t="shared" si="499"/>
        <v>UN</v>
      </c>
      <c r="D12729" s="7">
        <v>900</v>
      </c>
      <c r="E12729" s="3">
        <v>11</v>
      </c>
      <c r="F12729" s="3">
        <v>11</v>
      </c>
      <c r="G12729" t="s">
        <v>516</v>
      </c>
    </row>
    <row r="12730" spans="1:7" x14ac:dyDescent="0.25">
      <c r="A12730" s="1" t="str">
        <f>"510145"</f>
        <v>510145</v>
      </c>
      <c r="B12730" s="2" t="str">
        <f>"INV WEG CFW 8 PLUS 0130 T3898 POA1Z 13A"</f>
        <v>INV WEG CFW 8 PLUS 0130 T3898 POA1Z 13A</v>
      </c>
      <c r="C12730" s="2" t="str">
        <f t="shared" si="499"/>
        <v>UN</v>
      </c>
      <c r="D12730" s="7">
        <v>900</v>
      </c>
      <c r="E12730" s="3">
        <v>11</v>
      </c>
      <c r="F12730" s="3">
        <v>11</v>
      </c>
      <c r="G12730" t="s">
        <v>515</v>
      </c>
    </row>
    <row r="12731" spans="1:7" x14ac:dyDescent="0.25">
      <c r="A12731" s="1" t="str">
        <f>"511654"</f>
        <v>511654</v>
      </c>
      <c r="B12731" s="2" t="str">
        <f>"INV. ALLEN-BRADLEY 160S-AA08NPS1 1,5KW"</f>
        <v>INV. ALLEN-BRADLEY 160S-AA08NPS1 1,5KW</v>
      </c>
      <c r="C12731" s="2" t="str">
        <f>"PC"</f>
        <v>PC</v>
      </c>
      <c r="D12731" s="7">
        <v>600</v>
      </c>
      <c r="E12731" s="3">
        <v>8</v>
      </c>
      <c r="F12731" s="3">
        <v>8</v>
      </c>
      <c r="G12731" t="s">
        <v>514</v>
      </c>
    </row>
    <row r="12732" spans="1:7" x14ac:dyDescent="0.25">
      <c r="A12732" s="1" t="str">
        <f>"522463"</f>
        <v>522463</v>
      </c>
      <c r="B12732" s="2" t="str">
        <f>"INV. ALLEN-BRADLEY 525 CAT25BD010N104 MT 3,7KW 5CV 380V"</f>
        <v>INV. ALLEN-BRADLEY 525 CAT25BD010N104 MT 3,7KW 5CV 380V</v>
      </c>
      <c r="C12732" s="2" t="str">
        <f>"PC"</f>
        <v>PC</v>
      </c>
      <c r="D12732" s="7">
        <v>600</v>
      </c>
      <c r="E12732" s="3">
        <v>8</v>
      </c>
      <c r="F12732" s="3">
        <v>8</v>
      </c>
      <c r="G12732" t="s">
        <v>512</v>
      </c>
    </row>
    <row r="12733" spans="1:7" x14ac:dyDescent="0.25">
      <c r="A12733" s="1" t="str">
        <f>"522464"</f>
        <v>522464</v>
      </c>
      <c r="B12733" s="2" t="str">
        <f>"INV. ALLEN-BRADLEY 525 CAT25BD0370114 MT 11KW 15CV 380V"</f>
        <v>INV. ALLEN-BRADLEY 525 CAT25BD0370114 MT 11KW 15CV 380V</v>
      </c>
      <c r="C12733" s="2" t="str">
        <f>"PC"</f>
        <v>PC</v>
      </c>
      <c r="D12733" s="7">
        <v>600</v>
      </c>
      <c r="E12733" s="3">
        <v>8</v>
      </c>
      <c r="F12733" s="3">
        <v>8</v>
      </c>
      <c r="G12733" t="s">
        <v>513</v>
      </c>
    </row>
    <row r="12734" spans="1:7" x14ac:dyDescent="0.25">
      <c r="A12734" s="1" t="str">
        <f>"522461"</f>
        <v>522461</v>
      </c>
      <c r="B12734" s="2" t="str">
        <f>"INV. ALLEN-BRADLEY 753 CAT20F11N8POAAON MT 3,7KW 5CV 380V"</f>
        <v>INV. ALLEN-BRADLEY 753 CAT20F11N8POAAON MT 3,7KW 5CV 380V</v>
      </c>
      <c r="C12734" s="2" t="str">
        <f>"PC"</f>
        <v>PC</v>
      </c>
      <c r="D12734" s="7">
        <v>600</v>
      </c>
      <c r="E12734" s="3">
        <v>8</v>
      </c>
      <c r="F12734" s="3">
        <v>8</v>
      </c>
      <c r="G12734" t="s">
        <v>514</v>
      </c>
    </row>
    <row r="12735" spans="1:7" x14ac:dyDescent="0.25">
      <c r="A12735" s="1" t="str">
        <f>"522462"</f>
        <v>522462</v>
      </c>
      <c r="B12735" s="2" t="str">
        <f>"INV. ALLEN-BRADLEY 755 CAT20G11ND014AAON MT 7,5KW 10CV 380V"</f>
        <v>INV. ALLEN-BRADLEY 755 CAT20G11ND014AAON MT 7,5KW 10CV 380V</v>
      </c>
      <c r="C12735" s="2" t="str">
        <f>"PC"</f>
        <v>PC</v>
      </c>
      <c r="D12735" s="7">
        <v>600</v>
      </c>
      <c r="E12735" s="3">
        <v>8</v>
      </c>
      <c r="F12735" s="3">
        <v>8</v>
      </c>
      <c r="G12735" t="s">
        <v>514</v>
      </c>
    </row>
    <row r="12736" spans="1:7" x14ac:dyDescent="0.25">
      <c r="A12736" s="1" t="str">
        <f>"511376"</f>
        <v>511376</v>
      </c>
      <c r="B12736" s="2" t="str">
        <f>"INV. FREQ. DANFFOS VLT FC 380/440V"</f>
        <v>INV. FREQ. DANFFOS VLT FC 380/440V</v>
      </c>
      <c r="C12736" s="2" t="str">
        <f t="shared" ref="C12736:C12767" si="500">"UN"</f>
        <v>UN</v>
      </c>
      <c r="D12736" s="7">
        <v>1500</v>
      </c>
      <c r="E12736" s="3">
        <v>13</v>
      </c>
      <c r="F12736" s="3">
        <v>13</v>
      </c>
      <c r="G12736" t="s">
        <v>512</v>
      </c>
    </row>
    <row r="12737" spans="1:7" x14ac:dyDescent="0.25">
      <c r="A12737" s="1" t="str">
        <f>"512567"</f>
        <v>512567</v>
      </c>
      <c r="B12737" s="2" t="str">
        <f>"INV. TIG BRAND TIG180 PII BALMER C/TOCHA"</f>
        <v>INV. TIG BRAND TIG180 PII BALMER C/TOCHA</v>
      </c>
      <c r="C12737" s="2" t="str">
        <f t="shared" si="500"/>
        <v>UN</v>
      </c>
      <c r="D12737" s="7">
        <v>1500</v>
      </c>
      <c r="E12737" s="3">
        <v>13</v>
      </c>
      <c r="F12737" s="3">
        <v>13</v>
      </c>
      <c r="G12737" t="s">
        <v>513</v>
      </c>
    </row>
    <row r="12738" spans="1:7" x14ac:dyDescent="0.25">
      <c r="A12738" s="1" t="str">
        <f>"505608"</f>
        <v>505608</v>
      </c>
      <c r="B12738" s="2" t="str">
        <f>"INVER.T-VERTER E2-201-H1 220V 0,75KW 1HP"</f>
        <v>INVER.T-VERTER E2-201-H1 220V 0,75KW 1HP</v>
      </c>
      <c r="C12738" s="2" t="str">
        <f t="shared" si="500"/>
        <v>UN</v>
      </c>
      <c r="D12738" s="7">
        <v>600</v>
      </c>
      <c r="E12738" s="3">
        <v>8</v>
      </c>
      <c r="F12738" s="3">
        <v>8</v>
      </c>
      <c r="G12738" t="s">
        <v>514</v>
      </c>
    </row>
    <row r="12739" spans="1:7" x14ac:dyDescent="0.25">
      <c r="A12739" s="1" t="str">
        <f>"516603"</f>
        <v>516603</v>
      </c>
      <c r="B12739" s="2" t="str">
        <f>"INVERSOR"</f>
        <v>INVERSOR</v>
      </c>
      <c r="C12739" s="2" t="str">
        <f t="shared" si="500"/>
        <v>UN</v>
      </c>
      <c r="D12739" s="7">
        <v>704</v>
      </c>
      <c r="E12739" s="3">
        <v>9</v>
      </c>
      <c r="F12739" s="3">
        <v>9</v>
      </c>
      <c r="G12739" t="s">
        <v>514</v>
      </c>
    </row>
    <row r="12740" spans="1:7" x14ac:dyDescent="0.25">
      <c r="A12740" s="1" t="str">
        <f>"CO85044050"</f>
        <v>CO85044050</v>
      </c>
      <c r="B12740" s="2" t="str">
        <f>"INVERSOR"</f>
        <v>INVERSOR</v>
      </c>
      <c r="C12740" s="2" t="str">
        <f t="shared" si="500"/>
        <v>UN</v>
      </c>
      <c r="D12740" s="7">
        <v>99999</v>
      </c>
      <c r="E12740" s="3">
        <v>99</v>
      </c>
      <c r="F12740" s="3">
        <v>99</v>
      </c>
      <c r="G12740" t="s">
        <v>514</v>
      </c>
    </row>
    <row r="12741" spans="1:7" x14ac:dyDescent="0.25">
      <c r="A12741" s="1" t="str">
        <f>"509146"</f>
        <v>509146</v>
      </c>
      <c r="B12741" s="2" t="str">
        <f>"INVERSOR ADLEEPOWER - AS2-07 IPM 1.9KVA"</f>
        <v>INVERSOR ADLEEPOWER - AS2-07 IPM 1.9KVA</v>
      </c>
      <c r="C12741" s="2" t="str">
        <f t="shared" si="500"/>
        <v>UN</v>
      </c>
      <c r="D12741" s="7">
        <v>600</v>
      </c>
      <c r="E12741" s="3">
        <v>8</v>
      </c>
      <c r="F12741" s="3">
        <v>8</v>
      </c>
      <c r="G12741" t="s">
        <v>513</v>
      </c>
    </row>
    <row r="12742" spans="1:7" x14ac:dyDescent="0.25">
      <c r="A12742" s="1" t="str">
        <f>"526986"</f>
        <v>526986</v>
      </c>
      <c r="B12742" s="2" t="str">
        <f>"INVERSOR BRCFW110045T4SZ WEG"</f>
        <v>INVERSOR BRCFW110045T4SZ WEG</v>
      </c>
      <c r="C12742" s="2" t="str">
        <f t="shared" si="500"/>
        <v>UN</v>
      </c>
      <c r="D12742" s="7">
        <v>900</v>
      </c>
      <c r="E12742" s="3">
        <v>11</v>
      </c>
      <c r="F12742" s="3">
        <v>11</v>
      </c>
      <c r="G12742" t="s">
        <v>512</v>
      </c>
    </row>
    <row r="12743" spans="1:7" x14ac:dyDescent="0.25">
      <c r="A12743" s="1" t="str">
        <f>"519653"</f>
        <v>519653</v>
      </c>
      <c r="B12743" s="2" t="str">
        <f>"INVERSOR CFW090211T3848POA2SXZ CÓD.11055894 WEG"</f>
        <v>INVERSOR CFW090211T3848POA2SXZ CÓD.11055894 WEG</v>
      </c>
      <c r="C12743" s="2" t="str">
        <f t="shared" si="500"/>
        <v>UN</v>
      </c>
      <c r="D12743" s="7">
        <v>900</v>
      </c>
      <c r="E12743" s="3">
        <v>11</v>
      </c>
      <c r="F12743" s="3">
        <v>11</v>
      </c>
      <c r="G12743" t="s">
        <v>513</v>
      </c>
    </row>
    <row r="12744" spans="1:7" x14ac:dyDescent="0.25">
      <c r="A12744" s="1" t="str">
        <f>"509928"</f>
        <v>509928</v>
      </c>
      <c r="B12744" s="2" t="str">
        <f>"INVERSOR DANFOS FC051P1K5T4 2,2KW 3HP 380V"</f>
        <v>INVERSOR DANFOS FC051P1K5T4 2,2KW 3HP 380V</v>
      </c>
      <c r="C12744" s="2" t="str">
        <f t="shared" si="500"/>
        <v>UN</v>
      </c>
      <c r="D12744" s="7">
        <v>900</v>
      </c>
      <c r="E12744" s="3">
        <v>11</v>
      </c>
      <c r="F12744" s="3">
        <v>11</v>
      </c>
      <c r="G12744" t="s">
        <v>514</v>
      </c>
    </row>
    <row r="12745" spans="1:7" x14ac:dyDescent="0.25">
      <c r="A12745" s="1" t="str">
        <f>"512445"</f>
        <v>512445</v>
      </c>
      <c r="B12745" s="2" t="str">
        <f>"INVERSOR DANFOS FC301P1K5T4"</f>
        <v>INVERSOR DANFOS FC301P1K5T4</v>
      </c>
      <c r="C12745" s="2" t="str">
        <f t="shared" si="500"/>
        <v>UN</v>
      </c>
      <c r="D12745" s="7">
        <v>900</v>
      </c>
      <c r="E12745" s="3">
        <v>11</v>
      </c>
      <c r="F12745" s="3">
        <v>11</v>
      </c>
      <c r="G12745" t="s">
        <v>514</v>
      </c>
    </row>
    <row r="12746" spans="1:7" x14ac:dyDescent="0.25">
      <c r="A12746" s="1" t="str">
        <f>"524771"</f>
        <v>524771</v>
      </c>
      <c r="B12746" s="2" t="str">
        <f>"INVERSOR DANFOS VLT2800 380V 25CV"</f>
        <v>INVERSOR DANFOS VLT2800 380V 25CV</v>
      </c>
      <c r="C12746" s="2" t="str">
        <f t="shared" si="500"/>
        <v>UN</v>
      </c>
      <c r="D12746" s="7">
        <v>811</v>
      </c>
      <c r="E12746" s="3">
        <v>10</v>
      </c>
      <c r="F12746" s="3">
        <v>10</v>
      </c>
      <c r="G12746" t="s">
        <v>514</v>
      </c>
    </row>
    <row r="12747" spans="1:7" x14ac:dyDescent="0.25">
      <c r="A12747" s="1" t="str">
        <f>"510787"</f>
        <v>510787</v>
      </c>
      <c r="B12747" s="2" t="str">
        <f>"INVERSOR DANFOSS 4,0KW 5,5HP 085203-258"</f>
        <v>INVERSOR DANFOSS 4,0KW 5,5HP 085203-258</v>
      </c>
      <c r="C12747" s="2" t="str">
        <f t="shared" si="500"/>
        <v>UN</v>
      </c>
      <c r="D12747" s="7">
        <v>600</v>
      </c>
      <c r="E12747" s="3">
        <v>8</v>
      </c>
      <c r="F12747" s="3">
        <v>8</v>
      </c>
      <c r="G12747" t="s">
        <v>513</v>
      </c>
    </row>
    <row r="12748" spans="1:7" x14ac:dyDescent="0.25">
      <c r="A12748" s="1" t="str">
        <f>"528147"</f>
        <v>528147</v>
      </c>
      <c r="B12748" s="2" t="str">
        <f>"INVERSOR DANFOSS FC051PK37S2E20H- 0,37KW 220V"</f>
        <v>INVERSOR DANFOSS FC051PK37S2E20H- 0,37KW 220V</v>
      </c>
      <c r="C12748" s="2" t="str">
        <f t="shared" si="500"/>
        <v>UN</v>
      </c>
      <c r="D12748" s="7">
        <v>900</v>
      </c>
      <c r="E12748" s="3">
        <v>11</v>
      </c>
      <c r="F12748" s="3">
        <v>11</v>
      </c>
      <c r="G12748" t="s">
        <v>513</v>
      </c>
    </row>
    <row r="12749" spans="1:7" x14ac:dyDescent="0.25">
      <c r="A12749" s="1" t="str">
        <f>"510391"</f>
        <v>510391</v>
      </c>
      <c r="B12749" s="2" t="str">
        <f>"INVERSOR DANFOSS VLT 0,75KW 1,0H"</f>
        <v>INVERSOR DANFOSS VLT 0,75KW 1,0H</v>
      </c>
      <c r="C12749" s="2" t="str">
        <f t="shared" si="500"/>
        <v>UN</v>
      </c>
      <c r="D12749" s="7">
        <v>600</v>
      </c>
      <c r="E12749" s="3">
        <v>8</v>
      </c>
      <c r="F12749" s="3">
        <v>8</v>
      </c>
      <c r="G12749" t="s">
        <v>513</v>
      </c>
    </row>
    <row r="12750" spans="1:7" x14ac:dyDescent="0.25">
      <c r="A12750" s="1" t="str">
        <f>"524767"</f>
        <v>524767</v>
      </c>
      <c r="B12750" s="2" t="str">
        <f>"INVERSOR DE FREQ. POWERFLEX 380A 5HP 20F11ND8P0AA0NNNNN"</f>
        <v>INVERSOR DE FREQ. POWERFLEX 380A 5HP 20F11ND8P0AA0NNNNN</v>
      </c>
      <c r="C12750" s="2" t="str">
        <f t="shared" si="500"/>
        <v>UN</v>
      </c>
      <c r="D12750" s="7">
        <v>811</v>
      </c>
      <c r="E12750" s="3">
        <v>11</v>
      </c>
      <c r="F12750" s="3">
        <v>11</v>
      </c>
      <c r="G12750" t="s">
        <v>512</v>
      </c>
    </row>
    <row r="12751" spans="1:7" x14ac:dyDescent="0.25">
      <c r="A12751" s="1" t="str">
        <f>"524677"</f>
        <v>524677</v>
      </c>
      <c r="B12751" s="2" t="str">
        <f>"INVERSOR DE FREQ. POWERFLEX 525 380A 480VCA 17,0A 10HP"</f>
        <v>INVERSOR DE FREQ. POWERFLEX 525 380A 480VCA 17,0A 10HP</v>
      </c>
      <c r="C12751" s="2" t="str">
        <f t="shared" si="500"/>
        <v>UN</v>
      </c>
      <c r="D12751" s="7">
        <v>811</v>
      </c>
      <c r="E12751" s="3">
        <v>11</v>
      </c>
      <c r="F12751" s="3">
        <v>11</v>
      </c>
      <c r="G12751" t="s">
        <v>513</v>
      </c>
    </row>
    <row r="12752" spans="1:7" x14ac:dyDescent="0.25">
      <c r="A12752" s="1" t="str">
        <f>"524676"</f>
        <v>524676</v>
      </c>
      <c r="B12752" s="2" t="str">
        <f>"INVERSOR DE FREQ. POWERFLEX 525 380A 480VCA 24,0A 15HP"</f>
        <v>INVERSOR DE FREQ. POWERFLEX 525 380A 480VCA 24,0A 15HP</v>
      </c>
      <c r="C12752" s="2" t="str">
        <f t="shared" si="500"/>
        <v>UN</v>
      </c>
      <c r="D12752" s="7">
        <v>811</v>
      </c>
      <c r="E12752" s="3">
        <v>11</v>
      </c>
      <c r="F12752" s="3">
        <v>11</v>
      </c>
      <c r="G12752" t="s">
        <v>514</v>
      </c>
    </row>
    <row r="12753" spans="1:7" x14ac:dyDescent="0.25">
      <c r="A12753" s="1" t="str">
        <f>"524679"</f>
        <v>524679</v>
      </c>
      <c r="B12753" s="2" t="str">
        <f>"INVERSOR DE FREQ. POWERFLEX 525 380A 480VCA 4,0A 2HP"</f>
        <v>INVERSOR DE FREQ. POWERFLEX 525 380A 480VCA 4,0A 2HP</v>
      </c>
      <c r="C12753" s="2" t="str">
        <f t="shared" si="500"/>
        <v>UN</v>
      </c>
      <c r="D12753" s="7">
        <v>811</v>
      </c>
      <c r="E12753" s="3">
        <v>11</v>
      </c>
      <c r="F12753" s="3">
        <v>11</v>
      </c>
      <c r="G12753" t="s">
        <v>515</v>
      </c>
    </row>
    <row r="12754" spans="1:7" x14ac:dyDescent="0.25">
      <c r="A12754" s="1" t="str">
        <f>"524678"</f>
        <v>524678</v>
      </c>
      <c r="B12754" s="2" t="str">
        <f>"INVERSOR DE FREQ. POWERFLEX 525 380A 480VCA 6,0A 3HP"</f>
        <v>INVERSOR DE FREQ. POWERFLEX 525 380A 480VCA 6,0A 3HP</v>
      </c>
      <c r="C12754" s="2" t="str">
        <f t="shared" si="500"/>
        <v>UN</v>
      </c>
      <c r="D12754" s="7">
        <v>811</v>
      </c>
      <c r="E12754" s="3">
        <v>11</v>
      </c>
      <c r="F12754" s="3">
        <v>11</v>
      </c>
      <c r="G12754" t="s">
        <v>512</v>
      </c>
    </row>
    <row r="12755" spans="1:7" x14ac:dyDescent="0.25">
      <c r="A12755" s="1" t="str">
        <f>"524845"</f>
        <v>524845</v>
      </c>
      <c r="B12755" s="2" t="str">
        <f>"INVERSOR DE FREQUENCIA ALLEN-BRADLEY 380V 3,2A MTR1HP"</f>
        <v>INVERSOR DE FREQUENCIA ALLEN-BRADLEY 380V 3,2A MTR1HP</v>
      </c>
      <c r="C12755" s="2" t="str">
        <f t="shared" si="500"/>
        <v>UN</v>
      </c>
      <c r="D12755" s="7">
        <v>900</v>
      </c>
      <c r="E12755" s="3">
        <v>11</v>
      </c>
      <c r="F12755" s="3">
        <v>11</v>
      </c>
      <c r="G12755" t="s">
        <v>516</v>
      </c>
    </row>
    <row r="12756" spans="1:7" x14ac:dyDescent="0.25">
      <c r="A12756" s="1" t="str">
        <f>"509773"</f>
        <v>509773</v>
      </c>
      <c r="B12756" s="2" t="str">
        <f>"INVERSOR DE FREQUENCIA CFW080130T3848PSZ"</f>
        <v>INVERSOR DE FREQUENCIA CFW080130T3848PSZ</v>
      </c>
      <c r="C12756" s="2" t="str">
        <f t="shared" si="500"/>
        <v>UN</v>
      </c>
      <c r="D12756" s="7">
        <v>600</v>
      </c>
      <c r="E12756" s="3">
        <v>8</v>
      </c>
      <c r="F12756" s="3">
        <v>8</v>
      </c>
      <c r="G12756" t="s">
        <v>515</v>
      </c>
    </row>
    <row r="12757" spans="1:7" x14ac:dyDescent="0.25">
      <c r="A12757" s="1" t="str">
        <f>"511725"</f>
        <v>511725</v>
      </c>
      <c r="B12757" s="2" t="str">
        <f>"INVERSOR DE FREQUENCIA DELTA VFD-L"</f>
        <v>INVERSOR DE FREQUENCIA DELTA VFD-L</v>
      </c>
      <c r="C12757" s="2" t="str">
        <f t="shared" si="500"/>
        <v>UN</v>
      </c>
      <c r="D12757" s="7">
        <v>600</v>
      </c>
      <c r="E12757" s="3">
        <v>8</v>
      </c>
      <c r="F12757" s="3">
        <v>8</v>
      </c>
      <c r="G12757" t="s">
        <v>514</v>
      </c>
    </row>
    <row r="12758" spans="1:7" x14ac:dyDescent="0.25">
      <c r="A12758" s="1" t="str">
        <f>"515751"</f>
        <v>515751</v>
      </c>
      <c r="B12758" s="2" t="str">
        <f>"INVERSOR DE VOLTAGEM 12V P/ 110V"</f>
        <v>INVERSOR DE VOLTAGEM 12V P/ 110V</v>
      </c>
      <c r="C12758" s="2" t="str">
        <f t="shared" si="500"/>
        <v>UN</v>
      </c>
      <c r="D12758" s="7">
        <v>704</v>
      </c>
      <c r="E12758" s="3">
        <v>9</v>
      </c>
      <c r="F12758" s="3">
        <v>9</v>
      </c>
      <c r="G12758" t="s">
        <v>512</v>
      </c>
    </row>
    <row r="12759" spans="1:7" x14ac:dyDescent="0.25">
      <c r="A12759" s="1" t="str">
        <f>"527860"</f>
        <v>527860</v>
      </c>
      <c r="B12759" s="2" t="str">
        <f>"INVERSOR FREQ WEB CFW300 MONO 220V 0,5CV 2,6A"</f>
        <v>INVERSOR FREQ WEB CFW300 MONO 220V 0,5CV 2,6A</v>
      </c>
      <c r="C12759" s="2" t="str">
        <f t="shared" si="500"/>
        <v>UN</v>
      </c>
      <c r="D12759" s="7">
        <v>704</v>
      </c>
      <c r="E12759" s="3">
        <v>9</v>
      </c>
      <c r="F12759" s="3">
        <v>9</v>
      </c>
      <c r="G12759" t="s">
        <v>513</v>
      </c>
    </row>
    <row r="12760" spans="1:7" x14ac:dyDescent="0.25">
      <c r="A12760" s="1" t="str">
        <f>"517754"</f>
        <v>517754</v>
      </c>
      <c r="B12760" s="2" t="str">
        <f>"INVERSOR FREQ. 220V CFW080040S2024PSZ"</f>
        <v>INVERSOR FREQ. 220V CFW080040S2024PSZ</v>
      </c>
      <c r="C12760" s="2" t="str">
        <f t="shared" si="500"/>
        <v>UN</v>
      </c>
      <c r="D12760" s="7">
        <v>811</v>
      </c>
      <c r="E12760" s="3">
        <v>8</v>
      </c>
      <c r="F12760" s="3">
        <v>8</v>
      </c>
      <c r="G12760" t="s">
        <v>514</v>
      </c>
    </row>
    <row r="12761" spans="1:7" x14ac:dyDescent="0.25">
      <c r="A12761" s="1" t="str">
        <f>"517843"</f>
        <v>517843</v>
      </c>
      <c r="B12761" s="2" t="str">
        <f>"INVERSOR FREQ. 220V CFW080160T2024PSZ"</f>
        <v>INVERSOR FREQ. 220V CFW080160T2024PSZ</v>
      </c>
      <c r="C12761" s="2" t="str">
        <f t="shared" si="500"/>
        <v>UN</v>
      </c>
      <c r="D12761" s="7">
        <v>811</v>
      </c>
      <c r="E12761" s="3">
        <v>8</v>
      </c>
      <c r="F12761" s="3">
        <v>8</v>
      </c>
      <c r="G12761" t="s">
        <v>514</v>
      </c>
    </row>
    <row r="12762" spans="1:7" x14ac:dyDescent="0.25">
      <c r="A12762" s="1" t="str">
        <f>"515982"</f>
        <v>515982</v>
      </c>
      <c r="B12762" s="2" t="str">
        <f>"INVERSOR FREQ. 220V CFW100040S2024POCLZ 4A"</f>
        <v>INVERSOR FREQ. 220V CFW100040S2024POCLZ 4A</v>
      </c>
      <c r="C12762" s="2" t="str">
        <f t="shared" si="500"/>
        <v>UN</v>
      </c>
      <c r="D12762" s="7">
        <v>600</v>
      </c>
      <c r="E12762" s="3">
        <v>8</v>
      </c>
      <c r="F12762" s="3">
        <v>8</v>
      </c>
      <c r="G12762" t="s">
        <v>512</v>
      </c>
    </row>
    <row r="12763" spans="1:7" x14ac:dyDescent="0.25">
      <c r="A12763" s="1" t="str">
        <f>"518401"</f>
        <v>518401</v>
      </c>
      <c r="B12763" s="2" t="str">
        <f>"INVERSOR FREQ. 380V CFW0800065T3848PSZ"</f>
        <v>INVERSOR FREQ. 380V CFW0800065T3848PSZ</v>
      </c>
      <c r="C12763" s="2" t="str">
        <f t="shared" si="500"/>
        <v>UN</v>
      </c>
      <c r="D12763" s="7">
        <v>811</v>
      </c>
      <c r="E12763" s="3">
        <v>8</v>
      </c>
      <c r="F12763" s="3">
        <v>8</v>
      </c>
      <c r="G12763" t="s">
        <v>513</v>
      </c>
    </row>
    <row r="12764" spans="1:7" x14ac:dyDescent="0.25">
      <c r="A12764" s="1" t="str">
        <f>"517677"</f>
        <v>517677</v>
      </c>
      <c r="B12764" s="2" t="str">
        <f>"INVERSOR FREQ. 380V CFW080026T3848PSZ"</f>
        <v>INVERSOR FREQ. 380V CFW080026T3848PSZ</v>
      </c>
      <c r="C12764" s="2" t="str">
        <f t="shared" si="500"/>
        <v>UN</v>
      </c>
      <c r="D12764" s="7">
        <v>811</v>
      </c>
      <c r="E12764" s="3">
        <v>8</v>
      </c>
      <c r="F12764" s="3">
        <v>8</v>
      </c>
      <c r="G12764" t="s">
        <v>514</v>
      </c>
    </row>
    <row r="12765" spans="1:7" x14ac:dyDescent="0.25">
      <c r="A12765" s="1" t="str">
        <f>"510646"</f>
        <v>510646</v>
      </c>
      <c r="B12765" s="2" t="str">
        <f>"INVERSOR FREQ. 380V CFW080040T3848PSZ"</f>
        <v>INVERSOR FREQ. 380V CFW080040T3848PSZ</v>
      </c>
      <c r="C12765" s="2" t="str">
        <f t="shared" si="500"/>
        <v>UN</v>
      </c>
      <c r="D12765" s="7">
        <v>600</v>
      </c>
      <c r="E12765" s="3">
        <v>8</v>
      </c>
      <c r="F12765" s="3">
        <v>8</v>
      </c>
      <c r="G12765" t="s">
        <v>514</v>
      </c>
    </row>
    <row r="12766" spans="1:7" x14ac:dyDescent="0.25">
      <c r="A12766" s="1" t="str">
        <f>"519304"</f>
        <v>519304</v>
      </c>
      <c r="B12766" s="2" t="str">
        <f>"INVERSOR FREQ. 380V CFW080100T3848PSZ"</f>
        <v>INVERSOR FREQ. 380V CFW080100T3848PSZ</v>
      </c>
      <c r="C12766" s="2" t="str">
        <f t="shared" si="500"/>
        <v>UN</v>
      </c>
      <c r="D12766" s="7">
        <v>811</v>
      </c>
      <c r="E12766" s="3">
        <v>8</v>
      </c>
      <c r="F12766" s="3">
        <v>8</v>
      </c>
      <c r="G12766" t="s">
        <v>514</v>
      </c>
    </row>
    <row r="12767" spans="1:7" x14ac:dyDescent="0.25">
      <c r="A12767" s="1" t="str">
        <f>"510951"</f>
        <v>510951</v>
      </c>
      <c r="B12767" s="2" t="str">
        <f>"INVERSOR FREQ. CFW080040B2024PSZ 1CV 220V"</f>
        <v>INVERSOR FREQ. CFW080040B2024PSZ 1CV 220V</v>
      </c>
      <c r="C12767" s="2" t="str">
        <f t="shared" si="500"/>
        <v>UN</v>
      </c>
      <c r="D12767" s="7">
        <v>600</v>
      </c>
      <c r="E12767" s="3">
        <v>8</v>
      </c>
      <c r="F12767" s="3">
        <v>8</v>
      </c>
      <c r="G12767" t="s">
        <v>513</v>
      </c>
    </row>
    <row r="12768" spans="1:7" x14ac:dyDescent="0.25">
      <c r="A12768" s="1" t="str">
        <f>"520595"</f>
        <v>520595</v>
      </c>
      <c r="B12768" s="2" t="str">
        <f>"INVERSOR FREQ. CFW100016S2024PSZ WEG"</f>
        <v>INVERSOR FREQ. CFW100016S2024PSZ WEG</v>
      </c>
      <c r="C12768" s="2" t="str">
        <f t="shared" ref="C12768:C12799" si="501">"UN"</f>
        <v>UN</v>
      </c>
      <c r="D12768" s="7">
        <v>811</v>
      </c>
      <c r="E12768" s="3">
        <v>8</v>
      </c>
      <c r="F12768" s="3">
        <v>8</v>
      </c>
      <c r="G12768" t="s">
        <v>512</v>
      </c>
    </row>
    <row r="12769" spans="1:7" x14ac:dyDescent="0.25">
      <c r="A12769" s="1" t="str">
        <f>"520942"</f>
        <v>520942</v>
      </c>
      <c r="B12769" s="2" t="str">
        <f>"INVERSOR FREQ. WEG WE.CFW500A02P6T4NB20"</f>
        <v>INVERSOR FREQ. WEG WE.CFW500A02P6T4NB20</v>
      </c>
      <c r="C12769" s="2" t="str">
        <f t="shared" si="501"/>
        <v>UN</v>
      </c>
      <c r="D12769" s="7">
        <v>811</v>
      </c>
      <c r="E12769" s="3">
        <v>8</v>
      </c>
      <c r="F12769" s="3">
        <v>8</v>
      </c>
      <c r="G12769" t="s">
        <v>513</v>
      </c>
    </row>
    <row r="12770" spans="1:7" x14ac:dyDescent="0.25">
      <c r="A12770" s="1" t="str">
        <f>"520941"</f>
        <v>520941</v>
      </c>
      <c r="B12770" s="2" t="str">
        <f>"INVERSOR FREQ. WEG WE.CFW500B10P0T4DB20"</f>
        <v>INVERSOR FREQ. WEG WE.CFW500B10P0T4DB20</v>
      </c>
      <c r="C12770" s="2" t="str">
        <f t="shared" si="501"/>
        <v>UN</v>
      </c>
      <c r="D12770" s="7">
        <v>811</v>
      </c>
      <c r="E12770" s="3">
        <v>8</v>
      </c>
      <c r="F12770" s="3">
        <v>8</v>
      </c>
      <c r="G12770" t="s">
        <v>514</v>
      </c>
    </row>
    <row r="12771" spans="1:7" x14ac:dyDescent="0.25">
      <c r="A12771" s="1" t="str">
        <f>"505122"</f>
        <v>505122</v>
      </c>
      <c r="B12771" s="2" t="str">
        <f>"INVERSOR FREQUENCIA 1,5CV 380V"</f>
        <v>INVERSOR FREQUENCIA 1,5CV 380V</v>
      </c>
      <c r="C12771" s="2" t="str">
        <f t="shared" si="501"/>
        <v>UN</v>
      </c>
      <c r="D12771" s="7">
        <v>600</v>
      </c>
      <c r="E12771" s="3">
        <v>8</v>
      </c>
      <c r="F12771" s="3">
        <v>8</v>
      </c>
      <c r="G12771" t="s">
        <v>514</v>
      </c>
    </row>
    <row r="12772" spans="1:7" x14ac:dyDescent="0.25">
      <c r="A12772" s="1" t="str">
        <f>"502245"</f>
        <v>502245</v>
      </c>
      <c r="B12772" s="2" t="str">
        <f>"INVERSOR FREQUENCIA 1CV 220V"</f>
        <v>INVERSOR FREQUENCIA 1CV 220V</v>
      </c>
      <c r="C12772" s="2" t="str">
        <f t="shared" si="501"/>
        <v>UN</v>
      </c>
      <c r="D12772" s="7">
        <v>600</v>
      </c>
      <c r="E12772" s="3">
        <v>8</v>
      </c>
      <c r="F12772" s="3">
        <v>8</v>
      </c>
      <c r="G12772" t="s">
        <v>514</v>
      </c>
    </row>
    <row r="12773" spans="1:7" x14ac:dyDescent="0.25">
      <c r="A12773" s="1" t="str">
        <f>"518290"</f>
        <v>518290</v>
      </c>
      <c r="B12773" s="2" t="str">
        <f>"INVERSOR FREQUENCIA 1CV 380V"</f>
        <v>INVERSOR FREQUENCIA 1CV 380V</v>
      </c>
      <c r="C12773" s="2" t="str">
        <f t="shared" si="501"/>
        <v>UN</v>
      </c>
      <c r="D12773" s="7">
        <v>811</v>
      </c>
      <c r="E12773" s="3">
        <v>8</v>
      </c>
      <c r="F12773" s="3">
        <v>8</v>
      </c>
      <c r="G12773" t="s">
        <v>513</v>
      </c>
    </row>
    <row r="12774" spans="1:7" x14ac:dyDescent="0.25">
      <c r="A12774" s="1" t="str">
        <f>"504031"</f>
        <v>504031</v>
      </c>
      <c r="B12774" s="2" t="str">
        <f>"INVERSOR FREQUENCIA 220V KW4 MICROM. 420"</f>
        <v>INVERSOR FREQUENCIA 220V KW4 MICROM. 420</v>
      </c>
      <c r="C12774" s="2" t="str">
        <f t="shared" si="501"/>
        <v>UN</v>
      </c>
      <c r="D12774" s="7">
        <v>600</v>
      </c>
      <c r="E12774" s="3">
        <v>8</v>
      </c>
      <c r="F12774" s="3">
        <v>8</v>
      </c>
      <c r="G12774" t="s">
        <v>513</v>
      </c>
    </row>
    <row r="12775" spans="1:7" x14ac:dyDescent="0.25">
      <c r="A12775" s="1" t="str">
        <f>"505033"</f>
        <v>505033</v>
      </c>
      <c r="B12775" s="2" t="str">
        <f>"INVERSOR FREQUENCIA 2CV 380V"</f>
        <v>INVERSOR FREQUENCIA 2CV 380V</v>
      </c>
      <c r="C12775" s="2" t="str">
        <f t="shared" si="501"/>
        <v>UN</v>
      </c>
      <c r="D12775" s="7">
        <v>600</v>
      </c>
      <c r="E12775" s="3">
        <v>8</v>
      </c>
      <c r="F12775" s="3">
        <v>8</v>
      </c>
      <c r="G12775" t="s">
        <v>513</v>
      </c>
    </row>
    <row r="12776" spans="1:7" x14ac:dyDescent="0.25">
      <c r="A12776" s="1" t="str">
        <f>"521862"</f>
        <v>521862</v>
      </c>
      <c r="B12776" s="2" t="str">
        <f>"INVERSOR FREQUENCIA 33A 15KW/20CV 380 ATV71HD15N4Z SCHNEIDER"</f>
        <v>INVERSOR FREQUENCIA 33A 15KW/20CV 380 ATV71HD15N4Z SCHNEIDER</v>
      </c>
      <c r="C12776" s="2" t="str">
        <f t="shared" si="501"/>
        <v>UN</v>
      </c>
      <c r="D12776" s="7">
        <v>811</v>
      </c>
      <c r="E12776" s="3">
        <v>8</v>
      </c>
      <c r="F12776" s="3">
        <v>8</v>
      </c>
      <c r="G12776" t="s">
        <v>512</v>
      </c>
    </row>
    <row r="12777" spans="1:7" x14ac:dyDescent="0.25">
      <c r="A12777" s="1" t="str">
        <f>"511589"</f>
        <v>511589</v>
      </c>
      <c r="B12777" s="2" t="str">
        <f>"INVERSOR FREQUENCIA 380V 0,25CV 0,66A"</f>
        <v>INVERSOR FREQUENCIA 380V 0,25CV 0,66A</v>
      </c>
      <c r="C12777" s="2" t="str">
        <f t="shared" si="501"/>
        <v>UN</v>
      </c>
      <c r="D12777" s="7">
        <v>600</v>
      </c>
      <c r="E12777" s="3">
        <v>8</v>
      </c>
      <c r="F12777" s="3">
        <v>8</v>
      </c>
      <c r="G12777" t="s">
        <v>513</v>
      </c>
    </row>
    <row r="12778" spans="1:7" x14ac:dyDescent="0.25">
      <c r="A12778" s="1" t="str">
        <f>"503116"</f>
        <v>503116</v>
      </c>
      <c r="B12778" s="2" t="str">
        <f>"INVERSOR FREQUENCIA 5CV 220V KW4,00"</f>
        <v>INVERSOR FREQUENCIA 5CV 220V KW4,00</v>
      </c>
      <c r="C12778" s="2" t="str">
        <f t="shared" si="501"/>
        <v>UN</v>
      </c>
      <c r="D12778" s="7">
        <v>600</v>
      </c>
      <c r="E12778" s="3">
        <v>8</v>
      </c>
      <c r="F12778" s="3">
        <v>8</v>
      </c>
      <c r="G12778" t="s">
        <v>514</v>
      </c>
    </row>
    <row r="12779" spans="1:7" x14ac:dyDescent="0.25">
      <c r="A12779" s="1" t="str">
        <f>"503892"</f>
        <v>503892</v>
      </c>
      <c r="B12779" s="2" t="str">
        <f>"INVERSOR FREQUENCIA 7,5CV 380V 5.5KW"</f>
        <v>INVERSOR FREQUENCIA 7,5CV 380V 5.5KW</v>
      </c>
      <c r="C12779" s="2" t="str">
        <f t="shared" si="501"/>
        <v>UN</v>
      </c>
      <c r="D12779" s="7">
        <v>600</v>
      </c>
      <c r="E12779" s="3">
        <v>8</v>
      </c>
      <c r="F12779" s="3">
        <v>8</v>
      </c>
      <c r="G12779" t="s">
        <v>515</v>
      </c>
    </row>
    <row r="12780" spans="1:7" x14ac:dyDescent="0.25">
      <c r="A12780" s="1" t="str">
        <f>"511382"</f>
        <v>511382</v>
      </c>
      <c r="B12780" s="2" t="str">
        <f>"INVERSOR FREQUENCIA ADW050030S2S14Z"</f>
        <v>INVERSOR FREQUENCIA ADW050030S2S14Z</v>
      </c>
      <c r="C12780" s="2" t="str">
        <f t="shared" si="501"/>
        <v>UN</v>
      </c>
      <c r="D12780" s="7">
        <v>600</v>
      </c>
      <c r="E12780" s="3">
        <v>8</v>
      </c>
      <c r="F12780" s="3">
        <v>8</v>
      </c>
      <c r="G12780" t="s">
        <v>512</v>
      </c>
    </row>
    <row r="12781" spans="1:7" x14ac:dyDescent="0.25">
      <c r="A12781" s="1" t="str">
        <f>"516079"</f>
        <v>516079</v>
      </c>
      <c r="B12781" s="2" t="str">
        <f>"INVERSOR FREQUENCIA ATV11HV09M2E"</f>
        <v>INVERSOR FREQUENCIA ATV11HV09M2E</v>
      </c>
      <c r="C12781" s="2" t="str">
        <f t="shared" si="501"/>
        <v>UN</v>
      </c>
      <c r="D12781" s="7">
        <v>600</v>
      </c>
      <c r="E12781" s="3">
        <v>8</v>
      </c>
      <c r="F12781" s="3">
        <v>8</v>
      </c>
      <c r="G12781" t="s">
        <v>516</v>
      </c>
    </row>
    <row r="12782" spans="1:7" x14ac:dyDescent="0.25">
      <c r="A12782" s="1" t="str">
        <f>"516078"</f>
        <v>516078</v>
      </c>
      <c r="B12782" s="2" t="str">
        <f>"INVERSOR FREQUENCIA ATV31H075M2"</f>
        <v>INVERSOR FREQUENCIA ATV31H075M2</v>
      </c>
      <c r="C12782" s="2" t="str">
        <f t="shared" si="501"/>
        <v>UN</v>
      </c>
      <c r="D12782" s="7">
        <v>600</v>
      </c>
      <c r="E12782" s="3">
        <v>8</v>
      </c>
      <c r="F12782" s="3">
        <v>8</v>
      </c>
      <c r="G12782" t="s">
        <v>515</v>
      </c>
    </row>
    <row r="12783" spans="1:7" x14ac:dyDescent="0.25">
      <c r="A12783" s="1" t="str">
        <f>"502517"</f>
        <v>502517</v>
      </c>
      <c r="B12783" s="2" t="str">
        <f>"INVERSOR FREQUENCIA CFW 08 3CV 220V"</f>
        <v>INVERSOR FREQUENCIA CFW 08 3CV 220V</v>
      </c>
      <c r="C12783" s="2" t="str">
        <f t="shared" si="501"/>
        <v>UN</v>
      </c>
      <c r="D12783" s="7">
        <v>600</v>
      </c>
      <c r="E12783" s="3">
        <v>8</v>
      </c>
      <c r="F12783" s="3">
        <v>8</v>
      </c>
      <c r="G12783" t="s">
        <v>514</v>
      </c>
    </row>
    <row r="12784" spans="1:7" x14ac:dyDescent="0.25">
      <c r="A12784" s="1" t="str">
        <f>"502236"</f>
        <v>502236</v>
      </c>
      <c r="B12784" s="2" t="str">
        <f>"INVERSOR FREQUENCIA CFW08 6,5A 380V"</f>
        <v>INVERSOR FREQUENCIA CFW08 6,5A 380V</v>
      </c>
      <c r="C12784" s="2" t="str">
        <f t="shared" si="501"/>
        <v>UN</v>
      </c>
      <c r="D12784" s="7">
        <v>600</v>
      </c>
      <c r="E12784" s="3">
        <v>8</v>
      </c>
      <c r="F12784" s="3">
        <v>8</v>
      </c>
      <c r="G12784" t="s">
        <v>512</v>
      </c>
    </row>
    <row r="12785" spans="1:7" x14ac:dyDescent="0.25">
      <c r="A12785" s="1" t="str">
        <f>"516942"</f>
        <v>516942</v>
      </c>
      <c r="B12785" s="2" t="str">
        <f>"INVERSOR FREQUENCIA CFW10 220V 2CV MONO"</f>
        <v>INVERSOR FREQUENCIA CFW10 220V 2CV MONO</v>
      </c>
      <c r="C12785" s="2" t="str">
        <f t="shared" si="501"/>
        <v>UN</v>
      </c>
      <c r="D12785" s="7">
        <v>900</v>
      </c>
      <c r="E12785" s="3">
        <v>8</v>
      </c>
      <c r="F12785" s="3">
        <v>8</v>
      </c>
      <c r="G12785" t="s">
        <v>513</v>
      </c>
    </row>
    <row r="12786" spans="1:7" x14ac:dyDescent="0.25">
      <c r="A12786" s="1" t="str">
        <f>"509996"</f>
        <v>509996</v>
      </c>
      <c r="B12786" s="2" t="str">
        <f>"INVERSOR G110 220V 1CV 3,9A"</f>
        <v>INVERSOR G110 220V 1CV 3,9A</v>
      </c>
      <c r="C12786" s="2" t="str">
        <f t="shared" si="501"/>
        <v>UN</v>
      </c>
      <c r="D12786" s="7">
        <v>900</v>
      </c>
      <c r="E12786" s="3">
        <v>11</v>
      </c>
      <c r="F12786" s="3">
        <v>11</v>
      </c>
      <c r="G12786" t="s">
        <v>514</v>
      </c>
    </row>
    <row r="12787" spans="1:7" x14ac:dyDescent="0.25">
      <c r="A12787" s="1" t="str">
        <f>"526582"</f>
        <v>526582</v>
      </c>
      <c r="B12787" s="2" t="str">
        <f>"INVERSOR G120 380V MOD. POTENCIA PM240 10CV CT19A"</f>
        <v>INVERSOR G120 380V MOD. POTENCIA PM240 10CV CT19A</v>
      </c>
      <c r="C12787" s="2" t="str">
        <f t="shared" si="501"/>
        <v>UN</v>
      </c>
      <c r="D12787" s="7">
        <v>900</v>
      </c>
      <c r="E12787" s="3">
        <v>8</v>
      </c>
      <c r="F12787" s="3">
        <v>8</v>
      </c>
      <c r="G12787" t="s">
        <v>514</v>
      </c>
    </row>
    <row r="12788" spans="1:7" x14ac:dyDescent="0.25">
      <c r="A12788" s="1" t="str">
        <f>"526936"</f>
        <v>526936</v>
      </c>
      <c r="B12788" s="2" t="str">
        <f>"INVERSOR G120 380V MOD.POT PM240-2 25CV CT38A"</f>
        <v>INVERSOR G120 380V MOD.POT PM240-2 25CV CT38A</v>
      </c>
      <c r="C12788" s="2" t="str">
        <f t="shared" si="501"/>
        <v>UN</v>
      </c>
      <c r="D12788" s="7">
        <v>811</v>
      </c>
      <c r="E12788" s="3">
        <v>11</v>
      </c>
      <c r="F12788" s="3">
        <v>11</v>
      </c>
      <c r="G12788" t="s">
        <v>512</v>
      </c>
    </row>
    <row r="12789" spans="1:7" x14ac:dyDescent="0.25">
      <c r="A12789" s="1" t="str">
        <f>"526579"</f>
        <v>526579</v>
      </c>
      <c r="B12789" s="2" t="str">
        <f>"INVERSOR G120 380V MOD.POTENCIA PM240 15CV CT26A"</f>
        <v>INVERSOR G120 380V MOD.POTENCIA PM240 15CV CT26A</v>
      </c>
      <c r="C12789" s="2" t="str">
        <f t="shared" si="501"/>
        <v>UN</v>
      </c>
      <c r="D12789" s="7">
        <v>900</v>
      </c>
      <c r="E12789" s="3">
        <v>8</v>
      </c>
      <c r="F12789" s="3">
        <v>8</v>
      </c>
      <c r="G12789" t="s">
        <v>513</v>
      </c>
    </row>
    <row r="12790" spans="1:7" x14ac:dyDescent="0.25">
      <c r="A12790" s="1" t="str">
        <f>"526581"</f>
        <v>526581</v>
      </c>
      <c r="B12790" s="2" t="str">
        <f>"INVERSOR G120 PAINEL DE OPERAÇÃO BOP-2 P/G120/G120C"</f>
        <v>INVERSOR G120 PAINEL DE OPERAÇÃO BOP-2 P/G120/G120C</v>
      </c>
      <c r="C12790" s="2" t="str">
        <f t="shared" si="501"/>
        <v>UN</v>
      </c>
      <c r="D12790" s="7">
        <v>900</v>
      </c>
      <c r="E12790" s="3">
        <v>8</v>
      </c>
      <c r="F12790" s="3">
        <v>8</v>
      </c>
      <c r="G12790" t="s">
        <v>514</v>
      </c>
    </row>
    <row r="12791" spans="1:7" x14ac:dyDescent="0.25">
      <c r="A12791" s="1" t="str">
        <f>"526580"</f>
        <v>526580</v>
      </c>
      <c r="B12791" s="2" t="str">
        <f>"INVERSOR G120 UNIDADE DE CONTROLE CU240E-2"</f>
        <v>INVERSOR G120 UNIDADE DE CONTROLE CU240E-2</v>
      </c>
      <c r="C12791" s="2" t="str">
        <f t="shared" si="501"/>
        <v>UN</v>
      </c>
      <c r="D12791" s="7">
        <v>900</v>
      </c>
      <c r="E12791" s="3">
        <v>8</v>
      </c>
      <c r="F12791" s="3">
        <v>8</v>
      </c>
      <c r="G12791" t="s">
        <v>514</v>
      </c>
    </row>
    <row r="12792" spans="1:7" x14ac:dyDescent="0.25">
      <c r="A12792" s="1" t="str">
        <f>"517643"</f>
        <v>517643</v>
      </c>
      <c r="B12792" s="2" t="str">
        <f>"INVERSOR LS IE5 SV004iE5-1C"</f>
        <v>INVERSOR LS IE5 SV004iE5-1C</v>
      </c>
      <c r="C12792" s="2" t="str">
        <f t="shared" si="501"/>
        <v>UN</v>
      </c>
      <c r="D12792" s="7">
        <v>900</v>
      </c>
      <c r="E12792" s="3">
        <v>8</v>
      </c>
      <c r="F12792" s="3">
        <v>8</v>
      </c>
      <c r="G12792" t="s">
        <v>514</v>
      </c>
    </row>
    <row r="12793" spans="1:7" x14ac:dyDescent="0.25">
      <c r="A12793" s="1" t="str">
        <f>"520478"</f>
        <v>520478</v>
      </c>
      <c r="B12793" s="2" t="str">
        <f>"INVERSOR MICROMASTER 420  6SE6420-2UD27-5CA1 SIEMENS"</f>
        <v>INVERSOR MICROMASTER 420  6SE6420-2UD27-5CA1 SIEMENS</v>
      </c>
      <c r="C12793" s="2" t="str">
        <f t="shared" si="501"/>
        <v>UN</v>
      </c>
      <c r="D12793" s="7">
        <v>900</v>
      </c>
      <c r="E12793" s="3">
        <v>11</v>
      </c>
      <c r="F12793" s="3">
        <v>11</v>
      </c>
      <c r="G12793" t="s">
        <v>513</v>
      </c>
    </row>
    <row r="12794" spans="1:7" x14ac:dyDescent="0.25">
      <c r="A12794" s="1" t="str">
        <f>"520710"</f>
        <v>520710</v>
      </c>
      <c r="B12794" s="2" t="str">
        <f>"INVERSOR MICROMASTER 440  6SE6440-2UD32-2DA1"</f>
        <v>INVERSOR MICROMASTER 440  6SE6440-2UD32-2DA1</v>
      </c>
      <c r="C12794" s="2" t="str">
        <f t="shared" si="501"/>
        <v>UN</v>
      </c>
      <c r="D12794" s="7">
        <v>900</v>
      </c>
      <c r="E12794" s="3">
        <v>11</v>
      </c>
      <c r="F12794" s="3">
        <v>11</v>
      </c>
      <c r="G12794" t="s">
        <v>512</v>
      </c>
    </row>
    <row r="12795" spans="1:7" x14ac:dyDescent="0.25">
      <c r="A12795" s="1" t="str">
        <f>"508657"</f>
        <v>508657</v>
      </c>
      <c r="B12795" s="2" t="str">
        <f>"INVERSOR MM42 380V 7.5CV 6SE64202UD255CA"</f>
        <v>INVERSOR MM42 380V 7.5CV 6SE64202UD255CA</v>
      </c>
      <c r="C12795" s="2" t="str">
        <f t="shared" si="501"/>
        <v>UN</v>
      </c>
      <c r="D12795" s="7">
        <v>600</v>
      </c>
      <c r="E12795" s="3">
        <v>8</v>
      </c>
      <c r="F12795" s="3">
        <v>8</v>
      </c>
      <c r="G12795" t="s">
        <v>513</v>
      </c>
    </row>
    <row r="12796" spans="1:7" x14ac:dyDescent="0.25">
      <c r="A12796" s="1" t="str">
        <f>"519319"</f>
        <v>519319</v>
      </c>
      <c r="B12796" s="2" t="str">
        <f>"INVERSOR MM420 220V 1,5KW 6SE64202UC21 5BA1"</f>
        <v>INVERSOR MM420 220V 1,5KW 6SE64202UC21 5BA1</v>
      </c>
      <c r="C12796" s="2" t="str">
        <f t="shared" si="501"/>
        <v>UN</v>
      </c>
      <c r="D12796" s="7">
        <v>900</v>
      </c>
      <c r="E12796" s="3">
        <v>11</v>
      </c>
      <c r="F12796" s="3">
        <v>11</v>
      </c>
      <c r="G12796" t="s">
        <v>514</v>
      </c>
    </row>
    <row r="12797" spans="1:7" x14ac:dyDescent="0.25">
      <c r="A12797" s="1" t="str">
        <f>"512036"</f>
        <v>512036</v>
      </c>
      <c r="B12797" s="2" t="str">
        <f>"INVERSOR MM420 380V 10.2A 4KW"</f>
        <v>INVERSOR MM420 380V 10.2A 4KW</v>
      </c>
      <c r="C12797" s="2" t="str">
        <f t="shared" si="501"/>
        <v>UN</v>
      </c>
      <c r="D12797" s="7">
        <v>1500</v>
      </c>
      <c r="E12797" s="3">
        <v>13</v>
      </c>
      <c r="F12797" s="3">
        <v>13</v>
      </c>
      <c r="G12797" t="s">
        <v>514</v>
      </c>
    </row>
    <row r="12798" spans="1:7" x14ac:dyDescent="0.25">
      <c r="A12798" s="1" t="str">
        <f>"511540"</f>
        <v>511540</v>
      </c>
      <c r="B12798" s="2" t="str">
        <f>"INVERSOR MM420 380V 10CV 19A"</f>
        <v>INVERSOR MM420 380V 10CV 19A</v>
      </c>
      <c r="C12798" s="2" t="str">
        <f t="shared" si="501"/>
        <v>UN</v>
      </c>
      <c r="D12798" s="7">
        <v>600</v>
      </c>
      <c r="E12798" s="3">
        <v>8</v>
      </c>
      <c r="F12798" s="3">
        <v>8</v>
      </c>
      <c r="G12798" t="s">
        <v>514</v>
      </c>
    </row>
    <row r="12799" spans="1:7" x14ac:dyDescent="0.25">
      <c r="A12799" s="1" t="str">
        <f>"510910"</f>
        <v>510910</v>
      </c>
      <c r="B12799" s="2" t="str">
        <f>"INVERSOR MM420 380V 19A"</f>
        <v>INVERSOR MM420 380V 19A</v>
      </c>
      <c r="C12799" s="2" t="str">
        <f t="shared" si="501"/>
        <v>UN</v>
      </c>
      <c r="D12799" s="7">
        <v>600</v>
      </c>
      <c r="E12799" s="3">
        <v>8</v>
      </c>
      <c r="F12799" s="3">
        <v>8</v>
      </c>
      <c r="G12799" t="s">
        <v>513</v>
      </c>
    </row>
    <row r="12800" spans="1:7" x14ac:dyDescent="0.25">
      <c r="A12800" s="1" t="str">
        <f>"509853"</f>
        <v>509853</v>
      </c>
      <c r="B12800" s="2" t="str">
        <f>"INVERSOR MM420 380V 5,5KW"</f>
        <v>INVERSOR MM420 380V 5,5KW</v>
      </c>
      <c r="C12800" s="2" t="str">
        <f t="shared" ref="C12800:C12831" si="502">"UN"</f>
        <v>UN</v>
      </c>
      <c r="D12800" s="7">
        <v>600</v>
      </c>
      <c r="E12800" s="3">
        <v>8</v>
      </c>
      <c r="F12800" s="3">
        <v>8</v>
      </c>
      <c r="G12800" t="s">
        <v>513</v>
      </c>
    </row>
    <row r="12801" spans="1:7" x14ac:dyDescent="0.25">
      <c r="A12801" s="1" t="str">
        <f>"519388"</f>
        <v>519388</v>
      </c>
      <c r="B12801" s="2" t="str">
        <f>"INVERSOR MM420 380V 5CV 6SE64202AD240BA1"</f>
        <v>INVERSOR MM420 380V 5CV 6SE64202AD240BA1</v>
      </c>
      <c r="C12801" s="2" t="str">
        <f t="shared" si="502"/>
        <v>UN</v>
      </c>
      <c r="D12801" s="7">
        <v>900</v>
      </c>
      <c r="E12801" s="3">
        <v>11</v>
      </c>
      <c r="F12801" s="3">
        <v>11</v>
      </c>
      <c r="G12801" t="s">
        <v>513</v>
      </c>
    </row>
    <row r="12802" spans="1:7" x14ac:dyDescent="0.25">
      <c r="A12802" s="1" t="str">
        <f>"508656"</f>
        <v>508656</v>
      </c>
      <c r="B12802" s="2" t="str">
        <f>"INVERSOR MM420 380V 5CV 6SE64202UD230BA1"</f>
        <v>INVERSOR MM420 380V 5CV 6SE64202UD230BA1</v>
      </c>
      <c r="C12802" s="2" t="str">
        <f t="shared" si="502"/>
        <v>UN</v>
      </c>
      <c r="D12802" s="7">
        <v>900</v>
      </c>
      <c r="E12802" s="3">
        <v>11</v>
      </c>
      <c r="F12802" s="3">
        <v>11</v>
      </c>
      <c r="G12802" t="s">
        <v>512</v>
      </c>
    </row>
    <row r="12803" spans="1:7" x14ac:dyDescent="0.25">
      <c r="A12803" s="1" t="str">
        <f>"511767"</f>
        <v>511767</v>
      </c>
      <c r="B12803" s="2" t="str">
        <f>"INVERSOR MM420 380V 6SE64202UD17-5AA11"</f>
        <v>INVERSOR MM420 380V 6SE64202UD17-5AA11</v>
      </c>
      <c r="C12803" s="2" t="str">
        <f t="shared" si="502"/>
        <v>UN</v>
      </c>
      <c r="D12803" s="7">
        <v>600</v>
      </c>
      <c r="E12803" s="3">
        <v>8</v>
      </c>
      <c r="F12803" s="3">
        <v>8</v>
      </c>
      <c r="G12803" t="s">
        <v>513</v>
      </c>
    </row>
    <row r="12804" spans="1:7" x14ac:dyDescent="0.25">
      <c r="A12804" s="1" t="str">
        <f>"506476"</f>
        <v>506476</v>
      </c>
      <c r="B12804" s="2" t="str">
        <f>"INVERSOR MM420 380V 7,5CV"</f>
        <v>INVERSOR MM420 380V 7,5CV</v>
      </c>
      <c r="C12804" s="2" t="str">
        <f t="shared" si="502"/>
        <v>UN</v>
      </c>
      <c r="D12804" s="7">
        <v>600</v>
      </c>
      <c r="E12804" s="3">
        <v>8</v>
      </c>
      <c r="F12804" s="3">
        <v>8</v>
      </c>
      <c r="G12804" t="s">
        <v>514</v>
      </c>
    </row>
    <row r="12805" spans="1:7" x14ac:dyDescent="0.25">
      <c r="A12805" s="1" t="str">
        <f>"516431"</f>
        <v>516431</v>
      </c>
      <c r="B12805" s="2" t="str">
        <f>"INVERSOR MM420 6SE6420-2UD22-2BA1"</f>
        <v>INVERSOR MM420 6SE6420-2UD22-2BA1</v>
      </c>
      <c r="C12805" s="2" t="str">
        <f t="shared" si="502"/>
        <v>UN</v>
      </c>
      <c r="D12805" s="7">
        <v>811</v>
      </c>
      <c r="E12805" s="3">
        <v>13</v>
      </c>
      <c r="F12805" s="3">
        <v>13</v>
      </c>
      <c r="G12805" t="s">
        <v>515</v>
      </c>
    </row>
    <row r="12806" spans="1:7" x14ac:dyDescent="0.25">
      <c r="A12806" s="1" t="str">
        <f>"517005"</f>
        <v>517005</v>
      </c>
      <c r="B12806" s="2" t="str">
        <f>"INVERSOR MM440 380V 11KW 20CV"</f>
        <v>INVERSOR MM440 380V 11KW 20CV</v>
      </c>
      <c r="C12806" s="2" t="str">
        <f t="shared" si="502"/>
        <v>UN</v>
      </c>
      <c r="D12806" s="7">
        <v>811</v>
      </c>
      <c r="E12806" s="3">
        <v>8</v>
      </c>
      <c r="F12806" s="3">
        <v>8</v>
      </c>
      <c r="G12806" t="s">
        <v>512</v>
      </c>
    </row>
    <row r="12807" spans="1:7" x14ac:dyDescent="0.25">
      <c r="A12807" s="1" t="str">
        <f>"513131"</f>
        <v>513131</v>
      </c>
      <c r="B12807" s="2" t="str">
        <f>"INVERSOR MM440 380V 22KW 30CV 42.8A"</f>
        <v>INVERSOR MM440 380V 22KW 30CV 42.8A</v>
      </c>
      <c r="C12807" s="2" t="str">
        <f t="shared" si="502"/>
        <v>UN</v>
      </c>
      <c r="D12807" s="7">
        <v>600</v>
      </c>
      <c r="E12807" s="3">
        <v>8</v>
      </c>
      <c r="F12807" s="3">
        <v>8</v>
      </c>
      <c r="G12807" t="s">
        <v>516</v>
      </c>
    </row>
    <row r="12808" spans="1:7" x14ac:dyDescent="0.25">
      <c r="A12808" s="1" t="str">
        <f>"507072"</f>
        <v>507072</v>
      </c>
      <c r="B12808" s="2" t="str">
        <f>"INVERSOR MM440 380V 4KW"</f>
        <v>INVERSOR MM440 380V 4KW</v>
      </c>
      <c r="C12808" s="2" t="str">
        <f t="shared" si="502"/>
        <v>UN</v>
      </c>
      <c r="D12808" s="7">
        <v>811</v>
      </c>
      <c r="E12808" s="3">
        <v>8</v>
      </c>
      <c r="F12808" s="3">
        <v>8</v>
      </c>
      <c r="G12808" t="s">
        <v>515</v>
      </c>
    </row>
    <row r="12809" spans="1:7" x14ac:dyDescent="0.25">
      <c r="A12809" s="1" t="str">
        <f>"512476"</f>
        <v>512476</v>
      </c>
      <c r="B12809" s="2" t="str">
        <f>"INVERSOR MM440 380V 5.5KW"</f>
        <v>INVERSOR MM440 380V 5.5KW</v>
      </c>
      <c r="C12809" s="2" t="str">
        <f t="shared" si="502"/>
        <v>UN</v>
      </c>
      <c r="D12809" s="7">
        <v>600</v>
      </c>
      <c r="E12809" s="3">
        <v>8</v>
      </c>
      <c r="F12809" s="3">
        <v>8</v>
      </c>
      <c r="G12809" t="s">
        <v>514</v>
      </c>
    </row>
    <row r="12810" spans="1:7" x14ac:dyDescent="0.25">
      <c r="A12810" s="1" t="str">
        <f>"507084"</f>
        <v>507084</v>
      </c>
      <c r="B12810" s="2" t="str">
        <f>"INVERSOR MM440 380V 5CV"</f>
        <v>INVERSOR MM440 380V 5CV</v>
      </c>
      <c r="C12810" s="2" t="str">
        <f t="shared" si="502"/>
        <v>UN</v>
      </c>
      <c r="D12810" s="7">
        <v>811</v>
      </c>
      <c r="E12810" s="3">
        <v>8</v>
      </c>
      <c r="F12810" s="3">
        <v>8</v>
      </c>
      <c r="G12810" t="s">
        <v>512</v>
      </c>
    </row>
    <row r="12811" spans="1:7" x14ac:dyDescent="0.25">
      <c r="A12811" s="1" t="str">
        <f>"509995"</f>
        <v>509995</v>
      </c>
      <c r="B12811" s="2" t="str">
        <f>"INVERSOR PAINEL G110 BOP 6SL32550AA00"</f>
        <v>INVERSOR PAINEL G110 BOP 6SL32550AA00</v>
      </c>
      <c r="C12811" s="2" t="str">
        <f t="shared" si="502"/>
        <v>UN</v>
      </c>
      <c r="D12811" s="7">
        <v>900</v>
      </c>
      <c r="E12811" s="3">
        <v>11</v>
      </c>
      <c r="F12811" s="3">
        <v>11</v>
      </c>
      <c r="G12811" t="s">
        <v>513</v>
      </c>
    </row>
    <row r="12812" spans="1:7" x14ac:dyDescent="0.25">
      <c r="A12812" s="1" t="str">
        <f>"501054"</f>
        <v>501054</v>
      </c>
      <c r="B12812" s="2" t="str">
        <f>"INVERSOR PAINEL G110 BOP 6SL3255-OAAOO4B"</f>
        <v>INVERSOR PAINEL G110 BOP 6SL3255-OAAOO4B</v>
      </c>
      <c r="C12812" s="2" t="str">
        <f t="shared" si="502"/>
        <v>UN</v>
      </c>
      <c r="D12812" s="7">
        <v>600</v>
      </c>
      <c r="E12812" s="3">
        <v>8</v>
      </c>
      <c r="F12812" s="3">
        <v>8</v>
      </c>
      <c r="G12812" t="s">
        <v>514</v>
      </c>
    </row>
    <row r="12813" spans="1:7" x14ac:dyDescent="0.25">
      <c r="A12813" s="1" t="str">
        <f>"502237"</f>
        <v>502237</v>
      </c>
      <c r="B12813" s="2" t="str">
        <f>"INVERSOR PAINEL OPER.BAS.(POB) 6SE6400"</f>
        <v>INVERSOR PAINEL OPER.BAS.(POB) 6SE6400</v>
      </c>
      <c r="C12813" s="2" t="str">
        <f t="shared" si="502"/>
        <v>UN</v>
      </c>
      <c r="D12813" s="7">
        <v>600</v>
      </c>
      <c r="E12813" s="3">
        <v>8</v>
      </c>
      <c r="F12813" s="3">
        <v>8</v>
      </c>
      <c r="G12813" t="s">
        <v>514</v>
      </c>
    </row>
    <row r="12814" spans="1:7" x14ac:dyDescent="0.25">
      <c r="A12814" s="1" t="str">
        <f>"518847"</f>
        <v>518847</v>
      </c>
      <c r="B12814" s="2" t="str">
        <f>"INVERSOR PAINEL V20 BOP 6SL32550VA00-4BA1"</f>
        <v>INVERSOR PAINEL V20 BOP 6SL32550VA00-4BA1</v>
      </c>
      <c r="C12814" s="2" t="str">
        <f t="shared" si="502"/>
        <v>UN</v>
      </c>
      <c r="D12814" s="7">
        <v>900</v>
      </c>
      <c r="E12814" s="3">
        <v>11</v>
      </c>
      <c r="F12814" s="3">
        <v>11</v>
      </c>
      <c r="G12814" t="s">
        <v>512</v>
      </c>
    </row>
    <row r="12815" spans="1:7" x14ac:dyDescent="0.25">
      <c r="A12815" s="1" t="str">
        <f>"503280"</f>
        <v>503280</v>
      </c>
      <c r="B12815" s="2" t="str">
        <f>"INVERSOR POTENCIA 600W 12/110"</f>
        <v>INVERSOR POTENCIA 600W 12/110</v>
      </c>
      <c r="C12815" s="2" t="str">
        <f t="shared" si="502"/>
        <v>UN</v>
      </c>
      <c r="D12815" s="7">
        <v>600</v>
      </c>
      <c r="E12815" s="3">
        <v>8</v>
      </c>
      <c r="F12815" s="3">
        <v>8</v>
      </c>
      <c r="G12815" t="s">
        <v>513</v>
      </c>
    </row>
    <row r="12816" spans="1:7" x14ac:dyDescent="0.25">
      <c r="A12816" s="1" t="str">
        <f>"507083"</f>
        <v>507083</v>
      </c>
      <c r="B12816" s="2" t="str">
        <f>"INVERSOR SCHNEIDER ALTIVAR 380V 1CV 2,3A ATV3 1/3 12H 075N4A"</f>
        <v>INVERSOR SCHNEIDER ALTIVAR 380V 1CV 2,3A ATV3 1/3 12H 075N4A</v>
      </c>
      <c r="C12816" s="2" t="str">
        <f t="shared" si="502"/>
        <v>UN</v>
      </c>
      <c r="D12816" s="7">
        <v>811</v>
      </c>
      <c r="E12816" s="3">
        <v>8</v>
      </c>
      <c r="F12816" s="3">
        <v>8</v>
      </c>
      <c r="G12816" t="s">
        <v>514</v>
      </c>
    </row>
    <row r="12817" spans="1:7" x14ac:dyDescent="0.25">
      <c r="A12817" s="1" t="str">
        <f>"527884"</f>
        <v>527884</v>
      </c>
      <c r="B12817" s="2" t="str">
        <f>"INVERSOR SIEMENS SINAMICS POWER MODULE 240"</f>
        <v>INVERSOR SIEMENS SINAMICS POWER MODULE 240</v>
      </c>
      <c r="C12817" s="2" t="str">
        <f t="shared" si="502"/>
        <v>UN</v>
      </c>
      <c r="D12817" s="7">
        <v>811</v>
      </c>
      <c r="E12817" s="3">
        <v>8</v>
      </c>
      <c r="F12817" s="3">
        <v>8</v>
      </c>
      <c r="G12817" t="s">
        <v>514</v>
      </c>
    </row>
    <row r="12818" spans="1:7" x14ac:dyDescent="0.25">
      <c r="A12818" s="1" t="str">
        <f>"521239"</f>
        <v>521239</v>
      </c>
      <c r="B12818" s="2" t="str">
        <f>"INVERSOR SIEMENS V20 380V 1,5CV 3,1A 6SL3210-5BE21-1UV0"</f>
        <v>INVERSOR SIEMENS V20 380V 1,5CV 3,1A 6SL3210-5BE21-1UV0</v>
      </c>
      <c r="C12818" s="2" t="str">
        <f t="shared" si="502"/>
        <v>UN</v>
      </c>
      <c r="D12818" s="7">
        <v>811</v>
      </c>
      <c r="E12818" s="3">
        <v>8</v>
      </c>
      <c r="F12818" s="3">
        <v>8</v>
      </c>
      <c r="G12818" t="s">
        <v>514</v>
      </c>
    </row>
    <row r="12819" spans="1:7" x14ac:dyDescent="0.25">
      <c r="A12819" s="1" t="str">
        <f>"518723"</f>
        <v>518723</v>
      </c>
      <c r="B12819" s="2" t="str">
        <f>"INVERSOR SIEMENS V20 380V 2CV 4,1A  6SL3210*5BE21-5UV0"</f>
        <v>INVERSOR SIEMENS V20 380V 2CV 4,1A  6SL3210*5BE21-5UV0</v>
      </c>
      <c r="C12819" s="2" t="str">
        <f t="shared" si="502"/>
        <v>UN</v>
      </c>
      <c r="D12819" s="7">
        <v>811</v>
      </c>
      <c r="E12819" s="3">
        <v>8</v>
      </c>
      <c r="F12819" s="3">
        <v>8</v>
      </c>
      <c r="G12819" t="s">
        <v>513</v>
      </c>
    </row>
    <row r="12820" spans="1:7" x14ac:dyDescent="0.25">
      <c r="A12820" s="1" t="str">
        <f>"518724"</f>
        <v>518724</v>
      </c>
      <c r="B12820" s="2" t="str">
        <f>"INVERSOR SIEMENS V20 380V 5CV 8,8A  6SL3210-5BE24-0UV0"</f>
        <v>INVERSOR SIEMENS V20 380V 5CV 8,8A  6SL3210-5BE24-0UV0</v>
      </c>
      <c r="C12820" s="2" t="str">
        <f t="shared" si="502"/>
        <v>UN</v>
      </c>
      <c r="D12820" s="7">
        <v>811</v>
      </c>
      <c r="E12820" s="3">
        <v>8</v>
      </c>
      <c r="F12820" s="3">
        <v>8</v>
      </c>
      <c r="G12820" t="s">
        <v>512</v>
      </c>
    </row>
    <row r="12821" spans="1:7" x14ac:dyDescent="0.25">
      <c r="A12821" s="1" t="str">
        <f>"521238"</f>
        <v>521238</v>
      </c>
      <c r="B12821" s="2" t="str">
        <f>"INVERSOR SIEMENS V20 380V 5CV 8,8A 6SL3210-5BE24-0UV0"</f>
        <v>INVERSOR SIEMENS V20 380V 5CV 8,8A 6SL3210-5BE24-0UV0</v>
      </c>
      <c r="C12821" s="2" t="str">
        <f t="shared" si="502"/>
        <v>UN</v>
      </c>
      <c r="D12821" s="7">
        <v>811</v>
      </c>
      <c r="E12821" s="3">
        <v>8</v>
      </c>
      <c r="F12821" s="3">
        <v>8</v>
      </c>
      <c r="G12821" t="s">
        <v>513</v>
      </c>
    </row>
    <row r="12822" spans="1:7" x14ac:dyDescent="0.25">
      <c r="A12822" s="1" t="str">
        <f>"526068"</f>
        <v>526068</v>
      </c>
      <c r="B12822" s="2" t="str">
        <f>"INVERSOR SINAMICSG120C+DP 5,5kW 380-480Vca6SL3210-1KE21-3UP1"</f>
        <v>INVERSOR SINAMICSG120C+DP 5,5kW 380-480Vca6SL3210-1KE21-3UP1</v>
      </c>
      <c r="C12822" s="2" t="str">
        <f t="shared" si="502"/>
        <v>UN</v>
      </c>
      <c r="D12822" s="7">
        <v>811</v>
      </c>
      <c r="E12822" s="3">
        <v>8</v>
      </c>
      <c r="F12822" s="3">
        <v>8</v>
      </c>
      <c r="G12822" t="s">
        <v>514</v>
      </c>
    </row>
    <row r="12823" spans="1:7" x14ac:dyDescent="0.25">
      <c r="A12823" s="1" t="str">
        <f>"519194"</f>
        <v>519194</v>
      </c>
      <c r="B12823" s="2" t="str">
        <f>"INVERSOR SV008IC5-1 0,75KW (1HP) 220V 50-60HZ"</f>
        <v>INVERSOR SV008IC5-1 0,75KW (1HP) 220V 50-60HZ</v>
      </c>
      <c r="C12823" s="2" t="str">
        <f t="shared" si="502"/>
        <v>UN</v>
      </c>
      <c r="D12823" s="7">
        <v>811</v>
      </c>
      <c r="E12823" s="3">
        <v>8</v>
      </c>
      <c r="F12823" s="3">
        <v>8</v>
      </c>
      <c r="G12823" t="s">
        <v>514</v>
      </c>
    </row>
    <row r="12824" spans="1:7" x14ac:dyDescent="0.25">
      <c r="A12824" s="1" t="str">
        <f>"516232"</f>
        <v>516232</v>
      </c>
      <c r="B12824" s="2" t="str">
        <f>"INVERSOR TELEMECANIQUE ATV28HU72N4"</f>
        <v>INVERSOR TELEMECANIQUE ATV28HU72N4</v>
      </c>
      <c r="C12824" s="2" t="str">
        <f t="shared" si="502"/>
        <v>UN</v>
      </c>
      <c r="D12824" s="7">
        <v>600</v>
      </c>
      <c r="E12824" s="3">
        <v>8</v>
      </c>
      <c r="F12824" s="3">
        <v>8</v>
      </c>
      <c r="G12824" t="s">
        <v>514</v>
      </c>
    </row>
    <row r="12825" spans="1:7" x14ac:dyDescent="0.25">
      <c r="A12825" s="1" t="str">
        <f>"519374"</f>
        <v>519374</v>
      </c>
      <c r="B12825" s="2" t="str">
        <f>"INVERSOR V20 230V 2CV 7,8A 6SL3210-5BB21-5UV0"</f>
        <v>INVERSOR V20 230V 2CV 7,8A 6SL3210-5BB21-5UV0</v>
      </c>
      <c r="C12825" s="2" t="str">
        <f t="shared" si="502"/>
        <v>UN</v>
      </c>
      <c r="D12825" s="7">
        <v>811</v>
      </c>
      <c r="E12825" s="3">
        <v>11</v>
      </c>
      <c r="F12825" s="3">
        <v>11</v>
      </c>
      <c r="G12825" t="s">
        <v>513</v>
      </c>
    </row>
    <row r="12826" spans="1:7" x14ac:dyDescent="0.25">
      <c r="A12826" s="1" t="str">
        <f>"520507"</f>
        <v>520507</v>
      </c>
      <c r="B12826" s="2" t="str">
        <f>"INVERSOR V20 6SL3210-5BE24-OUVO"</f>
        <v>INVERSOR V20 6SL3210-5BE24-OUVO</v>
      </c>
      <c r="C12826" s="2" t="str">
        <f t="shared" si="502"/>
        <v>UN</v>
      </c>
      <c r="D12826" s="7">
        <v>811</v>
      </c>
      <c r="E12826" s="3">
        <v>8</v>
      </c>
      <c r="F12826" s="3">
        <v>8</v>
      </c>
      <c r="G12826" t="s">
        <v>513</v>
      </c>
    </row>
    <row r="12827" spans="1:7" x14ac:dyDescent="0.25">
      <c r="A12827" s="1" t="str">
        <f>"518899"</f>
        <v>518899</v>
      </c>
      <c r="B12827" s="2" t="str">
        <f>"INVERSOR V20 INTERFACE P/ BOP 6SL3255-0 VA00-2AA1"</f>
        <v>INVERSOR V20 INTERFACE P/ BOP 6SL3255-0 VA00-2AA1</v>
      </c>
      <c r="C12827" s="2" t="str">
        <f t="shared" si="502"/>
        <v>UN</v>
      </c>
      <c r="D12827" s="7">
        <v>811</v>
      </c>
      <c r="E12827" s="3">
        <v>8</v>
      </c>
      <c r="F12827" s="3">
        <v>8</v>
      </c>
      <c r="G12827" t="s">
        <v>513</v>
      </c>
    </row>
    <row r="12828" spans="1:7" x14ac:dyDescent="0.25">
      <c r="A12828" s="1" t="str">
        <f>"512038"</f>
        <v>512038</v>
      </c>
      <c r="B12828" s="2" t="str">
        <f>"INVERSOR WEG 0.4KW 2A 1/2CV 380V"</f>
        <v>INVERSOR WEG 0.4KW 2A 1/2CV 380V</v>
      </c>
      <c r="C12828" s="2" t="str">
        <f t="shared" si="502"/>
        <v>UN</v>
      </c>
      <c r="D12828" s="7">
        <v>600</v>
      </c>
      <c r="E12828" s="3">
        <v>8</v>
      </c>
      <c r="F12828" s="3">
        <v>8</v>
      </c>
      <c r="G12828" t="s">
        <v>512</v>
      </c>
    </row>
    <row r="12829" spans="1:7" x14ac:dyDescent="0.25">
      <c r="A12829" s="1" t="str">
        <f>"510165"</f>
        <v>510165</v>
      </c>
      <c r="B12829" s="2" t="str">
        <f>"INVERSOR WEG CFW 08 0100 T 3848 PSZ"</f>
        <v>INVERSOR WEG CFW 08 0100 T 3848 PSZ</v>
      </c>
      <c r="C12829" s="2" t="str">
        <f t="shared" si="502"/>
        <v>UN</v>
      </c>
      <c r="D12829" s="7">
        <v>900</v>
      </c>
      <c r="E12829" s="3">
        <v>11</v>
      </c>
      <c r="F12829" s="3">
        <v>11</v>
      </c>
      <c r="G12829" t="s">
        <v>513</v>
      </c>
    </row>
    <row r="12830" spans="1:7" x14ac:dyDescent="0.25">
      <c r="A12830" s="1" t="str">
        <f>"527647"</f>
        <v>527647</v>
      </c>
      <c r="B12830" s="2" t="str">
        <f>"INVERSORG120X380V37KW75APNRFI IOP-2 6SL32203YE360AF0 SIEMENS"</f>
        <v>INVERSORG120X380V37KW75APNRFI IOP-2 6SL32203YE360AF0 SIEMENS</v>
      </c>
      <c r="C12830" s="2" t="str">
        <f t="shared" si="502"/>
        <v>UN</v>
      </c>
      <c r="D12830" s="7">
        <v>811</v>
      </c>
      <c r="E12830" s="3">
        <v>8</v>
      </c>
      <c r="F12830" s="3">
        <v>8</v>
      </c>
      <c r="G12830" t="s">
        <v>514</v>
      </c>
    </row>
    <row r="12831" spans="1:7" x14ac:dyDescent="0.25">
      <c r="A12831" s="1" t="str">
        <f>"514561"</f>
        <v>514561</v>
      </c>
      <c r="B12831" s="2" t="str">
        <f>"IODETO DE POTASSIO 10%"</f>
        <v>IODETO DE POTASSIO 10%</v>
      </c>
      <c r="C12831" s="2" t="str">
        <f t="shared" si="502"/>
        <v>UN</v>
      </c>
      <c r="D12831" s="7">
        <v>406</v>
      </c>
      <c r="E12831" s="3">
        <v>4</v>
      </c>
      <c r="F12831" s="3">
        <v>4</v>
      </c>
      <c r="G12831" t="s">
        <v>515</v>
      </c>
    </row>
    <row r="12832" spans="1:7" x14ac:dyDescent="0.25">
      <c r="A12832" s="1" t="str">
        <f>"522097"</f>
        <v>522097</v>
      </c>
      <c r="B12832" s="2" t="str">
        <f>"IODETO DE POTASSIO 20%"</f>
        <v>IODETO DE POTASSIO 20%</v>
      </c>
      <c r="C12832" s="2" t="str">
        <f t="shared" ref="C12832:C12863" si="503">"UN"</f>
        <v>UN</v>
      </c>
      <c r="D12832" s="7">
        <v>406</v>
      </c>
      <c r="E12832" s="3">
        <v>4</v>
      </c>
      <c r="F12832" s="3">
        <v>4</v>
      </c>
      <c r="G12832" t="s">
        <v>512</v>
      </c>
    </row>
    <row r="12833" spans="1:7" x14ac:dyDescent="0.25">
      <c r="A12833" s="1" t="str">
        <f>"528130"</f>
        <v>528130</v>
      </c>
      <c r="B12833" s="2" t="str">
        <f>"IODETO DE POTASSIO 20%"</f>
        <v>IODETO DE POTASSIO 20%</v>
      </c>
      <c r="C12833" s="2" t="str">
        <f t="shared" si="503"/>
        <v>UN</v>
      </c>
      <c r="D12833" s="7">
        <v>406</v>
      </c>
      <c r="E12833" s="3">
        <v>4</v>
      </c>
      <c r="F12833" s="3">
        <v>4</v>
      </c>
      <c r="G12833" t="s">
        <v>516</v>
      </c>
    </row>
    <row r="12834" spans="1:7" x14ac:dyDescent="0.25">
      <c r="A12834" s="1" t="str">
        <f>"518861"</f>
        <v>518861</v>
      </c>
      <c r="B12834" s="2" t="str">
        <f>"IODETO DE POTASSIO 7% 1L"</f>
        <v>IODETO DE POTASSIO 7% 1L</v>
      </c>
      <c r="C12834" s="2" t="str">
        <f t="shared" si="503"/>
        <v>UN</v>
      </c>
      <c r="D12834" s="7">
        <v>406</v>
      </c>
      <c r="E12834" s="3">
        <v>4</v>
      </c>
      <c r="F12834" s="3">
        <v>4</v>
      </c>
      <c r="G12834" t="s">
        <v>515</v>
      </c>
    </row>
    <row r="12835" spans="1:7" x14ac:dyDescent="0.25">
      <c r="A12835" s="1" t="str">
        <f>"523756"</f>
        <v>523756</v>
      </c>
      <c r="B12835" s="2" t="str">
        <f>"IODO"</f>
        <v>IODO</v>
      </c>
      <c r="C12835" s="2" t="str">
        <f t="shared" si="503"/>
        <v>UN</v>
      </c>
      <c r="D12835" s="7">
        <v>99999</v>
      </c>
      <c r="E12835" s="3">
        <v>99</v>
      </c>
      <c r="F12835" s="3">
        <v>99</v>
      </c>
      <c r="G12835" t="s">
        <v>514</v>
      </c>
    </row>
    <row r="12836" spans="1:7" x14ac:dyDescent="0.25">
      <c r="A12836" s="1" t="str">
        <f>"804"</f>
        <v>804</v>
      </c>
      <c r="B12836" s="2" t="str">
        <f>"IOG BAT C/ AC/MEL FRC-1000 G CARREFOUR"</f>
        <v>IOG BAT C/ AC/MEL FRC-1000 G CARREFOUR</v>
      </c>
      <c r="C12836" s="2" t="str">
        <f t="shared" si="503"/>
        <v>UN</v>
      </c>
      <c r="D12836" s="7">
        <v>18</v>
      </c>
      <c r="E12836" s="3">
        <v>6</v>
      </c>
      <c r="F12836" s="3">
        <v>6</v>
      </c>
      <c r="G12836" t="s">
        <v>512</v>
      </c>
    </row>
    <row r="12837" spans="1:7" x14ac:dyDescent="0.25">
      <c r="A12837" s="1" t="str">
        <f>"805"</f>
        <v>805</v>
      </c>
      <c r="B12837" s="2" t="str">
        <f>"IOG BAT C/ ACUCAR FRC-1000 G CARREFOUR"</f>
        <v>IOG BAT C/ ACUCAR FRC-1000 G CARREFOUR</v>
      </c>
      <c r="C12837" s="2" t="str">
        <f t="shared" si="503"/>
        <v>UN</v>
      </c>
      <c r="D12837" s="7">
        <v>18</v>
      </c>
      <c r="E12837" s="3">
        <v>6</v>
      </c>
      <c r="F12837" s="3">
        <v>6</v>
      </c>
      <c r="G12837" t="s">
        <v>513</v>
      </c>
    </row>
    <row r="12838" spans="1:7" x14ac:dyDescent="0.25">
      <c r="A12838" s="1" t="str">
        <f>"1513"</f>
        <v>1513</v>
      </c>
      <c r="B12838" s="2" t="str">
        <f>"IOG C/ POLPA MORANGO VIVER SOJA 160 G"</f>
        <v>IOG C/ POLPA MORANGO VIVER SOJA 160 G</v>
      </c>
      <c r="C12838" s="2" t="str">
        <f t="shared" si="503"/>
        <v>UN</v>
      </c>
      <c r="D12838" s="7">
        <v>9</v>
      </c>
      <c r="E12838" s="3">
        <v>6</v>
      </c>
      <c r="F12838" s="3">
        <v>6</v>
      </c>
      <c r="G12838" t="s">
        <v>514</v>
      </c>
    </row>
    <row r="12839" spans="1:7" x14ac:dyDescent="0.25">
      <c r="A12839" s="1" t="str">
        <f>"1512"</f>
        <v>1512</v>
      </c>
      <c r="B12839" s="2" t="str">
        <f>"IOG C/ POLPA PESSEGO VIVER SOJA 160 G"</f>
        <v>IOG C/ POLPA PESSEGO VIVER SOJA 160 G</v>
      </c>
      <c r="C12839" s="2" t="str">
        <f t="shared" si="503"/>
        <v>UN</v>
      </c>
      <c r="D12839" s="7">
        <v>9</v>
      </c>
      <c r="E12839" s="3">
        <v>6</v>
      </c>
      <c r="F12839" s="3">
        <v>6</v>
      </c>
      <c r="G12839" t="s">
        <v>514</v>
      </c>
    </row>
    <row r="12840" spans="1:7" x14ac:dyDescent="0.25">
      <c r="A12840" s="1" t="str">
        <f>"1486"</f>
        <v>1486</v>
      </c>
      <c r="B12840" s="2" t="str">
        <f>"IOG C/GELEIA AMEIXA DUET 130G C/25"</f>
        <v>IOG C/GELEIA AMEIXA DUET 130G C/25</v>
      </c>
      <c r="C12840" s="2" t="str">
        <f t="shared" si="503"/>
        <v>UN</v>
      </c>
      <c r="D12840" s="7">
        <v>2</v>
      </c>
      <c r="E12840" s="3">
        <v>6</v>
      </c>
      <c r="F12840" s="3">
        <v>6</v>
      </c>
      <c r="G12840" t="s">
        <v>512</v>
      </c>
    </row>
    <row r="12841" spans="1:7" x14ac:dyDescent="0.25">
      <c r="A12841" s="1" t="str">
        <f>"1482"</f>
        <v>1482</v>
      </c>
      <c r="B12841" s="2" t="str">
        <f>"IOG C/GELEIA FR.AMAR. DUET 130 G C/24UN"</f>
        <v>IOG C/GELEIA FR.AMAR. DUET 130 G C/24UN</v>
      </c>
      <c r="C12841" s="2" t="str">
        <f t="shared" si="503"/>
        <v>UN</v>
      </c>
      <c r="D12841" s="7">
        <v>2</v>
      </c>
      <c r="E12841" s="3">
        <v>6</v>
      </c>
      <c r="F12841" s="3">
        <v>6</v>
      </c>
      <c r="G12841" t="s">
        <v>513</v>
      </c>
    </row>
    <row r="12842" spans="1:7" x14ac:dyDescent="0.25">
      <c r="A12842" s="1" t="str">
        <f>"1216"</f>
        <v>1216</v>
      </c>
      <c r="B12842" s="2" t="str">
        <f>"IOG C/P.FRUT F.VERM FR-160 G CARREFOUR"</f>
        <v>IOG C/P.FRUT F.VERM FR-160 G CARREFOUR</v>
      </c>
      <c r="C12842" s="2" t="str">
        <f t="shared" si="503"/>
        <v>UN</v>
      </c>
      <c r="D12842" s="7">
        <v>9</v>
      </c>
      <c r="E12842" s="3">
        <v>6</v>
      </c>
      <c r="F12842" s="3">
        <v>6</v>
      </c>
      <c r="G12842" t="s">
        <v>514</v>
      </c>
    </row>
    <row r="12843" spans="1:7" x14ac:dyDescent="0.25">
      <c r="A12843" s="1" t="str">
        <f>"1203"</f>
        <v>1203</v>
      </c>
      <c r="B12843" s="2" t="str">
        <f>"IOG C/P.FRUT F.VERM FR-600 G CARREFOUR"</f>
        <v>IOG C/P.FRUT F.VERM FR-600 G CARREFOUR</v>
      </c>
      <c r="C12843" s="2" t="str">
        <f t="shared" si="503"/>
        <v>UN</v>
      </c>
      <c r="D12843" s="7">
        <v>14</v>
      </c>
      <c r="E12843" s="3">
        <v>6</v>
      </c>
      <c r="F12843" s="3">
        <v>6</v>
      </c>
      <c r="G12843" t="s">
        <v>514</v>
      </c>
    </row>
    <row r="12844" spans="1:7" x14ac:dyDescent="0.25">
      <c r="A12844" s="1" t="str">
        <f>"1214"</f>
        <v>1214</v>
      </c>
      <c r="B12844" s="2" t="str">
        <f>"IOG C/P.FRUTA COCO  FR-160 G CARREFOUR"</f>
        <v>IOG C/P.FRUTA COCO  FR-160 G CARREFOUR</v>
      </c>
      <c r="C12844" s="2" t="str">
        <f t="shared" si="503"/>
        <v>UN</v>
      </c>
      <c r="D12844" s="7">
        <v>9</v>
      </c>
      <c r="E12844" s="3">
        <v>6</v>
      </c>
      <c r="F12844" s="3">
        <v>6</v>
      </c>
      <c r="G12844" t="s">
        <v>514</v>
      </c>
    </row>
    <row r="12845" spans="1:7" x14ac:dyDescent="0.25">
      <c r="A12845" s="1" t="str">
        <f>"1201"</f>
        <v>1201</v>
      </c>
      <c r="B12845" s="2" t="str">
        <f>"IOG C/P.FRUTA COCO FR-600 G CARREFOUR"</f>
        <v>IOG C/P.FRUTA COCO FR-600 G CARREFOUR</v>
      </c>
      <c r="C12845" s="2" t="str">
        <f t="shared" si="503"/>
        <v>UN</v>
      </c>
      <c r="D12845" s="7">
        <v>14</v>
      </c>
      <c r="E12845" s="3">
        <v>6</v>
      </c>
      <c r="F12845" s="3">
        <v>6</v>
      </c>
      <c r="G12845" t="s">
        <v>513</v>
      </c>
    </row>
    <row r="12846" spans="1:7" x14ac:dyDescent="0.25">
      <c r="A12846" s="1" t="str">
        <f>"1213"</f>
        <v>1213</v>
      </c>
      <c r="B12846" s="2" t="str">
        <f>"IOG C/P.FRUTA MORAN.FR-160 G CARREFOUR"</f>
        <v>IOG C/P.FRUTA MORAN.FR-160 G CARREFOUR</v>
      </c>
      <c r="C12846" s="2" t="str">
        <f t="shared" si="503"/>
        <v>UN</v>
      </c>
      <c r="D12846" s="7">
        <v>9</v>
      </c>
      <c r="E12846" s="3">
        <v>6</v>
      </c>
      <c r="F12846" s="3">
        <v>6</v>
      </c>
      <c r="G12846" t="s">
        <v>512</v>
      </c>
    </row>
    <row r="12847" spans="1:7" x14ac:dyDescent="0.25">
      <c r="A12847" s="1" t="str">
        <f>"1200"</f>
        <v>1200</v>
      </c>
      <c r="B12847" s="2" t="str">
        <f>"IOG C/P.FRUTA MORAN.FR-600 G CARREFOUR"</f>
        <v>IOG C/P.FRUTA MORAN.FR-600 G CARREFOUR</v>
      </c>
      <c r="C12847" s="2" t="str">
        <f t="shared" si="503"/>
        <v>UN</v>
      </c>
      <c r="D12847" s="7">
        <v>14</v>
      </c>
      <c r="E12847" s="3">
        <v>6</v>
      </c>
      <c r="F12847" s="3">
        <v>6</v>
      </c>
      <c r="G12847" t="s">
        <v>513</v>
      </c>
    </row>
    <row r="12848" spans="1:7" x14ac:dyDescent="0.25">
      <c r="A12848" s="1" t="str">
        <f>"1215"</f>
        <v>1215</v>
      </c>
      <c r="B12848" s="2" t="str">
        <f>"IOG C/P.FRUTA PESS. FR-160 G CARREFOUR"</f>
        <v>IOG C/P.FRUTA PESS. FR-160 G CARREFOUR</v>
      </c>
      <c r="C12848" s="2" t="str">
        <f t="shared" si="503"/>
        <v>UN</v>
      </c>
      <c r="D12848" s="7">
        <v>9</v>
      </c>
      <c r="E12848" s="3">
        <v>6</v>
      </c>
      <c r="F12848" s="3">
        <v>6</v>
      </c>
      <c r="G12848" t="s">
        <v>514</v>
      </c>
    </row>
    <row r="12849" spans="1:7" x14ac:dyDescent="0.25">
      <c r="A12849" s="1" t="str">
        <f>"1202"</f>
        <v>1202</v>
      </c>
      <c r="B12849" s="2" t="str">
        <f>"IOG C/P.FRUTA PESS. FR-600 G CARREFOUR"</f>
        <v>IOG C/P.FRUTA PESS. FR-600 G CARREFOUR</v>
      </c>
      <c r="C12849" s="2" t="str">
        <f t="shared" si="503"/>
        <v>UN</v>
      </c>
      <c r="D12849" s="7">
        <v>14</v>
      </c>
      <c r="E12849" s="3">
        <v>6</v>
      </c>
      <c r="F12849" s="3">
        <v>6</v>
      </c>
      <c r="G12849" t="s">
        <v>514</v>
      </c>
    </row>
    <row r="12850" spans="1:7" x14ac:dyDescent="0.25">
      <c r="A12850" s="1" t="str">
        <f>"1074"</f>
        <v>1074</v>
      </c>
      <c r="B12850" s="2" t="str">
        <f>"IOG C/POLPA FRUT MO/S.FRT BJ 600G 12UNID"</f>
        <v>IOG C/POLPA FRUT MO/S.FRT BJ 600G 12UNID</v>
      </c>
      <c r="C12850" s="2" t="str">
        <f t="shared" si="503"/>
        <v>UN</v>
      </c>
      <c r="D12850" s="7">
        <v>22</v>
      </c>
      <c r="E12850" s="3">
        <v>6</v>
      </c>
      <c r="F12850" s="3">
        <v>6</v>
      </c>
      <c r="G12850" t="s">
        <v>514</v>
      </c>
    </row>
    <row r="12851" spans="1:7" x14ac:dyDescent="0.25">
      <c r="A12851" s="1" t="str">
        <f>"1073"</f>
        <v>1073</v>
      </c>
      <c r="B12851" s="2" t="str">
        <f>"IOG C/POLPA FRUT MOR/COCO BJ 600G 12UNID"</f>
        <v>IOG C/POLPA FRUT MOR/COCO BJ 600G 12UNID</v>
      </c>
      <c r="C12851" s="2" t="str">
        <f t="shared" si="503"/>
        <v>UN</v>
      </c>
      <c r="D12851" s="7">
        <v>22</v>
      </c>
      <c r="E12851" s="3">
        <v>6</v>
      </c>
      <c r="F12851" s="3">
        <v>6</v>
      </c>
      <c r="G12851" t="s">
        <v>513</v>
      </c>
    </row>
    <row r="12852" spans="1:7" x14ac:dyDescent="0.25">
      <c r="A12852" s="1" t="str">
        <f>"1072"</f>
        <v>1072</v>
      </c>
      <c r="B12852" s="2" t="str">
        <f>"IOG C/POLPA FRUTA MORANGO BJ 600G 12UNID"</f>
        <v>IOG C/POLPA FRUTA MORANGO BJ 600G 12UNID</v>
      </c>
      <c r="C12852" s="2" t="str">
        <f t="shared" si="503"/>
        <v>UN</v>
      </c>
      <c r="D12852" s="7">
        <v>22</v>
      </c>
      <c r="E12852" s="3">
        <v>6</v>
      </c>
      <c r="F12852" s="3">
        <v>6</v>
      </c>
      <c r="G12852" t="s">
        <v>513</v>
      </c>
    </row>
    <row r="12853" spans="1:7" x14ac:dyDescent="0.25">
      <c r="A12853" s="1" t="str">
        <f>"3410"</f>
        <v>3410</v>
      </c>
      <c r="B12853" s="2" t="str">
        <f>"IOG INT ADOCADO - GREGO TORTA DE LIMAO 100G"</f>
        <v>IOG INT ADOCADO - GREGO TORTA DE LIMAO 100G</v>
      </c>
      <c r="C12853" s="2" t="str">
        <f t="shared" si="503"/>
        <v>UN</v>
      </c>
      <c r="D12853" s="7">
        <v>32</v>
      </c>
      <c r="E12853" s="3">
        <v>6</v>
      </c>
      <c r="F12853" s="3">
        <v>6</v>
      </c>
      <c r="G12853" t="s">
        <v>513</v>
      </c>
    </row>
    <row r="12854" spans="1:7" x14ac:dyDescent="0.25">
      <c r="A12854" s="1" t="str">
        <f>"3411"</f>
        <v>3411</v>
      </c>
      <c r="B12854" s="2" t="str">
        <f>"IOG INT ADOCADO - GREGO TORTA DE MAÇA C/ CANELA 100G"</f>
        <v>IOG INT ADOCADO - GREGO TORTA DE MAÇA C/ CANELA 100G</v>
      </c>
      <c r="C12854" s="2" t="str">
        <f t="shared" si="503"/>
        <v>UN</v>
      </c>
      <c r="D12854" s="7">
        <v>32</v>
      </c>
      <c r="E12854" s="3">
        <v>6</v>
      </c>
      <c r="F12854" s="3">
        <v>6</v>
      </c>
      <c r="G12854" t="s">
        <v>512</v>
      </c>
    </row>
    <row r="12855" spans="1:7" x14ac:dyDescent="0.25">
      <c r="A12855" s="1" t="str">
        <f>"3511"</f>
        <v>3511</v>
      </c>
      <c r="B12855" s="2" t="str">
        <f>"IOG INT ADOCADO C/ GELEIA DE MOR - GREGO 100G"</f>
        <v>IOG INT ADOCADO C/ GELEIA DE MOR - GREGO 100G</v>
      </c>
      <c r="C12855" s="2" t="str">
        <f t="shared" si="503"/>
        <v>UN</v>
      </c>
      <c r="D12855" s="7">
        <v>32</v>
      </c>
      <c r="E12855" s="3">
        <v>6</v>
      </c>
      <c r="F12855" s="3">
        <v>6</v>
      </c>
      <c r="G12855" t="s">
        <v>513</v>
      </c>
    </row>
    <row r="12856" spans="1:7" x14ac:dyDescent="0.25">
      <c r="A12856" s="1" t="str">
        <f>"3573"</f>
        <v>3573</v>
      </c>
      <c r="B12856" s="2" t="str">
        <f>"IOG INT C/ POL PEDAÇOS F.VEM SEM LACTOSE 140G"</f>
        <v>IOG INT C/ POL PEDAÇOS F.VEM SEM LACTOSE 140G</v>
      </c>
      <c r="C12856" s="2" t="str">
        <f t="shared" si="503"/>
        <v>UN</v>
      </c>
      <c r="D12856" s="7">
        <v>45</v>
      </c>
      <c r="E12856" s="3">
        <v>6</v>
      </c>
      <c r="F12856" s="3">
        <v>6</v>
      </c>
      <c r="G12856" t="s">
        <v>514</v>
      </c>
    </row>
    <row r="12857" spans="1:7" x14ac:dyDescent="0.25">
      <c r="A12857" s="1" t="str">
        <f>"3572"</f>
        <v>3572</v>
      </c>
      <c r="B12857" s="2" t="str">
        <f>"IOG INT C/ POL PEDAÇOS MOR SEM LACTOSE 140G"</f>
        <v>IOG INT C/ POL PEDAÇOS MOR SEM LACTOSE 140G</v>
      </c>
      <c r="C12857" s="2" t="str">
        <f t="shared" si="503"/>
        <v>UN</v>
      </c>
      <c r="D12857" s="7">
        <v>45</v>
      </c>
      <c r="E12857" s="3">
        <v>6</v>
      </c>
      <c r="F12857" s="3">
        <v>6</v>
      </c>
      <c r="G12857" t="s">
        <v>515</v>
      </c>
    </row>
    <row r="12858" spans="1:7" x14ac:dyDescent="0.25">
      <c r="A12858" s="1" t="str">
        <f>"2037"</f>
        <v>2037</v>
      </c>
      <c r="B12858" s="2" t="str">
        <f>"IOG INT C/ POLPA E PEDACOS COCO GLUCK 160G"</f>
        <v>IOG INT C/ POLPA E PEDACOS COCO GLUCK 160G</v>
      </c>
      <c r="C12858" s="2" t="str">
        <f t="shared" si="503"/>
        <v>UN</v>
      </c>
      <c r="D12858" s="7">
        <v>39</v>
      </c>
      <c r="E12858" s="3">
        <v>6</v>
      </c>
      <c r="F12858" s="3">
        <v>6</v>
      </c>
      <c r="G12858" t="s">
        <v>512</v>
      </c>
    </row>
    <row r="12859" spans="1:7" x14ac:dyDescent="0.25">
      <c r="A12859" s="1" t="str">
        <f>"2043R"</f>
        <v>2043R</v>
      </c>
      <c r="B12859" s="2" t="str">
        <f>"IOG INT C/ POLPA E PEDACOS DE F VERM 500G"</f>
        <v>IOG INT C/ POLPA E PEDACOS DE F VERM 500G</v>
      </c>
      <c r="C12859" s="2" t="str">
        <f t="shared" si="503"/>
        <v>UN</v>
      </c>
      <c r="D12859" s="7">
        <v>40</v>
      </c>
      <c r="E12859" s="3">
        <v>6</v>
      </c>
      <c r="F12859" s="3">
        <v>6</v>
      </c>
      <c r="G12859" t="s">
        <v>516</v>
      </c>
    </row>
    <row r="12860" spans="1:7" x14ac:dyDescent="0.25">
      <c r="A12860" s="1" t="str">
        <f>"2038"</f>
        <v>2038</v>
      </c>
      <c r="B12860" s="2" t="str">
        <f>"IOG INT C/ POLPA E PEDACOS MOR/AMO/FRAN GLUCK 160"</f>
        <v>IOG INT C/ POLPA E PEDACOS MOR/AMO/FRAN GLUCK 160</v>
      </c>
      <c r="C12860" s="2" t="str">
        <f t="shared" si="503"/>
        <v>UN</v>
      </c>
      <c r="D12860" s="7">
        <v>39</v>
      </c>
      <c r="E12860" s="3">
        <v>6</v>
      </c>
      <c r="F12860" s="3">
        <v>6</v>
      </c>
      <c r="G12860" t="s">
        <v>515</v>
      </c>
    </row>
    <row r="12861" spans="1:7" x14ac:dyDescent="0.25">
      <c r="A12861" s="1" t="str">
        <f>"2036"</f>
        <v>2036</v>
      </c>
      <c r="B12861" s="2" t="str">
        <f>"IOG INT C/ POLPA E PEDACOS MORANGO GLUCK 160G"</f>
        <v>IOG INT C/ POLPA E PEDACOS MORANGO GLUCK 160G</v>
      </c>
      <c r="C12861" s="2" t="str">
        <f t="shared" si="503"/>
        <v>UN</v>
      </c>
      <c r="D12861" s="7">
        <v>39</v>
      </c>
      <c r="E12861" s="3">
        <v>6</v>
      </c>
      <c r="F12861" s="3">
        <v>6</v>
      </c>
      <c r="G12861" t="s">
        <v>514</v>
      </c>
    </row>
    <row r="12862" spans="1:7" x14ac:dyDescent="0.25">
      <c r="A12862" s="1" t="str">
        <f>"2126"</f>
        <v>2126</v>
      </c>
      <c r="B12862" s="2" t="str">
        <f>"IOG INT C/ PREP DE F.VERMELHAS EM PEDAÇOS 850G"</f>
        <v>IOG INT C/ PREP DE F.VERMELHAS EM PEDAÇOS 850G</v>
      </c>
      <c r="C12862" s="2" t="str">
        <f t="shared" si="503"/>
        <v>UN</v>
      </c>
      <c r="D12862" s="7">
        <v>15</v>
      </c>
      <c r="E12862" s="3">
        <v>6</v>
      </c>
      <c r="F12862" s="3">
        <v>6</v>
      </c>
      <c r="G12862" t="s">
        <v>512</v>
      </c>
    </row>
    <row r="12863" spans="1:7" x14ac:dyDescent="0.25">
      <c r="A12863" s="1" t="str">
        <f>"2127"</f>
        <v>2127</v>
      </c>
      <c r="B12863" s="2" t="str">
        <f>"IOG INT C/ PREP DE MOR E BANANA EM PEDAÇOS 850G"</f>
        <v>IOG INT C/ PREP DE MOR E BANANA EM PEDAÇOS 850G</v>
      </c>
      <c r="C12863" s="2" t="str">
        <f t="shared" si="503"/>
        <v>UN</v>
      </c>
      <c r="D12863" s="7">
        <v>15</v>
      </c>
      <c r="E12863" s="3">
        <v>6</v>
      </c>
      <c r="F12863" s="3">
        <v>6</v>
      </c>
      <c r="G12863" t="s">
        <v>513</v>
      </c>
    </row>
    <row r="12864" spans="1:7" x14ac:dyDescent="0.25">
      <c r="A12864" s="1" t="str">
        <f>"2128"</f>
        <v>2128</v>
      </c>
      <c r="B12864" s="2" t="str">
        <f>"IOG INT C/ PREP DE PESSEGO EM PEDAÇOS 850G"</f>
        <v>IOG INT C/ PREP DE PESSEGO EM PEDAÇOS 850G</v>
      </c>
      <c r="C12864" s="2" t="str">
        <f t="shared" ref="C12864:C12895" si="504">"UN"</f>
        <v>UN</v>
      </c>
      <c r="D12864" s="7">
        <v>15</v>
      </c>
      <c r="E12864" s="3">
        <v>6</v>
      </c>
      <c r="F12864" s="3">
        <v>6</v>
      </c>
      <c r="G12864" t="s">
        <v>514</v>
      </c>
    </row>
    <row r="12865" spans="1:7" x14ac:dyDescent="0.25">
      <c r="A12865" s="1" t="str">
        <f>"3007"</f>
        <v>3007</v>
      </c>
      <c r="B12865" s="2" t="str">
        <f>"IOG INT C/ PREPARADO F VERM 500G DIA%"</f>
        <v>IOG INT C/ PREPARADO F VERM 500G DIA%</v>
      </c>
      <c r="C12865" s="2" t="str">
        <f t="shared" si="504"/>
        <v>UN</v>
      </c>
      <c r="D12865" s="7">
        <v>40</v>
      </c>
      <c r="E12865" s="3">
        <v>6</v>
      </c>
      <c r="F12865" s="3">
        <v>6</v>
      </c>
      <c r="G12865" t="s">
        <v>514</v>
      </c>
    </row>
    <row r="12866" spans="1:7" x14ac:dyDescent="0.25">
      <c r="A12866" s="1" t="str">
        <f>"3006"</f>
        <v>3006</v>
      </c>
      <c r="B12866" s="2" t="str">
        <f>"IOG INT C/ PREPARADO MOR 500G DIA%"</f>
        <v>IOG INT C/ PREPARADO MOR 500G DIA%</v>
      </c>
      <c r="C12866" s="2" t="str">
        <f t="shared" si="504"/>
        <v>UN</v>
      </c>
      <c r="D12866" s="7">
        <v>40</v>
      </c>
      <c r="E12866" s="3">
        <v>6</v>
      </c>
      <c r="F12866" s="3">
        <v>6</v>
      </c>
      <c r="G12866" t="s">
        <v>512</v>
      </c>
    </row>
    <row r="12867" spans="1:7" x14ac:dyDescent="0.25">
      <c r="A12867" s="1" t="str">
        <f>"3503"</f>
        <v>3503</v>
      </c>
      <c r="B12867" s="2" t="str">
        <f>"IOG INTEGRAL ADOCADO - GREGO ZERO MORANGO 100G"</f>
        <v>IOG INTEGRAL ADOCADO - GREGO ZERO MORANGO 100G</v>
      </c>
      <c r="C12867" s="2" t="str">
        <f t="shared" si="504"/>
        <v>UN</v>
      </c>
      <c r="D12867" s="7">
        <v>32</v>
      </c>
      <c r="E12867" s="3">
        <v>6</v>
      </c>
      <c r="F12867" s="3">
        <v>6</v>
      </c>
      <c r="G12867" t="s">
        <v>513</v>
      </c>
    </row>
    <row r="12868" spans="1:7" x14ac:dyDescent="0.25">
      <c r="A12868" s="1" t="str">
        <f>"3502"</f>
        <v>3502</v>
      </c>
      <c r="B12868" s="2" t="str">
        <f>"IOG INTEGRAL ADOCADO - GREGO ZERO TRADICIONAL 100G"</f>
        <v>IOG INTEGRAL ADOCADO - GREGO ZERO TRADICIONAL 100G</v>
      </c>
      <c r="C12868" s="2" t="str">
        <f t="shared" si="504"/>
        <v>UN</v>
      </c>
      <c r="D12868" s="7">
        <v>32</v>
      </c>
      <c r="E12868" s="3">
        <v>6</v>
      </c>
      <c r="F12868" s="3">
        <v>6</v>
      </c>
      <c r="G12868" t="s">
        <v>514</v>
      </c>
    </row>
    <row r="12869" spans="1:7" x14ac:dyDescent="0.25">
      <c r="A12869" s="1" t="str">
        <f>"3512"</f>
        <v>3512</v>
      </c>
      <c r="B12869" s="2" t="str">
        <f>"IOG INTEGRAL ADOCADO C/ GELEIA DE F.VERMELHAS - GREGO 100G"</f>
        <v>IOG INTEGRAL ADOCADO C/ GELEIA DE F.VERMELHAS - GREGO 100G</v>
      </c>
      <c r="C12869" s="2" t="str">
        <f t="shared" si="504"/>
        <v>UN</v>
      </c>
      <c r="D12869" s="7">
        <v>32</v>
      </c>
      <c r="E12869" s="3">
        <v>6</v>
      </c>
      <c r="F12869" s="3">
        <v>6</v>
      </c>
      <c r="G12869" t="s">
        <v>514</v>
      </c>
    </row>
    <row r="12870" spans="1:7" x14ac:dyDescent="0.25">
      <c r="A12870" s="1" t="str">
        <f>"3513"</f>
        <v>3513</v>
      </c>
      <c r="B12870" s="2" t="str">
        <f>"IOG INTEGRAL ADOCADO C/ GELEIA DE MARACUJA - GREGO 100G"</f>
        <v>IOG INTEGRAL ADOCADO C/ GELEIA DE MARACUJA - GREGO 100G</v>
      </c>
      <c r="C12870" s="2" t="str">
        <f t="shared" si="504"/>
        <v>UN</v>
      </c>
      <c r="D12870" s="7">
        <v>32</v>
      </c>
      <c r="E12870" s="3">
        <v>6</v>
      </c>
      <c r="F12870" s="3">
        <v>6</v>
      </c>
      <c r="G12870" t="s">
        <v>514</v>
      </c>
    </row>
    <row r="12871" spans="1:7" x14ac:dyDescent="0.25">
      <c r="A12871" s="1" t="str">
        <f>"1506"</f>
        <v>1506</v>
      </c>
      <c r="B12871" s="2" t="str">
        <f>"IOG LIGHT C/ POLPA AMEIXA VIVER 150G"</f>
        <v>IOG LIGHT C/ POLPA AMEIXA VIVER 150G</v>
      </c>
      <c r="C12871" s="2" t="str">
        <f t="shared" si="504"/>
        <v>UN</v>
      </c>
      <c r="D12871" s="7">
        <v>8</v>
      </c>
      <c r="E12871" s="3">
        <v>6</v>
      </c>
      <c r="F12871" s="3">
        <v>6</v>
      </c>
      <c r="G12871" t="s">
        <v>513</v>
      </c>
    </row>
    <row r="12872" spans="1:7" x14ac:dyDescent="0.25">
      <c r="A12872" s="1" t="str">
        <f>"1507"</f>
        <v>1507</v>
      </c>
      <c r="B12872" s="2" t="str">
        <f>"IOG LIGHT C/ POLPA AMEIXA VIVER 600G"</f>
        <v>IOG LIGHT C/ POLPA AMEIXA VIVER 600G</v>
      </c>
      <c r="C12872" s="2" t="str">
        <f t="shared" si="504"/>
        <v>UN</v>
      </c>
      <c r="D12872" s="7">
        <v>14</v>
      </c>
      <c r="E12872" s="3">
        <v>6</v>
      </c>
      <c r="F12872" s="3">
        <v>6</v>
      </c>
      <c r="G12872" t="s">
        <v>512</v>
      </c>
    </row>
    <row r="12873" spans="1:7" x14ac:dyDescent="0.25">
      <c r="A12873" s="1" t="str">
        <f>"1508"</f>
        <v>1508</v>
      </c>
      <c r="B12873" s="2" t="str">
        <f>"IOG LIGHT C/ POLPA MORANGO VIVER 150G"</f>
        <v>IOG LIGHT C/ POLPA MORANGO VIVER 150G</v>
      </c>
      <c r="C12873" s="2" t="str">
        <f t="shared" si="504"/>
        <v>UN</v>
      </c>
      <c r="D12873" s="7">
        <v>8</v>
      </c>
      <c r="E12873" s="3">
        <v>6</v>
      </c>
      <c r="F12873" s="3">
        <v>6</v>
      </c>
      <c r="G12873" t="s">
        <v>513</v>
      </c>
    </row>
    <row r="12874" spans="1:7" x14ac:dyDescent="0.25">
      <c r="A12874" s="1" t="str">
        <f>"1509"</f>
        <v>1509</v>
      </c>
      <c r="B12874" s="2" t="str">
        <f>"IOG LIGHT C/ POLPA MORANGO VIVER 600G"</f>
        <v>IOG LIGHT C/ POLPA MORANGO VIVER 600G</v>
      </c>
      <c r="C12874" s="2" t="str">
        <f t="shared" si="504"/>
        <v>UN</v>
      </c>
      <c r="D12874" s="7">
        <v>14</v>
      </c>
      <c r="E12874" s="3">
        <v>6</v>
      </c>
      <c r="F12874" s="3">
        <v>6</v>
      </c>
      <c r="G12874" t="s">
        <v>514</v>
      </c>
    </row>
    <row r="12875" spans="1:7" x14ac:dyDescent="0.25">
      <c r="A12875" s="1" t="str">
        <f>"1510"</f>
        <v>1510</v>
      </c>
      <c r="B12875" s="2" t="str">
        <f>"IOG LIGHT C/ POLPA S.FRUTA VIVER 150G"</f>
        <v>IOG LIGHT C/ POLPA S.FRUTA VIVER 150G</v>
      </c>
      <c r="C12875" s="2" t="str">
        <f t="shared" si="504"/>
        <v>UN</v>
      </c>
      <c r="D12875" s="7">
        <v>8</v>
      </c>
      <c r="E12875" s="3">
        <v>6</v>
      </c>
      <c r="F12875" s="3">
        <v>6</v>
      </c>
      <c r="G12875" t="s">
        <v>514</v>
      </c>
    </row>
    <row r="12876" spans="1:7" x14ac:dyDescent="0.25">
      <c r="A12876" s="1" t="str">
        <f>"1511"</f>
        <v>1511</v>
      </c>
      <c r="B12876" s="2" t="str">
        <f>"IOG LIGHT C/ POLPA S.FRUTA VIVER 600G"</f>
        <v>IOG LIGHT C/ POLPA S.FRUTA VIVER 600G</v>
      </c>
      <c r="C12876" s="2" t="str">
        <f t="shared" si="504"/>
        <v>UN</v>
      </c>
      <c r="D12876" s="7">
        <v>14</v>
      </c>
      <c r="E12876" s="3">
        <v>6</v>
      </c>
      <c r="F12876" s="3">
        <v>6</v>
      </c>
      <c r="G12876" t="s">
        <v>514</v>
      </c>
    </row>
    <row r="12877" spans="1:7" x14ac:dyDescent="0.25">
      <c r="A12877" s="1" t="str">
        <f>"3571"</f>
        <v>3571</v>
      </c>
      <c r="B12877" s="2" t="str">
        <f>"IOG NAT DESNATADO SEM LACTOSE 140G"</f>
        <v>IOG NAT DESNATADO SEM LACTOSE 140G</v>
      </c>
      <c r="C12877" s="2" t="str">
        <f t="shared" si="504"/>
        <v>UN</v>
      </c>
      <c r="D12877" s="7">
        <v>45</v>
      </c>
      <c r="E12877" s="3">
        <v>6</v>
      </c>
      <c r="F12877" s="3">
        <v>6</v>
      </c>
      <c r="G12877" t="s">
        <v>513</v>
      </c>
    </row>
    <row r="12878" spans="1:7" x14ac:dyDescent="0.25">
      <c r="A12878" s="1" t="str">
        <f>"1477"</f>
        <v>1477</v>
      </c>
      <c r="B12878" s="2" t="str">
        <f>"IOG NATURAL COM MEL CAROLINA 170 G C/18UN"</f>
        <v>IOG NATURAL COM MEL CAROLINA 170 G C/18UN</v>
      </c>
      <c r="C12878" s="2" t="str">
        <f t="shared" si="504"/>
        <v>UN</v>
      </c>
      <c r="D12878" s="7">
        <v>35</v>
      </c>
      <c r="E12878" s="3">
        <v>6</v>
      </c>
      <c r="F12878" s="3">
        <v>6</v>
      </c>
      <c r="G12878" t="s">
        <v>513</v>
      </c>
    </row>
    <row r="12879" spans="1:7" x14ac:dyDescent="0.25">
      <c r="A12879" s="1" t="str">
        <f>"1476"</f>
        <v>1476</v>
      </c>
      <c r="B12879" s="2" t="str">
        <f>"IOG NATURAL DESNATAD CAROLIN 170 G C/18UN"</f>
        <v>IOG NATURAL DESNATAD CAROLIN 170 G C/18UN</v>
      </c>
      <c r="C12879" s="2" t="str">
        <f t="shared" si="504"/>
        <v>UN</v>
      </c>
      <c r="D12879" s="7">
        <v>35</v>
      </c>
      <c r="E12879" s="3">
        <v>6</v>
      </c>
      <c r="F12879" s="3">
        <v>6</v>
      </c>
      <c r="G12879" t="s">
        <v>513</v>
      </c>
    </row>
    <row r="12880" spans="1:7" x14ac:dyDescent="0.25">
      <c r="A12880" s="1" t="str">
        <f>"3570"</f>
        <v>3570</v>
      </c>
      <c r="B12880" s="2" t="str">
        <f>"IOG NATURAL INT SEM LACTOSE 140G"</f>
        <v>IOG NATURAL INT SEM LACTOSE 140G</v>
      </c>
      <c r="C12880" s="2" t="str">
        <f t="shared" si="504"/>
        <v>UN</v>
      </c>
      <c r="D12880" s="7">
        <v>45</v>
      </c>
      <c r="E12880" s="3">
        <v>6</v>
      </c>
      <c r="F12880" s="3">
        <v>6</v>
      </c>
      <c r="G12880" t="s">
        <v>512</v>
      </c>
    </row>
    <row r="12881" spans="1:7" x14ac:dyDescent="0.25">
      <c r="A12881" s="1" t="str">
        <f>"1475"</f>
        <v>1475</v>
      </c>
      <c r="B12881" s="2" t="str">
        <f>"IOG NATURAL INTEGRAL CAROLIN 170 G C/18UN"</f>
        <v>IOG NATURAL INTEGRAL CAROLIN 170 G C/18UN</v>
      </c>
      <c r="C12881" s="2" t="str">
        <f t="shared" si="504"/>
        <v>UN</v>
      </c>
      <c r="D12881" s="7">
        <v>35</v>
      </c>
      <c r="E12881" s="3">
        <v>6</v>
      </c>
      <c r="F12881" s="3">
        <v>6</v>
      </c>
      <c r="G12881" t="s">
        <v>513</v>
      </c>
    </row>
    <row r="12882" spans="1:7" x14ac:dyDescent="0.25">
      <c r="A12882" s="1" t="str">
        <f>"1246"</f>
        <v>1246</v>
      </c>
      <c r="B12882" s="2" t="str">
        <f>"IOG NATURAL INTEGRAL COOP 185 G"</f>
        <v>IOG NATURAL INTEGRAL COOP 185 G</v>
      </c>
      <c r="C12882" s="2" t="str">
        <f t="shared" si="504"/>
        <v>UN</v>
      </c>
      <c r="D12882" s="7">
        <v>4</v>
      </c>
      <c r="E12882" s="3">
        <v>6</v>
      </c>
      <c r="F12882" s="3">
        <v>6</v>
      </c>
      <c r="G12882" t="s">
        <v>514</v>
      </c>
    </row>
    <row r="12883" spans="1:7" x14ac:dyDescent="0.25">
      <c r="A12883" s="1" t="str">
        <f>"1593"</f>
        <v>1593</v>
      </c>
      <c r="B12883" s="2" t="str">
        <f>"IOG PARC DESN ADOCADO E BANANA - MIX LA VITA 125G"</f>
        <v>IOG PARC DESN ADOCADO E BANANA - MIX LA VITA 125G</v>
      </c>
      <c r="C12883" s="2" t="str">
        <f t="shared" si="504"/>
        <v>UN</v>
      </c>
      <c r="D12883" s="7">
        <v>33</v>
      </c>
      <c r="E12883" s="3">
        <v>6</v>
      </c>
      <c r="F12883" s="3">
        <v>6</v>
      </c>
      <c r="G12883" t="s">
        <v>515</v>
      </c>
    </row>
    <row r="12884" spans="1:7" x14ac:dyDescent="0.25">
      <c r="A12884" s="1" t="str">
        <f>"1590"</f>
        <v>1590</v>
      </c>
      <c r="B12884" s="2" t="str">
        <f>"IOG PARC DESN ADOCADO E FLOCOS MILHO - LA VITA MIX 120G"</f>
        <v>IOG PARC DESN ADOCADO E FLOCOS MILHO - LA VITA MIX 120G</v>
      </c>
      <c r="C12884" s="2" t="str">
        <f t="shared" si="504"/>
        <v>UN</v>
      </c>
      <c r="D12884" s="7">
        <v>1</v>
      </c>
      <c r="E12884" s="3">
        <v>6</v>
      </c>
      <c r="F12884" s="3">
        <v>6</v>
      </c>
      <c r="G12884" t="s">
        <v>512</v>
      </c>
    </row>
    <row r="12885" spans="1:7" x14ac:dyDescent="0.25">
      <c r="A12885" s="1" t="str">
        <f>"1591"</f>
        <v>1591</v>
      </c>
      <c r="B12885" s="2" t="str">
        <f>"IOG PARC DESN ADOCADO E GRANOLA - LA VITA MIX 125G"</f>
        <v>IOG PARC DESN ADOCADO E GRANOLA - LA VITA MIX 125G</v>
      </c>
      <c r="C12885" s="2" t="str">
        <f t="shared" si="504"/>
        <v>UN</v>
      </c>
      <c r="D12885" s="7">
        <v>33</v>
      </c>
      <c r="E12885" s="3">
        <v>6</v>
      </c>
      <c r="F12885" s="3">
        <v>6</v>
      </c>
      <c r="G12885" t="s">
        <v>516</v>
      </c>
    </row>
    <row r="12886" spans="1:7" x14ac:dyDescent="0.25">
      <c r="A12886" s="1" t="str">
        <f>"1596"</f>
        <v>1596</v>
      </c>
      <c r="B12886" s="2" t="str">
        <f>"IOG PARC DESN ADOCADO E MARACUJA - MIX LA VITA 135G"</f>
        <v>IOG PARC DESN ADOCADO E MARACUJA - MIX LA VITA 135G</v>
      </c>
      <c r="C12886" s="2" t="str">
        <f t="shared" si="504"/>
        <v>UN</v>
      </c>
      <c r="D12886" s="7">
        <v>36</v>
      </c>
      <c r="E12886" s="3">
        <v>6</v>
      </c>
      <c r="F12886" s="3">
        <v>6</v>
      </c>
      <c r="G12886" t="s">
        <v>515</v>
      </c>
    </row>
    <row r="12887" spans="1:7" x14ac:dyDescent="0.25">
      <c r="A12887" s="1" t="str">
        <f>"1594"</f>
        <v>1594</v>
      </c>
      <c r="B12887" s="2" t="str">
        <f>"IOG PARC DESN ADOCADO E PESSEGO - MIX LA VITA 135G"</f>
        <v>IOG PARC DESN ADOCADO E PESSEGO - MIX LA VITA 135G</v>
      </c>
      <c r="C12887" s="2" t="str">
        <f t="shared" si="504"/>
        <v>UN</v>
      </c>
      <c r="D12887" s="7">
        <v>36</v>
      </c>
      <c r="E12887" s="3">
        <v>6</v>
      </c>
      <c r="F12887" s="3">
        <v>6</v>
      </c>
      <c r="G12887" t="s">
        <v>514</v>
      </c>
    </row>
    <row r="12888" spans="1:7" x14ac:dyDescent="0.25">
      <c r="A12888" s="1" t="str">
        <f>"1595"</f>
        <v>1595</v>
      </c>
      <c r="B12888" s="2" t="str">
        <f>"IOG PARC DESN ADOCADO E S. FRUTA - MIX LA VITA 135G"</f>
        <v>IOG PARC DESN ADOCADO E S. FRUTA - MIX LA VITA 135G</v>
      </c>
      <c r="C12888" s="2" t="str">
        <f t="shared" si="504"/>
        <v>UN</v>
      </c>
      <c r="D12888" s="7">
        <v>36</v>
      </c>
      <c r="E12888" s="3">
        <v>6</v>
      </c>
      <c r="F12888" s="3">
        <v>6</v>
      </c>
      <c r="G12888" t="s">
        <v>512</v>
      </c>
    </row>
    <row r="12889" spans="1:7" x14ac:dyDescent="0.25">
      <c r="A12889" s="1" t="str">
        <f>"3514"</f>
        <v>3514</v>
      </c>
      <c r="B12889" s="2" t="str">
        <f>"IOG PARC DESN ADOCADO LIGTH GREGO 100G"</f>
        <v>IOG PARC DESN ADOCADO LIGTH GREGO 100G</v>
      </c>
      <c r="C12889" s="2" t="str">
        <f t="shared" si="504"/>
        <v>UN</v>
      </c>
      <c r="D12889" s="7">
        <v>32</v>
      </c>
      <c r="E12889" s="3">
        <v>6</v>
      </c>
      <c r="F12889" s="3">
        <v>6</v>
      </c>
      <c r="G12889" t="s">
        <v>513</v>
      </c>
    </row>
    <row r="12890" spans="1:7" x14ac:dyDescent="0.25">
      <c r="A12890" s="1" t="str">
        <f>"1592"</f>
        <v>1592</v>
      </c>
      <c r="B12890" s="2" t="str">
        <f>"IOG PARC DESN ADOCADO MORANGO - MIX LA VITA 135G"</f>
        <v>IOG PARC DESN ADOCADO MORANGO - MIX LA VITA 135G</v>
      </c>
      <c r="C12890" s="2" t="str">
        <f t="shared" si="504"/>
        <v>UN</v>
      </c>
      <c r="D12890" s="7">
        <v>36</v>
      </c>
      <c r="E12890" s="3">
        <v>6</v>
      </c>
      <c r="F12890" s="3">
        <v>6</v>
      </c>
      <c r="G12890" t="s">
        <v>514</v>
      </c>
    </row>
    <row r="12891" spans="1:7" x14ac:dyDescent="0.25">
      <c r="A12891" s="1" t="str">
        <f>"2030"</f>
        <v>2030</v>
      </c>
      <c r="B12891" s="2" t="str">
        <f>"IOG PARC DESN C/ POLPA DE MARACUJA GLUCK 900G"</f>
        <v>IOG PARC DESN C/ POLPA DE MARACUJA GLUCK 900G</v>
      </c>
      <c r="C12891" s="2" t="str">
        <f t="shared" si="504"/>
        <v>UN</v>
      </c>
      <c r="D12891" s="7">
        <v>16</v>
      </c>
      <c r="E12891" s="3">
        <v>6</v>
      </c>
      <c r="F12891" s="3">
        <v>6</v>
      </c>
      <c r="G12891" t="s">
        <v>514</v>
      </c>
    </row>
    <row r="12892" spans="1:7" x14ac:dyDescent="0.25">
      <c r="A12892" s="1" t="str">
        <f>"2033"</f>
        <v>2033</v>
      </c>
      <c r="B12892" s="2" t="str">
        <f>"IOG PARC DESN C/ POLPA MARACUJA GLUCK 170G"</f>
        <v>IOG PARC DESN C/ POLPA MARACUJA GLUCK 170G</v>
      </c>
      <c r="C12892" s="2" t="str">
        <f t="shared" si="504"/>
        <v>UN</v>
      </c>
      <c r="D12892" s="7">
        <v>10</v>
      </c>
      <c r="E12892" s="3">
        <v>6</v>
      </c>
      <c r="F12892" s="3">
        <v>6</v>
      </c>
      <c r="G12892" t="s">
        <v>512</v>
      </c>
    </row>
    <row r="12893" spans="1:7" x14ac:dyDescent="0.25">
      <c r="A12893" s="1" t="str">
        <f>"1528"</f>
        <v>1528</v>
      </c>
      <c r="B12893" s="2" t="str">
        <f>"IOG PARC DESN C/ PREP DE LARANJA,CEN.E MEL 170G CARREFOUR"</f>
        <v>IOG PARC DESN C/ PREP DE LARANJA,CEN.E MEL 170G CARREFOUR</v>
      </c>
      <c r="C12893" s="2" t="str">
        <f t="shared" si="504"/>
        <v>UN</v>
      </c>
      <c r="D12893" s="7">
        <v>35</v>
      </c>
      <c r="E12893" s="3">
        <v>6</v>
      </c>
      <c r="F12893" s="3">
        <v>6</v>
      </c>
      <c r="G12893" t="s">
        <v>513</v>
      </c>
    </row>
    <row r="12894" spans="1:7" x14ac:dyDescent="0.25">
      <c r="A12894" s="1" t="str">
        <f>"1488"</f>
        <v>1488</v>
      </c>
      <c r="B12894" s="2" t="str">
        <f>"IOG PARC DESN C/ PREP PERA E CALDA FRAMBOESA DUET 130G"</f>
        <v>IOG PARC DESN C/ PREP PERA E CALDA FRAMBOESA DUET 130G</v>
      </c>
      <c r="C12894" s="2" t="str">
        <f t="shared" si="504"/>
        <v>UN</v>
      </c>
      <c r="D12894" s="7">
        <v>2</v>
      </c>
      <c r="E12894" s="3">
        <v>6</v>
      </c>
      <c r="F12894" s="3">
        <v>6</v>
      </c>
      <c r="G12894" t="s">
        <v>514</v>
      </c>
    </row>
    <row r="12895" spans="1:7" x14ac:dyDescent="0.25">
      <c r="A12895" s="1" t="str">
        <f>"2034"</f>
        <v>2034</v>
      </c>
      <c r="B12895" s="2" t="str">
        <f>"IOG PARC DESN C/ SUCO LARANJA GLUCK 170G"</f>
        <v>IOG PARC DESN C/ SUCO LARANJA GLUCK 170G</v>
      </c>
      <c r="C12895" s="2" t="str">
        <f t="shared" si="504"/>
        <v>UN</v>
      </c>
      <c r="D12895" s="7">
        <v>10</v>
      </c>
      <c r="E12895" s="3">
        <v>6</v>
      </c>
      <c r="F12895" s="3">
        <v>6</v>
      </c>
      <c r="G12895" t="s">
        <v>514</v>
      </c>
    </row>
    <row r="12896" spans="1:7" x14ac:dyDescent="0.25">
      <c r="A12896" s="1" t="str">
        <f>"2031"</f>
        <v>2031</v>
      </c>
      <c r="B12896" s="2" t="str">
        <f>"IOG PARC DESN C/ SUCO LARANJA GLUCK 900G"</f>
        <v>IOG PARC DESN C/ SUCO LARANJA GLUCK 900G</v>
      </c>
      <c r="C12896" s="2" t="str">
        <f t="shared" ref="C12896:C12921" si="505">"UN"</f>
        <v>UN</v>
      </c>
      <c r="D12896" s="7">
        <v>16</v>
      </c>
      <c r="E12896" s="3">
        <v>6</v>
      </c>
      <c r="F12896" s="3">
        <v>6</v>
      </c>
      <c r="G12896" t="s">
        <v>514</v>
      </c>
    </row>
    <row r="12897" spans="1:7" x14ac:dyDescent="0.25">
      <c r="A12897" s="1" t="str">
        <f>"2035"</f>
        <v>2035</v>
      </c>
      <c r="B12897" s="2" t="str">
        <f>"IOG PARC DESN C/ SUCO LIMAO GLUCK 170G"</f>
        <v>IOG PARC DESN C/ SUCO LIMAO GLUCK 170G</v>
      </c>
      <c r="C12897" s="2" t="str">
        <f t="shared" si="505"/>
        <v>UN</v>
      </c>
      <c r="D12897" s="7">
        <v>10</v>
      </c>
      <c r="E12897" s="3">
        <v>6</v>
      </c>
      <c r="F12897" s="3">
        <v>6</v>
      </c>
      <c r="G12897" t="s">
        <v>513</v>
      </c>
    </row>
    <row r="12898" spans="1:7" x14ac:dyDescent="0.25">
      <c r="A12898" s="1" t="str">
        <f>"2032"</f>
        <v>2032</v>
      </c>
      <c r="B12898" s="2" t="str">
        <f>"IOG PARC DESN C/ SUCO LIMAO GLUCK 900G"</f>
        <v>IOG PARC DESN C/ SUCO LIMAO GLUCK 900G</v>
      </c>
      <c r="C12898" s="2" t="str">
        <f t="shared" si="505"/>
        <v>UN</v>
      </c>
      <c r="D12898" s="7">
        <v>16</v>
      </c>
      <c r="E12898" s="3">
        <v>6</v>
      </c>
      <c r="F12898" s="3">
        <v>6</v>
      </c>
      <c r="G12898" t="s">
        <v>512</v>
      </c>
    </row>
    <row r="12899" spans="1:7" x14ac:dyDescent="0.25">
      <c r="A12899" s="1" t="str">
        <f>"1809"</f>
        <v>1809</v>
      </c>
      <c r="B12899" s="2" t="str">
        <f>"IOG PARC DESN ICEGURT ABACAXI /COCO 48g C/26"</f>
        <v>IOG PARC DESN ICEGURT ABACAXI /COCO 48g C/26</v>
      </c>
      <c r="C12899" s="2" t="str">
        <f t="shared" si="505"/>
        <v>UN</v>
      </c>
      <c r="D12899" s="7">
        <v>30</v>
      </c>
      <c r="E12899" s="3">
        <v>6</v>
      </c>
      <c r="F12899" s="3">
        <v>6</v>
      </c>
      <c r="G12899" t="s">
        <v>513</v>
      </c>
    </row>
    <row r="12900" spans="1:7" x14ac:dyDescent="0.25">
      <c r="A12900" s="1" t="str">
        <f>"1813"</f>
        <v>1813</v>
      </c>
      <c r="B12900" s="2" t="str">
        <f>"IOG PARC DESN ICEGURT ABACAXI /COCO 60g C/24"</f>
        <v>IOG PARC DESN ICEGURT ABACAXI /COCO 60g C/24</v>
      </c>
      <c r="C12900" s="2" t="str">
        <f t="shared" si="505"/>
        <v>UN</v>
      </c>
      <c r="D12900" s="7">
        <v>37</v>
      </c>
      <c r="E12900" s="3">
        <v>6</v>
      </c>
      <c r="F12900" s="3">
        <v>6</v>
      </c>
      <c r="G12900" t="s">
        <v>514</v>
      </c>
    </row>
    <row r="12901" spans="1:7" x14ac:dyDescent="0.25">
      <c r="A12901" s="1" t="str">
        <f>"1784"</f>
        <v>1784</v>
      </c>
      <c r="B12901" s="2" t="str">
        <f>"IOG PARC DESN ICEGURT ABACAXI/COCO 10X48"</f>
        <v>IOG PARC DESN ICEGURT ABACAXI/COCO 10X48</v>
      </c>
      <c r="C12901" s="2" t="str">
        <f t="shared" si="505"/>
        <v>UN</v>
      </c>
      <c r="D12901" s="7">
        <v>30</v>
      </c>
      <c r="E12901" s="3">
        <v>6</v>
      </c>
      <c r="F12901" s="3">
        <v>6</v>
      </c>
      <c r="G12901" t="s">
        <v>514</v>
      </c>
    </row>
    <row r="12902" spans="1:7" x14ac:dyDescent="0.25">
      <c r="A12902" s="1" t="str">
        <f>"1816"</f>
        <v>1816</v>
      </c>
      <c r="B12902" s="2" t="str">
        <f>"IOG PARC DESN ICEGURT ACAI 60g C/24"</f>
        <v>IOG PARC DESN ICEGURT ACAI 60g C/24</v>
      </c>
      <c r="C12902" s="2" t="str">
        <f t="shared" si="505"/>
        <v>UN</v>
      </c>
      <c r="D12902" s="7">
        <v>37</v>
      </c>
      <c r="E12902" s="3">
        <v>6</v>
      </c>
      <c r="F12902" s="3">
        <v>6</v>
      </c>
      <c r="G12902" t="s">
        <v>514</v>
      </c>
    </row>
    <row r="12903" spans="1:7" x14ac:dyDescent="0.25">
      <c r="A12903" s="1" t="str">
        <f>"1781"</f>
        <v>1781</v>
      </c>
      <c r="B12903" s="2" t="str">
        <f>"IOG PARC DESN ICEGURT COCO 10X48"</f>
        <v>IOG PARC DESN ICEGURT COCO 10X48</v>
      </c>
      <c r="C12903" s="2" t="str">
        <f t="shared" si="505"/>
        <v>UN</v>
      </c>
      <c r="D12903" s="7">
        <v>30</v>
      </c>
      <c r="E12903" s="3">
        <v>6</v>
      </c>
      <c r="F12903" s="3">
        <v>6</v>
      </c>
      <c r="G12903" t="s">
        <v>513</v>
      </c>
    </row>
    <row r="12904" spans="1:7" x14ac:dyDescent="0.25">
      <c r="A12904" s="1" t="str">
        <f>"1806"</f>
        <v>1806</v>
      </c>
      <c r="B12904" s="2" t="str">
        <f>"IOG PARC DESN ICEGURT COCO 48g C/26"</f>
        <v>IOG PARC DESN ICEGURT COCO 48g C/26</v>
      </c>
      <c r="C12904" s="2" t="str">
        <f t="shared" si="505"/>
        <v>UN</v>
      </c>
      <c r="D12904" s="7">
        <v>30</v>
      </c>
      <c r="E12904" s="3">
        <v>6</v>
      </c>
      <c r="F12904" s="3">
        <v>6</v>
      </c>
      <c r="G12904" t="s">
        <v>513</v>
      </c>
    </row>
    <row r="12905" spans="1:7" x14ac:dyDescent="0.25">
      <c r="A12905" s="1" t="str">
        <f>"1815"</f>
        <v>1815</v>
      </c>
      <c r="B12905" s="2" t="str">
        <f>"IOG PARC DESN ICEGURT F. VERMELHAS 60g C/24"</f>
        <v>IOG PARC DESN ICEGURT F. VERMELHAS 60g C/24</v>
      </c>
      <c r="C12905" s="2" t="str">
        <f t="shared" si="505"/>
        <v>UN</v>
      </c>
      <c r="D12905" s="7">
        <v>37</v>
      </c>
      <c r="E12905" s="3">
        <v>6</v>
      </c>
      <c r="F12905" s="3">
        <v>6</v>
      </c>
      <c r="G12905" t="s">
        <v>513</v>
      </c>
    </row>
    <row r="12906" spans="1:7" x14ac:dyDescent="0.25">
      <c r="A12906" s="1" t="str">
        <f>"1811"</f>
        <v>1811</v>
      </c>
      <c r="B12906" s="2" t="str">
        <f>"IOG PARC DESN ICEGURT FRUTAS VERMELHAS 48g C/26"</f>
        <v>IOG PARC DESN ICEGURT FRUTAS VERMELHAS 48g C/26</v>
      </c>
      <c r="C12906" s="2" t="str">
        <f t="shared" si="505"/>
        <v>UN</v>
      </c>
      <c r="D12906" s="7">
        <v>30</v>
      </c>
      <c r="E12906" s="3">
        <v>6</v>
      </c>
      <c r="F12906" s="3">
        <v>6</v>
      </c>
      <c r="G12906" t="s">
        <v>512</v>
      </c>
    </row>
    <row r="12907" spans="1:7" x14ac:dyDescent="0.25">
      <c r="A12907" s="1" t="str">
        <f>"1782"</f>
        <v>1782</v>
      </c>
      <c r="B12907" s="2" t="str">
        <f>"IOG PARC DESN ICEGURT MANGA 10X48"</f>
        <v>IOG PARC DESN ICEGURT MANGA 10X48</v>
      </c>
      <c r="C12907" s="2" t="str">
        <f t="shared" si="505"/>
        <v>UN</v>
      </c>
      <c r="D12907" s="7">
        <v>30</v>
      </c>
      <c r="E12907" s="3">
        <v>6</v>
      </c>
      <c r="F12907" s="3">
        <v>6</v>
      </c>
      <c r="G12907" t="s">
        <v>513</v>
      </c>
    </row>
    <row r="12908" spans="1:7" x14ac:dyDescent="0.25">
      <c r="A12908" s="1" t="str">
        <f>"1807"</f>
        <v>1807</v>
      </c>
      <c r="B12908" s="2" t="str">
        <f>"IOG PARC DESN ICEGURT MANGA 48g C/26"</f>
        <v>IOG PARC DESN ICEGURT MANGA 48g C/26</v>
      </c>
      <c r="C12908" s="2" t="str">
        <f t="shared" si="505"/>
        <v>UN</v>
      </c>
      <c r="D12908" s="7">
        <v>30</v>
      </c>
      <c r="E12908" s="3">
        <v>6</v>
      </c>
      <c r="F12908" s="3">
        <v>6</v>
      </c>
      <c r="G12908" t="s">
        <v>514</v>
      </c>
    </row>
    <row r="12909" spans="1:7" x14ac:dyDescent="0.25">
      <c r="A12909" s="1" t="str">
        <f>"1783"</f>
        <v>1783</v>
      </c>
      <c r="B12909" s="2" t="str">
        <f>"IOG PARC DESN ICEGURT MARACUJA 10X48"</f>
        <v>IOG PARC DESN ICEGURT MARACUJA 10X48</v>
      </c>
      <c r="C12909" s="2" t="str">
        <f t="shared" si="505"/>
        <v>UN</v>
      </c>
      <c r="D12909" s="7">
        <v>30</v>
      </c>
      <c r="E12909" s="3">
        <v>6</v>
      </c>
      <c r="F12909" s="3">
        <v>6</v>
      </c>
      <c r="G12909" t="s">
        <v>515</v>
      </c>
    </row>
    <row r="12910" spans="1:7" x14ac:dyDescent="0.25">
      <c r="A12910" s="1" t="str">
        <f>"1808"</f>
        <v>1808</v>
      </c>
      <c r="B12910" s="2" t="str">
        <f>"IOG PARC DESN ICEGURT MARACUJA 48g C/26"</f>
        <v>IOG PARC DESN ICEGURT MARACUJA 48g C/26</v>
      </c>
      <c r="C12910" s="2" t="str">
        <f t="shared" si="505"/>
        <v>UN</v>
      </c>
      <c r="D12910" s="7">
        <v>30</v>
      </c>
      <c r="E12910" s="3">
        <v>6</v>
      </c>
      <c r="F12910" s="3">
        <v>6</v>
      </c>
      <c r="G12910" t="s">
        <v>512</v>
      </c>
    </row>
    <row r="12911" spans="1:7" x14ac:dyDescent="0.25">
      <c r="A12911" s="1" t="str">
        <f>"1805"</f>
        <v>1805</v>
      </c>
      <c r="B12911" s="2" t="str">
        <f>"IOG PARC DESN ICEGURT MOR 48g C/26"</f>
        <v>IOG PARC DESN ICEGURT MOR 48g C/26</v>
      </c>
      <c r="C12911" s="2" t="str">
        <f t="shared" si="505"/>
        <v>UN</v>
      </c>
      <c r="D12911" s="7">
        <v>30</v>
      </c>
      <c r="E12911" s="3">
        <v>6</v>
      </c>
      <c r="F12911" s="3">
        <v>6</v>
      </c>
      <c r="G12911" t="s">
        <v>516</v>
      </c>
    </row>
    <row r="12912" spans="1:7" x14ac:dyDescent="0.25">
      <c r="A12912" s="1" t="str">
        <f>"1812"</f>
        <v>1812</v>
      </c>
      <c r="B12912" s="2" t="str">
        <f>"IOG PARC DESN ICEGURT MOR 60g C/24"</f>
        <v>IOG PARC DESN ICEGURT MOR 60g C/24</v>
      </c>
      <c r="C12912" s="2" t="str">
        <f t="shared" si="505"/>
        <v>UN</v>
      </c>
      <c r="D12912" s="7">
        <v>37</v>
      </c>
      <c r="E12912" s="3">
        <v>6</v>
      </c>
      <c r="F12912" s="3">
        <v>6</v>
      </c>
      <c r="G12912" t="s">
        <v>515</v>
      </c>
    </row>
    <row r="12913" spans="1:7" x14ac:dyDescent="0.25">
      <c r="A12913" s="1" t="str">
        <f>"1780"</f>
        <v>1780</v>
      </c>
      <c r="B12913" s="2" t="str">
        <f>"IOG PARC DESN ICEGURT MORANGO 10X48"</f>
        <v>IOG PARC DESN ICEGURT MORANGO 10X48</v>
      </c>
      <c r="C12913" s="2" t="str">
        <f t="shared" si="505"/>
        <v>UN</v>
      </c>
      <c r="D12913" s="7">
        <v>30</v>
      </c>
      <c r="E12913" s="3">
        <v>6</v>
      </c>
      <c r="F12913" s="3">
        <v>6</v>
      </c>
      <c r="G12913" t="s">
        <v>514</v>
      </c>
    </row>
    <row r="12914" spans="1:7" x14ac:dyDescent="0.25">
      <c r="A12914" s="1" t="str">
        <f>"1785"</f>
        <v>1785</v>
      </c>
      <c r="B12914" s="2" t="str">
        <f>"IOG PARC DESN ICEGURT UVA 10X48"</f>
        <v>IOG PARC DESN ICEGURT UVA 10X48</v>
      </c>
      <c r="C12914" s="2" t="str">
        <f t="shared" si="505"/>
        <v>UN</v>
      </c>
      <c r="D12914" s="7">
        <v>30</v>
      </c>
      <c r="E12914" s="3">
        <v>6</v>
      </c>
      <c r="F12914" s="3">
        <v>6</v>
      </c>
      <c r="G12914" t="s">
        <v>512</v>
      </c>
    </row>
    <row r="12915" spans="1:7" x14ac:dyDescent="0.25">
      <c r="A12915" s="1" t="str">
        <f>"1810"</f>
        <v>1810</v>
      </c>
      <c r="B12915" s="2" t="str">
        <f>"IOG PARC DESN ICEGURT UVA 48g C/26"</f>
        <v>IOG PARC DESN ICEGURT UVA 48g C/26</v>
      </c>
      <c r="C12915" s="2" t="str">
        <f t="shared" si="505"/>
        <v>UN</v>
      </c>
      <c r="D12915" s="7">
        <v>30</v>
      </c>
      <c r="E12915" s="3">
        <v>6</v>
      </c>
      <c r="F12915" s="3">
        <v>6</v>
      </c>
      <c r="G12915" t="s">
        <v>513</v>
      </c>
    </row>
    <row r="12916" spans="1:7" x14ac:dyDescent="0.25">
      <c r="A12916" s="1" t="str">
        <f>"1814"</f>
        <v>1814</v>
      </c>
      <c r="B12916" s="2" t="str">
        <f>"IOG PARC DESN ICEGURT UVA 60g C/24"</f>
        <v>IOG PARC DESN ICEGURT UVA 60g C/24</v>
      </c>
      <c r="C12916" s="2" t="str">
        <f t="shared" si="505"/>
        <v>UN</v>
      </c>
      <c r="D12916" s="7">
        <v>37</v>
      </c>
      <c r="E12916" s="3">
        <v>6</v>
      </c>
      <c r="F12916" s="3">
        <v>6</v>
      </c>
      <c r="G12916" t="s">
        <v>514</v>
      </c>
    </row>
    <row r="12917" spans="1:7" x14ac:dyDescent="0.25">
      <c r="A12917" s="1" t="str">
        <f>"3566"</f>
        <v>3566</v>
      </c>
      <c r="B12917" s="2" t="str">
        <f>"IOG PARC DESN POLPA FRUTAS SEM LACTOSE 500G"</f>
        <v>IOG PARC DESN POLPA FRUTAS SEM LACTOSE 500G</v>
      </c>
      <c r="C12917" s="2" t="str">
        <f t="shared" si="505"/>
        <v>UN</v>
      </c>
      <c r="D12917" s="7">
        <v>42</v>
      </c>
      <c r="E12917" s="3">
        <v>6</v>
      </c>
      <c r="F12917" s="3">
        <v>6</v>
      </c>
      <c r="G12917" t="s">
        <v>514</v>
      </c>
    </row>
    <row r="12918" spans="1:7" x14ac:dyDescent="0.25">
      <c r="A12918" s="1" t="str">
        <f>"3565"</f>
        <v>3565</v>
      </c>
      <c r="B12918" s="2" t="str">
        <f>"IOG PARC DESN POLPA MOR SEM LACTOSE 500G"</f>
        <v>IOG PARC DESN POLPA MOR SEM LACTOSE 500G</v>
      </c>
      <c r="C12918" s="2" t="str">
        <f t="shared" si="505"/>
        <v>UN</v>
      </c>
      <c r="D12918" s="7">
        <v>42</v>
      </c>
      <c r="E12918" s="3">
        <v>6</v>
      </c>
      <c r="F12918" s="3">
        <v>6</v>
      </c>
      <c r="G12918" t="s">
        <v>512</v>
      </c>
    </row>
    <row r="12919" spans="1:7" x14ac:dyDescent="0.25">
      <c r="A12919" s="1" t="str">
        <f>"1540"</f>
        <v>1540</v>
      </c>
      <c r="B12919" s="2" t="str">
        <f>"IOG POLPA MOR CARREFOUR BAND 510G"</f>
        <v>IOG POLPA MOR CARREFOUR BAND 510G</v>
      </c>
      <c r="C12919" s="2" t="str">
        <f t="shared" si="505"/>
        <v>UN</v>
      </c>
      <c r="D12919" s="7">
        <v>21</v>
      </c>
      <c r="E12919" s="3">
        <v>6</v>
      </c>
      <c r="F12919" s="3">
        <v>6</v>
      </c>
      <c r="G12919" t="s">
        <v>513</v>
      </c>
    </row>
    <row r="12920" spans="1:7" x14ac:dyDescent="0.25">
      <c r="A12920" s="1" t="str">
        <f>"1541"</f>
        <v>1541</v>
      </c>
      <c r="B12920" s="2" t="str">
        <f>"IOG POLPA MOR/COCO CARREFOUR BAND 510G"</f>
        <v>IOG POLPA MOR/COCO CARREFOUR BAND 510G</v>
      </c>
      <c r="C12920" s="2" t="str">
        <f t="shared" si="505"/>
        <v>UN</v>
      </c>
      <c r="D12920" s="7">
        <v>21</v>
      </c>
      <c r="E12920" s="3">
        <v>6</v>
      </c>
      <c r="F12920" s="3">
        <v>6</v>
      </c>
      <c r="G12920" t="s">
        <v>514</v>
      </c>
    </row>
    <row r="12921" spans="1:7" x14ac:dyDescent="0.25">
      <c r="A12921" s="1" t="str">
        <f>"1542"</f>
        <v>1542</v>
      </c>
      <c r="B12921" s="2" t="str">
        <f>"IOG POLPA MOR/SAL CARREFOUR BAND 510G"</f>
        <v>IOG POLPA MOR/SAL CARREFOUR BAND 510G</v>
      </c>
      <c r="C12921" s="2" t="str">
        <f t="shared" si="505"/>
        <v>UN</v>
      </c>
      <c r="D12921" s="7">
        <v>21</v>
      </c>
      <c r="E12921" s="3">
        <v>6</v>
      </c>
      <c r="F12921" s="3">
        <v>6</v>
      </c>
      <c r="G12921" t="s">
        <v>514</v>
      </c>
    </row>
    <row r="12922" spans="1:7" x14ac:dyDescent="0.25">
      <c r="A12922" s="1" t="str">
        <f>"132"</f>
        <v>132</v>
      </c>
      <c r="B12922" s="2" t="str">
        <f>"IOG. C/ PEDACOS DE FRUTAS VERM. SEM LACTOSE COPO"</f>
        <v>IOG. C/ PEDACOS DE FRUTAS VERM. SEM LACTOSE COPO</v>
      </c>
      <c r="C12922" s="2" t="str">
        <f>"KG"</f>
        <v>KG</v>
      </c>
      <c r="D12922" s="7">
        <v>1900</v>
      </c>
      <c r="E12922" s="3">
        <v>7</v>
      </c>
      <c r="F12922" s="3">
        <v>7</v>
      </c>
      <c r="G12922" t="s">
        <v>514</v>
      </c>
    </row>
    <row r="12923" spans="1:7" x14ac:dyDescent="0.25">
      <c r="A12923" s="1" t="str">
        <f>"1422"</f>
        <v>1422</v>
      </c>
      <c r="B12923" s="2" t="str">
        <f>"IOG. C/P.FRUTA PESS. FR-160 G CARREFOUR"</f>
        <v>IOG. C/P.FRUTA PESS. FR-160 G CARREFOUR</v>
      </c>
      <c r="C12923" s="2" t="str">
        <f>"UN"</f>
        <v>UN</v>
      </c>
      <c r="D12923" s="7">
        <v>9</v>
      </c>
      <c r="E12923" s="3">
        <v>6</v>
      </c>
      <c r="F12923" s="3">
        <v>6</v>
      </c>
      <c r="G12923" t="s">
        <v>513</v>
      </c>
    </row>
    <row r="12924" spans="1:7" x14ac:dyDescent="0.25">
      <c r="A12924" s="1" t="str">
        <f>"143"</f>
        <v>143</v>
      </c>
      <c r="B12924" s="2" t="str">
        <f>"IOG. CARREFOR BAT.C/MEL COM ACUCAR - FRASCO"</f>
        <v>IOG. CARREFOR BAT.C/MEL COM ACUCAR - FRASCO</v>
      </c>
      <c r="C12924" s="2" t="str">
        <f>"KG"</f>
        <v>KG</v>
      </c>
      <c r="D12924" s="7">
        <v>1900</v>
      </c>
      <c r="E12924" s="3">
        <v>7</v>
      </c>
      <c r="F12924" s="3">
        <v>7</v>
      </c>
      <c r="G12924" t="s">
        <v>512</v>
      </c>
    </row>
    <row r="12925" spans="1:7" x14ac:dyDescent="0.25">
      <c r="A12925" s="1" t="str">
        <f>"137"</f>
        <v>137</v>
      </c>
      <c r="B12925" s="2" t="str">
        <f>"IOG. CARREFOR BATIDO COM ACUCAR - FRASCO"</f>
        <v>IOG. CARREFOR BATIDO COM ACUCAR - FRASCO</v>
      </c>
      <c r="C12925" s="2" t="str">
        <f>"KG"</f>
        <v>KG</v>
      </c>
      <c r="D12925" s="7">
        <v>1900</v>
      </c>
      <c r="E12925" s="3">
        <v>7</v>
      </c>
      <c r="F12925" s="3">
        <v>7</v>
      </c>
      <c r="G12925" t="s">
        <v>513</v>
      </c>
    </row>
    <row r="12926" spans="1:7" x14ac:dyDescent="0.25">
      <c r="A12926" s="1" t="str">
        <f>"1479"</f>
        <v>1479</v>
      </c>
      <c r="B12926" s="2" t="str">
        <f>"IOG. NAT LAR/CEN E MEL CAROL 170 G C/18UN"</f>
        <v>IOG. NAT LAR/CEN E MEL CAROL 170 G C/18UN</v>
      </c>
      <c r="C12926" s="2" t="str">
        <f>"UN"</f>
        <v>UN</v>
      </c>
      <c r="D12926" s="7">
        <v>35</v>
      </c>
      <c r="E12926" s="3">
        <v>6</v>
      </c>
      <c r="F12926" s="3">
        <v>6</v>
      </c>
      <c r="G12926" t="s">
        <v>514</v>
      </c>
    </row>
    <row r="12927" spans="1:7" x14ac:dyDescent="0.25">
      <c r="A12927" s="1" t="str">
        <f>"101"</f>
        <v>101</v>
      </c>
      <c r="B12927" s="2" t="str">
        <f>"IOG. NATURAL ADOCADO LA VITA"</f>
        <v>IOG. NATURAL ADOCADO LA VITA</v>
      </c>
      <c r="C12927" s="2" t="str">
        <f>"KG"</f>
        <v>KG</v>
      </c>
      <c r="D12927" s="7">
        <v>1900</v>
      </c>
      <c r="E12927" s="3">
        <v>7</v>
      </c>
      <c r="F12927" s="3">
        <v>7</v>
      </c>
      <c r="G12927" t="s">
        <v>514</v>
      </c>
    </row>
    <row r="12928" spans="1:7" x14ac:dyDescent="0.25">
      <c r="A12928" s="1" t="str">
        <f>"1421"</f>
        <v>1421</v>
      </c>
      <c r="B12928" s="2" t="str">
        <f>"IOG. PARC DESN C/PREP DE COCO 160G CARREFOUR"</f>
        <v>IOG. PARC DESN C/PREP DE COCO 160G CARREFOUR</v>
      </c>
      <c r="C12928" s="2" t="str">
        <f t="shared" ref="C12928:C12935" si="506">"UN"</f>
        <v>UN</v>
      </c>
      <c r="D12928" s="7">
        <v>9</v>
      </c>
      <c r="E12928" s="3">
        <v>6</v>
      </c>
      <c r="F12928" s="3">
        <v>6</v>
      </c>
      <c r="G12928" t="s">
        <v>514</v>
      </c>
    </row>
    <row r="12929" spans="1:7" x14ac:dyDescent="0.25">
      <c r="A12929" s="1" t="str">
        <f>"1209"</f>
        <v>1209</v>
      </c>
      <c r="B12929" s="2" t="str">
        <f>"IOG. PARC DESN C/PREP DE COCO 900G CARREFOUR"</f>
        <v>IOG. PARC DESN C/PREP DE COCO 900G CARREFOUR</v>
      </c>
      <c r="C12929" s="2" t="str">
        <f t="shared" si="506"/>
        <v>UN</v>
      </c>
      <c r="D12929" s="7">
        <v>16</v>
      </c>
      <c r="E12929" s="3">
        <v>6</v>
      </c>
      <c r="F12929" s="3">
        <v>6</v>
      </c>
      <c r="G12929" t="s">
        <v>513</v>
      </c>
    </row>
    <row r="12930" spans="1:7" x14ac:dyDescent="0.25">
      <c r="A12930" s="1" t="str">
        <f>"1423"</f>
        <v>1423</v>
      </c>
      <c r="B12930" s="2" t="str">
        <f>"IOG. PARC DESN C/PREP DE F. VERM 160G CARREFOUR"</f>
        <v>IOG. PARC DESN C/PREP DE F. VERM 160G CARREFOUR</v>
      </c>
      <c r="C12930" s="2" t="str">
        <f t="shared" si="506"/>
        <v>UN</v>
      </c>
      <c r="D12930" s="7">
        <v>9</v>
      </c>
      <c r="E12930" s="3">
        <v>6</v>
      </c>
      <c r="F12930" s="3">
        <v>6</v>
      </c>
      <c r="G12930" t="s">
        <v>513</v>
      </c>
    </row>
    <row r="12931" spans="1:7" x14ac:dyDescent="0.25">
      <c r="A12931" s="1" t="str">
        <f>"1210"</f>
        <v>1210</v>
      </c>
      <c r="B12931" s="2" t="str">
        <f>"IOG. PARC DESN C/PREP DE F. VERM 900G CARREFOUR"</f>
        <v>IOG. PARC DESN C/PREP DE F. VERM 900G CARREFOUR</v>
      </c>
      <c r="C12931" s="2" t="str">
        <f t="shared" si="506"/>
        <v>UN</v>
      </c>
      <c r="D12931" s="7">
        <v>16</v>
      </c>
      <c r="E12931" s="3">
        <v>6</v>
      </c>
      <c r="F12931" s="3">
        <v>6</v>
      </c>
      <c r="G12931" t="s">
        <v>513</v>
      </c>
    </row>
    <row r="12932" spans="1:7" x14ac:dyDescent="0.25">
      <c r="A12932" s="1" t="str">
        <f>"1420"</f>
        <v>1420</v>
      </c>
      <c r="B12932" s="2" t="str">
        <f>"IOG. PARC DESN C/PREP DE MOR 160G CARREFOUR"</f>
        <v>IOG. PARC DESN C/PREP DE MOR 160G CARREFOUR</v>
      </c>
      <c r="C12932" s="2" t="str">
        <f t="shared" si="506"/>
        <v>UN</v>
      </c>
      <c r="D12932" s="7">
        <v>9</v>
      </c>
      <c r="E12932" s="3">
        <v>6</v>
      </c>
      <c r="F12932" s="3">
        <v>6</v>
      </c>
      <c r="G12932" t="s">
        <v>512</v>
      </c>
    </row>
    <row r="12933" spans="1:7" x14ac:dyDescent="0.25">
      <c r="A12933" s="1" t="str">
        <f>"1208"</f>
        <v>1208</v>
      </c>
      <c r="B12933" s="2" t="str">
        <f>"IOG. PARC DESN C/PREP DE MOR 900G CARREFOUR"</f>
        <v>IOG. PARC DESN C/PREP DE MOR 900G CARREFOUR</v>
      </c>
      <c r="C12933" s="2" t="str">
        <f t="shared" si="506"/>
        <v>UN</v>
      </c>
      <c r="D12933" s="7">
        <v>16</v>
      </c>
      <c r="E12933" s="3">
        <v>6</v>
      </c>
      <c r="F12933" s="3">
        <v>6</v>
      </c>
      <c r="G12933" t="s">
        <v>513</v>
      </c>
    </row>
    <row r="12934" spans="1:7" x14ac:dyDescent="0.25">
      <c r="A12934" s="1" t="str">
        <f>"1774"</f>
        <v>1774</v>
      </c>
      <c r="B12934" s="2" t="str">
        <f>"IOG. PARC. DESNATADO ICEGURT ABACAXI/COCO 10X56 GR"</f>
        <v>IOG. PARC. DESNATADO ICEGURT ABACAXI/COCO 10X56 GR</v>
      </c>
      <c r="C12934" s="2" t="str">
        <f t="shared" si="506"/>
        <v>UN</v>
      </c>
      <c r="D12934" s="7">
        <v>28</v>
      </c>
      <c r="E12934" s="3">
        <v>6</v>
      </c>
      <c r="F12934" s="3">
        <v>6</v>
      </c>
      <c r="G12934" t="s">
        <v>514</v>
      </c>
    </row>
    <row r="12935" spans="1:7" x14ac:dyDescent="0.25">
      <c r="A12935" s="1" t="str">
        <f>"1775"</f>
        <v>1775</v>
      </c>
      <c r="B12935" s="2" t="str">
        <f>"IOG. PARC. DESNATADO ICEGURT UVA 10 X 56 GR"</f>
        <v>IOG. PARC. DESNATADO ICEGURT UVA 10 X 56 GR</v>
      </c>
      <c r="C12935" s="2" t="str">
        <f t="shared" si="506"/>
        <v>UN</v>
      </c>
      <c r="D12935" s="7">
        <v>28</v>
      </c>
      <c r="E12935" s="3">
        <v>6</v>
      </c>
      <c r="F12935" s="3">
        <v>6</v>
      </c>
      <c r="G12935" t="s">
        <v>515</v>
      </c>
    </row>
    <row r="12936" spans="1:7" x14ac:dyDescent="0.25">
      <c r="A12936" s="1" t="str">
        <f>"138"</f>
        <v>138</v>
      </c>
      <c r="B12936" s="2" t="str">
        <f>"IOG. PROBIOTICO FRUTAS VERM. COM CHIA - COPO"</f>
        <v>IOG. PROBIOTICO FRUTAS VERM. COM CHIA - COPO</v>
      </c>
      <c r="C12936" s="2" t="str">
        <f>"KG"</f>
        <v>KG</v>
      </c>
      <c r="D12936" s="7">
        <v>1900</v>
      </c>
      <c r="E12936" s="3">
        <v>7</v>
      </c>
      <c r="F12936" s="3">
        <v>7</v>
      </c>
      <c r="G12936" t="s">
        <v>512</v>
      </c>
    </row>
    <row r="12937" spans="1:7" x14ac:dyDescent="0.25">
      <c r="A12937" s="1" t="str">
        <f>"136"</f>
        <v>136</v>
      </c>
      <c r="B12937" s="2" t="str">
        <f>"IOG. PROBIOTICO MORANGO COM CHIA - COPO"</f>
        <v>IOG. PROBIOTICO MORANGO COM CHIA - COPO</v>
      </c>
      <c r="C12937" s="2" t="str">
        <f>"KG"</f>
        <v>KG</v>
      </c>
      <c r="D12937" s="7">
        <v>1900</v>
      </c>
      <c r="E12937" s="3">
        <v>7</v>
      </c>
      <c r="F12937" s="3">
        <v>7</v>
      </c>
      <c r="G12937" t="s">
        <v>516</v>
      </c>
    </row>
    <row r="12938" spans="1:7" x14ac:dyDescent="0.25">
      <c r="A12938" s="1" t="str">
        <f>"3001"</f>
        <v>3001</v>
      </c>
      <c r="B12938" s="2" t="str">
        <f>"IOG.BANDEJA MOR/COCO DIA 540G"</f>
        <v>IOG.BANDEJA MOR/COCO DIA 540G</v>
      </c>
      <c r="C12938" s="2" t="str">
        <f t="shared" ref="C12938:C12943" si="507">"UN"</f>
        <v>UN</v>
      </c>
      <c r="D12938" s="7">
        <v>19</v>
      </c>
      <c r="E12938" s="3">
        <v>6</v>
      </c>
      <c r="F12938" s="3">
        <v>6</v>
      </c>
      <c r="G12938" t="s">
        <v>515</v>
      </c>
    </row>
    <row r="12939" spans="1:7" x14ac:dyDescent="0.25">
      <c r="A12939" s="1" t="str">
        <f>"1244"</f>
        <v>1244</v>
      </c>
      <c r="B12939" s="2" t="str">
        <f>"IOG.BAT.C/ AC/MEL FR 900 G (COOP)"</f>
        <v>IOG.BAT.C/ AC/MEL FR 900 G (COOP)</v>
      </c>
      <c r="C12939" s="2" t="str">
        <f t="shared" si="507"/>
        <v>UN</v>
      </c>
      <c r="D12939" s="7">
        <v>16</v>
      </c>
      <c r="E12939" s="3">
        <v>6</v>
      </c>
      <c r="F12939" s="3">
        <v>6</v>
      </c>
      <c r="G12939" t="s">
        <v>514</v>
      </c>
    </row>
    <row r="12940" spans="1:7" x14ac:dyDescent="0.25">
      <c r="A12940" s="1" t="str">
        <f>"1245"</f>
        <v>1245</v>
      </c>
      <c r="B12940" s="2" t="str">
        <f>"IOG.BAT.C/ ACUCAR FR 900 G (COOP)"</f>
        <v>IOG.BAT.C/ ACUCAR FR 900 G (COOP)</v>
      </c>
      <c r="C12940" s="2" t="str">
        <f t="shared" si="507"/>
        <v>UN</v>
      </c>
      <c r="D12940" s="7">
        <v>16</v>
      </c>
      <c r="E12940" s="3">
        <v>6</v>
      </c>
      <c r="F12940" s="3">
        <v>6</v>
      </c>
      <c r="G12940" t="s">
        <v>512</v>
      </c>
    </row>
    <row r="12941" spans="1:7" x14ac:dyDescent="0.25">
      <c r="A12941" s="1" t="str">
        <f>"1256"</f>
        <v>1256</v>
      </c>
      <c r="B12941" s="2" t="str">
        <f>"IOG.BAT.CARREFOUR COM ACUCAR 900 G"</f>
        <v>IOG.BAT.CARREFOUR COM ACUCAR 900 G</v>
      </c>
      <c r="C12941" s="2" t="str">
        <f t="shared" si="507"/>
        <v>UN</v>
      </c>
      <c r="D12941" s="7">
        <v>16</v>
      </c>
      <c r="E12941" s="3">
        <v>6</v>
      </c>
      <c r="F12941" s="3">
        <v>6</v>
      </c>
      <c r="G12941" t="s">
        <v>513</v>
      </c>
    </row>
    <row r="12942" spans="1:7" x14ac:dyDescent="0.25">
      <c r="A12942" s="1" t="str">
        <f>"1255"</f>
        <v>1255</v>
      </c>
      <c r="B12942" s="2" t="str">
        <f>"IOG.BAT.CARREFOUR PREPARADO DE MEL 900 G"</f>
        <v>IOG.BAT.CARREFOUR PREPARADO DE MEL 900 G</v>
      </c>
      <c r="C12942" s="2" t="str">
        <f t="shared" si="507"/>
        <v>UN</v>
      </c>
      <c r="D12942" s="7">
        <v>16</v>
      </c>
      <c r="E12942" s="3">
        <v>6</v>
      </c>
      <c r="F12942" s="3">
        <v>6</v>
      </c>
      <c r="G12942" t="s">
        <v>514</v>
      </c>
    </row>
    <row r="12943" spans="1:7" x14ac:dyDescent="0.25">
      <c r="A12943" s="1" t="str">
        <f>"1684"</f>
        <v>1684</v>
      </c>
      <c r="B12943" s="2" t="str">
        <f>"IOG.C/ LARAN/CEN/MEL 185G DIA 18 UNID"</f>
        <v>IOG.C/ LARAN/CEN/MEL 185G DIA 18 UNID</v>
      </c>
      <c r="C12943" s="2" t="str">
        <f t="shared" si="507"/>
        <v>UN</v>
      </c>
      <c r="D12943" s="7">
        <v>4</v>
      </c>
      <c r="E12943" s="3">
        <v>6</v>
      </c>
      <c r="F12943" s="3">
        <v>6</v>
      </c>
      <c r="G12943" t="s">
        <v>514</v>
      </c>
    </row>
    <row r="12944" spans="1:7" x14ac:dyDescent="0.25">
      <c r="A12944" s="1" t="str">
        <f>"131"</f>
        <v>131</v>
      </c>
      <c r="B12944" s="2" t="str">
        <f>"IOG.C/ PEDACOS DE MORANGO SEM LACTOSE - COPO"</f>
        <v>IOG.C/ PEDACOS DE MORANGO SEM LACTOSE - COPO</v>
      </c>
      <c r="C12944" s="2" t="str">
        <f>"KG"</f>
        <v>KG</v>
      </c>
      <c r="D12944" s="7">
        <v>1900</v>
      </c>
      <c r="E12944" s="3">
        <v>7</v>
      </c>
      <c r="F12944" s="3">
        <v>7</v>
      </c>
      <c r="G12944" t="s">
        <v>512</v>
      </c>
    </row>
    <row r="12945" spans="1:7" x14ac:dyDescent="0.25">
      <c r="A12945" s="1" t="str">
        <f>"1207"</f>
        <v>1207</v>
      </c>
      <c r="B12945" s="2" t="str">
        <f>"IOG.C/P.FR.BAND.MOR/SAL 600G CARREFOUR"</f>
        <v>IOG.C/P.FR.BAND.MOR/SAL 600G CARREFOUR</v>
      </c>
      <c r="C12945" s="2" t="str">
        <f t="shared" ref="C12945:C12976" si="508">"UN"</f>
        <v>UN</v>
      </c>
      <c r="D12945" s="7">
        <v>22</v>
      </c>
      <c r="E12945" s="3">
        <v>6</v>
      </c>
      <c r="F12945" s="3">
        <v>6</v>
      </c>
      <c r="G12945" t="s">
        <v>513</v>
      </c>
    </row>
    <row r="12946" spans="1:7" x14ac:dyDescent="0.25">
      <c r="A12946" s="1" t="str">
        <f>"1206"</f>
        <v>1206</v>
      </c>
      <c r="B12946" s="2" t="str">
        <f>"IOG.C/P.FR.BAND.MORANGO 600G CARREFOUR"</f>
        <v>IOG.C/P.FR.BAND.MORANGO 600G CARREFOUR</v>
      </c>
      <c r="C12946" s="2" t="str">
        <f t="shared" si="508"/>
        <v>UN</v>
      </c>
      <c r="D12946" s="7">
        <v>22</v>
      </c>
      <c r="E12946" s="3">
        <v>6</v>
      </c>
      <c r="F12946" s="3">
        <v>6</v>
      </c>
      <c r="G12946" t="s">
        <v>514</v>
      </c>
    </row>
    <row r="12947" spans="1:7" x14ac:dyDescent="0.25">
      <c r="A12947" s="1" t="str">
        <f>"1174"</f>
        <v>1174</v>
      </c>
      <c r="B12947" s="2" t="str">
        <f>"IOG.C/POLPA F/R MOR/SAL BJ 600G C/10UNID"</f>
        <v>IOG.C/POLPA F/R MOR/SAL BJ 600G C/10UNID</v>
      </c>
      <c r="C12947" s="2" t="str">
        <f t="shared" si="508"/>
        <v>UN</v>
      </c>
      <c r="D12947" s="7">
        <v>22</v>
      </c>
      <c r="E12947" s="3">
        <v>6</v>
      </c>
      <c r="F12947" s="3">
        <v>6</v>
      </c>
      <c r="G12947" t="s">
        <v>514</v>
      </c>
    </row>
    <row r="12948" spans="1:7" x14ac:dyDescent="0.25">
      <c r="A12948" s="1" t="str">
        <f>"1173"</f>
        <v>1173</v>
      </c>
      <c r="B12948" s="2" t="str">
        <f>"IOG.C/POLPA FRUT M/C BJ 600G C/10 UNIDAD"</f>
        <v>IOG.C/POLPA FRUT M/C BJ 600G C/10 UNIDAD</v>
      </c>
      <c r="C12948" s="2" t="str">
        <f t="shared" si="508"/>
        <v>UN</v>
      </c>
      <c r="D12948" s="7">
        <v>22</v>
      </c>
      <c r="E12948" s="3">
        <v>6</v>
      </c>
      <c r="F12948" s="3">
        <v>6</v>
      </c>
      <c r="G12948" t="s">
        <v>514</v>
      </c>
    </row>
    <row r="12949" spans="1:7" x14ac:dyDescent="0.25">
      <c r="A12949" s="1" t="str">
        <f>"1172"</f>
        <v>1172</v>
      </c>
      <c r="B12949" s="2" t="str">
        <f>"IOG.C/POLPA FRUTA MOR BJ 600G C/10 UNIDA C/10"</f>
        <v>IOG.C/POLPA FRUTA MOR BJ 600G C/10 UNIDA C/10</v>
      </c>
      <c r="C12949" s="2" t="str">
        <f t="shared" si="508"/>
        <v>UN</v>
      </c>
      <c r="D12949" s="7">
        <v>22</v>
      </c>
      <c r="E12949" s="3">
        <v>6</v>
      </c>
      <c r="F12949" s="3">
        <v>6</v>
      </c>
      <c r="G12949" t="s">
        <v>513</v>
      </c>
    </row>
    <row r="12950" spans="1:7" x14ac:dyDescent="0.25">
      <c r="A12950" s="1" t="str">
        <f>"1893"</f>
        <v>1893</v>
      </c>
      <c r="B12950" s="2" t="str">
        <f>"IOG.CEN/LARAN/MEL DIA 170G"</f>
        <v>IOG.CEN/LARAN/MEL DIA 170G</v>
      </c>
      <c r="C12950" s="2" t="str">
        <f t="shared" si="508"/>
        <v>UN</v>
      </c>
      <c r="D12950" s="7">
        <v>35</v>
      </c>
      <c r="E12950" s="3">
        <v>6</v>
      </c>
      <c r="F12950" s="3">
        <v>6</v>
      </c>
      <c r="G12950" t="s">
        <v>512</v>
      </c>
    </row>
    <row r="12951" spans="1:7" x14ac:dyDescent="0.25">
      <c r="A12951" s="1" t="str">
        <f>"1693"</f>
        <v>1693</v>
      </c>
      <c r="B12951" s="2" t="str">
        <f>"IOG.CEN/LARAN/MEL DIA 180G"</f>
        <v>IOG.CEN/LARAN/MEL DIA 180G</v>
      </c>
      <c r="C12951" s="2" t="str">
        <f t="shared" si="508"/>
        <v>UN</v>
      </c>
      <c r="D12951" s="7">
        <v>3</v>
      </c>
      <c r="E12951" s="3">
        <v>6</v>
      </c>
      <c r="F12951" s="3">
        <v>6</v>
      </c>
      <c r="G12951" t="s">
        <v>513</v>
      </c>
    </row>
    <row r="12952" spans="1:7" x14ac:dyDescent="0.25">
      <c r="A12952" s="1" t="str">
        <f>"1688"</f>
        <v>1688</v>
      </c>
      <c r="B12952" s="2" t="str">
        <f>"IOG.LAR/CEN E MEL 180G DIA - 18 UNID"</f>
        <v>IOG.LAR/CEN E MEL 180G DIA - 18 UNID</v>
      </c>
      <c r="C12952" s="2" t="str">
        <f t="shared" si="508"/>
        <v>UN</v>
      </c>
      <c r="D12952" s="7">
        <v>3</v>
      </c>
      <c r="E12952" s="3">
        <v>6</v>
      </c>
      <c r="F12952" s="3">
        <v>6</v>
      </c>
      <c r="G12952" t="s">
        <v>514</v>
      </c>
    </row>
    <row r="12953" spans="1:7" x14ac:dyDescent="0.25">
      <c r="A12953" s="1" t="str">
        <f>"1614"</f>
        <v>1614</v>
      </c>
      <c r="B12953" s="2" t="str">
        <f>"IOG.LIGHT C/ PDC AMEIXA - DELIGHT 400 G"</f>
        <v>IOG.LIGHT C/ PDC AMEIXA - DELIGHT 400 G</v>
      </c>
      <c r="C12953" s="2" t="str">
        <f t="shared" si="508"/>
        <v>UN</v>
      </c>
      <c r="D12953" s="7">
        <v>20</v>
      </c>
      <c r="E12953" s="3">
        <v>6</v>
      </c>
      <c r="F12953" s="3">
        <v>6</v>
      </c>
      <c r="G12953" t="s">
        <v>514</v>
      </c>
    </row>
    <row r="12954" spans="1:7" x14ac:dyDescent="0.25">
      <c r="A12954" s="1" t="str">
        <f>"1613"</f>
        <v>1613</v>
      </c>
      <c r="B12954" s="2" t="str">
        <f>"IOG.LIGHT C/PDC MORANGO - DELIGHT 400 G"</f>
        <v>IOG.LIGHT C/PDC MORANGO - DELIGHT 400 G</v>
      </c>
      <c r="C12954" s="2" t="str">
        <f t="shared" si="508"/>
        <v>UN</v>
      </c>
      <c r="D12954" s="7">
        <v>20</v>
      </c>
      <c r="E12954" s="3">
        <v>6</v>
      </c>
      <c r="F12954" s="3">
        <v>6</v>
      </c>
      <c r="G12954" t="s">
        <v>514</v>
      </c>
    </row>
    <row r="12955" spans="1:7" x14ac:dyDescent="0.25">
      <c r="A12955" s="1" t="str">
        <f>"1262"</f>
        <v>1262</v>
      </c>
      <c r="B12955" s="2" t="str">
        <f>"IOG.LIGHT VIVER AMEIXA 160 G"</f>
        <v>IOG.LIGHT VIVER AMEIXA 160 G</v>
      </c>
      <c r="C12955" s="2" t="str">
        <f t="shared" si="508"/>
        <v>UN</v>
      </c>
      <c r="D12955" s="7">
        <v>9</v>
      </c>
      <c r="E12955" s="3">
        <v>6</v>
      </c>
      <c r="F12955" s="3">
        <v>6</v>
      </c>
      <c r="G12955" t="s">
        <v>513</v>
      </c>
    </row>
    <row r="12956" spans="1:7" x14ac:dyDescent="0.25">
      <c r="A12956" s="1" t="str">
        <f>"1259"</f>
        <v>1259</v>
      </c>
      <c r="B12956" s="2" t="str">
        <f>"IOG.LIGHT VIVER AMEIXA 900 G"</f>
        <v>IOG.LIGHT VIVER AMEIXA 900 G</v>
      </c>
      <c r="C12956" s="2" t="str">
        <f t="shared" si="508"/>
        <v>UN</v>
      </c>
      <c r="D12956" s="7">
        <v>16</v>
      </c>
      <c r="E12956" s="3">
        <v>6</v>
      </c>
      <c r="F12956" s="3">
        <v>6</v>
      </c>
      <c r="G12956" t="s">
        <v>513</v>
      </c>
    </row>
    <row r="12957" spans="1:7" x14ac:dyDescent="0.25">
      <c r="A12957" s="1" t="str">
        <f>"1261"</f>
        <v>1261</v>
      </c>
      <c r="B12957" s="2" t="str">
        <f>"IOG.LIGHT VIVER MORANGO 160 G"</f>
        <v>IOG.LIGHT VIVER MORANGO 160 G</v>
      </c>
      <c r="C12957" s="2" t="str">
        <f t="shared" si="508"/>
        <v>UN</v>
      </c>
      <c r="D12957" s="7">
        <v>9</v>
      </c>
      <c r="E12957" s="3">
        <v>6</v>
      </c>
      <c r="F12957" s="3">
        <v>6</v>
      </c>
      <c r="G12957" t="s">
        <v>513</v>
      </c>
    </row>
    <row r="12958" spans="1:7" x14ac:dyDescent="0.25">
      <c r="A12958" s="1" t="str">
        <f>"1258"</f>
        <v>1258</v>
      </c>
      <c r="B12958" s="2" t="str">
        <f>"IOG.LIGHT VIVER MORANGO 900 G"</f>
        <v>IOG.LIGHT VIVER MORANGO 900 G</v>
      </c>
      <c r="C12958" s="2" t="str">
        <f t="shared" si="508"/>
        <v>UN</v>
      </c>
      <c r="D12958" s="7">
        <v>16</v>
      </c>
      <c r="E12958" s="3">
        <v>6</v>
      </c>
      <c r="F12958" s="3">
        <v>6</v>
      </c>
      <c r="G12958" t="s">
        <v>512</v>
      </c>
    </row>
    <row r="12959" spans="1:7" x14ac:dyDescent="0.25">
      <c r="A12959" s="1" t="str">
        <f>"1257"</f>
        <v>1257</v>
      </c>
      <c r="B12959" s="2" t="str">
        <f>"IOG.LIGHT VIVER POLPA MISTA 540 G"</f>
        <v>IOG.LIGHT VIVER POLPA MISTA 540 G</v>
      </c>
      <c r="C12959" s="2" t="str">
        <f t="shared" si="508"/>
        <v>UN</v>
      </c>
      <c r="D12959" s="7">
        <v>19</v>
      </c>
      <c r="E12959" s="3">
        <v>6</v>
      </c>
      <c r="F12959" s="3">
        <v>6</v>
      </c>
      <c r="G12959" t="s">
        <v>513</v>
      </c>
    </row>
    <row r="12960" spans="1:7" x14ac:dyDescent="0.25">
      <c r="A12960" s="1" t="str">
        <f>"1263"</f>
        <v>1263</v>
      </c>
      <c r="B12960" s="2" t="str">
        <f>"IOG.LIGHT VIVER SAL.FRUTA 160 G"</f>
        <v>IOG.LIGHT VIVER SAL.FRUTA 160 G</v>
      </c>
      <c r="C12960" s="2" t="str">
        <f t="shared" si="508"/>
        <v>UN</v>
      </c>
      <c r="D12960" s="7">
        <v>9</v>
      </c>
      <c r="E12960" s="3">
        <v>6</v>
      </c>
      <c r="F12960" s="3">
        <v>6</v>
      </c>
      <c r="G12960" t="s">
        <v>514</v>
      </c>
    </row>
    <row r="12961" spans="1:7" x14ac:dyDescent="0.25">
      <c r="A12961" s="1" t="str">
        <f>"1260"</f>
        <v>1260</v>
      </c>
      <c r="B12961" s="2" t="str">
        <f>"IOG.LIGHT VIVER SAL.FRUTAS 900 G"</f>
        <v>IOG.LIGHT VIVER SAL.FRUTAS 900 G</v>
      </c>
      <c r="C12961" s="2" t="str">
        <f t="shared" si="508"/>
        <v>UN</v>
      </c>
      <c r="D12961" s="7">
        <v>16</v>
      </c>
      <c r="E12961" s="3">
        <v>6</v>
      </c>
      <c r="F12961" s="3">
        <v>6</v>
      </c>
      <c r="G12961" t="s">
        <v>515</v>
      </c>
    </row>
    <row r="12962" spans="1:7" x14ac:dyDescent="0.25">
      <c r="A12962" s="1" t="str">
        <f>"1211"</f>
        <v>1211</v>
      </c>
      <c r="B12962" s="2" t="str">
        <f>"IOG.LIQ.CARREFOUR PESSEGO 900 G"</f>
        <v>IOG.LIQ.CARREFOUR PESSEGO 900 G</v>
      </c>
      <c r="C12962" s="2" t="str">
        <f t="shared" si="508"/>
        <v>UN</v>
      </c>
      <c r="D12962" s="7">
        <v>16</v>
      </c>
      <c r="E12962" s="3">
        <v>6</v>
      </c>
      <c r="F12962" s="3">
        <v>6</v>
      </c>
      <c r="G12962" t="s">
        <v>512</v>
      </c>
    </row>
    <row r="12963" spans="1:7" x14ac:dyDescent="0.25">
      <c r="A12963" s="1" t="str">
        <f>"1232"</f>
        <v>1232</v>
      </c>
      <c r="B12963" s="2" t="str">
        <f>"IOG.LIQ.LIGHT AMEIXA 150 G (COOP)"</f>
        <v>IOG.LIQ.LIGHT AMEIXA 150 G (COOP)</v>
      </c>
      <c r="C12963" s="2" t="str">
        <f t="shared" si="508"/>
        <v>UN</v>
      </c>
      <c r="D12963" s="7">
        <v>8</v>
      </c>
      <c r="E12963" s="3">
        <v>6</v>
      </c>
      <c r="F12963" s="3">
        <v>6</v>
      </c>
      <c r="G12963" t="s">
        <v>516</v>
      </c>
    </row>
    <row r="12964" spans="1:7" x14ac:dyDescent="0.25">
      <c r="A12964" s="1" t="str">
        <f>"1231"</f>
        <v>1231</v>
      </c>
      <c r="B12964" s="2" t="str">
        <f>"IOG.LIQ.LIGHT MORANGO 150 G (COOP)"</f>
        <v>IOG.LIQ.LIGHT MORANGO 150 G (COOP)</v>
      </c>
      <c r="C12964" s="2" t="str">
        <f t="shared" si="508"/>
        <v>UN</v>
      </c>
      <c r="D12964" s="7">
        <v>8</v>
      </c>
      <c r="E12964" s="3">
        <v>6</v>
      </c>
      <c r="F12964" s="3">
        <v>6</v>
      </c>
      <c r="G12964" t="s">
        <v>515</v>
      </c>
    </row>
    <row r="12965" spans="1:7" x14ac:dyDescent="0.25">
      <c r="A12965" s="1" t="str">
        <f>"1417"</f>
        <v>1417</v>
      </c>
      <c r="B12965" s="2" t="str">
        <f>"IOG.LIQ.PROBIOTICO VIVER AMEIXA 900 G"</f>
        <v>IOG.LIQ.PROBIOTICO VIVER AMEIXA 900 G</v>
      </c>
      <c r="C12965" s="2" t="str">
        <f t="shared" si="508"/>
        <v>UN</v>
      </c>
      <c r="D12965" s="7">
        <v>16</v>
      </c>
      <c r="E12965" s="3">
        <v>6</v>
      </c>
      <c r="F12965" s="3">
        <v>6</v>
      </c>
      <c r="G12965" t="s">
        <v>514</v>
      </c>
    </row>
    <row r="12966" spans="1:7" x14ac:dyDescent="0.25">
      <c r="A12966" s="1" t="str">
        <f>"1416"</f>
        <v>1416</v>
      </c>
      <c r="B12966" s="2" t="str">
        <f>"IOG.LIQ.PROBIOTICO VIVER MORANGO 900 G"</f>
        <v>IOG.LIQ.PROBIOTICO VIVER MORANGO 900 G</v>
      </c>
      <c r="C12966" s="2" t="str">
        <f t="shared" si="508"/>
        <v>UN</v>
      </c>
      <c r="D12966" s="7">
        <v>16</v>
      </c>
      <c r="E12966" s="3">
        <v>6</v>
      </c>
      <c r="F12966" s="3">
        <v>6</v>
      </c>
      <c r="G12966" t="s">
        <v>512</v>
      </c>
    </row>
    <row r="12967" spans="1:7" x14ac:dyDescent="0.25">
      <c r="A12967" s="1" t="str">
        <f>"1235"</f>
        <v>1235</v>
      </c>
      <c r="B12967" s="2" t="str">
        <f>"IOG.LIQUIDO FR/VERM 160 G (COOP)"</f>
        <v>IOG.LIQUIDO FR/VERM 160 G (COOP)</v>
      </c>
      <c r="C12967" s="2" t="str">
        <f t="shared" si="508"/>
        <v>UN</v>
      </c>
      <c r="D12967" s="7">
        <v>9</v>
      </c>
      <c r="E12967" s="3">
        <v>6</v>
      </c>
      <c r="F12967" s="3">
        <v>6</v>
      </c>
      <c r="G12967" t="s">
        <v>513</v>
      </c>
    </row>
    <row r="12968" spans="1:7" x14ac:dyDescent="0.25">
      <c r="A12968" s="1" t="str">
        <f>"1233"</f>
        <v>1233</v>
      </c>
      <c r="B12968" s="2" t="str">
        <f>"IOG.LIQUIDO MORANGO 160 G (COOP)"</f>
        <v>IOG.LIQUIDO MORANGO 160 G (COOP)</v>
      </c>
      <c r="C12968" s="2" t="str">
        <f t="shared" si="508"/>
        <v>UN</v>
      </c>
      <c r="D12968" s="7">
        <v>9</v>
      </c>
      <c r="E12968" s="3">
        <v>6</v>
      </c>
      <c r="F12968" s="3">
        <v>6</v>
      </c>
      <c r="G12968" t="s">
        <v>514</v>
      </c>
    </row>
    <row r="12969" spans="1:7" x14ac:dyDescent="0.25">
      <c r="A12969" s="1" t="str">
        <f>"1234"</f>
        <v>1234</v>
      </c>
      <c r="B12969" s="2" t="str">
        <f>"IOG.LIQUIDO PESSEGO 160 G (COOP)"</f>
        <v>IOG.LIQUIDO PESSEGO 160 G (COOP)</v>
      </c>
      <c r="C12969" s="2" t="str">
        <f t="shared" si="508"/>
        <v>UN</v>
      </c>
      <c r="D12969" s="7">
        <v>9</v>
      </c>
      <c r="E12969" s="3">
        <v>6</v>
      </c>
      <c r="F12969" s="3">
        <v>6</v>
      </c>
      <c r="G12969" t="s">
        <v>514</v>
      </c>
    </row>
    <row r="12970" spans="1:7" x14ac:dyDescent="0.25">
      <c r="A12970" s="1" t="str">
        <f>"1697"</f>
        <v>1697</v>
      </c>
      <c r="B12970" s="2" t="str">
        <f>"IOG.MOR.C/CONFEITOS CHOC. 130G - DIA"</f>
        <v>IOG.MOR.C/CONFEITOS CHOC. 130G - DIA</v>
      </c>
      <c r="C12970" s="2" t="str">
        <f t="shared" si="508"/>
        <v>UN</v>
      </c>
      <c r="D12970" s="7">
        <v>2</v>
      </c>
      <c r="E12970" s="3">
        <v>6</v>
      </c>
      <c r="F12970" s="3">
        <v>6</v>
      </c>
      <c r="G12970" t="s">
        <v>512</v>
      </c>
    </row>
    <row r="12971" spans="1:7" x14ac:dyDescent="0.25">
      <c r="A12971" s="1" t="str">
        <f>"1699"</f>
        <v>1699</v>
      </c>
      <c r="B12971" s="2" t="str">
        <f>"IOG.NAT.DESNATADO 180G DIA - 18 UNID"</f>
        <v>IOG.NAT.DESNATADO 180G DIA - 18 UNID</v>
      </c>
      <c r="C12971" s="2" t="str">
        <f t="shared" si="508"/>
        <v>UN</v>
      </c>
      <c r="D12971" s="7">
        <v>3</v>
      </c>
      <c r="E12971" s="3">
        <v>6</v>
      </c>
      <c r="F12971" s="3">
        <v>6</v>
      </c>
      <c r="G12971" t="s">
        <v>513</v>
      </c>
    </row>
    <row r="12972" spans="1:7" x14ac:dyDescent="0.25">
      <c r="A12972" s="1" t="str">
        <f>"1698"</f>
        <v>1698</v>
      </c>
      <c r="B12972" s="2" t="str">
        <f>"IOG.NAT.INTEGRAL 180G DIA - 18 UNID"</f>
        <v>IOG.NAT.INTEGRAL 180G DIA - 18 UNID</v>
      </c>
      <c r="C12972" s="2" t="str">
        <f t="shared" si="508"/>
        <v>UN</v>
      </c>
      <c r="D12972" s="7">
        <v>3</v>
      </c>
      <c r="E12972" s="3">
        <v>6</v>
      </c>
      <c r="F12972" s="3">
        <v>6</v>
      </c>
      <c r="G12972" t="s">
        <v>514</v>
      </c>
    </row>
    <row r="12973" spans="1:7" x14ac:dyDescent="0.25">
      <c r="A12973" s="1" t="str">
        <f>"1230"</f>
        <v>1230</v>
      </c>
      <c r="B12973" s="2" t="str">
        <f>"IOG.NATURAL COM MEL 185 G (COOP)"</f>
        <v>IOG.NATURAL COM MEL 185 G (COOP)</v>
      </c>
      <c r="C12973" s="2" t="str">
        <f t="shared" si="508"/>
        <v>UN</v>
      </c>
      <c r="D12973" s="7">
        <v>4</v>
      </c>
      <c r="E12973" s="3">
        <v>6</v>
      </c>
      <c r="F12973" s="3">
        <v>6</v>
      </c>
      <c r="G12973" t="s">
        <v>514</v>
      </c>
    </row>
    <row r="12974" spans="1:7" x14ac:dyDescent="0.25">
      <c r="A12974" s="1" t="str">
        <f>"1248"</f>
        <v>1248</v>
      </c>
      <c r="B12974" s="2" t="str">
        <f>"IOG.NATURAL COM MEL COOP 185 G"</f>
        <v>IOG.NATURAL COM MEL COOP 185 G</v>
      </c>
      <c r="C12974" s="2" t="str">
        <f t="shared" si="508"/>
        <v>UN</v>
      </c>
      <c r="D12974" s="7">
        <v>4</v>
      </c>
      <c r="E12974" s="3">
        <v>6</v>
      </c>
      <c r="F12974" s="3">
        <v>6</v>
      </c>
      <c r="G12974" t="s">
        <v>514</v>
      </c>
    </row>
    <row r="12975" spans="1:7" x14ac:dyDescent="0.25">
      <c r="A12975" s="1" t="str">
        <f>"1526"</f>
        <v>1526</v>
      </c>
      <c r="B12975" s="2" t="str">
        <f>"IOG.NATURAL DESNATADO 170G CARREFOUR"</f>
        <v>IOG.NATURAL DESNATADO 170G CARREFOUR</v>
      </c>
      <c r="C12975" s="2" t="str">
        <f t="shared" si="508"/>
        <v>UN</v>
      </c>
      <c r="D12975" s="7">
        <v>35</v>
      </c>
      <c r="E12975" s="3">
        <v>6</v>
      </c>
      <c r="F12975" s="3">
        <v>6</v>
      </c>
      <c r="G12975" t="s">
        <v>513</v>
      </c>
    </row>
    <row r="12976" spans="1:7" x14ac:dyDescent="0.25">
      <c r="A12976" s="1" t="str">
        <f>"1229"</f>
        <v>1229</v>
      </c>
      <c r="B12976" s="2" t="str">
        <f>"IOG.NATURAL DESNATADO 185 G (COOP)"</f>
        <v>IOG.NATURAL DESNATADO 185 G (COOP)</v>
      </c>
      <c r="C12976" s="2" t="str">
        <f t="shared" si="508"/>
        <v>UN</v>
      </c>
      <c r="D12976" s="7">
        <v>4</v>
      </c>
      <c r="E12976" s="3">
        <v>6</v>
      </c>
      <c r="F12976" s="3">
        <v>6</v>
      </c>
      <c r="G12976" t="s">
        <v>512</v>
      </c>
    </row>
    <row r="12977" spans="1:7" x14ac:dyDescent="0.25">
      <c r="A12977" s="1" t="str">
        <f>"1247"</f>
        <v>1247</v>
      </c>
      <c r="B12977" s="2" t="str">
        <f>"IOG.NATURAL DESNATADO COOP 185 G"</f>
        <v>IOG.NATURAL DESNATADO COOP 185 G</v>
      </c>
      <c r="C12977" s="2" t="str">
        <f t="shared" ref="C12977:C12993" si="509">"UN"</f>
        <v>UN</v>
      </c>
      <c r="D12977" s="7">
        <v>4</v>
      </c>
      <c r="E12977" s="3">
        <v>6</v>
      </c>
      <c r="F12977" s="3">
        <v>6</v>
      </c>
      <c r="G12977" t="s">
        <v>513</v>
      </c>
    </row>
    <row r="12978" spans="1:7" x14ac:dyDescent="0.25">
      <c r="A12978" s="1" t="str">
        <f>"1525"</f>
        <v>1525</v>
      </c>
      <c r="B12978" s="2" t="str">
        <f>"IOG.NATURAL INTEGRAL 170G CARREFOUR"</f>
        <v>IOG.NATURAL INTEGRAL 170G CARREFOUR</v>
      </c>
      <c r="C12978" s="2" t="str">
        <f t="shared" si="509"/>
        <v>UN</v>
      </c>
      <c r="D12978" s="7">
        <v>35</v>
      </c>
      <c r="E12978" s="3">
        <v>6</v>
      </c>
      <c r="F12978" s="3">
        <v>6</v>
      </c>
      <c r="G12978" t="s">
        <v>514</v>
      </c>
    </row>
    <row r="12979" spans="1:7" x14ac:dyDescent="0.25">
      <c r="A12979" s="1" t="str">
        <f>"1228"</f>
        <v>1228</v>
      </c>
      <c r="B12979" s="2" t="str">
        <f>"IOG.NATURAL INTEGRAL 185 G (COOP)"</f>
        <v>IOG.NATURAL INTEGRAL 185 G (COOP)</v>
      </c>
      <c r="C12979" s="2" t="str">
        <f t="shared" si="509"/>
        <v>UN</v>
      </c>
      <c r="D12979" s="7">
        <v>4</v>
      </c>
      <c r="E12979" s="3">
        <v>6</v>
      </c>
      <c r="F12979" s="3">
        <v>6</v>
      </c>
      <c r="G12979" t="s">
        <v>514</v>
      </c>
    </row>
    <row r="12980" spans="1:7" x14ac:dyDescent="0.25">
      <c r="A12980" s="1" t="str">
        <f>"1238"</f>
        <v>1238</v>
      </c>
      <c r="B12980" s="2" t="str">
        <f>"IOG.P DE FRUT FR/VERM 600 G (COOP)"</f>
        <v>IOG.P DE FRUT FR/VERM 600 G (COOP)</v>
      </c>
      <c r="C12980" s="2" t="str">
        <f t="shared" si="509"/>
        <v>UN</v>
      </c>
      <c r="D12980" s="7">
        <v>14</v>
      </c>
      <c r="E12980" s="3">
        <v>6</v>
      </c>
      <c r="F12980" s="3">
        <v>6</v>
      </c>
      <c r="G12980" t="s">
        <v>514</v>
      </c>
    </row>
    <row r="12981" spans="1:7" x14ac:dyDescent="0.25">
      <c r="A12981" s="1" t="str">
        <f>"1239"</f>
        <v>1239</v>
      </c>
      <c r="B12981" s="2" t="str">
        <f>"IOG.P DE FRUT MORANGO 120 G (COOP)"</f>
        <v>IOG.P DE FRUT MORANGO 120 G (COOP)</v>
      </c>
      <c r="C12981" s="2" t="str">
        <f t="shared" si="509"/>
        <v>UN</v>
      </c>
      <c r="D12981" s="7">
        <v>1</v>
      </c>
      <c r="E12981" s="3">
        <v>6</v>
      </c>
      <c r="F12981" s="3">
        <v>6</v>
      </c>
      <c r="G12981" t="s">
        <v>513</v>
      </c>
    </row>
    <row r="12982" spans="1:7" x14ac:dyDescent="0.25">
      <c r="A12982" s="1" t="str">
        <f>"1236"</f>
        <v>1236</v>
      </c>
      <c r="B12982" s="2" t="str">
        <f>"IOG.P DE FRUT MORANGO 600 G (COOP)"</f>
        <v>IOG.P DE FRUT MORANGO 600 G (COOP)</v>
      </c>
      <c r="C12982" s="2" t="str">
        <f t="shared" si="509"/>
        <v>UN</v>
      </c>
      <c r="D12982" s="7">
        <v>14</v>
      </c>
      <c r="E12982" s="3">
        <v>6</v>
      </c>
      <c r="F12982" s="3">
        <v>6</v>
      </c>
      <c r="G12982" t="s">
        <v>513</v>
      </c>
    </row>
    <row r="12983" spans="1:7" x14ac:dyDescent="0.25">
      <c r="A12983" s="1" t="str">
        <f>"1237"</f>
        <v>1237</v>
      </c>
      <c r="B12983" s="2" t="str">
        <f>"IOG.P DE FRUT PESSEGO 600 G (COOP)"</f>
        <v>IOG.P DE FRUT PESSEGO 600 G (COOP)</v>
      </c>
      <c r="C12983" s="2" t="str">
        <f t="shared" si="509"/>
        <v>UN</v>
      </c>
      <c r="D12983" s="7">
        <v>14</v>
      </c>
      <c r="E12983" s="3">
        <v>6</v>
      </c>
      <c r="F12983" s="3">
        <v>6</v>
      </c>
      <c r="G12983" t="s">
        <v>513</v>
      </c>
    </row>
    <row r="12984" spans="1:7" x14ac:dyDescent="0.25">
      <c r="A12984" s="1" t="str">
        <f>"1615"</f>
        <v>1615</v>
      </c>
      <c r="B12984" s="2" t="str">
        <f>"IOG.P.DESN.C/SOJA GOIA/AMORA-D'SOY 400 G"</f>
        <v>IOG.P.DESN.C/SOJA GOIA/AMORA-D'SOY 400 G</v>
      </c>
      <c r="C12984" s="2" t="str">
        <f t="shared" si="509"/>
        <v>UN</v>
      </c>
      <c r="D12984" s="7">
        <v>20</v>
      </c>
      <c r="E12984" s="3">
        <v>6</v>
      </c>
      <c r="F12984" s="3">
        <v>6</v>
      </c>
      <c r="G12984" t="s">
        <v>512</v>
      </c>
    </row>
    <row r="12985" spans="1:7" x14ac:dyDescent="0.25">
      <c r="A12985" s="1" t="str">
        <f>"1616"</f>
        <v>1616</v>
      </c>
      <c r="B12985" s="2" t="str">
        <f>"IOG.P.DESN.C/SOJA NATURAL - D'SOY 400G"</f>
        <v>IOG.P.DESN.C/SOJA NATURAL - D'SOY 400G</v>
      </c>
      <c r="C12985" s="2" t="str">
        <f t="shared" si="509"/>
        <v>UN</v>
      </c>
      <c r="D12985" s="7">
        <v>20</v>
      </c>
      <c r="E12985" s="3">
        <v>6</v>
      </c>
      <c r="F12985" s="3">
        <v>6</v>
      </c>
      <c r="G12985" t="s">
        <v>513</v>
      </c>
    </row>
    <row r="12986" spans="1:7" x14ac:dyDescent="0.25">
      <c r="A12986" s="1" t="str">
        <f>"1527"</f>
        <v>1527</v>
      </c>
      <c r="B12986" s="2" t="str">
        <f>"IOG.PARC DESN C/ PREP DE MEL 170G CARREFOUR"</f>
        <v>IOG.PARC DESN C/ PREP DE MEL 170G CARREFOUR</v>
      </c>
      <c r="C12986" s="2" t="str">
        <f t="shared" si="509"/>
        <v>UN</v>
      </c>
      <c r="D12986" s="7">
        <v>35</v>
      </c>
      <c r="E12986" s="3">
        <v>6</v>
      </c>
      <c r="F12986" s="3">
        <v>6</v>
      </c>
      <c r="G12986" t="s">
        <v>514</v>
      </c>
    </row>
    <row r="12987" spans="1:7" x14ac:dyDescent="0.25">
      <c r="A12987" s="1" t="str">
        <f>"3562"</f>
        <v>3562</v>
      </c>
      <c r="B12987" s="2" t="str">
        <f>"IOG.PARC DESN C/PREP MOR BJ 320G"</f>
        <v>IOG.PARC DESN C/PREP MOR BJ 320G</v>
      </c>
      <c r="C12987" s="2" t="str">
        <f t="shared" si="509"/>
        <v>UN</v>
      </c>
      <c r="D12987" s="7">
        <v>48</v>
      </c>
      <c r="E12987" s="3">
        <v>6</v>
      </c>
      <c r="F12987" s="3">
        <v>6</v>
      </c>
      <c r="G12987" t="s">
        <v>515</v>
      </c>
    </row>
    <row r="12988" spans="1:7" x14ac:dyDescent="0.25">
      <c r="A12988" s="1" t="str">
        <f>"1671"</f>
        <v>1671</v>
      </c>
      <c r="B12988" s="2" t="str">
        <f>"IOG.PARC.DESNAT.ICEGURT COCO 10X56G"</f>
        <v>IOG.PARC.DESNAT.ICEGURT COCO 10X56G</v>
      </c>
      <c r="C12988" s="2" t="str">
        <f t="shared" si="509"/>
        <v>UN</v>
      </c>
      <c r="D12988" s="7">
        <v>28</v>
      </c>
      <c r="E12988" s="3">
        <v>6</v>
      </c>
      <c r="F12988" s="3">
        <v>6</v>
      </c>
      <c r="G12988" t="s">
        <v>512</v>
      </c>
    </row>
    <row r="12989" spans="1:7" x14ac:dyDescent="0.25">
      <c r="A12989" s="1" t="str">
        <f>"1672"</f>
        <v>1672</v>
      </c>
      <c r="B12989" s="2" t="str">
        <f>"IOG.PARC.DESNAT.ICEGURT GRAVIOLA 10X56G"</f>
        <v>IOG.PARC.DESNAT.ICEGURT GRAVIOLA 10X56G</v>
      </c>
      <c r="C12989" s="2" t="str">
        <f t="shared" si="509"/>
        <v>UN</v>
      </c>
      <c r="D12989" s="7">
        <v>28</v>
      </c>
      <c r="E12989" s="3">
        <v>6</v>
      </c>
      <c r="F12989" s="3">
        <v>6</v>
      </c>
      <c r="G12989" t="s">
        <v>516</v>
      </c>
    </row>
    <row r="12990" spans="1:7" x14ac:dyDescent="0.25">
      <c r="A12990" s="1" t="str">
        <f>"1771"</f>
        <v>1771</v>
      </c>
      <c r="B12990" s="2" t="str">
        <f>"IOG.PARC.DESNAT.ICEGURT LIMAO 10X56"</f>
        <v>IOG.PARC.DESNAT.ICEGURT LIMAO 10X56</v>
      </c>
      <c r="C12990" s="2" t="str">
        <f t="shared" si="509"/>
        <v>UN</v>
      </c>
      <c r="D12990" s="7">
        <v>28</v>
      </c>
      <c r="E12990" s="3">
        <v>6</v>
      </c>
      <c r="F12990" s="3">
        <v>6</v>
      </c>
      <c r="G12990" t="s">
        <v>515</v>
      </c>
    </row>
    <row r="12991" spans="1:7" x14ac:dyDescent="0.25">
      <c r="A12991" s="1" t="str">
        <f>"1673"</f>
        <v>1673</v>
      </c>
      <c r="B12991" s="2" t="str">
        <f>"IOG.PARC.DESNAT.ICEGURT MANGA 10X56G"</f>
        <v>IOG.PARC.DESNAT.ICEGURT MANGA 10X56G</v>
      </c>
      <c r="C12991" s="2" t="str">
        <f t="shared" si="509"/>
        <v>UN</v>
      </c>
      <c r="D12991" s="7">
        <v>28</v>
      </c>
      <c r="E12991" s="3">
        <v>6</v>
      </c>
      <c r="F12991" s="3">
        <v>6</v>
      </c>
      <c r="G12991" t="s">
        <v>514</v>
      </c>
    </row>
    <row r="12992" spans="1:7" x14ac:dyDescent="0.25">
      <c r="A12992" s="1" t="str">
        <f>"1674"</f>
        <v>1674</v>
      </c>
      <c r="B12992" s="2" t="str">
        <f>"IOG.PARC.DESNAT.ICEGURT MARACUJA 10X56G"</f>
        <v>IOG.PARC.DESNAT.ICEGURT MARACUJA 10X56G</v>
      </c>
      <c r="C12992" s="2" t="str">
        <f t="shared" si="509"/>
        <v>UN</v>
      </c>
      <c r="D12992" s="7">
        <v>28</v>
      </c>
      <c r="E12992" s="3">
        <v>6</v>
      </c>
      <c r="F12992" s="3">
        <v>6</v>
      </c>
      <c r="G12992" t="s">
        <v>512</v>
      </c>
    </row>
    <row r="12993" spans="1:7" x14ac:dyDescent="0.25">
      <c r="A12993" s="1" t="str">
        <f>"1670"</f>
        <v>1670</v>
      </c>
      <c r="B12993" s="2" t="str">
        <f>"IOG.PARC.DESNAT.ICEGURT MORANGO 10X56"</f>
        <v>IOG.PARC.DESNAT.ICEGURT MORANGO 10X56</v>
      </c>
      <c r="C12993" s="2" t="str">
        <f t="shared" si="509"/>
        <v>UN</v>
      </c>
      <c r="D12993" s="7">
        <v>28</v>
      </c>
      <c r="E12993" s="3">
        <v>6</v>
      </c>
      <c r="F12993" s="3">
        <v>6</v>
      </c>
      <c r="G12993" t="s">
        <v>513</v>
      </c>
    </row>
    <row r="12994" spans="1:7" x14ac:dyDescent="0.25">
      <c r="A12994" s="1" t="str">
        <f>"75"</f>
        <v>75</v>
      </c>
      <c r="B12994" s="2" t="str">
        <f>"IOG.POLP.FRT.MORANGO CAROLINA BJ 720 G"</f>
        <v>IOG.POLP.FRT.MORANGO CAROLINA BJ 720 G</v>
      </c>
      <c r="C12994" s="2" t="str">
        <f>"BD"</f>
        <v>BD</v>
      </c>
      <c r="D12994" s="7">
        <v>23</v>
      </c>
      <c r="E12994" s="3">
        <v>6</v>
      </c>
      <c r="F12994" s="3">
        <v>6</v>
      </c>
      <c r="G12994" t="s">
        <v>514</v>
      </c>
    </row>
    <row r="12995" spans="1:7" x14ac:dyDescent="0.25">
      <c r="A12995" s="1" t="str">
        <f>"1685"</f>
        <v>1685</v>
      </c>
      <c r="B12995" s="2" t="str">
        <f>"IOG.POLPA BAND MORANGO 600G DIA C/10UNID"</f>
        <v>IOG.POLPA BAND MORANGO 600G DIA C/10UNID</v>
      </c>
      <c r="C12995" s="2" t="str">
        <f t="shared" ref="C12995:C13014" si="510">"UN"</f>
        <v>UN</v>
      </c>
      <c r="D12995" s="7">
        <v>22</v>
      </c>
      <c r="E12995" s="3">
        <v>6</v>
      </c>
      <c r="F12995" s="3">
        <v>6</v>
      </c>
      <c r="G12995" t="s">
        <v>514</v>
      </c>
    </row>
    <row r="12996" spans="1:7" x14ac:dyDescent="0.25">
      <c r="A12996" s="1" t="str">
        <f>"1686"</f>
        <v>1686</v>
      </c>
      <c r="B12996" s="2" t="str">
        <f>"IOG.POLPA BAND.MOR/COC 600G DIA C/10UNID"</f>
        <v>IOG.POLPA BAND.MOR/COC 600G DIA C/10UNID</v>
      </c>
      <c r="C12996" s="2" t="str">
        <f t="shared" si="510"/>
        <v>UN</v>
      </c>
      <c r="D12996" s="7">
        <v>22</v>
      </c>
      <c r="E12996" s="3">
        <v>6</v>
      </c>
      <c r="F12996" s="3">
        <v>6</v>
      </c>
      <c r="G12996" t="s">
        <v>512</v>
      </c>
    </row>
    <row r="12997" spans="1:7" x14ac:dyDescent="0.25">
      <c r="A12997" s="1" t="str">
        <f>"1254"</f>
        <v>1254</v>
      </c>
      <c r="B12997" s="2" t="str">
        <f>"IOG.POLPA CARREFOUR MOR/SAL BJ 540 G"</f>
        <v>IOG.POLPA CARREFOUR MOR/SAL BJ 540 G</v>
      </c>
      <c r="C12997" s="2" t="str">
        <f t="shared" si="510"/>
        <v>UN</v>
      </c>
      <c r="D12997" s="7">
        <v>19</v>
      </c>
      <c r="E12997" s="3">
        <v>6</v>
      </c>
      <c r="F12997" s="3">
        <v>6</v>
      </c>
      <c r="G12997" t="s">
        <v>513</v>
      </c>
    </row>
    <row r="12998" spans="1:7" x14ac:dyDescent="0.25">
      <c r="A12998" s="1" t="str">
        <f>"1253"</f>
        <v>1253</v>
      </c>
      <c r="B12998" s="2" t="str">
        <f>"IOG.POLPA CARREFOUR MORANGO BJ 540 G"</f>
        <v>IOG.POLPA CARREFOUR MORANGO BJ 540 G</v>
      </c>
      <c r="C12998" s="2" t="str">
        <f t="shared" si="510"/>
        <v>UN</v>
      </c>
      <c r="D12998" s="7">
        <v>19</v>
      </c>
      <c r="E12998" s="3">
        <v>6</v>
      </c>
      <c r="F12998" s="3">
        <v>6</v>
      </c>
      <c r="G12998" t="s">
        <v>514</v>
      </c>
    </row>
    <row r="12999" spans="1:7" x14ac:dyDescent="0.25">
      <c r="A12999" s="1" t="str">
        <f>"633"</f>
        <v>633</v>
      </c>
      <c r="B12999" s="2" t="str">
        <f>"IOG.POLPA FRT COCO BJ 720G (CAROLINA)"</f>
        <v>IOG.POLPA FRT COCO BJ 720G (CAROLINA)</v>
      </c>
      <c r="C12999" s="2" t="str">
        <f t="shared" si="510"/>
        <v>UN</v>
      </c>
      <c r="D12999" s="7">
        <v>23</v>
      </c>
      <c r="E12999" s="3">
        <v>6</v>
      </c>
      <c r="F12999" s="3">
        <v>6</v>
      </c>
      <c r="G12999" t="s">
        <v>514</v>
      </c>
    </row>
    <row r="13000" spans="1:7" x14ac:dyDescent="0.25">
      <c r="A13000" s="1" t="str">
        <f>"1700"</f>
        <v>1700</v>
      </c>
      <c r="B13000" s="2" t="str">
        <f>"IOG.POLPA MORANGO PAO DE ACUCAR 900 G"</f>
        <v>IOG.POLPA MORANGO PAO DE ACUCAR 900 G</v>
      </c>
      <c r="C13000" s="2" t="str">
        <f t="shared" si="510"/>
        <v>UN</v>
      </c>
      <c r="D13000" s="7">
        <v>16</v>
      </c>
      <c r="E13000" s="3">
        <v>6</v>
      </c>
      <c r="F13000" s="3">
        <v>6</v>
      </c>
      <c r="G13000" t="s">
        <v>514</v>
      </c>
    </row>
    <row r="13001" spans="1:7" x14ac:dyDescent="0.25">
      <c r="A13001" s="1" t="str">
        <f>"1415"</f>
        <v>1415</v>
      </c>
      <c r="B13001" s="2" t="str">
        <f>"IOG.PROBIOTICO VIVER POLPA MISTA 540 G"</f>
        <v>IOG.PROBIOTICO VIVER POLPA MISTA 540 G</v>
      </c>
      <c r="C13001" s="2" t="str">
        <f t="shared" si="510"/>
        <v>UN</v>
      </c>
      <c r="D13001" s="7">
        <v>19</v>
      </c>
      <c r="E13001" s="3">
        <v>6</v>
      </c>
      <c r="F13001" s="3">
        <v>6</v>
      </c>
      <c r="G13001" t="s">
        <v>513</v>
      </c>
    </row>
    <row r="13002" spans="1:7" x14ac:dyDescent="0.25">
      <c r="A13002" s="1" t="str">
        <f>"3000"</f>
        <v>3000</v>
      </c>
      <c r="B13002" s="2" t="str">
        <f>"IOGUR.BANDEJ.MORANGO DIA 540G"</f>
        <v>IOGUR.BANDEJ.MORANGO DIA 540G</v>
      </c>
      <c r="C13002" s="2" t="str">
        <f t="shared" si="510"/>
        <v>UN</v>
      </c>
      <c r="D13002" s="7">
        <v>19</v>
      </c>
      <c r="E13002" s="3">
        <v>6</v>
      </c>
      <c r="F13002" s="3">
        <v>6</v>
      </c>
      <c r="G13002" t="s">
        <v>512</v>
      </c>
    </row>
    <row r="13003" spans="1:7" x14ac:dyDescent="0.25">
      <c r="A13003" s="1" t="str">
        <f>"3547"</f>
        <v>3547</v>
      </c>
      <c r="B13003" s="2" t="str">
        <f>"IOGURTE  ZERO AMEIXA GARRAFA GLUCK 160G"</f>
        <v>IOGURTE  ZERO AMEIXA GARRAFA GLUCK 160G</v>
      </c>
      <c r="C13003" s="2" t="str">
        <f t="shared" si="510"/>
        <v>UN</v>
      </c>
      <c r="D13003" s="7">
        <v>9</v>
      </c>
      <c r="E13003" s="3">
        <v>6</v>
      </c>
      <c r="F13003" s="3">
        <v>6</v>
      </c>
      <c r="G13003" t="s">
        <v>513</v>
      </c>
    </row>
    <row r="13004" spans="1:7" x14ac:dyDescent="0.25">
      <c r="A13004" s="1" t="str">
        <f>"3543"</f>
        <v>3543</v>
      </c>
      <c r="B13004" s="2" t="str">
        <f>"IOGURTE  ZERO AMEIXA GARRAFA GLUCK 850G"</f>
        <v>IOGURTE  ZERO AMEIXA GARRAFA GLUCK 850G</v>
      </c>
      <c r="C13004" s="2" t="str">
        <f t="shared" si="510"/>
        <v>UN</v>
      </c>
      <c r="D13004" s="7">
        <v>15</v>
      </c>
      <c r="E13004" s="3">
        <v>6</v>
      </c>
      <c r="F13004" s="3">
        <v>6</v>
      </c>
      <c r="G13004" t="s">
        <v>514</v>
      </c>
    </row>
    <row r="13005" spans="1:7" x14ac:dyDescent="0.25">
      <c r="A13005" s="1" t="str">
        <f>"3546"</f>
        <v>3546</v>
      </c>
      <c r="B13005" s="2" t="str">
        <f>"IOGURTE  ZERO MORANGO GARRAFA GLUCK 160G"</f>
        <v>IOGURTE  ZERO MORANGO GARRAFA GLUCK 160G</v>
      </c>
      <c r="C13005" s="2" t="str">
        <f t="shared" si="510"/>
        <v>UN</v>
      </c>
      <c r="D13005" s="7">
        <v>9</v>
      </c>
      <c r="E13005" s="3">
        <v>6</v>
      </c>
      <c r="F13005" s="3">
        <v>6</v>
      </c>
      <c r="G13005" t="s">
        <v>514</v>
      </c>
    </row>
    <row r="13006" spans="1:7" x14ac:dyDescent="0.25">
      <c r="A13006" s="1" t="str">
        <f>"3542"</f>
        <v>3542</v>
      </c>
      <c r="B13006" s="2" t="str">
        <f>"IOGURTE  ZERO MORANGO GARRAFA GLUCK 850G"</f>
        <v>IOGURTE  ZERO MORANGO GARRAFA GLUCK 850G</v>
      </c>
      <c r="C13006" s="2" t="str">
        <f t="shared" si="510"/>
        <v>UN</v>
      </c>
      <c r="D13006" s="7">
        <v>15</v>
      </c>
      <c r="E13006" s="3">
        <v>6</v>
      </c>
      <c r="F13006" s="3">
        <v>6</v>
      </c>
      <c r="G13006" t="s">
        <v>514</v>
      </c>
    </row>
    <row r="13007" spans="1:7" x14ac:dyDescent="0.25">
      <c r="A13007" s="1" t="str">
        <f>"3544"</f>
        <v>3544</v>
      </c>
      <c r="B13007" s="2" t="str">
        <f>"IOGURTE  ZERO SALADA DE FRUTAS GARRAFA GLUCK 850G"</f>
        <v>IOGURTE  ZERO SALADA DE FRUTAS GARRAFA GLUCK 850G</v>
      </c>
      <c r="C13007" s="2" t="str">
        <f t="shared" si="510"/>
        <v>UN</v>
      </c>
      <c r="D13007" s="7">
        <v>15</v>
      </c>
      <c r="E13007" s="3">
        <v>6</v>
      </c>
      <c r="F13007" s="3">
        <v>6</v>
      </c>
      <c r="G13007" t="s">
        <v>513</v>
      </c>
    </row>
    <row r="13008" spans="1:7" x14ac:dyDescent="0.25">
      <c r="A13008" s="1" t="str">
        <f>"523364"</f>
        <v>523364</v>
      </c>
      <c r="B13008" s="2" t="str">
        <f>"IOGURTE 1000GR - AMOSTRA"</f>
        <v>IOGURTE 1000GR - AMOSTRA</v>
      </c>
      <c r="C13008" s="2" t="str">
        <f t="shared" si="510"/>
        <v>UN</v>
      </c>
      <c r="D13008" s="7">
        <v>99999</v>
      </c>
      <c r="E13008" s="3">
        <v>99</v>
      </c>
      <c r="F13008" s="3">
        <v>99</v>
      </c>
      <c r="G13008" t="s">
        <v>513</v>
      </c>
    </row>
    <row r="13009" spans="1:7" x14ac:dyDescent="0.25">
      <c r="A13009" s="1" t="str">
        <f>"523340"</f>
        <v>523340</v>
      </c>
      <c r="B13009" s="2" t="str">
        <f>"IOGURTE 900GR - AMOSTRA"</f>
        <v>IOGURTE 900GR - AMOSTRA</v>
      </c>
      <c r="C13009" s="2" t="str">
        <f t="shared" si="510"/>
        <v>UN</v>
      </c>
      <c r="D13009" s="7">
        <v>99999</v>
      </c>
      <c r="E13009" s="3">
        <v>99</v>
      </c>
      <c r="F13009" s="3">
        <v>99</v>
      </c>
      <c r="G13009" t="s">
        <v>513</v>
      </c>
    </row>
    <row r="13010" spans="1:7" x14ac:dyDescent="0.25">
      <c r="A13010" s="1" t="str">
        <f>"1501"</f>
        <v>1501</v>
      </c>
      <c r="B13010" s="2" t="str">
        <f>"IOGURTE AMEIXA LIGHT BJ VIVER 400 G"</f>
        <v>IOGURTE AMEIXA LIGHT BJ VIVER 400 G</v>
      </c>
      <c r="C13010" s="2" t="str">
        <f t="shared" si="510"/>
        <v>UN</v>
      </c>
      <c r="D13010" s="7">
        <v>20</v>
      </c>
      <c r="E13010" s="3">
        <v>6</v>
      </c>
      <c r="F13010" s="3">
        <v>6</v>
      </c>
      <c r="G13010" t="s">
        <v>512</v>
      </c>
    </row>
    <row r="13011" spans="1:7" x14ac:dyDescent="0.25">
      <c r="A13011" s="1" t="str">
        <f>"515112"</f>
        <v>515112</v>
      </c>
      <c r="B13011" s="2" t="str">
        <f>"IOGURTE AMOSTRA"</f>
        <v>IOGURTE AMOSTRA</v>
      </c>
      <c r="C13011" s="2" t="str">
        <f t="shared" si="510"/>
        <v>UN</v>
      </c>
      <c r="D13011" s="7">
        <v>401</v>
      </c>
      <c r="E13011" s="3">
        <v>4</v>
      </c>
      <c r="F13011" s="3">
        <v>4</v>
      </c>
      <c r="G13011" t="s">
        <v>513</v>
      </c>
    </row>
    <row r="13012" spans="1:7" x14ac:dyDescent="0.25">
      <c r="A13012" s="1" t="str">
        <f>"1632"</f>
        <v>1632</v>
      </c>
      <c r="B13012" s="2" t="str">
        <f>"IOGURTE BATIDO C/ ACUCAR GARRAFA CAROLINA 850G"</f>
        <v>IOGURTE BATIDO C/ ACUCAR GARRAFA CAROLINA 850G</v>
      </c>
      <c r="C13012" s="2" t="str">
        <f t="shared" si="510"/>
        <v>UN</v>
      </c>
      <c r="D13012" s="7">
        <v>15</v>
      </c>
      <c r="E13012" s="3">
        <v>6</v>
      </c>
      <c r="F13012" s="3">
        <v>6</v>
      </c>
      <c r="G13012" t="s">
        <v>514</v>
      </c>
    </row>
    <row r="13013" spans="1:7" x14ac:dyDescent="0.25">
      <c r="A13013" s="1" t="str">
        <f>"1633"</f>
        <v>1633</v>
      </c>
      <c r="B13013" s="2" t="str">
        <f>"IOGURTE BATIDO C/ MEL GARRAFA CAROLINA  850G"</f>
        <v>IOGURTE BATIDO C/ MEL GARRAFA CAROLINA  850G</v>
      </c>
      <c r="C13013" s="2" t="str">
        <f t="shared" si="510"/>
        <v>UN</v>
      </c>
      <c r="D13013" s="7">
        <v>15</v>
      </c>
      <c r="E13013" s="3">
        <v>6</v>
      </c>
      <c r="F13013" s="3">
        <v>6</v>
      </c>
      <c r="G13013" t="s">
        <v>515</v>
      </c>
    </row>
    <row r="13014" spans="1:7" x14ac:dyDescent="0.25">
      <c r="A13014" s="1" t="str">
        <f>"1640"</f>
        <v>1640</v>
      </c>
      <c r="B13014" s="2" t="str">
        <f>"IOGURTE BATIDO C/AC.E MEL 170 G C/25UN"</f>
        <v>IOGURTE BATIDO C/AC.E MEL 170 G C/25UN</v>
      </c>
      <c r="C13014" s="2" t="str">
        <f t="shared" si="510"/>
        <v>UN</v>
      </c>
      <c r="D13014" s="7">
        <v>10</v>
      </c>
      <c r="E13014" s="3">
        <v>6</v>
      </c>
      <c r="F13014" s="3">
        <v>6</v>
      </c>
      <c r="G13014" t="s">
        <v>512</v>
      </c>
    </row>
    <row r="13015" spans="1:7" x14ac:dyDescent="0.25">
      <c r="A13015" s="1" t="str">
        <f>"01"</f>
        <v>01</v>
      </c>
      <c r="B13015" s="2" t="str">
        <f>"IOGURTE BATIDO COM ACUCAR - FRASCO"</f>
        <v>IOGURTE BATIDO COM ACUCAR - FRASCO</v>
      </c>
      <c r="C13015" s="2" t="str">
        <f>"KG"</f>
        <v>KG</v>
      </c>
      <c r="D13015" s="7">
        <v>1900</v>
      </c>
      <c r="E13015" s="3">
        <v>7</v>
      </c>
      <c r="F13015" s="3">
        <v>7</v>
      </c>
      <c r="G13015" t="s">
        <v>516</v>
      </c>
    </row>
    <row r="13016" spans="1:7" x14ac:dyDescent="0.25">
      <c r="A13016" s="1" t="str">
        <f>"1639"</f>
        <v>1639</v>
      </c>
      <c r="B13016" s="2" t="str">
        <f>"IOGURTE BATIDO COM ACUCAR 180 G C/25UN"</f>
        <v>IOGURTE BATIDO COM ACUCAR 180 G C/25UN</v>
      </c>
      <c r="C13016" s="2" t="str">
        <f>"UN"</f>
        <v>UN</v>
      </c>
      <c r="D13016" s="7">
        <v>11</v>
      </c>
      <c r="E13016" s="3">
        <v>6</v>
      </c>
      <c r="F13016" s="3">
        <v>6</v>
      </c>
      <c r="G13016" t="s">
        <v>515</v>
      </c>
    </row>
    <row r="13017" spans="1:7" x14ac:dyDescent="0.25">
      <c r="A13017" s="1" t="str">
        <f>"02"</f>
        <v>02</v>
      </c>
      <c r="B13017" s="2" t="str">
        <f>"IOGURTE BATIDO COM MEL - FRASCO"</f>
        <v>IOGURTE BATIDO COM MEL - FRASCO</v>
      </c>
      <c r="C13017" s="2" t="str">
        <f t="shared" ref="C13017:C13023" si="511">"KG"</f>
        <v>KG</v>
      </c>
      <c r="D13017" s="7">
        <v>1900</v>
      </c>
      <c r="E13017" s="3">
        <v>7</v>
      </c>
      <c r="F13017" s="3">
        <v>7</v>
      </c>
      <c r="G13017" t="s">
        <v>514</v>
      </c>
    </row>
    <row r="13018" spans="1:7" x14ac:dyDescent="0.25">
      <c r="A13018" s="1" t="str">
        <f>"81"</f>
        <v>81</v>
      </c>
      <c r="B13018" s="2" t="str">
        <f>"IOGURTE BICAMADA COM GELEIA AMEIXA - COPO"</f>
        <v>IOGURTE BICAMADA COM GELEIA AMEIXA - COPO</v>
      </c>
      <c r="C13018" s="2" t="str">
        <f t="shared" si="511"/>
        <v>KG</v>
      </c>
      <c r="D13018" s="7">
        <v>1900</v>
      </c>
      <c r="E13018" s="3">
        <v>7</v>
      </c>
      <c r="F13018" s="3">
        <v>7</v>
      </c>
      <c r="G13018" t="s">
        <v>512</v>
      </c>
    </row>
    <row r="13019" spans="1:7" x14ac:dyDescent="0.25">
      <c r="A13019" s="1" t="str">
        <f>"167"</f>
        <v>167</v>
      </c>
      <c r="B13019" s="2" t="str">
        <f>"IOGURTE BICAMADA COM GELEIA FRAMBOESA - COPO"</f>
        <v>IOGURTE BICAMADA COM GELEIA FRAMBOESA - COPO</v>
      </c>
      <c r="C13019" s="2" t="str">
        <f t="shared" si="511"/>
        <v>KG</v>
      </c>
      <c r="D13019" s="7">
        <v>1900</v>
      </c>
      <c r="E13019" s="3">
        <v>7</v>
      </c>
      <c r="F13019" s="3">
        <v>7</v>
      </c>
      <c r="G13019" t="s">
        <v>513</v>
      </c>
    </row>
    <row r="13020" spans="1:7" x14ac:dyDescent="0.25">
      <c r="A13020" s="1" t="str">
        <f>"65"</f>
        <v>65</v>
      </c>
      <c r="B13020" s="2" t="str">
        <f>"IOGURTE BICAMADA COM GELEIA FRUTAS AMARELAS - COPO"</f>
        <v>IOGURTE BICAMADA COM GELEIA FRUTAS AMARELAS - COPO</v>
      </c>
      <c r="C13020" s="2" t="str">
        <f t="shared" si="511"/>
        <v>KG</v>
      </c>
      <c r="D13020" s="7">
        <v>1900</v>
      </c>
      <c r="E13020" s="3">
        <v>7</v>
      </c>
      <c r="F13020" s="3">
        <v>7</v>
      </c>
      <c r="G13020" t="s">
        <v>514</v>
      </c>
    </row>
    <row r="13021" spans="1:7" x14ac:dyDescent="0.25">
      <c r="A13021" s="1" t="str">
        <f>"66"</f>
        <v>66</v>
      </c>
      <c r="B13021" s="2" t="str">
        <f>"IOGURTE BICAMADA COM GELEIA FRUTAS VERMELHAS - COPO"</f>
        <v>IOGURTE BICAMADA COM GELEIA FRUTAS VERMELHAS - COPO</v>
      </c>
      <c r="C13021" s="2" t="str">
        <f t="shared" si="511"/>
        <v>KG</v>
      </c>
      <c r="D13021" s="7">
        <v>1900</v>
      </c>
      <c r="E13021" s="3">
        <v>7</v>
      </c>
      <c r="F13021" s="3">
        <v>7</v>
      </c>
      <c r="G13021" t="s">
        <v>514</v>
      </c>
    </row>
    <row r="13022" spans="1:7" x14ac:dyDescent="0.25">
      <c r="A13022" s="1" t="str">
        <f>"166"</f>
        <v>166</v>
      </c>
      <c r="B13022" s="2" t="str">
        <f>"IOGURTE BICAMADA COM GELEIA MARACUJA - COPO"</f>
        <v>IOGURTE BICAMADA COM GELEIA MARACUJA - COPO</v>
      </c>
      <c r="C13022" s="2" t="str">
        <f t="shared" si="511"/>
        <v>KG</v>
      </c>
      <c r="D13022" s="7">
        <v>1900</v>
      </c>
      <c r="E13022" s="3">
        <v>7</v>
      </c>
      <c r="F13022" s="3">
        <v>7</v>
      </c>
      <c r="G13022" t="s">
        <v>512</v>
      </c>
    </row>
    <row r="13023" spans="1:7" x14ac:dyDescent="0.25">
      <c r="A13023" s="1" t="str">
        <f>"54"</f>
        <v>54</v>
      </c>
      <c r="B13023" s="2" t="str">
        <f>"IOGURTE BICAMADA GELEIA MORANGO - COPO"</f>
        <v>IOGURTE BICAMADA GELEIA MORANGO - COPO</v>
      </c>
      <c r="C13023" s="2" t="str">
        <f t="shared" si="511"/>
        <v>KG</v>
      </c>
      <c r="D13023" s="7">
        <v>1900</v>
      </c>
      <c r="E13023" s="3">
        <v>7</v>
      </c>
      <c r="F13023" s="3">
        <v>7</v>
      </c>
      <c r="G13023" t="s">
        <v>513</v>
      </c>
    </row>
    <row r="13024" spans="1:7" x14ac:dyDescent="0.25">
      <c r="A13024" s="1" t="str">
        <f>"1530"</f>
        <v>1530</v>
      </c>
      <c r="B13024" s="2" t="str">
        <f>"IOGURTE C/P.MORANGO GREAT VALUE 600G"</f>
        <v>IOGURTE C/P.MORANGO GREAT VALUE 600G</v>
      </c>
      <c r="C13024" s="2" t="str">
        <f>"UN"</f>
        <v>UN</v>
      </c>
      <c r="D13024" s="7">
        <v>22</v>
      </c>
      <c r="E13024" s="3">
        <v>6</v>
      </c>
      <c r="F13024" s="3">
        <v>6</v>
      </c>
      <c r="G13024" t="s">
        <v>514</v>
      </c>
    </row>
    <row r="13025" spans="1:7" x14ac:dyDescent="0.25">
      <c r="A13025" s="1" t="str">
        <f>"1607"</f>
        <v>1607</v>
      </c>
      <c r="B13025" s="2" t="str">
        <f>"IOGURTE C/POLPA PESSEGO GLUCK 180 G C/25UN"</f>
        <v>IOGURTE C/POLPA PESSEGO GLUCK 180 G C/25UN</v>
      </c>
      <c r="C13025" s="2" t="str">
        <f>"UN"</f>
        <v>UN</v>
      </c>
      <c r="D13025" s="7">
        <v>11</v>
      </c>
      <c r="E13025" s="3">
        <v>6</v>
      </c>
      <c r="F13025" s="3">
        <v>6</v>
      </c>
      <c r="G13025" t="s">
        <v>514</v>
      </c>
    </row>
    <row r="13026" spans="1:7" x14ac:dyDescent="0.25">
      <c r="A13026" s="1" t="str">
        <f>"1602"</f>
        <v>1602</v>
      </c>
      <c r="B13026" s="2" t="str">
        <f>"IOGURTE C/POLPA PESSEGO GLUCK 900 G C/15UN"</f>
        <v>IOGURTE C/POLPA PESSEGO GLUCK 900 G C/15UN</v>
      </c>
      <c r="C13026" s="2" t="str">
        <f>"UN"</f>
        <v>UN</v>
      </c>
      <c r="D13026" s="7">
        <v>16</v>
      </c>
      <c r="E13026" s="3">
        <v>6</v>
      </c>
      <c r="F13026" s="3">
        <v>6</v>
      </c>
      <c r="G13026" t="s">
        <v>514</v>
      </c>
    </row>
    <row r="13027" spans="1:7" x14ac:dyDescent="0.25">
      <c r="A13027" s="1" t="str">
        <f>"08"</f>
        <v>08</v>
      </c>
      <c r="B13027" s="2" t="str">
        <f>"IOGURTE COCO - BANDEJA"</f>
        <v>IOGURTE COCO - BANDEJA</v>
      </c>
      <c r="C13027" s="2" t="str">
        <f>"KG"</f>
        <v>KG</v>
      </c>
      <c r="D13027" s="7">
        <v>1900</v>
      </c>
      <c r="E13027" s="3">
        <v>7</v>
      </c>
      <c r="F13027" s="3">
        <v>7</v>
      </c>
      <c r="G13027" t="s">
        <v>513</v>
      </c>
    </row>
    <row r="13028" spans="1:7" x14ac:dyDescent="0.25">
      <c r="A13028" s="1" t="str">
        <f>"04"</f>
        <v>04</v>
      </c>
      <c r="B13028" s="2" t="str">
        <f>"IOGURTE COCO - FRASCO"</f>
        <v>IOGURTE COCO - FRASCO</v>
      </c>
      <c r="C13028" s="2" t="str">
        <f>"KG"</f>
        <v>KG</v>
      </c>
      <c r="D13028" s="7">
        <v>1900</v>
      </c>
      <c r="E13028" s="3">
        <v>7</v>
      </c>
      <c r="F13028" s="3">
        <v>7</v>
      </c>
      <c r="G13028" t="s">
        <v>512</v>
      </c>
    </row>
    <row r="13029" spans="1:7" x14ac:dyDescent="0.25">
      <c r="A13029" s="1" t="str">
        <f>"1606"</f>
        <v>1606</v>
      </c>
      <c r="B13029" s="2" t="str">
        <f>"IOGURTE COCO GARRAFA GLUCK 150G"</f>
        <v>IOGURTE COCO GARRAFA GLUCK 150G</v>
      </c>
      <c r="C13029" s="2" t="str">
        <f>"UN"</f>
        <v>UN</v>
      </c>
      <c r="D13029" s="7">
        <v>8</v>
      </c>
      <c r="E13029" s="3">
        <v>6</v>
      </c>
      <c r="F13029" s="3">
        <v>6</v>
      </c>
      <c r="G13029" t="s">
        <v>513</v>
      </c>
    </row>
    <row r="13030" spans="1:7" x14ac:dyDescent="0.25">
      <c r="A13030" s="1" t="str">
        <f>"1601"</f>
        <v>1601</v>
      </c>
      <c r="B13030" s="2" t="str">
        <f>"IOGURTE COCO GARRAFA GLUCK 850G"</f>
        <v>IOGURTE COCO GARRAFA GLUCK 850G</v>
      </c>
      <c r="C13030" s="2" t="str">
        <f>"UN"</f>
        <v>UN</v>
      </c>
      <c r="D13030" s="7">
        <v>15</v>
      </c>
      <c r="E13030" s="3">
        <v>6</v>
      </c>
      <c r="F13030" s="3">
        <v>6</v>
      </c>
      <c r="G13030" t="s">
        <v>514</v>
      </c>
    </row>
    <row r="13031" spans="1:7" x14ac:dyDescent="0.25">
      <c r="A13031" s="1" t="str">
        <f>"1687"</f>
        <v>1687</v>
      </c>
      <c r="B13031" s="2" t="str">
        <f>"IOGURTE COM MEL 180G DIA - 18 UNID"</f>
        <v>IOGURTE COM MEL 180G DIA - 18 UNID</v>
      </c>
      <c r="C13031" s="2" t="str">
        <f>"UN"</f>
        <v>UN</v>
      </c>
      <c r="D13031" s="7">
        <v>3</v>
      </c>
      <c r="E13031" s="3">
        <v>6</v>
      </c>
      <c r="F13031" s="3">
        <v>6</v>
      </c>
      <c r="G13031" t="s">
        <v>514</v>
      </c>
    </row>
    <row r="13032" spans="1:7" x14ac:dyDescent="0.25">
      <c r="A13032" s="1" t="str">
        <f>"943"</f>
        <v>943</v>
      </c>
      <c r="B13032" s="2" t="str">
        <f>"IOGURTE COM MEL ECON COPO 185 G"</f>
        <v>IOGURTE COM MEL ECON COPO 185 G</v>
      </c>
      <c r="C13032" s="2" t="str">
        <f>"UN"</f>
        <v>UN</v>
      </c>
      <c r="D13032" s="7">
        <v>4</v>
      </c>
      <c r="E13032" s="3">
        <v>6</v>
      </c>
      <c r="F13032" s="3">
        <v>6</v>
      </c>
      <c r="G13032" t="s">
        <v>514</v>
      </c>
    </row>
    <row r="13033" spans="1:7" x14ac:dyDescent="0.25">
      <c r="A13033" s="1" t="str">
        <f>"59"</f>
        <v>59</v>
      </c>
      <c r="B13033" s="2" t="str">
        <f>"IOGURTE COM SOJA GOIABA COM AMORA - BANDEJA"</f>
        <v>IOGURTE COM SOJA GOIABA COM AMORA - BANDEJA</v>
      </c>
      <c r="C13033" s="2" t="str">
        <f>"KG"</f>
        <v>KG</v>
      </c>
      <c r="D13033" s="7">
        <v>1900</v>
      </c>
      <c r="E13033" s="3">
        <v>7</v>
      </c>
      <c r="F13033" s="3">
        <v>7</v>
      </c>
      <c r="G13033" t="s">
        <v>513</v>
      </c>
    </row>
    <row r="13034" spans="1:7" x14ac:dyDescent="0.25">
      <c r="A13034" s="1" t="str">
        <f>"36"</f>
        <v>36</v>
      </c>
      <c r="B13034" s="2" t="str">
        <f>"IOGURTE COM SOJA MORANGO - FRASCO"</f>
        <v>IOGURTE COM SOJA MORANGO - FRASCO</v>
      </c>
      <c r="C13034" s="2" t="str">
        <f>"KG"</f>
        <v>KG</v>
      </c>
      <c r="D13034" s="7">
        <v>1900</v>
      </c>
      <c r="E13034" s="3">
        <v>7</v>
      </c>
      <c r="F13034" s="3">
        <v>7</v>
      </c>
      <c r="G13034" t="s">
        <v>513</v>
      </c>
    </row>
    <row r="13035" spans="1:7" x14ac:dyDescent="0.25">
      <c r="A13035" s="1" t="str">
        <f>"60"</f>
        <v>60</v>
      </c>
      <c r="B13035" s="2" t="str">
        <f>"IOGURTE COM SOJA NATURAL - BANDEJA"</f>
        <v>IOGURTE COM SOJA NATURAL - BANDEJA</v>
      </c>
      <c r="C13035" s="2" t="str">
        <f>"KG"</f>
        <v>KG</v>
      </c>
      <c r="D13035" s="7">
        <v>1900</v>
      </c>
      <c r="E13035" s="3">
        <v>7</v>
      </c>
      <c r="F13035" s="3">
        <v>7</v>
      </c>
      <c r="G13035" t="s">
        <v>513</v>
      </c>
    </row>
    <row r="13036" spans="1:7" x14ac:dyDescent="0.25">
      <c r="A13036" s="1" t="str">
        <f>"39"</f>
        <v>39</v>
      </c>
      <c r="B13036" s="2" t="str">
        <f>"IOGURTE COM SOJA NATURAL - FRASCO"</f>
        <v>IOGURTE COM SOJA NATURAL - FRASCO</v>
      </c>
      <c r="C13036" s="2" t="str">
        <f>"KG"</f>
        <v>KG</v>
      </c>
      <c r="D13036" s="7">
        <v>1900</v>
      </c>
      <c r="E13036" s="3">
        <v>7</v>
      </c>
      <c r="F13036" s="3">
        <v>7</v>
      </c>
      <c r="G13036" t="s">
        <v>512</v>
      </c>
    </row>
    <row r="13037" spans="1:7" x14ac:dyDescent="0.25">
      <c r="A13037" s="1" t="str">
        <f>"38"</f>
        <v>38</v>
      </c>
      <c r="B13037" s="2" t="str">
        <f>"IOGURTE COM SOJA PESSEGO - FRASCO"</f>
        <v>IOGURTE COM SOJA PESSEGO - FRASCO</v>
      </c>
      <c r="C13037" s="2" t="str">
        <f>"KG"</f>
        <v>KG</v>
      </c>
      <c r="D13037" s="7">
        <v>1900</v>
      </c>
      <c r="E13037" s="3">
        <v>7</v>
      </c>
      <c r="F13037" s="3">
        <v>7</v>
      </c>
      <c r="G13037" t="s">
        <v>513</v>
      </c>
    </row>
    <row r="13038" spans="1:7" x14ac:dyDescent="0.25">
      <c r="A13038" s="1" t="str">
        <f>"1176"</f>
        <v>1176</v>
      </c>
      <c r="B13038" s="2" t="str">
        <f>"IOGURTE DESNATADO COPO CAROLINA 160G"</f>
        <v>IOGURTE DESNATADO COPO CAROLINA 160G</v>
      </c>
      <c r="C13038" s="2" t="str">
        <f>"UN"</f>
        <v>UN</v>
      </c>
      <c r="D13038" s="7">
        <v>39</v>
      </c>
      <c r="E13038" s="3">
        <v>6</v>
      </c>
      <c r="F13038" s="3">
        <v>6</v>
      </c>
      <c r="G13038" t="s">
        <v>514</v>
      </c>
    </row>
    <row r="13039" spans="1:7" x14ac:dyDescent="0.25">
      <c r="A13039" s="1" t="str">
        <f>"1891"</f>
        <v>1891</v>
      </c>
      <c r="B13039" s="2" t="str">
        <f>"IOGURTE DESNATADO DIA 170G"</f>
        <v>IOGURTE DESNATADO DIA 170G</v>
      </c>
      <c r="C13039" s="2" t="str">
        <f>"UN"</f>
        <v>UN</v>
      </c>
      <c r="D13039" s="7">
        <v>35</v>
      </c>
      <c r="E13039" s="3">
        <v>6</v>
      </c>
      <c r="F13039" s="3">
        <v>6</v>
      </c>
      <c r="G13039" t="s">
        <v>515</v>
      </c>
    </row>
    <row r="13040" spans="1:7" x14ac:dyDescent="0.25">
      <c r="A13040" s="1" t="str">
        <f>"1691"</f>
        <v>1691</v>
      </c>
      <c r="B13040" s="2" t="str">
        <f>"IOGURTE DESNATADO DIA 180G"</f>
        <v>IOGURTE DESNATADO DIA 180G</v>
      </c>
      <c r="C13040" s="2" t="str">
        <f>"UN"</f>
        <v>UN</v>
      </c>
      <c r="D13040" s="7">
        <v>3</v>
      </c>
      <c r="E13040" s="3">
        <v>6</v>
      </c>
      <c r="F13040" s="3">
        <v>6</v>
      </c>
      <c r="G13040" t="s">
        <v>512</v>
      </c>
    </row>
    <row r="13041" spans="1:7" x14ac:dyDescent="0.25">
      <c r="A13041" s="1" t="str">
        <f>"171"</f>
        <v>171</v>
      </c>
      <c r="B13041" s="2" t="str">
        <f>"IOGURTE FR.VERMELHAS BUZIOS - FRASCO"</f>
        <v>IOGURTE FR.VERMELHAS BUZIOS - FRASCO</v>
      </c>
      <c r="C13041" s="2" t="str">
        <f>"KG"</f>
        <v>KG</v>
      </c>
      <c r="D13041" s="7">
        <v>1900</v>
      </c>
      <c r="E13041" s="3">
        <v>7</v>
      </c>
      <c r="F13041" s="3">
        <v>7</v>
      </c>
      <c r="G13041" t="s">
        <v>516</v>
      </c>
    </row>
    <row r="13042" spans="1:7" x14ac:dyDescent="0.25">
      <c r="A13042" s="1" t="str">
        <f>"06"</f>
        <v>06</v>
      </c>
      <c r="B13042" s="2" t="str">
        <f>"IOGURTE FRUTAS VERMELHAS - FRASCO"</f>
        <v>IOGURTE FRUTAS VERMELHAS - FRASCO</v>
      </c>
      <c r="C13042" s="2" t="str">
        <f>"KG"</f>
        <v>KG</v>
      </c>
      <c r="D13042" s="7">
        <v>1900</v>
      </c>
      <c r="E13042" s="3">
        <v>7</v>
      </c>
      <c r="F13042" s="3">
        <v>7</v>
      </c>
      <c r="G13042" t="s">
        <v>515</v>
      </c>
    </row>
    <row r="13043" spans="1:7" x14ac:dyDescent="0.25">
      <c r="A13043" s="1" t="str">
        <f>"1608"</f>
        <v>1608</v>
      </c>
      <c r="B13043" s="2" t="str">
        <f>"IOGURTE FRUTAS VERMELHAS GARRAFA GLUCK 150G"</f>
        <v>IOGURTE FRUTAS VERMELHAS GARRAFA GLUCK 150G</v>
      </c>
      <c r="C13043" s="2" t="str">
        <f>"UN"</f>
        <v>UN</v>
      </c>
      <c r="D13043" s="7">
        <v>8</v>
      </c>
      <c r="E13043" s="3">
        <v>6</v>
      </c>
      <c r="F13043" s="3">
        <v>6</v>
      </c>
      <c r="G13043" t="s">
        <v>514</v>
      </c>
    </row>
    <row r="13044" spans="1:7" x14ac:dyDescent="0.25">
      <c r="A13044" s="1" t="str">
        <f>"1603"</f>
        <v>1603</v>
      </c>
      <c r="B13044" s="2" t="str">
        <f>"IOGURTE FRUTAS VERMELHAS GARRAFA GLUCK 850G"</f>
        <v>IOGURTE FRUTAS VERMELHAS GARRAFA GLUCK 850G</v>
      </c>
      <c r="C13044" s="2" t="str">
        <f>"UN"</f>
        <v>UN</v>
      </c>
      <c r="D13044" s="7">
        <v>15</v>
      </c>
      <c r="E13044" s="3">
        <v>6</v>
      </c>
      <c r="F13044" s="3">
        <v>6</v>
      </c>
      <c r="G13044" t="s">
        <v>512</v>
      </c>
    </row>
    <row r="13045" spans="1:7" x14ac:dyDescent="0.25">
      <c r="A13045" s="1" t="str">
        <f>"89"</f>
        <v>89</v>
      </c>
      <c r="B13045" s="2" t="str">
        <f>"IOGURTE FRUTAS VERMELHAS QUALITA - FRASCO"</f>
        <v>IOGURTE FRUTAS VERMELHAS QUALITA - FRASCO</v>
      </c>
      <c r="C13045" s="2" t="str">
        <f>"KG"</f>
        <v>KG</v>
      </c>
      <c r="D13045" s="7">
        <v>1900</v>
      </c>
      <c r="E13045" s="3">
        <v>7</v>
      </c>
      <c r="F13045" s="3">
        <v>7</v>
      </c>
      <c r="G13045" t="s">
        <v>513</v>
      </c>
    </row>
    <row r="13046" spans="1:7" x14ac:dyDescent="0.25">
      <c r="A13046" s="1" t="str">
        <f>"1481"</f>
        <v>1481</v>
      </c>
      <c r="B13046" s="2" t="str">
        <f>"IOGURTE GELEIA FRUTAS VERMELHAS COPO DUET CAROLINA 110G"</f>
        <v>IOGURTE GELEIA FRUTAS VERMELHAS COPO DUET CAROLINA 110G</v>
      </c>
      <c r="C13046" s="2" t="str">
        <f t="shared" ref="C13046:C13061" si="512">"UN"</f>
        <v>UN</v>
      </c>
      <c r="D13046" s="7">
        <v>69</v>
      </c>
      <c r="E13046" s="3">
        <v>6</v>
      </c>
      <c r="F13046" s="3">
        <v>6</v>
      </c>
      <c r="G13046" t="s">
        <v>514</v>
      </c>
    </row>
    <row r="13047" spans="1:7" x14ac:dyDescent="0.25">
      <c r="A13047" s="1" t="str">
        <f>"1487"</f>
        <v>1487</v>
      </c>
      <c r="B13047" s="2" t="str">
        <f>"IOGURTE GELEIA MARACUJA COPO DUET CAROLINA 130G"</f>
        <v>IOGURTE GELEIA MARACUJA COPO DUET CAROLINA 130G</v>
      </c>
      <c r="C13047" s="2" t="str">
        <f t="shared" si="512"/>
        <v>UN</v>
      </c>
      <c r="D13047" s="7">
        <v>2</v>
      </c>
      <c r="E13047" s="3">
        <v>6</v>
      </c>
      <c r="F13047" s="3">
        <v>6</v>
      </c>
      <c r="G13047" t="s">
        <v>514</v>
      </c>
    </row>
    <row r="13048" spans="1:7" x14ac:dyDescent="0.25">
      <c r="A13048" s="1" t="str">
        <f>"1480"</f>
        <v>1480</v>
      </c>
      <c r="B13048" s="2" t="str">
        <f>"IOGURTE GELEIA MORANGO COPO DUET CAROLINA 110G"</f>
        <v>IOGURTE GELEIA MORANGO COPO DUET CAROLINA 110G</v>
      </c>
      <c r="C13048" s="2" t="str">
        <f t="shared" si="512"/>
        <v>UN</v>
      </c>
      <c r="D13048" s="7">
        <v>69</v>
      </c>
      <c r="E13048" s="3">
        <v>6</v>
      </c>
      <c r="F13048" s="3">
        <v>6</v>
      </c>
      <c r="G13048" t="s">
        <v>512</v>
      </c>
    </row>
    <row r="13049" spans="1:7" x14ac:dyDescent="0.25">
      <c r="A13049" s="1" t="str">
        <f>"3547R"</f>
        <v>3547R</v>
      </c>
      <c r="B13049" s="2" t="str">
        <f>"IOGURTE GLUCK ZERO AMEIXA 170 G C/25UN"</f>
        <v>IOGURTE GLUCK ZERO AMEIXA 170 G C/25UN</v>
      </c>
      <c r="C13049" s="2" t="str">
        <f t="shared" si="512"/>
        <v>UN</v>
      </c>
      <c r="D13049" s="7">
        <v>10</v>
      </c>
      <c r="E13049" s="3">
        <v>7</v>
      </c>
      <c r="F13049" s="3">
        <v>7</v>
      </c>
      <c r="G13049" t="s">
        <v>513</v>
      </c>
    </row>
    <row r="13050" spans="1:7" x14ac:dyDescent="0.25">
      <c r="A13050" s="1" t="str">
        <f>"3560"</f>
        <v>3560</v>
      </c>
      <c r="B13050" s="2" t="str">
        <f>"IOGURTE GLUCK ZERO F. VERM 850G C/15UN"</f>
        <v>IOGURTE GLUCK ZERO F. VERM 850G C/15UN</v>
      </c>
      <c r="C13050" s="2" t="str">
        <f t="shared" si="512"/>
        <v>UN</v>
      </c>
      <c r="D13050" s="7">
        <v>15</v>
      </c>
      <c r="E13050" s="3">
        <v>6</v>
      </c>
      <c r="F13050" s="3">
        <v>6</v>
      </c>
      <c r="G13050" t="s">
        <v>514</v>
      </c>
    </row>
    <row r="13051" spans="1:7" x14ac:dyDescent="0.25">
      <c r="A13051" s="1" t="str">
        <f>"3561"</f>
        <v>3561</v>
      </c>
      <c r="B13051" s="2" t="str">
        <f>"IOGURTE GLUCK ZERO F.VERM 170 G C/25UN"</f>
        <v>IOGURTE GLUCK ZERO F.VERM 170 G C/25UN</v>
      </c>
      <c r="C13051" s="2" t="str">
        <f t="shared" si="512"/>
        <v>UN</v>
      </c>
      <c r="D13051" s="7">
        <v>10</v>
      </c>
      <c r="E13051" s="3">
        <v>6</v>
      </c>
      <c r="F13051" s="3">
        <v>6</v>
      </c>
      <c r="G13051" t="s">
        <v>514</v>
      </c>
    </row>
    <row r="13052" spans="1:7" x14ac:dyDescent="0.25">
      <c r="A13052" s="1" t="str">
        <f>"3549"</f>
        <v>3549</v>
      </c>
      <c r="B13052" s="2" t="str">
        <f>"IOGURTE GLUCK ZERO MIRTILO 170 G C/25UN"</f>
        <v>IOGURTE GLUCK ZERO MIRTILO 170 G C/25UN</v>
      </c>
      <c r="C13052" s="2" t="str">
        <f t="shared" si="512"/>
        <v>UN</v>
      </c>
      <c r="D13052" s="7">
        <v>10</v>
      </c>
      <c r="E13052" s="3">
        <v>6</v>
      </c>
      <c r="F13052" s="3">
        <v>6</v>
      </c>
      <c r="G13052" t="s">
        <v>514</v>
      </c>
    </row>
    <row r="13053" spans="1:7" x14ac:dyDescent="0.25">
      <c r="A13053" s="1" t="str">
        <f>"3545"</f>
        <v>3545</v>
      </c>
      <c r="B13053" s="2" t="str">
        <f>"IOGURTE GLUCK ZERO MIRTILO 850G C/15UN"</f>
        <v>IOGURTE GLUCK ZERO MIRTILO 850G C/15UN</v>
      </c>
      <c r="C13053" s="2" t="str">
        <f t="shared" si="512"/>
        <v>UN</v>
      </c>
      <c r="D13053" s="7">
        <v>15</v>
      </c>
      <c r="E13053" s="3">
        <v>6</v>
      </c>
      <c r="F13053" s="3">
        <v>6</v>
      </c>
      <c r="G13053" t="s">
        <v>513</v>
      </c>
    </row>
    <row r="13054" spans="1:7" x14ac:dyDescent="0.25">
      <c r="A13054" s="1" t="str">
        <f>"3546R"</f>
        <v>3546R</v>
      </c>
      <c r="B13054" s="2" t="str">
        <f>"IOGURTE GLUCK ZERO MORANGO 170 G C/25UN"</f>
        <v>IOGURTE GLUCK ZERO MORANGO 170 G C/25UN</v>
      </c>
      <c r="C13054" s="2" t="str">
        <f t="shared" si="512"/>
        <v>UN</v>
      </c>
      <c r="D13054" s="7">
        <v>10</v>
      </c>
      <c r="E13054" s="3">
        <v>7</v>
      </c>
      <c r="F13054" s="3">
        <v>7</v>
      </c>
      <c r="G13054" t="s">
        <v>512</v>
      </c>
    </row>
    <row r="13055" spans="1:7" x14ac:dyDescent="0.25">
      <c r="A13055" s="1" t="str">
        <f>"3548R"</f>
        <v>3548R</v>
      </c>
      <c r="B13055" s="2" t="str">
        <f>"IOGURTE GLUCK ZERO SL.FRUT.170 G C/25UN"</f>
        <v>IOGURTE GLUCK ZERO SL.FRUT.170 G C/25UN</v>
      </c>
      <c r="C13055" s="2" t="str">
        <f t="shared" si="512"/>
        <v>UN</v>
      </c>
      <c r="D13055" s="7">
        <v>10</v>
      </c>
      <c r="E13055" s="3">
        <v>7</v>
      </c>
      <c r="F13055" s="3">
        <v>7</v>
      </c>
      <c r="G13055" t="s">
        <v>513</v>
      </c>
    </row>
    <row r="13056" spans="1:7" x14ac:dyDescent="0.25">
      <c r="A13056" s="1" t="str">
        <f>"3585"</f>
        <v>3585</v>
      </c>
      <c r="B13056" s="2" t="str">
        <f>"IOGURTE GREGO ACAI COM BANANA CAROLINA 90G"</f>
        <v>IOGURTE GREGO ACAI COM BANANA CAROLINA 90G</v>
      </c>
      <c r="C13056" s="2" t="str">
        <f t="shared" si="512"/>
        <v>UN</v>
      </c>
      <c r="D13056" s="7">
        <v>67</v>
      </c>
      <c r="E13056" s="3">
        <v>6</v>
      </c>
      <c r="F13056" s="3">
        <v>6</v>
      </c>
      <c r="G13056" t="s">
        <v>514</v>
      </c>
    </row>
    <row r="13057" spans="1:7" x14ac:dyDescent="0.25">
      <c r="A13057" s="1" t="str">
        <f>"3508"</f>
        <v>3508</v>
      </c>
      <c r="B13057" s="2" t="str">
        <f>"IOGURTE GREGO CALDA BANANA E CHOCOLATE CAROLINA 100G"</f>
        <v>IOGURTE GREGO CALDA BANANA E CHOCOLATE CAROLINA 100G</v>
      </c>
      <c r="C13057" s="2" t="str">
        <f t="shared" si="512"/>
        <v>UN</v>
      </c>
      <c r="D13057" s="7">
        <v>32</v>
      </c>
      <c r="E13057" s="3">
        <v>6</v>
      </c>
      <c r="F13057" s="3">
        <v>6</v>
      </c>
      <c r="G13057" t="s">
        <v>514</v>
      </c>
    </row>
    <row r="13058" spans="1:7" x14ac:dyDescent="0.25">
      <c r="A13058" s="1" t="str">
        <f>"3509"</f>
        <v>3509</v>
      </c>
      <c r="B13058" s="2" t="str">
        <f>"IOGURTE GREGO CALDA FRUTAS AMARELAS CAROLINA 100G"</f>
        <v>IOGURTE GREGO CALDA FRUTAS AMARELAS CAROLINA 100G</v>
      </c>
      <c r="C13058" s="2" t="str">
        <f t="shared" si="512"/>
        <v>UN</v>
      </c>
      <c r="D13058" s="7">
        <v>32</v>
      </c>
      <c r="E13058" s="3">
        <v>6</v>
      </c>
      <c r="F13058" s="3">
        <v>6</v>
      </c>
      <c r="G13058" t="s">
        <v>514</v>
      </c>
    </row>
    <row r="13059" spans="1:7" x14ac:dyDescent="0.25">
      <c r="A13059" s="1" t="str">
        <f>"3506"</f>
        <v>3506</v>
      </c>
      <c r="B13059" s="2" t="str">
        <f>"IOGURTE GREGO CALDA FRUTAS VERMELHAS CAROLINA 90G / 100G"</f>
        <v>IOGURTE GREGO CALDA FRUTAS VERMELHAS CAROLINA 90G / 100G</v>
      </c>
      <c r="C13059" s="2" t="str">
        <f t="shared" si="512"/>
        <v>UN</v>
      </c>
      <c r="D13059" s="7">
        <v>32</v>
      </c>
      <c r="E13059" s="3">
        <v>6</v>
      </c>
      <c r="F13059" s="3">
        <v>6</v>
      </c>
      <c r="G13059" t="s">
        <v>513</v>
      </c>
    </row>
    <row r="13060" spans="1:7" x14ac:dyDescent="0.25">
      <c r="A13060" s="1" t="str">
        <f>"3507"</f>
        <v>3507</v>
      </c>
      <c r="B13060" s="2" t="str">
        <f>"IOGURTE GREGO CALDA MARACUJA CAROLINA 90G / 100G"</f>
        <v>IOGURTE GREGO CALDA MARACUJA CAROLINA 90G / 100G</v>
      </c>
      <c r="C13060" s="2" t="str">
        <f t="shared" si="512"/>
        <v>UN</v>
      </c>
      <c r="D13060" s="7">
        <v>32</v>
      </c>
      <c r="E13060" s="3">
        <v>6</v>
      </c>
      <c r="F13060" s="3">
        <v>6</v>
      </c>
      <c r="G13060" t="s">
        <v>513</v>
      </c>
    </row>
    <row r="13061" spans="1:7" x14ac:dyDescent="0.25">
      <c r="A13061" s="1" t="str">
        <f>"3505"</f>
        <v>3505</v>
      </c>
      <c r="B13061" s="2" t="str">
        <f>"IOGURTE GREGO CALDA MORANGO CAROLINA 90G / 100G"</f>
        <v>IOGURTE GREGO CALDA MORANGO CAROLINA 90G / 100G</v>
      </c>
      <c r="C13061" s="2" t="str">
        <f t="shared" si="512"/>
        <v>UN</v>
      </c>
      <c r="D13061" s="7">
        <v>32</v>
      </c>
      <c r="E13061" s="3">
        <v>6</v>
      </c>
      <c r="F13061" s="3">
        <v>6</v>
      </c>
      <c r="G13061" t="s">
        <v>513</v>
      </c>
    </row>
    <row r="13062" spans="1:7" x14ac:dyDescent="0.25">
      <c r="A13062" s="1" t="str">
        <f>"106"</f>
        <v>106</v>
      </c>
      <c r="B13062" s="2" t="str">
        <f>"IOGURTE GREGO COM GELEIA DE  FRUTAS VERMELHAS"</f>
        <v>IOGURTE GREGO COM GELEIA DE  FRUTAS VERMELHAS</v>
      </c>
      <c r="C13062" s="2" t="str">
        <f>"KG"</f>
        <v>KG</v>
      </c>
      <c r="D13062" s="7">
        <v>1900</v>
      </c>
      <c r="E13062" s="3">
        <v>7</v>
      </c>
      <c r="F13062" s="3">
        <v>7</v>
      </c>
      <c r="G13062" t="s">
        <v>512</v>
      </c>
    </row>
    <row r="13063" spans="1:7" x14ac:dyDescent="0.25">
      <c r="A13063" s="1" t="str">
        <f>"105"</f>
        <v>105</v>
      </c>
      <c r="B13063" s="2" t="str">
        <f>"IOGURTE GREGO COM GELEIA DE  MORANGO"</f>
        <v>IOGURTE GREGO COM GELEIA DE  MORANGO</v>
      </c>
      <c r="C13063" s="2" t="str">
        <f>"KG"</f>
        <v>KG</v>
      </c>
      <c r="D13063" s="7">
        <v>1900</v>
      </c>
      <c r="E13063" s="3">
        <v>7</v>
      </c>
      <c r="F13063" s="3">
        <v>7</v>
      </c>
      <c r="G13063" t="s">
        <v>513</v>
      </c>
    </row>
    <row r="13064" spans="1:7" x14ac:dyDescent="0.25">
      <c r="A13064" s="1" t="str">
        <f>"3586"</f>
        <v>3586</v>
      </c>
      <c r="B13064" s="2" t="str">
        <f>"IOGURTE GREGO FLOCOS CAROLINA 90G"</f>
        <v>IOGURTE GREGO FLOCOS CAROLINA 90G</v>
      </c>
      <c r="C13064" s="2" t="str">
        <f>"UN"</f>
        <v>UN</v>
      </c>
      <c r="D13064" s="7">
        <v>67</v>
      </c>
      <c r="E13064" s="3">
        <v>6</v>
      </c>
      <c r="F13064" s="3">
        <v>6</v>
      </c>
      <c r="G13064" t="s">
        <v>514</v>
      </c>
    </row>
    <row r="13065" spans="1:7" x14ac:dyDescent="0.25">
      <c r="A13065" s="1" t="str">
        <f>"122"</f>
        <v>122</v>
      </c>
      <c r="B13065" s="2" t="str">
        <f>"IOGURTE GREGO LIGHT"</f>
        <v>IOGURTE GREGO LIGHT</v>
      </c>
      <c r="C13065" s="2" t="str">
        <f>"KG"</f>
        <v>KG</v>
      </c>
      <c r="D13065" s="7">
        <v>1900</v>
      </c>
      <c r="E13065" s="3">
        <v>7</v>
      </c>
      <c r="F13065" s="3">
        <v>7</v>
      </c>
      <c r="G13065" t="s">
        <v>515</v>
      </c>
    </row>
    <row r="13066" spans="1:7" x14ac:dyDescent="0.25">
      <c r="A13066" s="1" t="str">
        <f>"107"</f>
        <v>107</v>
      </c>
      <c r="B13066" s="2" t="str">
        <f>"IOGURTE GREGO NATURAL COPC"</f>
        <v>IOGURTE GREGO NATURAL COPC</v>
      </c>
      <c r="C13066" s="2" t="str">
        <f>"KG"</f>
        <v>KG</v>
      </c>
      <c r="D13066" s="7">
        <v>1900</v>
      </c>
      <c r="E13066" s="3">
        <v>7</v>
      </c>
      <c r="F13066" s="3">
        <v>7</v>
      </c>
      <c r="G13066" t="s">
        <v>512</v>
      </c>
    </row>
    <row r="13067" spans="1:7" x14ac:dyDescent="0.25">
      <c r="A13067" s="1" t="str">
        <f>"169"</f>
        <v>169</v>
      </c>
      <c r="B13067" s="2" t="str">
        <f>"IOGURTE GREGO TORTA DE LIMÃO BANDEJA"</f>
        <v>IOGURTE GREGO TORTA DE LIMÃO BANDEJA</v>
      </c>
      <c r="C13067" s="2" t="str">
        <f>"KG"</f>
        <v>KG</v>
      </c>
      <c r="D13067" s="7">
        <v>1900</v>
      </c>
      <c r="E13067" s="3">
        <v>7</v>
      </c>
      <c r="F13067" s="3">
        <v>7</v>
      </c>
      <c r="G13067" t="s">
        <v>516</v>
      </c>
    </row>
    <row r="13068" spans="1:7" x14ac:dyDescent="0.25">
      <c r="A13068" s="1" t="str">
        <f>"170"</f>
        <v>170</v>
      </c>
      <c r="B13068" s="2" t="str">
        <f>"IOGURTE GREGO TORTA DE MACA - BANDEJA"</f>
        <v>IOGURTE GREGO TORTA DE MACA - BANDEJA</v>
      </c>
      <c r="C13068" s="2" t="str">
        <f>"KG"</f>
        <v>KG</v>
      </c>
      <c r="D13068" s="7">
        <v>1900</v>
      </c>
      <c r="E13068" s="3">
        <v>7</v>
      </c>
      <c r="F13068" s="3">
        <v>7</v>
      </c>
      <c r="G13068" t="s">
        <v>515</v>
      </c>
    </row>
    <row r="13069" spans="1:7" x14ac:dyDescent="0.25">
      <c r="A13069" s="1" t="str">
        <f>"144"</f>
        <v>144</v>
      </c>
      <c r="B13069" s="2" t="str">
        <f>"IOGURTE GREGO TRADICIONAL BANDEJA"</f>
        <v>IOGURTE GREGO TRADICIONAL BANDEJA</v>
      </c>
      <c r="C13069" s="2" t="str">
        <f>"KG"</f>
        <v>KG</v>
      </c>
      <c r="D13069" s="7">
        <v>1900</v>
      </c>
      <c r="E13069" s="3">
        <v>7</v>
      </c>
      <c r="F13069" s="3">
        <v>7</v>
      </c>
      <c r="G13069" t="s">
        <v>514</v>
      </c>
    </row>
    <row r="13070" spans="1:7" x14ac:dyDescent="0.25">
      <c r="A13070" s="1" t="str">
        <f>"3504"</f>
        <v>3504</v>
      </c>
      <c r="B13070" s="2" t="str">
        <f>"IOGURTE GREGO TRADICIONAL CAROLINA 90G / 100G"</f>
        <v>IOGURTE GREGO TRADICIONAL CAROLINA 90G / 100G</v>
      </c>
      <c r="C13070" s="2" t="str">
        <f>"UN"</f>
        <v>UN</v>
      </c>
      <c r="D13070" s="7">
        <v>32</v>
      </c>
      <c r="E13070" s="3">
        <v>6</v>
      </c>
      <c r="F13070" s="3">
        <v>6</v>
      </c>
      <c r="G13070" t="s">
        <v>512</v>
      </c>
    </row>
    <row r="13071" spans="1:7" x14ac:dyDescent="0.25">
      <c r="A13071" s="1" t="str">
        <f>"145"</f>
        <v>145</v>
      </c>
      <c r="B13071" s="2" t="str">
        <f>"IOGURTE GREGO ZERO BANDEJA"</f>
        <v>IOGURTE GREGO ZERO BANDEJA</v>
      </c>
      <c r="C13071" s="2" t="str">
        <f>"KG"</f>
        <v>KG</v>
      </c>
      <c r="D13071" s="7">
        <v>1900</v>
      </c>
      <c r="E13071" s="3">
        <v>7</v>
      </c>
      <c r="F13071" s="3">
        <v>7</v>
      </c>
      <c r="G13071" t="s">
        <v>513</v>
      </c>
    </row>
    <row r="13072" spans="1:7" x14ac:dyDescent="0.25">
      <c r="A13072" s="1" t="str">
        <f>"3510"</f>
        <v>3510</v>
      </c>
      <c r="B13072" s="2" t="str">
        <f>"IOGURTE INTEGRAL ADOCADO - GREGO 100G"</f>
        <v>IOGURTE INTEGRAL ADOCADO - GREGO 100G</v>
      </c>
      <c r="C13072" s="2" t="str">
        <f>"UN"</f>
        <v>UN</v>
      </c>
      <c r="D13072" s="7">
        <v>32</v>
      </c>
      <c r="E13072" s="3">
        <v>6</v>
      </c>
      <c r="F13072" s="3">
        <v>6</v>
      </c>
      <c r="G13072" t="s">
        <v>514</v>
      </c>
    </row>
    <row r="13073" spans="1:7" x14ac:dyDescent="0.25">
      <c r="A13073" s="1" t="str">
        <f>"1910"</f>
        <v>1910</v>
      </c>
      <c r="B13073" s="2" t="str">
        <f>"IOGURTE INTEGRAL BAUNILHA CALDA CARAMELO 100G"</f>
        <v>IOGURTE INTEGRAL BAUNILHA CALDA CARAMELO 100G</v>
      </c>
      <c r="C13073" s="2" t="str">
        <f>"UN"</f>
        <v>UN</v>
      </c>
      <c r="D13073" s="7">
        <v>32</v>
      </c>
      <c r="E13073" s="3">
        <v>6</v>
      </c>
      <c r="F13073" s="3">
        <v>6</v>
      </c>
      <c r="G13073" t="s">
        <v>514</v>
      </c>
    </row>
    <row r="13074" spans="1:7" x14ac:dyDescent="0.25">
      <c r="A13074" s="1" t="str">
        <f>"1912"</f>
        <v>1912</v>
      </c>
      <c r="B13074" s="2" t="str">
        <f>"IOGURTE INTEGRAL COCO C/ CALDA AMEIXA 100G"</f>
        <v>IOGURTE INTEGRAL COCO C/ CALDA AMEIXA 100G</v>
      </c>
      <c r="C13074" s="2" t="str">
        <f>"UN"</f>
        <v>UN</v>
      </c>
      <c r="D13074" s="7">
        <v>32</v>
      </c>
      <c r="E13074" s="3">
        <v>6</v>
      </c>
      <c r="F13074" s="3">
        <v>6</v>
      </c>
      <c r="G13074" t="s">
        <v>512</v>
      </c>
    </row>
    <row r="13075" spans="1:7" x14ac:dyDescent="0.25">
      <c r="A13075" s="1" t="str">
        <f>"1911"</f>
        <v>1911</v>
      </c>
      <c r="B13075" s="2" t="str">
        <f>"IOGURTE INTEGRAL CREAM CHEESE GELEIA GOIABA 100G"</f>
        <v>IOGURTE INTEGRAL CREAM CHEESE GELEIA GOIABA 100G</v>
      </c>
      <c r="C13075" s="2" t="str">
        <f>"UN"</f>
        <v>UN</v>
      </c>
      <c r="D13075" s="7">
        <v>32</v>
      </c>
      <c r="E13075" s="3">
        <v>6</v>
      </c>
      <c r="F13075" s="3">
        <v>6</v>
      </c>
      <c r="G13075" t="s">
        <v>513</v>
      </c>
    </row>
    <row r="13076" spans="1:7" x14ac:dyDescent="0.25">
      <c r="A13076" s="1" t="str">
        <f>"111"</f>
        <v>111</v>
      </c>
      <c r="B13076" s="2" t="str">
        <f>"IOGURTE LARANJA - FRASCO"</f>
        <v>IOGURTE LARANJA - FRASCO</v>
      </c>
      <c r="C13076" s="2" t="str">
        <f>"KG"</f>
        <v>KG</v>
      </c>
      <c r="D13076" s="7">
        <v>1900</v>
      </c>
      <c r="E13076" s="3">
        <v>7</v>
      </c>
      <c r="F13076" s="3">
        <v>7</v>
      </c>
      <c r="G13076" t="s">
        <v>514</v>
      </c>
    </row>
    <row r="13077" spans="1:7" x14ac:dyDescent="0.25">
      <c r="A13077" s="1" t="str">
        <f>"86"</f>
        <v>86</v>
      </c>
      <c r="B13077" s="2" t="str">
        <f>"IOGURTE LIGHT / ZERO% MIRTILLO - FRASCO"</f>
        <v>IOGURTE LIGHT / ZERO% MIRTILLO - FRASCO</v>
      </c>
      <c r="C13077" s="2" t="str">
        <f>"KG"</f>
        <v>KG</v>
      </c>
      <c r="D13077" s="7">
        <v>1900</v>
      </c>
      <c r="E13077" s="3">
        <v>7</v>
      </c>
      <c r="F13077" s="3">
        <v>7</v>
      </c>
      <c r="G13077" t="s">
        <v>514</v>
      </c>
    </row>
    <row r="13078" spans="1:7" x14ac:dyDescent="0.25">
      <c r="A13078" s="1" t="str">
        <f>"21"</f>
        <v>21</v>
      </c>
      <c r="B13078" s="2" t="str">
        <f>"IOGURTE LIGHT AMEIXA - BANDEJA"</f>
        <v>IOGURTE LIGHT AMEIXA - BANDEJA</v>
      </c>
      <c r="C13078" s="2" t="str">
        <f>"KG"</f>
        <v>KG</v>
      </c>
      <c r="D13078" s="7">
        <v>1900</v>
      </c>
      <c r="E13078" s="3">
        <v>7</v>
      </c>
      <c r="F13078" s="3">
        <v>7</v>
      </c>
      <c r="G13078" t="s">
        <v>514</v>
      </c>
    </row>
    <row r="13079" spans="1:7" x14ac:dyDescent="0.25">
      <c r="A13079" s="1" t="str">
        <f>"58"</f>
        <v>58</v>
      </c>
      <c r="B13079" s="2" t="str">
        <f>"IOGURTE LIGHT AMEIXA COM PEDACOS - BANDEJA"</f>
        <v>IOGURTE LIGHT AMEIXA COM PEDACOS - BANDEJA</v>
      </c>
      <c r="C13079" s="2" t="str">
        <f>"KG"</f>
        <v>KG</v>
      </c>
      <c r="D13079" s="7">
        <v>1900</v>
      </c>
      <c r="E13079" s="3">
        <v>7</v>
      </c>
      <c r="F13079" s="3">
        <v>7</v>
      </c>
      <c r="G13079" t="s">
        <v>513</v>
      </c>
    </row>
    <row r="13080" spans="1:7" x14ac:dyDescent="0.25">
      <c r="A13080" s="1" t="str">
        <f>"1612"</f>
        <v>1612</v>
      </c>
      <c r="B13080" s="2" t="str">
        <f>"IOGURTE LIGHT AMEIXA GLUCK FRC 850 G C/15UN"</f>
        <v>IOGURTE LIGHT AMEIXA GLUCK FRC 850 G C/15UN</v>
      </c>
      <c r="C13080" s="2" t="str">
        <f>"UN"</f>
        <v>UN</v>
      </c>
      <c r="D13080" s="7">
        <v>15</v>
      </c>
      <c r="E13080" s="3">
        <v>6</v>
      </c>
      <c r="F13080" s="3">
        <v>6</v>
      </c>
      <c r="G13080" t="s">
        <v>512</v>
      </c>
    </row>
    <row r="13081" spans="1:7" x14ac:dyDescent="0.25">
      <c r="A13081" s="1" t="str">
        <f>"19"</f>
        <v>19</v>
      </c>
      <c r="B13081" s="2" t="str">
        <f>"IOGURTE LIGHT BATIDO COM ACUCAR - FRASCO"</f>
        <v>IOGURTE LIGHT BATIDO COM ACUCAR - FRASCO</v>
      </c>
      <c r="C13081" s="2" t="str">
        <f>"KG"</f>
        <v>KG</v>
      </c>
      <c r="D13081" s="7">
        <v>1900</v>
      </c>
      <c r="E13081" s="3">
        <v>7</v>
      </c>
      <c r="F13081" s="3">
        <v>7</v>
      </c>
      <c r="G13081" t="s">
        <v>513</v>
      </c>
    </row>
    <row r="13082" spans="1:7" x14ac:dyDescent="0.25">
      <c r="A13082" s="1" t="str">
        <f>"1631"</f>
        <v>1631</v>
      </c>
      <c r="B13082" s="2" t="str">
        <f>"IOGURTE LIGHT GLUCK AMEIXA 170 G C/25UN"</f>
        <v>IOGURTE LIGHT GLUCK AMEIXA 170 G C/25UN</v>
      </c>
      <c r="C13082" s="2" t="str">
        <f>"UN"</f>
        <v>UN</v>
      </c>
      <c r="D13082" s="7">
        <v>10</v>
      </c>
      <c r="E13082" s="3">
        <v>6</v>
      </c>
      <c r="F13082" s="3">
        <v>6</v>
      </c>
      <c r="G13082" t="s">
        <v>514</v>
      </c>
    </row>
    <row r="13083" spans="1:7" x14ac:dyDescent="0.25">
      <c r="A13083" s="1" t="str">
        <f>"1629"</f>
        <v>1629</v>
      </c>
      <c r="B13083" s="2" t="str">
        <f>"IOGURTE LIGHT GLUCK MORANGO 170 G C/25UN"</f>
        <v>IOGURTE LIGHT GLUCK MORANGO 170 G C/25UN</v>
      </c>
      <c r="C13083" s="2" t="str">
        <f>"UN"</f>
        <v>UN</v>
      </c>
      <c r="D13083" s="7">
        <v>10</v>
      </c>
      <c r="E13083" s="3">
        <v>6</v>
      </c>
      <c r="F13083" s="3">
        <v>6</v>
      </c>
      <c r="G13083" t="s">
        <v>514</v>
      </c>
    </row>
    <row r="13084" spans="1:7" x14ac:dyDescent="0.25">
      <c r="A13084" s="1" t="str">
        <f>"1630"</f>
        <v>1630</v>
      </c>
      <c r="B13084" s="2" t="str">
        <f>"IOGURTE LIGHT GLUCK SAL/FRT 170 G C/25UN"</f>
        <v>IOGURTE LIGHT GLUCK SAL/FRT 170 G C/25UN</v>
      </c>
      <c r="C13084" s="2" t="str">
        <f>"UN"</f>
        <v>UN</v>
      </c>
      <c r="D13084" s="7">
        <v>10</v>
      </c>
      <c r="E13084" s="3">
        <v>6</v>
      </c>
      <c r="F13084" s="3">
        <v>6</v>
      </c>
      <c r="G13084" t="s">
        <v>514</v>
      </c>
    </row>
    <row r="13085" spans="1:7" x14ac:dyDescent="0.25">
      <c r="A13085" s="1" t="str">
        <f>"20"</f>
        <v>20</v>
      </c>
      <c r="B13085" s="2" t="str">
        <f>"IOGURTE LIGHT MORANGO - BANDEJA"</f>
        <v>IOGURTE LIGHT MORANGO - BANDEJA</v>
      </c>
      <c r="C13085" s="2" t="str">
        <f>"KG"</f>
        <v>KG</v>
      </c>
      <c r="D13085" s="7">
        <v>1900</v>
      </c>
      <c r="E13085" s="3">
        <v>7</v>
      </c>
      <c r="F13085" s="3">
        <v>7</v>
      </c>
      <c r="G13085" t="s">
        <v>513</v>
      </c>
    </row>
    <row r="13086" spans="1:7" x14ac:dyDescent="0.25">
      <c r="A13086" s="1" t="str">
        <f>"57"</f>
        <v>57</v>
      </c>
      <c r="B13086" s="2" t="str">
        <f>"IOGURTE LIGHT MORANGO COM PEDACOS - BANDEJA"</f>
        <v>IOGURTE LIGHT MORANGO COM PEDACOS - BANDEJA</v>
      </c>
      <c r="C13086" s="2" t="str">
        <f>"KG"</f>
        <v>KG</v>
      </c>
      <c r="D13086" s="7">
        <v>1900</v>
      </c>
      <c r="E13086" s="3">
        <v>7</v>
      </c>
      <c r="F13086" s="3">
        <v>7</v>
      </c>
      <c r="G13086" t="s">
        <v>513</v>
      </c>
    </row>
    <row r="13087" spans="1:7" x14ac:dyDescent="0.25">
      <c r="A13087" s="1" t="str">
        <f>"1610"</f>
        <v>1610</v>
      </c>
      <c r="B13087" s="2" t="str">
        <f>"IOGURTE LIGHT MORANGO GLUCK FRC 850 G C/15UN"</f>
        <v>IOGURTE LIGHT MORANGO GLUCK FRC 850 G C/15UN</v>
      </c>
      <c r="C13087" s="2" t="str">
        <f>"UN"</f>
        <v>UN</v>
      </c>
      <c r="D13087" s="7">
        <v>15</v>
      </c>
      <c r="E13087" s="3">
        <v>6</v>
      </c>
      <c r="F13087" s="3">
        <v>6</v>
      </c>
      <c r="G13087" t="s">
        <v>513</v>
      </c>
    </row>
    <row r="13088" spans="1:7" x14ac:dyDescent="0.25">
      <c r="A13088" s="1" t="str">
        <f>"1611"</f>
        <v>1611</v>
      </c>
      <c r="B13088" s="2" t="str">
        <f>"IOGURTE LIGHT SALADA FRT GLUCK FRC 850 G C/15UN"</f>
        <v>IOGURTE LIGHT SALADA FRT GLUCK FRC 850 G C/15UN</v>
      </c>
      <c r="C13088" s="2" t="str">
        <f>"UN"</f>
        <v>UN</v>
      </c>
      <c r="D13088" s="7">
        <v>15</v>
      </c>
      <c r="E13088" s="3">
        <v>6</v>
      </c>
      <c r="F13088" s="3">
        <v>6</v>
      </c>
      <c r="G13088" t="s">
        <v>512</v>
      </c>
    </row>
    <row r="13089" spans="1:7" x14ac:dyDescent="0.25">
      <c r="A13089" s="1" t="str">
        <f>"110"</f>
        <v>110</v>
      </c>
      <c r="B13089" s="2" t="str">
        <f>"IOGURTE LIMAO - FRASCO"</f>
        <v>IOGURTE LIMAO - FRASCO</v>
      </c>
      <c r="C13089" s="2" t="str">
        <f>"KG"</f>
        <v>KG</v>
      </c>
      <c r="D13089" s="7">
        <v>1900</v>
      </c>
      <c r="E13089" s="3">
        <v>7</v>
      </c>
      <c r="F13089" s="3">
        <v>7</v>
      </c>
      <c r="G13089" t="s">
        <v>513</v>
      </c>
    </row>
    <row r="13090" spans="1:7" x14ac:dyDescent="0.25">
      <c r="A13090" s="1" t="str">
        <f>"1267"</f>
        <v>1267</v>
      </c>
      <c r="B13090" s="2" t="str">
        <f>"IOGURTE LIQ. CARREFOUR MORANGO 1250G"</f>
        <v>IOGURTE LIQ. CARREFOUR MORANGO 1250G</v>
      </c>
      <c r="C13090" s="2" t="str">
        <f>"UN"</f>
        <v>UN</v>
      </c>
      <c r="D13090" s="7">
        <v>51</v>
      </c>
      <c r="E13090" s="3">
        <v>6</v>
      </c>
      <c r="F13090" s="3">
        <v>6</v>
      </c>
      <c r="G13090" t="s">
        <v>514</v>
      </c>
    </row>
    <row r="13091" spans="1:7" x14ac:dyDescent="0.25">
      <c r="A13091" s="1" t="str">
        <f>"55"</f>
        <v>55</v>
      </c>
      <c r="B13091" s="2" t="str">
        <f>"IOGURTE MACA COM CANELA - FRASCO"</f>
        <v>IOGURTE MACA COM CANELA - FRASCO</v>
      </c>
      <c r="C13091" s="2" t="str">
        <f>"KG"</f>
        <v>KG</v>
      </c>
      <c r="D13091" s="7">
        <v>1900</v>
      </c>
      <c r="E13091" s="3">
        <v>7</v>
      </c>
      <c r="F13091" s="3">
        <v>7</v>
      </c>
      <c r="G13091" t="s">
        <v>515</v>
      </c>
    </row>
    <row r="13092" spans="1:7" x14ac:dyDescent="0.25">
      <c r="A13092" s="1" t="str">
        <f>"109"</f>
        <v>109</v>
      </c>
      <c r="B13092" s="2" t="str">
        <f>"IOGURTE MARACUJA - FRASCO"</f>
        <v>IOGURTE MARACUJA - FRASCO</v>
      </c>
      <c r="C13092" s="2" t="str">
        <f>"KG"</f>
        <v>KG</v>
      </c>
      <c r="D13092" s="7">
        <v>1900</v>
      </c>
      <c r="E13092" s="3">
        <v>7</v>
      </c>
      <c r="F13092" s="3">
        <v>7</v>
      </c>
      <c r="G13092" t="s">
        <v>512</v>
      </c>
    </row>
    <row r="13093" spans="1:7" x14ac:dyDescent="0.25">
      <c r="A13093" s="1" t="str">
        <f>"1892"</f>
        <v>1892</v>
      </c>
      <c r="B13093" s="2" t="str">
        <f>"IOGURTE MEL DIA 170G"</f>
        <v>IOGURTE MEL DIA 170G</v>
      </c>
      <c r="C13093" s="2" t="str">
        <f>"UN"</f>
        <v>UN</v>
      </c>
      <c r="D13093" s="7">
        <v>35</v>
      </c>
      <c r="E13093" s="3">
        <v>6</v>
      </c>
      <c r="F13093" s="3">
        <v>6</v>
      </c>
      <c r="G13093" t="s">
        <v>516</v>
      </c>
    </row>
    <row r="13094" spans="1:7" x14ac:dyDescent="0.25">
      <c r="A13094" s="1" t="str">
        <f>"1692"</f>
        <v>1692</v>
      </c>
      <c r="B13094" s="2" t="str">
        <f>"IOGURTE MEL DIA 180G"</f>
        <v>IOGURTE MEL DIA 180G</v>
      </c>
      <c r="C13094" s="2" t="str">
        <f>"UN"</f>
        <v>UN</v>
      </c>
      <c r="D13094" s="7">
        <v>3</v>
      </c>
      <c r="E13094" s="3">
        <v>6</v>
      </c>
      <c r="F13094" s="3">
        <v>6</v>
      </c>
      <c r="G13094" t="s">
        <v>515</v>
      </c>
    </row>
    <row r="13095" spans="1:7" x14ac:dyDescent="0.25">
      <c r="A13095" s="1" t="str">
        <f>"172"</f>
        <v>172</v>
      </c>
      <c r="B13095" s="2" t="str">
        <f>"IOGURTE MOR/BANANA BUZIOS - FRASCO"</f>
        <v>IOGURTE MOR/BANANA BUZIOS - FRASCO</v>
      </c>
      <c r="C13095" s="2" t="str">
        <f>"KG"</f>
        <v>KG</v>
      </c>
      <c r="D13095" s="7">
        <v>1900</v>
      </c>
      <c r="E13095" s="3">
        <v>7</v>
      </c>
      <c r="F13095" s="3">
        <v>7</v>
      </c>
      <c r="G13095" t="s">
        <v>514</v>
      </c>
    </row>
    <row r="13096" spans="1:7" x14ac:dyDescent="0.25">
      <c r="A13096" s="1" t="str">
        <f>"07"</f>
        <v>07</v>
      </c>
      <c r="B13096" s="2" t="str">
        <f>"IOGURTE MORANGO - BANDEJA"</f>
        <v>IOGURTE MORANGO - BANDEJA</v>
      </c>
      <c r="C13096" s="2" t="str">
        <f>"KG"</f>
        <v>KG</v>
      </c>
      <c r="D13096" s="7">
        <v>1900</v>
      </c>
      <c r="E13096" s="3">
        <v>7</v>
      </c>
      <c r="F13096" s="3">
        <v>7</v>
      </c>
      <c r="G13096" t="s">
        <v>512</v>
      </c>
    </row>
    <row r="13097" spans="1:7" x14ac:dyDescent="0.25">
      <c r="A13097" s="1" t="str">
        <f>"03"</f>
        <v>03</v>
      </c>
      <c r="B13097" s="2" t="str">
        <f>"IOGURTE MORANGO - FRASCO"</f>
        <v>IOGURTE MORANGO - FRASCO</v>
      </c>
      <c r="C13097" s="2" t="str">
        <f>"KG"</f>
        <v>KG</v>
      </c>
      <c r="D13097" s="7">
        <v>1900</v>
      </c>
      <c r="E13097" s="3">
        <v>7</v>
      </c>
      <c r="F13097" s="3">
        <v>7</v>
      </c>
      <c r="G13097" t="s">
        <v>513</v>
      </c>
    </row>
    <row r="13098" spans="1:7" x14ac:dyDescent="0.25">
      <c r="A13098" s="1" t="str">
        <f>"168"</f>
        <v>168</v>
      </c>
      <c r="B13098" s="2" t="str">
        <f>"IOGURTE MORANGO BUZIOS - FRASCO"</f>
        <v>IOGURTE MORANGO BUZIOS - FRASCO</v>
      </c>
      <c r="C13098" s="2" t="str">
        <f>"KG"</f>
        <v>KG</v>
      </c>
      <c r="D13098" s="7">
        <v>1900</v>
      </c>
      <c r="E13098" s="3">
        <v>7</v>
      </c>
      <c r="F13098" s="3">
        <v>7</v>
      </c>
      <c r="G13098" t="s">
        <v>514</v>
      </c>
    </row>
    <row r="13099" spans="1:7" x14ac:dyDescent="0.25">
      <c r="A13099" s="1" t="str">
        <f>"56"</f>
        <v>56</v>
      </c>
      <c r="B13099" s="2" t="str">
        <f>"IOGURTE MORANGO COM CHOCOLATE - FRASCO"</f>
        <v>IOGURTE MORANGO COM CHOCOLATE - FRASCO</v>
      </c>
      <c r="C13099" s="2" t="str">
        <f>"KG"</f>
        <v>KG</v>
      </c>
      <c r="D13099" s="7">
        <v>1900</v>
      </c>
      <c r="E13099" s="3">
        <v>7</v>
      </c>
      <c r="F13099" s="3">
        <v>7</v>
      </c>
      <c r="G13099" t="s">
        <v>514</v>
      </c>
    </row>
    <row r="13100" spans="1:7" x14ac:dyDescent="0.25">
      <c r="A13100" s="1" t="str">
        <f>"1617"</f>
        <v>1617</v>
      </c>
      <c r="B13100" s="2" t="str">
        <f>"IOGURTE MORANGO GARRAFA CAROLINA 150G"</f>
        <v>IOGURTE MORANGO GARRAFA CAROLINA 150G</v>
      </c>
      <c r="C13100" s="2" t="str">
        <f>"UN"</f>
        <v>UN</v>
      </c>
      <c r="D13100" s="7">
        <v>8</v>
      </c>
      <c r="E13100" s="3">
        <v>6</v>
      </c>
      <c r="F13100" s="3">
        <v>6</v>
      </c>
      <c r="G13100" t="s">
        <v>512</v>
      </c>
    </row>
    <row r="13101" spans="1:7" x14ac:dyDescent="0.25">
      <c r="A13101" s="1" t="str">
        <f>"1605"</f>
        <v>1605</v>
      </c>
      <c r="B13101" s="2" t="str">
        <f>"IOGURTE MORANGO GARRAFA GLUCK 150G"</f>
        <v>IOGURTE MORANGO GARRAFA GLUCK 150G</v>
      </c>
      <c r="C13101" s="2" t="str">
        <f>"UN"</f>
        <v>UN</v>
      </c>
      <c r="D13101" s="7">
        <v>8</v>
      </c>
      <c r="E13101" s="3">
        <v>6</v>
      </c>
      <c r="F13101" s="3">
        <v>6</v>
      </c>
      <c r="G13101" t="s">
        <v>513</v>
      </c>
    </row>
    <row r="13102" spans="1:7" x14ac:dyDescent="0.25">
      <c r="A13102" s="1" t="str">
        <f>"1600"</f>
        <v>1600</v>
      </c>
      <c r="B13102" s="2" t="str">
        <f>"IOGURTE MORANGO GARRAFA GLUCK 850G"</f>
        <v>IOGURTE MORANGO GARRAFA GLUCK 850G</v>
      </c>
      <c r="C13102" s="2" t="str">
        <f>"UN"</f>
        <v>UN</v>
      </c>
      <c r="D13102" s="7">
        <v>15</v>
      </c>
      <c r="E13102" s="3">
        <v>6</v>
      </c>
      <c r="F13102" s="3">
        <v>6</v>
      </c>
      <c r="G13102" t="s">
        <v>514</v>
      </c>
    </row>
    <row r="13103" spans="1:7" x14ac:dyDescent="0.25">
      <c r="A13103" s="1" t="str">
        <f>"1500"</f>
        <v>1500</v>
      </c>
      <c r="B13103" s="2" t="str">
        <f>"IOGURTE MORANGO LIGHT BJ VIVER 400 G"</f>
        <v>IOGURTE MORANGO LIGHT BJ VIVER 400 G</v>
      </c>
      <c r="C13103" s="2" t="str">
        <f>"UN"</f>
        <v>UN</v>
      </c>
      <c r="D13103" s="7">
        <v>20</v>
      </c>
      <c r="E13103" s="3">
        <v>6</v>
      </c>
      <c r="F13103" s="3">
        <v>6</v>
      </c>
      <c r="G13103" t="s">
        <v>514</v>
      </c>
    </row>
    <row r="13104" spans="1:7" x14ac:dyDescent="0.25">
      <c r="A13104" s="1" t="str">
        <f>"80"</f>
        <v>80</v>
      </c>
      <c r="B13104" s="2" t="str">
        <f>"IOGURTE MORANGO QUALITA - FRASCO"</f>
        <v>IOGURTE MORANGO QUALITA - FRASCO</v>
      </c>
      <c r="C13104" s="2" t="str">
        <f>"KG"</f>
        <v>KG</v>
      </c>
      <c r="D13104" s="7">
        <v>1900</v>
      </c>
      <c r="E13104" s="3">
        <v>7</v>
      </c>
      <c r="F13104" s="3">
        <v>7</v>
      </c>
      <c r="G13104" t="s">
        <v>514</v>
      </c>
    </row>
    <row r="13105" spans="1:7" x14ac:dyDescent="0.25">
      <c r="A13105" s="1" t="str">
        <f>"128"</f>
        <v>128</v>
      </c>
      <c r="B13105" s="2" t="str">
        <f>"IOGURTE MORANGO SEM LACTOSE - FRASCO"</f>
        <v>IOGURTE MORANGO SEM LACTOSE - FRASCO</v>
      </c>
      <c r="C13105" s="2" t="str">
        <f>"KG"</f>
        <v>KG</v>
      </c>
      <c r="D13105" s="7">
        <v>1900</v>
      </c>
      <c r="E13105" s="3">
        <v>7</v>
      </c>
      <c r="F13105" s="3">
        <v>7</v>
      </c>
      <c r="G13105" t="s">
        <v>513</v>
      </c>
    </row>
    <row r="13106" spans="1:7" x14ac:dyDescent="0.25">
      <c r="A13106" s="1" t="str">
        <f>"1677"</f>
        <v>1677</v>
      </c>
      <c r="B13106" s="2" t="str">
        <f>"IOGURTE NAT.COM MEL 185G DIA 18 UNID"</f>
        <v>IOGURTE NAT.COM MEL 185G DIA 18 UNID</v>
      </c>
      <c r="C13106" s="2" t="str">
        <f>"UN"</f>
        <v>UN</v>
      </c>
      <c r="D13106" s="7">
        <v>4</v>
      </c>
      <c r="E13106" s="3">
        <v>6</v>
      </c>
      <c r="F13106" s="3">
        <v>6</v>
      </c>
      <c r="G13106" t="s">
        <v>512</v>
      </c>
    </row>
    <row r="13107" spans="1:7" x14ac:dyDescent="0.25">
      <c r="A13107" s="1" t="str">
        <f>"1676"</f>
        <v>1676</v>
      </c>
      <c r="B13107" s="2" t="str">
        <f>"IOGURTE NAT.DESNATAD 185G DIA 18 UNID"</f>
        <v>IOGURTE NAT.DESNATAD 185G DIA 18 UNID</v>
      </c>
      <c r="C13107" s="2" t="str">
        <f>"UN"</f>
        <v>UN</v>
      </c>
      <c r="D13107" s="7">
        <v>4</v>
      </c>
      <c r="E13107" s="3">
        <v>6</v>
      </c>
      <c r="F13107" s="3">
        <v>6</v>
      </c>
      <c r="G13107" t="s">
        <v>513</v>
      </c>
    </row>
    <row r="13108" spans="1:7" x14ac:dyDescent="0.25">
      <c r="A13108" s="1" t="str">
        <f>"1675"</f>
        <v>1675</v>
      </c>
      <c r="B13108" s="2" t="str">
        <f>"IOGURTE NAT.INTEGRAL 185G DIA 18 UNID"</f>
        <v>IOGURTE NAT.INTEGRAL 185G DIA 18 UNID</v>
      </c>
      <c r="C13108" s="2" t="str">
        <f>"UN"</f>
        <v>UN</v>
      </c>
      <c r="D13108" s="7">
        <v>4</v>
      </c>
      <c r="E13108" s="3">
        <v>6</v>
      </c>
      <c r="F13108" s="3">
        <v>6</v>
      </c>
      <c r="G13108" t="s">
        <v>514</v>
      </c>
    </row>
    <row r="13109" spans="1:7" x14ac:dyDescent="0.25">
      <c r="A13109" s="1" t="str">
        <f>"500"</f>
        <v>500</v>
      </c>
      <c r="B13109" s="2" t="str">
        <f>"IOGURTE NATURAL C/ PEDACOS ACAI E MORANGO- COPO"</f>
        <v>IOGURTE NATURAL C/ PEDACOS ACAI E MORANGO- COPO</v>
      </c>
      <c r="C13109" s="2" t="str">
        <f t="shared" ref="C13109:C13118" si="513">"KG"</f>
        <v>KG</v>
      </c>
      <c r="D13109" s="7">
        <v>1900</v>
      </c>
      <c r="E13109" s="3">
        <v>7</v>
      </c>
      <c r="F13109" s="3">
        <v>7</v>
      </c>
      <c r="G13109" t="s">
        <v>514</v>
      </c>
    </row>
    <row r="13110" spans="1:7" x14ac:dyDescent="0.25">
      <c r="A13110" s="1" t="str">
        <f>"501"</f>
        <v>501</v>
      </c>
      <c r="B13110" s="2" t="str">
        <f>"IOGURTE NATURAL C/ PEDACOS AMORA E MIRTILO- COPO"</f>
        <v>IOGURTE NATURAL C/ PEDACOS AMORA E MIRTILO- COPO</v>
      </c>
      <c r="C13110" s="2" t="str">
        <f t="shared" si="513"/>
        <v>KG</v>
      </c>
      <c r="D13110" s="7">
        <v>1900</v>
      </c>
      <c r="E13110" s="3">
        <v>7</v>
      </c>
      <c r="F13110" s="3">
        <v>7</v>
      </c>
      <c r="G13110" t="s">
        <v>514</v>
      </c>
    </row>
    <row r="13111" spans="1:7" x14ac:dyDescent="0.25">
      <c r="A13111" s="1" t="str">
        <f>"148"</f>
        <v>148</v>
      </c>
      <c r="B13111" s="2" t="str">
        <f>"IOGURTE NATURAL C/ PEDACOS DE ABACAXI E COCO - COPO"</f>
        <v>IOGURTE NATURAL C/ PEDACOS DE ABACAXI E COCO - COPO</v>
      </c>
      <c r="C13111" s="2" t="str">
        <f t="shared" si="513"/>
        <v>KG</v>
      </c>
      <c r="D13111" s="7">
        <v>1900</v>
      </c>
      <c r="E13111" s="3">
        <v>7</v>
      </c>
      <c r="F13111" s="3">
        <v>7</v>
      </c>
      <c r="G13111" t="s">
        <v>513</v>
      </c>
    </row>
    <row r="13112" spans="1:7" x14ac:dyDescent="0.25">
      <c r="A13112" s="1" t="str">
        <f>"146"</f>
        <v>146</v>
      </c>
      <c r="B13112" s="2" t="str">
        <f>"IOGURTE NATURAL C/ PEDACOS DE BANANA E MORANGO - COPO"</f>
        <v>IOGURTE NATURAL C/ PEDACOS DE BANANA E MORANGO - COPO</v>
      </c>
      <c r="C13112" s="2" t="str">
        <f t="shared" si="513"/>
        <v>KG</v>
      </c>
      <c r="D13112" s="7">
        <v>1900</v>
      </c>
      <c r="E13112" s="3">
        <v>7</v>
      </c>
      <c r="F13112" s="3">
        <v>7</v>
      </c>
      <c r="G13112" t="s">
        <v>513</v>
      </c>
    </row>
    <row r="13113" spans="1:7" x14ac:dyDescent="0.25">
      <c r="A13113" s="1" t="str">
        <f>"116"</f>
        <v>116</v>
      </c>
      <c r="B13113" s="2" t="str">
        <f>"IOGURTE NATURAL C/ PEDACOS DE COCO- COPO"</f>
        <v>IOGURTE NATURAL C/ PEDACOS DE COCO- COPO</v>
      </c>
      <c r="C13113" s="2" t="str">
        <f t="shared" si="513"/>
        <v>KG</v>
      </c>
      <c r="D13113" s="7">
        <v>1900</v>
      </c>
      <c r="E13113" s="3">
        <v>7</v>
      </c>
      <c r="F13113" s="3">
        <v>7</v>
      </c>
      <c r="G13113" t="s">
        <v>513</v>
      </c>
    </row>
    <row r="13114" spans="1:7" x14ac:dyDescent="0.25">
      <c r="A13114" s="1" t="str">
        <f>"117"</f>
        <v>117</v>
      </c>
      <c r="B13114" s="2" t="str">
        <f>"IOGURTE NATURAL C/ PEDACOS DE FRUTAS VERMELHAS COPO"</f>
        <v>IOGURTE NATURAL C/ PEDACOS DE FRUTAS VERMELHAS COPO</v>
      </c>
      <c r="C13114" s="2" t="str">
        <f t="shared" si="513"/>
        <v>KG</v>
      </c>
      <c r="D13114" s="7">
        <v>1900</v>
      </c>
      <c r="E13114" s="3">
        <v>7</v>
      </c>
      <c r="F13114" s="3">
        <v>7</v>
      </c>
      <c r="G13114" t="s">
        <v>512</v>
      </c>
    </row>
    <row r="13115" spans="1:7" x14ac:dyDescent="0.25">
      <c r="A13115" s="1" t="str">
        <f>"112"</f>
        <v>112</v>
      </c>
      <c r="B13115" s="2" t="str">
        <f>"IOGURTE NATURAL C/ PEDACOS MORANGO - COPO"</f>
        <v>IOGURTE NATURAL C/ PEDACOS MORANGO - COPO</v>
      </c>
      <c r="C13115" s="2" t="str">
        <f t="shared" si="513"/>
        <v>KG</v>
      </c>
      <c r="D13115" s="7">
        <v>1900</v>
      </c>
      <c r="E13115" s="3">
        <v>7</v>
      </c>
      <c r="F13115" s="3">
        <v>7</v>
      </c>
      <c r="G13115" t="s">
        <v>513</v>
      </c>
    </row>
    <row r="13116" spans="1:7" x14ac:dyDescent="0.25">
      <c r="A13116" s="1" t="str">
        <f>"103"</f>
        <v>103</v>
      </c>
      <c r="B13116" s="2" t="str">
        <f>"IOGURTE NATURAL COM BANANA E AVEIA - COPO"</f>
        <v>IOGURTE NATURAL COM BANANA E AVEIA - COPO</v>
      </c>
      <c r="C13116" s="2" t="str">
        <f t="shared" si="513"/>
        <v>KG</v>
      </c>
      <c r="D13116" s="7">
        <v>1900</v>
      </c>
      <c r="E13116" s="3">
        <v>7</v>
      </c>
      <c r="F13116" s="3">
        <v>7</v>
      </c>
      <c r="G13116" t="s">
        <v>514</v>
      </c>
    </row>
    <row r="13117" spans="1:7" x14ac:dyDescent="0.25">
      <c r="A13117" s="1" t="str">
        <f>"104"</f>
        <v>104</v>
      </c>
      <c r="B13117" s="2" t="str">
        <f>"IOGURTE NATURAL COM FLOCOS DE MACA - COPO"</f>
        <v>IOGURTE NATURAL COM FLOCOS DE MACA - COPO</v>
      </c>
      <c r="C13117" s="2" t="str">
        <f t="shared" si="513"/>
        <v>KG</v>
      </c>
      <c r="D13117" s="7">
        <v>1900</v>
      </c>
      <c r="E13117" s="3">
        <v>7</v>
      </c>
      <c r="F13117" s="3">
        <v>7</v>
      </c>
      <c r="G13117" t="s">
        <v>515</v>
      </c>
    </row>
    <row r="13118" spans="1:7" x14ac:dyDescent="0.25">
      <c r="A13118" s="1" t="str">
        <f>"12"</f>
        <v>12</v>
      </c>
      <c r="B13118" s="2" t="str">
        <f>"IOGURTE NATURAL COM MEL - COPO"</f>
        <v>IOGURTE NATURAL COM MEL - COPO</v>
      </c>
      <c r="C13118" s="2" t="str">
        <f t="shared" si="513"/>
        <v>KG</v>
      </c>
      <c r="D13118" s="7">
        <v>1900</v>
      </c>
      <c r="E13118" s="3">
        <v>7</v>
      </c>
      <c r="F13118" s="3">
        <v>7</v>
      </c>
      <c r="G13118" t="s">
        <v>512</v>
      </c>
    </row>
    <row r="13119" spans="1:7" x14ac:dyDescent="0.25">
      <c r="A13119" s="1" t="str">
        <f>"1175"</f>
        <v>1175</v>
      </c>
      <c r="B13119" s="2" t="str">
        <f>"IOGURTE NATURAL COPO  CAROLINA 160G"</f>
        <v>IOGURTE NATURAL COPO  CAROLINA 160G</v>
      </c>
      <c r="C13119" s="2" t="str">
        <f>"UN"</f>
        <v>UN</v>
      </c>
      <c r="D13119" s="7">
        <v>39</v>
      </c>
      <c r="E13119" s="3">
        <v>6</v>
      </c>
      <c r="F13119" s="3">
        <v>6</v>
      </c>
      <c r="G13119" t="s">
        <v>516</v>
      </c>
    </row>
    <row r="13120" spans="1:7" x14ac:dyDescent="0.25">
      <c r="A13120" s="1" t="str">
        <f>"11"</f>
        <v>11</v>
      </c>
      <c r="B13120" s="2" t="str">
        <f>"IOGURTE NATURAL DESNATADO - COPO"</f>
        <v>IOGURTE NATURAL DESNATADO - COPO</v>
      </c>
      <c r="C13120" s="2" t="str">
        <f>"KG"</f>
        <v>KG</v>
      </c>
      <c r="D13120" s="7">
        <v>1900</v>
      </c>
      <c r="E13120" s="3">
        <v>7</v>
      </c>
      <c r="F13120" s="3">
        <v>7</v>
      </c>
      <c r="G13120" t="s">
        <v>515</v>
      </c>
    </row>
    <row r="13121" spans="1:7" x14ac:dyDescent="0.25">
      <c r="A13121" s="1" t="str">
        <f>"1836"</f>
        <v>1836</v>
      </c>
      <c r="B13121" s="2" t="str">
        <f>"IOGURTE NATURAL DESNATADO 160 G (COOP)"</f>
        <v>IOGURTE NATURAL DESNATADO 160 G (COOP)</v>
      </c>
      <c r="C13121" s="2" t="str">
        <f>"UN"</f>
        <v>UN</v>
      </c>
      <c r="D13121" s="7">
        <v>39</v>
      </c>
      <c r="E13121" s="3">
        <v>6</v>
      </c>
      <c r="F13121" s="3">
        <v>6</v>
      </c>
      <c r="G13121" t="s">
        <v>514</v>
      </c>
    </row>
    <row r="13122" spans="1:7" x14ac:dyDescent="0.25">
      <c r="A13122" s="1" t="str">
        <f>"82"</f>
        <v>82</v>
      </c>
      <c r="B13122" s="2" t="str">
        <f>"IOGURTE NATURAL DESNATADO COM MEL - COPO"</f>
        <v>IOGURTE NATURAL DESNATADO COM MEL - COPO</v>
      </c>
      <c r="C13122" s="2" t="str">
        <f>"KG"</f>
        <v>KG</v>
      </c>
      <c r="D13122" s="7">
        <v>1900</v>
      </c>
      <c r="E13122" s="3">
        <v>7</v>
      </c>
      <c r="F13122" s="3">
        <v>7</v>
      </c>
      <c r="G13122" t="s">
        <v>512</v>
      </c>
    </row>
    <row r="13123" spans="1:7" x14ac:dyDescent="0.25">
      <c r="A13123" s="1" t="str">
        <f>"142"</f>
        <v>142</v>
      </c>
      <c r="B13123" s="2" t="str">
        <f>"IOGURTE NATURAL DESNATADO SEM LACTOSE - COPO"</f>
        <v>IOGURTE NATURAL DESNATADO SEM LACTOSE - COPO</v>
      </c>
      <c r="C13123" s="2" t="str">
        <f>"KG"</f>
        <v>KG</v>
      </c>
      <c r="D13123" s="7">
        <v>1900</v>
      </c>
      <c r="E13123" s="3">
        <v>7</v>
      </c>
      <c r="F13123" s="3">
        <v>7</v>
      </c>
      <c r="G13123" t="s">
        <v>513</v>
      </c>
    </row>
    <row r="13124" spans="1:7" x14ac:dyDescent="0.25">
      <c r="A13124" s="1" t="str">
        <f>"1690"</f>
        <v>1690</v>
      </c>
      <c r="B13124" s="2" t="str">
        <f>"IOGURTE NATURAL DIA 180G"</f>
        <v>IOGURTE NATURAL DIA 180G</v>
      </c>
      <c r="C13124" s="2" t="str">
        <f>"UN"</f>
        <v>UN</v>
      </c>
      <c r="D13124" s="7">
        <v>3</v>
      </c>
      <c r="E13124" s="3">
        <v>6</v>
      </c>
      <c r="F13124" s="3">
        <v>6</v>
      </c>
      <c r="G13124" t="s">
        <v>514</v>
      </c>
    </row>
    <row r="13125" spans="1:7" x14ac:dyDescent="0.25">
      <c r="A13125" s="1" t="str">
        <f>"10"</f>
        <v>10</v>
      </c>
      <c r="B13125" s="2" t="str">
        <f>"IOGURTE NATURAL INTEGRAL - COPO"</f>
        <v>IOGURTE NATURAL INTEGRAL - COPO</v>
      </c>
      <c r="C13125" s="2" t="str">
        <f>"KG"</f>
        <v>KG</v>
      </c>
      <c r="D13125" s="7">
        <v>1900</v>
      </c>
      <c r="E13125" s="3">
        <v>7</v>
      </c>
      <c r="F13125" s="3">
        <v>7</v>
      </c>
      <c r="G13125" t="s">
        <v>514</v>
      </c>
    </row>
    <row r="13126" spans="1:7" x14ac:dyDescent="0.25">
      <c r="A13126" s="1" t="str">
        <f>"1835"</f>
        <v>1835</v>
      </c>
      <c r="B13126" s="2" t="str">
        <f>"IOGURTE NATURAL INTEGRAL 160 G (COOP)"</f>
        <v>IOGURTE NATURAL INTEGRAL 160 G (COOP)</v>
      </c>
      <c r="C13126" s="2" t="str">
        <f>"UN"</f>
        <v>UN</v>
      </c>
      <c r="D13126" s="7">
        <v>39</v>
      </c>
      <c r="E13126" s="3">
        <v>6</v>
      </c>
      <c r="F13126" s="3">
        <v>6</v>
      </c>
      <c r="G13126" t="s">
        <v>512</v>
      </c>
    </row>
    <row r="13127" spans="1:7" x14ac:dyDescent="0.25">
      <c r="A13127" s="1" t="str">
        <f>"1890"</f>
        <v>1890</v>
      </c>
      <c r="B13127" s="2" t="str">
        <f>"IOGURTE NATURAL INTEGRAL DIA 170G"</f>
        <v>IOGURTE NATURAL INTEGRAL DIA 170G</v>
      </c>
      <c r="C13127" s="2" t="str">
        <f>"UN"</f>
        <v>UN</v>
      </c>
      <c r="D13127" s="7">
        <v>35</v>
      </c>
      <c r="E13127" s="3">
        <v>6</v>
      </c>
      <c r="F13127" s="3">
        <v>6</v>
      </c>
      <c r="G13127" t="s">
        <v>513</v>
      </c>
    </row>
    <row r="13128" spans="1:7" x14ac:dyDescent="0.25">
      <c r="A13128" s="1" t="str">
        <f>"141"</f>
        <v>141</v>
      </c>
      <c r="B13128" s="2" t="str">
        <f>"IOGURTE NATURAL INTEGRAL SEM LACTOSE - COPO"</f>
        <v>IOGURTE NATURAL INTEGRAL SEM LACTOSE - COPO</v>
      </c>
      <c r="C13128" s="2" t="str">
        <f>"KG"</f>
        <v>KG</v>
      </c>
      <c r="D13128" s="7">
        <v>1900</v>
      </c>
      <c r="E13128" s="3">
        <v>7</v>
      </c>
      <c r="F13128" s="3">
        <v>7</v>
      </c>
      <c r="G13128" t="s">
        <v>514</v>
      </c>
    </row>
    <row r="13129" spans="1:7" x14ac:dyDescent="0.25">
      <c r="A13129" s="1" t="str">
        <f>"13"</f>
        <v>13</v>
      </c>
      <c r="B13129" s="2" t="str">
        <f>"IOGURTE NATURAL LAR/CEN/MEL - COPO"</f>
        <v>IOGURTE NATURAL LAR/CEN/MEL - COPO</v>
      </c>
      <c r="C13129" s="2" t="str">
        <f>"KG"</f>
        <v>KG</v>
      </c>
      <c r="D13129" s="7">
        <v>1900</v>
      </c>
      <c r="E13129" s="3">
        <v>7</v>
      </c>
      <c r="F13129" s="3">
        <v>7</v>
      </c>
      <c r="G13129" t="s">
        <v>514</v>
      </c>
    </row>
    <row r="13130" spans="1:7" x14ac:dyDescent="0.25">
      <c r="A13130" s="1" t="str">
        <f>"1179"</f>
        <v>1179</v>
      </c>
      <c r="B13130" s="2" t="str">
        <f>"IOGURTE NATURAL LARANJA/CENOURA/ MEL COPO CAROLINA 160G"</f>
        <v>IOGURTE NATURAL LARANJA/CENOURA/ MEL COPO CAROLINA 160G</v>
      </c>
      <c r="C13130" s="2" t="str">
        <f t="shared" ref="C13130:C13153" si="514">"UN"</f>
        <v>UN</v>
      </c>
      <c r="D13130" s="7">
        <v>39</v>
      </c>
      <c r="E13130" s="3">
        <v>6</v>
      </c>
      <c r="F13130" s="3">
        <v>6</v>
      </c>
      <c r="G13130" t="s">
        <v>514</v>
      </c>
    </row>
    <row r="13131" spans="1:7" x14ac:dyDescent="0.25">
      <c r="A13131" s="1" t="str">
        <f>"1177"</f>
        <v>1177</v>
      </c>
      <c r="B13131" s="2" t="str">
        <f>"IOGURTE NATURAL MEL COPO CAROLINA 160G"</f>
        <v>IOGURTE NATURAL MEL COPO CAROLINA 160G</v>
      </c>
      <c r="C13131" s="2" t="str">
        <f t="shared" si="514"/>
        <v>UN</v>
      </c>
      <c r="D13131" s="7">
        <v>39</v>
      </c>
      <c r="E13131" s="3">
        <v>6</v>
      </c>
      <c r="F13131" s="3">
        <v>6</v>
      </c>
      <c r="G13131" t="s">
        <v>513</v>
      </c>
    </row>
    <row r="13132" spans="1:7" x14ac:dyDescent="0.25">
      <c r="A13132" s="1" t="str">
        <f>"1514"</f>
        <v>1514</v>
      </c>
      <c r="B13132" s="2" t="str">
        <f>"IOGURTE NATURAL VIVER SOJA 160 G"</f>
        <v>IOGURTE NATURAL VIVER SOJA 160 G</v>
      </c>
      <c r="C13132" s="2" t="str">
        <f t="shared" si="514"/>
        <v>UN</v>
      </c>
      <c r="D13132" s="7">
        <v>9</v>
      </c>
      <c r="E13132" s="3">
        <v>6</v>
      </c>
      <c r="F13132" s="3">
        <v>6</v>
      </c>
      <c r="G13132" t="s">
        <v>512</v>
      </c>
    </row>
    <row r="13133" spans="1:7" x14ac:dyDescent="0.25">
      <c r="A13133" s="1" t="str">
        <f>"1837"</f>
        <v>1837</v>
      </c>
      <c r="B13133" s="2" t="str">
        <f>"IOGURTE PARC DESNATADO C/ PREP DE MEL 160 G (COOP)"</f>
        <v>IOGURTE PARC DESNATADO C/ PREP DE MEL 160 G (COOP)</v>
      </c>
      <c r="C13133" s="2" t="str">
        <f t="shared" si="514"/>
        <v>UN</v>
      </c>
      <c r="D13133" s="7">
        <v>39</v>
      </c>
      <c r="E13133" s="3">
        <v>6</v>
      </c>
      <c r="F13133" s="3">
        <v>6</v>
      </c>
      <c r="G13133" t="s">
        <v>513</v>
      </c>
    </row>
    <row r="13134" spans="1:7" x14ac:dyDescent="0.25">
      <c r="A13134" s="1" t="str">
        <f>"2053"</f>
        <v>2053</v>
      </c>
      <c r="B13134" s="2" t="str">
        <f>"IOGURTE PEDACOS ABACAXI E COCO COPO CAROLINA 100G"</f>
        <v>IOGURTE PEDACOS ABACAXI E COCO COPO CAROLINA 100G</v>
      </c>
      <c r="C13134" s="2" t="str">
        <f t="shared" si="514"/>
        <v>UN</v>
      </c>
      <c r="D13134" s="7">
        <v>32</v>
      </c>
      <c r="E13134" s="3">
        <v>6</v>
      </c>
      <c r="F13134" s="3">
        <v>6</v>
      </c>
      <c r="G13134" t="s">
        <v>514</v>
      </c>
    </row>
    <row r="13135" spans="1:7" x14ac:dyDescent="0.25">
      <c r="A13135" s="1" t="str">
        <f>"2044"</f>
        <v>2044</v>
      </c>
      <c r="B13135" s="2" t="str">
        <f>"IOGURTE PEDACOS ABACAXI E COCO COPO CAROLINA 500G"</f>
        <v>IOGURTE PEDACOS ABACAXI E COCO COPO CAROLINA 500G</v>
      </c>
      <c r="C13135" s="2" t="str">
        <f t="shared" si="514"/>
        <v>UN</v>
      </c>
      <c r="D13135" s="7">
        <v>40</v>
      </c>
      <c r="E13135" s="3">
        <v>6</v>
      </c>
      <c r="F13135" s="3">
        <v>6</v>
      </c>
      <c r="G13135" t="s">
        <v>514</v>
      </c>
    </row>
    <row r="13136" spans="1:7" x14ac:dyDescent="0.25">
      <c r="A13136" s="1" t="str">
        <f>"2060"</f>
        <v>2060</v>
      </c>
      <c r="B13136" s="2" t="str">
        <f>"IOGURTE PEDACOS ACAI E MORANGO COPO CAROLINA 100G"</f>
        <v>IOGURTE PEDACOS ACAI E MORANGO COPO CAROLINA 100G</v>
      </c>
      <c r="C13136" s="2" t="str">
        <f t="shared" si="514"/>
        <v>UN</v>
      </c>
      <c r="D13136" s="7">
        <v>32</v>
      </c>
      <c r="E13136" s="3">
        <v>6</v>
      </c>
      <c r="F13136" s="3">
        <v>6</v>
      </c>
      <c r="G13136" t="s">
        <v>514</v>
      </c>
    </row>
    <row r="13137" spans="1:7" x14ac:dyDescent="0.25">
      <c r="A13137" s="1" t="str">
        <f>"2062"</f>
        <v>2062</v>
      </c>
      <c r="B13137" s="2" t="str">
        <f>"IOGURTE PEDACOS ACAI E MORANGO COPO CAROLINA 450G"</f>
        <v>IOGURTE PEDACOS ACAI E MORANGO COPO CAROLINA 450G</v>
      </c>
      <c r="C13137" s="2" t="str">
        <f t="shared" si="514"/>
        <v>UN</v>
      </c>
      <c r="D13137" s="7">
        <v>40</v>
      </c>
      <c r="E13137" s="3">
        <v>6</v>
      </c>
      <c r="F13137" s="3">
        <v>6</v>
      </c>
      <c r="G13137" t="s">
        <v>513</v>
      </c>
    </row>
    <row r="13138" spans="1:7" x14ac:dyDescent="0.25">
      <c r="A13138" s="1" t="str">
        <f>"2061"</f>
        <v>2061</v>
      </c>
      <c r="B13138" s="2" t="str">
        <f>"IOGURTE PEDACOS BLUEBERRY E AMORA COPO CAROLINA 100G"</f>
        <v>IOGURTE PEDACOS BLUEBERRY E AMORA COPO CAROLINA 100G</v>
      </c>
      <c r="C13138" s="2" t="str">
        <f t="shared" si="514"/>
        <v>UN</v>
      </c>
      <c r="D13138" s="7">
        <v>32</v>
      </c>
      <c r="E13138" s="3">
        <v>6</v>
      </c>
      <c r="F13138" s="3">
        <v>6</v>
      </c>
      <c r="G13138" t="s">
        <v>513</v>
      </c>
    </row>
    <row r="13139" spans="1:7" x14ac:dyDescent="0.25">
      <c r="A13139" s="1" t="str">
        <f>"2063"</f>
        <v>2063</v>
      </c>
      <c r="B13139" s="2" t="str">
        <f>"IOGURTE PEDACOS BLUEBERRY E AMORA COPO CAROLINA 450G"</f>
        <v>IOGURTE PEDACOS BLUEBERRY E AMORA COPO CAROLINA 450G</v>
      </c>
      <c r="C13139" s="2" t="str">
        <f t="shared" si="514"/>
        <v>UN</v>
      </c>
      <c r="D13139" s="7">
        <v>40</v>
      </c>
      <c r="E13139" s="3">
        <v>6</v>
      </c>
      <c r="F13139" s="3">
        <v>6</v>
      </c>
      <c r="G13139" t="s">
        <v>513</v>
      </c>
    </row>
    <row r="13140" spans="1:7" x14ac:dyDescent="0.25">
      <c r="A13140" s="1" t="str">
        <f>"2051"</f>
        <v>2051</v>
      </c>
      <c r="B13140" s="2" t="str">
        <f>"IOGURTE PEDACOS COCO COPO CAROLINA 100G"</f>
        <v>IOGURTE PEDACOS COCO COPO CAROLINA 100G</v>
      </c>
      <c r="C13140" s="2" t="str">
        <f t="shared" si="514"/>
        <v>UN</v>
      </c>
      <c r="D13140" s="7">
        <v>32</v>
      </c>
      <c r="E13140" s="3">
        <v>6</v>
      </c>
      <c r="F13140" s="3">
        <v>6</v>
      </c>
      <c r="G13140" t="s">
        <v>512</v>
      </c>
    </row>
    <row r="13141" spans="1:7" x14ac:dyDescent="0.25">
      <c r="A13141" s="1" t="str">
        <f>"2042"</f>
        <v>2042</v>
      </c>
      <c r="B13141" s="2" t="str">
        <f>"IOGURTE PEDACOS COCO COPO CAROLINA 500G"</f>
        <v>IOGURTE PEDACOS COCO COPO CAROLINA 500G</v>
      </c>
      <c r="C13141" s="2" t="str">
        <f t="shared" si="514"/>
        <v>UN</v>
      </c>
      <c r="D13141" s="7">
        <v>40</v>
      </c>
      <c r="E13141" s="3">
        <v>6</v>
      </c>
      <c r="F13141" s="3">
        <v>6</v>
      </c>
      <c r="G13141" t="s">
        <v>513</v>
      </c>
    </row>
    <row r="13142" spans="1:7" x14ac:dyDescent="0.25">
      <c r="A13142" s="1" t="str">
        <f>"1727"</f>
        <v>1727</v>
      </c>
      <c r="B13142" s="2" t="str">
        <f>"IOGURTE PEDACOS COCO DIA% 100G"</f>
        <v>IOGURTE PEDACOS COCO DIA% 100G</v>
      </c>
      <c r="C13142" s="2" t="str">
        <f t="shared" si="514"/>
        <v>UN</v>
      </c>
      <c r="D13142" s="7">
        <v>32</v>
      </c>
      <c r="E13142" s="3">
        <v>6</v>
      </c>
      <c r="F13142" s="3">
        <v>6</v>
      </c>
      <c r="G13142" t="s">
        <v>514</v>
      </c>
    </row>
    <row r="13143" spans="1:7" x14ac:dyDescent="0.25">
      <c r="A13143" s="1" t="str">
        <f>"2043"</f>
        <v>2043</v>
      </c>
      <c r="B13143" s="2" t="str">
        <f>"IOGURTE PEDACOS COPO CAROLINA  FRUTAS VERMELHAS 450/500G"</f>
        <v>IOGURTE PEDACOS COPO CAROLINA  FRUTAS VERMELHAS 450/500G</v>
      </c>
      <c r="C13143" s="2" t="str">
        <f t="shared" si="514"/>
        <v>UN</v>
      </c>
      <c r="D13143" s="7">
        <v>40</v>
      </c>
      <c r="E13143" s="3">
        <v>6</v>
      </c>
      <c r="F13143" s="3">
        <v>6</v>
      </c>
      <c r="G13143" t="s">
        <v>515</v>
      </c>
    </row>
    <row r="13144" spans="1:7" x14ac:dyDescent="0.25">
      <c r="A13144" s="1" t="str">
        <f>"1726"</f>
        <v>1726</v>
      </c>
      <c r="B13144" s="2" t="str">
        <f>"IOGURTE PEDACOS F VERM DIA% 100G"</f>
        <v>IOGURTE PEDACOS F VERM DIA% 100G</v>
      </c>
      <c r="C13144" s="2" t="str">
        <f t="shared" si="514"/>
        <v>UN</v>
      </c>
      <c r="D13144" s="7">
        <v>32</v>
      </c>
      <c r="E13144" s="3">
        <v>6</v>
      </c>
      <c r="F13144" s="3">
        <v>6</v>
      </c>
      <c r="G13144" t="s">
        <v>512</v>
      </c>
    </row>
    <row r="13145" spans="1:7" x14ac:dyDescent="0.25">
      <c r="A13145" s="1" t="str">
        <f>"2052"</f>
        <v>2052</v>
      </c>
      <c r="B13145" s="2" t="str">
        <f>"IOGURTE PEDACOS FRUTAS VERMELHAS COPO CAROLINA 100G"</f>
        <v>IOGURTE PEDACOS FRUTAS VERMELHAS COPO CAROLINA 100G</v>
      </c>
      <c r="C13145" s="2" t="str">
        <f t="shared" si="514"/>
        <v>UN</v>
      </c>
      <c r="D13145" s="7">
        <v>32</v>
      </c>
      <c r="E13145" s="3">
        <v>6</v>
      </c>
      <c r="F13145" s="3">
        <v>6</v>
      </c>
      <c r="G13145" t="s">
        <v>516</v>
      </c>
    </row>
    <row r="13146" spans="1:7" x14ac:dyDescent="0.25">
      <c r="A13146" s="1" t="str">
        <f>"1725"</f>
        <v>1725</v>
      </c>
      <c r="B13146" s="2" t="str">
        <f>"IOGURTE PEDACOS MOR DIA% 100G"</f>
        <v>IOGURTE PEDACOS MOR DIA% 100G</v>
      </c>
      <c r="C13146" s="2" t="str">
        <f t="shared" si="514"/>
        <v>UN</v>
      </c>
      <c r="D13146" s="7">
        <v>32</v>
      </c>
      <c r="E13146" s="3">
        <v>6</v>
      </c>
      <c r="F13146" s="3">
        <v>6</v>
      </c>
      <c r="G13146" t="s">
        <v>515</v>
      </c>
    </row>
    <row r="13147" spans="1:7" x14ac:dyDescent="0.25">
      <c r="A13147" s="1" t="str">
        <f>"2050"</f>
        <v>2050</v>
      </c>
      <c r="B13147" s="2" t="str">
        <f>"IOGURTE PEDACOS MORANGO COPO CAROLINA 100G"</f>
        <v>IOGURTE PEDACOS MORANGO COPO CAROLINA 100G</v>
      </c>
      <c r="C13147" s="2" t="str">
        <f t="shared" si="514"/>
        <v>UN</v>
      </c>
      <c r="D13147" s="7">
        <v>32</v>
      </c>
      <c r="E13147" s="3">
        <v>6</v>
      </c>
      <c r="F13147" s="3">
        <v>6</v>
      </c>
      <c r="G13147" t="s">
        <v>514</v>
      </c>
    </row>
    <row r="13148" spans="1:7" x14ac:dyDescent="0.25">
      <c r="A13148" s="1" t="str">
        <f>"2125"</f>
        <v>2125</v>
      </c>
      <c r="B13148" s="2" t="str">
        <f>"IOGURTE PEDACOS MORANGO COPO CAROLINA 165G"</f>
        <v>IOGURTE PEDACOS MORANGO COPO CAROLINA 165G</v>
      </c>
      <c r="C13148" s="2" t="str">
        <f t="shared" si="514"/>
        <v>UN</v>
      </c>
      <c r="D13148" s="7">
        <v>53</v>
      </c>
      <c r="E13148" s="3">
        <v>6</v>
      </c>
      <c r="F13148" s="3">
        <v>6</v>
      </c>
      <c r="G13148" t="s">
        <v>512</v>
      </c>
    </row>
    <row r="13149" spans="1:7" x14ac:dyDescent="0.25">
      <c r="A13149" s="1" t="str">
        <f>"2041"</f>
        <v>2041</v>
      </c>
      <c r="B13149" s="2" t="str">
        <f>"IOGURTE PEDACOS MORANGO COPO CAROLINA 450G / 500G"</f>
        <v>IOGURTE PEDACOS MORANGO COPO CAROLINA 450G / 500G</v>
      </c>
      <c r="C13149" s="2" t="str">
        <f t="shared" si="514"/>
        <v>UN</v>
      </c>
      <c r="D13149" s="7">
        <v>40</v>
      </c>
      <c r="E13149" s="3">
        <v>6</v>
      </c>
      <c r="F13149" s="3">
        <v>6</v>
      </c>
      <c r="G13149" t="s">
        <v>513</v>
      </c>
    </row>
    <row r="13150" spans="1:7" x14ac:dyDescent="0.25">
      <c r="A13150" s="1" t="str">
        <f>"2054"</f>
        <v>2054</v>
      </c>
      <c r="B13150" s="2" t="str">
        <f>"IOGURTE PEDACOS MORANGO E BANANA COPO CAROLINA  100G"</f>
        <v>IOGURTE PEDACOS MORANGO E BANANA COPO CAROLINA  100G</v>
      </c>
      <c r="C13150" s="2" t="str">
        <f t="shared" si="514"/>
        <v>UN</v>
      </c>
      <c r="D13150" s="7">
        <v>32</v>
      </c>
      <c r="E13150" s="3">
        <v>6</v>
      </c>
      <c r="F13150" s="3">
        <v>6</v>
      </c>
      <c r="G13150" t="s">
        <v>514</v>
      </c>
    </row>
    <row r="13151" spans="1:7" x14ac:dyDescent="0.25">
      <c r="A13151" s="1" t="str">
        <f>"2045"</f>
        <v>2045</v>
      </c>
      <c r="B13151" s="2" t="str">
        <f>"IOGURTE PEDACOS MORANGO E BANANA COPO CAROLINA 500G"</f>
        <v>IOGURTE PEDACOS MORANGO E BANANA COPO CAROLINA 500G</v>
      </c>
      <c r="C13151" s="2" t="str">
        <f t="shared" si="514"/>
        <v>UN</v>
      </c>
      <c r="D13151" s="7">
        <v>40</v>
      </c>
      <c r="E13151" s="3">
        <v>6</v>
      </c>
      <c r="F13151" s="3">
        <v>6</v>
      </c>
      <c r="G13151" t="s">
        <v>514</v>
      </c>
    </row>
    <row r="13152" spans="1:7" x14ac:dyDescent="0.25">
      <c r="A13152" s="1" t="str">
        <f>"2055"</f>
        <v>2055</v>
      </c>
      <c r="B13152" s="2" t="str">
        <f>"IOGURTE PEDACOS PESSEGO COPO CAROLINA 100G"</f>
        <v>IOGURTE PEDACOS PESSEGO COPO CAROLINA 100G</v>
      </c>
      <c r="C13152" s="2" t="str">
        <f t="shared" si="514"/>
        <v>UN</v>
      </c>
      <c r="D13152" s="7">
        <v>32</v>
      </c>
      <c r="E13152" s="3">
        <v>6</v>
      </c>
      <c r="F13152" s="3">
        <v>6</v>
      </c>
      <c r="G13152" t="s">
        <v>512</v>
      </c>
    </row>
    <row r="13153" spans="1:7" x14ac:dyDescent="0.25">
      <c r="A13153" s="1" t="str">
        <f>"2046"</f>
        <v>2046</v>
      </c>
      <c r="B13153" s="2" t="str">
        <f>"IOGURTE PEDACOS PESSEGO COPO CAROLINA 500G"</f>
        <v>IOGURTE PEDACOS PESSEGO COPO CAROLINA 500G</v>
      </c>
      <c r="C13153" s="2" t="str">
        <f t="shared" si="514"/>
        <v>UN</v>
      </c>
      <c r="D13153" s="7">
        <v>40</v>
      </c>
      <c r="E13153" s="3">
        <v>6</v>
      </c>
      <c r="F13153" s="3">
        <v>6</v>
      </c>
      <c r="G13153" t="s">
        <v>513</v>
      </c>
    </row>
    <row r="13154" spans="1:7" x14ac:dyDescent="0.25">
      <c r="A13154" s="1" t="str">
        <f>"05"</f>
        <v>05</v>
      </c>
      <c r="B13154" s="2" t="str">
        <f>"IOGURTE PESSEGO - FRASCO"</f>
        <v>IOGURTE PESSEGO - FRASCO</v>
      </c>
      <c r="C13154" s="2" t="str">
        <f t="shared" ref="C13154:C13174" si="515">"KG"</f>
        <v>KG</v>
      </c>
      <c r="D13154" s="7">
        <v>1900</v>
      </c>
      <c r="E13154" s="3">
        <v>7</v>
      </c>
      <c r="F13154" s="3">
        <v>7</v>
      </c>
      <c r="G13154" t="s">
        <v>514</v>
      </c>
    </row>
    <row r="13155" spans="1:7" x14ac:dyDescent="0.25">
      <c r="A13155" s="1" t="str">
        <f>"206"</f>
        <v>206</v>
      </c>
      <c r="B13155" s="2" t="str">
        <f>"IOGURTE PESSEGO BUZIOS - FRASCO"</f>
        <v>IOGURTE PESSEGO BUZIOS - FRASCO</v>
      </c>
      <c r="C13155" s="2" t="str">
        <f t="shared" si="515"/>
        <v>KG</v>
      </c>
      <c r="D13155" s="7">
        <v>1900</v>
      </c>
      <c r="E13155" s="3">
        <v>7</v>
      </c>
      <c r="F13155" s="3">
        <v>7</v>
      </c>
      <c r="G13155" t="s">
        <v>514</v>
      </c>
    </row>
    <row r="13156" spans="1:7" x14ac:dyDescent="0.25">
      <c r="A13156" s="1" t="str">
        <f>"61"</f>
        <v>61</v>
      </c>
      <c r="B13156" s="2" t="str">
        <f>"IOGURTE PROBIOTICO AMEIXA - BANDEJA"</f>
        <v>IOGURTE PROBIOTICO AMEIXA - BANDEJA</v>
      </c>
      <c r="C13156" s="2" t="str">
        <f t="shared" si="515"/>
        <v>KG</v>
      </c>
      <c r="D13156" s="7">
        <v>1900</v>
      </c>
      <c r="E13156" s="3">
        <v>7</v>
      </c>
      <c r="F13156" s="3">
        <v>7</v>
      </c>
      <c r="G13156" t="s">
        <v>514</v>
      </c>
    </row>
    <row r="13157" spans="1:7" x14ac:dyDescent="0.25">
      <c r="A13157" s="1" t="str">
        <f>"46"</f>
        <v>46</v>
      </c>
      <c r="B13157" s="2" t="str">
        <f>"IOGURTE PROBIOTICO AMEIXA - FRASCO"</f>
        <v>IOGURTE PROBIOTICO AMEIXA - FRASCO</v>
      </c>
      <c r="C13157" s="2" t="str">
        <f t="shared" si="515"/>
        <v>KG</v>
      </c>
      <c r="D13157" s="7">
        <v>1900</v>
      </c>
      <c r="E13157" s="3">
        <v>7</v>
      </c>
      <c r="F13157" s="3">
        <v>7</v>
      </c>
      <c r="G13157" t="s">
        <v>513</v>
      </c>
    </row>
    <row r="13158" spans="1:7" x14ac:dyDescent="0.25">
      <c r="A13158" s="1" t="str">
        <f>"48"</f>
        <v>48</v>
      </c>
      <c r="B13158" s="2" t="str">
        <f>"IOGURTE PROBIOTICO AVEIA - FRASCO"</f>
        <v>IOGURTE PROBIOTICO AVEIA - FRASCO</v>
      </c>
      <c r="C13158" s="2" t="str">
        <f t="shared" si="515"/>
        <v>KG</v>
      </c>
      <c r="D13158" s="7">
        <v>1900</v>
      </c>
      <c r="E13158" s="3">
        <v>7</v>
      </c>
      <c r="F13158" s="3">
        <v>7</v>
      </c>
      <c r="G13158" t="s">
        <v>512</v>
      </c>
    </row>
    <row r="13159" spans="1:7" x14ac:dyDescent="0.25">
      <c r="A13159" s="1" t="str">
        <f>"62"</f>
        <v>62</v>
      </c>
      <c r="B13159" s="2" t="str">
        <f>"IOGURTE PROBIOTICO MORANGO - BANDEJA"</f>
        <v>IOGURTE PROBIOTICO MORANGO - BANDEJA</v>
      </c>
      <c r="C13159" s="2" t="str">
        <f t="shared" si="515"/>
        <v>KG</v>
      </c>
      <c r="D13159" s="7">
        <v>1900</v>
      </c>
      <c r="E13159" s="3">
        <v>7</v>
      </c>
      <c r="F13159" s="3">
        <v>7</v>
      </c>
      <c r="G13159" t="s">
        <v>513</v>
      </c>
    </row>
    <row r="13160" spans="1:7" x14ac:dyDescent="0.25">
      <c r="A13160" s="1" t="str">
        <f>"47"</f>
        <v>47</v>
      </c>
      <c r="B13160" s="2" t="str">
        <f>"IOGURTE PROBIOTICO MORANGO - FRASCO"</f>
        <v>IOGURTE PROBIOTICO MORANGO - FRASCO</v>
      </c>
      <c r="C13160" s="2" t="str">
        <f t="shared" si="515"/>
        <v>KG</v>
      </c>
      <c r="D13160" s="7">
        <v>1900</v>
      </c>
      <c r="E13160" s="3">
        <v>7</v>
      </c>
      <c r="F13160" s="3">
        <v>7</v>
      </c>
      <c r="G13160" t="s">
        <v>514</v>
      </c>
    </row>
    <row r="13161" spans="1:7" x14ac:dyDescent="0.25">
      <c r="A13161" s="1" t="str">
        <f>"100"</f>
        <v>100</v>
      </c>
      <c r="B13161" s="2" t="str">
        <f>"IOGURTE PROBIOTICO SALADA FRUTAS - BANDEJA"</f>
        <v>IOGURTE PROBIOTICO SALADA FRUTAS - BANDEJA</v>
      </c>
      <c r="C13161" s="2" t="str">
        <f t="shared" si="515"/>
        <v>KG</v>
      </c>
      <c r="D13161" s="7">
        <v>1900</v>
      </c>
      <c r="E13161" s="3">
        <v>7</v>
      </c>
      <c r="F13161" s="3">
        <v>7</v>
      </c>
      <c r="G13161" t="s">
        <v>514</v>
      </c>
    </row>
    <row r="13162" spans="1:7" x14ac:dyDescent="0.25">
      <c r="A13162" s="1" t="str">
        <f>"87"</f>
        <v>87</v>
      </c>
      <c r="B13162" s="2" t="str">
        <f>"IOGURTE QUALA ABACAXI COM COCO - ICEGURT"</f>
        <v>IOGURTE QUALA ABACAXI COM COCO - ICEGURT</v>
      </c>
      <c r="C13162" s="2" t="str">
        <f t="shared" si="515"/>
        <v>KG</v>
      </c>
      <c r="D13162" s="7">
        <v>1900</v>
      </c>
      <c r="E13162" s="3">
        <v>7</v>
      </c>
      <c r="F13162" s="3">
        <v>7</v>
      </c>
      <c r="G13162" t="s">
        <v>514</v>
      </c>
    </row>
    <row r="13163" spans="1:7" x14ac:dyDescent="0.25">
      <c r="A13163" s="1" t="str">
        <f>"102"</f>
        <v>102</v>
      </c>
      <c r="B13163" s="2" t="str">
        <f>"IOGURTE QUALA ACAI COM BANANA - ICEGURT"</f>
        <v>IOGURTE QUALA ACAI COM BANANA - ICEGURT</v>
      </c>
      <c r="C13163" s="2" t="str">
        <f t="shared" si="515"/>
        <v>KG</v>
      </c>
      <c r="D13163" s="7">
        <v>1900</v>
      </c>
      <c r="E13163" s="3">
        <v>7</v>
      </c>
      <c r="F13163" s="3">
        <v>7</v>
      </c>
      <c r="G13163" t="s">
        <v>513</v>
      </c>
    </row>
    <row r="13164" spans="1:7" x14ac:dyDescent="0.25">
      <c r="A13164" s="1" t="str">
        <f>"73"</f>
        <v>73</v>
      </c>
      <c r="B13164" s="2" t="str">
        <f>"IOGURTE QUALA COCO - ICEGURT"</f>
        <v>IOGURTE QUALA COCO - ICEGURT</v>
      </c>
      <c r="C13164" s="2" t="str">
        <f t="shared" si="515"/>
        <v>KG</v>
      </c>
      <c r="D13164" s="7">
        <v>1900</v>
      </c>
      <c r="E13164" s="3">
        <v>7</v>
      </c>
      <c r="F13164" s="3">
        <v>7</v>
      </c>
      <c r="G13164" t="s">
        <v>513</v>
      </c>
    </row>
    <row r="13165" spans="1:7" x14ac:dyDescent="0.25">
      <c r="A13165" s="1" t="str">
        <f>"91"</f>
        <v>91</v>
      </c>
      <c r="B13165" s="2" t="str">
        <f>"IOGURTE QUALA FRUTAS VERMELHAS - ICEGURT"</f>
        <v>IOGURTE QUALA FRUTAS VERMELHAS - ICEGURT</v>
      </c>
      <c r="C13165" s="2" t="str">
        <f t="shared" si="515"/>
        <v>KG</v>
      </c>
      <c r="D13165" s="7">
        <v>1900</v>
      </c>
      <c r="E13165" s="3">
        <v>7</v>
      </c>
      <c r="F13165" s="3">
        <v>7</v>
      </c>
      <c r="G13165" t="s">
        <v>513</v>
      </c>
    </row>
    <row r="13166" spans="1:7" x14ac:dyDescent="0.25">
      <c r="A13166" s="1" t="str">
        <f>"74"</f>
        <v>74</v>
      </c>
      <c r="B13166" s="2" t="str">
        <f>"IOGURTE QUALA GRAVIOLA - ICEGURT"</f>
        <v>IOGURTE QUALA GRAVIOLA - ICEGURT</v>
      </c>
      <c r="C13166" s="2" t="str">
        <f t="shared" si="515"/>
        <v>KG</v>
      </c>
      <c r="D13166" s="7">
        <v>1900</v>
      </c>
      <c r="E13166" s="3">
        <v>7</v>
      </c>
      <c r="F13166" s="3">
        <v>7</v>
      </c>
      <c r="G13166" t="s">
        <v>512</v>
      </c>
    </row>
    <row r="13167" spans="1:7" x14ac:dyDescent="0.25">
      <c r="A13167" s="1" t="str">
        <f>"79"</f>
        <v>79</v>
      </c>
      <c r="B13167" s="2" t="str">
        <f>"IOGURTE QUALA LIMAO - ICEGURT"</f>
        <v>IOGURTE QUALA LIMAO - ICEGURT</v>
      </c>
      <c r="C13167" s="2" t="str">
        <f t="shared" si="515"/>
        <v>KG</v>
      </c>
      <c r="D13167" s="7">
        <v>1900</v>
      </c>
      <c r="E13167" s="3">
        <v>7</v>
      </c>
      <c r="F13167" s="3">
        <v>7</v>
      </c>
      <c r="G13167" t="s">
        <v>513</v>
      </c>
    </row>
    <row r="13168" spans="1:7" x14ac:dyDescent="0.25">
      <c r="A13168" s="1" t="str">
        <f>"76"</f>
        <v>76</v>
      </c>
      <c r="B13168" s="2" t="str">
        <f>"IOGURTE QUALA MANGA - ICEGURT"</f>
        <v>IOGURTE QUALA MANGA - ICEGURT</v>
      </c>
      <c r="C13168" s="2" t="str">
        <f t="shared" si="515"/>
        <v>KG</v>
      </c>
      <c r="D13168" s="7">
        <v>1900</v>
      </c>
      <c r="E13168" s="3">
        <v>7</v>
      </c>
      <c r="F13168" s="3">
        <v>7</v>
      </c>
      <c r="G13168" t="s">
        <v>514</v>
      </c>
    </row>
    <row r="13169" spans="1:7" x14ac:dyDescent="0.25">
      <c r="A13169" s="1" t="str">
        <f>"77"</f>
        <v>77</v>
      </c>
      <c r="B13169" s="2" t="str">
        <f>"IOGURTE QUALA MARACUJA - ICEGURT"</f>
        <v>IOGURTE QUALA MARACUJA - ICEGURT</v>
      </c>
      <c r="C13169" s="2" t="str">
        <f t="shared" si="515"/>
        <v>KG</v>
      </c>
      <c r="D13169" s="7">
        <v>1900</v>
      </c>
      <c r="E13169" s="3">
        <v>7</v>
      </c>
      <c r="F13169" s="3">
        <v>7</v>
      </c>
      <c r="G13169" t="s">
        <v>515</v>
      </c>
    </row>
    <row r="13170" spans="1:7" x14ac:dyDescent="0.25">
      <c r="A13170" s="1" t="str">
        <f>"78"</f>
        <v>78</v>
      </c>
      <c r="B13170" s="2" t="str">
        <f>"IOGURTE QUALA MORANGO - ICEGURT"</f>
        <v>IOGURTE QUALA MORANGO - ICEGURT</v>
      </c>
      <c r="C13170" s="2" t="str">
        <f t="shared" si="515"/>
        <v>KG</v>
      </c>
      <c r="D13170" s="7">
        <v>1900</v>
      </c>
      <c r="E13170" s="3">
        <v>7</v>
      </c>
      <c r="F13170" s="3">
        <v>7</v>
      </c>
      <c r="G13170" t="s">
        <v>512</v>
      </c>
    </row>
    <row r="13171" spans="1:7" x14ac:dyDescent="0.25">
      <c r="A13171" s="1" t="str">
        <f>"90"</f>
        <v>90</v>
      </c>
      <c r="B13171" s="2" t="str">
        <f>"IOGURTE QUALA UVA - ICEGURT"</f>
        <v>IOGURTE QUALA UVA - ICEGURT</v>
      </c>
      <c r="C13171" s="2" t="str">
        <f t="shared" si="515"/>
        <v>KG</v>
      </c>
      <c r="D13171" s="7">
        <v>1900</v>
      </c>
      <c r="E13171" s="3">
        <v>7</v>
      </c>
      <c r="F13171" s="3">
        <v>7</v>
      </c>
      <c r="G13171" t="s">
        <v>516</v>
      </c>
    </row>
    <row r="13172" spans="1:7" x14ac:dyDescent="0.25">
      <c r="A13172" s="1" t="str">
        <f>"09"</f>
        <v>09</v>
      </c>
      <c r="B13172" s="2" t="str">
        <f>"IOGURTE SALADA DE FRUTAS - BANDEJA"</f>
        <v>IOGURTE SALADA DE FRUTAS - BANDEJA</v>
      </c>
      <c r="C13172" s="2" t="str">
        <f t="shared" si="515"/>
        <v>KG</v>
      </c>
      <c r="D13172" s="7">
        <v>1900</v>
      </c>
      <c r="E13172" s="3">
        <v>7</v>
      </c>
      <c r="F13172" s="3">
        <v>7</v>
      </c>
      <c r="G13172" t="s">
        <v>515</v>
      </c>
    </row>
    <row r="13173" spans="1:7" x14ac:dyDescent="0.25">
      <c r="A13173" s="1" t="str">
        <f>"44"</f>
        <v>44</v>
      </c>
      <c r="B13173" s="2" t="str">
        <f>"IOGURTE SALADA DE FRUTAS - FRASCO"</f>
        <v>IOGURTE SALADA DE FRUTAS - FRASCO</v>
      </c>
      <c r="C13173" s="2" t="str">
        <f t="shared" si="515"/>
        <v>KG</v>
      </c>
      <c r="D13173" s="7">
        <v>1900</v>
      </c>
      <c r="E13173" s="3">
        <v>7</v>
      </c>
      <c r="F13173" s="3">
        <v>7</v>
      </c>
      <c r="G13173" t="s">
        <v>514</v>
      </c>
    </row>
    <row r="13174" spans="1:7" x14ac:dyDescent="0.25">
      <c r="A13174" s="1" t="str">
        <f>"45"</f>
        <v>45</v>
      </c>
      <c r="B13174" s="2" t="str">
        <f>"IOGURTE SALADA DE FRUTAS COM CEREAIS - FRASCO"</f>
        <v>IOGURTE SALADA DE FRUTAS COM CEREAIS - FRASCO</v>
      </c>
      <c r="C13174" s="2" t="str">
        <f t="shared" si="515"/>
        <v>KG</v>
      </c>
      <c r="D13174" s="7">
        <v>1900</v>
      </c>
      <c r="E13174" s="3">
        <v>7</v>
      </c>
      <c r="F13174" s="3">
        <v>7</v>
      </c>
      <c r="G13174" t="s">
        <v>512</v>
      </c>
    </row>
    <row r="13175" spans="1:7" x14ac:dyDescent="0.25">
      <c r="A13175" s="1" t="str">
        <f>"1609"</f>
        <v>1609</v>
      </c>
      <c r="B13175" s="2" t="str">
        <f>"IOGURTE SALADA DE FRUTAS GARRAFA  GLUCK 150G"</f>
        <v>IOGURTE SALADA DE FRUTAS GARRAFA  GLUCK 150G</v>
      </c>
      <c r="C13175" s="2" t="str">
        <f>"UN"</f>
        <v>UN</v>
      </c>
      <c r="D13175" s="7">
        <v>8</v>
      </c>
      <c r="E13175" s="3">
        <v>6</v>
      </c>
      <c r="F13175" s="3">
        <v>6</v>
      </c>
      <c r="G13175" t="s">
        <v>513</v>
      </c>
    </row>
    <row r="13176" spans="1:7" x14ac:dyDescent="0.25">
      <c r="A13176" s="1" t="str">
        <f>"1604"</f>
        <v>1604</v>
      </c>
      <c r="B13176" s="2" t="str">
        <f>"IOGURTE SALADA DE FRUTAS GARRAFA GLUCK 850G"</f>
        <v>IOGURTE SALADA DE FRUTAS GARRAFA GLUCK 850G</v>
      </c>
      <c r="C13176" s="2" t="str">
        <f>"UN"</f>
        <v>UN</v>
      </c>
      <c r="D13176" s="7">
        <v>15</v>
      </c>
      <c r="E13176" s="3">
        <v>6</v>
      </c>
      <c r="F13176" s="3">
        <v>6</v>
      </c>
      <c r="G13176" t="s">
        <v>514</v>
      </c>
    </row>
    <row r="13177" spans="1:7" x14ac:dyDescent="0.25">
      <c r="A13177" s="1" t="str">
        <f>"1618"</f>
        <v>1618</v>
      </c>
      <c r="B13177" s="2" t="str">
        <f>"IOGURTE SALADA DE FRUTAS GARRFA CAROLINA 150G"</f>
        <v>IOGURTE SALADA DE FRUTAS GARRFA CAROLINA 150G</v>
      </c>
      <c r="C13177" s="2" t="str">
        <f>"UN"</f>
        <v>UN</v>
      </c>
      <c r="D13177" s="7">
        <v>8</v>
      </c>
      <c r="E13177" s="3">
        <v>6</v>
      </c>
      <c r="F13177" s="3">
        <v>6</v>
      </c>
      <c r="G13177" t="s">
        <v>514</v>
      </c>
    </row>
    <row r="13178" spans="1:7" x14ac:dyDescent="0.25">
      <c r="A13178" s="1" t="str">
        <f>"130"</f>
        <v>130</v>
      </c>
      <c r="B13178" s="2" t="str">
        <f>"IOGURTE SALADA DE FRUTAS SEM LACTOSE - FRASCO"</f>
        <v>IOGURTE SALADA DE FRUTAS SEM LACTOSE - FRASCO</v>
      </c>
      <c r="C13178" s="2" t="str">
        <f>"KG"</f>
        <v>KG</v>
      </c>
      <c r="D13178" s="7">
        <v>1900</v>
      </c>
      <c r="E13178" s="3">
        <v>7</v>
      </c>
      <c r="F13178" s="3">
        <v>7</v>
      </c>
      <c r="G13178" t="s">
        <v>512</v>
      </c>
    </row>
    <row r="13179" spans="1:7" x14ac:dyDescent="0.25">
      <c r="A13179" s="1" t="str">
        <f>"1550"</f>
        <v>1550</v>
      </c>
      <c r="B13179" s="2" t="str">
        <f>"IOGURTE SEM LACTOSE MORANGO 500G"</f>
        <v>IOGURTE SEM LACTOSE MORANGO 500G</v>
      </c>
      <c r="C13179" s="2" t="str">
        <f>"UN"</f>
        <v>UN</v>
      </c>
      <c r="D13179" s="7">
        <v>47</v>
      </c>
      <c r="E13179" s="3">
        <v>6</v>
      </c>
      <c r="F13179" s="3">
        <v>6</v>
      </c>
      <c r="G13179" t="s">
        <v>513</v>
      </c>
    </row>
    <row r="13180" spans="1:7" x14ac:dyDescent="0.25">
      <c r="A13180" s="1" t="str">
        <f>"3548"</f>
        <v>3548</v>
      </c>
      <c r="B13180" s="2" t="str">
        <f>"IOGURTE ZERO SALADA DE FRUTAS GARRAFA GLUCK 160G"</f>
        <v>IOGURTE ZERO SALADA DE FRUTAS GARRAFA GLUCK 160G</v>
      </c>
      <c r="C13180" s="2" t="str">
        <f>"UN"</f>
        <v>UN</v>
      </c>
      <c r="D13180" s="7">
        <v>9</v>
      </c>
      <c r="E13180" s="3">
        <v>6</v>
      </c>
      <c r="F13180" s="3">
        <v>6</v>
      </c>
      <c r="G13180" t="s">
        <v>514</v>
      </c>
    </row>
    <row r="13181" spans="1:7" x14ac:dyDescent="0.25">
      <c r="A13181" s="1" t="str">
        <f>"15"</f>
        <v>15</v>
      </c>
      <c r="B13181" s="2" t="str">
        <f>"IOGURTE ZERO%  AMEIXA - FRASCO"</f>
        <v>IOGURTE ZERO%  AMEIXA - FRASCO</v>
      </c>
      <c r="C13181" s="2" t="str">
        <f>"KG"</f>
        <v>KG</v>
      </c>
      <c r="D13181" s="7">
        <v>1900</v>
      </c>
      <c r="E13181" s="3">
        <v>7</v>
      </c>
      <c r="F13181" s="3">
        <v>7</v>
      </c>
      <c r="G13181" t="s">
        <v>514</v>
      </c>
    </row>
    <row r="13182" spans="1:7" x14ac:dyDescent="0.25">
      <c r="A13182" s="1" t="str">
        <f>"14"</f>
        <v>14</v>
      </c>
      <c r="B13182" s="2" t="str">
        <f>"IOGURTE ZERO%  MORANGO - FRASCO"</f>
        <v>IOGURTE ZERO%  MORANGO - FRASCO</v>
      </c>
      <c r="C13182" s="2" t="str">
        <f>"KG"</f>
        <v>KG</v>
      </c>
      <c r="D13182" s="7">
        <v>1900</v>
      </c>
      <c r="E13182" s="3">
        <v>7</v>
      </c>
      <c r="F13182" s="3">
        <v>7</v>
      </c>
      <c r="G13182" t="s">
        <v>514</v>
      </c>
    </row>
    <row r="13183" spans="1:7" x14ac:dyDescent="0.25">
      <c r="A13183" s="1" t="str">
        <f>"16"</f>
        <v>16</v>
      </c>
      <c r="B13183" s="2" t="str">
        <f>"IOGURTE ZERO%  SALADA DE FRUTAS - FRASCO"</f>
        <v>IOGURTE ZERO%  SALADA DE FRUTAS - FRASCO</v>
      </c>
      <c r="C13183" s="2" t="str">
        <f>"KG"</f>
        <v>KG</v>
      </c>
      <c r="D13183" s="7">
        <v>1900</v>
      </c>
      <c r="E13183" s="3">
        <v>7</v>
      </c>
      <c r="F13183" s="3">
        <v>7</v>
      </c>
      <c r="G13183" t="s">
        <v>513</v>
      </c>
    </row>
    <row r="13184" spans="1:7" x14ac:dyDescent="0.25">
      <c r="A13184" s="1" t="str">
        <f>"515644"</f>
        <v>515644</v>
      </c>
      <c r="B13184" s="2" t="str">
        <f>"IOGURTES"</f>
        <v>IOGURTES</v>
      </c>
      <c r="C13184" s="2" t="str">
        <f t="shared" ref="C13184:C13215" si="516">"UN"</f>
        <v>UN</v>
      </c>
      <c r="D13184" s="7">
        <v>401</v>
      </c>
      <c r="E13184" s="3">
        <v>4</v>
      </c>
      <c r="F13184" s="3">
        <v>4</v>
      </c>
      <c r="G13184" t="s">
        <v>512</v>
      </c>
    </row>
    <row r="13185" spans="1:7" x14ac:dyDescent="0.25">
      <c r="A13185" s="1" t="str">
        <f>"526858"</f>
        <v>526858</v>
      </c>
      <c r="B13185" s="2" t="str">
        <f>"IONIZADOR IZS40-58N-06"</f>
        <v>IONIZADOR IZS40-58N-06</v>
      </c>
      <c r="C13185" s="2" t="str">
        <f t="shared" si="516"/>
        <v>UN</v>
      </c>
      <c r="D13185" s="7">
        <v>918</v>
      </c>
      <c r="E13185" s="3">
        <v>11</v>
      </c>
      <c r="F13185" s="3">
        <v>11</v>
      </c>
      <c r="G13185" t="s">
        <v>513</v>
      </c>
    </row>
    <row r="13186" spans="1:7" x14ac:dyDescent="0.25">
      <c r="A13186" s="1" t="str">
        <f>"523468"</f>
        <v>523468</v>
      </c>
      <c r="B13186" s="2" t="str">
        <f>"IPHS-BIOP II-TCP-IP S/LEITOR (1000 TEMPLATES)"</f>
        <v>IPHS-BIOP II-TCP-IP S/LEITOR (1000 TEMPLATES)</v>
      </c>
      <c r="C13186" s="2" t="str">
        <f t="shared" si="516"/>
        <v>UN</v>
      </c>
      <c r="D13186" s="7">
        <v>601</v>
      </c>
      <c r="E13186" s="3">
        <v>8</v>
      </c>
      <c r="F13186" s="3">
        <v>8</v>
      </c>
      <c r="G13186" t="s">
        <v>514</v>
      </c>
    </row>
    <row r="13187" spans="1:7" x14ac:dyDescent="0.25">
      <c r="A13187" s="1" t="str">
        <f>"501726"</f>
        <v>501726</v>
      </c>
      <c r="B13187" s="2" t="str">
        <f>"IPITUR AW68"</f>
        <v>IPITUR AW68</v>
      </c>
      <c r="C13187" s="2" t="str">
        <f t="shared" si="516"/>
        <v>UN</v>
      </c>
      <c r="D13187" s="7">
        <v>704</v>
      </c>
      <c r="E13187" s="3">
        <v>9</v>
      </c>
      <c r="F13187" s="3">
        <v>9</v>
      </c>
      <c r="G13187" t="s">
        <v>514</v>
      </c>
    </row>
    <row r="13188" spans="1:7" x14ac:dyDescent="0.25">
      <c r="A13188" s="1" t="str">
        <f>"521309"</f>
        <v>521309</v>
      </c>
      <c r="B13188" s="2" t="str">
        <f>"IQ OQ PQ FOR SAS SUPER ISO 100 AND 180 PBIB20094"</f>
        <v>IQ OQ PQ FOR SAS SUPER ISO 100 AND 180 PBIB20094</v>
      </c>
      <c r="C13188" s="2" t="str">
        <f t="shared" si="516"/>
        <v>UN</v>
      </c>
      <c r="D13188" s="7">
        <v>1300</v>
      </c>
      <c r="E13188" s="3">
        <v>13</v>
      </c>
      <c r="F13188" s="3">
        <v>13</v>
      </c>
      <c r="G13188" t="s">
        <v>514</v>
      </c>
    </row>
    <row r="13189" spans="1:7" x14ac:dyDescent="0.25">
      <c r="A13189" s="1" t="str">
        <f>"519530"</f>
        <v>519530</v>
      </c>
      <c r="B13189" s="2" t="str">
        <f>"ISCA DE PEIXE"</f>
        <v>ISCA DE PEIXE</v>
      </c>
      <c r="C13189" s="2" t="str">
        <f t="shared" si="516"/>
        <v>UN</v>
      </c>
      <c r="D13189" s="7">
        <v>401</v>
      </c>
      <c r="E13189" s="3">
        <v>4</v>
      </c>
      <c r="F13189" s="3">
        <v>4</v>
      </c>
      <c r="G13189" t="s">
        <v>513</v>
      </c>
    </row>
    <row r="13190" spans="1:7" x14ac:dyDescent="0.25">
      <c r="A13190" s="1" t="str">
        <f>"517386"</f>
        <v>517386</v>
      </c>
      <c r="B13190" s="2" t="str">
        <f>"ISO 420 ISOLADOR GALVANICO"</f>
        <v>ISO 420 ISOLADOR GALVANICO</v>
      </c>
      <c r="C13190" s="2" t="str">
        <f t="shared" si="516"/>
        <v>UN</v>
      </c>
      <c r="D13190" s="7">
        <v>811</v>
      </c>
      <c r="E13190" s="3">
        <v>8</v>
      </c>
      <c r="F13190" s="3">
        <v>8</v>
      </c>
      <c r="G13190" t="s">
        <v>513</v>
      </c>
    </row>
    <row r="13191" spans="1:7" x14ac:dyDescent="0.25">
      <c r="A13191" s="1" t="str">
        <f>"505881"</f>
        <v>505881</v>
      </c>
      <c r="B13191" s="2" t="str">
        <f>"ISOLADOR"</f>
        <v>ISOLADOR</v>
      </c>
      <c r="C13191" s="2" t="str">
        <f t="shared" si="516"/>
        <v>UN</v>
      </c>
      <c r="D13191" s="7">
        <v>704</v>
      </c>
      <c r="E13191" s="3">
        <v>9</v>
      </c>
      <c r="F13191" s="3">
        <v>9</v>
      </c>
      <c r="G13191" t="s">
        <v>513</v>
      </c>
    </row>
    <row r="13192" spans="1:7" x14ac:dyDescent="0.25">
      <c r="A13192" s="1" t="str">
        <f>"520172"</f>
        <v>520172</v>
      </c>
      <c r="B13192" s="2" t="str">
        <f>"ISOLADOR BUJAO P/ PAINEL"</f>
        <v>ISOLADOR BUJAO P/ PAINEL</v>
      </c>
      <c r="C13192" s="2" t="str">
        <f t="shared" si="516"/>
        <v>UN</v>
      </c>
      <c r="D13192" s="7">
        <v>811</v>
      </c>
      <c r="E13192" s="3">
        <v>11</v>
      </c>
      <c r="F13192" s="3">
        <v>11</v>
      </c>
      <c r="G13192" t="s">
        <v>512</v>
      </c>
    </row>
    <row r="13193" spans="1:7" x14ac:dyDescent="0.25">
      <c r="A13193" s="1" t="str">
        <f>"519406"</f>
        <v>519406</v>
      </c>
      <c r="B13193" s="2" t="str">
        <f>"ISOLADOR EPOXI 16 X 30 ROSCA 1/4"</f>
        <v>ISOLADOR EPOXI 16 X 30 ROSCA 1/4</v>
      </c>
      <c r="C13193" s="2" t="str">
        <f t="shared" si="516"/>
        <v>UN</v>
      </c>
      <c r="D13193" s="7">
        <v>99999</v>
      </c>
      <c r="E13193" s="3">
        <v>99</v>
      </c>
      <c r="F13193" s="3">
        <v>99</v>
      </c>
      <c r="G13193" t="s">
        <v>513</v>
      </c>
    </row>
    <row r="13194" spans="1:7" x14ac:dyDescent="0.25">
      <c r="A13194" s="1" t="str">
        <f>"509970"</f>
        <v>509970</v>
      </c>
      <c r="B13194" s="2" t="str">
        <f>"ISOLADOR EPOXI 20 X 30 ROSCA 1/4"</f>
        <v>ISOLADOR EPOXI 20 X 30 ROSCA 1/4</v>
      </c>
      <c r="C13194" s="2" t="str">
        <f t="shared" si="516"/>
        <v>UN</v>
      </c>
      <c r="D13194" s="7">
        <v>99999</v>
      </c>
      <c r="E13194" s="3">
        <v>10</v>
      </c>
      <c r="F13194" s="3">
        <v>10</v>
      </c>
      <c r="G13194" t="s">
        <v>514</v>
      </c>
    </row>
    <row r="13195" spans="1:7" x14ac:dyDescent="0.25">
      <c r="A13195" s="1" t="str">
        <f>"511258"</f>
        <v>511258</v>
      </c>
      <c r="B13195" s="2" t="str">
        <f>"ISOLADOR EPOXI 215X179MM"</f>
        <v>ISOLADOR EPOXI 215X179MM</v>
      </c>
      <c r="C13195" s="2" t="str">
        <f t="shared" si="516"/>
        <v>UN</v>
      </c>
      <c r="D13195" s="7">
        <v>600</v>
      </c>
      <c r="E13195" s="3">
        <v>8</v>
      </c>
      <c r="F13195" s="3">
        <v>8</v>
      </c>
      <c r="G13195" t="s">
        <v>515</v>
      </c>
    </row>
    <row r="13196" spans="1:7" x14ac:dyDescent="0.25">
      <c r="A13196" s="1" t="str">
        <f>"511611"</f>
        <v>511611</v>
      </c>
      <c r="B13196" s="2" t="str">
        <f>"ISOLADOR EPOXI 30 X 40 ROSCA 1/4"""</f>
        <v>ISOLADOR EPOXI 30 X 40 ROSCA 1/4"</v>
      </c>
      <c r="C13196" s="2" t="str">
        <f t="shared" si="516"/>
        <v>UN</v>
      </c>
      <c r="D13196" s="7">
        <v>99999</v>
      </c>
      <c r="E13196" s="3">
        <v>99</v>
      </c>
      <c r="F13196" s="3">
        <v>99</v>
      </c>
      <c r="G13196" t="s">
        <v>512</v>
      </c>
    </row>
    <row r="13197" spans="1:7" x14ac:dyDescent="0.25">
      <c r="A13197" s="1" t="str">
        <f>"511612"</f>
        <v>511612</v>
      </c>
      <c r="B13197" s="2" t="str">
        <f>"ISOLADOR EPOXI 30 X 50 ROSCA 1/4"""</f>
        <v>ISOLADOR EPOXI 30 X 50 ROSCA 1/4"</v>
      </c>
      <c r="C13197" s="2" t="str">
        <f t="shared" si="516"/>
        <v>UN</v>
      </c>
      <c r="D13197" s="7">
        <v>600</v>
      </c>
      <c r="E13197" s="3">
        <v>8</v>
      </c>
      <c r="F13197" s="3">
        <v>8</v>
      </c>
      <c r="G13197" t="s">
        <v>516</v>
      </c>
    </row>
    <row r="13198" spans="1:7" x14ac:dyDescent="0.25">
      <c r="A13198" s="1" t="str">
        <f>"511259"</f>
        <v>511259</v>
      </c>
      <c r="B13198" s="2" t="str">
        <f>"ISOLADOR EPOXI 40 X 80 ROSCA 3/8"""</f>
        <v>ISOLADOR EPOXI 40 X 80 ROSCA 3/8"</v>
      </c>
      <c r="C13198" s="2" t="str">
        <f t="shared" si="516"/>
        <v>UN</v>
      </c>
      <c r="D13198" s="7">
        <v>600</v>
      </c>
      <c r="E13198" s="3">
        <v>8</v>
      </c>
      <c r="F13198" s="3">
        <v>8</v>
      </c>
      <c r="G13198" t="s">
        <v>515</v>
      </c>
    </row>
    <row r="13199" spans="1:7" x14ac:dyDescent="0.25">
      <c r="A13199" s="1" t="str">
        <f>"509662"</f>
        <v>509662</v>
      </c>
      <c r="B13199" s="2" t="str">
        <f>"ISOLADOR EPOXI 50 X 50 ROSCA 3/8"""</f>
        <v>ISOLADOR EPOXI 50 X 50 ROSCA 3/8"</v>
      </c>
      <c r="C13199" s="2" t="str">
        <f t="shared" si="516"/>
        <v>UN</v>
      </c>
      <c r="D13199" s="7">
        <v>600</v>
      </c>
      <c r="E13199" s="3">
        <v>8</v>
      </c>
      <c r="F13199" s="3">
        <v>8</v>
      </c>
      <c r="G13199" t="s">
        <v>514</v>
      </c>
    </row>
    <row r="13200" spans="1:7" x14ac:dyDescent="0.25">
      <c r="A13200" s="1" t="str">
        <f>"511495"</f>
        <v>511495</v>
      </c>
      <c r="B13200" s="2" t="str">
        <f>"ISOLADOR EPOXI TASCO BARRAMENTO 31400"</f>
        <v>ISOLADOR EPOXI TASCO BARRAMENTO 31400</v>
      </c>
      <c r="C13200" s="2" t="str">
        <f t="shared" si="516"/>
        <v>UN</v>
      </c>
      <c r="D13200" s="7">
        <v>600</v>
      </c>
      <c r="E13200" s="3">
        <v>8</v>
      </c>
      <c r="F13200" s="3">
        <v>8</v>
      </c>
      <c r="G13200" t="s">
        <v>512</v>
      </c>
    </row>
    <row r="13201" spans="1:7" x14ac:dyDescent="0.25">
      <c r="A13201" s="1" t="str">
        <f>"517207"</f>
        <v>517207</v>
      </c>
      <c r="B13201" s="2" t="str">
        <f>"ISOLADOR GALVANICO MOD. ISO 420 24VDC 4...20MA"</f>
        <v>ISOLADOR GALVANICO MOD. ISO 420 24VDC 4...20MA</v>
      </c>
      <c r="C13201" s="2" t="str">
        <f t="shared" si="516"/>
        <v>UN</v>
      </c>
      <c r="D13201" s="7">
        <v>811</v>
      </c>
      <c r="E13201" s="3">
        <v>8</v>
      </c>
      <c r="F13201" s="3">
        <v>8</v>
      </c>
      <c r="G13201" t="s">
        <v>513</v>
      </c>
    </row>
    <row r="13202" spans="1:7" x14ac:dyDescent="0.25">
      <c r="A13202" s="1" t="str">
        <f>"503079"</f>
        <v>503079</v>
      </c>
      <c r="B13202" s="2" t="str">
        <f>"ISOLADOR P/ BARRAMENTO 50X30MM 1/4"</f>
        <v>ISOLADOR P/ BARRAMENTO 50X30MM 1/4</v>
      </c>
      <c r="C13202" s="2" t="str">
        <f t="shared" si="516"/>
        <v>UN</v>
      </c>
      <c r="D13202" s="7">
        <v>600</v>
      </c>
      <c r="E13202" s="3">
        <v>8</v>
      </c>
      <c r="F13202" s="3">
        <v>8</v>
      </c>
      <c r="G13202" t="s">
        <v>514</v>
      </c>
    </row>
    <row r="13203" spans="1:7" x14ac:dyDescent="0.25">
      <c r="A13203" s="1" t="str">
        <f>"503170"</f>
        <v>503170</v>
      </c>
      <c r="B13203" s="2" t="str">
        <f>"ISOLADOR P/ BARRAMENTO ALT 80MM PARAF5/1"</f>
        <v>ISOLADOR P/ BARRAMENTO ALT 80MM PARAF5/1</v>
      </c>
      <c r="C13203" s="2" t="str">
        <f t="shared" si="516"/>
        <v>UN</v>
      </c>
      <c r="D13203" s="7">
        <v>600</v>
      </c>
      <c r="E13203" s="3">
        <v>8</v>
      </c>
      <c r="F13203" s="3">
        <v>8</v>
      </c>
      <c r="G13203" t="s">
        <v>514</v>
      </c>
    </row>
    <row r="13204" spans="1:7" x14ac:dyDescent="0.25">
      <c r="A13204" s="1" t="str">
        <f>"522207"</f>
        <v>522207</v>
      </c>
      <c r="B13204" s="2" t="str">
        <f>"ISOLADOR REF. 9000850030"</f>
        <v>ISOLADOR REF. 9000850030</v>
      </c>
      <c r="C13204" s="2" t="str">
        <f t="shared" si="516"/>
        <v>UN</v>
      </c>
      <c r="D13204" s="7">
        <v>811</v>
      </c>
      <c r="E13204" s="3">
        <v>11</v>
      </c>
      <c r="F13204" s="3">
        <v>11</v>
      </c>
      <c r="G13204" t="s">
        <v>512</v>
      </c>
    </row>
    <row r="13205" spans="1:7" x14ac:dyDescent="0.25">
      <c r="A13205" s="1" t="str">
        <f>"518947"</f>
        <v>518947</v>
      </c>
      <c r="B13205" s="2" t="str">
        <f>"ISOLADOR ROLDANA 72 X 72"</f>
        <v>ISOLADOR ROLDANA 72 X 72</v>
      </c>
      <c r="C13205" s="2" t="str">
        <f t="shared" si="516"/>
        <v>UN</v>
      </c>
      <c r="D13205" s="7">
        <v>811</v>
      </c>
      <c r="E13205" s="3">
        <v>8</v>
      </c>
      <c r="F13205" s="3">
        <v>8</v>
      </c>
      <c r="G13205" t="s">
        <v>513</v>
      </c>
    </row>
    <row r="13206" spans="1:7" x14ac:dyDescent="0.25">
      <c r="A13206" s="1" t="str">
        <f>"525249"</f>
        <v>525249</v>
      </c>
      <c r="B13206" s="2" t="str">
        <f>"ISOLADOR ROLDANA P/ CABO TELEFONICO"</f>
        <v>ISOLADOR ROLDANA P/ CABO TELEFONICO</v>
      </c>
      <c r="C13206" s="2" t="str">
        <f t="shared" si="516"/>
        <v>UN</v>
      </c>
      <c r="D13206" s="7">
        <v>99999</v>
      </c>
      <c r="E13206" s="3">
        <v>99</v>
      </c>
      <c r="F13206" s="3">
        <v>99</v>
      </c>
      <c r="G13206" t="s">
        <v>514</v>
      </c>
    </row>
    <row r="13207" spans="1:7" x14ac:dyDescent="0.25">
      <c r="A13207" s="1" t="str">
        <f>"522186"</f>
        <v>522186</v>
      </c>
      <c r="B13207" s="2" t="str">
        <f>"ISOLADOR. REF. 9000850030"</f>
        <v>ISOLADOR. REF. 9000850030</v>
      </c>
      <c r="C13207" s="2" t="str">
        <f t="shared" si="516"/>
        <v>UN</v>
      </c>
      <c r="D13207" s="7">
        <v>600</v>
      </c>
      <c r="E13207" s="3">
        <v>8</v>
      </c>
      <c r="F13207" s="3">
        <v>8</v>
      </c>
      <c r="G13207" t="s">
        <v>514</v>
      </c>
    </row>
    <row r="13208" spans="1:7" x14ac:dyDescent="0.25">
      <c r="A13208" s="1" t="str">
        <f>"524903"</f>
        <v>524903</v>
      </c>
      <c r="B13208" s="2" t="str">
        <f>"ISOLAMENTO"</f>
        <v>ISOLAMENTO</v>
      </c>
      <c r="C13208" s="2" t="str">
        <f t="shared" si="516"/>
        <v>UN</v>
      </c>
      <c r="D13208" s="7">
        <v>704</v>
      </c>
      <c r="E13208" s="3">
        <v>9</v>
      </c>
      <c r="F13208" s="3">
        <v>9</v>
      </c>
      <c r="G13208" t="s">
        <v>514</v>
      </c>
    </row>
    <row r="13209" spans="1:7" x14ac:dyDescent="0.25">
      <c r="A13209" s="1" t="str">
        <f>"519294"</f>
        <v>519294</v>
      </c>
      <c r="B13209" s="2" t="str">
        <f>"ISOLAMENTO E.V.A  1/2"" X 9MM"</f>
        <v>ISOLAMENTO E.V.A  1/2" X 9MM</v>
      </c>
      <c r="C13209" s="2" t="str">
        <f t="shared" si="516"/>
        <v>UN</v>
      </c>
      <c r="D13209" s="7">
        <v>916</v>
      </c>
      <c r="E13209" s="3">
        <v>10</v>
      </c>
      <c r="F13209" s="3">
        <v>10</v>
      </c>
      <c r="G13209" t="s">
        <v>513</v>
      </c>
    </row>
    <row r="13210" spans="1:7" x14ac:dyDescent="0.25">
      <c r="A13210" s="1" t="str">
        <f>"527783"</f>
        <v>527783</v>
      </c>
      <c r="B13210" s="2" t="str">
        <f>"ISOLAMENTO E.V.A 1/2 X 10MM"</f>
        <v>ISOLAMENTO E.V.A 1/2 X 10MM</v>
      </c>
      <c r="C13210" s="2" t="str">
        <f t="shared" si="516"/>
        <v>UN</v>
      </c>
      <c r="D13210" s="7">
        <v>916</v>
      </c>
      <c r="E13210" s="3">
        <v>10</v>
      </c>
      <c r="F13210" s="3">
        <v>10</v>
      </c>
      <c r="G13210" t="s">
        <v>512</v>
      </c>
    </row>
    <row r="13211" spans="1:7" x14ac:dyDescent="0.25">
      <c r="A13211" s="1" t="str">
        <f>"527782"</f>
        <v>527782</v>
      </c>
      <c r="B13211" s="2" t="str">
        <f>"ISOLAMENTO E.V.A 1/4 X 10MM"</f>
        <v>ISOLAMENTO E.V.A 1/4 X 10MM</v>
      </c>
      <c r="C13211" s="2" t="str">
        <f t="shared" si="516"/>
        <v>UN</v>
      </c>
      <c r="D13211" s="7">
        <v>916</v>
      </c>
      <c r="E13211" s="3">
        <v>10</v>
      </c>
      <c r="F13211" s="3">
        <v>10</v>
      </c>
      <c r="G13211" t="s">
        <v>513</v>
      </c>
    </row>
    <row r="13212" spans="1:7" x14ac:dyDescent="0.25">
      <c r="A13212" s="1" t="str">
        <f>"520568"</f>
        <v>520568</v>
      </c>
      <c r="B13212" s="2" t="str">
        <f>"ISOLAMENTO E.V.A 1/4 X 9MM"</f>
        <v>ISOLAMENTO E.V.A 1/4 X 9MM</v>
      </c>
      <c r="C13212" s="2" t="str">
        <f t="shared" si="516"/>
        <v>UN</v>
      </c>
      <c r="D13212" s="7">
        <v>916</v>
      </c>
      <c r="E13212" s="3">
        <v>10</v>
      </c>
      <c r="F13212" s="3">
        <v>10</v>
      </c>
      <c r="G13212" t="s">
        <v>514</v>
      </c>
    </row>
    <row r="13213" spans="1:7" x14ac:dyDescent="0.25">
      <c r="A13213" s="1" t="str">
        <f>"519229"</f>
        <v>519229</v>
      </c>
      <c r="B13213" s="2" t="str">
        <f>"ISOLAMENTO E.V.A 2 1/8"" X 13MM"</f>
        <v>ISOLAMENTO E.V.A 2 1/8" X 13MM</v>
      </c>
      <c r="C13213" s="2" t="str">
        <f t="shared" si="516"/>
        <v>UN</v>
      </c>
      <c r="D13213" s="7">
        <v>916</v>
      </c>
      <c r="E13213" s="3">
        <v>10</v>
      </c>
      <c r="F13213" s="3">
        <v>10</v>
      </c>
      <c r="G13213" t="s">
        <v>514</v>
      </c>
    </row>
    <row r="13214" spans="1:7" x14ac:dyDescent="0.25">
      <c r="A13214" s="1" t="str">
        <f>"519293"</f>
        <v>519293</v>
      </c>
      <c r="B13214" s="2" t="str">
        <f>"ISOLAMENTO E.V.A 5/8"" X 9MM"</f>
        <v>ISOLAMENTO E.V.A 5/8" X 9MM</v>
      </c>
      <c r="C13214" s="2" t="str">
        <f t="shared" si="516"/>
        <v>UN</v>
      </c>
      <c r="D13214" s="7">
        <v>916</v>
      </c>
      <c r="E13214" s="3">
        <v>10</v>
      </c>
      <c r="F13214" s="3">
        <v>10</v>
      </c>
      <c r="G13214" t="s">
        <v>514</v>
      </c>
    </row>
    <row r="13215" spans="1:7" x14ac:dyDescent="0.25">
      <c r="A13215" s="1" t="str">
        <f>"525108"</f>
        <v>525108</v>
      </c>
      <c r="B13215" s="2" t="str">
        <f>"ISOLAMENTO E.V.A. 3/8 X 9MM"</f>
        <v>ISOLAMENTO E.V.A. 3/8 X 9MM</v>
      </c>
      <c r="C13215" s="2" t="str">
        <f t="shared" si="516"/>
        <v>UN</v>
      </c>
      <c r="D13215" s="7">
        <v>99999</v>
      </c>
      <c r="E13215" s="3">
        <v>99</v>
      </c>
      <c r="F13215" s="3">
        <v>99</v>
      </c>
      <c r="G13215" t="s">
        <v>513</v>
      </c>
    </row>
    <row r="13216" spans="1:7" x14ac:dyDescent="0.25">
      <c r="A13216" s="1" t="str">
        <f>"501699"</f>
        <v>501699</v>
      </c>
      <c r="B13216" s="2" t="str">
        <f>"ISOLANTE DE FIBRA MAQ SAQUINHO M/F"</f>
        <v>ISOLANTE DE FIBRA MAQ SAQUINHO M/F</v>
      </c>
      <c r="C13216" s="2" t="str">
        <f t="shared" ref="C13216:C13238" si="517">"UN"</f>
        <v>UN</v>
      </c>
      <c r="D13216" s="7">
        <v>900</v>
      </c>
      <c r="E13216" s="3">
        <v>11</v>
      </c>
      <c r="F13216" s="3">
        <v>11</v>
      </c>
      <c r="G13216" t="s">
        <v>513</v>
      </c>
    </row>
    <row r="13217" spans="1:7" x14ac:dyDescent="0.25">
      <c r="A13217" s="1" t="str">
        <f>"520557"</f>
        <v>520557</v>
      </c>
      <c r="B13217" s="8" t="s">
        <v>162</v>
      </c>
      <c r="C13217" s="2" t="str">
        <f t="shared" si="517"/>
        <v>UN</v>
      </c>
      <c r="D13217" s="7">
        <v>402</v>
      </c>
      <c r="E13217" s="3">
        <v>4</v>
      </c>
      <c r="F13217" s="3">
        <v>4</v>
      </c>
      <c r="G13217" t="s">
        <v>513</v>
      </c>
    </row>
    <row r="13218" spans="1:7" x14ac:dyDescent="0.25">
      <c r="A13218" s="1" t="str">
        <f>"503931"</f>
        <v>503931</v>
      </c>
      <c r="B13218" s="2" t="str">
        <f>"ISOLANTE TERMICO EM ESPUMA COD.OKF M42"</f>
        <v>ISOLANTE TERMICO EM ESPUMA COD.OKF M42</v>
      </c>
      <c r="C13218" s="2" t="str">
        <f t="shared" si="517"/>
        <v>UN</v>
      </c>
      <c r="D13218" s="7">
        <v>402</v>
      </c>
      <c r="E13218" s="3">
        <v>4</v>
      </c>
      <c r="F13218" s="3">
        <v>4</v>
      </c>
      <c r="G13218" t="s">
        <v>512</v>
      </c>
    </row>
    <row r="13219" spans="1:7" x14ac:dyDescent="0.25">
      <c r="A13219" s="1" t="str">
        <f>"503932"</f>
        <v>503932</v>
      </c>
      <c r="B13219" s="2" t="str">
        <f>"ISOLANTE TERMICO EM ESPUMA OKF M54"</f>
        <v>ISOLANTE TERMICO EM ESPUMA OKF M54</v>
      </c>
      <c r="C13219" s="2" t="str">
        <f t="shared" si="517"/>
        <v>UN</v>
      </c>
      <c r="D13219" s="7">
        <v>402</v>
      </c>
      <c r="E13219" s="3">
        <v>4</v>
      </c>
      <c r="F13219" s="3">
        <v>4</v>
      </c>
      <c r="G13219" t="s">
        <v>513</v>
      </c>
    </row>
    <row r="13220" spans="1:7" x14ac:dyDescent="0.25">
      <c r="A13220" s="1" t="str">
        <f>"523059"</f>
        <v>523059</v>
      </c>
      <c r="B13220" s="2" t="str">
        <f>"ISOLEAN A4 ESCANINHO INTERCAMBIÁVEL DE PAREDE COR AMARELO"</f>
        <v>ISOLEAN A4 ESCANINHO INTERCAMBIÁVEL DE PAREDE COR AMARELO</v>
      </c>
      <c r="C13220" s="2" t="str">
        <f t="shared" si="517"/>
        <v>UN</v>
      </c>
      <c r="D13220" s="7">
        <v>401</v>
      </c>
      <c r="E13220" s="3">
        <v>4</v>
      </c>
      <c r="F13220" s="3">
        <v>4</v>
      </c>
      <c r="G13220" t="s">
        <v>514</v>
      </c>
    </row>
    <row r="13221" spans="1:7" x14ac:dyDescent="0.25">
      <c r="A13221" s="1" t="str">
        <f>"523060"</f>
        <v>523060</v>
      </c>
      <c r="B13221" s="2" t="str">
        <f>"ISOLEAN A4 ESCANINHO INTERCAMBIÁVEL DE PAREDE COR VERDE"</f>
        <v>ISOLEAN A4 ESCANINHO INTERCAMBIÁVEL DE PAREDE COR VERDE</v>
      </c>
      <c r="C13221" s="2" t="str">
        <f t="shared" si="517"/>
        <v>UN</v>
      </c>
      <c r="D13221" s="7">
        <v>401</v>
      </c>
      <c r="E13221" s="3">
        <v>4</v>
      </c>
      <c r="F13221" s="3">
        <v>4</v>
      </c>
      <c r="G13221" t="s">
        <v>515</v>
      </c>
    </row>
    <row r="13222" spans="1:7" x14ac:dyDescent="0.25">
      <c r="A13222" s="1" t="str">
        <f>"517692"</f>
        <v>517692</v>
      </c>
      <c r="B13222" s="2" t="str">
        <f>"ISOPAINEL 1750X150X50MM"</f>
        <v>ISOPAINEL 1750X150X50MM</v>
      </c>
      <c r="C13222" s="2" t="str">
        <f t="shared" si="517"/>
        <v>UN</v>
      </c>
      <c r="D13222" s="7">
        <v>916</v>
      </c>
      <c r="E13222" s="3">
        <v>10</v>
      </c>
      <c r="F13222" s="3">
        <v>10</v>
      </c>
      <c r="G13222" t="s">
        <v>512</v>
      </c>
    </row>
    <row r="13223" spans="1:7" x14ac:dyDescent="0.25">
      <c r="A13223" s="1" t="str">
        <f>"517689"</f>
        <v>517689</v>
      </c>
      <c r="B13223" s="2" t="str">
        <f>"ISOPAINEL 2200X1150X100MM"</f>
        <v>ISOPAINEL 2200X1150X100MM</v>
      </c>
      <c r="C13223" s="2" t="str">
        <f t="shared" si="517"/>
        <v>UN</v>
      </c>
      <c r="D13223" s="7">
        <v>916</v>
      </c>
      <c r="E13223" s="3">
        <v>10</v>
      </c>
      <c r="F13223" s="3">
        <v>10</v>
      </c>
      <c r="G13223" t="s">
        <v>516</v>
      </c>
    </row>
    <row r="13224" spans="1:7" x14ac:dyDescent="0.25">
      <c r="A13224" s="1" t="str">
        <f>"517691"</f>
        <v>517691</v>
      </c>
      <c r="B13224" s="2" t="str">
        <f>"ISOPAINEL 2500X1150X50MM"</f>
        <v>ISOPAINEL 2500X1150X50MM</v>
      </c>
      <c r="C13224" s="2" t="str">
        <f t="shared" si="517"/>
        <v>UN</v>
      </c>
      <c r="D13224" s="7">
        <v>916</v>
      </c>
      <c r="E13224" s="3">
        <v>10</v>
      </c>
      <c r="F13224" s="3">
        <v>10</v>
      </c>
      <c r="G13224" t="s">
        <v>515</v>
      </c>
    </row>
    <row r="13225" spans="1:7" x14ac:dyDescent="0.25">
      <c r="A13225" s="1" t="str">
        <f>"517690"</f>
        <v>517690</v>
      </c>
      <c r="B13225" s="2" t="str">
        <f>"ISOPAINEL 3000X1150X100MM"</f>
        <v>ISOPAINEL 3000X1150X100MM</v>
      </c>
      <c r="C13225" s="2" t="str">
        <f t="shared" si="517"/>
        <v>UN</v>
      </c>
      <c r="D13225" s="7">
        <v>916</v>
      </c>
      <c r="E13225" s="3">
        <v>10</v>
      </c>
      <c r="F13225" s="3">
        <v>10</v>
      </c>
      <c r="G13225" t="s">
        <v>514</v>
      </c>
    </row>
    <row r="13226" spans="1:7" x14ac:dyDescent="0.25">
      <c r="A13226" s="1" t="str">
        <f>"517685"</f>
        <v>517685</v>
      </c>
      <c r="B13226" s="2" t="str">
        <f>"ISOPAINEL 3550X1150X100MM"</f>
        <v>ISOPAINEL 3550X1150X100MM</v>
      </c>
      <c r="C13226" s="2" t="str">
        <f t="shared" si="517"/>
        <v>UN</v>
      </c>
      <c r="D13226" s="7">
        <v>916</v>
      </c>
      <c r="E13226" s="3">
        <v>10</v>
      </c>
      <c r="F13226" s="3">
        <v>10</v>
      </c>
      <c r="G13226" t="s">
        <v>512</v>
      </c>
    </row>
    <row r="13227" spans="1:7" x14ac:dyDescent="0.25">
      <c r="A13227" s="1" t="str">
        <f>"517686"</f>
        <v>517686</v>
      </c>
      <c r="B13227" s="2" t="str">
        <f>"ISOPAINEL 3600X1150X100MM"</f>
        <v>ISOPAINEL 3600X1150X100MM</v>
      </c>
      <c r="C13227" s="2" t="str">
        <f t="shared" si="517"/>
        <v>UN</v>
      </c>
      <c r="D13227" s="7">
        <v>916</v>
      </c>
      <c r="E13227" s="3">
        <v>10</v>
      </c>
      <c r="F13227" s="3">
        <v>10</v>
      </c>
      <c r="G13227" t="s">
        <v>513</v>
      </c>
    </row>
    <row r="13228" spans="1:7" x14ac:dyDescent="0.25">
      <c r="A13228" s="1" t="str">
        <f>"518212"</f>
        <v>518212</v>
      </c>
      <c r="B13228" s="2" t="str">
        <f>"ISOPAINEL 3700X1150X100MM"</f>
        <v>ISOPAINEL 3700X1150X100MM</v>
      </c>
      <c r="C13228" s="2" t="str">
        <f t="shared" si="517"/>
        <v>UN</v>
      </c>
      <c r="D13228" s="7">
        <v>916</v>
      </c>
      <c r="E13228" s="3">
        <v>10</v>
      </c>
      <c r="F13228" s="3">
        <v>10</v>
      </c>
      <c r="G13228" t="s">
        <v>514</v>
      </c>
    </row>
    <row r="13229" spans="1:7" x14ac:dyDescent="0.25">
      <c r="A13229" s="1" t="str">
        <f>"517688"</f>
        <v>517688</v>
      </c>
      <c r="B13229" s="2" t="str">
        <f>"ISOPAINEL 4050X1150X100MM"</f>
        <v>ISOPAINEL 4050X1150X100MM</v>
      </c>
      <c r="C13229" s="2" t="str">
        <f t="shared" si="517"/>
        <v>UN</v>
      </c>
      <c r="D13229" s="7">
        <v>916</v>
      </c>
      <c r="E13229" s="3">
        <v>10</v>
      </c>
      <c r="F13229" s="3">
        <v>10</v>
      </c>
      <c r="G13229" t="s">
        <v>514</v>
      </c>
    </row>
    <row r="13230" spans="1:7" x14ac:dyDescent="0.25">
      <c r="A13230" s="1" t="str">
        <f>"517693"</f>
        <v>517693</v>
      </c>
      <c r="B13230" s="2" t="str">
        <f>"ISOPAINEL 4250X1150X100MM"</f>
        <v>ISOPAINEL 4250X1150X100MM</v>
      </c>
      <c r="C13230" s="2" t="str">
        <f t="shared" si="517"/>
        <v>UN</v>
      </c>
      <c r="D13230" s="7">
        <v>916</v>
      </c>
      <c r="E13230" s="3">
        <v>10</v>
      </c>
      <c r="F13230" s="3">
        <v>10</v>
      </c>
      <c r="G13230" t="s">
        <v>512</v>
      </c>
    </row>
    <row r="13231" spans="1:7" x14ac:dyDescent="0.25">
      <c r="A13231" s="1" t="str">
        <f>"517687"</f>
        <v>517687</v>
      </c>
      <c r="B13231" s="2" t="str">
        <f>"ISOPAINEL 4400X1150X100MM"</f>
        <v>ISOPAINEL 4400X1150X100MM</v>
      </c>
      <c r="C13231" s="2" t="str">
        <f t="shared" si="517"/>
        <v>UN</v>
      </c>
      <c r="D13231" s="7">
        <v>916</v>
      </c>
      <c r="E13231" s="3">
        <v>10</v>
      </c>
      <c r="F13231" s="3">
        <v>10</v>
      </c>
      <c r="G13231" t="s">
        <v>513</v>
      </c>
    </row>
    <row r="13232" spans="1:7" x14ac:dyDescent="0.25">
      <c r="A13232" s="1" t="str">
        <f>"517694"</f>
        <v>517694</v>
      </c>
      <c r="B13232" s="2" t="str">
        <f>"ISOPAINEL 5100X1100X100MM"</f>
        <v>ISOPAINEL 5100X1100X100MM</v>
      </c>
      <c r="C13232" s="2" t="str">
        <f t="shared" si="517"/>
        <v>UN</v>
      </c>
      <c r="D13232" s="7">
        <v>916</v>
      </c>
      <c r="E13232" s="3">
        <v>10</v>
      </c>
      <c r="F13232" s="3">
        <v>10</v>
      </c>
      <c r="G13232" t="s">
        <v>514</v>
      </c>
    </row>
    <row r="13233" spans="1:7" x14ac:dyDescent="0.25">
      <c r="A13233" s="1" t="str">
        <f>"518213"</f>
        <v>518213</v>
      </c>
      <c r="B13233" s="2" t="str">
        <f>"ISOPAINEL 9000X1150X100MM"</f>
        <v>ISOPAINEL 9000X1150X100MM</v>
      </c>
      <c r="C13233" s="2" t="str">
        <f t="shared" si="517"/>
        <v>UN</v>
      </c>
      <c r="D13233" s="7">
        <v>916</v>
      </c>
      <c r="E13233" s="3">
        <v>10</v>
      </c>
      <c r="F13233" s="3">
        <v>10</v>
      </c>
      <c r="G13233" t="s">
        <v>514</v>
      </c>
    </row>
    <row r="13234" spans="1:7" x14ac:dyDescent="0.25">
      <c r="A13234" s="1" t="str">
        <f>"516398"</f>
        <v>516398</v>
      </c>
      <c r="B13234" s="2" t="str">
        <f>"ISOPOR MODULADO RT40/980 25MM"</f>
        <v>ISOPOR MODULADO RT40/980 25MM</v>
      </c>
      <c r="C13234" s="2" t="str">
        <f t="shared" si="517"/>
        <v>UN</v>
      </c>
      <c r="D13234" s="7">
        <v>917</v>
      </c>
      <c r="E13234" s="3">
        <v>10</v>
      </c>
      <c r="F13234" s="3">
        <v>10</v>
      </c>
      <c r="G13234" t="s">
        <v>514</v>
      </c>
    </row>
    <row r="13235" spans="1:7" x14ac:dyDescent="0.25">
      <c r="A13235" s="1" t="str">
        <f>"502687"</f>
        <v>502687</v>
      </c>
      <c r="B13235" s="2" t="str">
        <f>"ISOPOR P/ CANO 1 1/2""  50MM"</f>
        <v>ISOPOR P/ CANO 1 1/2"  50MM</v>
      </c>
      <c r="C13235" s="2" t="str">
        <f t="shared" si="517"/>
        <v>UN</v>
      </c>
      <c r="D13235" s="7">
        <v>402</v>
      </c>
      <c r="E13235" s="3">
        <v>4</v>
      </c>
      <c r="F13235" s="3">
        <v>4</v>
      </c>
      <c r="G13235" t="s">
        <v>513</v>
      </c>
    </row>
    <row r="13236" spans="1:7" x14ac:dyDescent="0.25">
      <c r="A13236" s="1" t="str">
        <f>"502686"</f>
        <v>502686</v>
      </c>
      <c r="B13236" s="2" t="str">
        <f>"ISOPOR P/ CANO 1"" 35MM"</f>
        <v>ISOPOR P/ CANO 1" 35MM</v>
      </c>
      <c r="C13236" s="2" t="str">
        <f t="shared" si="517"/>
        <v>UN</v>
      </c>
      <c r="D13236" s="7">
        <v>402</v>
      </c>
      <c r="E13236" s="3">
        <v>4</v>
      </c>
      <c r="F13236" s="3">
        <v>4</v>
      </c>
      <c r="G13236" t="s">
        <v>512</v>
      </c>
    </row>
    <row r="13237" spans="1:7" x14ac:dyDescent="0.25">
      <c r="A13237" s="1" t="str">
        <f>"503803"</f>
        <v>503803</v>
      </c>
      <c r="B13237" s="2" t="str">
        <f>"ISOPOR P/ CANO 3/4"" 19MM"</f>
        <v>ISOPOR P/ CANO 3/4" 19MM</v>
      </c>
      <c r="C13237" s="2" t="str">
        <f t="shared" si="517"/>
        <v>UN</v>
      </c>
      <c r="D13237" s="7">
        <v>402</v>
      </c>
      <c r="E13237" s="3">
        <v>4</v>
      </c>
      <c r="F13237" s="3">
        <v>4</v>
      </c>
      <c r="G13237" t="s">
        <v>513</v>
      </c>
    </row>
    <row r="13238" spans="1:7" x14ac:dyDescent="0.25">
      <c r="A13238" s="1" t="str">
        <f>"511411"</f>
        <v>511411</v>
      </c>
      <c r="B13238" s="2" t="str">
        <f>"ISOPOR P/ PORTAS FORRO"</f>
        <v>ISOPOR P/ PORTAS FORRO</v>
      </c>
      <c r="C13238" s="2" t="str">
        <f t="shared" si="517"/>
        <v>UN</v>
      </c>
      <c r="D13238" s="7">
        <v>704</v>
      </c>
      <c r="E13238" s="3">
        <v>9</v>
      </c>
      <c r="F13238" s="3">
        <v>9</v>
      </c>
      <c r="G13238" t="s">
        <v>514</v>
      </c>
    </row>
    <row r="13239" spans="1:7" x14ac:dyDescent="0.25">
      <c r="A13239" s="1" t="str">
        <f>"526087"</f>
        <v>526087</v>
      </c>
      <c r="B13239" s="2" t="str">
        <f>"ISOTELHA PIR  30MM - RAL9003 - 0,50 X 0,43MM"</f>
        <v>ISOTELHA PIR  30MM - RAL9003 - 0,50 X 0,43MM</v>
      </c>
      <c r="C13239" s="2" t="str">
        <f>"MT"</f>
        <v>MT</v>
      </c>
      <c r="D13239" s="7">
        <v>99999</v>
      </c>
      <c r="E13239" s="3">
        <v>99</v>
      </c>
      <c r="F13239" s="3">
        <v>99</v>
      </c>
      <c r="G13239" t="s">
        <v>514</v>
      </c>
    </row>
    <row r="13240" spans="1:7" x14ac:dyDescent="0.25">
      <c r="A13240" s="1" t="str">
        <f>"521278"</f>
        <v>521278</v>
      </c>
      <c r="B13240" s="2" t="str">
        <f>"ISOTELHA PIR AP 30MM - RAL9003 - 0,50 X 0,50MM"</f>
        <v>ISOTELHA PIR AP 30MM - RAL9003 - 0,50 X 0,50MM</v>
      </c>
      <c r="C13240" s="2" t="str">
        <f>"MT"</f>
        <v>MT</v>
      </c>
      <c r="D13240" s="7">
        <v>99999</v>
      </c>
      <c r="E13240" s="3">
        <v>99</v>
      </c>
      <c r="F13240" s="3">
        <v>99</v>
      </c>
      <c r="G13240" t="s">
        <v>514</v>
      </c>
    </row>
    <row r="13241" spans="1:7" x14ac:dyDescent="0.25">
      <c r="A13241" s="1" t="str">
        <f>"514574"</f>
        <v>514574</v>
      </c>
      <c r="B13241" s="2" t="str">
        <f>"ISQUEIRO"</f>
        <v>ISQUEIRO</v>
      </c>
      <c r="C13241" s="2" t="str">
        <f>"UN"</f>
        <v>UN</v>
      </c>
      <c r="D13241" s="7">
        <v>401</v>
      </c>
      <c r="E13241" s="3">
        <v>4</v>
      </c>
      <c r="F13241" s="3">
        <v>4</v>
      </c>
      <c r="G13241" t="s">
        <v>513</v>
      </c>
    </row>
    <row r="13242" spans="1:7" x14ac:dyDescent="0.25">
      <c r="A13242" s="13" t="s">
        <v>2</v>
      </c>
      <c r="B13242" s="17" t="str">
        <f>"Item"</f>
        <v>Item</v>
      </c>
      <c r="C13242" s="21"/>
      <c r="D13242" s="21"/>
      <c r="E13242" s="21"/>
      <c r="F13242" s="21"/>
      <c r="G13242" t="s">
        <v>513</v>
      </c>
    </row>
    <row r="13243" spans="1:7" x14ac:dyDescent="0.25">
      <c r="A13243" s="1" t="str">
        <f>"515016"</f>
        <v>515016</v>
      </c>
      <c r="B13243" s="2" t="str">
        <f>"ITEM EM CADASTRO"</f>
        <v>ITEM EM CADASTRO</v>
      </c>
      <c r="C13243" s="2" t="str">
        <f t="shared" ref="C13243:C13265" si="518">"UN"</f>
        <v>UN</v>
      </c>
      <c r="D13243" s="7">
        <v>401</v>
      </c>
      <c r="E13243" s="3">
        <v>4</v>
      </c>
      <c r="F13243" s="3">
        <v>4</v>
      </c>
      <c r="G13243" t="s">
        <v>513</v>
      </c>
    </row>
    <row r="13244" spans="1:7" x14ac:dyDescent="0.25">
      <c r="A13244" s="1" t="str">
        <f>"514986"</f>
        <v>514986</v>
      </c>
      <c r="B13244" s="2" t="str">
        <f>"JALECO AZUL M/C G"</f>
        <v>JALECO AZUL M/C G</v>
      </c>
      <c r="C13244" s="2" t="str">
        <f t="shared" si="518"/>
        <v>UN</v>
      </c>
      <c r="D13244" s="7">
        <v>500</v>
      </c>
      <c r="E13244" s="3">
        <v>5</v>
      </c>
      <c r="F13244" s="3">
        <v>5</v>
      </c>
      <c r="G13244" t="s">
        <v>512</v>
      </c>
    </row>
    <row r="13245" spans="1:7" x14ac:dyDescent="0.25">
      <c r="A13245" s="1" t="str">
        <f>"514987"</f>
        <v>514987</v>
      </c>
      <c r="B13245" s="2" t="str">
        <f>"JALECO AZUL M/C GG"</f>
        <v>JALECO AZUL M/C GG</v>
      </c>
      <c r="C13245" s="2" t="str">
        <f t="shared" si="518"/>
        <v>UN</v>
      </c>
      <c r="D13245" s="7">
        <v>500</v>
      </c>
      <c r="E13245" s="3">
        <v>5</v>
      </c>
      <c r="F13245" s="3">
        <v>5</v>
      </c>
      <c r="G13245" t="s">
        <v>513</v>
      </c>
    </row>
    <row r="13246" spans="1:7" x14ac:dyDescent="0.25">
      <c r="A13246" s="1" t="str">
        <f>"2585"</f>
        <v>2585</v>
      </c>
      <c r="B13246" s="2" t="str">
        <f>"JALECO AZUL M/C M"</f>
        <v>JALECO AZUL M/C M</v>
      </c>
      <c r="C13246" s="2" t="str">
        <f t="shared" si="518"/>
        <v>UN</v>
      </c>
      <c r="D13246" s="7">
        <v>500</v>
      </c>
      <c r="E13246" s="3">
        <v>5</v>
      </c>
      <c r="F13246" s="3">
        <v>5</v>
      </c>
      <c r="G13246" t="s">
        <v>514</v>
      </c>
    </row>
    <row r="13247" spans="1:7" x14ac:dyDescent="0.25">
      <c r="A13247" s="1" t="str">
        <f>"515178"</f>
        <v>515178</v>
      </c>
      <c r="B13247" s="2" t="str">
        <f>"JALECO BRANCO EGG (AMARELO)"</f>
        <v>JALECO BRANCO EGG (AMARELO)</v>
      </c>
      <c r="C13247" s="2" t="str">
        <f t="shared" si="518"/>
        <v>UN</v>
      </c>
      <c r="D13247" s="7">
        <v>500</v>
      </c>
      <c r="E13247" s="3">
        <v>5</v>
      </c>
      <c r="F13247" s="3">
        <v>5</v>
      </c>
      <c r="G13247" t="s">
        <v>515</v>
      </c>
    </row>
    <row r="13248" spans="1:7" x14ac:dyDescent="0.25">
      <c r="A13248" s="1" t="str">
        <f>"515177"</f>
        <v>515177</v>
      </c>
      <c r="B13248" s="2" t="str">
        <f>"JALECO BRANCO EGG (AZUL)"</f>
        <v>JALECO BRANCO EGG (AZUL)</v>
      </c>
      <c r="C13248" s="2" t="str">
        <f t="shared" si="518"/>
        <v>UN</v>
      </c>
      <c r="D13248" s="7">
        <v>500</v>
      </c>
      <c r="E13248" s="3">
        <v>5</v>
      </c>
      <c r="F13248" s="3">
        <v>5</v>
      </c>
      <c r="G13248" t="s">
        <v>512</v>
      </c>
    </row>
    <row r="13249" spans="1:7" x14ac:dyDescent="0.25">
      <c r="A13249" s="1" t="str">
        <f>"515176"</f>
        <v>515176</v>
      </c>
      <c r="B13249" s="2" t="str">
        <f>"JALECO BRANCO EGG (VERDE)"</f>
        <v>JALECO BRANCO EGG (VERDE)</v>
      </c>
      <c r="C13249" s="2" t="str">
        <f t="shared" si="518"/>
        <v>UN</v>
      </c>
      <c r="D13249" s="7">
        <v>500</v>
      </c>
      <c r="E13249" s="3">
        <v>5</v>
      </c>
      <c r="F13249" s="3">
        <v>5</v>
      </c>
      <c r="G13249" t="s">
        <v>516</v>
      </c>
    </row>
    <row r="13250" spans="1:7" x14ac:dyDescent="0.25">
      <c r="A13250" s="1" t="str">
        <f>"515175"</f>
        <v>515175</v>
      </c>
      <c r="B13250" s="2" t="str">
        <f>"JALECO BRANCO EGG (VERMELHO)"</f>
        <v>JALECO BRANCO EGG (VERMELHO)</v>
      </c>
      <c r="C13250" s="2" t="str">
        <f t="shared" si="518"/>
        <v>UN</v>
      </c>
      <c r="D13250" s="7">
        <v>500</v>
      </c>
      <c r="E13250" s="3">
        <v>5</v>
      </c>
      <c r="F13250" s="3">
        <v>5</v>
      </c>
      <c r="G13250" t="s">
        <v>515</v>
      </c>
    </row>
    <row r="13251" spans="1:7" x14ac:dyDescent="0.25">
      <c r="A13251" s="1" t="str">
        <f>"6918"</f>
        <v>6918</v>
      </c>
      <c r="B13251" s="2" t="str">
        <f>"JALECO BRANCO G (AMARELO)"</f>
        <v>JALECO BRANCO G (AMARELO)</v>
      </c>
      <c r="C13251" s="2" t="str">
        <f t="shared" si="518"/>
        <v>UN</v>
      </c>
      <c r="D13251" s="7">
        <v>500</v>
      </c>
      <c r="E13251" s="3">
        <v>5</v>
      </c>
      <c r="F13251" s="3">
        <v>5</v>
      </c>
      <c r="G13251" t="s">
        <v>514</v>
      </c>
    </row>
    <row r="13252" spans="1:7" x14ac:dyDescent="0.25">
      <c r="A13252" s="1" t="str">
        <f>"6800"</f>
        <v>6800</v>
      </c>
      <c r="B13252" s="2" t="str">
        <f>"JALECO BRANCO G (AZUL)"</f>
        <v>JALECO BRANCO G (AZUL)</v>
      </c>
      <c r="C13252" s="2" t="str">
        <f t="shared" si="518"/>
        <v>UN</v>
      </c>
      <c r="D13252" s="7">
        <v>500</v>
      </c>
      <c r="E13252" s="3">
        <v>5</v>
      </c>
      <c r="F13252" s="3">
        <v>5</v>
      </c>
      <c r="G13252" t="s">
        <v>512</v>
      </c>
    </row>
    <row r="13253" spans="1:7" x14ac:dyDescent="0.25">
      <c r="A13253" s="1" t="str">
        <f>"6917"</f>
        <v>6917</v>
      </c>
      <c r="B13253" s="2" t="str">
        <f>"JALECO BRANCO G (VERDE)"</f>
        <v>JALECO BRANCO G (VERDE)</v>
      </c>
      <c r="C13253" s="2" t="str">
        <f t="shared" si="518"/>
        <v>UN</v>
      </c>
      <c r="D13253" s="7">
        <v>500</v>
      </c>
      <c r="E13253" s="3">
        <v>5</v>
      </c>
      <c r="F13253" s="3">
        <v>5</v>
      </c>
      <c r="G13253" t="s">
        <v>513</v>
      </c>
    </row>
    <row r="13254" spans="1:7" x14ac:dyDescent="0.25">
      <c r="A13254" s="1" t="str">
        <f>"6916"</f>
        <v>6916</v>
      </c>
      <c r="B13254" s="2" t="str">
        <f>"JALECO BRANCO G (VERMELHO)"</f>
        <v>JALECO BRANCO G (VERMELHO)</v>
      </c>
      <c r="C13254" s="2" t="str">
        <f t="shared" si="518"/>
        <v>UN</v>
      </c>
      <c r="D13254" s="7">
        <v>500</v>
      </c>
      <c r="E13254" s="3">
        <v>5</v>
      </c>
      <c r="F13254" s="3">
        <v>5</v>
      </c>
      <c r="G13254" t="s">
        <v>514</v>
      </c>
    </row>
    <row r="13255" spans="1:7" x14ac:dyDescent="0.25">
      <c r="A13255" s="1" t="str">
        <f>"6799"</f>
        <v>6799</v>
      </c>
      <c r="B13255" s="2" t="str">
        <f>"JALECO BRANCO GG (AMARELO)"</f>
        <v>JALECO BRANCO GG (AMARELO)</v>
      </c>
      <c r="C13255" s="2" t="str">
        <f t="shared" si="518"/>
        <v>UN</v>
      </c>
      <c r="D13255" s="7">
        <v>500</v>
      </c>
      <c r="E13255" s="3">
        <v>5</v>
      </c>
      <c r="F13255" s="3">
        <v>5</v>
      </c>
      <c r="G13255" t="s">
        <v>514</v>
      </c>
    </row>
    <row r="13256" spans="1:7" x14ac:dyDescent="0.25">
      <c r="A13256" s="1" t="str">
        <f>"6796"</f>
        <v>6796</v>
      </c>
      <c r="B13256" s="2" t="str">
        <f>"JALECO BRANCO GG (AZUL)"</f>
        <v>JALECO BRANCO GG (AZUL)</v>
      </c>
      <c r="C13256" s="2" t="str">
        <f t="shared" si="518"/>
        <v>UN</v>
      </c>
      <c r="D13256" s="7">
        <v>500</v>
      </c>
      <c r="E13256" s="3">
        <v>5</v>
      </c>
      <c r="F13256" s="3">
        <v>5</v>
      </c>
      <c r="G13256" t="s">
        <v>512</v>
      </c>
    </row>
    <row r="13257" spans="1:7" x14ac:dyDescent="0.25">
      <c r="A13257" s="1" t="str">
        <f>"6798"</f>
        <v>6798</v>
      </c>
      <c r="B13257" s="2" t="str">
        <f>"JALECO BRANCO GG (VERDE)"</f>
        <v>JALECO BRANCO GG (VERDE)</v>
      </c>
      <c r="C13257" s="2" t="str">
        <f t="shared" si="518"/>
        <v>UN</v>
      </c>
      <c r="D13257" s="7">
        <v>500</v>
      </c>
      <c r="E13257" s="3">
        <v>5</v>
      </c>
      <c r="F13257" s="3">
        <v>5</v>
      </c>
      <c r="G13257" t="s">
        <v>513</v>
      </c>
    </row>
    <row r="13258" spans="1:7" x14ac:dyDescent="0.25">
      <c r="A13258" s="1" t="str">
        <f>"6797"</f>
        <v>6797</v>
      </c>
      <c r="B13258" s="2" t="str">
        <f>"JALECO BRANCO GG (VERMELHO)"</f>
        <v>JALECO BRANCO GG (VERMELHO)</v>
      </c>
      <c r="C13258" s="2" t="str">
        <f t="shared" si="518"/>
        <v>UN</v>
      </c>
      <c r="D13258" s="7">
        <v>500</v>
      </c>
      <c r="E13258" s="3">
        <v>5</v>
      </c>
      <c r="F13258" s="3">
        <v>5</v>
      </c>
      <c r="G13258" t="s">
        <v>514</v>
      </c>
    </row>
    <row r="13259" spans="1:7" x14ac:dyDescent="0.25">
      <c r="A13259" s="1" t="str">
        <f>"6791"</f>
        <v>6791</v>
      </c>
      <c r="B13259" s="2" t="str">
        <f>"JALECO BRANCO M (AMARELO)"</f>
        <v>JALECO BRANCO M (AMARELO)</v>
      </c>
      <c r="C13259" s="2" t="str">
        <f t="shared" si="518"/>
        <v>UN</v>
      </c>
      <c r="D13259" s="7">
        <v>500</v>
      </c>
      <c r="E13259" s="3">
        <v>5</v>
      </c>
      <c r="F13259" s="3">
        <v>5</v>
      </c>
      <c r="G13259" t="s">
        <v>514</v>
      </c>
    </row>
    <row r="13260" spans="1:7" x14ac:dyDescent="0.25">
      <c r="A13260" s="1" t="str">
        <f>"6819"</f>
        <v>6819</v>
      </c>
      <c r="B13260" s="2" t="str">
        <f>"JALECO BRANCO M (AZUL)"</f>
        <v>JALECO BRANCO M (AZUL)</v>
      </c>
      <c r="C13260" s="2" t="str">
        <f t="shared" si="518"/>
        <v>UN</v>
      </c>
      <c r="D13260" s="7">
        <v>500</v>
      </c>
      <c r="E13260" s="3">
        <v>5</v>
      </c>
      <c r="F13260" s="3">
        <v>5</v>
      </c>
      <c r="G13260" t="s">
        <v>514</v>
      </c>
    </row>
    <row r="13261" spans="1:7" x14ac:dyDescent="0.25">
      <c r="A13261" s="1" t="str">
        <f>"6790"</f>
        <v>6790</v>
      </c>
      <c r="B13261" s="2" t="str">
        <f>"JALECO BRANCO M (VERDE)"</f>
        <v>JALECO BRANCO M (VERDE)</v>
      </c>
      <c r="C13261" s="2" t="str">
        <f t="shared" si="518"/>
        <v>UN</v>
      </c>
      <c r="D13261" s="7">
        <v>500</v>
      </c>
      <c r="E13261" s="3">
        <v>5</v>
      </c>
      <c r="F13261" s="3">
        <v>5</v>
      </c>
      <c r="G13261" t="s">
        <v>513</v>
      </c>
    </row>
    <row r="13262" spans="1:7" x14ac:dyDescent="0.25">
      <c r="A13262" s="1" t="str">
        <f>"6789"</f>
        <v>6789</v>
      </c>
      <c r="B13262" s="2" t="str">
        <f>"JALECO BRANCO M (VERMELHO)"</f>
        <v>JALECO BRANCO M (VERMELHO)</v>
      </c>
      <c r="C13262" s="2" t="str">
        <f t="shared" si="518"/>
        <v>UN</v>
      </c>
      <c r="D13262" s="7">
        <v>500</v>
      </c>
      <c r="E13262" s="3">
        <v>5</v>
      </c>
      <c r="F13262" s="3">
        <v>5</v>
      </c>
      <c r="G13262" t="s">
        <v>512</v>
      </c>
    </row>
    <row r="13263" spans="1:7" x14ac:dyDescent="0.25">
      <c r="A13263" s="1" t="str">
        <f>"303"</f>
        <v>303</v>
      </c>
      <c r="B13263" s="2" t="str">
        <f>"JALECO BRANCO M/LONGA G (CONT.QUALIDADE)"</f>
        <v>JALECO BRANCO M/LONGA G (CONT.QUALIDADE)</v>
      </c>
      <c r="C13263" s="2" t="str">
        <f t="shared" si="518"/>
        <v>UN</v>
      </c>
      <c r="D13263" s="7">
        <v>500</v>
      </c>
      <c r="E13263" s="3">
        <v>5</v>
      </c>
      <c r="F13263" s="3">
        <v>5</v>
      </c>
      <c r="G13263" t="s">
        <v>513</v>
      </c>
    </row>
    <row r="13264" spans="1:7" x14ac:dyDescent="0.25">
      <c r="A13264" s="1" t="str">
        <f>"55557"</f>
        <v>55557</v>
      </c>
      <c r="B13264" s="2" t="str">
        <f>"JALECO BRANCO M/LONGA GG (CONT.QUALIDADE"</f>
        <v>JALECO BRANCO M/LONGA GG (CONT.QUALIDADE</v>
      </c>
      <c r="C13264" s="2" t="str">
        <f t="shared" si="518"/>
        <v>UN</v>
      </c>
      <c r="D13264" s="7">
        <v>500</v>
      </c>
      <c r="E13264" s="3">
        <v>5</v>
      </c>
      <c r="F13264" s="3">
        <v>5</v>
      </c>
      <c r="G13264" t="s">
        <v>514</v>
      </c>
    </row>
    <row r="13265" spans="1:7" x14ac:dyDescent="0.25">
      <c r="A13265" s="1" t="str">
        <f>"6093"</f>
        <v>6093</v>
      </c>
      <c r="B13265" s="2" t="str">
        <f>"JALECO BRANCO M/LONGA M (CONT.QUALIDADE)"</f>
        <v>JALECO BRANCO M/LONGA M (CONT.QUALIDADE)</v>
      </c>
      <c r="C13265" s="2" t="str">
        <f t="shared" si="518"/>
        <v>UN</v>
      </c>
      <c r="D13265" s="7">
        <v>500</v>
      </c>
      <c r="E13265" s="3">
        <v>5</v>
      </c>
      <c r="F13265" s="3">
        <v>5</v>
      </c>
      <c r="G13265" t="s">
        <v>514</v>
      </c>
    </row>
    <row r="13266" spans="1:7" x14ac:dyDescent="0.25">
      <c r="A13266" s="1" t="str">
        <f>"6094"</f>
        <v>6094</v>
      </c>
      <c r="B13266" s="2" t="str">
        <f>"JALECO BRANCO M/LONGA P (CONT.QUALIDADE)"</f>
        <v>JALECO BRANCO M/LONGA P (CONT.QUALIDADE)</v>
      </c>
      <c r="C13266" s="2" t="str">
        <f>"PC"</f>
        <v>PC</v>
      </c>
      <c r="D13266" s="7">
        <v>500</v>
      </c>
      <c r="E13266" s="3">
        <v>5</v>
      </c>
      <c r="F13266" s="3">
        <v>5</v>
      </c>
      <c r="G13266" t="s">
        <v>514</v>
      </c>
    </row>
    <row r="13267" spans="1:7" x14ac:dyDescent="0.25">
      <c r="A13267" s="1" t="str">
        <f>"6795"</f>
        <v>6795</v>
      </c>
      <c r="B13267" s="2" t="str">
        <f>"JALECO BRANCO P (AMARELO)"</f>
        <v>JALECO BRANCO P (AMARELO)</v>
      </c>
      <c r="C13267" s="2" t="str">
        <f t="shared" ref="C13267:C13308" si="519">"UN"</f>
        <v>UN</v>
      </c>
      <c r="D13267" s="7">
        <v>500</v>
      </c>
      <c r="E13267" s="3">
        <v>5</v>
      </c>
      <c r="F13267" s="3">
        <v>5</v>
      </c>
      <c r="G13267" t="s">
        <v>513</v>
      </c>
    </row>
    <row r="13268" spans="1:7" x14ac:dyDescent="0.25">
      <c r="A13268" s="1" t="str">
        <f>"6792"</f>
        <v>6792</v>
      </c>
      <c r="B13268" s="2" t="str">
        <f>"JALECO BRANCO P (AZUL)"</f>
        <v>JALECO BRANCO P (AZUL)</v>
      </c>
      <c r="C13268" s="2" t="str">
        <f t="shared" si="519"/>
        <v>UN</v>
      </c>
      <c r="D13268" s="7">
        <v>500</v>
      </c>
      <c r="E13268" s="3">
        <v>5</v>
      </c>
      <c r="F13268" s="3">
        <v>5</v>
      </c>
      <c r="G13268" t="s">
        <v>513</v>
      </c>
    </row>
    <row r="13269" spans="1:7" x14ac:dyDescent="0.25">
      <c r="A13269" s="1" t="str">
        <f>"6793"</f>
        <v>6793</v>
      </c>
      <c r="B13269" s="2" t="str">
        <f>"JALECO BRANCO P (VERDE)"</f>
        <v>JALECO BRANCO P (VERDE)</v>
      </c>
      <c r="C13269" s="2" t="str">
        <f t="shared" si="519"/>
        <v>UN</v>
      </c>
      <c r="D13269" s="7">
        <v>500</v>
      </c>
      <c r="E13269" s="3">
        <v>5</v>
      </c>
      <c r="F13269" s="3">
        <v>5</v>
      </c>
      <c r="G13269" t="s">
        <v>513</v>
      </c>
    </row>
    <row r="13270" spans="1:7" x14ac:dyDescent="0.25">
      <c r="A13270" s="1" t="str">
        <f>"6794"</f>
        <v>6794</v>
      </c>
      <c r="B13270" s="2" t="str">
        <f>"JALECO BRANCO P (VERMELHO)"</f>
        <v>JALECO BRANCO P (VERMELHO)</v>
      </c>
      <c r="C13270" s="2" t="str">
        <f t="shared" si="519"/>
        <v>UN</v>
      </c>
      <c r="D13270" s="7">
        <v>500</v>
      </c>
      <c r="E13270" s="3">
        <v>5</v>
      </c>
      <c r="F13270" s="3">
        <v>5</v>
      </c>
      <c r="G13270" t="s">
        <v>512</v>
      </c>
    </row>
    <row r="13271" spans="1:7" x14ac:dyDescent="0.25">
      <c r="A13271" s="1" t="str">
        <f>"514962"</f>
        <v>514962</v>
      </c>
      <c r="B13271" s="2" t="str">
        <f>"JALECO CINZA G (AMARELO)"</f>
        <v>JALECO CINZA G (AMARELO)</v>
      </c>
      <c r="C13271" s="2" t="str">
        <f t="shared" si="519"/>
        <v>UN</v>
      </c>
      <c r="D13271" s="7">
        <v>500</v>
      </c>
      <c r="E13271" s="3">
        <v>5</v>
      </c>
      <c r="F13271" s="3">
        <v>5</v>
      </c>
      <c r="G13271" t="s">
        <v>513</v>
      </c>
    </row>
    <row r="13272" spans="1:7" x14ac:dyDescent="0.25">
      <c r="A13272" s="1" t="str">
        <f>"514959"</f>
        <v>514959</v>
      </c>
      <c r="B13272" s="2" t="str">
        <f>"JALECO CINZA G (AZUL)"</f>
        <v>JALECO CINZA G (AZUL)</v>
      </c>
      <c r="C13272" s="2" t="str">
        <f t="shared" si="519"/>
        <v>UN</v>
      </c>
      <c r="D13272" s="7">
        <v>500</v>
      </c>
      <c r="E13272" s="3">
        <v>5</v>
      </c>
      <c r="F13272" s="3">
        <v>5</v>
      </c>
      <c r="G13272" t="s">
        <v>514</v>
      </c>
    </row>
    <row r="13273" spans="1:7" x14ac:dyDescent="0.25">
      <c r="A13273" s="1" t="str">
        <f>"514961"</f>
        <v>514961</v>
      </c>
      <c r="B13273" s="2" t="str">
        <f>"JALECO CINZA G (VERDE)"</f>
        <v>JALECO CINZA G (VERDE)</v>
      </c>
      <c r="C13273" s="2" t="str">
        <f t="shared" si="519"/>
        <v>UN</v>
      </c>
      <c r="D13273" s="7">
        <v>500</v>
      </c>
      <c r="E13273" s="3">
        <v>5</v>
      </c>
      <c r="F13273" s="3">
        <v>5</v>
      </c>
      <c r="G13273" t="s">
        <v>515</v>
      </c>
    </row>
    <row r="13274" spans="1:7" x14ac:dyDescent="0.25">
      <c r="A13274" s="1" t="str">
        <f>"514960"</f>
        <v>514960</v>
      </c>
      <c r="B13274" s="2" t="str">
        <f>"JALECO CINZA G (VERMELHO)"</f>
        <v>JALECO CINZA G (VERMELHO)</v>
      </c>
      <c r="C13274" s="2" t="str">
        <f t="shared" si="519"/>
        <v>UN</v>
      </c>
      <c r="D13274" s="7">
        <v>500</v>
      </c>
      <c r="E13274" s="3">
        <v>5</v>
      </c>
      <c r="F13274" s="3">
        <v>5</v>
      </c>
      <c r="G13274" t="s">
        <v>512</v>
      </c>
    </row>
    <row r="13275" spans="1:7" x14ac:dyDescent="0.25">
      <c r="A13275" s="1" t="str">
        <f>"514958"</f>
        <v>514958</v>
      </c>
      <c r="B13275" s="2" t="str">
        <f>"JALECO CINZA GG (AMARELO)"</f>
        <v>JALECO CINZA GG (AMARELO)</v>
      </c>
      <c r="C13275" s="2" t="str">
        <f t="shared" si="519"/>
        <v>UN</v>
      </c>
      <c r="D13275" s="7">
        <v>500</v>
      </c>
      <c r="E13275" s="3">
        <v>5</v>
      </c>
      <c r="F13275" s="3">
        <v>5</v>
      </c>
      <c r="G13275" t="s">
        <v>516</v>
      </c>
    </row>
    <row r="13276" spans="1:7" x14ac:dyDescent="0.25">
      <c r="A13276" s="1" t="str">
        <f>"514955"</f>
        <v>514955</v>
      </c>
      <c r="B13276" s="2" t="str">
        <f>"JALECO CINZA GG (AZUL)"</f>
        <v>JALECO CINZA GG (AZUL)</v>
      </c>
      <c r="C13276" s="2" t="str">
        <f t="shared" si="519"/>
        <v>UN</v>
      </c>
      <c r="D13276" s="7">
        <v>500</v>
      </c>
      <c r="E13276" s="3">
        <v>5</v>
      </c>
      <c r="F13276" s="3">
        <v>5</v>
      </c>
      <c r="G13276" t="s">
        <v>515</v>
      </c>
    </row>
    <row r="13277" spans="1:7" x14ac:dyDescent="0.25">
      <c r="A13277" s="1" t="str">
        <f>"514957"</f>
        <v>514957</v>
      </c>
      <c r="B13277" s="2" t="str">
        <f>"JALECO CINZA GG (VERDE)"</f>
        <v>JALECO CINZA GG (VERDE)</v>
      </c>
      <c r="C13277" s="2" t="str">
        <f t="shared" si="519"/>
        <v>UN</v>
      </c>
      <c r="D13277" s="7">
        <v>500</v>
      </c>
      <c r="E13277" s="3">
        <v>5</v>
      </c>
      <c r="F13277" s="3">
        <v>5</v>
      </c>
      <c r="G13277" t="s">
        <v>514</v>
      </c>
    </row>
    <row r="13278" spans="1:7" x14ac:dyDescent="0.25">
      <c r="A13278" s="1" t="str">
        <f>"514956"</f>
        <v>514956</v>
      </c>
      <c r="B13278" s="2" t="str">
        <f>"JALECO CINZA GG (VERMELHO)"</f>
        <v>JALECO CINZA GG (VERMELHO)</v>
      </c>
      <c r="C13278" s="2" t="str">
        <f t="shared" si="519"/>
        <v>UN</v>
      </c>
      <c r="D13278" s="7">
        <v>500</v>
      </c>
      <c r="E13278" s="3">
        <v>5</v>
      </c>
      <c r="F13278" s="3">
        <v>5</v>
      </c>
      <c r="G13278" t="s">
        <v>512</v>
      </c>
    </row>
    <row r="13279" spans="1:7" x14ac:dyDescent="0.25">
      <c r="A13279" s="1" t="str">
        <f>"514966"</f>
        <v>514966</v>
      </c>
      <c r="B13279" s="2" t="str">
        <f>"JALECO CINZA M (AMARELO)"</f>
        <v>JALECO CINZA M (AMARELO)</v>
      </c>
      <c r="C13279" s="2" t="str">
        <f t="shared" si="519"/>
        <v>UN</v>
      </c>
      <c r="D13279" s="7">
        <v>500</v>
      </c>
      <c r="E13279" s="3">
        <v>5</v>
      </c>
      <c r="F13279" s="3">
        <v>5</v>
      </c>
      <c r="G13279" t="s">
        <v>513</v>
      </c>
    </row>
    <row r="13280" spans="1:7" x14ac:dyDescent="0.25">
      <c r="A13280" s="1" t="str">
        <f>"514963"</f>
        <v>514963</v>
      </c>
      <c r="B13280" s="2" t="str">
        <f>"JALECO CINZA M (AZUL)"</f>
        <v>JALECO CINZA M (AZUL)</v>
      </c>
      <c r="C13280" s="2" t="str">
        <f t="shared" si="519"/>
        <v>UN</v>
      </c>
      <c r="D13280" s="7">
        <v>500</v>
      </c>
      <c r="E13280" s="3">
        <v>5</v>
      </c>
      <c r="F13280" s="3">
        <v>5</v>
      </c>
      <c r="G13280" t="s">
        <v>514</v>
      </c>
    </row>
    <row r="13281" spans="1:7" x14ac:dyDescent="0.25">
      <c r="A13281" s="1" t="str">
        <f>"514965"</f>
        <v>514965</v>
      </c>
      <c r="B13281" s="2" t="str">
        <f>"JALECO CINZA M (VERDE)"</f>
        <v>JALECO CINZA M (VERDE)</v>
      </c>
      <c r="C13281" s="2" t="str">
        <f t="shared" si="519"/>
        <v>UN</v>
      </c>
      <c r="D13281" s="7">
        <v>500</v>
      </c>
      <c r="E13281" s="3">
        <v>5</v>
      </c>
      <c r="F13281" s="3">
        <v>5</v>
      </c>
      <c r="G13281" t="s">
        <v>514</v>
      </c>
    </row>
    <row r="13282" spans="1:7" x14ac:dyDescent="0.25">
      <c r="A13282" s="1" t="str">
        <f>"514964"</f>
        <v>514964</v>
      </c>
      <c r="B13282" s="2" t="str">
        <f>"JALECO CINZA M (VERMELHO)"</f>
        <v>JALECO CINZA M (VERMELHO)</v>
      </c>
      <c r="C13282" s="2" t="str">
        <f t="shared" si="519"/>
        <v>UN</v>
      </c>
      <c r="D13282" s="7">
        <v>500</v>
      </c>
      <c r="E13282" s="3">
        <v>5</v>
      </c>
      <c r="F13282" s="3">
        <v>5</v>
      </c>
      <c r="G13282" t="s">
        <v>512</v>
      </c>
    </row>
    <row r="13283" spans="1:7" x14ac:dyDescent="0.25">
      <c r="A13283" s="1" t="str">
        <f>"515191"</f>
        <v>515191</v>
      </c>
      <c r="B13283" s="2" t="str">
        <f>"JALECO DESCARTAVEL TNT"</f>
        <v>JALECO DESCARTAVEL TNT</v>
      </c>
      <c r="C13283" s="2" t="str">
        <f t="shared" si="519"/>
        <v>UN</v>
      </c>
      <c r="D13283" s="7">
        <v>502</v>
      </c>
      <c r="E13283" s="3">
        <v>5</v>
      </c>
      <c r="F13283" s="3">
        <v>5</v>
      </c>
      <c r="G13283" t="s">
        <v>513</v>
      </c>
    </row>
    <row r="13284" spans="1:7" x14ac:dyDescent="0.25">
      <c r="A13284" s="1" t="str">
        <f>"523694"</f>
        <v>523694</v>
      </c>
      <c r="B13284" s="2" t="str">
        <f>"JALECO LILÁS G"</f>
        <v>JALECO LILÁS G</v>
      </c>
      <c r="C13284" s="2" t="str">
        <f t="shared" si="519"/>
        <v>UN</v>
      </c>
      <c r="D13284" s="7">
        <v>99999</v>
      </c>
      <c r="E13284" s="3">
        <v>99</v>
      </c>
      <c r="F13284" s="3">
        <v>99</v>
      </c>
      <c r="G13284" t="s">
        <v>514</v>
      </c>
    </row>
    <row r="13285" spans="1:7" x14ac:dyDescent="0.25">
      <c r="A13285" s="1" t="str">
        <f>"521717"</f>
        <v>521717</v>
      </c>
      <c r="B13285" s="2" t="str">
        <f>"JALECO LILÁS GG"</f>
        <v>JALECO LILÁS GG</v>
      </c>
      <c r="C13285" s="2" t="str">
        <f t="shared" si="519"/>
        <v>UN</v>
      </c>
      <c r="D13285" s="7">
        <v>99999</v>
      </c>
      <c r="E13285" s="3">
        <v>99</v>
      </c>
      <c r="F13285" s="3">
        <v>99</v>
      </c>
      <c r="G13285" t="s">
        <v>514</v>
      </c>
    </row>
    <row r="13286" spans="1:7" x14ac:dyDescent="0.25">
      <c r="A13286" s="1" t="str">
        <f>"521718"</f>
        <v>521718</v>
      </c>
      <c r="B13286" s="2" t="str">
        <f>"JALECO LILÁS M"</f>
        <v>JALECO LILÁS M</v>
      </c>
      <c r="C13286" s="2" t="str">
        <f t="shared" si="519"/>
        <v>UN</v>
      </c>
      <c r="D13286" s="7">
        <v>99999</v>
      </c>
      <c r="E13286" s="3">
        <v>99</v>
      </c>
      <c r="F13286" s="3">
        <v>99</v>
      </c>
      <c r="G13286" t="s">
        <v>514</v>
      </c>
    </row>
    <row r="13287" spans="1:7" x14ac:dyDescent="0.25">
      <c r="A13287" s="1" t="str">
        <f>"514293"</f>
        <v>514293</v>
      </c>
      <c r="B13287" s="2" t="str">
        <f>"JALECO M/C - G"</f>
        <v>JALECO M/C - G</v>
      </c>
      <c r="C13287" s="2" t="str">
        <f t="shared" si="519"/>
        <v>UN</v>
      </c>
      <c r="D13287" s="7">
        <v>500</v>
      </c>
      <c r="E13287" s="3">
        <v>5</v>
      </c>
      <c r="F13287" s="3">
        <v>5</v>
      </c>
      <c r="G13287" t="s">
        <v>513</v>
      </c>
    </row>
    <row r="13288" spans="1:7" x14ac:dyDescent="0.25">
      <c r="A13288" s="1" t="str">
        <f>"514292"</f>
        <v>514292</v>
      </c>
      <c r="B13288" s="2" t="str">
        <f>"JALECO M/C - GG"</f>
        <v>JALECO M/C - GG</v>
      </c>
      <c r="C13288" s="2" t="str">
        <f t="shared" si="519"/>
        <v>UN</v>
      </c>
      <c r="D13288" s="7">
        <v>500</v>
      </c>
      <c r="E13288" s="3">
        <v>5</v>
      </c>
      <c r="F13288" s="3">
        <v>5</v>
      </c>
      <c r="G13288" t="s">
        <v>512</v>
      </c>
    </row>
    <row r="13289" spans="1:7" x14ac:dyDescent="0.25">
      <c r="A13289" s="1" t="str">
        <f>"519385"</f>
        <v>519385</v>
      </c>
      <c r="B13289" s="2" t="str">
        <f>"JALECO M/C - M"</f>
        <v>JALECO M/C - M</v>
      </c>
      <c r="C13289" s="2" t="str">
        <f t="shared" si="519"/>
        <v>UN</v>
      </c>
      <c r="D13289" s="7">
        <v>500</v>
      </c>
      <c r="E13289" s="3">
        <v>5</v>
      </c>
      <c r="F13289" s="3">
        <v>5</v>
      </c>
      <c r="G13289" t="s">
        <v>513</v>
      </c>
    </row>
    <row r="13290" spans="1:7" x14ac:dyDescent="0.25">
      <c r="A13290" s="1" t="str">
        <f>"519384"</f>
        <v>519384</v>
      </c>
      <c r="B13290" s="2" t="str">
        <f>"JALECO M/C - P"</f>
        <v>JALECO M/C - P</v>
      </c>
      <c r="C13290" s="2" t="str">
        <f t="shared" si="519"/>
        <v>UN</v>
      </c>
      <c r="D13290" s="7">
        <v>500</v>
      </c>
      <c r="E13290" s="3">
        <v>5</v>
      </c>
      <c r="F13290" s="3">
        <v>5</v>
      </c>
      <c r="G13290" t="s">
        <v>514</v>
      </c>
    </row>
    <row r="13291" spans="1:7" x14ac:dyDescent="0.25">
      <c r="A13291" s="1" t="str">
        <f>"521021"</f>
        <v>521021</v>
      </c>
      <c r="B13291" s="2" t="str">
        <f>"JALECO M/C - XL"</f>
        <v>JALECO M/C - XL</v>
      </c>
      <c r="C13291" s="2" t="str">
        <f t="shared" si="519"/>
        <v>UN</v>
      </c>
      <c r="D13291" s="7">
        <v>500</v>
      </c>
      <c r="E13291" s="3">
        <v>5</v>
      </c>
      <c r="F13291" s="3">
        <v>5</v>
      </c>
      <c r="G13291" t="s">
        <v>514</v>
      </c>
    </row>
    <row r="13292" spans="1:7" x14ac:dyDescent="0.25">
      <c r="A13292" s="1" t="str">
        <f>"521440"</f>
        <v>521440</v>
      </c>
      <c r="B13292" s="2" t="str">
        <f>"JALECO M/L BRANCO EGG - FABRICA"</f>
        <v>JALECO M/L BRANCO EGG - FABRICA</v>
      </c>
      <c r="C13292" s="2" t="str">
        <f t="shared" si="519"/>
        <v>UN</v>
      </c>
      <c r="D13292" s="7">
        <v>500</v>
      </c>
      <c r="E13292" s="3">
        <v>5</v>
      </c>
      <c r="F13292" s="3">
        <v>5</v>
      </c>
      <c r="G13292" t="s">
        <v>514</v>
      </c>
    </row>
    <row r="13293" spans="1:7" x14ac:dyDescent="0.25">
      <c r="A13293" s="1" t="str">
        <f>"521355"</f>
        <v>521355</v>
      </c>
      <c r="B13293" s="2" t="str">
        <f>"JALECO M/L BRANCO EGG - GERENTE DE PRODUÇÃO C/ BOLSO"</f>
        <v>JALECO M/L BRANCO EGG - GERENTE DE PRODUÇÃO C/ BOLSO</v>
      </c>
      <c r="C13293" s="2" t="str">
        <f t="shared" si="519"/>
        <v>UN</v>
      </c>
      <c r="D13293" s="7">
        <v>500</v>
      </c>
      <c r="E13293" s="3">
        <v>5</v>
      </c>
      <c r="F13293" s="3">
        <v>5</v>
      </c>
      <c r="G13293" t="s">
        <v>513</v>
      </c>
    </row>
    <row r="13294" spans="1:7" x14ac:dyDescent="0.25">
      <c r="A13294" s="1" t="str">
        <f>"521425"</f>
        <v>521425</v>
      </c>
      <c r="B13294" s="2" t="str">
        <f>"JALECO M/L BRANCO G"</f>
        <v>JALECO M/L BRANCO G</v>
      </c>
      <c r="C13294" s="2" t="str">
        <f t="shared" si="519"/>
        <v>UN</v>
      </c>
      <c r="D13294" s="7">
        <v>500</v>
      </c>
      <c r="E13294" s="3">
        <v>5</v>
      </c>
      <c r="F13294" s="3">
        <v>5</v>
      </c>
      <c r="G13294" t="s">
        <v>513</v>
      </c>
    </row>
    <row r="13295" spans="1:7" x14ac:dyDescent="0.25">
      <c r="A13295" s="1" t="str">
        <f>"521353"</f>
        <v>521353</v>
      </c>
      <c r="B13295" s="2" t="str">
        <f>"JALECO M/L BRANCO G - ENGENHARIA"</f>
        <v>JALECO M/L BRANCO G - ENGENHARIA</v>
      </c>
      <c r="C13295" s="2" t="str">
        <f t="shared" si="519"/>
        <v>UN</v>
      </c>
      <c r="D13295" s="7">
        <v>500</v>
      </c>
      <c r="E13295" s="3">
        <v>5</v>
      </c>
      <c r="F13295" s="3">
        <v>5</v>
      </c>
      <c r="G13295" t="s">
        <v>513</v>
      </c>
    </row>
    <row r="13296" spans="1:7" x14ac:dyDescent="0.25">
      <c r="A13296" s="1" t="str">
        <f>"523695"</f>
        <v>523695</v>
      </c>
      <c r="B13296" s="2" t="str">
        <f>"JALECO M/L BRANCO G - MEDICINA DO TRABALHO"</f>
        <v>JALECO M/L BRANCO G - MEDICINA DO TRABALHO</v>
      </c>
      <c r="C13296" s="2" t="str">
        <f t="shared" si="519"/>
        <v>UN</v>
      </c>
      <c r="D13296" s="7">
        <v>500</v>
      </c>
      <c r="E13296" s="3">
        <v>5</v>
      </c>
      <c r="F13296" s="3">
        <v>5</v>
      </c>
      <c r="G13296" t="s">
        <v>512</v>
      </c>
    </row>
    <row r="13297" spans="1:7" x14ac:dyDescent="0.25">
      <c r="A13297" s="1" t="str">
        <f>"521426"</f>
        <v>521426</v>
      </c>
      <c r="B13297" s="2" t="str">
        <f>"JALECO M/L BRANCO GG"</f>
        <v>JALECO M/L BRANCO GG</v>
      </c>
      <c r="C13297" s="2" t="str">
        <f t="shared" si="519"/>
        <v>UN</v>
      </c>
      <c r="D13297" s="7">
        <v>500</v>
      </c>
      <c r="E13297" s="3">
        <v>5</v>
      </c>
      <c r="F13297" s="3">
        <v>5</v>
      </c>
      <c r="G13297" t="s">
        <v>513</v>
      </c>
    </row>
    <row r="13298" spans="1:7" x14ac:dyDescent="0.25">
      <c r="A13298" s="1" t="str">
        <f>"521368"</f>
        <v>521368</v>
      </c>
      <c r="B13298" s="2" t="str">
        <f>"JALECO M/L BRANCO GG - ENGENHARIA"</f>
        <v>JALECO M/L BRANCO GG - ENGENHARIA</v>
      </c>
      <c r="C13298" s="2" t="str">
        <f t="shared" si="519"/>
        <v>UN</v>
      </c>
      <c r="D13298" s="7">
        <v>500</v>
      </c>
      <c r="E13298" s="3">
        <v>5</v>
      </c>
      <c r="F13298" s="3">
        <v>5</v>
      </c>
      <c r="G13298" t="s">
        <v>514</v>
      </c>
    </row>
    <row r="13299" spans="1:7" x14ac:dyDescent="0.25">
      <c r="A13299" s="1" t="str">
        <f>"521424"</f>
        <v>521424</v>
      </c>
      <c r="B13299" s="2" t="str">
        <f>"JALECO M/L BRANCO M"</f>
        <v>JALECO M/L BRANCO M</v>
      </c>
      <c r="C13299" s="2" t="str">
        <f t="shared" si="519"/>
        <v>UN</v>
      </c>
      <c r="D13299" s="7">
        <v>500</v>
      </c>
      <c r="E13299" s="3">
        <v>5</v>
      </c>
      <c r="F13299" s="3">
        <v>5</v>
      </c>
      <c r="G13299" t="s">
        <v>515</v>
      </c>
    </row>
    <row r="13300" spans="1:7" x14ac:dyDescent="0.25">
      <c r="A13300" s="1" t="str">
        <f>"521352"</f>
        <v>521352</v>
      </c>
      <c r="B13300" s="2" t="str">
        <f>"JALECO M/L BRANCO M - ENGENHARIA"</f>
        <v>JALECO M/L BRANCO M - ENGENHARIA</v>
      </c>
      <c r="C13300" s="2" t="str">
        <f t="shared" si="519"/>
        <v>UN</v>
      </c>
      <c r="D13300" s="7">
        <v>500</v>
      </c>
      <c r="E13300" s="3">
        <v>5</v>
      </c>
      <c r="F13300" s="3">
        <v>5</v>
      </c>
      <c r="G13300" t="s">
        <v>512</v>
      </c>
    </row>
    <row r="13301" spans="1:7" x14ac:dyDescent="0.25">
      <c r="A13301" s="1" t="str">
        <f>"521356"</f>
        <v>521356</v>
      </c>
      <c r="B13301" s="2" t="str">
        <f>"JALECO M/L BRANCO M - GERENTE DE PCP C/ BOLSO"</f>
        <v>JALECO M/L BRANCO M - GERENTE DE PCP C/ BOLSO</v>
      </c>
      <c r="C13301" s="2" t="str">
        <f t="shared" si="519"/>
        <v>UN</v>
      </c>
      <c r="D13301" s="7">
        <v>500</v>
      </c>
      <c r="E13301" s="3">
        <v>5</v>
      </c>
      <c r="F13301" s="3">
        <v>5</v>
      </c>
      <c r="G13301" t="s">
        <v>516</v>
      </c>
    </row>
    <row r="13302" spans="1:7" x14ac:dyDescent="0.25">
      <c r="A13302" s="1" t="str">
        <f>"521354"</f>
        <v>521354</v>
      </c>
      <c r="B13302" s="2" t="str">
        <f>"JALECO M/L BRANCO M - GERENTE DE QUALIDADE C/ BOLSO"</f>
        <v>JALECO M/L BRANCO M - GERENTE DE QUALIDADE C/ BOLSO</v>
      </c>
      <c r="C13302" s="2" t="str">
        <f t="shared" si="519"/>
        <v>UN</v>
      </c>
      <c r="D13302" s="7">
        <v>500</v>
      </c>
      <c r="E13302" s="3">
        <v>5</v>
      </c>
      <c r="F13302" s="3">
        <v>5</v>
      </c>
      <c r="G13302" t="s">
        <v>515</v>
      </c>
    </row>
    <row r="13303" spans="1:7" x14ac:dyDescent="0.25">
      <c r="A13303" s="1" t="str">
        <f>"521489"</f>
        <v>521489</v>
      </c>
      <c r="B13303" s="2" t="str">
        <f>"JALECO M/L BRANCO M - QUALIDADE"</f>
        <v>JALECO M/L BRANCO M - QUALIDADE</v>
      </c>
      <c r="C13303" s="2" t="str">
        <f t="shared" si="519"/>
        <v>UN</v>
      </c>
      <c r="D13303" s="7">
        <v>500</v>
      </c>
      <c r="E13303" s="3">
        <v>5</v>
      </c>
      <c r="F13303" s="3">
        <v>5</v>
      </c>
      <c r="G13303" t="s">
        <v>514</v>
      </c>
    </row>
    <row r="13304" spans="1:7" x14ac:dyDescent="0.25">
      <c r="A13304" s="1" t="str">
        <f>"521423"</f>
        <v>521423</v>
      </c>
      <c r="B13304" s="2" t="str">
        <f>"JALECO M/L BRANCO P"</f>
        <v>JALECO M/L BRANCO P</v>
      </c>
      <c r="C13304" s="2" t="str">
        <f t="shared" si="519"/>
        <v>UN</v>
      </c>
      <c r="D13304" s="7">
        <v>500</v>
      </c>
      <c r="E13304" s="3">
        <v>5</v>
      </c>
      <c r="F13304" s="3">
        <v>5</v>
      </c>
      <c r="G13304" t="s">
        <v>512</v>
      </c>
    </row>
    <row r="13305" spans="1:7" x14ac:dyDescent="0.25">
      <c r="A13305" s="1" t="str">
        <f>"521486"</f>
        <v>521486</v>
      </c>
      <c r="B13305" s="2" t="str">
        <f>"JALECO M/L BRANCO P - QUALIDADE"</f>
        <v>JALECO M/L BRANCO P - QUALIDADE</v>
      </c>
      <c r="C13305" s="2" t="str">
        <f t="shared" si="519"/>
        <v>UN</v>
      </c>
      <c r="D13305" s="7">
        <v>500</v>
      </c>
      <c r="E13305" s="3">
        <v>5</v>
      </c>
      <c r="F13305" s="3">
        <v>5</v>
      </c>
      <c r="G13305" t="s">
        <v>513</v>
      </c>
    </row>
    <row r="13306" spans="1:7" x14ac:dyDescent="0.25">
      <c r="A13306" s="1" t="str">
        <f>"513749"</f>
        <v>513749</v>
      </c>
      <c r="B13306" s="2" t="str">
        <f>"JALECO OXFORD"</f>
        <v>JALECO OXFORD</v>
      </c>
      <c r="C13306" s="2" t="str">
        <f t="shared" si="519"/>
        <v>UN</v>
      </c>
      <c r="D13306" s="7">
        <v>500</v>
      </c>
      <c r="E13306" s="3">
        <v>5</v>
      </c>
      <c r="F13306" s="3">
        <v>5</v>
      </c>
      <c r="G13306" t="s">
        <v>514</v>
      </c>
    </row>
    <row r="13307" spans="1:7" x14ac:dyDescent="0.25">
      <c r="A13307" s="1" t="str">
        <f>"521075"</f>
        <v>521075</v>
      </c>
      <c r="B13307" s="2" t="str">
        <f>"JALECO TNT MANGA LONGA BRANCO 20G 1M COMP. COM CINTO"</f>
        <v>JALECO TNT MANGA LONGA BRANCO 20G 1M COMP. COM CINTO</v>
      </c>
      <c r="C13307" s="2" t="str">
        <f t="shared" si="519"/>
        <v>UN</v>
      </c>
      <c r="D13307" s="7">
        <v>400</v>
      </c>
      <c r="E13307" s="3">
        <v>4</v>
      </c>
      <c r="F13307" s="3">
        <v>4</v>
      </c>
      <c r="G13307" t="s">
        <v>514</v>
      </c>
    </row>
    <row r="13308" spans="1:7" x14ac:dyDescent="0.25">
      <c r="A13308" s="1" t="str">
        <f>"527839"</f>
        <v>527839</v>
      </c>
      <c r="B13308" s="2" t="str">
        <f>"JANELA EM VIDRO FUMÊ UMA FOLHA 0,008M X 1,0M X 1,5M"</f>
        <v>JANELA EM VIDRO FUMÊ UMA FOLHA 0,008M X 1,0M X 1,5M</v>
      </c>
      <c r="C13308" s="2" t="str">
        <f t="shared" si="519"/>
        <v>UN</v>
      </c>
      <c r="D13308" s="7">
        <v>803</v>
      </c>
      <c r="E13308" s="3">
        <v>10</v>
      </c>
      <c r="F13308" s="3">
        <v>10</v>
      </c>
      <c r="G13308" t="s">
        <v>512</v>
      </c>
    </row>
    <row r="13309" spans="1:7" x14ac:dyDescent="0.25">
      <c r="A13309" s="1" t="str">
        <f>"573830"</f>
        <v>573830</v>
      </c>
      <c r="B13309" s="2" t="str">
        <f>"JAPONA TÉRMICA -35 AZUL - MEDIDA ESPECIAL"</f>
        <v>JAPONA TÉRMICA -35 AZUL - MEDIDA ESPECIAL</v>
      </c>
      <c r="C13309" s="2" t="str">
        <f>"PC"</f>
        <v>PC</v>
      </c>
      <c r="D13309" s="7">
        <v>500</v>
      </c>
      <c r="E13309" s="3">
        <v>5</v>
      </c>
      <c r="F13309" s="3">
        <v>5</v>
      </c>
      <c r="G13309" t="s">
        <v>513</v>
      </c>
    </row>
    <row r="13310" spans="1:7" x14ac:dyDescent="0.25">
      <c r="A13310" s="1" t="str">
        <f>"527205"</f>
        <v>527205</v>
      </c>
      <c r="B13310" s="2" t="str">
        <f>"JAQUETA 3/4 TERMICA INCENDIO ARAMIDA HERCULES G PT CA-32772"</f>
        <v>JAQUETA 3/4 TERMICA INCENDIO ARAMIDA HERCULES G PT CA-32772</v>
      </c>
      <c r="C13310" s="2" t="str">
        <f t="shared" ref="C13310:C13331" si="520">"UN"</f>
        <v>UN</v>
      </c>
      <c r="D13310" s="7">
        <v>501</v>
      </c>
      <c r="E13310" s="3">
        <v>5</v>
      </c>
      <c r="F13310" s="3">
        <v>5</v>
      </c>
      <c r="G13310" t="s">
        <v>514</v>
      </c>
    </row>
    <row r="13311" spans="1:7" x14ac:dyDescent="0.25">
      <c r="A13311" s="1" t="str">
        <f>"524308"</f>
        <v>524308</v>
      </c>
      <c r="B13311" s="2" t="str">
        <f>"JAQUETA FR CAQUI TAM. G"</f>
        <v>JAQUETA FR CAQUI TAM. G</v>
      </c>
      <c r="C13311" s="2" t="str">
        <f t="shared" si="520"/>
        <v>UN</v>
      </c>
      <c r="D13311" s="7">
        <v>500</v>
      </c>
      <c r="E13311" s="3">
        <v>5</v>
      </c>
      <c r="F13311" s="3">
        <v>5</v>
      </c>
      <c r="G13311" t="s">
        <v>514</v>
      </c>
    </row>
    <row r="13312" spans="1:7" x14ac:dyDescent="0.25">
      <c r="A13312" s="1" t="str">
        <f>"524309"</f>
        <v>524309</v>
      </c>
      <c r="B13312" s="2" t="str">
        <f>"JAQUETA FR CAQUI TAM. GG"</f>
        <v>JAQUETA FR CAQUI TAM. GG</v>
      </c>
      <c r="C13312" s="2" t="str">
        <f t="shared" si="520"/>
        <v>UN</v>
      </c>
      <c r="D13312" s="7">
        <v>500</v>
      </c>
      <c r="E13312" s="3">
        <v>5</v>
      </c>
      <c r="F13312" s="3">
        <v>5</v>
      </c>
      <c r="G13312" t="s">
        <v>514</v>
      </c>
    </row>
    <row r="13313" spans="1:7" x14ac:dyDescent="0.25">
      <c r="A13313" s="1" t="str">
        <f>"524307"</f>
        <v>524307</v>
      </c>
      <c r="B13313" s="2" t="str">
        <f>"JAQUETA FR CAQUI TAM. M"</f>
        <v>JAQUETA FR CAQUI TAM. M</v>
      </c>
      <c r="C13313" s="2" t="str">
        <f t="shared" si="520"/>
        <v>UN</v>
      </c>
      <c r="D13313" s="7">
        <v>500</v>
      </c>
      <c r="E13313" s="3">
        <v>5</v>
      </c>
      <c r="F13313" s="3">
        <v>5</v>
      </c>
      <c r="G13313" t="s">
        <v>513</v>
      </c>
    </row>
    <row r="13314" spans="1:7" x14ac:dyDescent="0.25">
      <c r="A13314" s="1" t="str">
        <f>"514290"</f>
        <v>514290</v>
      </c>
      <c r="B13314" s="2" t="str">
        <f>"JAQUETA TAC TEL FEMININA"</f>
        <v>JAQUETA TAC TEL FEMININA</v>
      </c>
      <c r="C13314" s="2" t="str">
        <f t="shared" si="520"/>
        <v>UN</v>
      </c>
      <c r="D13314" s="7">
        <v>500</v>
      </c>
      <c r="E13314" s="3">
        <v>5</v>
      </c>
      <c r="F13314" s="3">
        <v>5</v>
      </c>
      <c r="G13314" t="s">
        <v>512</v>
      </c>
    </row>
    <row r="13315" spans="1:7" x14ac:dyDescent="0.25">
      <c r="A13315" s="1" t="str">
        <f>"514289"</f>
        <v>514289</v>
      </c>
      <c r="B13315" s="2" t="str">
        <f>"JAQUETA TAC TEL MASCULINA"</f>
        <v>JAQUETA TAC TEL MASCULINA</v>
      </c>
      <c r="C13315" s="2" t="str">
        <f t="shared" si="520"/>
        <v>UN</v>
      </c>
      <c r="D13315" s="7">
        <v>500</v>
      </c>
      <c r="E13315" s="3">
        <v>5</v>
      </c>
      <c r="F13315" s="3">
        <v>5</v>
      </c>
      <c r="G13315" t="s">
        <v>513</v>
      </c>
    </row>
    <row r="13316" spans="1:7" x14ac:dyDescent="0.25">
      <c r="A13316" s="1" t="str">
        <f>"518943"</f>
        <v>518943</v>
      </c>
      <c r="B13316" s="2" t="str">
        <f>"JARRA 1,5 LITROS"</f>
        <v>JARRA 1,5 LITROS</v>
      </c>
      <c r="C13316" s="2" t="str">
        <f t="shared" si="520"/>
        <v>UN</v>
      </c>
      <c r="D13316" s="7">
        <v>408</v>
      </c>
      <c r="E13316" s="3">
        <v>4</v>
      </c>
      <c r="F13316" s="3">
        <v>4</v>
      </c>
      <c r="G13316" t="s">
        <v>514</v>
      </c>
    </row>
    <row r="13317" spans="1:7" x14ac:dyDescent="0.25">
      <c r="A13317" s="1" t="str">
        <f>"6363"</f>
        <v>6363</v>
      </c>
      <c r="B13317" s="2" t="str">
        <f>"JARRA 1L PP C/ BICO E ALÇA CAP-LAB 3397"</f>
        <v>JARRA 1L PP C/ BICO E ALÇA CAP-LAB 3397</v>
      </c>
      <c r="C13317" s="2" t="str">
        <f t="shared" si="520"/>
        <v>UN</v>
      </c>
      <c r="D13317" s="7">
        <v>408</v>
      </c>
      <c r="E13317" s="3">
        <v>4</v>
      </c>
      <c r="F13317" s="3">
        <v>4</v>
      </c>
      <c r="G13317" t="s">
        <v>514</v>
      </c>
    </row>
    <row r="13318" spans="1:7" x14ac:dyDescent="0.25">
      <c r="A13318" s="1" t="str">
        <f>"527969"</f>
        <v>527969</v>
      </c>
      <c r="B13318" s="2" t="str">
        <f>"JARRA 2 LITROS"</f>
        <v>JARRA 2 LITROS</v>
      </c>
      <c r="C13318" s="2" t="str">
        <f t="shared" si="520"/>
        <v>UN</v>
      </c>
      <c r="D13318" s="7">
        <v>408</v>
      </c>
      <c r="E13318" s="3">
        <v>4</v>
      </c>
      <c r="F13318" s="3">
        <v>4</v>
      </c>
      <c r="G13318" t="s">
        <v>514</v>
      </c>
    </row>
    <row r="13319" spans="1:7" x14ac:dyDescent="0.25">
      <c r="A13319" s="1" t="str">
        <f>"6362"</f>
        <v>6362</v>
      </c>
      <c r="B13319" s="2" t="str">
        <f>"JARRA 4 LITROS"</f>
        <v>JARRA 4 LITROS</v>
      </c>
      <c r="C13319" s="2" t="str">
        <f t="shared" si="520"/>
        <v>UN</v>
      </c>
      <c r="D13319" s="7">
        <v>408</v>
      </c>
      <c r="E13319" s="3">
        <v>4</v>
      </c>
      <c r="F13319" s="3">
        <v>4</v>
      </c>
      <c r="G13319" t="s">
        <v>513</v>
      </c>
    </row>
    <row r="13320" spans="1:7" x14ac:dyDescent="0.25">
      <c r="A13320" s="1" t="str">
        <f>"513630"</f>
        <v>513630</v>
      </c>
      <c r="B13320" s="2" t="str">
        <f>"JARRA ANAEROBIOSE MERCK 298,21"</f>
        <v>JARRA ANAEROBIOSE MERCK 298,21</v>
      </c>
      <c r="C13320" s="2" t="str">
        <f t="shared" si="520"/>
        <v>UN</v>
      </c>
      <c r="D13320" s="7">
        <v>406</v>
      </c>
      <c r="E13320" s="3">
        <v>4</v>
      </c>
      <c r="F13320" s="3">
        <v>4</v>
      </c>
      <c r="G13320" t="s">
        <v>513</v>
      </c>
    </row>
    <row r="13321" spans="1:7" x14ac:dyDescent="0.25">
      <c r="A13321" s="1" t="str">
        <f>"523749"</f>
        <v>523749</v>
      </c>
      <c r="B13321" s="2" t="str">
        <f>"JARRA COLORIDA COM BICO 0,5L PRO P2668-2 COR BRANCA"</f>
        <v>JARRA COLORIDA COM BICO 0,5L PRO P2668-2 COR BRANCA</v>
      </c>
      <c r="C13321" s="2" t="str">
        <f t="shared" si="520"/>
        <v>UN</v>
      </c>
      <c r="D13321" s="7">
        <v>400</v>
      </c>
      <c r="E13321" s="3">
        <v>4</v>
      </c>
      <c r="F13321" s="3">
        <v>4</v>
      </c>
      <c r="G13321" t="s">
        <v>513</v>
      </c>
    </row>
    <row r="13322" spans="1:7" x14ac:dyDescent="0.25">
      <c r="A13322" s="1" t="str">
        <f>"521219"</f>
        <v>521219</v>
      </c>
      <c r="B13322" s="2" t="str">
        <f>"JARRA DE PLASTICO 1000ML DIV. 100/100ML"</f>
        <v>JARRA DE PLASTICO 1000ML DIV. 100/100ML</v>
      </c>
      <c r="C13322" s="2" t="str">
        <f t="shared" si="520"/>
        <v>UN</v>
      </c>
      <c r="D13322" s="7">
        <v>406</v>
      </c>
      <c r="E13322" s="3">
        <v>4</v>
      </c>
      <c r="F13322" s="3">
        <v>4</v>
      </c>
      <c r="G13322" t="s">
        <v>512</v>
      </c>
    </row>
    <row r="13323" spans="1:7" x14ac:dyDescent="0.25">
      <c r="A13323" s="1" t="str">
        <f>"523700"</f>
        <v>523700</v>
      </c>
      <c r="B13323" s="2" t="str">
        <f>"JARRA DE POLIMETILPENTENO CÓD. 1223 - 3000"</f>
        <v>JARRA DE POLIMETILPENTENO CÓD. 1223 - 3000</v>
      </c>
      <c r="C13323" s="2" t="str">
        <f t="shared" si="520"/>
        <v>UN</v>
      </c>
      <c r="D13323" s="7">
        <v>408</v>
      </c>
      <c r="E13323" s="3">
        <v>4</v>
      </c>
      <c r="F13323" s="3">
        <v>4</v>
      </c>
      <c r="G13323" t="s">
        <v>513</v>
      </c>
    </row>
    <row r="13324" spans="1:7" x14ac:dyDescent="0.25">
      <c r="A13324" s="1" t="str">
        <f>"511480"</f>
        <v>511480</v>
      </c>
      <c r="B13324" s="2" t="str">
        <f>"JARRA GRADUADA 1000ML NALGENE HX0007-00032"</f>
        <v>JARRA GRADUADA 1000ML NALGENE HX0007-00032</v>
      </c>
      <c r="C13324" s="2" t="str">
        <f t="shared" si="520"/>
        <v>UN</v>
      </c>
      <c r="D13324" s="7">
        <v>402</v>
      </c>
      <c r="E13324" s="3">
        <v>4</v>
      </c>
      <c r="F13324" s="3">
        <v>4</v>
      </c>
      <c r="G13324" t="s">
        <v>514</v>
      </c>
    </row>
    <row r="13325" spans="1:7" x14ac:dyDescent="0.25">
      <c r="A13325" s="1" t="str">
        <f>"520700"</f>
        <v>520700</v>
      </c>
      <c r="B13325" s="2" t="str">
        <f>"JARRA GRADUADA 3000ML NALGENE HX0007-00033"</f>
        <v>JARRA GRADUADA 3000ML NALGENE HX0007-00033</v>
      </c>
      <c r="C13325" s="2" t="str">
        <f t="shared" si="520"/>
        <v>UN</v>
      </c>
      <c r="D13325" s="7">
        <v>406</v>
      </c>
      <c r="E13325" s="3">
        <v>4</v>
      </c>
      <c r="F13325" s="3">
        <v>4</v>
      </c>
      <c r="G13325" t="s">
        <v>515</v>
      </c>
    </row>
    <row r="13326" spans="1:7" x14ac:dyDescent="0.25">
      <c r="A13326" s="1" t="str">
        <f>"523745"</f>
        <v>523745</v>
      </c>
      <c r="B13326" s="2" t="str">
        <f>"JARRA PLANA COLORIDA 0,5L PRO P2627-2 - COR AMARELA"</f>
        <v>JARRA PLANA COLORIDA 0,5L PRO P2627-2 - COR AMARELA</v>
      </c>
      <c r="C13326" s="2" t="str">
        <f t="shared" si="520"/>
        <v>UN</v>
      </c>
      <c r="D13326" s="7">
        <v>400</v>
      </c>
      <c r="E13326" s="3">
        <v>4</v>
      </c>
      <c r="F13326" s="3">
        <v>4</v>
      </c>
      <c r="G13326" t="s">
        <v>512</v>
      </c>
    </row>
    <row r="13327" spans="1:7" x14ac:dyDescent="0.25">
      <c r="A13327" s="1" t="str">
        <f>"523747"</f>
        <v>523747</v>
      </c>
      <c r="B13327" s="2" t="str">
        <f>"JARRA PLANA COLORIDA 0,5L PRO P2627-2 - COR AZUL"</f>
        <v>JARRA PLANA COLORIDA 0,5L PRO P2627-2 - COR AZUL</v>
      </c>
      <c r="C13327" s="2" t="str">
        <f t="shared" si="520"/>
        <v>UN</v>
      </c>
      <c r="D13327" s="7">
        <v>400</v>
      </c>
      <c r="E13327" s="3">
        <v>4</v>
      </c>
      <c r="F13327" s="3">
        <v>4</v>
      </c>
      <c r="G13327" t="s">
        <v>516</v>
      </c>
    </row>
    <row r="13328" spans="1:7" x14ac:dyDescent="0.25">
      <c r="A13328" s="1" t="str">
        <f>"523746"</f>
        <v>523746</v>
      </c>
      <c r="B13328" s="2" t="str">
        <f>"JARRA PLANA COLORIDA 0,5L PRO P2627-2 - COR VERDE"</f>
        <v>JARRA PLANA COLORIDA 0,5L PRO P2627-2 - COR VERDE</v>
      </c>
      <c r="C13328" s="2" t="str">
        <f t="shared" si="520"/>
        <v>UN</v>
      </c>
      <c r="D13328" s="7">
        <v>400</v>
      </c>
      <c r="E13328" s="3">
        <v>4</v>
      </c>
      <c r="F13328" s="3">
        <v>4</v>
      </c>
      <c r="G13328" t="s">
        <v>515</v>
      </c>
    </row>
    <row r="13329" spans="1:7" x14ac:dyDescent="0.25">
      <c r="A13329" s="1" t="str">
        <f>"523744"</f>
        <v>523744</v>
      </c>
      <c r="B13329" s="2" t="str">
        <f>"JARRA PLANA COLORIDA 0,5L PRO P2627-2 - COR VERMELHA"</f>
        <v>JARRA PLANA COLORIDA 0,5L PRO P2627-2 - COR VERMELHA</v>
      </c>
      <c r="C13329" s="2" t="str">
        <f t="shared" si="520"/>
        <v>UN</v>
      </c>
      <c r="D13329" s="7">
        <v>400</v>
      </c>
      <c r="E13329" s="3">
        <v>4</v>
      </c>
      <c r="F13329" s="3">
        <v>4</v>
      </c>
      <c r="G13329" t="s">
        <v>514</v>
      </c>
    </row>
    <row r="13330" spans="1:7" x14ac:dyDescent="0.25">
      <c r="A13330" s="1" t="str">
        <f>"523750"</f>
        <v>523750</v>
      </c>
      <c r="B13330" s="2" t="str">
        <f>"JARRA PLANA COLORIDA 0,5L PRO P2627-2 COR BRANCA"</f>
        <v>JARRA PLANA COLORIDA 0,5L PRO P2627-2 COR BRANCA</v>
      </c>
      <c r="C13330" s="2" t="str">
        <f t="shared" si="520"/>
        <v>UN</v>
      </c>
      <c r="D13330" s="7">
        <v>400</v>
      </c>
      <c r="E13330" s="3">
        <v>4</v>
      </c>
      <c r="F13330" s="3">
        <v>4</v>
      </c>
      <c r="G13330" t="s">
        <v>512</v>
      </c>
    </row>
    <row r="13331" spans="1:7" x14ac:dyDescent="0.25">
      <c r="A13331" s="1" t="str">
        <f>"523748"</f>
        <v>523748</v>
      </c>
      <c r="B13331" s="2" t="str">
        <f>"JARRA PLASTICA DOSADORA COLORIDA 1,8L PRO P2666-2 COR BRANCA"</f>
        <v>JARRA PLASTICA DOSADORA COLORIDA 1,8L PRO P2666-2 COR BRANCA</v>
      </c>
      <c r="C13331" s="2" t="str">
        <f t="shared" si="520"/>
        <v>UN</v>
      </c>
      <c r="D13331" s="7">
        <v>400</v>
      </c>
      <c r="E13331" s="3">
        <v>4</v>
      </c>
      <c r="F13331" s="3">
        <v>4</v>
      </c>
      <c r="G13331" t="s">
        <v>513</v>
      </c>
    </row>
    <row r="13332" spans="1:7" x14ac:dyDescent="0.25">
      <c r="A13332" s="1" t="str">
        <f>"6061"</f>
        <v>6061</v>
      </c>
      <c r="B13332" s="2" t="str">
        <f>"JARRA POLI GRADUADA C/BICO E ALCA 1000ML"</f>
        <v>JARRA POLI GRADUADA C/BICO E ALCA 1000ML</v>
      </c>
      <c r="C13332" s="2" t="str">
        <f>"PC"</f>
        <v>PC</v>
      </c>
      <c r="D13332" s="7">
        <v>408</v>
      </c>
      <c r="E13332" s="3">
        <v>4</v>
      </c>
      <c r="F13332" s="3">
        <v>4</v>
      </c>
      <c r="G13332" t="s">
        <v>514</v>
      </c>
    </row>
    <row r="13333" spans="1:7" x14ac:dyDescent="0.25">
      <c r="A13333" s="1" t="str">
        <f>"519493"</f>
        <v>519493</v>
      </c>
      <c r="B13333" s="2" t="str">
        <f>"JG ANEIS PISTAO 100 - CROMADO"</f>
        <v>JG ANEIS PISTAO 100 - CROMADO</v>
      </c>
      <c r="C13333" s="2" t="str">
        <f t="shared" ref="C13333:C13351" si="521">"UN"</f>
        <v>UN</v>
      </c>
      <c r="D13333" s="7">
        <v>918</v>
      </c>
      <c r="E13333" s="3">
        <v>11</v>
      </c>
      <c r="F13333" s="3">
        <v>11</v>
      </c>
      <c r="G13333" t="s">
        <v>514</v>
      </c>
    </row>
    <row r="13334" spans="1:7" x14ac:dyDescent="0.25">
      <c r="A13334" s="1" t="str">
        <f>"509343"</f>
        <v>509343</v>
      </c>
      <c r="B13334" s="2" t="str">
        <f>"JG CHAVE FENDA ISOLADA P/ ELETRICISTA"</f>
        <v>JG CHAVE FENDA ISOLADA P/ ELETRICISTA</v>
      </c>
      <c r="C13334" s="2" t="str">
        <f t="shared" si="521"/>
        <v>UN</v>
      </c>
      <c r="D13334" s="7">
        <v>402</v>
      </c>
      <c r="E13334" s="3">
        <v>4</v>
      </c>
      <c r="F13334" s="3">
        <v>4</v>
      </c>
      <c r="G13334" t="s">
        <v>512</v>
      </c>
    </row>
    <row r="13335" spans="1:7" x14ac:dyDescent="0.25">
      <c r="A13335" s="1" t="str">
        <f>"521687"</f>
        <v>521687</v>
      </c>
      <c r="B13335" s="2" t="str">
        <f>"JG CHAVE HEXAGONAL"</f>
        <v>JG CHAVE HEXAGONAL</v>
      </c>
      <c r="C13335" s="2" t="str">
        <f t="shared" si="521"/>
        <v>UN</v>
      </c>
      <c r="D13335" s="7">
        <v>99999</v>
      </c>
      <c r="E13335" s="3">
        <v>99</v>
      </c>
      <c r="F13335" s="3">
        <v>99</v>
      </c>
      <c r="G13335" t="s">
        <v>513</v>
      </c>
    </row>
    <row r="13336" spans="1:7" x14ac:dyDescent="0.25">
      <c r="A13336" s="1" t="str">
        <f>"501084"</f>
        <v>501084</v>
      </c>
      <c r="B13336" s="2" t="str">
        <f>"JG JUNTA COMPRESSOR BITZER N.03"</f>
        <v>JG JUNTA COMPRESSOR BITZER N.03</v>
      </c>
      <c r="C13336" s="2" t="str">
        <f t="shared" si="521"/>
        <v>UN</v>
      </c>
      <c r="D13336" s="7">
        <v>402</v>
      </c>
      <c r="E13336" s="3">
        <v>4</v>
      </c>
      <c r="F13336" s="3">
        <v>4</v>
      </c>
      <c r="G13336" t="s">
        <v>514</v>
      </c>
    </row>
    <row r="13337" spans="1:7" x14ac:dyDescent="0.25">
      <c r="A13337" s="1" t="str">
        <f>"501085"</f>
        <v>501085</v>
      </c>
      <c r="B13337" s="2" t="str">
        <f>"JG JUNTA COMPRESSOR INCOMAR N.05"</f>
        <v>JG JUNTA COMPRESSOR INCOMAR N.05</v>
      </c>
      <c r="C13337" s="2" t="str">
        <f t="shared" si="521"/>
        <v>UN</v>
      </c>
      <c r="D13337" s="7">
        <v>402</v>
      </c>
      <c r="E13337" s="3">
        <v>4</v>
      </c>
      <c r="F13337" s="3">
        <v>4</v>
      </c>
      <c r="G13337" t="s">
        <v>514</v>
      </c>
    </row>
    <row r="13338" spans="1:7" x14ac:dyDescent="0.25">
      <c r="A13338" s="1" t="str">
        <f>"518421"</f>
        <v>518421</v>
      </c>
      <c r="B13338" s="2" t="str">
        <f>"JG JUNTAS 104 S/L MK2 - ECOLOGICA"</f>
        <v>JG JUNTAS 104 S/L MK2 - ECOLOGICA</v>
      </c>
      <c r="C13338" s="2" t="str">
        <f t="shared" si="521"/>
        <v>UN</v>
      </c>
      <c r="D13338" s="7">
        <v>918</v>
      </c>
      <c r="E13338" s="3">
        <v>11</v>
      </c>
      <c r="F13338" s="3">
        <v>11</v>
      </c>
      <c r="G13338" t="s">
        <v>514</v>
      </c>
    </row>
    <row r="13339" spans="1:7" x14ac:dyDescent="0.25">
      <c r="A13339" s="1" t="str">
        <f>"519280"</f>
        <v>519280</v>
      </c>
      <c r="B13339" s="2" t="str">
        <f>"JG JUNTAS 106 S/L MK2 - ECOLOGICA"</f>
        <v>JG JUNTAS 106 S/L MK2 - ECOLOGICA</v>
      </c>
      <c r="C13339" s="2" t="str">
        <f t="shared" si="521"/>
        <v>UN</v>
      </c>
      <c r="D13339" s="7">
        <v>918</v>
      </c>
      <c r="E13339" s="3">
        <v>11</v>
      </c>
      <c r="F13339" s="3">
        <v>11</v>
      </c>
      <c r="G13339" t="s">
        <v>513</v>
      </c>
    </row>
    <row r="13340" spans="1:7" x14ac:dyDescent="0.25">
      <c r="A13340" s="1" t="str">
        <f>"512519"</f>
        <v>512519</v>
      </c>
      <c r="B13340" s="2" t="str">
        <f>"JG JUNTAS 4/100 AR AMIANTO"</f>
        <v>JG JUNTAS 4/100 AR AMIANTO</v>
      </c>
      <c r="C13340" s="2" t="str">
        <f t="shared" si="521"/>
        <v>UN</v>
      </c>
      <c r="D13340" s="7">
        <v>918</v>
      </c>
      <c r="E13340" s="3">
        <v>11</v>
      </c>
      <c r="F13340" s="3">
        <v>11</v>
      </c>
      <c r="G13340" t="s">
        <v>512</v>
      </c>
    </row>
    <row r="13341" spans="1:7" x14ac:dyDescent="0.25">
      <c r="A13341" s="1" t="str">
        <f>"515388"</f>
        <v>515388</v>
      </c>
      <c r="B13341" s="2" t="str">
        <f>"JG PINGO D'AGUA"</f>
        <v>JG PINGO D'AGUA</v>
      </c>
      <c r="C13341" s="2" t="str">
        <f t="shared" si="521"/>
        <v>UN</v>
      </c>
      <c r="D13341" s="7">
        <v>704</v>
      </c>
      <c r="E13341" s="3">
        <v>9</v>
      </c>
      <c r="F13341" s="3">
        <v>9</v>
      </c>
      <c r="G13341" t="s">
        <v>513</v>
      </c>
    </row>
    <row r="13342" spans="1:7" x14ac:dyDescent="0.25">
      <c r="A13342" s="1" t="str">
        <f>"503757"</f>
        <v>503757</v>
      </c>
      <c r="B13342" s="2" t="str">
        <f>"JG REPARO BOMBA HIDR 1PV2 V3-40/25"</f>
        <v>JG REPARO BOMBA HIDR 1PV2 V3-40/25</v>
      </c>
      <c r="C13342" s="2" t="str">
        <f t="shared" si="521"/>
        <v>UN</v>
      </c>
      <c r="D13342" s="7">
        <v>918</v>
      </c>
      <c r="E13342" s="3">
        <v>11</v>
      </c>
      <c r="F13342" s="3">
        <v>11</v>
      </c>
      <c r="G13342" t="s">
        <v>514</v>
      </c>
    </row>
    <row r="13343" spans="1:7" x14ac:dyDescent="0.25">
      <c r="A13343" s="1" t="str">
        <f>"509855"</f>
        <v>509855</v>
      </c>
      <c r="B13343" s="2" t="str">
        <f>"JG REPARO REGULAGEM SUCÇAO/DESCARGA 100"</f>
        <v>JG REPARO REGULAGEM SUCÇAO/DESCARGA 100</v>
      </c>
      <c r="C13343" s="2" t="str">
        <f t="shared" si="521"/>
        <v>UN</v>
      </c>
      <c r="D13343" s="7">
        <v>918</v>
      </c>
      <c r="E13343" s="3">
        <v>11</v>
      </c>
      <c r="F13343" s="3">
        <v>11</v>
      </c>
      <c r="G13343" t="s">
        <v>514</v>
      </c>
    </row>
    <row r="13344" spans="1:7" x14ac:dyDescent="0.25">
      <c r="A13344" s="1" t="str">
        <f>"510828"</f>
        <v>510828</v>
      </c>
      <c r="B13344" s="2" t="str">
        <f>"JG SERRA COPO 19 A 76MM + 2SUP.1MOLA 1EXT STARRET"</f>
        <v>JG SERRA COPO 19 A 76MM + 2SUP.1MOLA 1EXT STARRET</v>
      </c>
      <c r="C13344" s="2" t="str">
        <f t="shared" si="521"/>
        <v>UN</v>
      </c>
      <c r="D13344" s="7">
        <v>402</v>
      </c>
      <c r="E13344" s="3">
        <v>4</v>
      </c>
      <c r="F13344" s="3">
        <v>4</v>
      </c>
      <c r="G13344" t="s">
        <v>514</v>
      </c>
    </row>
    <row r="13345" spans="1:7" x14ac:dyDescent="0.25">
      <c r="A13345" s="1" t="str">
        <f>"519275"</f>
        <v>519275</v>
      </c>
      <c r="B13345" s="2" t="str">
        <f>"JG. DE JUNTAS 6/65 (149 PÇS)"</f>
        <v>JG. DE JUNTAS 6/65 (149 PÇS)</v>
      </c>
      <c r="C13345" s="2" t="str">
        <f t="shared" si="521"/>
        <v>UN</v>
      </c>
      <c r="D13345" s="7">
        <v>918</v>
      </c>
      <c r="E13345" s="3">
        <v>11</v>
      </c>
      <c r="F13345" s="3">
        <v>11</v>
      </c>
      <c r="G13345" t="s">
        <v>513</v>
      </c>
    </row>
    <row r="13346" spans="1:7" x14ac:dyDescent="0.25">
      <c r="A13346" s="1" t="str">
        <f>"510032"</f>
        <v>510032</v>
      </c>
      <c r="B13346" s="2" t="str">
        <f>"JG. DE JUNTAS 8/65 (162 PÇS)"</f>
        <v>JG. DE JUNTAS 8/65 (162 PÇS)</v>
      </c>
      <c r="C13346" s="2" t="str">
        <f t="shared" si="521"/>
        <v>UN</v>
      </c>
      <c r="D13346" s="7">
        <v>918</v>
      </c>
      <c r="E13346" s="3">
        <v>11</v>
      </c>
      <c r="F13346" s="3">
        <v>11</v>
      </c>
      <c r="G13346" t="s">
        <v>513</v>
      </c>
    </row>
    <row r="13347" spans="1:7" x14ac:dyDescent="0.25">
      <c r="A13347" s="1" t="str">
        <f>"514714"</f>
        <v>514714</v>
      </c>
      <c r="B13347" s="2" t="str">
        <f>"JG. JUNTAS 106 S/L"</f>
        <v>JG. JUNTAS 106 S/L</v>
      </c>
      <c r="C13347" s="2" t="str">
        <f t="shared" si="521"/>
        <v>UN</v>
      </c>
      <c r="D13347" s="7">
        <v>901</v>
      </c>
      <c r="E13347" s="3">
        <v>11</v>
      </c>
      <c r="F13347" s="3">
        <v>11</v>
      </c>
      <c r="G13347" t="s">
        <v>513</v>
      </c>
    </row>
    <row r="13348" spans="1:7" x14ac:dyDescent="0.25">
      <c r="A13348" s="1" t="str">
        <f>"528161"</f>
        <v>528161</v>
      </c>
      <c r="B13348" s="2" t="str">
        <f>"JOCLE ATF"</f>
        <v>JOCLE ATF</v>
      </c>
      <c r="C13348" s="2" t="str">
        <f t="shared" si="521"/>
        <v>UN</v>
      </c>
      <c r="D13348" s="7">
        <v>704</v>
      </c>
      <c r="E13348" s="3">
        <v>9</v>
      </c>
      <c r="F13348" s="3">
        <v>9</v>
      </c>
      <c r="G13348" t="s">
        <v>512</v>
      </c>
    </row>
    <row r="13349" spans="1:7" x14ac:dyDescent="0.25">
      <c r="A13349" s="1" t="str">
        <f>"515082"</f>
        <v>515082</v>
      </c>
      <c r="B13349" s="2" t="str">
        <f>"JOELHEIRA"</f>
        <v>JOELHEIRA</v>
      </c>
      <c r="C13349" s="2" t="str">
        <f t="shared" si="521"/>
        <v>UN</v>
      </c>
      <c r="D13349" s="7">
        <v>501</v>
      </c>
      <c r="E13349" s="3">
        <v>4</v>
      </c>
      <c r="F13349" s="3">
        <v>4</v>
      </c>
      <c r="G13349" t="s">
        <v>513</v>
      </c>
    </row>
    <row r="13350" spans="1:7" x14ac:dyDescent="0.25">
      <c r="A13350" s="1" t="str">
        <f>"522901"</f>
        <v>522901</v>
      </c>
      <c r="B13350" s="2" t="str">
        <f>"JOELHEIRA CARBOGRAFITE 5901"</f>
        <v>JOELHEIRA CARBOGRAFITE 5901</v>
      </c>
      <c r="C13350" s="2" t="str">
        <f t="shared" si="521"/>
        <v>UN</v>
      </c>
      <c r="D13350" s="7">
        <v>501</v>
      </c>
      <c r="E13350" s="3">
        <v>4</v>
      </c>
      <c r="F13350" s="3">
        <v>4</v>
      </c>
      <c r="G13350" t="s">
        <v>514</v>
      </c>
    </row>
    <row r="13351" spans="1:7" x14ac:dyDescent="0.25">
      <c r="A13351" s="1" t="str">
        <f>"513739"</f>
        <v>513739</v>
      </c>
      <c r="B13351" s="2" t="str">
        <f>"JOELHO AZUL 25 X 3/4"""</f>
        <v>JOELHO AZUL 25 X 3/4"</v>
      </c>
      <c r="C13351" s="2" t="str">
        <f t="shared" si="521"/>
        <v>UN</v>
      </c>
      <c r="D13351" s="7">
        <v>912</v>
      </c>
      <c r="E13351" s="3">
        <v>10</v>
      </c>
      <c r="F13351" s="3">
        <v>10</v>
      </c>
      <c r="G13351" t="s">
        <v>515</v>
      </c>
    </row>
    <row r="13352" spans="1:7" x14ac:dyDescent="0.25">
      <c r="A13352" s="1" t="str">
        <f>"513051"</f>
        <v>513051</v>
      </c>
      <c r="B13352" s="2" t="str">
        <f>"JOELHO PVC 85MM 45º MARROM"</f>
        <v>JOELHO PVC 85MM 45º MARROM</v>
      </c>
      <c r="C13352" s="2" t="str">
        <f>"BR"</f>
        <v>BR</v>
      </c>
      <c r="D13352" s="7">
        <v>808</v>
      </c>
      <c r="E13352" s="3">
        <v>10</v>
      </c>
      <c r="F13352" s="3">
        <v>10</v>
      </c>
      <c r="G13352" t="s">
        <v>512</v>
      </c>
    </row>
    <row r="13353" spans="1:7" x14ac:dyDescent="0.25">
      <c r="A13353" s="1" t="str">
        <f>"513053"</f>
        <v>513053</v>
      </c>
      <c r="B13353" s="2" t="str">
        <f>"JOELHO PVC 85MM 90º"</f>
        <v>JOELHO PVC 85MM 90º</v>
      </c>
      <c r="C13353" s="2" t="str">
        <f>"BR"</f>
        <v>BR</v>
      </c>
      <c r="D13353" s="7">
        <v>808</v>
      </c>
      <c r="E13353" s="3">
        <v>10</v>
      </c>
      <c r="F13353" s="3">
        <v>10</v>
      </c>
      <c r="G13353" t="s">
        <v>516</v>
      </c>
    </row>
    <row r="13354" spans="1:7" x14ac:dyDescent="0.25">
      <c r="A13354" s="1" t="str">
        <f>"505791"</f>
        <v>505791</v>
      </c>
      <c r="B13354" s="2" t="str">
        <f>"JOELHO PVC 90º 22MM X 1/2"""</f>
        <v>JOELHO PVC 90º 22MM X 1/2"</v>
      </c>
      <c r="C13354" s="2" t="str">
        <f t="shared" ref="C13354:C13372" si="522">"UN"</f>
        <v>UN</v>
      </c>
      <c r="D13354" s="7">
        <v>402</v>
      </c>
      <c r="E13354" s="3">
        <v>4</v>
      </c>
      <c r="F13354" s="3">
        <v>4</v>
      </c>
      <c r="G13354" t="s">
        <v>515</v>
      </c>
    </row>
    <row r="13355" spans="1:7" x14ac:dyDescent="0.25">
      <c r="A13355" s="1" t="str">
        <f>"514217"</f>
        <v>514217</v>
      </c>
      <c r="B13355" s="2" t="str">
        <f>"JOELHO SOLDAVEL 1 1/4"</f>
        <v>JOELHO SOLDAVEL 1 1/4</v>
      </c>
      <c r="C13355" s="2" t="str">
        <f t="shared" si="522"/>
        <v>UN</v>
      </c>
      <c r="D13355" s="7">
        <v>912</v>
      </c>
      <c r="E13355" s="3">
        <v>11</v>
      </c>
      <c r="F13355" s="3">
        <v>11</v>
      </c>
      <c r="G13355" t="s">
        <v>514</v>
      </c>
    </row>
    <row r="13356" spans="1:7" x14ac:dyDescent="0.25">
      <c r="A13356" s="1" t="str">
        <f>"525285"</f>
        <v>525285</v>
      </c>
      <c r="B13356" s="2" t="str">
        <f>"JOFIX (ONDANSETRONA) 4MG CX C/ 10 COMP."</f>
        <v>JOFIX (ONDANSETRONA) 4MG CX C/ 10 COMP.</v>
      </c>
      <c r="C13356" s="2" t="str">
        <f t="shared" si="522"/>
        <v>UN</v>
      </c>
      <c r="D13356" s="7">
        <v>99999</v>
      </c>
      <c r="E13356" s="3">
        <v>99</v>
      </c>
      <c r="F13356" s="3">
        <v>99</v>
      </c>
      <c r="G13356" t="s">
        <v>512</v>
      </c>
    </row>
    <row r="13357" spans="1:7" x14ac:dyDescent="0.25">
      <c r="A13357" s="1" t="str">
        <f>"513441"</f>
        <v>513441</v>
      </c>
      <c r="B13357" s="2" t="str">
        <f>"JOGO AGULHEIRO"</f>
        <v>JOGO AGULHEIRO</v>
      </c>
      <c r="C13357" s="2" t="str">
        <f t="shared" si="522"/>
        <v>UN</v>
      </c>
      <c r="D13357" s="7">
        <v>918</v>
      </c>
      <c r="E13357" s="3">
        <v>11</v>
      </c>
      <c r="F13357" s="3">
        <v>11</v>
      </c>
      <c r="G13357" t="s">
        <v>513</v>
      </c>
    </row>
    <row r="13358" spans="1:7" x14ac:dyDescent="0.25">
      <c r="A13358" s="1" t="str">
        <f>"510993"</f>
        <v>510993</v>
      </c>
      <c r="B13358" s="2" t="str">
        <f>"JOGO ANEIS PISTAO 100 CROMADO"</f>
        <v>JOGO ANEIS PISTAO 100 CROMADO</v>
      </c>
      <c r="C13358" s="2" t="str">
        <f t="shared" si="522"/>
        <v>UN</v>
      </c>
      <c r="D13358" s="7">
        <v>918</v>
      </c>
      <c r="E13358" s="3">
        <v>11</v>
      </c>
      <c r="F13358" s="3">
        <v>11</v>
      </c>
      <c r="G13358" t="s">
        <v>514</v>
      </c>
    </row>
    <row r="13359" spans="1:7" x14ac:dyDescent="0.25">
      <c r="A13359" s="1" t="str">
        <f>"526504"</f>
        <v>526504</v>
      </c>
      <c r="B13359" s="2" t="str">
        <f>"JOGO ANEL RETENTOR P/BOMBA M50P - 203495013"</f>
        <v>JOGO ANEL RETENTOR P/BOMBA M50P - 203495013</v>
      </c>
      <c r="C13359" s="2" t="str">
        <f t="shared" si="522"/>
        <v>UN</v>
      </c>
      <c r="D13359" s="7">
        <v>918</v>
      </c>
      <c r="E13359" s="3">
        <v>11</v>
      </c>
      <c r="F13359" s="3">
        <v>11</v>
      </c>
      <c r="G13359" t="s">
        <v>514</v>
      </c>
    </row>
    <row r="13360" spans="1:7" x14ac:dyDescent="0.25">
      <c r="A13360" s="1" t="str">
        <f>"511624"</f>
        <v>511624</v>
      </c>
      <c r="B13360" s="2" t="str">
        <f>"JOGO BICO DOSADOR"</f>
        <v>JOGO BICO DOSADOR</v>
      </c>
      <c r="C13360" s="2" t="str">
        <f t="shared" si="522"/>
        <v>UN</v>
      </c>
      <c r="D13360" s="7">
        <v>918</v>
      </c>
      <c r="E13360" s="3">
        <v>11</v>
      </c>
      <c r="F13360" s="3">
        <v>11</v>
      </c>
      <c r="G13360" t="s">
        <v>512</v>
      </c>
    </row>
    <row r="13361" spans="1:7" x14ac:dyDescent="0.25">
      <c r="A13361" s="1" t="str">
        <f>"511842"</f>
        <v>511842</v>
      </c>
      <c r="B13361" s="2" t="str">
        <f>"JOGO BICO DOSADORES"</f>
        <v>JOGO BICO DOSADORES</v>
      </c>
      <c r="C13361" s="2" t="str">
        <f t="shared" si="522"/>
        <v>UN</v>
      </c>
      <c r="D13361" s="7">
        <v>918</v>
      </c>
      <c r="E13361" s="3">
        <v>11</v>
      </c>
      <c r="F13361" s="3">
        <v>11</v>
      </c>
      <c r="G13361" t="s">
        <v>513</v>
      </c>
    </row>
    <row r="13362" spans="1:7" x14ac:dyDescent="0.25">
      <c r="A13362" s="1" t="str">
        <f>"511409"</f>
        <v>511409</v>
      </c>
      <c r="B13362" s="2" t="str">
        <f>"JOGO BORRACHA PORTA LATERAL"</f>
        <v>JOGO BORRACHA PORTA LATERAL</v>
      </c>
      <c r="C13362" s="2" t="str">
        <f t="shared" si="522"/>
        <v>UN</v>
      </c>
      <c r="D13362" s="7">
        <v>704</v>
      </c>
      <c r="E13362" s="3">
        <v>9</v>
      </c>
      <c r="F13362" s="3">
        <v>9</v>
      </c>
      <c r="G13362" t="s">
        <v>514</v>
      </c>
    </row>
    <row r="13363" spans="1:7" x14ac:dyDescent="0.25">
      <c r="A13363" s="1" t="str">
        <f>"511401"</f>
        <v>511401</v>
      </c>
      <c r="B13363" s="2" t="str">
        <f>"JOGO BORRACHA PORTA TRASEIRA"</f>
        <v>JOGO BORRACHA PORTA TRASEIRA</v>
      </c>
      <c r="C13363" s="2" t="str">
        <f t="shared" si="522"/>
        <v>UN</v>
      </c>
      <c r="D13363" s="7">
        <v>704</v>
      </c>
      <c r="E13363" s="3">
        <v>9</v>
      </c>
      <c r="F13363" s="3">
        <v>9</v>
      </c>
      <c r="G13363" t="s">
        <v>514</v>
      </c>
    </row>
    <row r="13364" spans="1:7" x14ac:dyDescent="0.25">
      <c r="A13364" s="1" t="str">
        <f>"501534"</f>
        <v>501534</v>
      </c>
      <c r="B13364" s="8" t="s">
        <v>12</v>
      </c>
      <c r="C13364" s="2" t="str">
        <f t="shared" si="522"/>
        <v>UN</v>
      </c>
      <c r="D13364" s="7">
        <v>402</v>
      </c>
      <c r="E13364" s="3">
        <v>4</v>
      </c>
      <c r="F13364" s="3">
        <v>4</v>
      </c>
      <c r="G13364" t="s">
        <v>514</v>
      </c>
    </row>
    <row r="13365" spans="1:7" x14ac:dyDescent="0.25">
      <c r="A13365" s="1" t="str">
        <f>"522616"</f>
        <v>522616</v>
      </c>
      <c r="B13365" s="2" t="str">
        <f>"JOGO BROCA HSS DIN 338 A002 C/ COBERTURA TIN-A095204 DORMER"</f>
        <v>JOGO BROCA HSS DIN 338 A002 C/ COBERTURA TIN-A095204 DORMER</v>
      </c>
      <c r="C13365" s="2" t="str">
        <f t="shared" si="522"/>
        <v>UN</v>
      </c>
      <c r="D13365" s="7">
        <v>402</v>
      </c>
      <c r="E13365" s="3">
        <v>4</v>
      </c>
      <c r="F13365" s="3">
        <v>4</v>
      </c>
      <c r="G13365" t="s">
        <v>513</v>
      </c>
    </row>
    <row r="13366" spans="1:7" x14ac:dyDescent="0.25">
      <c r="A13366" s="1" t="str">
        <f>"504468"</f>
        <v>504468</v>
      </c>
      <c r="B13366" s="2" t="str">
        <f>"JOGO C/6 ANEIS (O) SEDE PRIMARIA POS.54"</f>
        <v>JOGO C/6 ANEIS (O) SEDE PRIMARIA POS.54</v>
      </c>
      <c r="C13366" s="2" t="str">
        <f t="shared" si="522"/>
        <v>UN</v>
      </c>
      <c r="D13366" s="7">
        <v>918</v>
      </c>
      <c r="E13366" s="3">
        <v>11</v>
      </c>
      <c r="F13366" s="3">
        <v>11</v>
      </c>
      <c r="G13366" t="s">
        <v>512</v>
      </c>
    </row>
    <row r="13367" spans="1:7" x14ac:dyDescent="0.25">
      <c r="A13367" s="1" t="str">
        <f>"504471"</f>
        <v>504471</v>
      </c>
      <c r="B13367" s="2" t="str">
        <f>"JOGO C/6 ANEIS(O)DA SEDE LIMITADOR POS71"</f>
        <v>JOGO C/6 ANEIS(O)DA SEDE LIMITADOR POS71</v>
      </c>
      <c r="C13367" s="2" t="str">
        <f t="shared" si="522"/>
        <v>UN</v>
      </c>
      <c r="D13367" s="7">
        <v>918</v>
      </c>
      <c r="E13367" s="3">
        <v>11</v>
      </c>
      <c r="F13367" s="3">
        <v>11</v>
      </c>
      <c r="G13367" t="s">
        <v>513</v>
      </c>
    </row>
    <row r="13368" spans="1:7" x14ac:dyDescent="0.25">
      <c r="A13368" s="1" t="str">
        <f>"504472"</f>
        <v>504472</v>
      </c>
      <c r="B13368" s="2" t="str">
        <f>"JOGO C/6 GAXETAS GUIA MOLA PRIM. POS.73"</f>
        <v>JOGO C/6 GAXETAS GUIA MOLA PRIM. POS.73</v>
      </c>
      <c r="C13368" s="2" t="str">
        <f t="shared" si="522"/>
        <v>UN</v>
      </c>
      <c r="D13368" s="7">
        <v>918</v>
      </c>
      <c r="E13368" s="3">
        <v>11</v>
      </c>
      <c r="F13368" s="3">
        <v>11</v>
      </c>
      <c r="G13368" t="s">
        <v>514</v>
      </c>
    </row>
    <row r="13369" spans="1:7" x14ac:dyDescent="0.25">
      <c r="A13369" s="1" t="str">
        <f>"504936"</f>
        <v>504936</v>
      </c>
      <c r="B13369" s="2" t="str">
        <f>"JOGO CABO DE VELA"</f>
        <v>JOGO CABO DE VELA</v>
      </c>
      <c r="C13369" s="2" t="str">
        <f t="shared" si="522"/>
        <v>UN</v>
      </c>
      <c r="D13369" s="7">
        <v>918</v>
      </c>
      <c r="E13369" s="3">
        <v>11</v>
      </c>
      <c r="F13369" s="3">
        <v>11</v>
      </c>
      <c r="G13369" t="s">
        <v>514</v>
      </c>
    </row>
    <row r="13370" spans="1:7" x14ac:dyDescent="0.25">
      <c r="A13370" s="1" t="str">
        <f>"519053"</f>
        <v>519053</v>
      </c>
      <c r="B13370" s="2" t="str">
        <f>"JOGO CABO DE VELA TOYOTA 4Y 8FGU25"</f>
        <v>JOGO CABO DE VELA TOYOTA 4Y 8FGU25</v>
      </c>
      <c r="C13370" s="2" t="str">
        <f t="shared" si="522"/>
        <v>UN</v>
      </c>
      <c r="D13370" s="7">
        <v>918</v>
      </c>
      <c r="E13370" s="3">
        <v>11</v>
      </c>
      <c r="F13370" s="3">
        <v>11</v>
      </c>
      <c r="G13370" t="s">
        <v>514</v>
      </c>
    </row>
    <row r="13371" spans="1:7" x14ac:dyDescent="0.25">
      <c r="A13371" s="1" t="str">
        <f>"511838"</f>
        <v>511838</v>
      </c>
      <c r="B13371" s="2" t="str">
        <f>"JOGO CHAPA IMAR"</f>
        <v>JOGO CHAPA IMAR</v>
      </c>
      <c r="C13371" s="2" t="str">
        <f t="shared" si="522"/>
        <v>UN</v>
      </c>
      <c r="D13371" s="7">
        <v>918</v>
      </c>
      <c r="E13371" s="3">
        <v>11</v>
      </c>
      <c r="F13371" s="3">
        <v>11</v>
      </c>
      <c r="G13371" t="s">
        <v>513</v>
      </c>
    </row>
    <row r="13372" spans="1:7" x14ac:dyDescent="0.25">
      <c r="A13372" s="1" t="str">
        <f>"511620"</f>
        <v>511620</v>
      </c>
      <c r="B13372" s="2" t="str">
        <f>"JOGO CHAPAS PRINCIPAIS IMAR"</f>
        <v>JOGO CHAPAS PRINCIPAIS IMAR</v>
      </c>
      <c r="C13372" s="2" t="str">
        <f t="shared" si="522"/>
        <v>UN</v>
      </c>
      <c r="D13372" s="7">
        <v>918</v>
      </c>
      <c r="E13372" s="3">
        <v>11</v>
      </c>
      <c r="F13372" s="3">
        <v>11</v>
      </c>
      <c r="G13372" t="s">
        <v>513</v>
      </c>
    </row>
    <row r="13373" spans="1:7" x14ac:dyDescent="0.25">
      <c r="A13373" s="1" t="str">
        <f>"503662"</f>
        <v>503662</v>
      </c>
      <c r="B13373" s="2" t="str">
        <f>"JOGO CHAVE ALLEN MILIMETRO CABO LONGO E BAULADO GEDORE"</f>
        <v>JOGO CHAVE ALLEN MILIMETRO CABO LONGO E BAULADO GEDORE</v>
      </c>
      <c r="C13373" s="2" t="str">
        <f>"JG"</f>
        <v>JG</v>
      </c>
      <c r="D13373" s="7">
        <v>402</v>
      </c>
      <c r="E13373" s="3">
        <v>4</v>
      </c>
      <c r="F13373" s="3">
        <v>4</v>
      </c>
      <c r="G13373" t="s">
        <v>513</v>
      </c>
    </row>
    <row r="13374" spans="1:7" x14ac:dyDescent="0.25">
      <c r="A13374" s="1" t="str">
        <f>"503899"</f>
        <v>503899</v>
      </c>
      <c r="B13374" s="2" t="str">
        <f>"JOGO CHAVE ALLEN POLEGADA CABO LONGO E BAULADO GEDORE"</f>
        <v>JOGO CHAVE ALLEN POLEGADA CABO LONGO E BAULADO GEDORE</v>
      </c>
      <c r="C13374" s="2" t="str">
        <f t="shared" ref="C13374:C13379" si="523">"UN"</f>
        <v>UN</v>
      </c>
      <c r="D13374" s="7">
        <v>99999</v>
      </c>
      <c r="E13374" s="3">
        <v>99</v>
      </c>
      <c r="F13374" s="3">
        <v>99</v>
      </c>
      <c r="G13374" t="s">
        <v>512</v>
      </c>
    </row>
    <row r="13375" spans="1:7" x14ac:dyDescent="0.25">
      <c r="A13375" s="1" t="str">
        <f>"513315"</f>
        <v>513315</v>
      </c>
      <c r="B13375" s="2" t="str">
        <f>"JOGO CHAVE CANHAO 6 A 13MM"</f>
        <v>JOGO CHAVE CANHAO 6 A 13MM</v>
      </c>
      <c r="C13375" s="2" t="str">
        <f t="shared" si="523"/>
        <v>UN</v>
      </c>
      <c r="D13375" s="7">
        <v>920</v>
      </c>
      <c r="E13375" s="3">
        <v>11</v>
      </c>
      <c r="F13375" s="3">
        <v>11</v>
      </c>
      <c r="G13375" t="s">
        <v>513</v>
      </c>
    </row>
    <row r="13376" spans="1:7" x14ac:dyDescent="0.25">
      <c r="A13376" s="1" t="str">
        <f>"516212"</f>
        <v>516212</v>
      </c>
      <c r="B13376" s="2" t="str">
        <f>"JOGO CHAVE COMBINADA 6 A 19MM MAYLE"</f>
        <v>JOGO CHAVE COMBINADA 6 A 19MM MAYLE</v>
      </c>
      <c r="C13376" s="2" t="str">
        <f t="shared" si="523"/>
        <v>UN</v>
      </c>
      <c r="D13376" s="7">
        <v>402</v>
      </c>
      <c r="E13376" s="3">
        <v>4</v>
      </c>
      <c r="F13376" s="3">
        <v>4</v>
      </c>
      <c r="G13376" t="s">
        <v>514</v>
      </c>
    </row>
    <row r="13377" spans="1:7" x14ac:dyDescent="0.25">
      <c r="A13377" s="1" t="str">
        <f>"507358"</f>
        <v>507358</v>
      </c>
      <c r="B13377" s="2" t="str">
        <f>"JOGO CHAVE DE FENDA ISOLADA"</f>
        <v>JOGO CHAVE DE FENDA ISOLADA</v>
      </c>
      <c r="C13377" s="2" t="str">
        <f t="shared" si="523"/>
        <v>UN</v>
      </c>
      <c r="D13377" s="7">
        <v>920</v>
      </c>
      <c r="E13377" s="3">
        <v>11</v>
      </c>
      <c r="F13377" s="3">
        <v>11</v>
      </c>
      <c r="G13377" t="s">
        <v>515</v>
      </c>
    </row>
    <row r="13378" spans="1:7" x14ac:dyDescent="0.25">
      <c r="A13378" s="1" t="str">
        <f>"523126"</f>
        <v>523126</v>
      </c>
      <c r="B13378" s="2" t="str">
        <f>"JOGO CHAVE FENDA/PHILIPS ISOLADA GEDORE"</f>
        <v>JOGO CHAVE FENDA/PHILIPS ISOLADA GEDORE</v>
      </c>
      <c r="C13378" s="2" t="str">
        <f t="shared" si="523"/>
        <v>UN</v>
      </c>
      <c r="D13378" s="7">
        <v>920</v>
      </c>
      <c r="E13378" s="3">
        <v>11</v>
      </c>
      <c r="F13378" s="3">
        <v>11</v>
      </c>
      <c r="G13378" t="s">
        <v>512</v>
      </c>
    </row>
    <row r="13379" spans="1:7" x14ac:dyDescent="0.25">
      <c r="A13379" s="1" t="str">
        <f>"526990"</f>
        <v>526990</v>
      </c>
      <c r="B13379" s="2" t="str">
        <f>"JOGO CHAVE FENDA/PHILIPS ISOLADA MORETZSOHN(3 TAMANHOS CADA)"</f>
        <v>JOGO CHAVE FENDA/PHILIPS ISOLADA MORETZSOHN(3 TAMANHOS CADA)</v>
      </c>
      <c r="C13379" s="2" t="str">
        <f t="shared" si="523"/>
        <v>UN</v>
      </c>
      <c r="D13379" s="7">
        <v>920</v>
      </c>
      <c r="E13379" s="3">
        <v>11</v>
      </c>
      <c r="F13379" s="3">
        <v>11</v>
      </c>
      <c r="G13379" t="s">
        <v>516</v>
      </c>
    </row>
    <row r="13380" spans="1:7" x14ac:dyDescent="0.25">
      <c r="A13380" s="1" t="str">
        <f>"525493"</f>
        <v>525493</v>
      </c>
      <c r="B13380" s="2" t="str">
        <f>"JOGO CHAVE L ALLEN 7 PEÇAS 3-12MM VDE ISOLADAS 1000V GEDORE"</f>
        <v>JOGO CHAVE L ALLEN 7 PEÇAS 3-12MM VDE ISOLADAS 1000V GEDORE</v>
      </c>
      <c r="C13380" s="2" t="str">
        <f>"JG"</f>
        <v>JG</v>
      </c>
      <c r="D13380" s="7">
        <v>402</v>
      </c>
      <c r="E13380" s="3">
        <v>4</v>
      </c>
      <c r="F13380" s="3">
        <v>4</v>
      </c>
      <c r="G13380" t="s">
        <v>515</v>
      </c>
    </row>
    <row r="13381" spans="1:7" x14ac:dyDescent="0.25">
      <c r="A13381" s="1" t="str">
        <f>"513318"</f>
        <v>513318</v>
      </c>
      <c r="B13381" s="2" t="str">
        <f>"JOGO CHAVE L DE 8 A 19MM"</f>
        <v>JOGO CHAVE L DE 8 A 19MM</v>
      </c>
      <c r="C13381" s="2" t="str">
        <f t="shared" ref="C13381:C13409" si="524">"UN"</f>
        <v>UN</v>
      </c>
      <c r="D13381" s="7">
        <v>920</v>
      </c>
      <c r="E13381" s="3">
        <v>11</v>
      </c>
      <c r="F13381" s="3">
        <v>11</v>
      </c>
      <c r="G13381" t="s">
        <v>514</v>
      </c>
    </row>
    <row r="13382" spans="1:7" x14ac:dyDescent="0.25">
      <c r="A13382" s="1" t="str">
        <f>"513312"</f>
        <v>513312</v>
      </c>
      <c r="B13382" s="2" t="str">
        <f>"JOGO CHAVE PHILIPS ISOLADA GEDORE"</f>
        <v>JOGO CHAVE PHILIPS ISOLADA GEDORE</v>
      </c>
      <c r="C13382" s="2" t="str">
        <f t="shared" si="524"/>
        <v>UN</v>
      </c>
      <c r="D13382" s="7">
        <v>920</v>
      </c>
      <c r="E13382" s="3">
        <v>11</v>
      </c>
      <c r="F13382" s="3">
        <v>11</v>
      </c>
      <c r="G13382" t="s">
        <v>512</v>
      </c>
    </row>
    <row r="13383" spans="1:7" x14ac:dyDescent="0.25">
      <c r="A13383" s="1" t="str">
        <f>"511599"</f>
        <v>511599</v>
      </c>
      <c r="B13383" s="2" t="str">
        <f>"JOGO CHAVE TORK"</f>
        <v>JOGO CHAVE TORK</v>
      </c>
      <c r="C13383" s="2" t="str">
        <f t="shared" si="524"/>
        <v>UN</v>
      </c>
      <c r="D13383" s="7">
        <v>402</v>
      </c>
      <c r="E13383" s="3">
        <v>4</v>
      </c>
      <c r="F13383" s="3">
        <v>4</v>
      </c>
      <c r="G13383" t="s">
        <v>513</v>
      </c>
    </row>
    <row r="13384" spans="1:7" x14ac:dyDescent="0.25">
      <c r="A13384" s="1" t="str">
        <f>"520852"</f>
        <v>520852</v>
      </c>
      <c r="B13384" s="2" t="str">
        <f>"JOGO COMPLETO DE GUIAS DA CORRENTE"</f>
        <v>JOGO COMPLETO DE GUIAS DA CORRENTE</v>
      </c>
      <c r="C13384" s="2" t="str">
        <f t="shared" si="524"/>
        <v>UN</v>
      </c>
      <c r="D13384" s="7">
        <v>1300</v>
      </c>
      <c r="E13384" s="3">
        <v>11</v>
      </c>
      <c r="F13384" s="3">
        <v>11</v>
      </c>
      <c r="G13384" t="s">
        <v>514</v>
      </c>
    </row>
    <row r="13385" spans="1:7" x14ac:dyDescent="0.25">
      <c r="A13385" s="1" t="str">
        <f>"508526"</f>
        <v>508526</v>
      </c>
      <c r="B13385" s="2" t="str">
        <f>"JOGO CONTATO P/ CONTATOR WEG CWM12"</f>
        <v>JOGO CONTATO P/ CONTATOR WEG CWM12</v>
      </c>
      <c r="C13385" s="2" t="str">
        <f t="shared" si="524"/>
        <v>UN</v>
      </c>
      <c r="D13385" s="7">
        <v>600</v>
      </c>
      <c r="E13385" s="3">
        <v>8</v>
      </c>
      <c r="F13385" s="3">
        <v>8</v>
      </c>
      <c r="G13385" t="s">
        <v>514</v>
      </c>
    </row>
    <row r="13386" spans="1:7" x14ac:dyDescent="0.25">
      <c r="A13386" s="1" t="str">
        <f>"508542"</f>
        <v>508542</v>
      </c>
      <c r="B13386" s="2" t="str">
        <f>"JOGO CORREIA K4M"</f>
        <v>JOGO CORREIA K4M</v>
      </c>
      <c r="C13386" s="2" t="str">
        <f t="shared" si="524"/>
        <v>UN</v>
      </c>
      <c r="D13386" s="7">
        <v>704</v>
      </c>
      <c r="E13386" s="3">
        <v>9</v>
      </c>
      <c r="F13386" s="3">
        <v>9</v>
      </c>
      <c r="G13386" t="s">
        <v>512</v>
      </c>
    </row>
    <row r="13387" spans="1:7" x14ac:dyDescent="0.25">
      <c r="A13387" s="1" t="str">
        <f>"504383"</f>
        <v>504383</v>
      </c>
      <c r="B13387" s="2" t="str">
        <f>"JOGO DE ANEIS DO PISTÃO A"</f>
        <v>JOGO DE ANEIS DO PISTÃO A</v>
      </c>
      <c r="C13387" s="2" t="str">
        <f t="shared" si="524"/>
        <v>UN</v>
      </c>
      <c r="D13387" s="7">
        <v>704</v>
      </c>
      <c r="E13387" s="3">
        <v>9</v>
      </c>
      <c r="F13387" s="3">
        <v>9</v>
      </c>
      <c r="G13387" t="s">
        <v>513</v>
      </c>
    </row>
    <row r="13388" spans="1:7" x14ac:dyDescent="0.25">
      <c r="A13388" s="1" t="str">
        <f>"501667"</f>
        <v>501667</v>
      </c>
      <c r="B13388" s="2" t="str">
        <f>"JOGO DE ARRUELAS E CALÇOS"</f>
        <v>JOGO DE ARRUELAS E CALÇOS</v>
      </c>
      <c r="C13388" s="2" t="str">
        <f t="shared" si="524"/>
        <v>UN</v>
      </c>
      <c r="D13388" s="7">
        <v>704</v>
      </c>
      <c r="E13388" s="3">
        <v>9</v>
      </c>
      <c r="F13388" s="3">
        <v>9</v>
      </c>
      <c r="G13388" t="s">
        <v>514</v>
      </c>
    </row>
    <row r="13389" spans="1:7" x14ac:dyDescent="0.25">
      <c r="A13389" s="1" t="str">
        <f>"503443"</f>
        <v>503443</v>
      </c>
      <c r="B13389" s="2" t="str">
        <f>"JOGO DE BALANCA SELAGEM DINIEPER"</f>
        <v>JOGO DE BALANCA SELAGEM DINIEPER</v>
      </c>
      <c r="C13389" s="2" t="str">
        <f t="shared" si="524"/>
        <v>UN</v>
      </c>
      <c r="D13389" s="7">
        <v>918</v>
      </c>
      <c r="E13389" s="3">
        <v>11</v>
      </c>
      <c r="F13389" s="3">
        <v>11</v>
      </c>
      <c r="G13389" t="s">
        <v>514</v>
      </c>
    </row>
    <row r="13390" spans="1:7" x14ac:dyDescent="0.25">
      <c r="A13390" s="1" t="str">
        <f>"526845"</f>
        <v>526845</v>
      </c>
      <c r="B13390" s="2" t="str">
        <f>"JOGO DE BIELA"</f>
        <v>JOGO DE BIELA</v>
      </c>
      <c r="C13390" s="2" t="str">
        <f t="shared" si="524"/>
        <v>UN</v>
      </c>
      <c r="D13390" s="7">
        <v>99999</v>
      </c>
      <c r="E13390" s="3">
        <v>99</v>
      </c>
      <c r="F13390" s="3">
        <v>99</v>
      </c>
      <c r="G13390" t="s">
        <v>514</v>
      </c>
    </row>
    <row r="13391" spans="1:7" x14ac:dyDescent="0.25">
      <c r="A13391" s="1" t="str">
        <f>"505002"</f>
        <v>505002</v>
      </c>
      <c r="B13391" s="2" t="str">
        <f>"JOGO DE BOBINA DE CAMPO - EMPIL.TOYOTA"</f>
        <v>JOGO DE BOBINA DE CAMPO - EMPIL.TOYOTA</v>
      </c>
      <c r="C13391" s="2" t="str">
        <f t="shared" si="524"/>
        <v>UN</v>
      </c>
      <c r="D13391" s="7">
        <v>900</v>
      </c>
      <c r="E13391" s="3">
        <v>11</v>
      </c>
      <c r="F13391" s="3">
        <v>11</v>
      </c>
      <c r="G13391" t="s">
        <v>513</v>
      </c>
    </row>
    <row r="13392" spans="1:7" x14ac:dyDescent="0.25">
      <c r="A13392" s="1" t="str">
        <f>"523128"</f>
        <v>523128</v>
      </c>
      <c r="B13392" s="8" t="s">
        <v>357</v>
      </c>
      <c r="C13392" s="2" t="str">
        <f t="shared" si="524"/>
        <v>UN</v>
      </c>
      <c r="D13392" s="7">
        <v>402</v>
      </c>
      <c r="E13392" s="3">
        <v>10</v>
      </c>
      <c r="F13392" s="3">
        <v>10</v>
      </c>
      <c r="G13392" t="s">
        <v>512</v>
      </c>
    </row>
    <row r="13393" spans="1:7" x14ac:dyDescent="0.25">
      <c r="A13393" s="1" t="str">
        <f>"500647"</f>
        <v>500647</v>
      </c>
      <c r="B13393" s="2" t="str">
        <f>"JOGO DE BUCHA"</f>
        <v>JOGO DE BUCHA</v>
      </c>
      <c r="C13393" s="2" t="str">
        <f t="shared" si="524"/>
        <v>UN</v>
      </c>
      <c r="D13393" s="7">
        <v>704</v>
      </c>
      <c r="E13393" s="3">
        <v>9</v>
      </c>
      <c r="F13393" s="3">
        <v>9</v>
      </c>
      <c r="G13393" t="s">
        <v>513</v>
      </c>
    </row>
    <row r="13394" spans="1:7" x14ac:dyDescent="0.25">
      <c r="A13394" s="1" t="str">
        <f>"526128"</f>
        <v>526128</v>
      </c>
      <c r="B13394" s="2" t="str">
        <f>"JOGO DE CABOS SINAL 750 V COM PECAS DE CONEXAO"</f>
        <v>JOGO DE CABOS SINAL 750 V COM PECAS DE CONEXAO</v>
      </c>
      <c r="C13394" s="2" t="str">
        <f t="shared" si="524"/>
        <v>UN</v>
      </c>
      <c r="D13394" s="7">
        <v>99999</v>
      </c>
      <c r="E13394" s="3">
        <v>99</v>
      </c>
      <c r="F13394" s="3">
        <v>99</v>
      </c>
      <c r="G13394" t="s">
        <v>514</v>
      </c>
    </row>
    <row r="13395" spans="1:7" x14ac:dyDescent="0.25">
      <c r="A13395" s="1" t="str">
        <f>"514197"</f>
        <v>514197</v>
      </c>
      <c r="B13395" s="2" t="str">
        <f>"JOGO DE CANETA POROSA"</f>
        <v>JOGO DE CANETA POROSA</v>
      </c>
      <c r="C13395" s="2" t="str">
        <f t="shared" si="524"/>
        <v>UN</v>
      </c>
      <c r="D13395" s="7">
        <v>99999</v>
      </c>
      <c r="E13395" s="3">
        <v>99</v>
      </c>
      <c r="F13395" s="3">
        <v>99</v>
      </c>
      <c r="G13395" t="s">
        <v>514</v>
      </c>
    </row>
    <row r="13396" spans="1:7" x14ac:dyDescent="0.25">
      <c r="A13396" s="1" t="str">
        <f>"528072"</f>
        <v>528072</v>
      </c>
      <c r="B13396" s="2" t="str">
        <f>"JOGO DE CHAVE ALLEN LONGA 2-8MM"</f>
        <v>JOGO DE CHAVE ALLEN LONGA 2-8MM</v>
      </c>
      <c r="C13396" s="2" t="str">
        <f t="shared" si="524"/>
        <v>UN</v>
      </c>
      <c r="D13396" s="7">
        <v>817</v>
      </c>
      <c r="E13396" s="3">
        <v>4</v>
      </c>
      <c r="F13396" s="3">
        <v>4</v>
      </c>
      <c r="G13396" t="s">
        <v>514</v>
      </c>
    </row>
    <row r="13397" spans="1:7" x14ac:dyDescent="0.25">
      <c r="A13397" s="1" t="str">
        <f>"523012"</f>
        <v>523012</v>
      </c>
      <c r="B13397" s="2" t="str">
        <f>"JOGO DE CHAVE BIELA TIPO L MILIMETRO"</f>
        <v>JOGO DE CHAVE BIELA TIPO L MILIMETRO</v>
      </c>
      <c r="C13397" s="2" t="str">
        <f t="shared" si="524"/>
        <v>UN</v>
      </c>
      <c r="D13397" s="7">
        <v>817</v>
      </c>
      <c r="E13397" s="3">
        <v>4</v>
      </c>
      <c r="F13397" s="3">
        <v>4</v>
      </c>
      <c r="G13397" t="s">
        <v>513</v>
      </c>
    </row>
    <row r="13398" spans="1:7" x14ac:dyDescent="0.25">
      <c r="A13398" s="1" t="str">
        <f>"506835"</f>
        <v>506835</v>
      </c>
      <c r="B13398" s="2" t="str">
        <f>"JOGO DE CHAVE CATRACA"</f>
        <v>JOGO DE CHAVE CATRACA</v>
      </c>
      <c r="C13398" s="2" t="str">
        <f t="shared" si="524"/>
        <v>UN</v>
      </c>
      <c r="D13398" s="7">
        <v>900</v>
      </c>
      <c r="E13398" s="3">
        <v>11</v>
      </c>
      <c r="F13398" s="3">
        <v>11</v>
      </c>
      <c r="G13398" t="s">
        <v>513</v>
      </c>
    </row>
    <row r="13399" spans="1:7" x14ac:dyDescent="0.25">
      <c r="A13399" s="1" t="str">
        <f>"513291"</f>
        <v>513291</v>
      </c>
      <c r="B13399" s="2" t="str">
        <f>"JOGO DE CHAVE COMBINADA MILIMETRO"</f>
        <v>JOGO DE CHAVE COMBINADA MILIMETRO</v>
      </c>
      <c r="C13399" s="2" t="str">
        <f t="shared" si="524"/>
        <v>UN</v>
      </c>
      <c r="D13399" s="7">
        <v>920</v>
      </c>
      <c r="E13399" s="3">
        <v>11</v>
      </c>
      <c r="F13399" s="3">
        <v>11</v>
      </c>
      <c r="G13399" t="s">
        <v>513</v>
      </c>
    </row>
    <row r="13400" spans="1:7" x14ac:dyDescent="0.25">
      <c r="A13400" s="1" t="str">
        <f>"504344"</f>
        <v>504344</v>
      </c>
      <c r="B13400" s="2" t="str">
        <f>"JOGO DE CHAVE COMBINADA POLEGADA"</f>
        <v>JOGO DE CHAVE COMBINADA POLEGADA</v>
      </c>
      <c r="C13400" s="2" t="str">
        <f t="shared" si="524"/>
        <v>UN</v>
      </c>
      <c r="D13400" s="7">
        <v>402</v>
      </c>
      <c r="E13400" s="3">
        <v>4</v>
      </c>
      <c r="F13400" s="3">
        <v>4</v>
      </c>
      <c r="G13400" t="s">
        <v>512</v>
      </c>
    </row>
    <row r="13401" spans="1:7" x14ac:dyDescent="0.25">
      <c r="A13401" s="1" t="str">
        <f>"521691"</f>
        <v>521691</v>
      </c>
      <c r="B13401" s="2" t="str">
        <f>"JOGO DE CHAVE DE FENDA E FENDA CRUZADA"</f>
        <v>JOGO DE CHAVE DE FENDA E FENDA CRUZADA</v>
      </c>
      <c r="C13401" s="2" t="str">
        <f t="shared" si="524"/>
        <v>UN</v>
      </c>
      <c r="D13401" s="7">
        <v>99999</v>
      </c>
      <c r="E13401" s="3">
        <v>99</v>
      </c>
      <c r="F13401" s="3">
        <v>99</v>
      </c>
      <c r="G13401" t="s">
        <v>513</v>
      </c>
    </row>
    <row r="13402" spans="1:7" x14ac:dyDescent="0.25">
      <c r="A13402" s="1" t="str">
        <f>"526887"</f>
        <v>526887</v>
      </c>
      <c r="B13402" s="2" t="str">
        <f>"JOGO DE CHAVE P/ PARAFUSADEIRA MANUAL"</f>
        <v>JOGO DE CHAVE P/ PARAFUSADEIRA MANUAL</v>
      </c>
      <c r="C13402" s="2" t="str">
        <f t="shared" si="524"/>
        <v>UN</v>
      </c>
      <c r="D13402" s="7">
        <v>99999</v>
      </c>
      <c r="E13402" s="3">
        <v>99</v>
      </c>
      <c r="F13402" s="3">
        <v>99</v>
      </c>
      <c r="G13402" t="s">
        <v>514</v>
      </c>
    </row>
    <row r="13403" spans="1:7" x14ac:dyDescent="0.25">
      <c r="A13403" s="1" t="str">
        <f>"511688"</f>
        <v>511688</v>
      </c>
      <c r="B13403" s="2" t="str">
        <f>"JOGO DE CILINDROS"</f>
        <v>JOGO DE CILINDROS</v>
      </c>
      <c r="C13403" s="2" t="str">
        <f t="shared" si="524"/>
        <v>UN</v>
      </c>
      <c r="D13403" s="7">
        <v>704</v>
      </c>
      <c r="E13403" s="3">
        <v>9</v>
      </c>
      <c r="F13403" s="3">
        <v>9</v>
      </c>
      <c r="G13403" t="s">
        <v>515</v>
      </c>
    </row>
    <row r="13404" spans="1:7" x14ac:dyDescent="0.25">
      <c r="A13404" s="1" t="str">
        <f>"510044"</f>
        <v>510044</v>
      </c>
      <c r="B13404" s="2" t="str">
        <f>"JOGO DE CONTATO P/ CONTATOR WEG CWM95"</f>
        <v>JOGO DE CONTATO P/ CONTATOR WEG CWM95</v>
      </c>
      <c r="C13404" s="2" t="str">
        <f t="shared" si="524"/>
        <v>UN</v>
      </c>
      <c r="D13404" s="7">
        <v>600</v>
      </c>
      <c r="E13404" s="3">
        <v>8</v>
      </c>
      <c r="F13404" s="3">
        <v>8</v>
      </c>
      <c r="G13404" t="s">
        <v>512</v>
      </c>
    </row>
    <row r="13405" spans="1:7" x14ac:dyDescent="0.25">
      <c r="A13405" s="1" t="str">
        <f>"504892"</f>
        <v>504892</v>
      </c>
      <c r="B13405" s="2" t="str">
        <f>"JOGO DE CONTATO SW 180 EKC"</f>
        <v>JOGO DE CONTATO SW 180 EKC</v>
      </c>
      <c r="C13405" s="2" t="str">
        <f t="shared" si="524"/>
        <v>UN</v>
      </c>
      <c r="D13405" s="7">
        <v>900</v>
      </c>
      <c r="E13405" s="3">
        <v>11</v>
      </c>
      <c r="F13405" s="3">
        <v>11</v>
      </c>
      <c r="G13405" t="s">
        <v>516</v>
      </c>
    </row>
    <row r="13406" spans="1:7" x14ac:dyDescent="0.25">
      <c r="A13406" s="1" t="str">
        <f>"504891"</f>
        <v>504891</v>
      </c>
      <c r="B13406" s="2" t="str">
        <f>"JOGO DE CONTATO SW 80 EKC"</f>
        <v>JOGO DE CONTATO SW 80 EKC</v>
      </c>
      <c r="C13406" s="2" t="str">
        <f t="shared" si="524"/>
        <v>UN</v>
      </c>
      <c r="D13406" s="7">
        <v>900</v>
      </c>
      <c r="E13406" s="3">
        <v>11</v>
      </c>
      <c r="F13406" s="3">
        <v>11</v>
      </c>
      <c r="G13406" t="s">
        <v>515</v>
      </c>
    </row>
    <row r="13407" spans="1:7" x14ac:dyDescent="0.25">
      <c r="A13407" s="1" t="str">
        <f>"502567"</f>
        <v>502567</v>
      </c>
      <c r="B13407" s="2" t="str">
        <f>"JOGO DE CONTATOS"</f>
        <v>JOGO DE CONTATOS</v>
      </c>
      <c r="C13407" s="2" t="str">
        <f t="shared" si="524"/>
        <v>UN</v>
      </c>
      <c r="D13407" s="7">
        <v>704</v>
      </c>
      <c r="E13407" s="3">
        <v>9</v>
      </c>
      <c r="F13407" s="3">
        <v>9</v>
      </c>
      <c r="G13407" t="s">
        <v>514</v>
      </c>
    </row>
    <row r="13408" spans="1:7" x14ac:dyDescent="0.25">
      <c r="A13408" s="1" t="str">
        <f>"506313"</f>
        <v>506313</v>
      </c>
      <c r="B13408" s="2" t="str">
        <f>"JOGO DE CONTATOS DO CONT. SIEMENS 3TF48"</f>
        <v>JOGO DE CONTATOS DO CONT. SIEMENS 3TF48</v>
      </c>
      <c r="C13408" s="2" t="str">
        <f t="shared" si="524"/>
        <v>UN</v>
      </c>
      <c r="D13408" s="7">
        <v>600</v>
      </c>
      <c r="E13408" s="3">
        <v>8</v>
      </c>
      <c r="F13408" s="3">
        <v>8</v>
      </c>
      <c r="G13408" t="s">
        <v>512</v>
      </c>
    </row>
    <row r="13409" spans="1:7" x14ac:dyDescent="0.25">
      <c r="A13409" s="1" t="str">
        <f>"513613"</f>
        <v>513613</v>
      </c>
      <c r="B13409" s="2" t="str">
        <f>"JOGO DE COPO 6 PÇ"</f>
        <v>JOGO DE COPO 6 PÇ</v>
      </c>
      <c r="C13409" s="2" t="str">
        <f t="shared" si="524"/>
        <v>UN</v>
      </c>
      <c r="D13409" s="7">
        <v>401</v>
      </c>
      <c r="E13409" s="3">
        <v>4</v>
      </c>
      <c r="F13409" s="3">
        <v>4</v>
      </c>
      <c r="G13409" t="s">
        <v>513</v>
      </c>
    </row>
    <row r="13410" spans="1:7" x14ac:dyDescent="0.25">
      <c r="A13410" s="1" t="str">
        <f>"507639"</f>
        <v>507639</v>
      </c>
      <c r="B13410" s="2" t="str">
        <f>"JOGO DE DIGITOS - MAQUINA SAQUINHO"</f>
        <v>JOGO DE DIGITOS - MAQUINA SAQUINHO</v>
      </c>
      <c r="C13410" s="2" t="str">
        <f>"PC"</f>
        <v>PC</v>
      </c>
      <c r="D13410" s="7">
        <v>907</v>
      </c>
      <c r="E13410" s="3">
        <v>11</v>
      </c>
      <c r="F13410" s="3">
        <v>11</v>
      </c>
      <c r="G13410" t="s">
        <v>514</v>
      </c>
    </row>
    <row r="13411" spans="1:7" x14ac:dyDescent="0.25">
      <c r="A13411" s="1" t="str">
        <f>"516090"</f>
        <v>516090</v>
      </c>
      <c r="B13411" s="2" t="str">
        <f>"JOGO DE ENGRENAGENS"</f>
        <v>JOGO DE ENGRENAGENS</v>
      </c>
      <c r="C13411" s="2" t="str">
        <f t="shared" ref="C13411:C13442" si="525">"UN"</f>
        <v>UN</v>
      </c>
      <c r="D13411" s="7">
        <v>812</v>
      </c>
      <c r="E13411" s="3">
        <v>11</v>
      </c>
      <c r="F13411" s="3">
        <v>11</v>
      </c>
      <c r="G13411" t="s">
        <v>514</v>
      </c>
    </row>
    <row r="13412" spans="1:7" x14ac:dyDescent="0.25">
      <c r="A13412" s="1" t="str">
        <f>"514470"</f>
        <v>514470</v>
      </c>
      <c r="B13412" s="2" t="str">
        <f>"JOGO DE ESCOVA"</f>
        <v>JOGO DE ESCOVA</v>
      </c>
      <c r="C13412" s="2" t="str">
        <f t="shared" si="525"/>
        <v>UN</v>
      </c>
      <c r="D13412" s="7">
        <v>704</v>
      </c>
      <c r="E13412" s="3">
        <v>9</v>
      </c>
      <c r="F13412" s="3">
        <v>9</v>
      </c>
      <c r="G13412" t="s">
        <v>512</v>
      </c>
    </row>
    <row r="13413" spans="1:7" x14ac:dyDescent="0.25">
      <c r="A13413" s="1" t="str">
        <f>"500640"</f>
        <v>500640</v>
      </c>
      <c r="B13413" s="2" t="str">
        <f>"JOGO DE ESCOVA MOTOR TOYOTA"</f>
        <v>JOGO DE ESCOVA MOTOR TOYOTA</v>
      </c>
      <c r="C13413" s="2" t="str">
        <f t="shared" si="525"/>
        <v>UN</v>
      </c>
      <c r="D13413" s="7">
        <v>900</v>
      </c>
      <c r="E13413" s="3">
        <v>11</v>
      </c>
      <c r="F13413" s="3">
        <v>11</v>
      </c>
      <c r="G13413" t="s">
        <v>513</v>
      </c>
    </row>
    <row r="13414" spans="1:7" x14ac:dyDescent="0.25">
      <c r="A13414" s="1" t="str">
        <f>"524547"</f>
        <v>524547</v>
      </c>
      <c r="B13414" s="2" t="str">
        <f>"JOGO DE JUNTA KSB MEGABLOC 32/40/50/65-125-160 106026863"</f>
        <v>JOGO DE JUNTA KSB MEGABLOC 32/40/50/65-125-160 106026863</v>
      </c>
      <c r="C13414" s="2" t="str">
        <f t="shared" si="525"/>
        <v>UN</v>
      </c>
      <c r="D13414" s="7">
        <v>813</v>
      </c>
      <c r="E13414" s="3">
        <v>10</v>
      </c>
      <c r="F13414" s="3">
        <v>10</v>
      </c>
      <c r="G13414" t="s">
        <v>514</v>
      </c>
    </row>
    <row r="13415" spans="1:7" x14ac:dyDescent="0.25">
      <c r="A13415" s="1" t="str">
        <f>"505136"</f>
        <v>505136</v>
      </c>
      <c r="B13415" s="2" t="str">
        <f>"JOGO DE JUNTA SUPERIOR 4G63"</f>
        <v>JOGO DE JUNTA SUPERIOR 4G63</v>
      </c>
      <c r="C13415" s="2" t="str">
        <f t="shared" si="525"/>
        <v>UN</v>
      </c>
      <c r="D13415" s="7">
        <v>918</v>
      </c>
      <c r="E13415" s="3">
        <v>11</v>
      </c>
      <c r="F13415" s="3">
        <v>11</v>
      </c>
      <c r="G13415" t="s">
        <v>514</v>
      </c>
    </row>
    <row r="13416" spans="1:7" x14ac:dyDescent="0.25">
      <c r="A13416" s="1" t="str">
        <f>"507818"</f>
        <v>507818</v>
      </c>
      <c r="B13416" s="2" t="str">
        <f>"JOGO DE JUNTAS 4/100 - AGUA-AMIANTO"</f>
        <v>JOGO DE JUNTAS 4/100 - AGUA-AMIANTO</v>
      </c>
      <c r="C13416" s="2" t="str">
        <f t="shared" si="525"/>
        <v>UN</v>
      </c>
      <c r="D13416" s="7">
        <v>918</v>
      </c>
      <c r="E13416" s="3">
        <v>11</v>
      </c>
      <c r="F13416" s="3">
        <v>11</v>
      </c>
      <c r="G13416" t="s">
        <v>514</v>
      </c>
    </row>
    <row r="13417" spans="1:7" x14ac:dyDescent="0.25">
      <c r="A13417" s="1" t="str">
        <f>"509360"</f>
        <v>509360</v>
      </c>
      <c r="B13417" s="2" t="str">
        <f>"JOGO DE JUNTAS 4A"</f>
        <v>JOGO DE JUNTAS 4A</v>
      </c>
      <c r="C13417" s="2" t="str">
        <f t="shared" si="525"/>
        <v>UN</v>
      </c>
      <c r="D13417" s="7">
        <v>918</v>
      </c>
      <c r="E13417" s="3">
        <v>11</v>
      </c>
      <c r="F13417" s="3">
        <v>11</v>
      </c>
      <c r="G13417" t="s">
        <v>513</v>
      </c>
    </row>
    <row r="13418" spans="1:7" x14ac:dyDescent="0.25">
      <c r="A13418" s="1" t="str">
        <f>"508539"</f>
        <v>508539</v>
      </c>
      <c r="B13418" s="2" t="str">
        <f>"JOGO DE JUNTAS DO MOTOR K4M"</f>
        <v>JOGO DE JUNTAS DO MOTOR K4M</v>
      </c>
      <c r="C13418" s="2" t="str">
        <f t="shared" si="525"/>
        <v>UN</v>
      </c>
      <c r="D13418" s="7">
        <v>704</v>
      </c>
      <c r="E13418" s="3">
        <v>9</v>
      </c>
      <c r="F13418" s="3">
        <v>9</v>
      </c>
      <c r="G13418" t="s">
        <v>512</v>
      </c>
    </row>
    <row r="13419" spans="1:7" x14ac:dyDescent="0.25">
      <c r="A13419" s="1" t="str">
        <f>"502837"</f>
        <v>502837</v>
      </c>
      <c r="B13419" s="2" t="str">
        <f>"JOGO DE LONAS"</f>
        <v>JOGO DE LONAS</v>
      </c>
      <c r="C13419" s="2" t="str">
        <f t="shared" si="525"/>
        <v>UN</v>
      </c>
      <c r="D13419" s="7">
        <v>704</v>
      </c>
      <c r="E13419" s="3">
        <v>9</v>
      </c>
      <c r="F13419" s="3">
        <v>9</v>
      </c>
      <c r="G13419" t="s">
        <v>513</v>
      </c>
    </row>
    <row r="13420" spans="1:7" x14ac:dyDescent="0.25">
      <c r="A13420" s="1" t="str">
        <f>"526503"</f>
        <v>526503</v>
      </c>
      <c r="B13420" s="2" t="str">
        <f>"JOGO DE MANCAL P/ BOMBA OLEO M50P - DM-0099-A05 - 113495006"</f>
        <v>JOGO DE MANCAL P/ BOMBA OLEO M50P - DM-0099-A05 - 113495006</v>
      </c>
      <c r="C13420" s="2" t="str">
        <f t="shared" si="525"/>
        <v>UN</v>
      </c>
      <c r="D13420" s="7">
        <v>918</v>
      </c>
      <c r="E13420" s="3">
        <v>11</v>
      </c>
      <c r="F13420" s="3">
        <v>11</v>
      </c>
      <c r="G13420" t="s">
        <v>514</v>
      </c>
    </row>
    <row r="13421" spans="1:7" x14ac:dyDescent="0.25">
      <c r="A13421" s="1" t="str">
        <f>"511685"</f>
        <v>511685</v>
      </c>
      <c r="B13421" s="2" t="str">
        <f>"JOGO DE MONTAGEM"</f>
        <v>JOGO DE MONTAGEM</v>
      </c>
      <c r="C13421" s="2" t="str">
        <f t="shared" si="525"/>
        <v>UN</v>
      </c>
      <c r="D13421" s="7">
        <v>704</v>
      </c>
      <c r="E13421" s="3">
        <v>9</v>
      </c>
      <c r="F13421" s="3">
        <v>9</v>
      </c>
      <c r="G13421" t="s">
        <v>514</v>
      </c>
    </row>
    <row r="13422" spans="1:7" x14ac:dyDescent="0.25">
      <c r="A13422" s="1" t="str">
        <f>"501804"</f>
        <v>501804</v>
      </c>
      <c r="B13422" s="2" t="str">
        <f>"JOGO DE PASTILHA"</f>
        <v>JOGO DE PASTILHA</v>
      </c>
      <c r="C13422" s="2" t="str">
        <f t="shared" si="525"/>
        <v>UN</v>
      </c>
      <c r="D13422" s="7">
        <v>704</v>
      </c>
      <c r="E13422" s="3">
        <v>9</v>
      </c>
      <c r="F13422" s="3">
        <v>9</v>
      </c>
      <c r="G13422" t="s">
        <v>514</v>
      </c>
    </row>
    <row r="13423" spans="1:7" x14ac:dyDescent="0.25">
      <c r="A13423" s="1" t="str">
        <f>"511768"</f>
        <v>511768</v>
      </c>
      <c r="B13423" s="2" t="str">
        <f>"JOGO DE PATINS - EMBREAGEM"</f>
        <v>JOGO DE PATINS - EMBREAGEM</v>
      </c>
      <c r="C13423" s="2" t="str">
        <f t="shared" si="525"/>
        <v>UN</v>
      </c>
      <c r="D13423" s="7">
        <v>704</v>
      </c>
      <c r="E13423" s="3">
        <v>9</v>
      </c>
      <c r="F13423" s="3">
        <v>9</v>
      </c>
      <c r="G13423" t="s">
        <v>513</v>
      </c>
    </row>
    <row r="13424" spans="1:7" x14ac:dyDescent="0.25">
      <c r="A13424" s="1" t="str">
        <f>"504932"</f>
        <v>504932</v>
      </c>
      <c r="B13424" s="2" t="str">
        <f>"JOGO DE PISTOES STD"</f>
        <v>JOGO DE PISTOES STD</v>
      </c>
      <c r="C13424" s="2" t="str">
        <f t="shared" si="525"/>
        <v>UN</v>
      </c>
      <c r="D13424" s="7">
        <v>918</v>
      </c>
      <c r="E13424" s="3">
        <v>11</v>
      </c>
      <c r="F13424" s="3">
        <v>11</v>
      </c>
      <c r="G13424" t="s">
        <v>513</v>
      </c>
    </row>
    <row r="13425" spans="1:7" x14ac:dyDescent="0.25">
      <c r="A13425" s="1" t="str">
        <f>"526846"</f>
        <v>526846</v>
      </c>
      <c r="B13425" s="2" t="str">
        <f>"JOGO DE PORCAS E ARRUELAS"</f>
        <v>JOGO DE PORCAS E ARRUELAS</v>
      </c>
      <c r="C13425" s="2" t="str">
        <f t="shared" si="525"/>
        <v>UN</v>
      </c>
      <c r="D13425" s="7">
        <v>99999</v>
      </c>
      <c r="E13425" s="3">
        <v>99</v>
      </c>
      <c r="F13425" s="3">
        <v>99</v>
      </c>
      <c r="G13425" t="s">
        <v>513</v>
      </c>
    </row>
    <row r="13426" spans="1:7" x14ac:dyDescent="0.25">
      <c r="A13426" s="1" t="str">
        <f>"509323"</f>
        <v>509323</v>
      </c>
      <c r="B13426" s="2" t="str">
        <f>"JOGO DE PUNÇAO DA DMAX C/ 24 PEÇAS"</f>
        <v>JOGO DE PUNÇAO DA DMAX C/ 24 PEÇAS</v>
      </c>
      <c r="C13426" s="2" t="str">
        <f t="shared" si="525"/>
        <v>UN</v>
      </c>
      <c r="D13426" s="7">
        <v>918</v>
      </c>
      <c r="E13426" s="3">
        <v>11</v>
      </c>
      <c r="F13426" s="3">
        <v>11</v>
      </c>
      <c r="G13426" t="s">
        <v>512</v>
      </c>
    </row>
    <row r="13427" spans="1:7" x14ac:dyDescent="0.25">
      <c r="A13427" s="1" t="str">
        <f>"509324"</f>
        <v>509324</v>
      </c>
      <c r="B13427" s="2" t="str">
        <f>"JOGO DE PUNÇAO DINIEPER PETIT"</f>
        <v>JOGO DE PUNÇAO DINIEPER PETIT</v>
      </c>
      <c r="C13427" s="2" t="str">
        <f t="shared" si="525"/>
        <v>UN</v>
      </c>
      <c r="D13427" s="7">
        <v>918</v>
      </c>
      <c r="E13427" s="3">
        <v>11</v>
      </c>
      <c r="F13427" s="3">
        <v>11</v>
      </c>
      <c r="G13427" t="s">
        <v>513</v>
      </c>
    </row>
    <row r="13428" spans="1:7" x14ac:dyDescent="0.25">
      <c r="A13428" s="1" t="str">
        <f>"526121"</f>
        <v>526121</v>
      </c>
      <c r="B13428" s="2" t="str">
        <f>"JOGO DE REP. VZBD-2-W1-16-T-2-F0507-V14V14"</f>
        <v>JOGO DE REP. VZBD-2-W1-16-T-2-F0507-V14V14</v>
      </c>
      <c r="C13428" s="2" t="str">
        <f t="shared" si="525"/>
        <v>UN</v>
      </c>
      <c r="D13428" s="7">
        <v>901</v>
      </c>
      <c r="E13428" s="3">
        <v>11</v>
      </c>
      <c r="F13428" s="3">
        <v>11</v>
      </c>
      <c r="G13428" t="s">
        <v>514</v>
      </c>
    </row>
    <row r="13429" spans="1:7" x14ac:dyDescent="0.25">
      <c r="A13429" s="1" t="str">
        <f>"502945"</f>
        <v>502945</v>
      </c>
      <c r="B13429" s="2" t="str">
        <f>"JOGO DE REPARO DE ANEIS REGISTRO SERVICO"</f>
        <v>JOGO DE REPARO DE ANEIS REGISTRO SERVICO</v>
      </c>
      <c r="C13429" s="2" t="str">
        <f t="shared" si="525"/>
        <v>UN</v>
      </c>
      <c r="D13429" s="7">
        <v>704</v>
      </c>
      <c r="E13429" s="3">
        <v>9</v>
      </c>
      <c r="F13429" s="3">
        <v>9</v>
      </c>
      <c r="G13429" t="s">
        <v>515</v>
      </c>
    </row>
    <row r="13430" spans="1:7" x14ac:dyDescent="0.25">
      <c r="A13430" s="1" t="str">
        <f>"522007"</f>
        <v>522007</v>
      </c>
      <c r="B13430" s="8" t="s">
        <v>272</v>
      </c>
      <c r="C13430" s="2" t="str">
        <f t="shared" si="525"/>
        <v>UN</v>
      </c>
      <c r="D13430" s="7">
        <v>901</v>
      </c>
      <c r="E13430" s="3">
        <v>11</v>
      </c>
      <c r="F13430" s="3">
        <v>11</v>
      </c>
      <c r="G13430" t="s">
        <v>512</v>
      </c>
    </row>
    <row r="13431" spans="1:7" x14ac:dyDescent="0.25">
      <c r="A13431" s="1" t="str">
        <f>"501533"</f>
        <v>501533</v>
      </c>
      <c r="B13431" s="2" t="str">
        <f>"JOGO DE REPARO P.INJETOR"</f>
        <v>JOGO DE REPARO P.INJETOR</v>
      </c>
      <c r="C13431" s="2" t="str">
        <f t="shared" si="525"/>
        <v>UN</v>
      </c>
      <c r="D13431" s="7">
        <v>704</v>
      </c>
      <c r="E13431" s="3">
        <v>9</v>
      </c>
      <c r="F13431" s="3">
        <v>9</v>
      </c>
      <c r="G13431" t="s">
        <v>516</v>
      </c>
    </row>
    <row r="13432" spans="1:7" x14ac:dyDescent="0.25">
      <c r="A13432" s="1" t="str">
        <f>"525408"</f>
        <v>525408</v>
      </c>
      <c r="B13432" s="2" t="str">
        <f>"JOGO DE ROLAMENTO RE100"</f>
        <v>JOGO DE ROLAMENTO RE100</v>
      </c>
      <c r="C13432" s="2" t="str">
        <f t="shared" si="525"/>
        <v>UN</v>
      </c>
      <c r="D13432" s="7">
        <v>812</v>
      </c>
      <c r="E13432" s="3">
        <v>11</v>
      </c>
      <c r="F13432" s="3">
        <v>11</v>
      </c>
      <c r="G13432" t="s">
        <v>515</v>
      </c>
    </row>
    <row r="13433" spans="1:7" x14ac:dyDescent="0.25">
      <c r="A13433" s="1" t="str">
        <f>"526249"</f>
        <v>526249</v>
      </c>
      <c r="B13433" s="2" t="str">
        <f>"JOGO DE VEDAÇÃO DE BICOS INJETORES"</f>
        <v>JOGO DE VEDAÇÃO DE BICOS INJETORES</v>
      </c>
      <c r="C13433" s="2" t="str">
        <f t="shared" si="525"/>
        <v>UN</v>
      </c>
      <c r="D13433" s="7">
        <v>704</v>
      </c>
      <c r="E13433" s="3">
        <v>9</v>
      </c>
      <c r="F13433" s="3">
        <v>9</v>
      </c>
      <c r="G13433" t="s">
        <v>514</v>
      </c>
    </row>
    <row r="13434" spans="1:7" x14ac:dyDescent="0.25">
      <c r="A13434" s="1" t="str">
        <f>"526120"</f>
        <v>526120</v>
      </c>
      <c r="B13434" s="2" t="str">
        <f>"JOGO DE VEDAÇÃO VAVC.-F8-WP-2-2"" -W1 8083175"</f>
        <v>JOGO DE VEDAÇÃO VAVC.-F8-WP-2-2" -W1 8083175</v>
      </c>
      <c r="C13434" s="2" t="str">
        <f t="shared" si="525"/>
        <v>UN</v>
      </c>
      <c r="D13434" s="7">
        <v>901</v>
      </c>
      <c r="E13434" s="3">
        <v>11</v>
      </c>
      <c r="F13434" s="3">
        <v>11</v>
      </c>
      <c r="G13434" t="s">
        <v>512</v>
      </c>
    </row>
    <row r="13435" spans="1:7" x14ac:dyDescent="0.25">
      <c r="A13435" s="1" t="str">
        <f>"519052"</f>
        <v>519052</v>
      </c>
      <c r="B13435" s="2" t="str">
        <f>"JOGO DE VELA TOYOTA 4Y 8FGU25"</f>
        <v>JOGO DE VELA TOYOTA 4Y 8FGU25</v>
      </c>
      <c r="C13435" s="2" t="str">
        <f t="shared" si="525"/>
        <v>UN</v>
      </c>
      <c r="D13435" s="7">
        <v>918</v>
      </c>
      <c r="E13435" s="3">
        <v>11</v>
      </c>
      <c r="F13435" s="3">
        <v>11</v>
      </c>
      <c r="G13435" t="s">
        <v>513</v>
      </c>
    </row>
    <row r="13436" spans="1:7" x14ac:dyDescent="0.25">
      <c r="A13436" s="1" t="str">
        <f>"508182"</f>
        <v>508182</v>
      </c>
      <c r="B13436" s="2" t="str">
        <f>"JOGO DE VELAS"</f>
        <v>JOGO DE VELAS</v>
      </c>
      <c r="C13436" s="2" t="str">
        <f t="shared" si="525"/>
        <v>UN</v>
      </c>
      <c r="D13436" s="7">
        <v>704</v>
      </c>
      <c r="E13436" s="3">
        <v>9</v>
      </c>
      <c r="F13436" s="3">
        <v>9</v>
      </c>
      <c r="G13436" t="s">
        <v>514</v>
      </c>
    </row>
    <row r="13437" spans="1:7" x14ac:dyDescent="0.25">
      <c r="A13437" s="1" t="str">
        <f>"513862"</f>
        <v>513862</v>
      </c>
      <c r="B13437" s="2" t="str">
        <f>"JOGO DE XICARA CAFÉ"</f>
        <v>JOGO DE XICARA CAFÉ</v>
      </c>
      <c r="C13437" s="2" t="str">
        <f t="shared" si="525"/>
        <v>UN</v>
      </c>
      <c r="D13437" s="7">
        <v>99999</v>
      </c>
      <c r="E13437" s="3">
        <v>99</v>
      </c>
      <c r="F13437" s="3">
        <v>99</v>
      </c>
      <c r="G13437" t="s">
        <v>514</v>
      </c>
    </row>
    <row r="13438" spans="1:7" x14ac:dyDescent="0.25">
      <c r="A13438" s="1" t="str">
        <f>"507679"</f>
        <v>507679</v>
      </c>
      <c r="B13438" s="2" t="str">
        <f>"JOGO EIXO"</f>
        <v>JOGO EIXO</v>
      </c>
      <c r="C13438" s="2" t="str">
        <f t="shared" si="525"/>
        <v>UN</v>
      </c>
      <c r="D13438" s="7">
        <v>918</v>
      </c>
      <c r="E13438" s="3">
        <v>11</v>
      </c>
      <c r="F13438" s="3">
        <v>11</v>
      </c>
      <c r="G13438" t="s">
        <v>512</v>
      </c>
    </row>
    <row r="13439" spans="1:7" x14ac:dyDescent="0.25">
      <c r="A13439" s="1" t="str">
        <f>"505732"</f>
        <v>505732</v>
      </c>
      <c r="B13439" s="2" t="str">
        <f>"JOGO ELETRICISTA REF.M51020"</f>
        <v>JOGO ELETRICISTA REF.M51020</v>
      </c>
      <c r="C13439" s="2" t="str">
        <f t="shared" si="525"/>
        <v>UN</v>
      </c>
      <c r="D13439" s="7">
        <v>402</v>
      </c>
      <c r="E13439" s="3">
        <v>4</v>
      </c>
      <c r="F13439" s="3">
        <v>4</v>
      </c>
      <c r="G13439" t="s">
        <v>513</v>
      </c>
    </row>
    <row r="13440" spans="1:7" x14ac:dyDescent="0.25">
      <c r="A13440" s="1" t="str">
        <f>"505461"</f>
        <v>505461</v>
      </c>
      <c r="B13440" s="2" t="str">
        <f>"JOGO ESCOVA E REPARO"</f>
        <v>JOGO ESCOVA E REPARO</v>
      </c>
      <c r="C13440" s="2" t="str">
        <f t="shared" si="525"/>
        <v>UN</v>
      </c>
      <c r="D13440" s="7">
        <v>812</v>
      </c>
      <c r="E13440" s="3">
        <v>9</v>
      </c>
      <c r="F13440" s="3">
        <v>9</v>
      </c>
      <c r="G13440" t="s">
        <v>514</v>
      </c>
    </row>
    <row r="13441" spans="1:7" x14ac:dyDescent="0.25">
      <c r="A13441" s="1" t="str">
        <f>"502511"</f>
        <v>502511</v>
      </c>
      <c r="B13441" s="2" t="str">
        <f>"JOGO FACA DA GEIGER 100 KG SERRILHADA ASI 420"</f>
        <v>JOGO FACA DA GEIGER 100 KG SERRILHADA ASI 420</v>
      </c>
      <c r="C13441" s="2" t="str">
        <f t="shared" si="525"/>
        <v>UN</v>
      </c>
      <c r="D13441" s="7">
        <v>918</v>
      </c>
      <c r="E13441" s="3">
        <v>11</v>
      </c>
      <c r="F13441" s="3">
        <v>11</v>
      </c>
      <c r="G13441" t="s">
        <v>514</v>
      </c>
    </row>
    <row r="13442" spans="1:7" x14ac:dyDescent="0.25">
      <c r="A13442" s="1" t="str">
        <f>"517756"</f>
        <v>517756</v>
      </c>
      <c r="B13442" s="2" t="str">
        <f>"JOGO FACA P/ PLAINA SKIL 1555 2PÇS"</f>
        <v>JOGO FACA P/ PLAINA SKIL 1555 2PÇS</v>
      </c>
      <c r="C13442" s="2" t="str">
        <f t="shared" si="525"/>
        <v>UN</v>
      </c>
      <c r="D13442" s="7">
        <v>918</v>
      </c>
      <c r="E13442" s="3">
        <v>11</v>
      </c>
      <c r="F13442" s="3">
        <v>11</v>
      </c>
      <c r="G13442" t="s">
        <v>514</v>
      </c>
    </row>
    <row r="13443" spans="1:7" x14ac:dyDescent="0.25">
      <c r="A13443" s="1" t="str">
        <f>"523794"</f>
        <v>523794</v>
      </c>
      <c r="B13443" s="2" t="str">
        <f>"JOGO FUNDUE"</f>
        <v>JOGO FUNDUE</v>
      </c>
      <c r="C13443" s="2" t="str">
        <f t="shared" ref="C13443:C13474" si="526">"UN"</f>
        <v>UN</v>
      </c>
      <c r="D13443" s="7">
        <v>99999</v>
      </c>
      <c r="E13443" s="3">
        <v>99</v>
      </c>
      <c r="F13443" s="3">
        <v>99</v>
      </c>
      <c r="G13443" t="s">
        <v>513</v>
      </c>
    </row>
    <row r="13444" spans="1:7" x14ac:dyDescent="0.25">
      <c r="A13444" s="1" t="str">
        <f>"518896"</f>
        <v>518896</v>
      </c>
      <c r="B13444" s="2" t="str">
        <f>"JOGO GOMAS BO STANDAR"</f>
        <v>JOGO GOMAS BO STANDAR</v>
      </c>
      <c r="C13444" s="2" t="str">
        <f t="shared" si="526"/>
        <v>UN</v>
      </c>
      <c r="D13444" s="7">
        <v>918</v>
      </c>
      <c r="E13444" s="3">
        <v>11</v>
      </c>
      <c r="F13444" s="3">
        <v>11</v>
      </c>
      <c r="G13444" t="s">
        <v>512</v>
      </c>
    </row>
    <row r="13445" spans="1:7" x14ac:dyDescent="0.25">
      <c r="A13445" s="1" t="str">
        <f>"518897"</f>
        <v>518897</v>
      </c>
      <c r="B13445" s="2" t="str">
        <f>"JOGO GOMAS MRBO MODELO NOVO"</f>
        <v>JOGO GOMAS MRBO MODELO NOVO</v>
      </c>
      <c r="C13445" s="2" t="str">
        <f t="shared" si="526"/>
        <v>UN</v>
      </c>
      <c r="D13445" s="7">
        <v>918</v>
      </c>
      <c r="E13445" s="3">
        <v>11</v>
      </c>
      <c r="F13445" s="3">
        <v>11</v>
      </c>
      <c r="G13445" t="s">
        <v>513</v>
      </c>
    </row>
    <row r="13446" spans="1:7" x14ac:dyDescent="0.25">
      <c r="A13446" s="1" t="str">
        <f>"512966"</f>
        <v>512966</v>
      </c>
      <c r="B13446" s="2" t="str">
        <f>"JOGO JUNTA 32200"</f>
        <v>JOGO JUNTA 32200</v>
      </c>
      <c r="C13446" s="2" t="str">
        <f t="shared" si="526"/>
        <v>UN</v>
      </c>
      <c r="D13446" s="7">
        <v>918</v>
      </c>
      <c r="E13446" s="3">
        <v>11</v>
      </c>
      <c r="F13446" s="3">
        <v>11</v>
      </c>
      <c r="G13446" t="s">
        <v>514</v>
      </c>
    </row>
    <row r="13447" spans="1:7" x14ac:dyDescent="0.25">
      <c r="A13447" s="1" t="str">
        <f>"521399"</f>
        <v>521399</v>
      </c>
      <c r="B13447" s="2" t="str">
        <f>"JOGO JUNTA 4WA"</f>
        <v>JOGO JUNTA 4WA</v>
      </c>
      <c r="C13447" s="2" t="str">
        <f t="shared" si="526"/>
        <v>UN</v>
      </c>
      <c r="D13447" s="7">
        <v>918</v>
      </c>
      <c r="E13447" s="3">
        <v>11</v>
      </c>
      <c r="F13447" s="3">
        <v>11</v>
      </c>
      <c r="G13447" t="s">
        <v>514</v>
      </c>
    </row>
    <row r="13448" spans="1:7" x14ac:dyDescent="0.25">
      <c r="A13448" s="1" t="str">
        <f>"508067"</f>
        <v>508067</v>
      </c>
      <c r="B13448" s="2" t="str">
        <f>"JOGO JUNTA COMPLETA BBA. VACUO SBV250"</f>
        <v>JOGO JUNTA COMPLETA BBA. VACUO SBV250</v>
      </c>
      <c r="C13448" s="2" t="str">
        <f t="shared" si="526"/>
        <v>UN</v>
      </c>
      <c r="D13448" s="7">
        <v>918</v>
      </c>
      <c r="E13448" s="3">
        <v>11</v>
      </c>
      <c r="F13448" s="3">
        <v>11</v>
      </c>
      <c r="G13448" t="s">
        <v>514</v>
      </c>
    </row>
    <row r="13449" spans="1:7" x14ac:dyDescent="0.25">
      <c r="A13449" s="1" t="str">
        <f>"507869"</f>
        <v>507869</v>
      </c>
      <c r="B13449" s="2" t="str">
        <f>"JOGO JUNTA INFERIOR"</f>
        <v>JOGO JUNTA INFERIOR</v>
      </c>
      <c r="C13449" s="2" t="str">
        <f t="shared" si="526"/>
        <v>UN</v>
      </c>
      <c r="D13449" s="7">
        <v>704</v>
      </c>
      <c r="E13449" s="3">
        <v>9</v>
      </c>
      <c r="F13449" s="3">
        <v>9</v>
      </c>
      <c r="G13449" t="s">
        <v>513</v>
      </c>
    </row>
    <row r="13450" spans="1:7" x14ac:dyDescent="0.25">
      <c r="A13450" s="1" t="str">
        <f>"507870"</f>
        <v>507870</v>
      </c>
      <c r="B13450" s="2" t="str">
        <f>"JOGO JUNTA SUPERIOR"</f>
        <v>JOGO JUNTA SUPERIOR</v>
      </c>
      <c r="C13450" s="2" t="str">
        <f t="shared" si="526"/>
        <v>UN</v>
      </c>
      <c r="D13450" s="7">
        <v>704</v>
      </c>
      <c r="E13450" s="3">
        <v>9</v>
      </c>
      <c r="F13450" s="3">
        <v>9</v>
      </c>
      <c r="G13450" t="s">
        <v>513</v>
      </c>
    </row>
    <row r="13451" spans="1:7" x14ac:dyDescent="0.25">
      <c r="A13451" s="1" t="str">
        <f>"512078"</f>
        <v>512078</v>
      </c>
      <c r="B13451" s="2" t="str">
        <f>"JOGO JUNTAS 6/65 (149 PEÇAS)"</f>
        <v>JOGO JUNTAS 6/65 (149 PEÇAS)</v>
      </c>
      <c r="C13451" s="2" t="str">
        <f t="shared" si="526"/>
        <v>UN</v>
      </c>
      <c r="D13451" s="7">
        <v>918</v>
      </c>
      <c r="E13451" s="3">
        <v>11</v>
      </c>
      <c r="F13451" s="3">
        <v>11</v>
      </c>
      <c r="G13451" t="s">
        <v>513</v>
      </c>
    </row>
    <row r="13452" spans="1:7" x14ac:dyDescent="0.25">
      <c r="A13452" s="1" t="str">
        <f>"501863"</f>
        <v>501863</v>
      </c>
      <c r="B13452" s="2" t="str">
        <f>"JOGO JUNTAS MOTOR EMPILHADEIRA MIT-FG25"</f>
        <v>JOGO JUNTAS MOTOR EMPILHADEIRA MIT-FG25</v>
      </c>
      <c r="C13452" s="2" t="str">
        <f t="shared" si="526"/>
        <v>UN</v>
      </c>
      <c r="D13452" s="7">
        <v>704</v>
      </c>
      <c r="E13452" s="3">
        <v>9</v>
      </c>
      <c r="F13452" s="3">
        <v>9</v>
      </c>
      <c r="G13452" t="s">
        <v>512</v>
      </c>
    </row>
    <row r="13453" spans="1:7" x14ac:dyDescent="0.25">
      <c r="A13453" s="1" t="str">
        <f>"519163"</f>
        <v>519163</v>
      </c>
      <c r="B13453" s="2" t="str">
        <f>"JOGO JUNTAS STIL FS220"</f>
        <v>JOGO JUNTAS STIL FS220</v>
      </c>
      <c r="C13453" s="2" t="str">
        <f t="shared" si="526"/>
        <v>UN</v>
      </c>
      <c r="D13453" s="7">
        <v>918</v>
      </c>
      <c r="E13453" s="3">
        <v>11</v>
      </c>
      <c r="F13453" s="3">
        <v>11</v>
      </c>
      <c r="G13453" t="s">
        <v>513</v>
      </c>
    </row>
    <row r="13454" spans="1:7" x14ac:dyDescent="0.25">
      <c r="A13454" s="1" t="str">
        <f>"509818"</f>
        <v>509818</v>
      </c>
      <c r="B13454" s="2" t="str">
        <f>"JOGO LONA DE FREIO MAO CAT 416-E RETRO."</f>
        <v>JOGO LONA DE FREIO MAO CAT 416-E RETRO.</v>
      </c>
      <c r="C13454" s="2" t="str">
        <f t="shared" si="526"/>
        <v>UN</v>
      </c>
      <c r="D13454" s="7">
        <v>704</v>
      </c>
      <c r="E13454" s="3">
        <v>9</v>
      </c>
      <c r="F13454" s="3">
        <v>9</v>
      </c>
      <c r="G13454" t="s">
        <v>514</v>
      </c>
    </row>
    <row r="13455" spans="1:7" x14ac:dyDescent="0.25">
      <c r="A13455" s="1" t="str">
        <f>"511546"</f>
        <v>511546</v>
      </c>
      <c r="B13455" s="2" t="str">
        <f>"JOGO MACHO 1/2  X 13G"</f>
        <v>JOGO MACHO 1/2  X 13G</v>
      </c>
      <c r="C13455" s="2" t="str">
        <f t="shared" si="526"/>
        <v>UN</v>
      </c>
      <c r="D13455" s="7">
        <v>402</v>
      </c>
      <c r="E13455" s="3">
        <v>4</v>
      </c>
      <c r="F13455" s="3">
        <v>4</v>
      </c>
      <c r="G13455" t="s">
        <v>515</v>
      </c>
    </row>
    <row r="13456" spans="1:7" x14ac:dyDescent="0.25">
      <c r="A13456" s="1" t="str">
        <f>"521401"</f>
        <v>521401</v>
      </c>
      <c r="B13456" s="2" t="str">
        <f>"JOGO MACHO 1/4"</f>
        <v>JOGO MACHO 1/4</v>
      </c>
      <c r="C13456" s="2" t="str">
        <f t="shared" si="526"/>
        <v>UN</v>
      </c>
      <c r="D13456" s="7">
        <v>704</v>
      </c>
      <c r="E13456" s="3">
        <v>9</v>
      </c>
      <c r="F13456" s="3">
        <v>9</v>
      </c>
      <c r="G13456" t="s">
        <v>512</v>
      </c>
    </row>
    <row r="13457" spans="1:7" x14ac:dyDescent="0.25">
      <c r="A13457" s="1" t="str">
        <f>"511545"</f>
        <v>511545</v>
      </c>
      <c r="B13457" s="2" t="str">
        <f>"JOGO MACHO 3/16 X 24G"</f>
        <v>JOGO MACHO 3/16 X 24G</v>
      </c>
      <c r="C13457" s="2" t="str">
        <f t="shared" si="526"/>
        <v>UN</v>
      </c>
      <c r="D13457" s="7">
        <v>402</v>
      </c>
      <c r="E13457" s="3">
        <v>4</v>
      </c>
      <c r="F13457" s="3">
        <v>4</v>
      </c>
      <c r="G13457" t="s">
        <v>516</v>
      </c>
    </row>
    <row r="13458" spans="1:7" x14ac:dyDescent="0.25">
      <c r="A13458" s="1" t="str">
        <f>"514071"</f>
        <v>514071</v>
      </c>
      <c r="B13458" s="2" t="str">
        <f>"JOGO MACHO 3/4"</f>
        <v>JOGO MACHO 3/4</v>
      </c>
      <c r="C13458" s="2" t="str">
        <f t="shared" si="526"/>
        <v>UN</v>
      </c>
      <c r="D13458" s="7">
        <v>704</v>
      </c>
      <c r="E13458" s="3">
        <v>9</v>
      </c>
      <c r="F13458" s="3">
        <v>9</v>
      </c>
      <c r="G13458" t="s">
        <v>515</v>
      </c>
    </row>
    <row r="13459" spans="1:7" x14ac:dyDescent="0.25">
      <c r="A13459" s="1" t="str">
        <f>"525185"</f>
        <v>525185</v>
      </c>
      <c r="B13459" s="2" t="str">
        <f>"JOGO MACHO 5/16 ROSCA GROSSA"</f>
        <v>JOGO MACHO 5/16 ROSCA GROSSA</v>
      </c>
      <c r="C13459" s="2" t="str">
        <f t="shared" si="526"/>
        <v>UN</v>
      </c>
      <c r="D13459" s="7">
        <v>402</v>
      </c>
      <c r="E13459" s="3">
        <v>4</v>
      </c>
      <c r="F13459" s="3">
        <v>4</v>
      </c>
      <c r="G13459" t="s">
        <v>514</v>
      </c>
    </row>
    <row r="13460" spans="1:7" x14ac:dyDescent="0.25">
      <c r="A13460" s="1" t="str">
        <f>"511552"</f>
        <v>511552</v>
      </c>
      <c r="B13460" s="2" t="str">
        <f>"JOGO MACHO M10  X 1,5MM"</f>
        <v>JOGO MACHO M10  X 1,5MM</v>
      </c>
      <c r="C13460" s="2" t="str">
        <f t="shared" si="526"/>
        <v>UN</v>
      </c>
      <c r="D13460" s="7">
        <v>402</v>
      </c>
      <c r="E13460" s="3">
        <v>4</v>
      </c>
      <c r="F13460" s="3">
        <v>4</v>
      </c>
      <c r="G13460" t="s">
        <v>512</v>
      </c>
    </row>
    <row r="13461" spans="1:7" x14ac:dyDescent="0.25">
      <c r="A13461" s="1" t="str">
        <f>"511553"</f>
        <v>511553</v>
      </c>
      <c r="B13461" s="2" t="str">
        <f>"JOGO MACHO M12  X 1,75MM"</f>
        <v>JOGO MACHO M12  X 1,75MM</v>
      </c>
      <c r="C13461" s="2" t="str">
        <f t="shared" si="526"/>
        <v>UN</v>
      </c>
      <c r="D13461" s="7">
        <v>402</v>
      </c>
      <c r="E13461" s="3">
        <v>4</v>
      </c>
      <c r="F13461" s="3">
        <v>4</v>
      </c>
      <c r="G13461" t="s">
        <v>513</v>
      </c>
    </row>
    <row r="13462" spans="1:7" x14ac:dyDescent="0.25">
      <c r="A13462" s="1" t="str">
        <f>"511547"</f>
        <v>511547</v>
      </c>
      <c r="B13462" s="2" t="str">
        <f>"JOGO MACHO M3   X 0,5MM"</f>
        <v>JOGO MACHO M3   X 0,5MM</v>
      </c>
      <c r="C13462" s="2" t="str">
        <f t="shared" si="526"/>
        <v>UN</v>
      </c>
      <c r="D13462" s="7">
        <v>402</v>
      </c>
      <c r="E13462" s="3">
        <v>4</v>
      </c>
      <c r="F13462" s="3">
        <v>4</v>
      </c>
      <c r="G13462" t="s">
        <v>514</v>
      </c>
    </row>
    <row r="13463" spans="1:7" x14ac:dyDescent="0.25">
      <c r="A13463" s="1" t="str">
        <f>"511548"</f>
        <v>511548</v>
      </c>
      <c r="B13463" s="2" t="str">
        <f>"JOGO MACHO M4   X 0,7MM"</f>
        <v>JOGO MACHO M4   X 0,7MM</v>
      </c>
      <c r="C13463" s="2" t="str">
        <f t="shared" si="526"/>
        <v>UN</v>
      </c>
      <c r="D13463" s="7">
        <v>402</v>
      </c>
      <c r="E13463" s="3">
        <v>4</v>
      </c>
      <c r="F13463" s="3">
        <v>4</v>
      </c>
      <c r="G13463" t="s">
        <v>514</v>
      </c>
    </row>
    <row r="13464" spans="1:7" x14ac:dyDescent="0.25">
      <c r="A13464" s="1" t="str">
        <f>"511549"</f>
        <v>511549</v>
      </c>
      <c r="B13464" s="2" t="str">
        <f>"JOGO MACHO M5   X 0,8MM"</f>
        <v>JOGO MACHO M5   X 0,8MM</v>
      </c>
      <c r="C13464" s="2" t="str">
        <f t="shared" si="526"/>
        <v>UN</v>
      </c>
      <c r="D13464" s="7">
        <v>402</v>
      </c>
      <c r="E13464" s="3">
        <v>4</v>
      </c>
      <c r="F13464" s="3">
        <v>4</v>
      </c>
      <c r="G13464" t="s">
        <v>512</v>
      </c>
    </row>
    <row r="13465" spans="1:7" x14ac:dyDescent="0.25">
      <c r="A13465" s="1" t="str">
        <f>"511550"</f>
        <v>511550</v>
      </c>
      <c r="B13465" s="2" t="str">
        <f>"JOGO MACHO M6   X 1,0MM"</f>
        <v>JOGO MACHO M6   X 1,0MM</v>
      </c>
      <c r="C13465" s="2" t="str">
        <f t="shared" si="526"/>
        <v>UN</v>
      </c>
      <c r="D13465" s="7">
        <v>402</v>
      </c>
      <c r="E13465" s="3">
        <v>4</v>
      </c>
      <c r="F13465" s="3">
        <v>4</v>
      </c>
      <c r="G13465" t="s">
        <v>513</v>
      </c>
    </row>
    <row r="13466" spans="1:7" x14ac:dyDescent="0.25">
      <c r="A13466" s="1" t="str">
        <f>"511551"</f>
        <v>511551</v>
      </c>
      <c r="B13466" s="2" t="str">
        <f>"JOGO MACHO M8   X 1,25MM"</f>
        <v>JOGO MACHO M8   X 1,25MM</v>
      </c>
      <c r="C13466" s="2" t="str">
        <f t="shared" si="526"/>
        <v>UN</v>
      </c>
      <c r="D13466" s="7">
        <v>402</v>
      </c>
      <c r="E13466" s="3">
        <v>4</v>
      </c>
      <c r="F13466" s="3">
        <v>4</v>
      </c>
      <c r="G13466" t="s">
        <v>514</v>
      </c>
    </row>
    <row r="13467" spans="1:7" x14ac:dyDescent="0.25">
      <c r="A13467" s="1" t="str">
        <f>"511564"</f>
        <v>511564</v>
      </c>
      <c r="B13467" s="2" t="str">
        <f>"JOGO MACHO ROSCA POSTIÇA 1/2  X 13G"</f>
        <v>JOGO MACHO ROSCA POSTIÇA 1/2  X 13G</v>
      </c>
      <c r="C13467" s="2" t="str">
        <f t="shared" si="526"/>
        <v>UN</v>
      </c>
      <c r="D13467" s="7">
        <v>402</v>
      </c>
      <c r="E13467" s="3">
        <v>4</v>
      </c>
      <c r="F13467" s="3">
        <v>4</v>
      </c>
      <c r="G13467" t="s">
        <v>514</v>
      </c>
    </row>
    <row r="13468" spans="1:7" x14ac:dyDescent="0.25">
      <c r="A13468" s="1" t="str">
        <f>"511561"</f>
        <v>511561</v>
      </c>
      <c r="B13468" s="2" t="str">
        <f>"JOGO MACHO ROSCA POSTIÇA 1/4  X 20G"</f>
        <v>JOGO MACHO ROSCA POSTIÇA 1/4  X 20G</v>
      </c>
      <c r="C13468" s="2" t="str">
        <f t="shared" si="526"/>
        <v>UN</v>
      </c>
      <c r="D13468" s="7">
        <v>402</v>
      </c>
      <c r="E13468" s="3">
        <v>4</v>
      </c>
      <c r="F13468" s="3">
        <v>4</v>
      </c>
      <c r="G13468" t="s">
        <v>514</v>
      </c>
    </row>
    <row r="13469" spans="1:7" x14ac:dyDescent="0.25">
      <c r="A13469" s="1" t="str">
        <f>"511563"</f>
        <v>511563</v>
      </c>
      <c r="B13469" s="2" t="str">
        <f>"JOGO MACHO ROSCA POSTIÇA 3/8  X 16G"</f>
        <v>JOGO MACHO ROSCA POSTIÇA 3/8  X 16G</v>
      </c>
      <c r="C13469" s="2" t="str">
        <f t="shared" si="526"/>
        <v>UN</v>
      </c>
      <c r="D13469" s="7">
        <v>402</v>
      </c>
      <c r="E13469" s="3">
        <v>4</v>
      </c>
      <c r="F13469" s="3">
        <v>4</v>
      </c>
      <c r="G13469" t="s">
        <v>513</v>
      </c>
    </row>
    <row r="13470" spans="1:7" x14ac:dyDescent="0.25">
      <c r="A13470" s="1" t="str">
        <f>"511562"</f>
        <v>511562</v>
      </c>
      <c r="B13470" s="2" t="str">
        <f>"JOGO MACHO ROSCA POSTIÇA 5/16 X 18G"</f>
        <v>JOGO MACHO ROSCA POSTIÇA 5/16 X 18G</v>
      </c>
      <c r="C13470" s="2" t="str">
        <f t="shared" si="526"/>
        <v>UN</v>
      </c>
      <c r="D13470" s="7">
        <v>402</v>
      </c>
      <c r="E13470" s="3">
        <v>4</v>
      </c>
      <c r="F13470" s="3">
        <v>4</v>
      </c>
      <c r="G13470" t="s">
        <v>512</v>
      </c>
    </row>
    <row r="13471" spans="1:7" x14ac:dyDescent="0.25">
      <c r="A13471" s="1" t="str">
        <f>"511559"</f>
        <v>511559</v>
      </c>
      <c r="B13471" s="2" t="str">
        <f>"JOGO MACHO ROSCA POSTIÇA M10  X 1,5MM"</f>
        <v>JOGO MACHO ROSCA POSTIÇA M10  X 1,5MM</v>
      </c>
      <c r="C13471" s="2" t="str">
        <f t="shared" si="526"/>
        <v>UN</v>
      </c>
      <c r="D13471" s="7">
        <v>402</v>
      </c>
      <c r="E13471" s="3">
        <v>4</v>
      </c>
      <c r="F13471" s="3">
        <v>4</v>
      </c>
      <c r="G13471" t="s">
        <v>513</v>
      </c>
    </row>
    <row r="13472" spans="1:7" x14ac:dyDescent="0.25">
      <c r="A13472" s="1" t="str">
        <f>"511560"</f>
        <v>511560</v>
      </c>
      <c r="B13472" s="2" t="str">
        <f>"JOGO MACHO ROSCA POSTIÇA M12  X 1,75MM"</f>
        <v>JOGO MACHO ROSCA POSTIÇA M12  X 1,75MM</v>
      </c>
      <c r="C13472" s="2" t="str">
        <f t="shared" si="526"/>
        <v>UN</v>
      </c>
      <c r="D13472" s="7">
        <v>402</v>
      </c>
      <c r="E13472" s="3">
        <v>4</v>
      </c>
      <c r="F13472" s="3">
        <v>4</v>
      </c>
      <c r="G13472" t="s">
        <v>514</v>
      </c>
    </row>
    <row r="13473" spans="1:7" x14ac:dyDescent="0.25">
      <c r="A13473" s="1" t="str">
        <f>"511557"</f>
        <v>511557</v>
      </c>
      <c r="B13473" s="2" t="str">
        <f>"JOGO MACHO ROSCA POSTIÇA M6   X 1,0MM"</f>
        <v>JOGO MACHO ROSCA POSTIÇA M6   X 1,0MM</v>
      </c>
      <c r="C13473" s="2" t="str">
        <f t="shared" si="526"/>
        <v>UN</v>
      </c>
      <c r="D13473" s="7">
        <v>402</v>
      </c>
      <c r="E13473" s="3">
        <v>4</v>
      </c>
      <c r="F13473" s="3">
        <v>4</v>
      </c>
      <c r="G13473" t="s">
        <v>514</v>
      </c>
    </row>
    <row r="13474" spans="1:7" x14ac:dyDescent="0.25">
      <c r="A13474" s="1" t="str">
        <f>"511558"</f>
        <v>511558</v>
      </c>
      <c r="B13474" s="2" t="str">
        <f>"JOGO MACHO ROSCA POSTIÇA M8   X 1,25MM"</f>
        <v>JOGO MACHO ROSCA POSTIÇA M8   X 1,25MM</v>
      </c>
      <c r="C13474" s="2" t="str">
        <f t="shared" si="526"/>
        <v>UN</v>
      </c>
      <c r="D13474" s="7">
        <v>402</v>
      </c>
      <c r="E13474" s="3">
        <v>4</v>
      </c>
      <c r="F13474" s="3">
        <v>4</v>
      </c>
      <c r="G13474" t="s">
        <v>514</v>
      </c>
    </row>
    <row r="13475" spans="1:7" x14ac:dyDescent="0.25">
      <c r="A13475" s="1" t="str">
        <f>"522792"</f>
        <v>522792</v>
      </c>
      <c r="B13475" s="2" t="str">
        <f>"JOGO MANUTENÇÃO"</f>
        <v>JOGO MANUTENÇÃO</v>
      </c>
      <c r="C13475" s="2" t="str">
        <f t="shared" ref="C13475:C13501" si="527">"UN"</f>
        <v>UN</v>
      </c>
      <c r="D13475" s="7">
        <v>704</v>
      </c>
      <c r="E13475" s="3">
        <v>9</v>
      </c>
      <c r="F13475" s="3">
        <v>9</v>
      </c>
      <c r="G13475" t="s">
        <v>513</v>
      </c>
    </row>
    <row r="13476" spans="1:7" x14ac:dyDescent="0.25">
      <c r="A13476" s="1" t="str">
        <f>"515879"</f>
        <v>515879</v>
      </c>
      <c r="B13476" s="2" t="str">
        <f>"JOGO MOLA PRESSAO"</f>
        <v>JOGO MOLA PRESSAO</v>
      </c>
      <c r="C13476" s="2" t="str">
        <f t="shared" si="527"/>
        <v>UN</v>
      </c>
      <c r="D13476" s="7">
        <v>704</v>
      </c>
      <c r="E13476" s="3">
        <v>9</v>
      </c>
      <c r="F13476" s="3">
        <v>9</v>
      </c>
      <c r="G13476" t="s">
        <v>513</v>
      </c>
    </row>
    <row r="13477" spans="1:7" x14ac:dyDescent="0.25">
      <c r="A13477" s="1" t="str">
        <f>"511505"</f>
        <v>511505</v>
      </c>
      <c r="B13477" s="2" t="str">
        <f>"JOGO MONTAGENS"</f>
        <v>JOGO MONTAGENS</v>
      </c>
      <c r="C13477" s="2" t="str">
        <f t="shared" si="527"/>
        <v>UN</v>
      </c>
      <c r="D13477" s="7">
        <v>704</v>
      </c>
      <c r="E13477" s="3">
        <v>9</v>
      </c>
      <c r="F13477" s="3">
        <v>9</v>
      </c>
      <c r="G13477" t="s">
        <v>513</v>
      </c>
    </row>
    <row r="13478" spans="1:7" x14ac:dyDescent="0.25">
      <c r="A13478" s="1" t="str">
        <f>"515765"</f>
        <v>515765</v>
      </c>
      <c r="B13478" s="2" t="str">
        <f>"JOGO PALHETAS"</f>
        <v>JOGO PALHETAS</v>
      </c>
      <c r="C13478" s="2" t="str">
        <f t="shared" si="527"/>
        <v>UN</v>
      </c>
      <c r="D13478" s="7">
        <v>704</v>
      </c>
      <c r="E13478" s="3">
        <v>9</v>
      </c>
      <c r="F13478" s="3">
        <v>9</v>
      </c>
      <c r="G13478" t="s">
        <v>512</v>
      </c>
    </row>
    <row r="13479" spans="1:7" x14ac:dyDescent="0.25">
      <c r="A13479" s="1" t="str">
        <f>"514994"</f>
        <v>514994</v>
      </c>
      <c r="B13479" s="2" t="str">
        <f>"JOGO PEÇAS BORBOLETA F. MOTOR AÇO"</f>
        <v>JOGO PEÇAS BORBOLETA F. MOTOR AÇO</v>
      </c>
      <c r="C13479" s="2" t="str">
        <f t="shared" si="527"/>
        <v>UN</v>
      </c>
      <c r="D13479" s="7">
        <v>704</v>
      </c>
      <c r="E13479" s="3">
        <v>9</v>
      </c>
      <c r="F13479" s="3">
        <v>9</v>
      </c>
      <c r="G13479" t="s">
        <v>513</v>
      </c>
    </row>
    <row r="13480" spans="1:7" x14ac:dyDescent="0.25">
      <c r="A13480" s="1" t="str">
        <f>"511749"</f>
        <v>511749</v>
      </c>
      <c r="B13480" s="2" t="str">
        <f>"JOGO PEÇAS ELEMENTO FILTRO"</f>
        <v>JOGO PEÇAS ELEMENTO FILTRO</v>
      </c>
      <c r="C13480" s="2" t="str">
        <f t="shared" si="527"/>
        <v>UN</v>
      </c>
      <c r="D13480" s="7">
        <v>704</v>
      </c>
      <c r="E13480" s="3">
        <v>9</v>
      </c>
      <c r="F13480" s="3">
        <v>9</v>
      </c>
      <c r="G13480" t="s">
        <v>514</v>
      </c>
    </row>
    <row r="13481" spans="1:7" x14ac:dyDescent="0.25">
      <c r="A13481" s="1" t="str">
        <f>"506987"</f>
        <v>506987</v>
      </c>
      <c r="B13481" s="2" t="str">
        <f>"JOGO PINGO D'AGUA SAPATA"</f>
        <v>JOGO PINGO D'AGUA SAPATA</v>
      </c>
      <c r="C13481" s="2" t="str">
        <f t="shared" si="527"/>
        <v>UN</v>
      </c>
      <c r="D13481" s="7">
        <v>704</v>
      </c>
      <c r="E13481" s="3">
        <v>9</v>
      </c>
      <c r="F13481" s="3">
        <v>9</v>
      </c>
      <c r="G13481" t="s">
        <v>515</v>
      </c>
    </row>
    <row r="13482" spans="1:7" x14ac:dyDescent="0.25">
      <c r="A13482" s="1" t="str">
        <f>"518058"</f>
        <v>518058</v>
      </c>
      <c r="B13482" s="2" t="str">
        <f>"JOGO PUNÇÃO ALFABETICO 8MM"</f>
        <v>JOGO PUNÇÃO ALFABETICO 8MM</v>
      </c>
      <c r="C13482" s="2" t="str">
        <f t="shared" si="527"/>
        <v>UN</v>
      </c>
      <c r="D13482" s="7">
        <v>920</v>
      </c>
      <c r="E13482" s="3">
        <v>4</v>
      </c>
      <c r="F13482" s="3">
        <v>4</v>
      </c>
      <c r="G13482" t="s">
        <v>512</v>
      </c>
    </row>
    <row r="13483" spans="1:7" x14ac:dyDescent="0.25">
      <c r="A13483" s="1" t="str">
        <f>"515880"</f>
        <v>515880</v>
      </c>
      <c r="B13483" s="2" t="str">
        <f>"JOGO REPARO"</f>
        <v>JOGO REPARO</v>
      </c>
      <c r="C13483" s="2" t="str">
        <f t="shared" si="527"/>
        <v>UN</v>
      </c>
      <c r="D13483" s="7">
        <v>704</v>
      </c>
      <c r="E13483" s="3">
        <v>9</v>
      </c>
      <c r="F13483" s="3">
        <v>9</v>
      </c>
      <c r="G13483" t="s">
        <v>516</v>
      </c>
    </row>
    <row r="13484" spans="1:7" x14ac:dyDescent="0.25">
      <c r="A13484" s="1" t="str">
        <f>"510845"</f>
        <v>510845</v>
      </c>
      <c r="B13484" s="2" t="str">
        <f>"JOGO REPARO FILTRO OLEO LUBRIFICANTE"</f>
        <v>JOGO REPARO FILTRO OLEO LUBRIFICANTE</v>
      </c>
      <c r="C13484" s="2" t="str">
        <f t="shared" si="527"/>
        <v>UN</v>
      </c>
      <c r="D13484" s="7">
        <v>704</v>
      </c>
      <c r="E13484" s="3">
        <v>9</v>
      </c>
      <c r="F13484" s="3">
        <v>9</v>
      </c>
      <c r="G13484" t="s">
        <v>515</v>
      </c>
    </row>
    <row r="13485" spans="1:7" x14ac:dyDescent="0.25">
      <c r="A13485" s="1" t="str">
        <f>"516081"</f>
        <v>516081</v>
      </c>
      <c r="B13485" s="2" t="str">
        <f>"JOGO REPARO REG. SUCÇÃO/DESCARGA 100"</f>
        <v>JOGO REPARO REG. SUCÇÃO/DESCARGA 100</v>
      </c>
      <c r="C13485" s="2" t="str">
        <f t="shared" si="527"/>
        <v>UN</v>
      </c>
      <c r="D13485" s="7">
        <v>1002</v>
      </c>
      <c r="E13485" s="3">
        <v>11</v>
      </c>
      <c r="F13485" s="3">
        <v>11</v>
      </c>
      <c r="G13485" t="s">
        <v>514</v>
      </c>
    </row>
    <row r="13486" spans="1:7" x14ac:dyDescent="0.25">
      <c r="A13486" s="1" t="str">
        <f>"506352"</f>
        <v>506352</v>
      </c>
      <c r="B13486" s="2" t="str">
        <f>"JOGO REPARO REGISTRO SMC4-100"</f>
        <v>JOGO REPARO REGISTRO SMC4-100</v>
      </c>
      <c r="C13486" s="2" t="str">
        <f t="shared" si="527"/>
        <v>UN</v>
      </c>
      <c r="D13486" s="7">
        <v>918</v>
      </c>
      <c r="E13486" s="3">
        <v>11</v>
      </c>
      <c r="F13486" s="3">
        <v>11</v>
      </c>
      <c r="G13486" t="s">
        <v>512</v>
      </c>
    </row>
    <row r="13487" spans="1:7" x14ac:dyDescent="0.25">
      <c r="A13487" s="1" t="str">
        <f>"513561"</f>
        <v>513561</v>
      </c>
      <c r="B13487" s="2" t="str">
        <f>"JOGO REPARO VAPORIZADOR GLP"</f>
        <v>JOGO REPARO VAPORIZADOR GLP</v>
      </c>
      <c r="C13487" s="2" t="str">
        <f t="shared" si="527"/>
        <v>UN</v>
      </c>
      <c r="D13487" s="7">
        <v>99999</v>
      </c>
      <c r="E13487" s="3">
        <v>99</v>
      </c>
      <c r="F13487" s="3">
        <v>99</v>
      </c>
      <c r="G13487" t="s">
        <v>513</v>
      </c>
    </row>
    <row r="13488" spans="1:7" x14ac:dyDescent="0.25">
      <c r="A13488" s="1" t="str">
        <f>"512579"</f>
        <v>512579</v>
      </c>
      <c r="B13488" s="2" t="str">
        <f>"JOGO REPARO VSR-10/15 - COMPRESSOR AMONIA"</f>
        <v>JOGO REPARO VSR-10/15 - COMPRESSOR AMONIA</v>
      </c>
      <c r="C13488" s="2" t="str">
        <f t="shared" si="527"/>
        <v>UN</v>
      </c>
      <c r="D13488" s="7">
        <v>918</v>
      </c>
      <c r="E13488" s="3">
        <v>11</v>
      </c>
      <c r="F13488" s="3">
        <v>11</v>
      </c>
      <c r="G13488" t="s">
        <v>514</v>
      </c>
    </row>
    <row r="13489" spans="1:7" x14ac:dyDescent="0.25">
      <c r="A13489" s="1" t="str">
        <f>"512580"</f>
        <v>512580</v>
      </c>
      <c r="B13489" s="2" t="str">
        <f>"JOGO REPARO VSR-20/25/35"</f>
        <v>JOGO REPARO VSR-20/25/35</v>
      </c>
      <c r="C13489" s="2" t="str">
        <f t="shared" si="527"/>
        <v>UN</v>
      </c>
      <c r="D13489" s="7">
        <v>918</v>
      </c>
      <c r="E13489" s="3">
        <v>11</v>
      </c>
      <c r="F13489" s="3">
        <v>11</v>
      </c>
      <c r="G13489" t="s">
        <v>514</v>
      </c>
    </row>
    <row r="13490" spans="1:7" x14ac:dyDescent="0.25">
      <c r="A13490" s="1" t="str">
        <f>"502944"</f>
        <v>502944</v>
      </c>
      <c r="B13490" s="2" t="str">
        <f>"JOGO REPARO VSR-20/25/35 - COMPRESSOR AMONIA"</f>
        <v>JOGO REPARO VSR-20/25/35 - COMPRESSOR AMONIA</v>
      </c>
      <c r="C13490" s="2" t="str">
        <f t="shared" si="527"/>
        <v>UN</v>
      </c>
      <c r="D13490" s="7">
        <v>918</v>
      </c>
      <c r="E13490" s="3">
        <v>11</v>
      </c>
      <c r="F13490" s="3">
        <v>11</v>
      </c>
      <c r="G13490" t="s">
        <v>512</v>
      </c>
    </row>
    <row r="13491" spans="1:7" x14ac:dyDescent="0.25">
      <c r="A13491" s="1" t="str">
        <f>"515606"</f>
        <v>515606</v>
      </c>
      <c r="B13491" s="2" t="str">
        <f>"JOGO REQUADRO VIDRO"</f>
        <v>JOGO REQUADRO VIDRO</v>
      </c>
      <c r="C13491" s="2" t="str">
        <f t="shared" si="527"/>
        <v>UN</v>
      </c>
      <c r="D13491" s="7">
        <v>408</v>
      </c>
      <c r="E13491" s="3">
        <v>4</v>
      </c>
      <c r="F13491" s="3">
        <v>4</v>
      </c>
      <c r="G13491" t="s">
        <v>513</v>
      </c>
    </row>
    <row r="13492" spans="1:7" x14ac:dyDescent="0.25">
      <c r="A13492" s="1" t="str">
        <f>"515817"</f>
        <v>515817</v>
      </c>
      <c r="B13492" s="2" t="str">
        <f>"JOGO SACA PINO GEDORE"</f>
        <v>JOGO SACA PINO GEDORE</v>
      </c>
      <c r="C13492" s="2" t="str">
        <f t="shared" si="527"/>
        <v>UN</v>
      </c>
      <c r="D13492" s="7">
        <v>99999</v>
      </c>
      <c r="E13492" s="3">
        <v>99</v>
      </c>
      <c r="F13492" s="3">
        <v>99</v>
      </c>
      <c r="G13492" t="s">
        <v>514</v>
      </c>
    </row>
    <row r="13493" spans="1:7" x14ac:dyDescent="0.25">
      <c r="A13493" s="1" t="str">
        <f>"517053"</f>
        <v>517053</v>
      </c>
      <c r="B13493" s="2" t="str">
        <f>"JOGO SOQUETE 1/2"" 12 A 32MM"</f>
        <v>JOGO SOQUETE 1/2" 12 A 32MM</v>
      </c>
      <c r="C13493" s="2" t="str">
        <f t="shared" si="527"/>
        <v>UN</v>
      </c>
      <c r="D13493" s="7">
        <v>920</v>
      </c>
      <c r="E13493" s="3">
        <v>4</v>
      </c>
      <c r="F13493" s="3">
        <v>4</v>
      </c>
      <c r="G13493" t="s">
        <v>514</v>
      </c>
    </row>
    <row r="13494" spans="1:7" x14ac:dyDescent="0.25">
      <c r="A13494" s="1" t="str">
        <f>"503377"</f>
        <v>503377</v>
      </c>
      <c r="B13494" s="8" t="s">
        <v>16</v>
      </c>
      <c r="C13494" s="2" t="str">
        <f t="shared" si="527"/>
        <v>UN</v>
      </c>
      <c r="D13494" s="7">
        <v>402</v>
      </c>
      <c r="E13494" s="3">
        <v>4</v>
      </c>
      <c r="F13494" s="3">
        <v>4</v>
      </c>
      <c r="G13494" t="s">
        <v>514</v>
      </c>
    </row>
    <row r="13495" spans="1:7" x14ac:dyDescent="0.25">
      <c r="A13495" s="1" t="str">
        <f>"525102"</f>
        <v>525102</v>
      </c>
      <c r="B13495" s="2" t="str">
        <f>"JOGO TENSIONADOR CORREIA CUMMINS"</f>
        <v>JOGO TENSIONADOR CORREIA CUMMINS</v>
      </c>
      <c r="C13495" s="2" t="str">
        <f t="shared" si="527"/>
        <v>UN</v>
      </c>
      <c r="D13495" s="7">
        <v>704</v>
      </c>
      <c r="E13495" s="3">
        <v>9</v>
      </c>
      <c r="F13495" s="3">
        <v>9</v>
      </c>
      <c r="G13495" t="s">
        <v>513</v>
      </c>
    </row>
    <row r="13496" spans="1:7" x14ac:dyDescent="0.25">
      <c r="A13496" s="1" t="str">
        <f>"513242"</f>
        <v>513242</v>
      </c>
      <c r="B13496" s="2" t="str">
        <f>"JOGO UNO"</f>
        <v>JOGO UNO</v>
      </c>
      <c r="C13496" s="2" t="str">
        <f t="shared" si="527"/>
        <v>UN</v>
      </c>
      <c r="D13496" s="7">
        <v>401</v>
      </c>
      <c r="E13496" s="3">
        <v>4</v>
      </c>
      <c r="F13496" s="3">
        <v>4</v>
      </c>
      <c r="G13496" t="s">
        <v>512</v>
      </c>
    </row>
    <row r="13497" spans="1:7" x14ac:dyDescent="0.25">
      <c r="A13497" s="1" t="str">
        <f>"508540"</f>
        <v>508540</v>
      </c>
      <c r="B13497" s="2" t="str">
        <f>"JOGO VALVULAS ADMISSAO 4X K4M"</f>
        <v>JOGO VALVULAS ADMISSAO 4X K4M</v>
      </c>
      <c r="C13497" s="2" t="str">
        <f t="shared" si="527"/>
        <v>UN</v>
      </c>
      <c r="D13497" s="7">
        <v>704</v>
      </c>
      <c r="E13497" s="3">
        <v>9</v>
      </c>
      <c r="F13497" s="3">
        <v>9</v>
      </c>
      <c r="G13497" t="s">
        <v>513</v>
      </c>
    </row>
    <row r="13498" spans="1:7" x14ac:dyDescent="0.25">
      <c r="A13498" s="1" t="str">
        <f>"508541"</f>
        <v>508541</v>
      </c>
      <c r="B13498" s="2" t="str">
        <f>"JOGO VALVULAS ESCAPE 4X K4M"</f>
        <v>JOGO VALVULAS ESCAPE 4X K4M</v>
      </c>
      <c r="C13498" s="2" t="str">
        <f t="shared" si="527"/>
        <v>UN</v>
      </c>
      <c r="D13498" s="7">
        <v>704</v>
      </c>
      <c r="E13498" s="3">
        <v>9</v>
      </c>
      <c r="F13498" s="3">
        <v>9</v>
      </c>
      <c r="G13498" t="s">
        <v>514</v>
      </c>
    </row>
    <row r="13499" spans="1:7" x14ac:dyDescent="0.25">
      <c r="A13499" s="1" t="str">
        <f>"512852"</f>
        <v>512852</v>
      </c>
      <c r="B13499" s="2" t="str">
        <f>"JOGO XICARA CHA 12PÇS"</f>
        <v>JOGO XICARA CHA 12PÇS</v>
      </c>
      <c r="C13499" s="2" t="str">
        <f t="shared" si="527"/>
        <v>UN</v>
      </c>
      <c r="D13499" s="7">
        <v>99999</v>
      </c>
      <c r="E13499" s="3">
        <v>99</v>
      </c>
      <c r="F13499" s="3">
        <v>99</v>
      </c>
      <c r="G13499" t="s">
        <v>514</v>
      </c>
    </row>
    <row r="13500" spans="1:7" x14ac:dyDescent="0.25">
      <c r="A13500" s="1" t="str">
        <f>"521642"</f>
        <v>521642</v>
      </c>
      <c r="B13500" s="2" t="str">
        <f>"JORNAL FOLHA DE LONDRINA"</f>
        <v>JORNAL FOLHA DE LONDRINA</v>
      </c>
      <c r="C13500" s="2" t="str">
        <f t="shared" si="527"/>
        <v>UN</v>
      </c>
      <c r="D13500" s="7">
        <v>99999</v>
      </c>
      <c r="E13500" s="3">
        <v>99</v>
      </c>
      <c r="F13500" s="3">
        <v>99</v>
      </c>
      <c r="G13500" t="s">
        <v>514</v>
      </c>
    </row>
    <row r="13501" spans="1:7" x14ac:dyDescent="0.25">
      <c r="A13501" s="1" t="str">
        <f>"509276"</f>
        <v>509276</v>
      </c>
      <c r="B13501" s="2" t="str">
        <f>"JUGULAR"</f>
        <v>JUGULAR</v>
      </c>
      <c r="C13501" s="2" t="str">
        <f t="shared" si="527"/>
        <v>UN</v>
      </c>
      <c r="D13501" s="7">
        <v>501</v>
      </c>
      <c r="E13501" s="3">
        <v>5</v>
      </c>
      <c r="F13501" s="3">
        <v>5</v>
      </c>
      <c r="G13501" t="s">
        <v>513</v>
      </c>
    </row>
    <row r="13502" spans="1:7" x14ac:dyDescent="0.25">
      <c r="A13502" s="1" t="str">
        <f>"523926"</f>
        <v>523926</v>
      </c>
      <c r="B13502" s="2" t="str">
        <f>"JUGULAR ELASTICA 2 GANCHOS MSA C/25 UNIDADES"</f>
        <v>JUGULAR ELASTICA 2 GANCHOS MSA C/25 UNIDADES</v>
      </c>
      <c r="C13502" s="2" t="str">
        <f>"CX"</f>
        <v>CX</v>
      </c>
      <c r="D13502" s="7">
        <v>501</v>
      </c>
      <c r="E13502" s="3">
        <v>5</v>
      </c>
      <c r="F13502" s="3">
        <v>5</v>
      </c>
      <c r="G13502" t="s">
        <v>513</v>
      </c>
    </row>
    <row r="13503" spans="1:7" x14ac:dyDescent="0.25">
      <c r="A13503" s="1" t="str">
        <f>"509207"</f>
        <v>509207</v>
      </c>
      <c r="B13503" s="2" t="str">
        <f>"JUGULAR LONA PRO SAF"</f>
        <v>JUGULAR LONA PRO SAF</v>
      </c>
      <c r="C13503" s="2" t="str">
        <f>"UN"</f>
        <v>UN</v>
      </c>
      <c r="D13503" s="7">
        <v>402</v>
      </c>
      <c r="E13503" s="3">
        <v>4</v>
      </c>
      <c r="F13503" s="3">
        <v>4</v>
      </c>
      <c r="G13503" t="s">
        <v>513</v>
      </c>
    </row>
    <row r="13504" spans="1:7" x14ac:dyDescent="0.25">
      <c r="A13504" s="1" t="str">
        <f>"523226"</f>
        <v>523226</v>
      </c>
      <c r="B13504" s="2" t="str">
        <f>"JUGULAR SILICONE P/ CAPACETE"</f>
        <v>JUGULAR SILICONE P/ CAPACETE</v>
      </c>
      <c r="C13504" s="2" t="str">
        <f>"UN"</f>
        <v>UN</v>
      </c>
      <c r="D13504" s="7">
        <v>501</v>
      </c>
      <c r="E13504" s="3">
        <v>5</v>
      </c>
      <c r="F13504" s="3">
        <v>5</v>
      </c>
      <c r="G13504" t="s">
        <v>512</v>
      </c>
    </row>
    <row r="13505" spans="1:7" x14ac:dyDescent="0.25">
      <c r="A13505" s="1" t="str">
        <f>"522724"</f>
        <v>522724</v>
      </c>
      <c r="B13505" s="2" t="str">
        <f>"JUGULAR TECIDO P/ CAPACETE"</f>
        <v>JUGULAR TECIDO P/ CAPACETE</v>
      </c>
      <c r="C13505" s="2" t="str">
        <f>"UN"</f>
        <v>UN</v>
      </c>
      <c r="D13505" s="7">
        <v>501</v>
      </c>
      <c r="E13505" s="3">
        <v>5</v>
      </c>
      <c r="F13505" s="3">
        <v>5</v>
      </c>
      <c r="G13505" t="s">
        <v>513</v>
      </c>
    </row>
    <row r="13506" spans="1:7" x14ac:dyDescent="0.25">
      <c r="A13506" s="1" t="str">
        <f>"509159"</f>
        <v>509159</v>
      </c>
      <c r="B13506" s="2" t="str">
        <f>"JUMELO"</f>
        <v>JUMELO</v>
      </c>
      <c r="C13506" s="2" t="str">
        <f>"UN"</f>
        <v>UN</v>
      </c>
      <c r="D13506" s="7">
        <v>704</v>
      </c>
      <c r="E13506" s="3">
        <v>9</v>
      </c>
      <c r="F13506" s="3">
        <v>9</v>
      </c>
      <c r="G13506" t="s">
        <v>514</v>
      </c>
    </row>
    <row r="13507" spans="1:7" x14ac:dyDescent="0.25">
      <c r="A13507" s="1" t="str">
        <f>"526037"</f>
        <v>526037</v>
      </c>
      <c r="B13507" s="2" t="str">
        <f>"JUMPER BORNE RELE FBST 500-PLC RD"</f>
        <v>JUMPER BORNE RELE FBST 500-PLC RD</v>
      </c>
      <c r="C13507" s="2" t="str">
        <f>"PC"</f>
        <v>PC</v>
      </c>
      <c r="D13507" s="7">
        <v>600</v>
      </c>
      <c r="E13507" s="3">
        <v>8</v>
      </c>
      <c r="F13507" s="3">
        <v>8</v>
      </c>
      <c r="G13507" t="s">
        <v>515</v>
      </c>
    </row>
    <row r="13508" spans="1:7" x14ac:dyDescent="0.25">
      <c r="A13508" s="1" t="str">
        <f>"522142"</f>
        <v>522142</v>
      </c>
      <c r="B13508" s="2" t="str">
        <f>"JUNÇÃO (Y) DE 100MM  PVC ESGOTO"</f>
        <v>JUNÇÃO (Y) DE 100MM  PVC ESGOTO</v>
      </c>
      <c r="C13508" s="2" t="str">
        <f>"PÇ"</f>
        <v>PÇ</v>
      </c>
      <c r="D13508" s="7">
        <v>808</v>
      </c>
      <c r="E13508" s="3">
        <v>10</v>
      </c>
      <c r="F13508" s="3">
        <v>10</v>
      </c>
      <c r="G13508" t="s">
        <v>512</v>
      </c>
    </row>
    <row r="13509" spans="1:7" x14ac:dyDescent="0.25">
      <c r="A13509" s="1" t="str">
        <f>"522143"</f>
        <v>522143</v>
      </c>
      <c r="B13509" s="2" t="str">
        <f>"JUNÇÃO (Y) DE 50MM  PVC ESGOTO"</f>
        <v>JUNÇÃO (Y) DE 50MM  PVC ESGOTO</v>
      </c>
      <c r="C13509" s="2" t="str">
        <f>"PÇ"</f>
        <v>PÇ</v>
      </c>
      <c r="D13509" s="7">
        <v>808</v>
      </c>
      <c r="E13509" s="3">
        <v>10</v>
      </c>
      <c r="F13509" s="3">
        <v>10</v>
      </c>
      <c r="G13509" t="s">
        <v>516</v>
      </c>
    </row>
    <row r="13510" spans="1:7" x14ac:dyDescent="0.25">
      <c r="A13510" s="1" t="str">
        <f>"502923"</f>
        <v>502923</v>
      </c>
      <c r="B13510" s="2" t="str">
        <f>"JUNCAO DE ESGOTO DE 100MM"</f>
        <v>JUNCAO DE ESGOTO DE 100MM</v>
      </c>
      <c r="C13510" s="2" t="str">
        <f>"BR"</f>
        <v>BR</v>
      </c>
      <c r="D13510" s="7">
        <v>809</v>
      </c>
      <c r="E13510" s="3">
        <v>10</v>
      </c>
      <c r="F13510" s="3">
        <v>10</v>
      </c>
      <c r="G13510" t="s">
        <v>515</v>
      </c>
    </row>
    <row r="13511" spans="1:7" x14ac:dyDescent="0.25">
      <c r="A13511" s="1" t="str">
        <f>"502924"</f>
        <v>502924</v>
      </c>
      <c r="B13511" s="2" t="str">
        <f>"JUNCAO DE ESGOTO DE 150MM"</f>
        <v>JUNCAO DE ESGOTO DE 150MM</v>
      </c>
      <c r="C13511" s="2" t="str">
        <f>"BR"</f>
        <v>BR</v>
      </c>
      <c r="D13511" s="7">
        <v>809</v>
      </c>
      <c r="E13511" s="3">
        <v>10</v>
      </c>
      <c r="F13511" s="3">
        <v>10</v>
      </c>
      <c r="G13511" t="s">
        <v>514</v>
      </c>
    </row>
    <row r="13512" spans="1:7" x14ac:dyDescent="0.25">
      <c r="A13512" s="1" t="str">
        <f>"521921"</f>
        <v>521921</v>
      </c>
      <c r="B13512" s="2" t="str">
        <f>"JUNÇÃO ESGOTO 100MM"</f>
        <v>JUNÇÃO ESGOTO 100MM</v>
      </c>
      <c r="C13512" s="2" t="str">
        <f>"BR"</f>
        <v>BR</v>
      </c>
      <c r="D13512" s="7">
        <v>809</v>
      </c>
      <c r="E13512" s="3">
        <v>10</v>
      </c>
      <c r="F13512" s="3">
        <v>10</v>
      </c>
      <c r="G13512" t="s">
        <v>512</v>
      </c>
    </row>
    <row r="13513" spans="1:7" x14ac:dyDescent="0.25">
      <c r="A13513" s="1" t="str">
        <f>"504085"</f>
        <v>504085</v>
      </c>
      <c r="B13513" s="2" t="str">
        <f>"JUNCAO F.G. 1"" Y"</f>
        <v>JUNCAO F.G. 1" Y</v>
      </c>
      <c r="C13513" s="2" t="str">
        <f>"BR"</f>
        <v>BR</v>
      </c>
      <c r="D13513" s="7">
        <v>808</v>
      </c>
      <c r="E13513" s="3">
        <v>10</v>
      </c>
      <c r="F13513" s="3">
        <v>10</v>
      </c>
      <c r="G13513" t="s">
        <v>513</v>
      </c>
    </row>
    <row r="13514" spans="1:7" x14ac:dyDescent="0.25">
      <c r="A13514" s="1" t="str">
        <f>"522597"</f>
        <v>522597</v>
      </c>
      <c r="B13514" s="2" t="str">
        <f>"JUNÇÃO INTERNA I 38X38 FOGO"</f>
        <v>JUNÇÃO INTERNA I 38X38 FOGO</v>
      </c>
      <c r="C13514" s="2" t="str">
        <f>"UN"</f>
        <v>UN</v>
      </c>
      <c r="D13514" s="7">
        <v>811</v>
      </c>
      <c r="E13514" s="3">
        <v>10</v>
      </c>
      <c r="F13514" s="3">
        <v>10</v>
      </c>
      <c r="G13514" t="s">
        <v>514</v>
      </c>
    </row>
    <row r="13515" spans="1:7" x14ac:dyDescent="0.25">
      <c r="A13515" s="1" t="str">
        <f>"522422"</f>
        <v>522422</v>
      </c>
      <c r="B13515" s="2" t="str">
        <f>"JUNÇÃO P/ ACESSORIOS"</f>
        <v>JUNÇÃO P/ ACESSORIOS</v>
      </c>
      <c r="C13515" s="2" t="str">
        <f>"UN"</f>
        <v>UN</v>
      </c>
      <c r="D13515" s="7">
        <v>811</v>
      </c>
      <c r="E13515" s="3">
        <v>10</v>
      </c>
      <c r="F13515" s="3">
        <v>10</v>
      </c>
      <c r="G13515" t="s">
        <v>514</v>
      </c>
    </row>
    <row r="13516" spans="1:7" x14ac:dyDescent="0.25">
      <c r="A13516" s="1" t="str">
        <f>"522420"</f>
        <v>522420</v>
      </c>
      <c r="B13516" s="2" t="str">
        <f>"JUNCAO PLANA P/ TRECHO RETO"</f>
        <v>JUNCAO PLANA P/ TRECHO RETO</v>
      </c>
      <c r="C13516" s="2" t="str">
        <f>"UN"</f>
        <v>UN</v>
      </c>
      <c r="D13516" s="7">
        <v>811</v>
      </c>
      <c r="E13516" s="3">
        <v>10</v>
      </c>
      <c r="F13516" s="3">
        <v>10</v>
      </c>
      <c r="G13516" t="s">
        <v>512</v>
      </c>
    </row>
    <row r="13517" spans="1:7" x14ac:dyDescent="0.25">
      <c r="A13517" s="1" t="str">
        <f>"521939"</f>
        <v>521939</v>
      </c>
      <c r="B13517" s="2" t="str">
        <f>"JUNÇÃO PVC SERIE R C/ DN 100MM"</f>
        <v>JUNÇÃO PVC SERIE R C/ DN 100MM</v>
      </c>
      <c r="C13517" s="2" t="str">
        <f t="shared" ref="C13517:C13522" si="528">"BR"</f>
        <v>BR</v>
      </c>
      <c r="D13517" s="7">
        <v>809</v>
      </c>
      <c r="E13517" s="3">
        <v>10</v>
      </c>
      <c r="F13517" s="3">
        <v>10</v>
      </c>
      <c r="G13517" t="s">
        <v>513</v>
      </c>
    </row>
    <row r="13518" spans="1:7" x14ac:dyDescent="0.25">
      <c r="A13518" s="1" t="str">
        <f>"522078"</f>
        <v>522078</v>
      </c>
      <c r="B13518" s="2" t="str">
        <f>"JUNÇÃO PVC SERIE R C/ DN 100X50MM"</f>
        <v>JUNÇÃO PVC SERIE R C/ DN 100X50MM</v>
      </c>
      <c r="C13518" s="2" t="str">
        <f t="shared" si="528"/>
        <v>BR</v>
      </c>
      <c r="D13518" s="7">
        <v>809</v>
      </c>
      <c r="E13518" s="3">
        <v>10</v>
      </c>
      <c r="F13518" s="3">
        <v>10</v>
      </c>
      <c r="G13518" t="s">
        <v>514</v>
      </c>
    </row>
    <row r="13519" spans="1:7" x14ac:dyDescent="0.25">
      <c r="A13519" s="1" t="str">
        <f>"521940"</f>
        <v>521940</v>
      </c>
      <c r="B13519" s="2" t="str">
        <f>"JUNÇÃO PVC SERIE R C/ DN 150MM"</f>
        <v>JUNÇÃO PVC SERIE R C/ DN 150MM</v>
      </c>
      <c r="C13519" s="2" t="str">
        <f t="shared" si="528"/>
        <v>BR</v>
      </c>
      <c r="D13519" s="7">
        <v>809</v>
      </c>
      <c r="E13519" s="3">
        <v>10</v>
      </c>
      <c r="F13519" s="3">
        <v>10</v>
      </c>
      <c r="G13519" t="s">
        <v>514</v>
      </c>
    </row>
    <row r="13520" spans="1:7" x14ac:dyDescent="0.25">
      <c r="A13520" s="1" t="str">
        <f>"521953"</f>
        <v>521953</v>
      </c>
      <c r="B13520" s="2" t="str">
        <f>"JUNÇÃO PVC SERIE R C/ DN 150x100MM"</f>
        <v>JUNÇÃO PVC SERIE R C/ DN 150x100MM</v>
      </c>
      <c r="C13520" s="2" t="str">
        <f t="shared" si="528"/>
        <v>BR</v>
      </c>
      <c r="D13520" s="7">
        <v>809</v>
      </c>
      <c r="E13520" s="3">
        <v>10</v>
      </c>
      <c r="F13520" s="3">
        <v>10</v>
      </c>
      <c r="G13520" t="s">
        <v>514</v>
      </c>
    </row>
    <row r="13521" spans="1:7" x14ac:dyDescent="0.25">
      <c r="A13521" s="1" t="str">
        <f>"522081"</f>
        <v>522081</v>
      </c>
      <c r="B13521" s="2" t="str">
        <f>"JUNÇÃO PVC SERIE R C/ DN 150X100MM"</f>
        <v>JUNÇÃO PVC SERIE R C/ DN 150X100MM</v>
      </c>
      <c r="C13521" s="2" t="str">
        <f t="shared" si="528"/>
        <v>BR</v>
      </c>
      <c r="D13521" s="7">
        <v>809</v>
      </c>
      <c r="E13521" s="3">
        <v>10</v>
      </c>
      <c r="F13521" s="3">
        <v>10</v>
      </c>
      <c r="G13521" t="s">
        <v>513</v>
      </c>
    </row>
    <row r="13522" spans="1:7" x14ac:dyDescent="0.25">
      <c r="A13522" s="1" t="str">
        <f>"522082"</f>
        <v>522082</v>
      </c>
      <c r="B13522" s="2" t="str">
        <f>"JUNÇÃO PVC SERIE R C/ DN 150X150MM"</f>
        <v>JUNÇÃO PVC SERIE R C/ DN 150X150MM</v>
      </c>
      <c r="C13522" s="2" t="str">
        <f t="shared" si="528"/>
        <v>BR</v>
      </c>
      <c r="D13522" s="7">
        <v>809</v>
      </c>
      <c r="E13522" s="3">
        <v>10</v>
      </c>
      <c r="F13522" s="3">
        <v>10</v>
      </c>
      <c r="G13522" t="s">
        <v>512</v>
      </c>
    </row>
    <row r="13523" spans="1:7" x14ac:dyDescent="0.25">
      <c r="A13523" s="1" t="str">
        <f>"521767"</f>
        <v>521767</v>
      </c>
      <c r="B13523" s="2" t="str">
        <f>"JUNÇÃO RAPIDA INTERNA 38X38MM GF"</f>
        <v>JUNÇÃO RAPIDA INTERNA 38X38MM GF</v>
      </c>
      <c r="C13523" s="2" t="str">
        <f t="shared" ref="C13523:C13529" si="529">"UN"</f>
        <v>UN</v>
      </c>
      <c r="D13523" s="7">
        <v>601</v>
      </c>
      <c r="E13523" s="3">
        <v>10</v>
      </c>
      <c r="F13523" s="3">
        <v>10</v>
      </c>
      <c r="G13523" t="s">
        <v>513</v>
      </c>
    </row>
    <row r="13524" spans="1:7" x14ac:dyDescent="0.25">
      <c r="A13524" s="1" t="str">
        <f>"521765"</f>
        <v>521765</v>
      </c>
      <c r="B13524" s="2" t="str">
        <f>"JUNÇÃO RAPIDA L 38X38MM GF"</f>
        <v>JUNÇÃO RAPIDA L 38X38MM GF</v>
      </c>
      <c r="C13524" s="2" t="str">
        <f t="shared" si="529"/>
        <v>UN</v>
      </c>
      <c r="D13524" s="7">
        <v>601</v>
      </c>
      <c r="E13524" s="3">
        <v>10</v>
      </c>
      <c r="F13524" s="3">
        <v>10</v>
      </c>
      <c r="G13524" t="s">
        <v>514</v>
      </c>
    </row>
    <row r="13525" spans="1:7" x14ac:dyDescent="0.25">
      <c r="A13525" s="1" t="str">
        <f>"521776"</f>
        <v>521776</v>
      </c>
      <c r="B13525" s="2" t="str">
        <f>"JUNÇÃO RAPIDA T 38X38MM GF"</f>
        <v>JUNÇÃO RAPIDA T 38X38MM GF</v>
      </c>
      <c r="C13525" s="2" t="str">
        <f t="shared" si="529"/>
        <v>UN</v>
      </c>
      <c r="D13525" s="7">
        <v>601</v>
      </c>
      <c r="E13525" s="3">
        <v>10</v>
      </c>
      <c r="F13525" s="3">
        <v>10</v>
      </c>
      <c r="G13525" t="s">
        <v>514</v>
      </c>
    </row>
    <row r="13526" spans="1:7" x14ac:dyDescent="0.25">
      <c r="A13526" s="1" t="str">
        <f>"521766"</f>
        <v>521766</v>
      </c>
      <c r="B13526" s="2" t="str">
        <f>"JUNÇÃO RAPIDA X 38X38MM GF"</f>
        <v>JUNÇÃO RAPIDA X 38X38MM GF</v>
      </c>
      <c r="C13526" s="2" t="str">
        <f t="shared" si="529"/>
        <v>UN</v>
      </c>
      <c r="D13526" s="7">
        <v>601</v>
      </c>
      <c r="E13526" s="3">
        <v>10</v>
      </c>
      <c r="F13526" s="3">
        <v>10</v>
      </c>
      <c r="G13526" t="s">
        <v>514</v>
      </c>
    </row>
    <row r="13527" spans="1:7" x14ac:dyDescent="0.25">
      <c r="A13527" s="1" t="str">
        <f>"521932"</f>
        <v>521932</v>
      </c>
      <c r="B13527" s="2" t="str">
        <f>"JUNÇÃO SIMPLES 6 X 4"" INOX 314 OD"</f>
        <v>JUNÇÃO SIMPLES 6 X 4" INOX 314 OD</v>
      </c>
      <c r="C13527" s="2" t="str">
        <f t="shared" si="529"/>
        <v>UN</v>
      </c>
      <c r="D13527" s="7">
        <v>915</v>
      </c>
      <c r="E13527" s="3">
        <v>10</v>
      </c>
      <c r="F13527" s="3">
        <v>10</v>
      </c>
      <c r="G13527" t="s">
        <v>513</v>
      </c>
    </row>
    <row r="13528" spans="1:7" x14ac:dyDescent="0.25">
      <c r="A13528" s="1" t="str">
        <f>"521948"</f>
        <v>521948</v>
      </c>
      <c r="B13528" s="2" t="str">
        <f>"JUNÇÃO SIMPLES 6 X 8"" INOX 314 OD"</f>
        <v>JUNÇÃO SIMPLES 6 X 8" INOX 314 OD</v>
      </c>
      <c r="C13528" s="2" t="str">
        <f t="shared" si="529"/>
        <v>UN</v>
      </c>
      <c r="D13528" s="7">
        <v>915</v>
      </c>
      <c r="E13528" s="3">
        <v>10</v>
      </c>
      <c r="F13528" s="3">
        <v>10</v>
      </c>
      <c r="G13528" t="s">
        <v>513</v>
      </c>
    </row>
    <row r="13529" spans="1:7" x14ac:dyDescent="0.25">
      <c r="A13529" s="1" t="str">
        <f>"521949"</f>
        <v>521949</v>
      </c>
      <c r="B13529" s="2" t="str">
        <f>"JUNÇÃO SIMPLES 8 X 4"" INOX 314 OD"</f>
        <v>JUNÇÃO SIMPLES 8 X 4" INOX 314 OD</v>
      </c>
      <c r="C13529" s="2" t="str">
        <f t="shared" si="529"/>
        <v>UN</v>
      </c>
      <c r="D13529" s="7">
        <v>915</v>
      </c>
      <c r="E13529" s="3">
        <v>10</v>
      </c>
      <c r="F13529" s="3">
        <v>10</v>
      </c>
      <c r="G13529" t="s">
        <v>513</v>
      </c>
    </row>
    <row r="13530" spans="1:7" x14ac:dyDescent="0.25">
      <c r="A13530" s="1" t="str">
        <f>"527028"</f>
        <v>527028</v>
      </c>
      <c r="B13530" s="2" t="str">
        <f>"JUNÇÃO Y PVC MARROM 60MM"</f>
        <v>JUNÇÃO Y PVC MARROM 60MM</v>
      </c>
      <c r="C13530" s="2" t="str">
        <f>"PÇ"</f>
        <v>PÇ</v>
      </c>
      <c r="D13530" s="7">
        <v>809</v>
      </c>
      <c r="E13530" s="3">
        <v>10</v>
      </c>
      <c r="F13530" s="3">
        <v>10</v>
      </c>
      <c r="G13530" t="s">
        <v>512</v>
      </c>
    </row>
    <row r="13531" spans="1:7" x14ac:dyDescent="0.25">
      <c r="A13531" s="1" t="str">
        <f>"526630"</f>
        <v>526630</v>
      </c>
      <c r="B13531" s="2" t="str">
        <f>"JUNÇÃO Y RETO 304 OD PIPE SOLDA 3X2MM"</f>
        <v>JUNÇÃO Y RETO 304 OD PIPE SOLDA 3X2MM</v>
      </c>
      <c r="C13531" s="2" t="str">
        <f>"BR"</f>
        <v>BR</v>
      </c>
      <c r="D13531" s="7">
        <v>807</v>
      </c>
      <c r="E13531" s="3">
        <v>10</v>
      </c>
      <c r="F13531" s="3">
        <v>10</v>
      </c>
      <c r="G13531" t="s">
        <v>513</v>
      </c>
    </row>
    <row r="13532" spans="1:7" x14ac:dyDescent="0.25">
      <c r="A13532" s="1" t="str">
        <f>"514066"</f>
        <v>514066</v>
      </c>
      <c r="B13532" s="2" t="str">
        <f>"JUNTA"</f>
        <v>JUNTA</v>
      </c>
      <c r="C13532" s="2" t="str">
        <f t="shared" ref="C13532:C13563" si="530">"UN"</f>
        <v>UN</v>
      </c>
      <c r="D13532" s="7">
        <v>704</v>
      </c>
      <c r="E13532" s="3">
        <v>9</v>
      </c>
      <c r="F13532" s="3">
        <v>9</v>
      </c>
      <c r="G13532" t="s">
        <v>514</v>
      </c>
    </row>
    <row r="13533" spans="1:7" x14ac:dyDescent="0.25">
      <c r="A13533" s="1" t="str">
        <f>"504908"</f>
        <v>504908</v>
      </c>
      <c r="B13533" s="2" t="str">
        <f>"JUNTA (STD)"</f>
        <v>JUNTA (STD)</v>
      </c>
      <c r="C13533" s="2" t="str">
        <f t="shared" si="530"/>
        <v>UN</v>
      </c>
      <c r="D13533" s="7">
        <v>704</v>
      </c>
      <c r="E13533" s="3">
        <v>9</v>
      </c>
      <c r="F13533" s="3">
        <v>9</v>
      </c>
      <c r="G13533" t="s">
        <v>515</v>
      </c>
    </row>
    <row r="13534" spans="1:7" x14ac:dyDescent="0.25">
      <c r="A13534" s="1" t="str">
        <f>"526506"</f>
        <v>526506</v>
      </c>
      <c r="B13534" s="2" t="str">
        <f>"JUNTA 1/16 X DN EXT. 388 X DN INT.362 T (NA1002) 107501032"</f>
        <v>JUNTA 1/16 X DN EXT. 388 X DN INT.362 T (NA1002) 107501032</v>
      </c>
      <c r="C13534" s="2" t="str">
        <f t="shared" si="530"/>
        <v>UN</v>
      </c>
      <c r="D13534" s="7">
        <v>918</v>
      </c>
      <c r="E13534" s="3">
        <v>11</v>
      </c>
      <c r="F13534" s="3">
        <v>11</v>
      </c>
      <c r="G13534" t="s">
        <v>512</v>
      </c>
    </row>
    <row r="13535" spans="1:7" x14ac:dyDescent="0.25">
      <c r="A13535" s="1" t="str">
        <f>"512114"</f>
        <v>512114</v>
      </c>
      <c r="B13535" s="2" t="str">
        <f>"JUNTA 163 140X0,3 BAT VL-SUC/CAM"</f>
        <v>JUNTA 163 140X0,3 BAT VL-SUC/CAM</v>
      </c>
      <c r="C13535" s="2" t="str">
        <f t="shared" si="530"/>
        <v>UN</v>
      </c>
      <c r="D13535" s="7">
        <v>918</v>
      </c>
      <c r="E13535" s="3">
        <v>11</v>
      </c>
      <c r="F13535" s="3">
        <v>11</v>
      </c>
      <c r="G13535" t="s">
        <v>516</v>
      </c>
    </row>
    <row r="13536" spans="1:7" x14ac:dyDescent="0.25">
      <c r="A13536" s="1" t="str">
        <f>"503396"</f>
        <v>503396</v>
      </c>
      <c r="B13536" s="2" t="str">
        <f>"JUNTA 44X50X2 EPDM"</f>
        <v>JUNTA 44X50X2 EPDM</v>
      </c>
      <c r="C13536" s="2" t="str">
        <f t="shared" si="530"/>
        <v>UN</v>
      </c>
      <c r="D13536" s="7">
        <v>918</v>
      </c>
      <c r="E13536" s="3">
        <v>11</v>
      </c>
      <c r="F13536" s="3">
        <v>11</v>
      </c>
      <c r="G13536" t="s">
        <v>515</v>
      </c>
    </row>
    <row r="13537" spans="1:7" x14ac:dyDescent="0.25">
      <c r="A13537" s="1" t="str">
        <f>"516654"</f>
        <v>516654</v>
      </c>
      <c r="B13537" s="2" t="str">
        <f>"JUNTA APF-0010 RANNIE 132T-70.140"</f>
        <v>JUNTA APF-0010 RANNIE 132T-70.140</v>
      </c>
      <c r="C13537" s="2" t="str">
        <f t="shared" si="530"/>
        <v>UN</v>
      </c>
      <c r="D13537" s="7">
        <v>918</v>
      </c>
      <c r="E13537" s="3">
        <v>11</v>
      </c>
      <c r="F13537" s="3">
        <v>11</v>
      </c>
      <c r="G13537" t="s">
        <v>514</v>
      </c>
    </row>
    <row r="13538" spans="1:7" x14ac:dyDescent="0.25">
      <c r="A13538" s="1" t="str">
        <f>"508713"</f>
        <v>508713</v>
      </c>
      <c r="B13538" s="2" t="str">
        <f>"JUNTA APF-2085"</f>
        <v>JUNTA APF-2085</v>
      </c>
      <c r="C13538" s="2" t="str">
        <f t="shared" si="530"/>
        <v>UN</v>
      </c>
      <c r="D13538" s="7">
        <v>918</v>
      </c>
      <c r="E13538" s="3">
        <v>11</v>
      </c>
      <c r="F13538" s="3">
        <v>11</v>
      </c>
      <c r="G13538" t="s">
        <v>512</v>
      </c>
    </row>
    <row r="13539" spans="1:7" x14ac:dyDescent="0.25">
      <c r="A13539" s="1" t="str">
        <f>"508714"</f>
        <v>508714</v>
      </c>
      <c r="B13539" s="2" t="str">
        <f>"JUNTA APF-2086"</f>
        <v>JUNTA APF-2086</v>
      </c>
      <c r="C13539" s="2" t="str">
        <f t="shared" si="530"/>
        <v>UN</v>
      </c>
      <c r="D13539" s="7">
        <v>918</v>
      </c>
      <c r="E13539" s="3">
        <v>11</v>
      </c>
      <c r="F13539" s="3">
        <v>11</v>
      </c>
      <c r="G13539" t="s">
        <v>513</v>
      </c>
    </row>
    <row r="13540" spans="1:7" x14ac:dyDescent="0.25">
      <c r="A13540" s="1" t="str">
        <f>"508712"</f>
        <v>508712</v>
      </c>
      <c r="B13540" s="2" t="str">
        <f>"JUNTA APF-2087"</f>
        <v>JUNTA APF-2087</v>
      </c>
      <c r="C13540" s="2" t="str">
        <f t="shared" si="530"/>
        <v>UN</v>
      </c>
      <c r="D13540" s="7">
        <v>918</v>
      </c>
      <c r="E13540" s="3">
        <v>11</v>
      </c>
      <c r="F13540" s="3">
        <v>11</v>
      </c>
      <c r="G13540" t="s">
        <v>514</v>
      </c>
    </row>
    <row r="13541" spans="1:7" x14ac:dyDescent="0.25">
      <c r="A13541" s="1" t="str">
        <f>"508715"</f>
        <v>508715</v>
      </c>
      <c r="B13541" s="2" t="str">
        <f>"JUNTA APF-2088"</f>
        <v>JUNTA APF-2088</v>
      </c>
      <c r="C13541" s="2" t="str">
        <f t="shared" si="530"/>
        <v>UN</v>
      </c>
      <c r="D13541" s="7">
        <v>918</v>
      </c>
      <c r="E13541" s="3">
        <v>11</v>
      </c>
      <c r="F13541" s="3">
        <v>11</v>
      </c>
      <c r="G13541" t="s">
        <v>514</v>
      </c>
    </row>
    <row r="13542" spans="1:7" x14ac:dyDescent="0.25">
      <c r="A13542" s="1" t="str">
        <f>"516651"</f>
        <v>516651</v>
      </c>
      <c r="B13542" s="2" t="str">
        <f>"JUNTA APF-6815 RANNIE 132T-70.140"</f>
        <v>JUNTA APF-6815 RANNIE 132T-70.140</v>
      </c>
      <c r="C13542" s="2" t="str">
        <f t="shared" si="530"/>
        <v>UN</v>
      </c>
      <c r="D13542" s="7">
        <v>918</v>
      </c>
      <c r="E13542" s="3">
        <v>11</v>
      </c>
      <c r="F13542" s="3">
        <v>11</v>
      </c>
      <c r="G13542" t="s">
        <v>512</v>
      </c>
    </row>
    <row r="13543" spans="1:7" x14ac:dyDescent="0.25">
      <c r="A13543" s="1" t="str">
        <f>"516653"</f>
        <v>516653</v>
      </c>
      <c r="B13543" s="2" t="str">
        <f>"JUNTA APF-6836 APV CUBE 4600"</f>
        <v>JUNTA APF-6836 APV CUBE 4600</v>
      </c>
      <c r="C13543" s="2" t="str">
        <f t="shared" si="530"/>
        <v>UN</v>
      </c>
      <c r="D13543" s="7">
        <v>918</v>
      </c>
      <c r="E13543" s="3">
        <v>11</v>
      </c>
      <c r="F13543" s="3">
        <v>11</v>
      </c>
      <c r="G13543" t="s">
        <v>513</v>
      </c>
    </row>
    <row r="13544" spans="1:7" x14ac:dyDescent="0.25">
      <c r="A13544" s="1" t="str">
        <f>"512788"</f>
        <v>512788</v>
      </c>
      <c r="B13544" s="2" t="str">
        <f>"JUNTA BLOCO INTERMEDIARIO 802679 APV CUBE 4600 APF-9618"</f>
        <v>JUNTA BLOCO INTERMEDIARIO 802679 APV CUBE 4600 APF-9618</v>
      </c>
      <c r="C13544" s="2" t="str">
        <f t="shared" si="530"/>
        <v>UN</v>
      </c>
      <c r="D13544" s="7">
        <v>918</v>
      </c>
      <c r="E13544" s="3">
        <v>11</v>
      </c>
      <c r="F13544" s="3">
        <v>11</v>
      </c>
      <c r="G13544" t="s">
        <v>514</v>
      </c>
    </row>
    <row r="13545" spans="1:7" x14ac:dyDescent="0.25">
      <c r="A13545" s="1" t="str">
        <f>"512789"</f>
        <v>512789</v>
      </c>
      <c r="B13545" s="2" t="str">
        <f>"JUNTA BLOCO SAIDA MANOMETRO 802646 APV CUBE 4600 APF-0349"</f>
        <v>JUNTA BLOCO SAIDA MANOMETRO 802646 APV CUBE 4600 APF-0349</v>
      </c>
      <c r="C13545" s="2" t="str">
        <f t="shared" si="530"/>
        <v>UN</v>
      </c>
      <c r="D13545" s="7">
        <v>918</v>
      </c>
      <c r="E13545" s="3">
        <v>11</v>
      </c>
      <c r="F13545" s="3">
        <v>11</v>
      </c>
      <c r="G13545" t="s">
        <v>514</v>
      </c>
    </row>
    <row r="13546" spans="1:7" x14ac:dyDescent="0.25">
      <c r="A13546" s="1" t="str">
        <f>"512794"</f>
        <v>512794</v>
      </c>
      <c r="B13546" s="2" t="str">
        <f>"JUNTA BOCAL ENTRADA 800563 APV CUBE 4600 APF-9631"</f>
        <v>JUNTA BOCAL ENTRADA 800563 APV CUBE 4600 APF-9631</v>
      </c>
      <c r="C13546" s="2" t="str">
        <f t="shared" si="530"/>
        <v>UN</v>
      </c>
      <c r="D13546" s="7">
        <v>918</v>
      </c>
      <c r="E13546" s="3">
        <v>11</v>
      </c>
      <c r="F13546" s="3">
        <v>11</v>
      </c>
      <c r="G13546" t="s">
        <v>514</v>
      </c>
    </row>
    <row r="13547" spans="1:7" x14ac:dyDescent="0.25">
      <c r="A13547" s="1" t="str">
        <f>"509697"</f>
        <v>509697</v>
      </c>
      <c r="B13547" s="2" t="str">
        <f>"JUNTA BOMBINHA MANUAL"</f>
        <v>JUNTA BOMBINHA MANUAL</v>
      </c>
      <c r="C13547" s="2" t="str">
        <f t="shared" si="530"/>
        <v>UN</v>
      </c>
      <c r="D13547" s="7">
        <v>402</v>
      </c>
      <c r="E13547" s="3">
        <v>4</v>
      </c>
      <c r="F13547" s="3">
        <v>4</v>
      </c>
      <c r="G13547" t="s">
        <v>513</v>
      </c>
    </row>
    <row r="13548" spans="1:7" x14ac:dyDescent="0.25">
      <c r="A13548" s="1" t="str">
        <f>"511703"</f>
        <v>511703</v>
      </c>
      <c r="B13548" s="2" t="str">
        <f>"JUNTA BORRACHA NITRILICA D"</f>
        <v>JUNTA BORRACHA NITRILICA D</v>
      </c>
      <c r="C13548" s="2" t="str">
        <f t="shared" si="530"/>
        <v>UN</v>
      </c>
      <c r="D13548" s="7">
        <v>918</v>
      </c>
      <c r="E13548" s="3">
        <v>11</v>
      </c>
      <c r="F13548" s="3">
        <v>11</v>
      </c>
      <c r="G13548" t="s">
        <v>512</v>
      </c>
    </row>
    <row r="13549" spans="1:7" x14ac:dyDescent="0.25">
      <c r="A13549" s="1" t="str">
        <f>"511705"</f>
        <v>511705</v>
      </c>
      <c r="B13549" s="2" t="str">
        <f>"JUNTA BORRACHA NITRILICA EH"</f>
        <v>JUNTA BORRACHA NITRILICA EH</v>
      </c>
      <c r="C13549" s="2" t="str">
        <f t="shared" si="530"/>
        <v>UN</v>
      </c>
      <c r="D13549" s="7">
        <v>918</v>
      </c>
      <c r="E13549" s="3">
        <v>11</v>
      </c>
      <c r="F13549" s="3">
        <v>11</v>
      </c>
      <c r="G13549" t="s">
        <v>513</v>
      </c>
    </row>
    <row r="13550" spans="1:7" x14ac:dyDescent="0.25">
      <c r="A13550" s="1" t="str">
        <f>"511707"</f>
        <v>511707</v>
      </c>
      <c r="B13550" s="2" t="str">
        <f>"JUNTA BORRACHA NITRILICA H"</f>
        <v>JUNTA BORRACHA NITRILICA H</v>
      </c>
      <c r="C13550" s="2" t="str">
        <f t="shared" si="530"/>
        <v>UN</v>
      </c>
      <c r="D13550" s="7">
        <v>918</v>
      </c>
      <c r="E13550" s="3">
        <v>11</v>
      </c>
      <c r="F13550" s="3">
        <v>11</v>
      </c>
      <c r="G13550" t="s">
        <v>514</v>
      </c>
    </row>
    <row r="13551" spans="1:7" x14ac:dyDescent="0.25">
      <c r="A13551" s="1" t="str">
        <f>"511704"</f>
        <v>511704</v>
      </c>
      <c r="B13551" s="2" t="str">
        <f>"JUNTA BORRACHA NITRILICA V"</f>
        <v>JUNTA BORRACHA NITRILICA V</v>
      </c>
      <c r="C13551" s="2" t="str">
        <f t="shared" si="530"/>
        <v>UN</v>
      </c>
      <c r="D13551" s="7">
        <v>918</v>
      </c>
      <c r="E13551" s="3">
        <v>11</v>
      </c>
      <c r="F13551" s="3">
        <v>11</v>
      </c>
      <c r="G13551" t="s">
        <v>514</v>
      </c>
    </row>
    <row r="13552" spans="1:7" x14ac:dyDescent="0.25">
      <c r="A13552" s="1" t="str">
        <f>"504378"</f>
        <v>504378</v>
      </c>
      <c r="B13552" s="2" t="str">
        <f>"JUNTA BUJAO"</f>
        <v>JUNTA BUJAO</v>
      </c>
      <c r="C13552" s="2" t="str">
        <f t="shared" si="530"/>
        <v>UN</v>
      </c>
      <c r="D13552" s="7">
        <v>704</v>
      </c>
      <c r="E13552" s="3">
        <v>9</v>
      </c>
      <c r="F13552" s="3">
        <v>9</v>
      </c>
      <c r="G13552" t="s">
        <v>514</v>
      </c>
    </row>
    <row r="13553" spans="1:7" x14ac:dyDescent="0.25">
      <c r="A13553" s="1" t="str">
        <f>"512116"</f>
        <v>512116</v>
      </c>
      <c r="B13553" s="2" t="str">
        <f>"JUNTA C PH 164X146X0,5"</f>
        <v>JUNTA C PH 164X146X0,5</v>
      </c>
      <c r="C13553" s="2" t="str">
        <f t="shared" si="530"/>
        <v>UN</v>
      </c>
      <c r="D13553" s="7">
        <v>918</v>
      </c>
      <c r="E13553" s="3">
        <v>11</v>
      </c>
      <c r="F13553" s="3">
        <v>11</v>
      </c>
      <c r="G13553" t="s">
        <v>513</v>
      </c>
    </row>
    <row r="13554" spans="1:7" x14ac:dyDescent="0.25">
      <c r="A13554" s="1" t="str">
        <f>"512117"</f>
        <v>512117</v>
      </c>
      <c r="B13554" s="2" t="str">
        <f>"JUNTA C PH 164X146X0,8"</f>
        <v>JUNTA C PH 164X146X0,8</v>
      </c>
      <c r="C13554" s="2" t="str">
        <f t="shared" si="530"/>
        <v>UN</v>
      </c>
      <c r="D13554" s="7">
        <v>918</v>
      </c>
      <c r="E13554" s="3">
        <v>11</v>
      </c>
      <c r="F13554" s="3">
        <v>11</v>
      </c>
      <c r="G13554" t="s">
        <v>513</v>
      </c>
    </row>
    <row r="13555" spans="1:7" x14ac:dyDescent="0.25">
      <c r="A13555" s="1" t="str">
        <f>"513469"</f>
        <v>513469</v>
      </c>
      <c r="B13555" s="2" t="str">
        <f>"JUNTA CABEÇOTE/CARTER 100"</f>
        <v>JUNTA CABEÇOTE/CARTER 100</v>
      </c>
      <c r="C13555" s="2" t="str">
        <f t="shared" si="530"/>
        <v>UN</v>
      </c>
      <c r="D13555" s="7">
        <v>918</v>
      </c>
      <c r="E13555" s="3">
        <v>11</v>
      </c>
      <c r="F13555" s="3">
        <v>11</v>
      </c>
      <c r="G13555" t="s">
        <v>513</v>
      </c>
    </row>
    <row r="13556" spans="1:7" x14ac:dyDescent="0.25">
      <c r="A13556" s="1" t="str">
        <f>"505435"</f>
        <v>505435</v>
      </c>
      <c r="B13556" s="2" t="str">
        <f>"JUNTA CAIXA DISTRIBUICAO CUMMINS"</f>
        <v>JUNTA CAIXA DISTRIBUICAO CUMMINS</v>
      </c>
      <c r="C13556" s="2" t="str">
        <f t="shared" si="530"/>
        <v>UN</v>
      </c>
      <c r="D13556" s="7">
        <v>704</v>
      </c>
      <c r="E13556" s="3">
        <v>9</v>
      </c>
      <c r="F13556" s="3">
        <v>9</v>
      </c>
      <c r="G13556" t="s">
        <v>512</v>
      </c>
    </row>
    <row r="13557" spans="1:7" x14ac:dyDescent="0.25">
      <c r="A13557" s="1" t="str">
        <f>"522880"</f>
        <v>522880</v>
      </c>
      <c r="B13557" s="8" t="s">
        <v>346</v>
      </c>
      <c r="C13557" s="2" t="str">
        <f t="shared" si="530"/>
        <v>UN</v>
      </c>
      <c r="D13557" s="7">
        <v>918</v>
      </c>
      <c r="E13557" s="3">
        <v>11</v>
      </c>
      <c r="F13557" s="3">
        <v>11</v>
      </c>
      <c r="G13557" t="s">
        <v>513</v>
      </c>
    </row>
    <row r="13558" spans="1:7" x14ac:dyDescent="0.25">
      <c r="A13558" s="1" t="str">
        <f>"512795"</f>
        <v>512795</v>
      </c>
      <c r="B13558" s="2" t="str">
        <f>"JUNTA CAMISA 800563 APV CUBE 4600  APF-8555"</f>
        <v>JUNTA CAMISA 800563 APV CUBE 4600  APF-8555</v>
      </c>
      <c r="C13558" s="2" t="str">
        <f t="shared" si="530"/>
        <v>UN</v>
      </c>
      <c r="D13558" s="7">
        <v>918</v>
      </c>
      <c r="E13558" s="3">
        <v>11</v>
      </c>
      <c r="F13558" s="3">
        <v>11</v>
      </c>
      <c r="G13558" t="s">
        <v>514</v>
      </c>
    </row>
    <row r="13559" spans="1:7" x14ac:dyDescent="0.25">
      <c r="A13559" s="1" t="str">
        <f>"509359"</f>
        <v>509359</v>
      </c>
      <c r="B13559" s="2" t="str">
        <f>"JUNTA CAMISA CILINDRO A"</f>
        <v>JUNTA CAMISA CILINDRO A</v>
      </c>
      <c r="C13559" s="2" t="str">
        <f t="shared" si="530"/>
        <v>UN</v>
      </c>
      <c r="D13559" s="7">
        <v>918</v>
      </c>
      <c r="E13559" s="3">
        <v>11</v>
      </c>
      <c r="F13559" s="3">
        <v>11</v>
      </c>
      <c r="G13559" t="s">
        <v>515</v>
      </c>
    </row>
    <row r="13560" spans="1:7" x14ac:dyDescent="0.25">
      <c r="A13560" s="1" t="str">
        <f>"508475"</f>
        <v>508475</v>
      </c>
      <c r="B13560" s="2" t="str">
        <f>"JUNTA CARTER CUMMINS"</f>
        <v>JUNTA CARTER CUMMINS</v>
      </c>
      <c r="C13560" s="2" t="str">
        <f t="shared" si="530"/>
        <v>UN</v>
      </c>
      <c r="D13560" s="7">
        <v>704</v>
      </c>
      <c r="E13560" s="3">
        <v>9</v>
      </c>
      <c r="F13560" s="3">
        <v>9</v>
      </c>
      <c r="G13560" t="s">
        <v>512</v>
      </c>
    </row>
    <row r="13561" spans="1:7" x14ac:dyDescent="0.25">
      <c r="A13561" s="1" t="str">
        <f>"505331"</f>
        <v>505331</v>
      </c>
      <c r="B13561" s="2" t="str">
        <f>"JUNTA COBRE"</f>
        <v>JUNTA COBRE</v>
      </c>
      <c r="C13561" s="2" t="str">
        <f t="shared" si="530"/>
        <v>UN</v>
      </c>
      <c r="D13561" s="7">
        <v>704</v>
      </c>
      <c r="E13561" s="3">
        <v>9</v>
      </c>
      <c r="F13561" s="3">
        <v>9</v>
      </c>
      <c r="G13561" t="s">
        <v>516</v>
      </c>
    </row>
    <row r="13562" spans="1:7" x14ac:dyDescent="0.25">
      <c r="A13562" s="1" t="str">
        <f>"504324"</f>
        <v>504324</v>
      </c>
      <c r="B13562" s="2" t="str">
        <f>"JUNTA COLETOR ESCAPE ESPECIAL C"</f>
        <v>JUNTA COLETOR ESCAPE ESPECIAL C</v>
      </c>
      <c r="C13562" s="2" t="str">
        <f t="shared" si="530"/>
        <v>UN</v>
      </c>
      <c r="D13562" s="7">
        <v>704</v>
      </c>
      <c r="E13562" s="3">
        <v>9</v>
      </c>
      <c r="F13562" s="3">
        <v>9</v>
      </c>
      <c r="G13562" t="s">
        <v>515</v>
      </c>
    </row>
    <row r="13563" spans="1:7" x14ac:dyDescent="0.25">
      <c r="A13563" s="1" t="str">
        <f>"505440"</f>
        <v>505440</v>
      </c>
      <c r="B13563" s="2" t="str">
        <f>"JUNTA COMPRESSOR CUMMINS"</f>
        <v>JUNTA COMPRESSOR CUMMINS</v>
      </c>
      <c r="C13563" s="2" t="str">
        <f t="shared" si="530"/>
        <v>UN</v>
      </c>
      <c r="D13563" s="7">
        <v>704</v>
      </c>
      <c r="E13563" s="3">
        <v>9</v>
      </c>
      <c r="F13563" s="3">
        <v>9</v>
      </c>
      <c r="G13563" t="s">
        <v>514</v>
      </c>
    </row>
    <row r="13564" spans="1:7" x14ac:dyDescent="0.25">
      <c r="A13564" s="1" t="str">
        <f>"505679"</f>
        <v>505679</v>
      </c>
      <c r="B13564" s="2" t="str">
        <f>"JUNTA CUBO 4 FUROS"</f>
        <v>JUNTA CUBO 4 FUROS</v>
      </c>
      <c r="C13564" s="2" t="str">
        <f t="shared" ref="C13564:C13599" si="531">"UN"</f>
        <v>UN</v>
      </c>
      <c r="D13564" s="7">
        <v>704</v>
      </c>
      <c r="E13564" s="3">
        <v>9</v>
      </c>
      <c r="F13564" s="3">
        <v>9</v>
      </c>
      <c r="G13564" t="s">
        <v>512</v>
      </c>
    </row>
    <row r="13565" spans="1:7" x14ac:dyDescent="0.25">
      <c r="A13565" s="1" t="str">
        <f>"518642"</f>
        <v>518642</v>
      </c>
      <c r="B13565" s="2" t="str">
        <f>"JUNTA CUBO 5 FUROS"</f>
        <v>JUNTA CUBO 5 FUROS</v>
      </c>
      <c r="C13565" s="2" t="str">
        <f t="shared" si="531"/>
        <v>UN</v>
      </c>
      <c r="D13565" s="7">
        <v>918</v>
      </c>
      <c r="E13565" s="3">
        <v>11</v>
      </c>
      <c r="F13565" s="3">
        <v>11</v>
      </c>
      <c r="G13565" t="s">
        <v>513</v>
      </c>
    </row>
    <row r="13566" spans="1:7" x14ac:dyDescent="0.25">
      <c r="A13566" s="1" t="str">
        <f>"508651"</f>
        <v>508651</v>
      </c>
      <c r="B13566" s="2" t="str">
        <f>"JUNTA CUBO 6 FUROS"</f>
        <v>JUNTA CUBO 6 FUROS</v>
      </c>
      <c r="C13566" s="2" t="str">
        <f t="shared" si="531"/>
        <v>UN</v>
      </c>
      <c r="D13566" s="7">
        <v>918</v>
      </c>
      <c r="E13566" s="3">
        <v>11</v>
      </c>
      <c r="F13566" s="3">
        <v>11</v>
      </c>
      <c r="G13566" t="s">
        <v>514</v>
      </c>
    </row>
    <row r="13567" spans="1:7" x14ac:dyDescent="0.25">
      <c r="A13567" s="1" t="str">
        <f>"501743"</f>
        <v>501743</v>
      </c>
      <c r="B13567" s="2" t="str">
        <f>"JUNTA DA BOMBA INJETORA"</f>
        <v>JUNTA DA BOMBA INJETORA</v>
      </c>
      <c r="C13567" s="2" t="str">
        <f t="shared" si="531"/>
        <v>UN</v>
      </c>
      <c r="D13567" s="7">
        <v>704</v>
      </c>
      <c r="E13567" s="3">
        <v>9</v>
      </c>
      <c r="F13567" s="3">
        <v>9</v>
      </c>
      <c r="G13567" t="s">
        <v>514</v>
      </c>
    </row>
    <row r="13568" spans="1:7" x14ac:dyDescent="0.25">
      <c r="A13568" s="1" t="str">
        <f>"504469"</f>
        <v>504469</v>
      </c>
      <c r="B13568" s="2" t="str">
        <f>"JUNTA DA GUIA DA MOLA 2POS.61"</f>
        <v>JUNTA DA GUIA DA MOLA 2POS.61</v>
      </c>
      <c r="C13568" s="2" t="str">
        <f t="shared" si="531"/>
        <v>UN</v>
      </c>
      <c r="D13568" s="7">
        <v>918</v>
      </c>
      <c r="E13568" s="3">
        <v>11</v>
      </c>
      <c r="F13568" s="3">
        <v>11</v>
      </c>
      <c r="G13568" t="s">
        <v>512</v>
      </c>
    </row>
    <row r="13569" spans="1:7" x14ac:dyDescent="0.25">
      <c r="A13569" s="1" t="str">
        <f>"504474"</f>
        <v>504474</v>
      </c>
      <c r="B13569" s="2" t="str">
        <f>"JUNTA DA SEDE SEC. POS.70 TM12 (TAMPA)"</f>
        <v>JUNTA DA SEDE SEC. POS.70 TM12 (TAMPA)</v>
      </c>
      <c r="C13569" s="2" t="str">
        <f t="shared" si="531"/>
        <v>UN</v>
      </c>
      <c r="D13569" s="7">
        <v>918</v>
      </c>
      <c r="E13569" s="3">
        <v>11</v>
      </c>
      <c r="F13569" s="3">
        <v>11</v>
      </c>
      <c r="G13569" t="s">
        <v>513</v>
      </c>
    </row>
    <row r="13570" spans="1:7" x14ac:dyDescent="0.25">
      <c r="A13570" s="1" t="str">
        <f>"504457"</f>
        <v>504457</v>
      </c>
      <c r="B13570" s="2" t="str">
        <f>"JUNTA DA SEDE VALVULA PRIMARIA"</f>
        <v>JUNTA DA SEDE VALVULA PRIMARIA</v>
      </c>
      <c r="C13570" s="2" t="str">
        <f t="shared" si="531"/>
        <v>UN</v>
      </c>
      <c r="D13570" s="7">
        <v>918</v>
      </c>
      <c r="E13570" s="3">
        <v>11</v>
      </c>
      <c r="F13570" s="3">
        <v>11</v>
      </c>
      <c r="G13570" t="s">
        <v>514</v>
      </c>
    </row>
    <row r="13571" spans="1:7" x14ac:dyDescent="0.25">
      <c r="A13571" s="1" t="str">
        <f>"527015"</f>
        <v>527015</v>
      </c>
      <c r="B13571" s="2" t="str">
        <f>"JUNTA DA TAMPA AGUA LIMPA DESCARGA"</f>
        <v>JUNTA DA TAMPA AGUA LIMPA DESCARGA</v>
      </c>
      <c r="C13571" s="2" t="str">
        <f t="shared" si="531"/>
        <v>UN</v>
      </c>
      <c r="D13571" s="7">
        <v>402</v>
      </c>
      <c r="E13571" s="3">
        <v>4</v>
      </c>
      <c r="F13571" s="3">
        <v>4</v>
      </c>
      <c r="G13571" t="s">
        <v>514</v>
      </c>
    </row>
    <row r="13572" spans="1:7" x14ac:dyDescent="0.25">
      <c r="A13572" s="1" t="str">
        <f>"501748"</f>
        <v>501748</v>
      </c>
      <c r="B13572" s="2" t="str">
        <f>"JUNTA DA TAMPA TRASEIRA DA BOMBA INJET"</f>
        <v>JUNTA DA TAMPA TRASEIRA DA BOMBA INJET</v>
      </c>
      <c r="C13572" s="2" t="str">
        <f t="shared" si="531"/>
        <v>UN</v>
      </c>
      <c r="D13572" s="7">
        <v>704</v>
      </c>
      <c r="E13572" s="3">
        <v>9</v>
      </c>
      <c r="F13572" s="3">
        <v>9</v>
      </c>
      <c r="G13572" t="s">
        <v>514</v>
      </c>
    </row>
    <row r="13573" spans="1:7" x14ac:dyDescent="0.25">
      <c r="A13573" s="1" t="str">
        <f>"524475"</f>
        <v>524475</v>
      </c>
      <c r="B13573" s="8" t="s">
        <v>378</v>
      </c>
      <c r="C13573" s="2" t="str">
        <f t="shared" si="531"/>
        <v>UN</v>
      </c>
      <c r="D13573" s="7">
        <v>807</v>
      </c>
      <c r="E13573" s="3">
        <v>10</v>
      </c>
      <c r="F13573" s="3">
        <v>10</v>
      </c>
      <c r="G13573" t="s">
        <v>513</v>
      </c>
    </row>
    <row r="13574" spans="1:7" x14ac:dyDescent="0.25">
      <c r="A13574" s="1" t="str">
        <f>"524476"</f>
        <v>524476</v>
      </c>
      <c r="B13574" s="2" t="str">
        <f>"JUNTA DE EXPANSÃO PARA VAPOR Ø 4""  REF. JEAVFT"</f>
        <v>JUNTA DE EXPANSÃO PARA VAPOR Ø 4"  REF. JEAVFT</v>
      </c>
      <c r="C13574" s="2" t="str">
        <f t="shared" si="531"/>
        <v>UN</v>
      </c>
      <c r="D13574" s="7">
        <v>807</v>
      </c>
      <c r="E13574" s="3">
        <v>10</v>
      </c>
      <c r="F13574" s="3">
        <v>10</v>
      </c>
      <c r="G13574" t="s">
        <v>512</v>
      </c>
    </row>
    <row r="13575" spans="1:7" x14ac:dyDescent="0.25">
      <c r="A13575" s="1" t="str">
        <f>"523297"</f>
        <v>523297</v>
      </c>
      <c r="B13575" s="2" t="str">
        <f>"JUNTA DE PAPELAO HIDRAULICO 1/8"" X 4"" 300#"</f>
        <v>JUNTA DE PAPELAO HIDRAULICO 1/8" X 4" 300#</v>
      </c>
      <c r="C13575" s="2" t="str">
        <f t="shared" si="531"/>
        <v>UN</v>
      </c>
      <c r="D13575" s="7">
        <v>914</v>
      </c>
      <c r="E13575" s="3">
        <v>10</v>
      </c>
      <c r="F13575" s="3">
        <v>10</v>
      </c>
      <c r="G13575" t="s">
        <v>513</v>
      </c>
    </row>
    <row r="13576" spans="1:7" x14ac:dyDescent="0.25">
      <c r="A13576" s="1" t="str">
        <f>"523298"</f>
        <v>523298</v>
      </c>
      <c r="B13576" s="2" t="str">
        <f>"JUNTA DE PAPELAO HIDRAULICO 1/8"" X 6"" 300#"</f>
        <v>JUNTA DE PAPELAO HIDRAULICO 1/8" X 6" 300#</v>
      </c>
      <c r="C13576" s="2" t="str">
        <f t="shared" si="531"/>
        <v>UN</v>
      </c>
      <c r="D13576" s="7">
        <v>914</v>
      </c>
      <c r="E13576" s="3">
        <v>10</v>
      </c>
      <c r="F13576" s="3">
        <v>10</v>
      </c>
      <c r="G13576" t="s">
        <v>514</v>
      </c>
    </row>
    <row r="13577" spans="1:7" x14ac:dyDescent="0.25">
      <c r="A13577" s="1" t="str">
        <f>"525139"</f>
        <v>525139</v>
      </c>
      <c r="B13577" s="2" t="str">
        <f>"JUNTA DE PAPELAO HIDRAULICO 1/8"" X 8"" 300#"</f>
        <v>JUNTA DE PAPELAO HIDRAULICO 1/8" X 8" 300#</v>
      </c>
      <c r="C13577" s="2" t="str">
        <f t="shared" si="531"/>
        <v>UN</v>
      </c>
      <c r="D13577" s="7">
        <v>914</v>
      </c>
      <c r="E13577" s="3">
        <v>10</v>
      </c>
      <c r="F13577" s="3">
        <v>10</v>
      </c>
      <c r="G13577" t="s">
        <v>514</v>
      </c>
    </row>
    <row r="13578" spans="1:7" x14ac:dyDescent="0.25">
      <c r="A13578" s="1" t="str">
        <f>"510054"</f>
        <v>510054</v>
      </c>
      <c r="B13578" s="2" t="str">
        <f>"JUNTA DE VEDAÇAO 0004-2341-840"</f>
        <v>JUNTA DE VEDAÇAO 0004-2341-840</v>
      </c>
      <c r="C13578" s="2" t="str">
        <f t="shared" si="531"/>
        <v>UN</v>
      </c>
      <c r="D13578" s="7">
        <v>918</v>
      </c>
      <c r="E13578" s="3">
        <v>11</v>
      </c>
      <c r="F13578" s="3">
        <v>11</v>
      </c>
      <c r="G13578" t="s">
        <v>514</v>
      </c>
    </row>
    <row r="13579" spans="1:7" x14ac:dyDescent="0.25">
      <c r="A13579" s="1" t="str">
        <f>"504453"</f>
        <v>504453</v>
      </c>
      <c r="B13579" s="2" t="str">
        <f>"JUNTA DE VEDACAO MANOMETRO POS.3"</f>
        <v>JUNTA DE VEDACAO MANOMETRO POS.3</v>
      </c>
      <c r="C13579" s="2" t="str">
        <f t="shared" si="531"/>
        <v>UN</v>
      </c>
      <c r="D13579" s="7">
        <v>918</v>
      </c>
      <c r="E13579" s="3">
        <v>11</v>
      </c>
      <c r="F13579" s="3">
        <v>11</v>
      </c>
      <c r="G13579" t="s">
        <v>513</v>
      </c>
    </row>
    <row r="13580" spans="1:7" x14ac:dyDescent="0.25">
      <c r="A13580" s="1" t="str">
        <f>"526786"</f>
        <v>526786</v>
      </c>
      <c r="B13580" s="2" t="str">
        <f>"JUNTA DE VEDAÇAO P/ VAPOR GRAFITADA 3,2MM"</f>
        <v>JUNTA DE VEDAÇAO P/ VAPOR GRAFITADA 3,2MM</v>
      </c>
      <c r="C13580" s="2" t="str">
        <f t="shared" si="531"/>
        <v>UN</v>
      </c>
      <c r="D13580" s="7">
        <v>918</v>
      </c>
      <c r="E13580" s="3">
        <v>11</v>
      </c>
      <c r="F13580" s="3">
        <v>11</v>
      </c>
      <c r="G13580" t="s">
        <v>513</v>
      </c>
    </row>
    <row r="13581" spans="1:7" x14ac:dyDescent="0.25">
      <c r="A13581" s="1" t="str">
        <f>"521796"</f>
        <v>521796</v>
      </c>
      <c r="B13581" s="2" t="str">
        <f>"JUNTA DE VEDAÇÃO POS 58 APF-8009"</f>
        <v>JUNTA DE VEDAÇÃO POS 58 APF-8009</v>
      </c>
      <c r="C13581" s="2" t="str">
        <f t="shared" si="531"/>
        <v>UN</v>
      </c>
      <c r="D13581" s="7">
        <v>918</v>
      </c>
      <c r="E13581" s="3">
        <v>11</v>
      </c>
      <c r="F13581" s="3">
        <v>11</v>
      </c>
      <c r="G13581" t="s">
        <v>513</v>
      </c>
    </row>
    <row r="13582" spans="1:7" x14ac:dyDescent="0.25">
      <c r="A13582" s="1" t="str">
        <f>"524501"</f>
        <v>524501</v>
      </c>
      <c r="B13582" s="2" t="str">
        <f>"JUNTA DE VEDAÇÃO S/ AMIANTO 3"""</f>
        <v>JUNTA DE VEDAÇÃO S/ AMIANTO 3"</v>
      </c>
      <c r="C13582" s="2" t="str">
        <f t="shared" si="531"/>
        <v>UN</v>
      </c>
      <c r="D13582" s="7">
        <v>807</v>
      </c>
      <c r="E13582" s="3">
        <v>10</v>
      </c>
      <c r="F13582" s="3">
        <v>10</v>
      </c>
      <c r="G13582" t="s">
        <v>512</v>
      </c>
    </row>
    <row r="13583" spans="1:7" x14ac:dyDescent="0.25">
      <c r="A13583" s="1" t="str">
        <f>"524500"</f>
        <v>524500</v>
      </c>
      <c r="B13583" s="2" t="str">
        <f>"JUNTA DE VEDAÇÃO S/ AMIANTO 4"""</f>
        <v>JUNTA DE VEDAÇÃO S/ AMIANTO 4"</v>
      </c>
      <c r="C13583" s="2" t="str">
        <f t="shared" si="531"/>
        <v>UN</v>
      </c>
      <c r="D13583" s="7">
        <v>807</v>
      </c>
      <c r="E13583" s="3">
        <v>10</v>
      </c>
      <c r="F13583" s="3">
        <v>10</v>
      </c>
      <c r="G13583" t="s">
        <v>513</v>
      </c>
    </row>
    <row r="13584" spans="1:7" x14ac:dyDescent="0.25">
      <c r="A13584" s="1" t="str">
        <f>"504460"</f>
        <v>504460</v>
      </c>
      <c r="B13584" s="2" t="str">
        <f>"JUNTA DE VEDACAO TAMPA FRONTAL-POS.14"</f>
        <v>JUNTA DE VEDACAO TAMPA FRONTAL-POS.14</v>
      </c>
      <c r="C13584" s="2" t="str">
        <f t="shared" si="531"/>
        <v>UN</v>
      </c>
      <c r="D13584" s="7">
        <v>918</v>
      </c>
      <c r="E13584" s="3">
        <v>11</v>
      </c>
      <c r="F13584" s="3">
        <v>11</v>
      </c>
      <c r="G13584" t="s">
        <v>514</v>
      </c>
    </row>
    <row r="13585" spans="1:7" x14ac:dyDescent="0.25">
      <c r="A13585" s="1" t="str">
        <f>"504466"</f>
        <v>504466</v>
      </c>
      <c r="B13585" s="2" t="str">
        <f>"JUNTA DE VEDACAO VALV.SECUNDARIA"</f>
        <v>JUNTA DE VEDACAO VALV.SECUNDARIA</v>
      </c>
      <c r="C13585" s="2" t="str">
        <f t="shared" si="531"/>
        <v>UN</v>
      </c>
      <c r="D13585" s="7">
        <v>918</v>
      </c>
      <c r="E13585" s="3">
        <v>11</v>
      </c>
      <c r="F13585" s="3">
        <v>11</v>
      </c>
      <c r="G13585" t="s">
        <v>515</v>
      </c>
    </row>
    <row r="13586" spans="1:7" x14ac:dyDescent="0.25">
      <c r="A13586" s="1" t="str">
        <f>"509153"</f>
        <v>509153</v>
      </c>
      <c r="B13586" s="2" t="str">
        <f>"JUNTA DIREITA NITRILICA"</f>
        <v>JUNTA DIREITA NITRILICA</v>
      </c>
      <c r="C13586" s="2" t="str">
        <f t="shared" si="531"/>
        <v>UN</v>
      </c>
      <c r="D13586" s="7">
        <v>402</v>
      </c>
      <c r="E13586" s="3">
        <v>4</v>
      </c>
      <c r="F13586" s="3">
        <v>4</v>
      </c>
      <c r="G13586" t="s">
        <v>512</v>
      </c>
    </row>
    <row r="13587" spans="1:7" x14ac:dyDescent="0.25">
      <c r="A13587" s="1" t="str">
        <f>"502692"</f>
        <v>502692</v>
      </c>
      <c r="B13587" s="2" t="str">
        <f>"JUNTA DO CABECOTE COD. S 1.100 MOT. TRAN"</f>
        <v>JUNTA DO CABECOTE COD. S 1.100 MOT. TRAN</v>
      </c>
      <c r="C13587" s="2" t="str">
        <f t="shared" si="531"/>
        <v>UN</v>
      </c>
      <c r="D13587" s="7">
        <v>704</v>
      </c>
      <c r="E13587" s="3">
        <v>9</v>
      </c>
      <c r="F13587" s="3">
        <v>9</v>
      </c>
      <c r="G13587" t="s">
        <v>516</v>
      </c>
    </row>
    <row r="13588" spans="1:7" x14ac:dyDescent="0.25">
      <c r="A13588" s="1" t="str">
        <f>"508649"</f>
        <v>508649</v>
      </c>
      <c r="B13588" s="2" t="str">
        <f>"JUNTA DO MANOMETRO"</f>
        <v>JUNTA DO MANOMETRO</v>
      </c>
      <c r="C13588" s="2" t="str">
        <f t="shared" si="531"/>
        <v>UN</v>
      </c>
      <c r="D13588" s="7">
        <v>918</v>
      </c>
      <c r="E13588" s="3">
        <v>11</v>
      </c>
      <c r="F13588" s="3">
        <v>11</v>
      </c>
      <c r="G13588" t="s">
        <v>515</v>
      </c>
    </row>
    <row r="13589" spans="1:7" x14ac:dyDescent="0.25">
      <c r="A13589" s="1" t="str">
        <f>"516522"</f>
        <v>516522</v>
      </c>
      <c r="B13589" s="2" t="str">
        <f>"JUNTA EPDM PASTEURIZADOR S-38 RKC-4 SERIE J-98.026-08"</f>
        <v>JUNTA EPDM PASTEURIZADOR S-38 RKC-4 SERIE J-98.026-08</v>
      </c>
      <c r="C13589" s="2" t="str">
        <f t="shared" si="531"/>
        <v>UN</v>
      </c>
      <c r="D13589" s="7">
        <v>909</v>
      </c>
      <c r="E13589" s="3">
        <v>11</v>
      </c>
      <c r="F13589" s="3">
        <v>11</v>
      </c>
      <c r="G13589" t="s">
        <v>514</v>
      </c>
    </row>
    <row r="13590" spans="1:7" x14ac:dyDescent="0.25">
      <c r="A13590" s="1" t="str">
        <f>"510844"</f>
        <v>510844</v>
      </c>
      <c r="B13590" s="2" t="str">
        <f>"JUNTA ESCOTILHA OVAL 380 X 320mm"</f>
        <v>JUNTA ESCOTILHA OVAL 380 X 320mm</v>
      </c>
      <c r="C13590" s="2" t="str">
        <f t="shared" si="531"/>
        <v>UN</v>
      </c>
      <c r="D13590" s="7">
        <v>918</v>
      </c>
      <c r="E13590" s="3">
        <v>11</v>
      </c>
      <c r="F13590" s="3">
        <v>11</v>
      </c>
      <c r="G13590" t="s">
        <v>512</v>
      </c>
    </row>
    <row r="13591" spans="1:7" x14ac:dyDescent="0.25">
      <c r="A13591" s="1" t="str">
        <f>"509154"</f>
        <v>509154</v>
      </c>
      <c r="B13591" s="2" t="str">
        <f>"JUNTA ESQUERDA NITRILICA"</f>
        <v>JUNTA ESQUERDA NITRILICA</v>
      </c>
      <c r="C13591" s="2" t="str">
        <f t="shared" si="531"/>
        <v>UN</v>
      </c>
      <c r="D13591" s="7">
        <v>402</v>
      </c>
      <c r="E13591" s="3">
        <v>4</v>
      </c>
      <c r="F13591" s="3">
        <v>4</v>
      </c>
      <c r="G13591" t="s">
        <v>513</v>
      </c>
    </row>
    <row r="13592" spans="1:7" x14ac:dyDescent="0.25">
      <c r="A13592" s="1" t="str">
        <f>"509099"</f>
        <v>509099</v>
      </c>
      <c r="B13592" s="2" t="str">
        <f>"JUNTA EV / EH / V / H - PETIT"</f>
        <v>JUNTA EV / EH / V / H - PETIT</v>
      </c>
      <c r="C13592" s="2" t="str">
        <f t="shared" si="531"/>
        <v>UN</v>
      </c>
      <c r="D13592" s="7">
        <v>918</v>
      </c>
      <c r="E13592" s="3">
        <v>11</v>
      </c>
      <c r="F13592" s="3">
        <v>11</v>
      </c>
      <c r="G13592" t="s">
        <v>514</v>
      </c>
    </row>
    <row r="13593" spans="1:7" x14ac:dyDescent="0.25">
      <c r="A13593" s="1" t="str">
        <f>"509155"</f>
        <v>509155</v>
      </c>
      <c r="B13593" s="2" t="str">
        <f>"JUNTA FINAIS"</f>
        <v>JUNTA FINAIS</v>
      </c>
      <c r="C13593" s="2" t="str">
        <f t="shared" si="531"/>
        <v>UN</v>
      </c>
      <c r="D13593" s="7">
        <v>402</v>
      </c>
      <c r="E13593" s="3">
        <v>4</v>
      </c>
      <c r="F13593" s="3">
        <v>4</v>
      </c>
      <c r="G13593" t="s">
        <v>514</v>
      </c>
    </row>
    <row r="13594" spans="1:7" x14ac:dyDescent="0.25">
      <c r="A13594" s="1" t="str">
        <f>"512098"</f>
        <v>512098</v>
      </c>
      <c r="B13594" s="2" t="str">
        <f>"JUNTA FINAL TIPO EV/EH NITRILICA S-37"</f>
        <v>JUNTA FINAL TIPO EV/EH NITRILICA S-37</v>
      </c>
      <c r="C13594" s="2" t="str">
        <f t="shared" si="531"/>
        <v>UN</v>
      </c>
      <c r="D13594" s="7">
        <v>918</v>
      </c>
      <c r="E13594" s="3">
        <v>11</v>
      </c>
      <c r="F13594" s="3">
        <v>11</v>
      </c>
      <c r="G13594" t="s">
        <v>512</v>
      </c>
    </row>
    <row r="13595" spans="1:7" x14ac:dyDescent="0.25">
      <c r="A13595" s="1" t="str">
        <f>"511706"</f>
        <v>511706</v>
      </c>
      <c r="B13595" s="2" t="str">
        <f>"JUNTA FINAL TIPO EV/EH NITRILICA S-38"</f>
        <v>JUNTA FINAL TIPO EV/EH NITRILICA S-38</v>
      </c>
      <c r="C13595" s="2" t="str">
        <f t="shared" si="531"/>
        <v>UN</v>
      </c>
      <c r="D13595" s="7">
        <v>918</v>
      </c>
      <c r="E13595" s="3">
        <v>11</v>
      </c>
      <c r="F13595" s="3">
        <v>11</v>
      </c>
      <c r="G13595" t="s">
        <v>513</v>
      </c>
    </row>
    <row r="13596" spans="1:7" x14ac:dyDescent="0.25">
      <c r="A13596" s="1" t="str">
        <f>"510650"</f>
        <v>510650</v>
      </c>
      <c r="B13596" s="2" t="str">
        <f>"JUNTA FLUXO TIPO V/H NITRILICA - S-37"</f>
        <v>JUNTA FLUXO TIPO V/H NITRILICA - S-37</v>
      </c>
      <c r="C13596" s="2" t="str">
        <f t="shared" si="531"/>
        <v>UN</v>
      </c>
      <c r="D13596" s="7">
        <v>918</v>
      </c>
      <c r="E13596" s="3">
        <v>11</v>
      </c>
      <c r="F13596" s="3">
        <v>11</v>
      </c>
      <c r="G13596" t="s">
        <v>514</v>
      </c>
    </row>
    <row r="13597" spans="1:7" x14ac:dyDescent="0.25">
      <c r="A13597" s="1" t="str">
        <f>"506523"</f>
        <v>506523</v>
      </c>
      <c r="B13597" s="2" t="str">
        <f>"JUNTA FLUXO TIPO V/H NITRILICA S-38"</f>
        <v>JUNTA FLUXO TIPO V/H NITRILICA S-38</v>
      </c>
      <c r="C13597" s="2" t="str">
        <f t="shared" si="531"/>
        <v>UN</v>
      </c>
      <c r="D13597" s="7">
        <v>909</v>
      </c>
      <c r="E13597" s="3">
        <v>10</v>
      </c>
      <c r="F13597" s="3">
        <v>10</v>
      </c>
      <c r="G13597" t="s">
        <v>514</v>
      </c>
    </row>
    <row r="13598" spans="1:7" x14ac:dyDescent="0.25">
      <c r="A13598" s="1" t="str">
        <f>"519626"</f>
        <v>519626</v>
      </c>
      <c r="B13598" s="2" t="str">
        <f>"JUNTA FREIO MOTOR4 POLO SILENCIOSO"</f>
        <v>JUNTA FREIO MOTOR4 POLO SILENCIOSO</v>
      </c>
      <c r="C13598" s="2" t="str">
        <f t="shared" si="531"/>
        <v>UN</v>
      </c>
      <c r="D13598" s="7">
        <v>704</v>
      </c>
      <c r="E13598" s="3">
        <v>9</v>
      </c>
      <c r="F13598" s="3">
        <v>9</v>
      </c>
      <c r="G13598" t="s">
        <v>514</v>
      </c>
    </row>
    <row r="13599" spans="1:7" x14ac:dyDescent="0.25">
      <c r="A13599" s="1" t="str">
        <f>"501849"</f>
        <v>501849</v>
      </c>
      <c r="B13599" s="2" t="str">
        <f>"JUNTA LIQUIDA"</f>
        <v>JUNTA LIQUIDA</v>
      </c>
      <c r="C13599" s="2" t="str">
        <f t="shared" si="531"/>
        <v>UN</v>
      </c>
      <c r="D13599" s="7">
        <v>402</v>
      </c>
      <c r="E13599" s="3">
        <v>4</v>
      </c>
      <c r="F13599" s="3">
        <v>4</v>
      </c>
      <c r="G13599" t="s">
        <v>513</v>
      </c>
    </row>
    <row r="13600" spans="1:7" x14ac:dyDescent="0.25">
      <c r="A13600" s="1" t="str">
        <f>"521194"</f>
        <v>521194</v>
      </c>
      <c r="B13600" s="2" t="str">
        <f>"JUNTA LIQUIDA SEMI SECATIVA ORBIPLUS 1304 100G"</f>
        <v>JUNTA LIQUIDA SEMI SECATIVA ORBIPLUS 1304 100G</v>
      </c>
      <c r="C13600" s="2" t="str">
        <f>"PC"</f>
        <v>PC</v>
      </c>
      <c r="D13600" s="7">
        <v>402</v>
      </c>
      <c r="E13600" s="3">
        <v>4</v>
      </c>
      <c r="F13600" s="3">
        <v>4</v>
      </c>
      <c r="G13600" t="s">
        <v>512</v>
      </c>
    </row>
    <row r="13601" spans="1:7" x14ac:dyDescent="0.25">
      <c r="A13601" s="1" t="str">
        <f>"512097"</f>
        <v>512097</v>
      </c>
      <c r="B13601" s="2" t="str">
        <f>"JUNTA NITRILICA S-37 DIREITA"</f>
        <v>JUNTA NITRILICA S-37 DIREITA</v>
      </c>
      <c r="C13601" s="2" t="str">
        <f t="shared" ref="C13601:C13644" si="532">"UN"</f>
        <v>UN</v>
      </c>
      <c r="D13601" s="7">
        <v>918</v>
      </c>
      <c r="E13601" s="3">
        <v>11</v>
      </c>
      <c r="F13601" s="3">
        <v>11</v>
      </c>
      <c r="G13601" t="s">
        <v>513</v>
      </c>
    </row>
    <row r="13602" spans="1:7" x14ac:dyDescent="0.25">
      <c r="A13602" s="1" t="str">
        <f>"512096"</f>
        <v>512096</v>
      </c>
      <c r="B13602" s="2" t="str">
        <f>"JUNTA NITRILICA S-37 ESQUERDA"</f>
        <v>JUNTA NITRILICA S-37 ESQUERDA</v>
      </c>
      <c r="C13602" s="2" t="str">
        <f t="shared" si="532"/>
        <v>UN</v>
      </c>
      <c r="D13602" s="7">
        <v>918</v>
      </c>
      <c r="E13602" s="3">
        <v>11</v>
      </c>
      <c r="F13602" s="3">
        <v>11</v>
      </c>
      <c r="G13602" t="s">
        <v>514</v>
      </c>
    </row>
    <row r="13603" spans="1:7" x14ac:dyDescent="0.25">
      <c r="A13603" s="1" t="str">
        <f>"501015"</f>
        <v>501015</v>
      </c>
      <c r="B13603" s="2" t="str">
        <f>"JUNTA PH 1/8"" NA 1002 P/ FRANGE DE 2"""</f>
        <v>JUNTA PH 1/8" NA 1002 P/ FRANGE DE 2"</v>
      </c>
      <c r="C13603" s="2" t="str">
        <f t="shared" si="532"/>
        <v>UN</v>
      </c>
      <c r="D13603" s="7">
        <v>808</v>
      </c>
      <c r="E13603" s="3">
        <v>10</v>
      </c>
      <c r="F13603" s="3">
        <v>10</v>
      </c>
      <c r="G13603" t="s">
        <v>514</v>
      </c>
    </row>
    <row r="13604" spans="1:7" x14ac:dyDescent="0.25">
      <c r="A13604" s="1" t="str">
        <f>"514563"</f>
        <v>514563</v>
      </c>
      <c r="B13604" s="2" t="str">
        <f>"JUNTA PH 1/8"" NA 1002 P/ FRANGE DE 6"""</f>
        <v>JUNTA PH 1/8" NA 1002 P/ FRANGE DE 6"</v>
      </c>
      <c r="C13604" s="2" t="str">
        <f t="shared" si="532"/>
        <v>UN</v>
      </c>
      <c r="D13604" s="7">
        <v>912</v>
      </c>
      <c r="E13604" s="3">
        <v>10</v>
      </c>
      <c r="F13604" s="3">
        <v>10</v>
      </c>
      <c r="G13604" t="s">
        <v>514</v>
      </c>
    </row>
    <row r="13605" spans="1:7" x14ac:dyDescent="0.25">
      <c r="A13605" s="1" t="str">
        <f>"516330"</f>
        <v>516330</v>
      </c>
      <c r="B13605" s="2" t="str">
        <f>"JUNTA PH 1/8"" NA1002 P/ FLANGE 6"""</f>
        <v>JUNTA PH 1/8" NA1002 P/ FLANGE 6"</v>
      </c>
      <c r="C13605" s="2" t="str">
        <f t="shared" si="532"/>
        <v>UN</v>
      </c>
      <c r="D13605" s="7">
        <v>1001</v>
      </c>
      <c r="E13605" s="3">
        <v>10</v>
      </c>
      <c r="F13605" s="3">
        <v>10</v>
      </c>
      <c r="G13605" t="s">
        <v>513</v>
      </c>
    </row>
    <row r="13606" spans="1:7" x14ac:dyDescent="0.25">
      <c r="A13606" s="1" t="str">
        <f>"520204"</f>
        <v>520204</v>
      </c>
      <c r="B13606" s="2" t="str">
        <f>"JUNTA PLANA NE30 71/60X3 PB"</f>
        <v>JUNTA PLANA NE30 71/60X3 PB</v>
      </c>
      <c r="C13606" s="2" t="str">
        <f t="shared" si="532"/>
        <v>UN</v>
      </c>
      <c r="D13606" s="7">
        <v>918</v>
      </c>
      <c r="E13606" s="3">
        <v>11</v>
      </c>
      <c r="F13606" s="3">
        <v>11</v>
      </c>
      <c r="G13606" t="s">
        <v>513</v>
      </c>
    </row>
    <row r="13607" spans="1:7" x14ac:dyDescent="0.25">
      <c r="A13607" s="1" t="str">
        <f>"511908"</f>
        <v>511908</v>
      </c>
      <c r="B13607" s="2" t="str">
        <f>"JUNTA PLANA P/ MOTOR"</f>
        <v>JUNTA PLANA P/ MOTOR</v>
      </c>
      <c r="C13607" s="2" t="str">
        <f t="shared" si="532"/>
        <v>UN</v>
      </c>
      <c r="D13607" s="7">
        <v>704</v>
      </c>
      <c r="E13607" s="3">
        <v>9</v>
      </c>
      <c r="F13607" s="3">
        <v>9</v>
      </c>
      <c r="G13607" t="s">
        <v>513</v>
      </c>
    </row>
    <row r="13608" spans="1:7" x14ac:dyDescent="0.25">
      <c r="A13608" s="1" t="str">
        <f>"501844"</f>
        <v>501844</v>
      </c>
      <c r="B13608" s="2" t="str">
        <f>"JUNTA PONTA EIXO VELOMOIDE"</f>
        <v>JUNTA PONTA EIXO VELOMOIDE</v>
      </c>
      <c r="C13608" s="2" t="str">
        <f t="shared" si="532"/>
        <v>UN</v>
      </c>
      <c r="D13608" s="7">
        <v>704</v>
      </c>
      <c r="E13608" s="3">
        <v>9</v>
      </c>
      <c r="F13608" s="3">
        <v>9</v>
      </c>
      <c r="G13608" t="s">
        <v>512</v>
      </c>
    </row>
    <row r="13609" spans="1:7" x14ac:dyDescent="0.25">
      <c r="A13609" s="1" t="str">
        <f>"518988"</f>
        <v>518988</v>
      </c>
      <c r="B13609" s="2" t="str">
        <f>"JUNTA PORT RING HX EPDM 900.0143.046L"</f>
        <v>JUNTA PORT RING HX EPDM 900.0143.046L</v>
      </c>
      <c r="C13609" s="2" t="str">
        <f t="shared" si="532"/>
        <v>UN</v>
      </c>
      <c r="D13609" s="7">
        <v>909</v>
      </c>
      <c r="E13609" s="3">
        <v>11</v>
      </c>
      <c r="F13609" s="3">
        <v>11</v>
      </c>
      <c r="G13609" t="s">
        <v>513</v>
      </c>
    </row>
    <row r="13610" spans="1:7" x14ac:dyDescent="0.25">
      <c r="A13610" s="1" t="str">
        <f>"519068"</f>
        <v>519068</v>
      </c>
      <c r="B13610" s="2" t="str">
        <f>"JUNTA PORT RING HX NBR 900.0143.020L"</f>
        <v>JUNTA PORT RING HX NBR 900.0143.020L</v>
      </c>
      <c r="C13610" s="2" t="str">
        <f t="shared" si="532"/>
        <v>UN</v>
      </c>
      <c r="D13610" s="7">
        <v>909</v>
      </c>
      <c r="E13610" s="3">
        <v>11</v>
      </c>
      <c r="F13610" s="3">
        <v>11</v>
      </c>
      <c r="G13610" t="s">
        <v>514</v>
      </c>
    </row>
    <row r="13611" spans="1:7" x14ac:dyDescent="0.25">
      <c r="A13611" s="1" t="str">
        <f>"516143"</f>
        <v>516143</v>
      </c>
      <c r="B13611" s="2" t="str">
        <f>"JUNTA PORT RING VT-20 EPDM 900.0051.046L"</f>
        <v>JUNTA PORT RING VT-20 EPDM 900.0051.046L</v>
      </c>
      <c r="C13611" s="2" t="str">
        <f t="shared" si="532"/>
        <v>UN</v>
      </c>
      <c r="D13611" s="7">
        <v>909</v>
      </c>
      <c r="E13611" s="3">
        <v>11</v>
      </c>
      <c r="F13611" s="3">
        <v>11</v>
      </c>
      <c r="G13611" t="s">
        <v>515</v>
      </c>
    </row>
    <row r="13612" spans="1:7" x14ac:dyDescent="0.25">
      <c r="A13612" s="1" t="str">
        <f>"518429"</f>
        <v>518429</v>
      </c>
      <c r="B13612" s="2" t="str">
        <f>"JUNTA PORT RING VT-40 EPDM 900.0052.046L"</f>
        <v>JUNTA PORT RING VT-40 EPDM 900.0052.046L</v>
      </c>
      <c r="C13612" s="2" t="str">
        <f t="shared" si="532"/>
        <v>UN</v>
      </c>
      <c r="D13612" s="7">
        <v>909</v>
      </c>
      <c r="E13612" s="3">
        <v>11</v>
      </c>
      <c r="F13612" s="3">
        <v>11</v>
      </c>
      <c r="G13612" t="s">
        <v>512</v>
      </c>
    </row>
    <row r="13613" spans="1:7" x14ac:dyDescent="0.25">
      <c r="A13613" s="1" t="str">
        <f>"526501"</f>
        <v>526501</v>
      </c>
      <c r="B13613" s="2" t="str">
        <f>"JUNTA REG PRESSAO M50P/M60P - DM03410-050-EX - 113501000258"</f>
        <v>JUNTA REG PRESSAO M50P/M60P - DM03410-050-EX - 113501000258</v>
      </c>
      <c r="C13613" s="2" t="str">
        <f t="shared" si="532"/>
        <v>UN</v>
      </c>
      <c r="D13613" s="7">
        <v>918</v>
      </c>
      <c r="E13613" s="3">
        <v>11</v>
      </c>
      <c r="F13613" s="3">
        <v>11</v>
      </c>
      <c r="G13613" t="s">
        <v>516</v>
      </c>
    </row>
    <row r="13614" spans="1:7" x14ac:dyDescent="0.25">
      <c r="A13614" s="1" t="str">
        <f>"512778"</f>
        <v>512778</v>
      </c>
      <c r="B13614" s="2" t="str">
        <f>"JUNTA SEDE PRIMARIA 80230022 APV CUBE 4600 APC9617"</f>
        <v>JUNTA SEDE PRIMARIA 80230022 APV CUBE 4600 APC9617</v>
      </c>
      <c r="C13614" s="2" t="str">
        <f t="shared" si="532"/>
        <v>UN</v>
      </c>
      <c r="D13614" s="7">
        <v>918</v>
      </c>
      <c r="E13614" s="3">
        <v>11</v>
      </c>
      <c r="F13614" s="3">
        <v>11</v>
      </c>
      <c r="G13614" t="s">
        <v>515</v>
      </c>
    </row>
    <row r="13615" spans="1:7" x14ac:dyDescent="0.25">
      <c r="A13615" s="1" t="str">
        <f>"509107"</f>
        <v>509107</v>
      </c>
      <c r="B13615" s="2" t="str">
        <f>"JUNTA SEDE PRIMARIA APF-0578"</f>
        <v>JUNTA SEDE PRIMARIA APF-0578</v>
      </c>
      <c r="C13615" s="2" t="str">
        <f t="shared" si="532"/>
        <v>UN</v>
      </c>
      <c r="D13615" s="7">
        <v>918</v>
      </c>
      <c r="E13615" s="3">
        <v>11</v>
      </c>
      <c r="F13615" s="3">
        <v>11</v>
      </c>
      <c r="G13615" t="s">
        <v>514</v>
      </c>
    </row>
    <row r="13616" spans="1:7" x14ac:dyDescent="0.25">
      <c r="A13616" s="1" t="str">
        <f>"508650"</f>
        <v>508650</v>
      </c>
      <c r="B13616" s="2" t="str">
        <f>"JUNTA SEDE PRIMARIA/SECUNDARIA APF-0143"</f>
        <v>JUNTA SEDE PRIMARIA/SECUNDARIA APF-0143</v>
      </c>
      <c r="C13616" s="2" t="str">
        <f t="shared" si="532"/>
        <v>UN</v>
      </c>
      <c r="D13616" s="7">
        <v>918</v>
      </c>
      <c r="E13616" s="3">
        <v>11</v>
      </c>
      <c r="F13616" s="3">
        <v>11</v>
      </c>
      <c r="G13616" t="s">
        <v>512</v>
      </c>
    </row>
    <row r="13617" spans="1:7" x14ac:dyDescent="0.25">
      <c r="A13617" s="1" t="str">
        <f>"512785"</f>
        <v>512785</v>
      </c>
      <c r="B13617" s="2" t="str">
        <f>"JUNTA SEDE SECUNDARIA 800505 APV CUBE 4600 APF-9619"</f>
        <v>JUNTA SEDE SECUNDARIA 800505 APV CUBE 4600 APF-9619</v>
      </c>
      <c r="C13617" s="2" t="str">
        <f t="shared" si="532"/>
        <v>UN</v>
      </c>
      <c r="D13617" s="7">
        <v>918</v>
      </c>
      <c r="E13617" s="3">
        <v>11</v>
      </c>
      <c r="F13617" s="3">
        <v>11</v>
      </c>
      <c r="G13617" t="s">
        <v>513</v>
      </c>
    </row>
    <row r="13618" spans="1:7" x14ac:dyDescent="0.25">
      <c r="A13618" s="1" t="str">
        <f>"512115"</f>
        <v>512115</v>
      </c>
      <c r="B13618" s="2" t="str">
        <f>"JUNTA TAM CIL AG/AR"</f>
        <v>JUNTA TAM CIL AG/AR</v>
      </c>
      <c r="C13618" s="2" t="str">
        <f t="shared" si="532"/>
        <v>UN</v>
      </c>
      <c r="D13618" s="7">
        <v>918</v>
      </c>
      <c r="E13618" s="3">
        <v>11</v>
      </c>
      <c r="F13618" s="3">
        <v>11</v>
      </c>
      <c r="G13618" t="s">
        <v>514</v>
      </c>
    </row>
    <row r="13619" spans="1:7" x14ac:dyDescent="0.25">
      <c r="A13619" s="1" t="str">
        <f>"513470"</f>
        <v>513470</v>
      </c>
      <c r="B13619" s="2" t="str">
        <f>"JUNTA TAMPA D'AGUA 100 MK2/3"</f>
        <v>JUNTA TAMPA D'AGUA 100 MK2/3</v>
      </c>
      <c r="C13619" s="2" t="str">
        <f t="shared" si="532"/>
        <v>UN</v>
      </c>
      <c r="D13619" s="7">
        <v>918</v>
      </c>
      <c r="E13619" s="3">
        <v>11</v>
      </c>
      <c r="F13619" s="3">
        <v>11</v>
      </c>
      <c r="G13619" t="s">
        <v>514</v>
      </c>
    </row>
    <row r="13620" spans="1:7" x14ac:dyDescent="0.25">
      <c r="A13620" s="1" t="str">
        <f>"505436"</f>
        <v>505436</v>
      </c>
      <c r="B13620" s="2" t="str">
        <f>"JUNTA TAMPA DISTRIBUICAO C"</f>
        <v>JUNTA TAMPA DISTRIBUICAO C</v>
      </c>
      <c r="C13620" s="2" t="str">
        <f t="shared" si="532"/>
        <v>UN</v>
      </c>
      <c r="D13620" s="7">
        <v>704</v>
      </c>
      <c r="E13620" s="3">
        <v>9</v>
      </c>
      <c r="F13620" s="3">
        <v>9</v>
      </c>
      <c r="G13620" t="s">
        <v>512</v>
      </c>
    </row>
    <row r="13621" spans="1:7" x14ac:dyDescent="0.25">
      <c r="A13621" s="1" t="str">
        <f>"503656"</f>
        <v>503656</v>
      </c>
      <c r="B13621" s="2" t="str">
        <f>"JUNTA TAMPA FRONTA DIAM 100MM PTFE"</f>
        <v>JUNTA TAMPA FRONTA DIAM 100MM PTFE</v>
      </c>
      <c r="C13621" s="2" t="str">
        <f t="shared" si="532"/>
        <v>UN</v>
      </c>
      <c r="D13621" s="7">
        <v>918</v>
      </c>
      <c r="E13621" s="3">
        <v>11</v>
      </c>
      <c r="F13621" s="3">
        <v>11</v>
      </c>
      <c r="G13621" t="s">
        <v>513</v>
      </c>
    </row>
    <row r="13622" spans="1:7" x14ac:dyDescent="0.25">
      <c r="A13622" s="1" t="str">
        <f>"515887"</f>
        <v>515887</v>
      </c>
      <c r="B13622" s="2" t="str">
        <f>"JUNTA TAMPA LATERAL CUMMINS"</f>
        <v>JUNTA TAMPA LATERAL CUMMINS</v>
      </c>
      <c r="C13622" s="2" t="str">
        <f t="shared" si="532"/>
        <v>UN</v>
      </c>
      <c r="D13622" s="7">
        <v>704</v>
      </c>
      <c r="E13622" s="3">
        <v>9</v>
      </c>
      <c r="F13622" s="3">
        <v>9</v>
      </c>
      <c r="G13622" t="s">
        <v>514</v>
      </c>
    </row>
    <row r="13623" spans="1:7" x14ac:dyDescent="0.25">
      <c r="A13623" s="1" t="str">
        <f>"512790"</f>
        <v>512790</v>
      </c>
      <c r="B13623" s="2" t="str">
        <f>"JUNTA TAMPA SUPERIOR 80230035 APV CUBE 4600 APF-9625"</f>
        <v>JUNTA TAMPA SUPERIOR 80230035 APV CUBE 4600 APF-9625</v>
      </c>
      <c r="C13623" s="2" t="str">
        <f t="shared" si="532"/>
        <v>UN</v>
      </c>
      <c r="D13623" s="7">
        <v>918</v>
      </c>
      <c r="E13623" s="3">
        <v>11</v>
      </c>
      <c r="F13623" s="3">
        <v>11</v>
      </c>
      <c r="G13623" t="s">
        <v>514</v>
      </c>
    </row>
    <row r="13624" spans="1:7" x14ac:dyDescent="0.25">
      <c r="A13624" s="1" t="str">
        <f>"501939"</f>
        <v>501939</v>
      </c>
      <c r="B13624" s="2" t="str">
        <f>"JUNTA TAMPA SUPERIOR DIAM 88MM PTFE"</f>
        <v>JUNTA TAMPA SUPERIOR DIAM 88MM PTFE</v>
      </c>
      <c r="C13624" s="2" t="str">
        <f t="shared" si="532"/>
        <v>UN</v>
      </c>
      <c r="D13624" s="7">
        <v>918</v>
      </c>
      <c r="E13624" s="3">
        <v>11</v>
      </c>
      <c r="F13624" s="3">
        <v>11</v>
      </c>
      <c r="G13624" t="s">
        <v>514</v>
      </c>
    </row>
    <row r="13625" spans="1:7" x14ac:dyDescent="0.25">
      <c r="A13625" s="1" t="str">
        <f>"517565"</f>
        <v>517565</v>
      </c>
      <c r="B13625" s="2" t="str">
        <f>"JUNTA TIPO EV/EH/V/H - S-38 RKN-6"</f>
        <v>JUNTA TIPO EV/EH/V/H - S-38 RKN-6</v>
      </c>
      <c r="C13625" s="2" t="str">
        <f t="shared" si="532"/>
        <v>UN</v>
      </c>
      <c r="D13625" s="7">
        <v>909</v>
      </c>
      <c r="E13625" s="3">
        <v>11</v>
      </c>
      <c r="F13625" s="3">
        <v>11</v>
      </c>
      <c r="G13625" t="s">
        <v>513</v>
      </c>
    </row>
    <row r="13626" spans="1:7" x14ac:dyDescent="0.25">
      <c r="A13626" s="1" t="str">
        <f>"517899"</f>
        <v>517899</v>
      </c>
      <c r="B13626" s="2" t="str">
        <f>"JUNTA TROC FL  VT40 EPDM 900.0089.046L"</f>
        <v>JUNTA TROC FL  VT40 EPDM 900.0089.046L</v>
      </c>
      <c r="C13626" s="2" t="str">
        <f t="shared" si="532"/>
        <v>UN</v>
      </c>
      <c r="D13626" s="7">
        <v>915</v>
      </c>
      <c r="E13626" s="3">
        <v>11</v>
      </c>
      <c r="F13626" s="3">
        <v>11</v>
      </c>
      <c r="G13626" t="s">
        <v>512</v>
      </c>
    </row>
    <row r="13627" spans="1:7" x14ac:dyDescent="0.25">
      <c r="A13627" s="1" t="str">
        <f>"518989"</f>
        <v>518989</v>
      </c>
      <c r="B13627" s="2" t="str">
        <f>"JUNTA TROC FL DIR HX COLA EPDM 900.0027.046L"</f>
        <v>JUNTA TROC FL DIR HX COLA EPDM 900.0027.046L</v>
      </c>
      <c r="C13627" s="2" t="str">
        <f t="shared" si="532"/>
        <v>UN</v>
      </c>
      <c r="D13627" s="7">
        <v>909</v>
      </c>
      <c r="E13627" s="3">
        <v>11</v>
      </c>
      <c r="F13627" s="3">
        <v>11</v>
      </c>
      <c r="G13627" t="s">
        <v>513</v>
      </c>
    </row>
    <row r="13628" spans="1:7" x14ac:dyDescent="0.25">
      <c r="A13628" s="1" t="str">
        <f>"519069"</f>
        <v>519069</v>
      </c>
      <c r="B13628" s="2" t="str">
        <f>"JUNTA TROC FL DIR HX COLA NBR 900.0027.020L"</f>
        <v>JUNTA TROC FL DIR HX COLA NBR 900.0027.020L</v>
      </c>
      <c r="C13628" s="2" t="str">
        <f t="shared" si="532"/>
        <v>UN</v>
      </c>
      <c r="D13628" s="7">
        <v>909</v>
      </c>
      <c r="E13628" s="3">
        <v>11</v>
      </c>
      <c r="F13628" s="3">
        <v>11</v>
      </c>
      <c r="G13628" t="s">
        <v>514</v>
      </c>
    </row>
    <row r="13629" spans="1:7" x14ac:dyDescent="0.25">
      <c r="A13629" s="1" t="str">
        <f>"518990"</f>
        <v>518990</v>
      </c>
      <c r="B13629" s="2" t="str">
        <f>"JUNTA TROC FL ESQ HX COLA EPDM 900.0028.046L"</f>
        <v>JUNTA TROC FL ESQ HX COLA EPDM 900.0028.046L</v>
      </c>
      <c r="C13629" s="2" t="str">
        <f t="shared" si="532"/>
        <v>UN</v>
      </c>
      <c r="D13629" s="7">
        <v>909</v>
      </c>
      <c r="E13629" s="3">
        <v>11</v>
      </c>
      <c r="F13629" s="3">
        <v>11</v>
      </c>
      <c r="G13629" t="s">
        <v>514</v>
      </c>
    </row>
    <row r="13630" spans="1:7" x14ac:dyDescent="0.25">
      <c r="A13630" s="1" t="str">
        <f>"519070"</f>
        <v>519070</v>
      </c>
      <c r="B13630" s="2" t="str">
        <f>"JUNTA TROC FL ESQ HX COLA NBR 900.0028.020L"</f>
        <v>JUNTA TROC FL ESQ HX COLA NBR 900.0028.020L</v>
      </c>
      <c r="C13630" s="2" t="str">
        <f t="shared" si="532"/>
        <v>UN</v>
      </c>
      <c r="D13630" s="7">
        <v>909</v>
      </c>
      <c r="E13630" s="3">
        <v>11</v>
      </c>
      <c r="F13630" s="3">
        <v>11</v>
      </c>
      <c r="G13630" t="s">
        <v>514</v>
      </c>
    </row>
    <row r="13631" spans="1:7" x14ac:dyDescent="0.25">
      <c r="A13631" s="1" t="str">
        <f>"516034"</f>
        <v>516034</v>
      </c>
      <c r="B13631" s="2" t="str">
        <f>"JUNTA TROC FL VT-20 EPDM 900.0114.046L"</f>
        <v>JUNTA TROC FL VT-20 EPDM 900.0114.046L</v>
      </c>
      <c r="C13631" s="2" t="str">
        <f t="shared" si="532"/>
        <v>UN</v>
      </c>
      <c r="D13631" s="7">
        <v>915</v>
      </c>
      <c r="E13631" s="3">
        <v>11</v>
      </c>
      <c r="F13631" s="3">
        <v>11</v>
      </c>
      <c r="G13631" t="s">
        <v>513</v>
      </c>
    </row>
    <row r="13632" spans="1:7" x14ac:dyDescent="0.25">
      <c r="A13632" s="1" t="str">
        <f>"518991"</f>
        <v>518991</v>
      </c>
      <c r="B13632" s="2" t="str">
        <f>"JUNTA TROC FN HX EPDM 900.0029.046L"</f>
        <v>JUNTA TROC FN HX EPDM 900.0029.046L</v>
      </c>
      <c r="C13632" s="2" t="str">
        <f t="shared" si="532"/>
        <v>UN</v>
      </c>
      <c r="D13632" s="7">
        <v>909</v>
      </c>
      <c r="E13632" s="3">
        <v>11</v>
      </c>
      <c r="F13632" s="3">
        <v>11</v>
      </c>
      <c r="G13632" t="s">
        <v>513</v>
      </c>
    </row>
    <row r="13633" spans="1:7" x14ac:dyDescent="0.25">
      <c r="A13633" s="1" t="str">
        <f>"519071"</f>
        <v>519071</v>
      </c>
      <c r="B13633" s="2" t="str">
        <f>"JUNTA TROC FN HX NBR 900.0029.020L"</f>
        <v>JUNTA TROC FN HX NBR 900.0029.020L</v>
      </c>
      <c r="C13633" s="2" t="str">
        <f t="shared" si="532"/>
        <v>UN</v>
      </c>
      <c r="D13633" s="7">
        <v>909</v>
      </c>
      <c r="E13633" s="3">
        <v>11</v>
      </c>
      <c r="F13633" s="3">
        <v>11</v>
      </c>
      <c r="G13633" t="s">
        <v>513</v>
      </c>
    </row>
    <row r="13634" spans="1:7" x14ac:dyDescent="0.25">
      <c r="A13634" s="1" t="str">
        <f>"504244"</f>
        <v>504244</v>
      </c>
      <c r="B13634" s="2" t="str">
        <f>"JUNTA TROCADOR DE CALOR FLUXO VT20 EPDM"</f>
        <v>JUNTA TROCADOR DE CALOR FLUXO VT20 EPDM</v>
      </c>
      <c r="C13634" s="2" t="str">
        <f t="shared" si="532"/>
        <v>UN</v>
      </c>
      <c r="D13634" s="7">
        <v>912</v>
      </c>
      <c r="E13634" s="3">
        <v>11</v>
      </c>
      <c r="F13634" s="3">
        <v>11</v>
      </c>
      <c r="G13634" t="s">
        <v>512</v>
      </c>
    </row>
    <row r="13635" spans="1:7" x14ac:dyDescent="0.25">
      <c r="A13635" s="1" t="str">
        <f>"504243"</f>
        <v>504243</v>
      </c>
      <c r="B13635" s="2" t="str">
        <f>"JUNTA TROCADOR DE CALOR FLUXO VT20 NBR"</f>
        <v>JUNTA TROCADOR DE CALOR FLUXO VT20 NBR</v>
      </c>
      <c r="C13635" s="2" t="str">
        <f t="shared" si="532"/>
        <v>UN</v>
      </c>
      <c r="D13635" s="7">
        <v>912</v>
      </c>
      <c r="E13635" s="3">
        <v>11</v>
      </c>
      <c r="F13635" s="3">
        <v>11</v>
      </c>
      <c r="G13635" t="s">
        <v>513</v>
      </c>
    </row>
    <row r="13636" spans="1:7" x14ac:dyDescent="0.25">
      <c r="A13636" s="1" t="str">
        <f>"501719"</f>
        <v>501719</v>
      </c>
      <c r="B13636" s="2" t="str">
        <f>"JUNTA TURBINA"</f>
        <v>JUNTA TURBINA</v>
      </c>
      <c r="C13636" s="2" t="str">
        <f t="shared" si="532"/>
        <v>UN</v>
      </c>
      <c r="D13636" s="7">
        <v>704</v>
      </c>
      <c r="E13636" s="3">
        <v>9</v>
      </c>
      <c r="F13636" s="3">
        <v>9</v>
      </c>
      <c r="G13636" t="s">
        <v>514</v>
      </c>
    </row>
    <row r="13637" spans="1:7" x14ac:dyDescent="0.25">
      <c r="A13637" s="1" t="str">
        <f>"503090"</f>
        <v>503090</v>
      </c>
      <c r="B13637" s="2" t="str">
        <f>"JUNTA VALVULA TERMOSTATICA"</f>
        <v>JUNTA VALVULA TERMOSTATICA</v>
      </c>
      <c r="C13637" s="2" t="str">
        <f t="shared" si="532"/>
        <v>UN</v>
      </c>
      <c r="D13637" s="7">
        <v>704</v>
      </c>
      <c r="E13637" s="3">
        <v>9</v>
      </c>
      <c r="F13637" s="3">
        <v>9</v>
      </c>
      <c r="G13637" t="s">
        <v>515</v>
      </c>
    </row>
    <row r="13638" spans="1:7" x14ac:dyDescent="0.25">
      <c r="A13638" s="1" t="str">
        <f>"505555"</f>
        <v>505555</v>
      </c>
      <c r="B13638" s="2" t="str">
        <f>"JUNTA VEDACAO DES 44764"</f>
        <v>JUNTA VEDACAO DES 44764</v>
      </c>
      <c r="C13638" s="2" t="str">
        <f t="shared" si="532"/>
        <v>UN</v>
      </c>
      <c r="D13638" s="7">
        <v>909</v>
      </c>
      <c r="E13638" s="3">
        <v>11</v>
      </c>
      <c r="F13638" s="3">
        <v>11</v>
      </c>
      <c r="G13638" t="s">
        <v>512</v>
      </c>
    </row>
    <row r="13639" spans="1:7" x14ac:dyDescent="0.25">
      <c r="A13639" s="1" t="str">
        <f>"504483"</f>
        <v>504483</v>
      </c>
      <c r="B13639" s="2" t="str">
        <f>"JUNTA VEDAÇÃO FIBRA DE CEL"</f>
        <v>JUNTA VEDAÇÃO FIBRA DE CEL</v>
      </c>
      <c r="C13639" s="2" t="str">
        <f t="shared" si="532"/>
        <v>UN</v>
      </c>
      <c r="D13639" s="7">
        <v>600</v>
      </c>
      <c r="E13639" s="3">
        <v>11</v>
      </c>
      <c r="F13639" s="3">
        <v>11</v>
      </c>
      <c r="G13639" t="s">
        <v>516</v>
      </c>
    </row>
    <row r="13640" spans="1:7" x14ac:dyDescent="0.25">
      <c r="A13640" s="1" t="str">
        <f>"521795"</f>
        <v>521795</v>
      </c>
      <c r="B13640" s="2" t="str">
        <f>"JUNTA VEDAÇÃO POS 58 APF-8009"</f>
        <v>JUNTA VEDAÇÃO POS 58 APF-8009</v>
      </c>
      <c r="C13640" s="2" t="str">
        <f t="shared" si="532"/>
        <v>UN</v>
      </c>
      <c r="D13640" s="7">
        <v>704</v>
      </c>
      <c r="E13640" s="3">
        <v>9</v>
      </c>
      <c r="F13640" s="3">
        <v>9</v>
      </c>
      <c r="G13640" t="s">
        <v>515</v>
      </c>
    </row>
    <row r="13641" spans="1:7" x14ac:dyDescent="0.25">
      <c r="A13641" s="1" t="str">
        <f>"504462"</f>
        <v>504462</v>
      </c>
      <c r="B13641" s="2" t="str">
        <f>"JUNTA VEDACAO PRIMARIA-POS.52 TM-3"</f>
        <v>JUNTA VEDACAO PRIMARIA-POS.52 TM-3</v>
      </c>
      <c r="C13641" s="2" t="str">
        <f t="shared" si="532"/>
        <v>UN</v>
      </c>
      <c r="D13641" s="7">
        <v>909</v>
      </c>
      <c r="E13641" s="3">
        <v>11</v>
      </c>
      <c r="F13641" s="3">
        <v>11</v>
      </c>
      <c r="G13641" t="s">
        <v>514</v>
      </c>
    </row>
    <row r="13642" spans="1:7" x14ac:dyDescent="0.25">
      <c r="A13642" s="1" t="str">
        <f>"504465"</f>
        <v>504465</v>
      </c>
      <c r="B13642" s="2" t="str">
        <f>"JUNTA VEDACAO SEDE SECUNDARIA POS.70 TM3"</f>
        <v>JUNTA VEDACAO SEDE SECUNDARIA POS.70 TM3</v>
      </c>
      <c r="C13642" s="2" t="str">
        <f t="shared" si="532"/>
        <v>UN</v>
      </c>
      <c r="D13642" s="7">
        <v>909</v>
      </c>
      <c r="E13642" s="3">
        <v>11</v>
      </c>
      <c r="F13642" s="3">
        <v>11</v>
      </c>
      <c r="G13642" t="s">
        <v>512</v>
      </c>
    </row>
    <row r="13643" spans="1:7" x14ac:dyDescent="0.25">
      <c r="A13643" s="1" t="str">
        <f>"504461"</f>
        <v>504461</v>
      </c>
      <c r="B13643" s="2" t="str">
        <f>"JUNTA VEDACAO TAMPA CEGA-POS.16 TM-3"</f>
        <v>JUNTA VEDACAO TAMPA CEGA-POS.16 TM-3</v>
      </c>
      <c r="C13643" s="2" t="str">
        <f t="shared" si="532"/>
        <v>UN</v>
      </c>
      <c r="D13643" s="7">
        <v>909</v>
      </c>
      <c r="E13643" s="3">
        <v>11</v>
      </c>
      <c r="F13643" s="3">
        <v>11</v>
      </c>
      <c r="G13643" t="s">
        <v>513</v>
      </c>
    </row>
    <row r="13644" spans="1:7" x14ac:dyDescent="0.25">
      <c r="A13644" s="1" t="str">
        <f>"504456"</f>
        <v>504456</v>
      </c>
      <c r="B13644" s="2" t="str">
        <f>"JUNTA VEDACAO-TAMPA SUPERIOR POS.15"</f>
        <v>JUNTA VEDACAO-TAMPA SUPERIOR POS.15</v>
      </c>
      <c r="C13644" s="2" t="str">
        <f t="shared" si="532"/>
        <v>UN</v>
      </c>
      <c r="D13644" s="7">
        <v>909</v>
      </c>
      <c r="E13644" s="3">
        <v>11</v>
      </c>
      <c r="F13644" s="3">
        <v>11</v>
      </c>
      <c r="G13644" t="s">
        <v>514</v>
      </c>
    </row>
    <row r="13645" spans="1:7" x14ac:dyDescent="0.25">
      <c r="A13645" s="1" t="str">
        <f>"177"</f>
        <v>177</v>
      </c>
      <c r="B13645" s="2" t="str">
        <f>"KALYCLEAN  K 575"</f>
        <v>KALYCLEAN  K 575</v>
      </c>
      <c r="C13645" s="2" t="str">
        <f>"KG"</f>
        <v>KG</v>
      </c>
      <c r="D13645" s="7">
        <v>400</v>
      </c>
      <c r="E13645" s="3">
        <v>4</v>
      </c>
      <c r="F13645" s="3">
        <v>4</v>
      </c>
      <c r="G13645" t="s">
        <v>514</v>
      </c>
    </row>
    <row r="13646" spans="1:7" x14ac:dyDescent="0.25">
      <c r="A13646" s="1" t="str">
        <f>"175"</f>
        <v>175</v>
      </c>
      <c r="B13646" s="2" t="str">
        <f>"KALYCLEAN  N 780"</f>
        <v>KALYCLEAN  N 780</v>
      </c>
      <c r="C13646" s="2" t="str">
        <f>"KG"</f>
        <v>KG</v>
      </c>
      <c r="D13646" s="7">
        <v>400</v>
      </c>
      <c r="E13646" s="3">
        <v>4</v>
      </c>
      <c r="F13646" s="3">
        <v>4</v>
      </c>
      <c r="G13646" t="s">
        <v>512</v>
      </c>
    </row>
    <row r="13647" spans="1:7" x14ac:dyDescent="0.25">
      <c r="A13647" s="1" t="str">
        <f>"176"</f>
        <v>176</v>
      </c>
      <c r="B13647" s="2" t="str">
        <f>"KALYCLEAN  S 350"</f>
        <v>KALYCLEAN  S 350</v>
      </c>
      <c r="C13647" s="2" t="str">
        <f>"KG"</f>
        <v>KG</v>
      </c>
      <c r="D13647" s="7">
        <v>400</v>
      </c>
      <c r="E13647" s="3">
        <v>4</v>
      </c>
      <c r="F13647" s="3">
        <v>4</v>
      </c>
      <c r="G13647" t="s">
        <v>513</v>
      </c>
    </row>
    <row r="13648" spans="1:7" x14ac:dyDescent="0.25">
      <c r="A13648" s="1" t="str">
        <f>"160"</f>
        <v>160</v>
      </c>
      <c r="B13648" s="2" t="str">
        <f>"KALYCLEAN A 680 B"</f>
        <v>KALYCLEAN A 680 B</v>
      </c>
      <c r="C13648" s="2" t="str">
        <f>"LT"</f>
        <v>LT</v>
      </c>
      <c r="D13648" s="7">
        <v>400</v>
      </c>
      <c r="E13648" s="3">
        <v>4</v>
      </c>
      <c r="F13648" s="3">
        <v>4</v>
      </c>
      <c r="G13648" t="s">
        <v>514</v>
      </c>
    </row>
    <row r="13649" spans="1:7" x14ac:dyDescent="0.25">
      <c r="A13649" s="1" t="str">
        <f>"161"</f>
        <v>161</v>
      </c>
      <c r="B13649" s="2" t="str">
        <f>"KALYCLEAN C 245 BJ-030L II"</f>
        <v>KALYCLEAN C 245 BJ-030L II</v>
      </c>
      <c r="C13649" s="2" t="str">
        <f>"LT"</f>
        <v>LT</v>
      </c>
      <c r="D13649" s="7">
        <v>400</v>
      </c>
      <c r="E13649" s="3">
        <v>4</v>
      </c>
      <c r="F13649" s="3">
        <v>4</v>
      </c>
      <c r="G13649" t="s">
        <v>514</v>
      </c>
    </row>
    <row r="13650" spans="1:7" x14ac:dyDescent="0.25">
      <c r="A13650" s="1" t="str">
        <f>"1575"</f>
        <v>1575</v>
      </c>
      <c r="B13650" s="2" t="str">
        <f>"KALYCLEAN S 375"</f>
        <v>KALYCLEAN S 375</v>
      </c>
      <c r="C13650" s="2" t="str">
        <f>"LT"</f>
        <v>LT</v>
      </c>
      <c r="D13650" s="7">
        <v>400</v>
      </c>
      <c r="E13650" s="3">
        <v>4</v>
      </c>
      <c r="F13650" s="3">
        <v>4</v>
      </c>
      <c r="G13650" t="s">
        <v>514</v>
      </c>
    </row>
    <row r="13651" spans="1:7" x14ac:dyDescent="0.25">
      <c r="A13651" s="1" t="str">
        <f>"1580"</f>
        <v>1580</v>
      </c>
      <c r="B13651" s="2" t="str">
        <f>"KALYCLEAN SL2"</f>
        <v>KALYCLEAN SL2</v>
      </c>
      <c r="C13651" s="2" t="str">
        <f>"LT"</f>
        <v>LT</v>
      </c>
      <c r="D13651" s="7">
        <v>400</v>
      </c>
      <c r="E13651" s="3">
        <v>4</v>
      </c>
      <c r="F13651" s="3">
        <v>4</v>
      </c>
      <c r="G13651" t="s">
        <v>513</v>
      </c>
    </row>
    <row r="13652" spans="1:7" x14ac:dyDescent="0.25">
      <c r="A13652" s="1" t="str">
        <f>"163"</f>
        <v>163</v>
      </c>
      <c r="B13652" s="2" t="str">
        <f>"KALYKIM  ALLKALY CL (CAIXA 30 LITROS)"</f>
        <v>KALYKIM  ALLKALY CL (CAIXA 30 LITROS)</v>
      </c>
      <c r="C13652" s="2" t="str">
        <f>"KG"</f>
        <v>KG</v>
      </c>
      <c r="D13652" s="7">
        <v>400</v>
      </c>
      <c r="E13652" s="3">
        <v>4</v>
      </c>
      <c r="F13652" s="3">
        <v>4</v>
      </c>
      <c r="G13652" t="s">
        <v>512</v>
      </c>
    </row>
    <row r="13653" spans="1:7" x14ac:dyDescent="0.25">
      <c r="A13653" s="1" t="str">
        <f>"164"</f>
        <v>164</v>
      </c>
      <c r="B13653" s="2" t="str">
        <f>"KALYKIM  ALLKALY NT ( BOMBONAS 30 LITROS)"</f>
        <v>KALYKIM  ALLKALY NT ( BOMBONAS 30 LITROS)</v>
      </c>
      <c r="C13653" s="2" t="str">
        <f>"KG"</f>
        <v>KG</v>
      </c>
      <c r="D13653" s="7">
        <v>400</v>
      </c>
      <c r="E13653" s="3">
        <v>4</v>
      </c>
      <c r="F13653" s="3">
        <v>4</v>
      </c>
      <c r="G13653" t="s">
        <v>513</v>
      </c>
    </row>
    <row r="13654" spans="1:7" x14ac:dyDescent="0.25">
      <c r="A13654" s="1" t="str">
        <f>"153"</f>
        <v>153</v>
      </c>
      <c r="B13654" s="2" t="str">
        <f>"KALYKIM A631 (BOMBONA 30 LITROS)"</f>
        <v>KALYKIM A631 (BOMBONA 30 LITROS)</v>
      </c>
      <c r="C13654" s="2" t="str">
        <f t="shared" ref="C13654:C13661" si="533">"LT"</f>
        <v>LT</v>
      </c>
      <c r="D13654" s="7">
        <v>400</v>
      </c>
      <c r="E13654" s="3">
        <v>4</v>
      </c>
      <c r="F13654" s="3">
        <v>4</v>
      </c>
      <c r="G13654" t="s">
        <v>514</v>
      </c>
    </row>
    <row r="13655" spans="1:7" x14ac:dyDescent="0.25">
      <c r="A13655" s="1" t="str">
        <f>"157"</f>
        <v>157</v>
      </c>
      <c r="B13655" s="2" t="str">
        <f>"KALYKIM A670 ( BOMBONAS 30 LITROS)"</f>
        <v>KALYKIM A670 ( BOMBONAS 30 LITROS)</v>
      </c>
      <c r="C13655" s="2" t="str">
        <f t="shared" si="533"/>
        <v>LT</v>
      </c>
      <c r="D13655" s="7">
        <v>400</v>
      </c>
      <c r="E13655" s="3">
        <v>4</v>
      </c>
      <c r="F13655" s="3">
        <v>4</v>
      </c>
      <c r="G13655" t="s">
        <v>514</v>
      </c>
    </row>
    <row r="13656" spans="1:7" x14ac:dyDescent="0.25">
      <c r="A13656" s="1" t="str">
        <f>"150"</f>
        <v>150</v>
      </c>
      <c r="B13656" s="2" t="str">
        <f>"KALYKIM C220 (BOMBONA 30 LITROS)"</f>
        <v>KALYKIM C220 (BOMBONA 30 LITROS)</v>
      </c>
      <c r="C13656" s="2" t="str">
        <f t="shared" si="533"/>
        <v>LT</v>
      </c>
      <c r="D13656" s="7">
        <v>400</v>
      </c>
      <c r="E13656" s="3">
        <v>4</v>
      </c>
      <c r="F13656" s="3">
        <v>4</v>
      </c>
      <c r="G13656" t="s">
        <v>514</v>
      </c>
    </row>
    <row r="13657" spans="1:7" x14ac:dyDescent="0.25">
      <c r="A13657" s="1" t="str">
        <f>"156"</f>
        <v>156</v>
      </c>
      <c r="B13657" s="2" t="str">
        <f>"KALYKIM C272 ( BOMBONAS 30 LITROS)"</f>
        <v>KALYKIM C272 ( BOMBONAS 30 LITROS)</v>
      </c>
      <c r="C13657" s="2" t="str">
        <f t="shared" si="533"/>
        <v>LT</v>
      </c>
      <c r="D13657" s="7">
        <v>400</v>
      </c>
      <c r="E13657" s="3">
        <v>4</v>
      </c>
      <c r="F13657" s="3">
        <v>4</v>
      </c>
      <c r="G13657" t="s">
        <v>513</v>
      </c>
    </row>
    <row r="13658" spans="1:7" x14ac:dyDescent="0.25">
      <c r="A13658" s="1" t="str">
        <f>"6831"</f>
        <v>6831</v>
      </c>
      <c r="B13658" s="2" t="str">
        <f>"KALYKIM H 100 SABONETE DESENGRAXANTE ( BOMBONAS 5 LITRO)"</f>
        <v>KALYKIM H 100 SABONETE DESENGRAXANTE ( BOMBONAS 5 LITRO)</v>
      </c>
      <c r="C13658" s="2" t="str">
        <f t="shared" si="533"/>
        <v>LT</v>
      </c>
      <c r="D13658" s="7">
        <v>400</v>
      </c>
      <c r="E13658" s="3">
        <v>4</v>
      </c>
      <c r="F13658" s="3">
        <v>4</v>
      </c>
      <c r="G13658" t="s">
        <v>513</v>
      </c>
    </row>
    <row r="13659" spans="1:7" x14ac:dyDescent="0.25">
      <c r="A13659" s="1" t="str">
        <f>"6830"</f>
        <v>6830</v>
      </c>
      <c r="B13659" s="2" t="str">
        <f>"KALYKIM H 180 ALCOOL GEL COM BACTERICIDA ( BOMBONAS 5 LITRO)"</f>
        <v>KALYKIM H 180 ALCOOL GEL COM BACTERICIDA ( BOMBONAS 5 LITRO)</v>
      </c>
      <c r="C13659" s="2" t="str">
        <f t="shared" si="533"/>
        <v>LT</v>
      </c>
      <c r="D13659" s="7">
        <v>400</v>
      </c>
      <c r="E13659" s="3">
        <v>4</v>
      </c>
      <c r="F13659" s="3">
        <v>4</v>
      </c>
      <c r="G13659" t="s">
        <v>513</v>
      </c>
    </row>
    <row r="13660" spans="1:7" x14ac:dyDescent="0.25">
      <c r="A13660" s="1" t="str">
        <f>"155"</f>
        <v>155</v>
      </c>
      <c r="B13660" s="2" t="str">
        <f>"KALYKIM H160 (CAIXA C/ 4 BOMBONAS DE 5 LITROS)"</f>
        <v>KALYKIM H160 (CAIXA C/ 4 BOMBONAS DE 5 LITROS)</v>
      </c>
      <c r="C13660" s="2" t="str">
        <f t="shared" si="533"/>
        <v>LT</v>
      </c>
      <c r="D13660" s="7">
        <v>400</v>
      </c>
      <c r="E13660" s="3">
        <v>4</v>
      </c>
      <c r="F13660" s="3">
        <v>4</v>
      </c>
      <c r="G13660" t="s">
        <v>512</v>
      </c>
    </row>
    <row r="13661" spans="1:7" x14ac:dyDescent="0.25">
      <c r="A13661" s="1" t="str">
        <f>"162"</f>
        <v>162</v>
      </c>
      <c r="B13661" s="2" t="str">
        <f>"KALYKIM HP ( BOMBONAS 30 LITROS)"</f>
        <v>KALYKIM HP ( BOMBONAS 30 LITROS)</v>
      </c>
      <c r="C13661" s="2" t="str">
        <f t="shared" si="533"/>
        <v>LT</v>
      </c>
      <c r="D13661" s="7">
        <v>400</v>
      </c>
      <c r="E13661" s="3">
        <v>4</v>
      </c>
      <c r="F13661" s="3">
        <v>4</v>
      </c>
      <c r="G13661" t="s">
        <v>513</v>
      </c>
    </row>
    <row r="13662" spans="1:7" x14ac:dyDescent="0.25">
      <c r="A13662" s="1" t="str">
        <f>"152"</f>
        <v>152</v>
      </c>
      <c r="B13662" s="2" t="str">
        <f>"KALYKIM K508 (SACA DE 25KG)"</f>
        <v>KALYKIM K508 (SACA DE 25KG)</v>
      </c>
      <c r="C13662" s="2" t="str">
        <f>"KG"</f>
        <v>KG</v>
      </c>
      <c r="D13662" s="7">
        <v>400</v>
      </c>
      <c r="E13662" s="3">
        <v>4</v>
      </c>
      <c r="F13662" s="3">
        <v>4</v>
      </c>
      <c r="G13662" t="s">
        <v>514</v>
      </c>
    </row>
    <row r="13663" spans="1:7" x14ac:dyDescent="0.25">
      <c r="A13663" s="1" t="str">
        <f>"151"</f>
        <v>151</v>
      </c>
      <c r="B13663" s="2" t="str">
        <f>"KALYKIM NT (BOMBONA 30 LITROS)"</f>
        <v>KALYKIM NT (BOMBONA 30 LITROS)</v>
      </c>
      <c r="C13663" s="2" t="str">
        <f t="shared" ref="C13663:C13668" si="534">"LT"</f>
        <v>LT</v>
      </c>
      <c r="D13663" s="7">
        <v>400</v>
      </c>
      <c r="E13663" s="3">
        <v>4</v>
      </c>
      <c r="F13663" s="3">
        <v>4</v>
      </c>
      <c r="G13663" t="s">
        <v>515</v>
      </c>
    </row>
    <row r="13664" spans="1:7" x14ac:dyDescent="0.25">
      <c r="A13664" s="1" t="str">
        <f>"6832"</f>
        <v>6832</v>
      </c>
      <c r="B13664" s="2" t="str">
        <f>"KALYKIM S 322 DESINFETANTE BASE CLORO ( BOMBONAS 30 LITRO)"</f>
        <v>KALYKIM S 322 DESINFETANTE BASE CLORO ( BOMBONAS 30 LITRO)</v>
      </c>
      <c r="C13664" s="2" t="str">
        <f t="shared" si="534"/>
        <v>LT</v>
      </c>
      <c r="D13664" s="7">
        <v>400</v>
      </c>
      <c r="E13664" s="3">
        <v>4</v>
      </c>
      <c r="F13664" s="3">
        <v>4</v>
      </c>
      <c r="G13664" t="s">
        <v>512</v>
      </c>
    </row>
    <row r="13665" spans="1:7" x14ac:dyDescent="0.25">
      <c r="A13665" s="1" t="str">
        <f>"154"</f>
        <v>154</v>
      </c>
      <c r="B13665" s="2" t="str">
        <f>"KALYKIM S343 (BOMBONA 30 LITROS)"</f>
        <v>KALYKIM S343 (BOMBONA 30 LITROS)</v>
      </c>
      <c r="C13665" s="2" t="str">
        <f t="shared" si="534"/>
        <v>LT</v>
      </c>
      <c r="D13665" s="7">
        <v>400</v>
      </c>
      <c r="E13665" s="3">
        <v>4</v>
      </c>
      <c r="F13665" s="3">
        <v>4</v>
      </c>
      <c r="G13665" t="s">
        <v>516</v>
      </c>
    </row>
    <row r="13666" spans="1:7" x14ac:dyDescent="0.25">
      <c r="A13666" s="1" t="str">
        <f>"165"</f>
        <v>165</v>
      </c>
      <c r="B13666" s="2" t="str">
        <f>"KALYKIM S370 ( BOMBONAS 30 LITROS)"</f>
        <v>KALYKIM S370 ( BOMBONAS 30 LITROS)</v>
      </c>
      <c r="C13666" s="2" t="str">
        <f t="shared" si="534"/>
        <v>LT</v>
      </c>
      <c r="D13666" s="7">
        <v>400</v>
      </c>
      <c r="E13666" s="3">
        <v>4</v>
      </c>
      <c r="F13666" s="3">
        <v>4</v>
      </c>
      <c r="G13666" t="s">
        <v>515</v>
      </c>
    </row>
    <row r="13667" spans="1:7" x14ac:dyDescent="0.25">
      <c r="A13667" s="1" t="str">
        <f>"158"</f>
        <v>158</v>
      </c>
      <c r="B13667" s="2" t="str">
        <f>"KALYKIM S380 ( BOMBONAS 30 LITROS)"</f>
        <v>KALYKIM S380 ( BOMBONAS 30 LITROS)</v>
      </c>
      <c r="C13667" s="2" t="str">
        <f t="shared" si="534"/>
        <v>LT</v>
      </c>
      <c r="D13667" s="7">
        <v>400</v>
      </c>
      <c r="E13667" s="3">
        <v>4</v>
      </c>
      <c r="F13667" s="3">
        <v>4</v>
      </c>
      <c r="G13667" t="s">
        <v>514</v>
      </c>
    </row>
    <row r="13668" spans="1:7" x14ac:dyDescent="0.25">
      <c r="A13668" s="1" t="str">
        <f>"159"</f>
        <v>159</v>
      </c>
      <c r="B13668" s="2" t="str">
        <f>"KALYMIX RT (CAIXA C/ 10 LITROS) REMOVE COLA"</f>
        <v>KALYMIX RT (CAIXA C/ 10 LITROS) REMOVE COLA</v>
      </c>
      <c r="C13668" s="2" t="str">
        <f t="shared" si="534"/>
        <v>LT</v>
      </c>
      <c r="D13668" s="7">
        <v>400</v>
      </c>
      <c r="E13668" s="3">
        <v>4</v>
      </c>
      <c r="F13668" s="3">
        <v>4</v>
      </c>
      <c r="G13668" t="s">
        <v>512</v>
      </c>
    </row>
    <row r="13669" spans="1:7" x14ac:dyDescent="0.25">
      <c r="A13669" s="1" t="str">
        <f>"509708"</f>
        <v>509708</v>
      </c>
      <c r="B13669" s="2" t="str">
        <f>"KANAFLEX PRETO 1.1/4"</f>
        <v>KANAFLEX PRETO 1.1/4</v>
      </c>
      <c r="C13669" s="2" t="str">
        <f>"UN"</f>
        <v>UN</v>
      </c>
      <c r="D13669" s="7">
        <v>601</v>
      </c>
      <c r="E13669" s="3">
        <v>8</v>
      </c>
      <c r="F13669" s="3">
        <v>8</v>
      </c>
      <c r="G13669" t="s">
        <v>513</v>
      </c>
    </row>
    <row r="13670" spans="1:7" x14ac:dyDescent="0.25">
      <c r="A13670" s="1" t="str">
        <f>"506992"</f>
        <v>506992</v>
      </c>
      <c r="B13670" s="2" t="str">
        <f>"KANODUTO CINZA 1"""</f>
        <v>KANODUTO CINZA 1"</v>
      </c>
      <c r="C13670" s="2" t="str">
        <f>"UN"</f>
        <v>UN</v>
      </c>
      <c r="D13670" s="7">
        <v>601</v>
      </c>
      <c r="E13670" s="3">
        <v>8</v>
      </c>
      <c r="F13670" s="3">
        <v>8</v>
      </c>
      <c r="G13670" t="s">
        <v>514</v>
      </c>
    </row>
    <row r="13671" spans="1:7" x14ac:dyDescent="0.25">
      <c r="A13671" s="1" t="str">
        <f>"514793"</f>
        <v>514793</v>
      </c>
      <c r="B13671" s="2" t="str">
        <f>"KANODUTO CINZA 1.1/2"""</f>
        <v>KANODUTO CINZA 1.1/2"</v>
      </c>
      <c r="C13671" s="2" t="str">
        <f>"MT"</f>
        <v>MT</v>
      </c>
      <c r="D13671" s="7">
        <v>811</v>
      </c>
      <c r="E13671" s="3">
        <v>8</v>
      </c>
      <c r="F13671" s="3">
        <v>8</v>
      </c>
      <c r="G13671" t="s">
        <v>514</v>
      </c>
    </row>
    <row r="13672" spans="1:7" x14ac:dyDescent="0.25">
      <c r="A13672" s="1" t="str">
        <f>"514670"</f>
        <v>514670</v>
      </c>
      <c r="B13672" s="2" t="str">
        <f>"KANODUTO CINZA 1.1/4"""</f>
        <v>KANODUTO CINZA 1.1/4"</v>
      </c>
      <c r="C13672" s="2" t="str">
        <f t="shared" ref="C13672:C13703" si="535">"UN"</f>
        <v>UN</v>
      </c>
      <c r="D13672" s="7">
        <v>601</v>
      </c>
      <c r="E13672" s="3">
        <v>8</v>
      </c>
      <c r="F13672" s="3">
        <v>8</v>
      </c>
      <c r="G13672" t="s">
        <v>512</v>
      </c>
    </row>
    <row r="13673" spans="1:7" x14ac:dyDescent="0.25">
      <c r="A13673" s="1" t="str">
        <f>"514669"</f>
        <v>514669</v>
      </c>
      <c r="B13673" s="2" t="str">
        <f>"KANODUTO CINZA 2"""</f>
        <v>KANODUTO CINZA 2"</v>
      </c>
      <c r="C13673" s="2" t="str">
        <f t="shared" si="535"/>
        <v>UN</v>
      </c>
      <c r="D13673" s="7">
        <v>601</v>
      </c>
      <c r="E13673" s="3">
        <v>8</v>
      </c>
      <c r="F13673" s="3">
        <v>8</v>
      </c>
      <c r="G13673" t="s">
        <v>513</v>
      </c>
    </row>
    <row r="13674" spans="1:7" x14ac:dyDescent="0.25">
      <c r="A13674" s="1" t="str">
        <f>"515462"</f>
        <v>515462</v>
      </c>
      <c r="B13674" s="2" t="str">
        <f>"KARPIR"</f>
        <v>KARPIR</v>
      </c>
      <c r="C13674" s="2" t="str">
        <f t="shared" si="535"/>
        <v>UN</v>
      </c>
      <c r="D13674" s="7">
        <v>401</v>
      </c>
      <c r="E13674" s="3">
        <v>4</v>
      </c>
      <c r="F13674" s="3">
        <v>4</v>
      </c>
      <c r="G13674" t="s">
        <v>514</v>
      </c>
    </row>
    <row r="13675" spans="1:7" x14ac:dyDescent="0.25">
      <c r="A13675" s="1" t="str">
        <f>"518675"</f>
        <v>518675</v>
      </c>
      <c r="B13675" s="2" t="str">
        <f>"KEFLEX 500MG C/ 8 COMP."</f>
        <v>KEFLEX 500MG C/ 8 COMP.</v>
      </c>
      <c r="C13675" s="2" t="str">
        <f t="shared" si="535"/>
        <v>UN</v>
      </c>
      <c r="D13675" s="7">
        <v>99999</v>
      </c>
      <c r="E13675" s="3">
        <v>99</v>
      </c>
      <c r="F13675" s="3">
        <v>99</v>
      </c>
      <c r="G13675" t="s">
        <v>514</v>
      </c>
    </row>
    <row r="13676" spans="1:7" x14ac:dyDescent="0.25">
      <c r="A13676" s="1" t="str">
        <f>"528170"</f>
        <v>528170</v>
      </c>
      <c r="B13676" s="2" t="str">
        <f>"KEYSTONE ATUADOR VÁLVULA DE ASSENTO F783 -F272 J/R/S 100-170"</f>
        <v>KEYSTONE ATUADOR VÁLVULA DE ASSENTO F783 -F272 J/R/S 100-170</v>
      </c>
      <c r="C13676" s="2" t="str">
        <f t="shared" si="535"/>
        <v>UN</v>
      </c>
      <c r="D13676" s="7">
        <v>918</v>
      </c>
      <c r="E13676" s="3">
        <v>11</v>
      </c>
      <c r="F13676" s="3">
        <v>11</v>
      </c>
      <c r="G13676" t="s">
        <v>514</v>
      </c>
    </row>
    <row r="13677" spans="1:7" x14ac:dyDescent="0.25">
      <c r="A13677" s="1" t="str">
        <f>"526294"</f>
        <v>526294</v>
      </c>
      <c r="B13677" s="2" t="str">
        <f>"KIBE ASSADO"</f>
        <v>KIBE ASSADO</v>
      </c>
      <c r="C13677" s="2" t="str">
        <f t="shared" si="535"/>
        <v>UN</v>
      </c>
      <c r="D13677" s="7">
        <v>99999</v>
      </c>
      <c r="E13677" s="3">
        <v>99</v>
      </c>
      <c r="F13677" s="3">
        <v>99</v>
      </c>
      <c r="G13677" t="s">
        <v>513</v>
      </c>
    </row>
    <row r="13678" spans="1:7" x14ac:dyDescent="0.25">
      <c r="A13678" s="1" t="str">
        <f>"524267"</f>
        <v>524267</v>
      </c>
      <c r="B13678" s="2" t="str">
        <f>"KINGSTON SSD A400 480GB 2 5 GRAVAÇÃO 320MBS"</f>
        <v>KINGSTON SSD A400 480GB 2 5 GRAVAÇÃO 320MBS</v>
      </c>
      <c r="C13678" s="2" t="str">
        <f t="shared" si="535"/>
        <v>UN</v>
      </c>
      <c r="D13678" s="7">
        <v>1300</v>
      </c>
      <c r="E13678" s="3">
        <v>13</v>
      </c>
      <c r="F13678" s="3">
        <v>13</v>
      </c>
      <c r="G13678" t="s">
        <v>512</v>
      </c>
    </row>
    <row r="13679" spans="1:7" x14ac:dyDescent="0.25">
      <c r="A13679" s="1" t="str">
        <f>"523885"</f>
        <v>523885</v>
      </c>
      <c r="B13679" s="2" t="str">
        <f>"KIR CONEXÃO USB DETECTORES BW. MARCA HONEYWELL"</f>
        <v>KIR CONEXÃO USB DETECTORES BW. MARCA HONEYWELL</v>
      </c>
      <c r="C13679" s="2" t="str">
        <f t="shared" si="535"/>
        <v>UN</v>
      </c>
      <c r="D13679" s="7">
        <v>501</v>
      </c>
      <c r="E13679" s="3">
        <v>5</v>
      </c>
      <c r="F13679" s="3">
        <v>5</v>
      </c>
      <c r="G13679" t="s">
        <v>513</v>
      </c>
    </row>
    <row r="13680" spans="1:7" x14ac:dyDescent="0.25">
      <c r="A13680" s="1" t="str">
        <f>"515495"</f>
        <v>515495</v>
      </c>
      <c r="B13680" s="2" t="str">
        <f>"KIT"</f>
        <v>KIT</v>
      </c>
      <c r="C13680" s="2" t="str">
        <f t="shared" si="535"/>
        <v>UN</v>
      </c>
      <c r="D13680" s="7">
        <v>704</v>
      </c>
      <c r="E13680" s="3">
        <v>9</v>
      </c>
      <c r="F13680" s="3">
        <v>9</v>
      </c>
      <c r="G13680" t="s">
        <v>514</v>
      </c>
    </row>
    <row r="13681" spans="1:7" x14ac:dyDescent="0.25">
      <c r="A13681" s="1" t="str">
        <f>"517028"</f>
        <v>517028</v>
      </c>
      <c r="B13681" s="2" t="str">
        <f>"KIT 10000HRS REDA RE100TE (VED+ROL)"</f>
        <v>KIT 10000HRS REDA RE100TE (VED+ROL)</v>
      </c>
      <c r="C13681" s="2" t="str">
        <f t="shared" si="535"/>
        <v>UN</v>
      </c>
      <c r="D13681" s="7">
        <v>918</v>
      </c>
      <c r="E13681" s="3">
        <v>11</v>
      </c>
      <c r="F13681" s="3">
        <v>11</v>
      </c>
      <c r="G13681" t="s">
        <v>514</v>
      </c>
    </row>
    <row r="13682" spans="1:7" x14ac:dyDescent="0.25">
      <c r="A13682" s="1" t="str">
        <f>"523959"</f>
        <v>523959</v>
      </c>
      <c r="B13682" s="2" t="str">
        <f>"KIT 3 LIXEIRAS POLIPROPILENO 25LT SOBRE BANDEJA 1003K/3"</f>
        <v>KIT 3 LIXEIRAS POLIPROPILENO 25LT SOBRE BANDEJA 1003K/3</v>
      </c>
      <c r="C13682" s="2" t="str">
        <f t="shared" si="535"/>
        <v>UN</v>
      </c>
      <c r="D13682" s="7">
        <v>400</v>
      </c>
      <c r="E13682" s="3">
        <v>4</v>
      </c>
      <c r="F13682" s="3">
        <v>4</v>
      </c>
      <c r="G13682" t="s">
        <v>514</v>
      </c>
    </row>
    <row r="13683" spans="1:7" x14ac:dyDescent="0.25">
      <c r="A13683" s="1" t="str">
        <f>"523514"</f>
        <v>523514</v>
      </c>
      <c r="B13683" s="2" t="str">
        <f>"KIT 301 ALCALINO AM"</f>
        <v>KIT 301 ALCALINO AM</v>
      </c>
      <c r="C13683" s="2" t="str">
        <f t="shared" si="535"/>
        <v>UN</v>
      </c>
      <c r="D13683" s="7">
        <v>99999</v>
      </c>
      <c r="E13683" s="3">
        <v>99</v>
      </c>
      <c r="F13683" s="3">
        <v>99</v>
      </c>
      <c r="G13683" t="s">
        <v>513</v>
      </c>
    </row>
    <row r="13684" spans="1:7" x14ac:dyDescent="0.25">
      <c r="A13684" s="1" t="str">
        <f>"573800"</f>
        <v>573800</v>
      </c>
      <c r="B13684" s="2" t="str">
        <f>"KIT 301 ALCALINO F"</f>
        <v>KIT 301 ALCALINO F</v>
      </c>
      <c r="C13684" s="2" t="str">
        <f t="shared" si="535"/>
        <v>UN</v>
      </c>
      <c r="D13684" s="7">
        <v>99999</v>
      </c>
      <c r="E13684" s="3">
        <v>99</v>
      </c>
      <c r="F13684" s="3">
        <v>99</v>
      </c>
      <c r="G13684" t="s">
        <v>513</v>
      </c>
    </row>
    <row r="13685" spans="1:7" x14ac:dyDescent="0.25">
      <c r="A13685" s="1" t="str">
        <f>"523512"</f>
        <v>523512</v>
      </c>
      <c r="B13685" s="2" t="str">
        <f>"KIT 317 QUATERNARIO"</f>
        <v>KIT 317 QUATERNARIO</v>
      </c>
      <c r="C13685" s="2" t="str">
        <f t="shared" si="535"/>
        <v>UN</v>
      </c>
      <c r="D13685" s="7">
        <v>99999</v>
      </c>
      <c r="E13685" s="3">
        <v>99</v>
      </c>
      <c r="F13685" s="3">
        <v>99</v>
      </c>
      <c r="G13685" t="s">
        <v>513</v>
      </c>
    </row>
    <row r="13686" spans="1:7" x14ac:dyDescent="0.25">
      <c r="A13686" s="1" t="str">
        <f>"573801"</f>
        <v>573801</v>
      </c>
      <c r="B13686" s="2" t="str">
        <f>"KIT 322 OXONIA"</f>
        <v>KIT 322 OXONIA</v>
      </c>
      <c r="C13686" s="2" t="str">
        <f t="shared" si="535"/>
        <v>UN</v>
      </c>
      <c r="D13686" s="7">
        <v>99999</v>
      </c>
      <c r="E13686" s="3">
        <v>99</v>
      </c>
      <c r="F13686" s="3">
        <v>99</v>
      </c>
      <c r="G13686" t="s">
        <v>512</v>
      </c>
    </row>
    <row r="13687" spans="1:7" x14ac:dyDescent="0.25">
      <c r="A13687" s="1" t="str">
        <f>"573799"</f>
        <v>573799</v>
      </c>
      <c r="B13687" s="2" t="str">
        <f>"KIT 327 ACIDO F"</f>
        <v>KIT 327 ACIDO F</v>
      </c>
      <c r="C13687" s="2" t="str">
        <f t="shared" si="535"/>
        <v>UN</v>
      </c>
      <c r="D13687" s="7">
        <v>99999</v>
      </c>
      <c r="E13687" s="3">
        <v>99</v>
      </c>
      <c r="F13687" s="3">
        <v>99</v>
      </c>
      <c r="G13687" t="s">
        <v>513</v>
      </c>
    </row>
    <row r="13688" spans="1:7" x14ac:dyDescent="0.25">
      <c r="A13688" s="1" t="str">
        <f>"523467"</f>
        <v>523467</v>
      </c>
      <c r="B13688" s="2" t="str">
        <f>"KIT 3X PLACAS LGX 8 POSIÇÕES LC/SC"</f>
        <v>KIT 3X PLACAS LGX 8 POSIÇÕES LC/SC</v>
      </c>
      <c r="C13688" s="2" t="str">
        <f t="shared" si="535"/>
        <v>UN</v>
      </c>
      <c r="D13688" s="7">
        <v>601</v>
      </c>
      <c r="E13688" s="3">
        <v>8</v>
      </c>
      <c r="F13688" s="3">
        <v>8</v>
      </c>
      <c r="G13688" t="s">
        <v>514</v>
      </c>
    </row>
    <row r="13689" spans="1:7" x14ac:dyDescent="0.25">
      <c r="A13689" s="1" t="str">
        <f>"521843"</f>
        <v>521843</v>
      </c>
      <c r="B13689" s="2" t="str">
        <f>"KIT ABAFADOR DE RUÍDOS PARA CAPACETES"</f>
        <v>KIT ABAFADOR DE RUÍDOS PARA CAPACETES</v>
      </c>
      <c r="C13689" s="2" t="str">
        <f t="shared" si="535"/>
        <v>UN</v>
      </c>
      <c r="D13689" s="7">
        <v>501</v>
      </c>
      <c r="E13689" s="3">
        <v>5</v>
      </c>
      <c r="F13689" s="3">
        <v>5</v>
      </c>
      <c r="G13689" t="s">
        <v>515</v>
      </c>
    </row>
    <row r="13690" spans="1:7" x14ac:dyDescent="0.25">
      <c r="A13690" s="1" t="str">
        <f>"523148"</f>
        <v>523148</v>
      </c>
      <c r="B13690" s="2" t="str">
        <f>"KIT ACESSORIOS BASE M040"</f>
        <v>KIT ACESSORIOS BASE M040</v>
      </c>
      <c r="C13690" s="2" t="str">
        <f t="shared" si="535"/>
        <v>UN</v>
      </c>
      <c r="D13690" s="7">
        <v>918</v>
      </c>
      <c r="E13690" s="3">
        <v>10</v>
      </c>
      <c r="F13690" s="3">
        <v>10</v>
      </c>
      <c r="G13690" t="s">
        <v>512</v>
      </c>
    </row>
    <row r="13691" spans="1:7" x14ac:dyDescent="0.25">
      <c r="A13691" s="1" t="str">
        <f>"526147"</f>
        <v>526147</v>
      </c>
      <c r="B13691" s="2" t="str">
        <f>"KIT ACIONAMENTO BOMBA DE CREME GTCM-340E"</f>
        <v>KIT ACIONAMENTO BOMBA DE CREME GTCM-340E</v>
      </c>
      <c r="C13691" s="2" t="str">
        <f t="shared" si="535"/>
        <v>UN</v>
      </c>
      <c r="D13691" s="7">
        <v>1300</v>
      </c>
      <c r="E13691" s="3">
        <v>13</v>
      </c>
      <c r="F13691" s="3">
        <v>13</v>
      </c>
      <c r="G13691" t="s">
        <v>516</v>
      </c>
    </row>
    <row r="13692" spans="1:7" x14ac:dyDescent="0.25">
      <c r="A13692" s="1" t="str">
        <f>"510652"</f>
        <v>510652</v>
      </c>
      <c r="B13692" s="2" t="str">
        <f>"KIT ACOPLAMENTO  422 - 42258"</f>
        <v>KIT ACOPLAMENTO  422 - 42258</v>
      </c>
      <c r="C13692" s="2" t="str">
        <f t="shared" si="535"/>
        <v>UN</v>
      </c>
      <c r="D13692" s="7">
        <v>918</v>
      </c>
      <c r="E13692" s="3">
        <v>11</v>
      </c>
      <c r="F13692" s="3">
        <v>11</v>
      </c>
      <c r="G13692" t="s">
        <v>515</v>
      </c>
    </row>
    <row r="13693" spans="1:7" x14ac:dyDescent="0.25">
      <c r="A13693" s="1" t="str">
        <f>"527981"</f>
        <v>527981</v>
      </c>
      <c r="B13693" s="2" t="str">
        <f>"KIT ADICIONAL POSICIONADORA"</f>
        <v>KIT ADICIONAL POSICIONADORA</v>
      </c>
      <c r="C13693" s="2" t="str">
        <f t="shared" si="535"/>
        <v>UN</v>
      </c>
      <c r="D13693" s="7">
        <v>812</v>
      </c>
      <c r="E13693" s="3">
        <v>11</v>
      </c>
      <c r="F13693" s="3">
        <v>11</v>
      </c>
      <c r="G13693" t="s">
        <v>514</v>
      </c>
    </row>
    <row r="13694" spans="1:7" x14ac:dyDescent="0.25">
      <c r="A13694" s="1" t="str">
        <f>"522270"</f>
        <v>522270</v>
      </c>
      <c r="B13694" s="2" t="str">
        <f>"KIT AIRBAGS P/ CAM. DE REFRIGERAÇÃO"</f>
        <v>KIT AIRBAGS P/ CAM. DE REFRIGERAÇÃO</v>
      </c>
      <c r="C13694" s="2" t="str">
        <f t="shared" si="535"/>
        <v>UN</v>
      </c>
      <c r="D13694" s="7">
        <v>99999</v>
      </c>
      <c r="E13694" s="3">
        <v>99</v>
      </c>
      <c r="F13694" s="3">
        <v>99</v>
      </c>
      <c r="G13694" t="s">
        <v>512</v>
      </c>
    </row>
    <row r="13695" spans="1:7" x14ac:dyDescent="0.25">
      <c r="A13695" s="1" t="str">
        <f>"3536"</f>
        <v>3536</v>
      </c>
      <c r="B13695" s="2" t="str">
        <f>"KIT ALCALINIDADE 10 A 4000 MG/L AL-DT"</f>
        <v>KIT ALCALINIDADE 10 A 4000 MG/L AL-DT</v>
      </c>
      <c r="C13695" s="2" t="str">
        <f t="shared" si="535"/>
        <v>UN</v>
      </c>
      <c r="D13695" s="7">
        <v>400</v>
      </c>
      <c r="E13695" s="3">
        <v>4</v>
      </c>
      <c r="F13695" s="3">
        <v>4</v>
      </c>
      <c r="G13695" t="s">
        <v>513</v>
      </c>
    </row>
    <row r="13696" spans="1:7" x14ac:dyDescent="0.25">
      <c r="A13696" s="1" t="str">
        <f>"508183"</f>
        <v>508183</v>
      </c>
      <c r="B13696" s="2" t="str">
        <f>"KIT AMORTECEDOR"</f>
        <v>KIT AMORTECEDOR</v>
      </c>
      <c r="C13696" s="2" t="str">
        <f t="shared" si="535"/>
        <v>UN</v>
      </c>
      <c r="D13696" s="7">
        <v>704</v>
      </c>
      <c r="E13696" s="3">
        <v>9</v>
      </c>
      <c r="F13696" s="3">
        <v>9</v>
      </c>
      <c r="G13696" t="s">
        <v>514</v>
      </c>
    </row>
    <row r="13697" spans="1:7" x14ac:dyDescent="0.25">
      <c r="A13697" s="1" t="str">
        <f>"528013"</f>
        <v>528013</v>
      </c>
      <c r="B13697" s="2" t="str">
        <f>"KIT ANALISE DE DIESEL"</f>
        <v>KIT ANALISE DE DIESEL</v>
      </c>
      <c r="C13697" s="2" t="str">
        <f t="shared" si="535"/>
        <v>UN</v>
      </c>
      <c r="D13697" s="7">
        <v>817</v>
      </c>
      <c r="E13697" s="3">
        <v>4</v>
      </c>
      <c r="F13697" s="3">
        <v>4</v>
      </c>
      <c r="G13697" t="s">
        <v>514</v>
      </c>
    </row>
    <row r="13698" spans="1:7" x14ac:dyDescent="0.25">
      <c r="A13698" s="1" t="str">
        <f>"523464"</f>
        <v>523464</v>
      </c>
      <c r="B13698" s="2" t="str">
        <f>"KIT ANCORAGEM/ACOMODAÇÃO"</f>
        <v>KIT ANCORAGEM/ACOMODAÇÃO</v>
      </c>
      <c r="C13698" s="2" t="str">
        <f t="shared" si="535"/>
        <v>UN</v>
      </c>
      <c r="D13698" s="7">
        <v>601</v>
      </c>
      <c r="E13698" s="3">
        <v>8</v>
      </c>
      <c r="F13698" s="3">
        <v>8</v>
      </c>
      <c r="G13698" t="s">
        <v>512</v>
      </c>
    </row>
    <row r="13699" spans="1:7" x14ac:dyDescent="0.25">
      <c r="A13699" s="1" t="str">
        <f>"2809"</f>
        <v>2809</v>
      </c>
      <c r="B13699" s="2" t="str">
        <f>"KIT ANTIBIOTICO (DELVOTEST)"</f>
        <v>KIT ANTIBIOTICO (DELVOTEST)</v>
      </c>
      <c r="C13699" s="2" t="str">
        <f t="shared" si="535"/>
        <v>UN</v>
      </c>
      <c r="D13699" s="7">
        <v>303</v>
      </c>
      <c r="E13699" s="3">
        <v>3</v>
      </c>
      <c r="F13699" s="3">
        <v>3</v>
      </c>
      <c r="G13699" t="s">
        <v>513</v>
      </c>
    </row>
    <row r="13700" spans="1:7" x14ac:dyDescent="0.25">
      <c r="A13700" s="1" t="str">
        <f>"335"</f>
        <v>335</v>
      </c>
      <c r="B13700" s="2" t="str">
        <f>"KIT ANTIBIOTICO SNAP BETALACTAN CX-100"</f>
        <v>KIT ANTIBIOTICO SNAP BETALACTAN CX-100</v>
      </c>
      <c r="C13700" s="2" t="str">
        <f t="shared" si="535"/>
        <v>UN</v>
      </c>
      <c r="D13700" s="7">
        <v>303</v>
      </c>
      <c r="E13700" s="3">
        <v>3</v>
      </c>
      <c r="F13700" s="3">
        <v>3</v>
      </c>
      <c r="G13700" t="s">
        <v>514</v>
      </c>
    </row>
    <row r="13701" spans="1:7" x14ac:dyDescent="0.25">
      <c r="A13701" s="1" t="str">
        <f>"523231"</f>
        <v>523231</v>
      </c>
      <c r="B13701" s="2" t="str">
        <f>"KIT AUTOMAÇÃO PORTA CF"</f>
        <v>KIT AUTOMAÇÃO PORTA CF</v>
      </c>
      <c r="C13701" s="2" t="str">
        <f t="shared" si="535"/>
        <v>UN</v>
      </c>
      <c r="D13701" s="7">
        <v>803</v>
      </c>
      <c r="E13701" s="3">
        <v>10</v>
      </c>
      <c r="F13701" s="3">
        <v>10</v>
      </c>
      <c r="G13701" t="s">
        <v>514</v>
      </c>
    </row>
    <row r="13702" spans="1:7" x14ac:dyDescent="0.25">
      <c r="A13702" s="1" t="str">
        <f>"523234"</f>
        <v>523234</v>
      </c>
      <c r="B13702" s="2" t="str">
        <f>"KIT AUTOMAÇÃO PORTA CF"</f>
        <v>KIT AUTOMAÇÃO PORTA CF</v>
      </c>
      <c r="C13702" s="2" t="str">
        <f t="shared" si="535"/>
        <v>UN</v>
      </c>
      <c r="D13702" s="7">
        <v>803</v>
      </c>
      <c r="E13702" s="3">
        <v>10</v>
      </c>
      <c r="F13702" s="3">
        <v>10</v>
      </c>
      <c r="G13702" t="s">
        <v>514</v>
      </c>
    </row>
    <row r="13703" spans="1:7" x14ac:dyDescent="0.25">
      <c r="A13703" s="1" t="str">
        <f>"523463"</f>
        <v>523463</v>
      </c>
      <c r="B13703" s="2" t="str">
        <f>"KIT BANDEJA EMENDA"</f>
        <v>KIT BANDEJA EMENDA</v>
      </c>
      <c r="C13703" s="2" t="str">
        <f t="shared" si="535"/>
        <v>UN</v>
      </c>
      <c r="D13703" s="7">
        <v>601</v>
      </c>
      <c r="E13703" s="3">
        <v>8</v>
      </c>
      <c r="F13703" s="3">
        <v>8</v>
      </c>
      <c r="G13703" t="s">
        <v>513</v>
      </c>
    </row>
    <row r="13704" spans="1:7" x14ac:dyDescent="0.25">
      <c r="A13704" s="1" t="str">
        <f>"514676"</f>
        <v>514676</v>
      </c>
      <c r="B13704" s="2" t="str">
        <f>"KIT BAR DIN 16"</f>
        <v>KIT BAR DIN 16</v>
      </c>
      <c r="C13704" s="2" t="str">
        <f t="shared" ref="C13704:C13730" si="536">"UN"</f>
        <v>UN</v>
      </c>
      <c r="D13704" s="7">
        <v>601</v>
      </c>
      <c r="E13704" s="3">
        <v>8</v>
      </c>
      <c r="F13704" s="3">
        <v>8</v>
      </c>
      <c r="G13704" t="s">
        <v>512</v>
      </c>
    </row>
    <row r="13705" spans="1:7" x14ac:dyDescent="0.25">
      <c r="A13705" s="1" t="str">
        <f>"514675"</f>
        <v>514675</v>
      </c>
      <c r="B13705" s="2" t="str">
        <f>"KIT BARRAMENTO TRIF 24DIN 150A 904542N"</f>
        <v>KIT BARRAMENTO TRIF 24DIN 150A 904542N</v>
      </c>
      <c r="C13705" s="2" t="str">
        <f t="shared" si="536"/>
        <v>UN</v>
      </c>
      <c r="D13705" s="7">
        <v>601</v>
      </c>
      <c r="E13705" s="3">
        <v>8</v>
      </c>
      <c r="F13705" s="3">
        <v>8</v>
      </c>
      <c r="G13705" t="s">
        <v>513</v>
      </c>
    </row>
    <row r="13706" spans="1:7" x14ac:dyDescent="0.25">
      <c r="A13706" s="1" t="str">
        <f>"511797"</f>
        <v>511797</v>
      </c>
      <c r="B13706" s="2" t="str">
        <f>"KIT BASE CADEIRA DIGITADOR"</f>
        <v>KIT BASE CADEIRA DIGITADOR</v>
      </c>
      <c r="C13706" s="2" t="str">
        <f t="shared" si="536"/>
        <v>UN</v>
      </c>
      <c r="D13706" s="7">
        <v>401</v>
      </c>
      <c r="E13706" s="3">
        <v>4</v>
      </c>
      <c r="F13706" s="3">
        <v>4</v>
      </c>
      <c r="G13706" t="s">
        <v>514</v>
      </c>
    </row>
    <row r="13707" spans="1:7" x14ac:dyDescent="0.25">
      <c r="A13707" s="1" t="str">
        <f>"511796"</f>
        <v>511796</v>
      </c>
      <c r="B13707" s="2" t="str">
        <f>"KIT BASE CADEIRA DIRETOR"</f>
        <v>KIT BASE CADEIRA DIRETOR</v>
      </c>
      <c r="C13707" s="2" t="str">
        <f t="shared" si="536"/>
        <v>UN</v>
      </c>
      <c r="D13707" s="7">
        <v>401</v>
      </c>
      <c r="E13707" s="3">
        <v>4</v>
      </c>
      <c r="F13707" s="3">
        <v>4</v>
      </c>
      <c r="G13707" t="s">
        <v>514</v>
      </c>
    </row>
    <row r="13708" spans="1:7" x14ac:dyDescent="0.25">
      <c r="A13708" s="1" t="str">
        <f>"513662"</f>
        <v>513662</v>
      </c>
      <c r="B13708" s="2" t="str">
        <f>"KIT BATENTE DIANTEIRO"</f>
        <v>KIT BATENTE DIANTEIRO</v>
      </c>
      <c r="C13708" s="2" t="str">
        <f t="shared" si="536"/>
        <v>UN</v>
      </c>
      <c r="D13708" s="7">
        <v>704</v>
      </c>
      <c r="E13708" s="3">
        <v>9</v>
      </c>
      <c r="F13708" s="3">
        <v>9</v>
      </c>
      <c r="G13708" t="s">
        <v>514</v>
      </c>
    </row>
    <row r="13709" spans="1:7" x14ac:dyDescent="0.25">
      <c r="A13709" s="1" t="str">
        <f>"513661"</f>
        <v>513661</v>
      </c>
      <c r="B13709" s="2" t="str">
        <f>"KIT BATENTE TRASEIRO"</f>
        <v>KIT BATENTE TRASEIRO</v>
      </c>
      <c r="C13709" s="2" t="str">
        <f t="shared" si="536"/>
        <v>UN</v>
      </c>
      <c r="D13709" s="7">
        <v>704</v>
      </c>
      <c r="E13709" s="3">
        <v>9</v>
      </c>
      <c r="F13709" s="3">
        <v>9</v>
      </c>
      <c r="G13709" t="s">
        <v>513</v>
      </c>
    </row>
    <row r="13710" spans="1:7" x14ac:dyDescent="0.25">
      <c r="A13710" s="1" t="str">
        <f>"1579"</f>
        <v>1579</v>
      </c>
      <c r="B13710" s="2" t="str">
        <f>"KIT BEB LAC FERM MISTO 5 X180G BIBI BITS"</f>
        <v>KIT BEB LAC FERM MISTO 5 X180G BIBI BITS</v>
      </c>
      <c r="C13710" s="2" t="str">
        <f t="shared" si="536"/>
        <v>UN</v>
      </c>
      <c r="D13710" s="7">
        <v>46</v>
      </c>
      <c r="E13710" s="3">
        <v>6</v>
      </c>
      <c r="F13710" s="3">
        <v>6</v>
      </c>
      <c r="G13710" t="s">
        <v>513</v>
      </c>
    </row>
    <row r="13711" spans="1:7" x14ac:dyDescent="0.25">
      <c r="A13711" s="1" t="str">
        <f>"1577"</f>
        <v>1577</v>
      </c>
      <c r="B13711" s="2" t="str">
        <f>"KIT BEB LAC FERM MOR 5 X180G BIBI BITS"</f>
        <v>KIT BEB LAC FERM MOR 5 X180G BIBI BITS</v>
      </c>
      <c r="C13711" s="2" t="str">
        <f t="shared" si="536"/>
        <v>UN</v>
      </c>
      <c r="D13711" s="7">
        <v>46</v>
      </c>
      <c r="E13711" s="3">
        <v>6</v>
      </c>
      <c r="F13711" s="3">
        <v>6</v>
      </c>
      <c r="G13711" t="s">
        <v>513</v>
      </c>
    </row>
    <row r="13712" spans="1:7" x14ac:dyDescent="0.25">
      <c r="A13712" s="1" t="str">
        <f>"1578"</f>
        <v>1578</v>
      </c>
      <c r="B13712" s="2" t="str">
        <f>"KIT BEB LAC FERM SAL 5 X180G BIBI BITS"</f>
        <v>KIT BEB LAC FERM SAL 5 X180G BIBI BITS</v>
      </c>
      <c r="C13712" s="2" t="str">
        <f t="shared" si="536"/>
        <v>UN</v>
      </c>
      <c r="D13712" s="7">
        <v>46</v>
      </c>
      <c r="E13712" s="3">
        <v>6</v>
      </c>
      <c r="F13712" s="3">
        <v>6</v>
      </c>
      <c r="G13712" t="s">
        <v>512</v>
      </c>
    </row>
    <row r="13713" spans="1:7" x14ac:dyDescent="0.25">
      <c r="A13713" s="1" t="str">
        <f>"516913"</f>
        <v>516913</v>
      </c>
      <c r="B13713" s="2" t="str">
        <f>"KIT BOBINA FREIO WEG 112M 10023974 220V"</f>
        <v>KIT BOBINA FREIO WEG 112M 10023974 220V</v>
      </c>
      <c r="C13713" s="2" t="str">
        <f t="shared" si="536"/>
        <v>UN</v>
      </c>
      <c r="D13713" s="7">
        <v>811</v>
      </c>
      <c r="E13713" s="3">
        <v>8</v>
      </c>
      <c r="F13713" s="3">
        <v>8</v>
      </c>
      <c r="G13713" t="s">
        <v>513</v>
      </c>
    </row>
    <row r="13714" spans="1:7" x14ac:dyDescent="0.25">
      <c r="A13714" s="1" t="str">
        <f>"528093"</f>
        <v>528093</v>
      </c>
      <c r="B13714" s="2" t="str">
        <f>"KIT BRASIL EXCLUSIVE - IN77 - BIOEASY"</f>
        <v>KIT BRASIL EXCLUSIVE - IN77 - BIOEASY</v>
      </c>
      <c r="C13714" s="2" t="str">
        <f t="shared" si="536"/>
        <v>UN</v>
      </c>
      <c r="D13714" s="7">
        <v>406</v>
      </c>
      <c r="E13714" s="3">
        <v>4</v>
      </c>
      <c r="F13714" s="3">
        <v>4</v>
      </c>
      <c r="G13714" t="s">
        <v>514</v>
      </c>
    </row>
    <row r="13715" spans="1:7" x14ac:dyDescent="0.25">
      <c r="A13715" s="1" t="str">
        <f>"517824"</f>
        <v>517824</v>
      </c>
      <c r="B13715" s="2" t="str">
        <f>"KIT CABOS P/ ENCODER/POTENCIA 3 METROS 750W"</f>
        <v>KIT CABOS P/ ENCODER/POTENCIA 3 METROS 750W</v>
      </c>
      <c r="C13715" s="2" t="str">
        <f t="shared" si="536"/>
        <v>UN</v>
      </c>
      <c r="D13715" s="7">
        <v>811</v>
      </c>
      <c r="E13715" s="3">
        <v>8</v>
      </c>
      <c r="F13715" s="3">
        <v>8</v>
      </c>
      <c r="G13715" t="s">
        <v>515</v>
      </c>
    </row>
    <row r="13716" spans="1:7" x14ac:dyDescent="0.25">
      <c r="A13716" s="1" t="str">
        <f>"517141"</f>
        <v>517141</v>
      </c>
      <c r="B13716" s="2" t="str">
        <f>"KIT CADEIRA GR 1801 FIXA S/ BRAÇO"</f>
        <v>KIT CADEIRA GR 1801 FIXA S/ BRAÇO</v>
      </c>
      <c r="C13716" s="2" t="str">
        <f t="shared" si="536"/>
        <v>UN</v>
      </c>
      <c r="D13716" s="7">
        <v>1200</v>
      </c>
      <c r="E13716" s="3">
        <v>4</v>
      </c>
      <c r="F13716" s="3">
        <v>4</v>
      </c>
      <c r="G13716" t="s">
        <v>512</v>
      </c>
    </row>
    <row r="13717" spans="1:7" x14ac:dyDescent="0.25">
      <c r="A13717" s="1" t="str">
        <f>"526153"</f>
        <v>526153</v>
      </c>
      <c r="B13717" s="2" t="str">
        <f>"KIT CAIXA DE LUZ C/ SUPORTE REGUL. LAJE"</f>
        <v>KIT CAIXA DE LUZ C/ SUPORTE REGUL. LAJE</v>
      </c>
      <c r="C13717" s="2" t="str">
        <f t="shared" si="536"/>
        <v>UN</v>
      </c>
      <c r="D13717" s="7">
        <v>917</v>
      </c>
      <c r="E13717" s="3">
        <v>11</v>
      </c>
      <c r="F13717" s="3">
        <v>11</v>
      </c>
      <c r="G13717" t="s">
        <v>516</v>
      </c>
    </row>
    <row r="13718" spans="1:7" x14ac:dyDescent="0.25">
      <c r="A13718" s="1" t="str">
        <f>"509982"</f>
        <v>509982</v>
      </c>
      <c r="B13718" s="2" t="str">
        <f>"KIT CARENAGEM PORTA CI"</f>
        <v>KIT CARENAGEM PORTA CI</v>
      </c>
      <c r="C13718" s="2" t="str">
        <f t="shared" si="536"/>
        <v>UN</v>
      </c>
      <c r="D13718" s="7">
        <v>1700</v>
      </c>
      <c r="E13718" s="3">
        <v>13</v>
      </c>
      <c r="F13718" s="3">
        <v>13</v>
      </c>
      <c r="G13718" t="s">
        <v>515</v>
      </c>
    </row>
    <row r="13719" spans="1:7" x14ac:dyDescent="0.25">
      <c r="A13719" s="1" t="str">
        <f>"512950"</f>
        <v>512950</v>
      </c>
      <c r="B13719" s="2" t="str">
        <f>"KIT C-GMP OPERON (1 CAIXA COM 5 TESTES)"</f>
        <v>KIT C-GMP OPERON (1 CAIXA COM 5 TESTES)</v>
      </c>
      <c r="C13719" s="2" t="str">
        <f t="shared" si="536"/>
        <v>UN</v>
      </c>
      <c r="D13719" s="7">
        <v>406</v>
      </c>
      <c r="E13719" s="3">
        <v>4</v>
      </c>
      <c r="F13719" s="3">
        <v>4</v>
      </c>
      <c r="G13719" t="s">
        <v>514</v>
      </c>
    </row>
    <row r="13720" spans="1:7" x14ac:dyDescent="0.25">
      <c r="A13720" s="1" t="str">
        <f>"527505"</f>
        <v>527505</v>
      </c>
      <c r="B13720" s="2" t="str">
        <f>"KIT CHARM ED BRASIL 100UN HX0066-00465"</f>
        <v>KIT CHARM ED BRASIL 100UN HX0066-00465</v>
      </c>
      <c r="C13720" s="2" t="str">
        <f t="shared" si="536"/>
        <v>UN</v>
      </c>
      <c r="D13720" s="7">
        <v>303</v>
      </c>
      <c r="E13720" s="3">
        <v>3</v>
      </c>
      <c r="F13720" s="3">
        <v>3</v>
      </c>
      <c r="G13720" t="s">
        <v>512</v>
      </c>
    </row>
    <row r="13721" spans="1:7" x14ac:dyDescent="0.25">
      <c r="A13721" s="1" t="str">
        <f>"7028"</f>
        <v>7028</v>
      </c>
      <c r="B13721" s="2" t="str">
        <f>"KIT CHARM MRLBLTET 2MIN CX-100 UNIDADES ESPECIAL"</f>
        <v>KIT CHARM MRLBLTET 2MIN CX-100 UNIDADES ESPECIAL</v>
      </c>
      <c r="C13721" s="2" t="str">
        <f t="shared" si="536"/>
        <v>UN</v>
      </c>
      <c r="D13721" s="7">
        <v>303</v>
      </c>
      <c r="E13721" s="3">
        <v>3</v>
      </c>
      <c r="F13721" s="3">
        <v>3</v>
      </c>
      <c r="G13721" t="s">
        <v>513</v>
      </c>
    </row>
    <row r="13722" spans="1:7" x14ac:dyDescent="0.25">
      <c r="A13722" s="1" t="str">
        <f>"523795"</f>
        <v>523795</v>
      </c>
      <c r="B13722" s="2" t="str">
        <f>"KIT CHURRASCO"</f>
        <v>KIT CHURRASCO</v>
      </c>
      <c r="C13722" s="2" t="str">
        <f t="shared" si="536"/>
        <v>UN</v>
      </c>
      <c r="D13722" s="7">
        <v>99999</v>
      </c>
      <c r="E13722" s="3">
        <v>99</v>
      </c>
      <c r="F13722" s="3">
        <v>99</v>
      </c>
      <c r="G13722" t="s">
        <v>514</v>
      </c>
    </row>
    <row r="13723" spans="1:7" x14ac:dyDescent="0.25">
      <c r="A13723" s="1" t="str">
        <f>"527211"</f>
        <v>527211</v>
      </c>
      <c r="B13723" s="2" t="str">
        <f>"KIT CLD18 SENSOR STANDARD LENGTH"</f>
        <v>KIT CLD18 SENSOR STANDARD LENGTH</v>
      </c>
      <c r="C13723" s="2" t="str">
        <f t="shared" si="536"/>
        <v>UN</v>
      </c>
      <c r="D13723" s="7">
        <v>600</v>
      </c>
      <c r="E13723" s="3">
        <v>8</v>
      </c>
      <c r="F13723" s="3">
        <v>8</v>
      </c>
      <c r="G13723" t="s">
        <v>514</v>
      </c>
    </row>
    <row r="13724" spans="1:7" x14ac:dyDescent="0.25">
      <c r="A13724" s="1" t="str">
        <f>"511504"</f>
        <v>511504</v>
      </c>
      <c r="B13724" s="2" t="str">
        <f>"KIT COL C/2090I COL 0,50M TUB 90 C36101"</f>
        <v>KIT COL C/2090I COL 0,50M TUB 90 C36101</v>
      </c>
      <c r="C13724" s="2" t="str">
        <f t="shared" si="536"/>
        <v>UN</v>
      </c>
      <c r="D13724" s="7">
        <v>402</v>
      </c>
      <c r="E13724" s="3">
        <v>4</v>
      </c>
      <c r="F13724" s="3">
        <v>4</v>
      </c>
      <c r="G13724" t="s">
        <v>512</v>
      </c>
    </row>
    <row r="13725" spans="1:7" x14ac:dyDescent="0.25">
      <c r="A13725" s="1" t="str">
        <f>"522682"</f>
        <v>522682</v>
      </c>
      <c r="B13725" s="2" t="str">
        <f>"KIT COLETA LEITE"</f>
        <v>KIT COLETA LEITE</v>
      </c>
      <c r="C13725" s="2" t="str">
        <f t="shared" si="536"/>
        <v>UN</v>
      </c>
      <c r="D13725" s="7">
        <v>918</v>
      </c>
      <c r="E13725" s="3">
        <v>11</v>
      </c>
      <c r="F13725" s="3">
        <v>11</v>
      </c>
      <c r="G13725" t="s">
        <v>513</v>
      </c>
    </row>
    <row r="13726" spans="1:7" x14ac:dyDescent="0.25">
      <c r="A13726" s="1" t="str">
        <f>"522846"</f>
        <v>522846</v>
      </c>
      <c r="B13726" s="2" t="str">
        <f>"KIT COM 10 COPOS PARA ARMAZENAR LEITE 180ML - AVENT"</f>
        <v>KIT COM 10 COPOS PARA ARMAZENAR LEITE 180ML - AVENT</v>
      </c>
      <c r="C13726" s="2" t="str">
        <f t="shared" si="536"/>
        <v>UN</v>
      </c>
      <c r="D13726" s="7">
        <v>406</v>
      </c>
      <c r="E13726" s="3">
        <v>4</v>
      </c>
      <c r="F13726" s="3">
        <v>4</v>
      </c>
      <c r="G13726" t="s">
        <v>514</v>
      </c>
    </row>
    <row r="13727" spans="1:7" x14ac:dyDescent="0.25">
      <c r="A13727" s="1" t="str">
        <f>"7029"</f>
        <v>7029</v>
      </c>
      <c r="B13727" s="2" t="str">
        <f>"KIT COMBO DETECÇÃO BETA E TETRA EM LEITE (CX C/ 100 TESTES)"</f>
        <v>KIT COMBO DETECÇÃO BETA E TETRA EM LEITE (CX C/ 100 TESTES)</v>
      </c>
      <c r="C13727" s="2" t="str">
        <f t="shared" si="536"/>
        <v>UN</v>
      </c>
      <c r="D13727" s="7">
        <v>303</v>
      </c>
      <c r="E13727" s="3">
        <v>3</v>
      </c>
      <c r="F13727" s="3">
        <v>3</v>
      </c>
      <c r="G13727" t="s">
        <v>514</v>
      </c>
    </row>
    <row r="13728" spans="1:7" x14ac:dyDescent="0.25">
      <c r="A13728" s="1" t="str">
        <f>"514406"</f>
        <v>514406</v>
      </c>
      <c r="B13728" s="2" t="str">
        <f>"KIT COMPACTO 25W"</f>
        <v>KIT COMPACTO 25W</v>
      </c>
      <c r="C13728" s="2" t="str">
        <f t="shared" si="536"/>
        <v>UN</v>
      </c>
      <c r="D13728" s="7">
        <v>803</v>
      </c>
      <c r="E13728" s="3">
        <v>4</v>
      </c>
      <c r="F13728" s="3">
        <v>4</v>
      </c>
      <c r="G13728" t="s">
        <v>514</v>
      </c>
    </row>
    <row r="13729" spans="1:7" x14ac:dyDescent="0.25">
      <c r="A13729" s="1" t="str">
        <f>"505751"</f>
        <v>505751</v>
      </c>
      <c r="B13729" s="2" t="str">
        <f>"KIT COMPLETO O'RING NITRILICO"</f>
        <v>KIT COMPLETO O'RING NITRILICO</v>
      </c>
      <c r="C13729" s="2" t="str">
        <f t="shared" si="536"/>
        <v>UN</v>
      </c>
      <c r="D13729" s="7">
        <v>402</v>
      </c>
      <c r="E13729" s="3">
        <v>4</v>
      </c>
      <c r="F13729" s="3">
        <v>4</v>
      </c>
      <c r="G13729" t="s">
        <v>513</v>
      </c>
    </row>
    <row r="13730" spans="1:7" x14ac:dyDescent="0.25">
      <c r="A13730" s="1" t="str">
        <f>"527708"</f>
        <v>527708</v>
      </c>
      <c r="B13730" s="2" t="str">
        <f>"KIT CONTATO DC 182 PARA CONTATORA EMPILHADEIRA ELETRICA"</f>
        <v>KIT CONTATO DC 182 PARA CONTATORA EMPILHADEIRA ELETRICA</v>
      </c>
      <c r="C13730" s="2" t="str">
        <f t="shared" si="536"/>
        <v>UN</v>
      </c>
      <c r="D13730" s="7">
        <v>811</v>
      </c>
      <c r="E13730" s="3">
        <v>8</v>
      </c>
      <c r="F13730" s="3">
        <v>8</v>
      </c>
      <c r="G13730" t="s">
        <v>512</v>
      </c>
    </row>
    <row r="13731" spans="1:7" x14ac:dyDescent="0.25">
      <c r="A13731" s="1" t="str">
        <f>"510449"</f>
        <v>510449</v>
      </c>
      <c r="B13731" s="2" t="str">
        <f>"KIT CORREIA K4M"</f>
        <v>KIT CORREIA K4M</v>
      </c>
      <c r="C13731" s="2" t="str">
        <f>"PC"</f>
        <v>PC</v>
      </c>
      <c r="D13731" s="7">
        <v>911</v>
      </c>
      <c r="E13731" s="3">
        <v>11</v>
      </c>
      <c r="F13731" s="3">
        <v>11</v>
      </c>
      <c r="G13731" t="s">
        <v>513</v>
      </c>
    </row>
    <row r="13732" spans="1:7" x14ac:dyDescent="0.25">
      <c r="A13732" s="1" t="str">
        <f>"507902"</f>
        <v>507902</v>
      </c>
      <c r="B13732" s="2" t="str">
        <f>"KIT DE CAPAS EM COUROS"</f>
        <v>KIT DE CAPAS EM COUROS</v>
      </c>
      <c r="C13732" s="2" t="str">
        <f>"UN"</f>
        <v>UN</v>
      </c>
      <c r="D13732" s="7">
        <v>704</v>
      </c>
      <c r="E13732" s="3">
        <v>9</v>
      </c>
      <c r="F13732" s="3">
        <v>9</v>
      </c>
      <c r="G13732" t="s">
        <v>514</v>
      </c>
    </row>
    <row r="13733" spans="1:7" x14ac:dyDescent="0.25">
      <c r="A13733" s="1" t="str">
        <f>"521905"</f>
        <v>521905</v>
      </c>
      <c r="B13733" s="8" t="s">
        <v>248</v>
      </c>
      <c r="C13733" s="2" t="str">
        <f>"UN"</f>
        <v>UN</v>
      </c>
      <c r="D13733" s="7">
        <v>920</v>
      </c>
      <c r="E13733" s="3">
        <v>13</v>
      </c>
      <c r="F13733" s="3">
        <v>13</v>
      </c>
      <c r="G13733" t="s">
        <v>514</v>
      </c>
    </row>
    <row r="13734" spans="1:7" x14ac:dyDescent="0.25">
      <c r="A13734" s="1" t="str">
        <f>"521167"</f>
        <v>521167</v>
      </c>
      <c r="B13734" s="2" t="str">
        <f>"KIT DE FILTROS PARA IP55 PARA IMPRESSORA CIJ VJ1000"</f>
        <v>KIT DE FILTROS PARA IP55 PARA IMPRESSORA CIJ VJ1000</v>
      </c>
      <c r="C13734" s="2" t="str">
        <f>"LT"</f>
        <v>LT</v>
      </c>
      <c r="D13734" s="7">
        <v>305</v>
      </c>
      <c r="E13734" s="3">
        <v>3</v>
      </c>
      <c r="F13734" s="3">
        <v>3</v>
      </c>
      <c r="G13734" t="s">
        <v>514</v>
      </c>
    </row>
    <row r="13735" spans="1:7" x14ac:dyDescent="0.25">
      <c r="A13735" s="1" t="str">
        <f>"524752"</f>
        <v>524752</v>
      </c>
      <c r="B13735" s="2" t="str">
        <f>"KIT DE FIXAÇÃO DIAM. 25MM L194448 SPX"</f>
        <v>KIT DE FIXAÇÃO DIAM. 25MM L194448 SPX</v>
      </c>
      <c r="C13735" s="2" t="str">
        <f t="shared" ref="C13735:C13755" si="537">"UN"</f>
        <v>UN</v>
      </c>
      <c r="D13735" s="7">
        <v>807</v>
      </c>
      <c r="E13735" s="3">
        <v>11</v>
      </c>
      <c r="F13735" s="3">
        <v>11</v>
      </c>
      <c r="G13735" t="s">
        <v>513</v>
      </c>
    </row>
    <row r="13736" spans="1:7" x14ac:dyDescent="0.25">
      <c r="A13736" s="1" t="str">
        <f>"524737"</f>
        <v>524737</v>
      </c>
      <c r="B13736" s="2" t="str">
        <f>"KIT DE FIXAÇÃO DIAM. 25MM L772460 SPX"</f>
        <v>KIT DE FIXAÇÃO DIAM. 25MM L772460 SPX</v>
      </c>
      <c r="C13736" s="2" t="str">
        <f t="shared" si="537"/>
        <v>UN</v>
      </c>
      <c r="D13736" s="7">
        <v>807</v>
      </c>
      <c r="E13736" s="3">
        <v>11</v>
      </c>
      <c r="F13736" s="3">
        <v>11</v>
      </c>
      <c r="G13736" t="s">
        <v>513</v>
      </c>
    </row>
    <row r="13737" spans="1:7" x14ac:dyDescent="0.25">
      <c r="A13737" s="1" t="str">
        <f>"513978"</f>
        <v>513978</v>
      </c>
      <c r="B13737" s="2" t="str">
        <f>"KIT DE LACRE AT"</f>
        <v>KIT DE LACRE AT</v>
      </c>
      <c r="C13737" s="2" t="str">
        <f t="shared" si="537"/>
        <v>UN</v>
      </c>
      <c r="D13737" s="7">
        <v>811</v>
      </c>
      <c r="E13737" s="3">
        <v>11</v>
      </c>
      <c r="F13737" s="3">
        <v>11</v>
      </c>
      <c r="G13737" t="s">
        <v>513</v>
      </c>
    </row>
    <row r="13738" spans="1:7" x14ac:dyDescent="0.25">
      <c r="A13738" s="1" t="str">
        <f>"524741"</f>
        <v>524741</v>
      </c>
      <c r="B13738" s="2" t="str">
        <f>"KIT DE O-RING EPDM L808620 SPX"</f>
        <v>KIT DE O-RING EPDM L808620 SPX</v>
      </c>
      <c r="C13738" s="2" t="str">
        <f t="shared" si="537"/>
        <v>UN</v>
      </c>
      <c r="D13738" s="7">
        <v>807</v>
      </c>
      <c r="E13738" s="3">
        <v>11</v>
      </c>
      <c r="F13738" s="3">
        <v>11</v>
      </c>
      <c r="G13738" t="s">
        <v>512</v>
      </c>
    </row>
    <row r="13739" spans="1:7" x14ac:dyDescent="0.25">
      <c r="A13739" s="1" t="str">
        <f>"524739"</f>
        <v>524739</v>
      </c>
      <c r="B13739" s="2" t="str">
        <f>"KIT DE O-RING EPDM L808761 SPX"</f>
        <v>KIT DE O-RING EPDM L808761 SPX</v>
      </c>
      <c r="C13739" s="2" t="str">
        <f t="shared" si="537"/>
        <v>UN</v>
      </c>
      <c r="D13739" s="7">
        <v>807</v>
      </c>
      <c r="E13739" s="3">
        <v>11</v>
      </c>
      <c r="F13739" s="3">
        <v>11</v>
      </c>
      <c r="G13739" t="s">
        <v>513</v>
      </c>
    </row>
    <row r="13740" spans="1:7" x14ac:dyDescent="0.25">
      <c r="A13740" s="1" t="str">
        <f>"524736"</f>
        <v>524736</v>
      </c>
      <c r="B13740" s="2" t="str">
        <f>"KIT DE O-RING EPDM L808762 SPX"</f>
        <v>KIT DE O-RING EPDM L808762 SPX</v>
      </c>
      <c r="C13740" s="2" t="str">
        <f t="shared" si="537"/>
        <v>UN</v>
      </c>
      <c r="D13740" s="7">
        <v>807</v>
      </c>
      <c r="E13740" s="3">
        <v>11</v>
      </c>
      <c r="F13740" s="3">
        <v>11</v>
      </c>
      <c r="G13740" t="s">
        <v>514</v>
      </c>
    </row>
    <row r="13741" spans="1:7" x14ac:dyDescent="0.25">
      <c r="A13741" s="1" t="str">
        <f>"524747"</f>
        <v>524747</v>
      </c>
      <c r="B13741" s="2" t="str">
        <f>"KIT DE O-RING EPDM L808771 SPX"</f>
        <v>KIT DE O-RING EPDM L808771 SPX</v>
      </c>
      <c r="C13741" s="2" t="str">
        <f t="shared" si="537"/>
        <v>UN</v>
      </c>
      <c r="D13741" s="7">
        <v>807</v>
      </c>
      <c r="E13741" s="3">
        <v>11</v>
      </c>
      <c r="F13741" s="3">
        <v>11</v>
      </c>
      <c r="G13741" t="s">
        <v>515</v>
      </c>
    </row>
    <row r="13742" spans="1:7" x14ac:dyDescent="0.25">
      <c r="A13742" s="1" t="str">
        <f>"509131"</f>
        <v>509131</v>
      </c>
      <c r="B13742" s="2" t="str">
        <f>"KIT DE PECAS MYCOM N4/A"</f>
        <v>KIT DE PECAS MYCOM N4/A</v>
      </c>
      <c r="C13742" s="2" t="str">
        <f t="shared" si="537"/>
        <v>UN</v>
      </c>
      <c r="D13742" s="7">
        <v>918</v>
      </c>
      <c r="E13742" s="3">
        <v>11</v>
      </c>
      <c r="F13742" s="3">
        <v>11</v>
      </c>
      <c r="G13742" t="s">
        <v>512</v>
      </c>
    </row>
    <row r="13743" spans="1:7" x14ac:dyDescent="0.25">
      <c r="A13743" s="1" t="str">
        <f>"513068"</f>
        <v>513068</v>
      </c>
      <c r="B13743" s="2" t="str">
        <f>"KIT DE PECAS SABROE 100"</f>
        <v>KIT DE PECAS SABROE 100</v>
      </c>
      <c r="C13743" s="2" t="str">
        <f t="shared" si="537"/>
        <v>UN</v>
      </c>
      <c r="D13743" s="7">
        <v>918</v>
      </c>
      <c r="E13743" s="3">
        <v>11</v>
      </c>
      <c r="F13743" s="3">
        <v>11</v>
      </c>
      <c r="G13743" t="s">
        <v>516</v>
      </c>
    </row>
    <row r="13744" spans="1:7" x14ac:dyDescent="0.25">
      <c r="A13744" s="1" t="str">
        <f>"527842"</f>
        <v>527842</v>
      </c>
      <c r="B13744" s="2" t="str">
        <f>"KIT DE PESAGEM COM CÉLULAS DE CARGA MODELO TTB-LG 10T"</f>
        <v>KIT DE PESAGEM COM CÉLULAS DE CARGA MODELO TTB-LG 10T</v>
      </c>
      <c r="C13744" s="2" t="str">
        <f t="shared" si="537"/>
        <v>UN</v>
      </c>
      <c r="D13744" s="7">
        <v>1500</v>
      </c>
      <c r="E13744" s="3">
        <v>13</v>
      </c>
      <c r="F13744" s="3">
        <v>13</v>
      </c>
      <c r="G13744" t="s">
        <v>515</v>
      </c>
    </row>
    <row r="13745" spans="1:7" x14ac:dyDescent="0.25">
      <c r="A13745" s="1" t="str">
        <f>"528076"</f>
        <v>528076</v>
      </c>
      <c r="B13745" s="2" t="str">
        <f>"KIT DE PLACAS E PORTA COPOS"</f>
        <v>KIT DE PLACAS E PORTA COPOS</v>
      </c>
      <c r="C13745" s="2" t="str">
        <f t="shared" si="537"/>
        <v>UN</v>
      </c>
      <c r="D13745" s="7">
        <v>918</v>
      </c>
      <c r="E13745" s="3">
        <v>11</v>
      </c>
      <c r="F13745" s="3">
        <v>11</v>
      </c>
      <c r="G13745" t="s">
        <v>514</v>
      </c>
    </row>
    <row r="13746" spans="1:7" x14ac:dyDescent="0.25">
      <c r="A13746" s="1" t="str">
        <f>"525474"</f>
        <v>525474</v>
      </c>
      <c r="B13746" s="8" t="s">
        <v>454</v>
      </c>
      <c r="C13746" s="2" t="str">
        <f t="shared" si="537"/>
        <v>UN</v>
      </c>
      <c r="D13746" s="7">
        <v>918</v>
      </c>
      <c r="E13746" s="3">
        <v>11</v>
      </c>
      <c r="F13746" s="3">
        <v>11</v>
      </c>
      <c r="G13746" t="s">
        <v>512</v>
      </c>
    </row>
    <row r="13747" spans="1:7" x14ac:dyDescent="0.25">
      <c r="A13747" s="1" t="str">
        <f>"522286"</f>
        <v>522286</v>
      </c>
      <c r="B13747" s="8" t="s">
        <v>288</v>
      </c>
      <c r="C13747" s="2" t="str">
        <f t="shared" si="537"/>
        <v>UN</v>
      </c>
      <c r="D13747" s="7">
        <v>913</v>
      </c>
      <c r="E13747" s="3">
        <v>10</v>
      </c>
      <c r="F13747" s="3">
        <v>10</v>
      </c>
      <c r="G13747" t="s">
        <v>513</v>
      </c>
    </row>
    <row r="13748" spans="1:7" x14ac:dyDescent="0.25">
      <c r="A13748" s="1" t="str">
        <f>"527005"</f>
        <v>527005</v>
      </c>
      <c r="B13748" s="2" t="str">
        <f>"KIT DE VEDAÇÃO DECANTER GRATT GMT 355 G"</f>
        <v>KIT DE VEDAÇÃO DECANTER GRATT GMT 355 G</v>
      </c>
      <c r="C13748" s="2" t="str">
        <f t="shared" si="537"/>
        <v>UN</v>
      </c>
      <c r="D13748" s="7">
        <v>704</v>
      </c>
      <c r="E13748" s="3">
        <v>9</v>
      </c>
      <c r="F13748" s="3">
        <v>9</v>
      </c>
      <c r="G13748" t="s">
        <v>514</v>
      </c>
    </row>
    <row r="13749" spans="1:7" x14ac:dyDescent="0.25">
      <c r="A13749" s="1" t="str">
        <f>"524720"</f>
        <v>524720</v>
      </c>
      <c r="B13749" s="2" t="str">
        <f>"KIT DE VEDAÇÃO P/ VALVUA DUPLA SEDE D624 OD 2"" EPDM 2308573"</f>
        <v>KIT DE VEDAÇÃO P/ VALVUA DUPLA SEDE D624 OD 2" EPDM 2308573</v>
      </c>
      <c r="C13749" s="2" t="str">
        <f t="shared" si="537"/>
        <v>UN</v>
      </c>
      <c r="D13749" s="7">
        <v>807</v>
      </c>
      <c r="E13749" s="3">
        <v>11</v>
      </c>
      <c r="F13749" s="3">
        <v>11</v>
      </c>
      <c r="G13749" t="s">
        <v>514</v>
      </c>
    </row>
    <row r="13750" spans="1:7" x14ac:dyDescent="0.25">
      <c r="A13750" s="1" t="str">
        <f>"524716"</f>
        <v>524716</v>
      </c>
      <c r="B13750" s="2" t="str">
        <f>"KIT DE VEDAÇÃO P/ VALVULA ASSENTO  OD 1 1/2"" EPDM 2140839"</f>
        <v>KIT DE VEDAÇÃO P/ VALVULA ASSENTO  OD 1 1/2" EPDM 2140839</v>
      </c>
      <c r="C13750" s="2" t="str">
        <f t="shared" si="537"/>
        <v>UN</v>
      </c>
      <c r="D13750" s="7">
        <v>807</v>
      </c>
      <c r="E13750" s="3">
        <v>11</v>
      </c>
      <c r="F13750" s="3">
        <v>11</v>
      </c>
      <c r="G13750" t="s">
        <v>512</v>
      </c>
    </row>
    <row r="13751" spans="1:7" x14ac:dyDescent="0.25">
      <c r="A13751" s="1" t="str">
        <f>"524717"</f>
        <v>524717</v>
      </c>
      <c r="B13751" s="2" t="str">
        <f>"KIT DE VEDAÇÃO P/ VALVULA ASSENTO  OD 2 1/2"" EPDM 2134574"</f>
        <v>KIT DE VEDAÇÃO P/ VALVULA ASSENTO  OD 2 1/2" EPDM 2134574</v>
      </c>
      <c r="C13751" s="2" t="str">
        <f t="shared" si="537"/>
        <v>UN</v>
      </c>
      <c r="D13751" s="7">
        <v>807</v>
      </c>
      <c r="E13751" s="3">
        <v>11</v>
      </c>
      <c r="F13751" s="3">
        <v>11</v>
      </c>
      <c r="G13751" t="s">
        <v>513</v>
      </c>
    </row>
    <row r="13752" spans="1:7" x14ac:dyDescent="0.25">
      <c r="A13752" s="1" t="str">
        <f>"524713"</f>
        <v>524713</v>
      </c>
      <c r="B13752" s="2" t="str">
        <f>"KIT DE VEDAÇÃO P/ VALVULA ASSENTO OD 2 1/2"" FKM 2044976"</f>
        <v>KIT DE VEDAÇÃO P/ VALVULA ASSENTO OD 2 1/2" FKM 2044976</v>
      </c>
      <c r="C13752" s="2" t="str">
        <f t="shared" si="537"/>
        <v>UN</v>
      </c>
      <c r="D13752" s="7">
        <v>807</v>
      </c>
      <c r="E13752" s="3">
        <v>11</v>
      </c>
      <c r="F13752" s="3">
        <v>11</v>
      </c>
      <c r="G13752" t="s">
        <v>514</v>
      </c>
    </row>
    <row r="13753" spans="1:7" x14ac:dyDescent="0.25">
      <c r="A13753" s="1" t="str">
        <f>"524712"</f>
        <v>524712</v>
      </c>
      <c r="B13753" s="2" t="str">
        <f>"KIT DE VEDAÇÃO P/ VALVULA ASSENTO OD 2"" FKM 2134574"</f>
        <v>KIT DE VEDAÇÃO P/ VALVULA ASSENTO OD 2" FKM 2134574</v>
      </c>
      <c r="C13753" s="2" t="str">
        <f t="shared" si="537"/>
        <v>UN</v>
      </c>
      <c r="D13753" s="7">
        <v>807</v>
      </c>
      <c r="E13753" s="3">
        <v>11</v>
      </c>
      <c r="F13753" s="3">
        <v>11</v>
      </c>
      <c r="G13753" t="s">
        <v>514</v>
      </c>
    </row>
    <row r="13754" spans="1:7" x14ac:dyDescent="0.25">
      <c r="A13754" s="1" t="str">
        <f>"524714"</f>
        <v>524714</v>
      </c>
      <c r="B13754" s="2" t="str">
        <f>"KIT DE VEDAÇÃO P/ VALVULA BORB. OD 1 1/2"" EPDM 2086064"</f>
        <v>KIT DE VEDAÇÃO P/ VALVULA BORB. OD 1 1/2" EPDM 2086064</v>
      </c>
      <c r="C13754" s="2" t="str">
        <f t="shared" si="537"/>
        <v>UN</v>
      </c>
      <c r="D13754" s="7">
        <v>807</v>
      </c>
      <c r="E13754" s="3">
        <v>11</v>
      </c>
      <c r="F13754" s="3">
        <v>11</v>
      </c>
      <c r="G13754" t="s">
        <v>514</v>
      </c>
    </row>
    <row r="13755" spans="1:7" x14ac:dyDescent="0.25">
      <c r="A13755" s="1" t="str">
        <f>"524715"</f>
        <v>524715</v>
      </c>
      <c r="B13755" s="2" t="str">
        <f>"KIT DE VEDAÇÃO P/ VALVULA RETENÇÃO OD 1"" EPDM 2002962"</f>
        <v>KIT DE VEDAÇÃO P/ VALVULA RETENÇÃO OD 1" EPDM 2002962</v>
      </c>
      <c r="C13755" s="2" t="str">
        <f t="shared" si="537"/>
        <v>UN</v>
      </c>
      <c r="D13755" s="7">
        <v>807</v>
      </c>
      <c r="E13755" s="3">
        <v>11</v>
      </c>
      <c r="F13755" s="3">
        <v>11</v>
      </c>
      <c r="G13755" t="s">
        <v>513</v>
      </c>
    </row>
    <row r="13756" spans="1:7" x14ac:dyDescent="0.25">
      <c r="A13756" s="1" t="str">
        <f>"525208"</f>
        <v>525208</v>
      </c>
      <c r="B13756" s="8" t="s">
        <v>444</v>
      </c>
      <c r="C13756" s="2" t="str">
        <f>"CJ"</f>
        <v>CJ</v>
      </c>
      <c r="D13756" s="7">
        <v>913</v>
      </c>
      <c r="E13756" s="3">
        <v>11</v>
      </c>
      <c r="F13756" s="3">
        <v>11</v>
      </c>
      <c r="G13756" t="s">
        <v>512</v>
      </c>
    </row>
    <row r="13757" spans="1:7" x14ac:dyDescent="0.25">
      <c r="A13757" s="1" t="str">
        <f>"526401"</f>
        <v>526401</v>
      </c>
      <c r="B13757" s="2" t="str">
        <f>"KIT DIAFRAGMA BOMBA FL 15"</f>
        <v>KIT DIAFRAGMA BOMBA FL 15</v>
      </c>
      <c r="C13757" s="2" t="str">
        <f t="shared" ref="C13757:C13764" si="538">"UN"</f>
        <v>UN</v>
      </c>
      <c r="D13757" s="7">
        <v>99999</v>
      </c>
      <c r="E13757" s="3">
        <v>99</v>
      </c>
      <c r="F13757" s="3">
        <v>99</v>
      </c>
      <c r="G13757" t="s">
        <v>513</v>
      </c>
    </row>
    <row r="13758" spans="1:7" x14ac:dyDescent="0.25">
      <c r="A13758" s="1" t="str">
        <f>"511066"</f>
        <v>511066</v>
      </c>
      <c r="B13758" s="2" t="str">
        <f>"KIT DISPLAY REMOTO FC51"</f>
        <v>KIT DISPLAY REMOTO FC51</v>
      </c>
      <c r="C13758" s="2" t="str">
        <f t="shared" si="538"/>
        <v>UN</v>
      </c>
      <c r="D13758" s="7">
        <v>600</v>
      </c>
      <c r="E13758" s="3">
        <v>8</v>
      </c>
      <c r="F13758" s="3">
        <v>8</v>
      </c>
      <c r="G13758" t="s">
        <v>514</v>
      </c>
    </row>
    <row r="13759" spans="1:7" x14ac:dyDescent="0.25">
      <c r="A13759" s="1" t="str">
        <f>"506518"</f>
        <v>506518</v>
      </c>
      <c r="B13759" s="2" t="str">
        <f>"KIT DOSADOR SERAC"</f>
        <v>KIT DOSADOR SERAC</v>
      </c>
      <c r="C13759" s="2" t="str">
        <f t="shared" si="538"/>
        <v>UN</v>
      </c>
      <c r="D13759" s="7">
        <v>918</v>
      </c>
      <c r="E13759" s="3">
        <v>11</v>
      </c>
      <c r="F13759" s="3">
        <v>11</v>
      </c>
      <c r="G13759" t="s">
        <v>514</v>
      </c>
    </row>
    <row r="13760" spans="1:7" x14ac:dyDescent="0.25">
      <c r="A13760" s="1" t="str">
        <f>"514801"</f>
        <v>514801</v>
      </c>
      <c r="B13760" s="2" t="str">
        <f>"KIT DRENO 88349535"</f>
        <v>KIT DRENO 88349535</v>
      </c>
      <c r="C13760" s="2" t="str">
        <f t="shared" si="538"/>
        <v>UN</v>
      </c>
      <c r="D13760" s="7">
        <v>813</v>
      </c>
      <c r="E13760" s="3">
        <v>11</v>
      </c>
      <c r="F13760" s="3">
        <v>11</v>
      </c>
      <c r="G13760" t="s">
        <v>514</v>
      </c>
    </row>
    <row r="13761" spans="1:7" x14ac:dyDescent="0.25">
      <c r="A13761" s="1" t="str">
        <f>"524526"</f>
        <v>524526</v>
      </c>
      <c r="B13761" s="2" t="str">
        <f>"KIT DRENO AUTOMATICO - 2901056300-J"</f>
        <v>KIT DRENO AUTOMATICO - 2901056300-J</v>
      </c>
      <c r="C13761" s="2" t="str">
        <f t="shared" si="538"/>
        <v>UN</v>
      </c>
      <c r="D13761" s="7">
        <v>810</v>
      </c>
      <c r="E13761" s="3">
        <v>11</v>
      </c>
      <c r="F13761" s="3">
        <v>11</v>
      </c>
      <c r="G13761" t="s">
        <v>513</v>
      </c>
    </row>
    <row r="13762" spans="1:7" x14ac:dyDescent="0.25">
      <c r="A13762" s="1" t="str">
        <f>"519387"</f>
        <v>519387</v>
      </c>
      <c r="B13762" s="2" t="str">
        <f>"KIT DRUM 7040 BROTHER"</f>
        <v>KIT DRUM 7040 BROTHER</v>
      </c>
      <c r="C13762" s="2" t="str">
        <f t="shared" si="538"/>
        <v>UN</v>
      </c>
      <c r="D13762" s="7">
        <v>401</v>
      </c>
      <c r="E13762" s="3">
        <v>4</v>
      </c>
      <c r="F13762" s="3">
        <v>4</v>
      </c>
      <c r="G13762" t="s">
        <v>513</v>
      </c>
    </row>
    <row r="13763" spans="1:7" x14ac:dyDescent="0.25">
      <c r="A13763" s="1" t="str">
        <f>"525018"</f>
        <v>525018</v>
      </c>
      <c r="B13763" s="2" t="str">
        <f>"KIT DUPLO DE MOTOBOMBAS HELICOIDAIS 250L/H"</f>
        <v>KIT DUPLO DE MOTOBOMBAS HELICOIDAIS 250L/H</v>
      </c>
      <c r="C13763" s="2" t="str">
        <f t="shared" si="538"/>
        <v>UN</v>
      </c>
      <c r="D13763" s="7">
        <v>1300</v>
      </c>
      <c r="E13763" s="3">
        <v>13</v>
      </c>
      <c r="F13763" s="3">
        <v>13</v>
      </c>
      <c r="G13763" t="s">
        <v>513</v>
      </c>
    </row>
    <row r="13764" spans="1:7" x14ac:dyDescent="0.25">
      <c r="A13764" s="1" t="str">
        <f>"3537"</f>
        <v>3537</v>
      </c>
      <c r="B13764" s="2" t="str">
        <f>"KIT DUREZA TOTAL 1 A 20 MG/L"</f>
        <v>KIT DUREZA TOTAL 1 A 20 MG/L</v>
      </c>
      <c r="C13764" s="2" t="str">
        <f t="shared" si="538"/>
        <v>UN</v>
      </c>
      <c r="D13764" s="7">
        <v>406</v>
      </c>
      <c r="E13764" s="3">
        <v>4</v>
      </c>
      <c r="F13764" s="3">
        <v>4</v>
      </c>
      <c r="G13764" t="s">
        <v>512</v>
      </c>
    </row>
    <row r="13765" spans="1:7" x14ac:dyDescent="0.25">
      <c r="A13765" s="1" t="str">
        <f>"509520"</f>
        <v>509520</v>
      </c>
      <c r="B13765" s="2" t="str">
        <f>"KIT ELEMENTO FILTRANTE MA 1250 PETROPURO"</f>
        <v>KIT ELEMENTO FILTRANTE MA 1250 PETROPURO</v>
      </c>
      <c r="C13765" s="2" t="str">
        <f>"PC"</f>
        <v>PC</v>
      </c>
      <c r="D13765" s="7">
        <v>902</v>
      </c>
      <c r="E13765" s="3">
        <v>11</v>
      </c>
      <c r="F13765" s="3">
        <v>11</v>
      </c>
      <c r="G13765" t="s">
        <v>513</v>
      </c>
    </row>
    <row r="13766" spans="1:7" x14ac:dyDescent="0.25">
      <c r="A13766" s="1" t="str">
        <f>"520538"</f>
        <v>520538</v>
      </c>
      <c r="B13766" s="8" t="s">
        <v>159</v>
      </c>
      <c r="C13766" s="2" t="str">
        <f>"PC"</f>
        <v>PC</v>
      </c>
      <c r="D13766" s="7">
        <v>902</v>
      </c>
      <c r="E13766" s="3">
        <v>11</v>
      </c>
      <c r="F13766" s="3">
        <v>11</v>
      </c>
      <c r="G13766" t="s">
        <v>514</v>
      </c>
    </row>
    <row r="13767" spans="1:7" x14ac:dyDescent="0.25">
      <c r="A13767" s="1" t="str">
        <f>"520539"</f>
        <v>520539</v>
      </c>
      <c r="B13767" s="8" t="s">
        <v>160</v>
      </c>
      <c r="C13767" s="2" t="str">
        <f>"PC"</f>
        <v>PC</v>
      </c>
      <c r="D13767" s="7">
        <v>902</v>
      </c>
      <c r="E13767" s="3">
        <v>11</v>
      </c>
      <c r="F13767" s="3">
        <v>11</v>
      </c>
      <c r="G13767" t="s">
        <v>515</v>
      </c>
    </row>
    <row r="13768" spans="1:7" x14ac:dyDescent="0.25">
      <c r="A13768" s="1" t="str">
        <f>"517091"</f>
        <v>517091</v>
      </c>
      <c r="B13768" s="2" t="str">
        <f>"KIT ELETROIMA WEG 112"</f>
        <v>KIT ELETROIMA WEG 112</v>
      </c>
      <c r="C13768" s="2" t="str">
        <f t="shared" ref="C13768:C13786" si="539">"UN"</f>
        <v>UN</v>
      </c>
      <c r="D13768" s="7">
        <v>811</v>
      </c>
      <c r="E13768" s="3">
        <v>8</v>
      </c>
      <c r="F13768" s="3">
        <v>8</v>
      </c>
      <c r="G13768" t="s">
        <v>512</v>
      </c>
    </row>
    <row r="13769" spans="1:7" x14ac:dyDescent="0.25">
      <c r="A13769" s="1" t="str">
        <f>"518189"</f>
        <v>518189</v>
      </c>
      <c r="B13769" s="2" t="str">
        <f>"KIT ELETRONICO BALANÇA INDIC. ULC INOX - CELULA CARGA 10TN"</f>
        <v>KIT ELETRONICO BALANÇA INDIC. ULC INOX - CELULA CARGA 10TN</v>
      </c>
      <c r="C13769" s="2" t="str">
        <f t="shared" si="539"/>
        <v>UN</v>
      </c>
      <c r="D13769" s="7">
        <v>811</v>
      </c>
      <c r="E13769" s="3">
        <v>8</v>
      </c>
      <c r="F13769" s="3">
        <v>8</v>
      </c>
      <c r="G13769" t="s">
        <v>516</v>
      </c>
    </row>
    <row r="13770" spans="1:7" x14ac:dyDescent="0.25">
      <c r="A13770" s="1" t="str">
        <f>"501833"</f>
        <v>501833</v>
      </c>
      <c r="B13770" s="2" t="str">
        <f>"KIT EMBREAGEM"</f>
        <v>KIT EMBREAGEM</v>
      </c>
      <c r="C13770" s="2" t="str">
        <f t="shared" si="539"/>
        <v>UN</v>
      </c>
      <c r="D13770" s="7">
        <v>704</v>
      </c>
      <c r="E13770" s="3">
        <v>9</v>
      </c>
      <c r="F13770" s="3">
        <v>9</v>
      </c>
      <c r="G13770" t="s">
        <v>515</v>
      </c>
    </row>
    <row r="13771" spans="1:7" x14ac:dyDescent="0.25">
      <c r="A13771" s="1" t="str">
        <f>"514103"</f>
        <v>514103</v>
      </c>
      <c r="B13771" s="2" t="str">
        <f>"KIT EMBREAGEM"</f>
        <v>KIT EMBREAGEM</v>
      </c>
      <c r="C13771" s="2" t="str">
        <f t="shared" si="539"/>
        <v>UN</v>
      </c>
      <c r="D13771" s="7">
        <v>704</v>
      </c>
      <c r="E13771" s="3">
        <v>9</v>
      </c>
      <c r="F13771" s="3">
        <v>9</v>
      </c>
      <c r="G13771" t="s">
        <v>514</v>
      </c>
    </row>
    <row r="13772" spans="1:7" x14ac:dyDescent="0.25">
      <c r="A13772" s="1" t="str">
        <f>"519004"</f>
        <v>519004</v>
      </c>
      <c r="B13772" s="2" t="str">
        <f>"KIT ENGRENAGEM P/ MUDANÇA GARRAFA 900IMSB"</f>
        <v>KIT ENGRENAGEM P/ MUDANÇA GARRAFA 900IMSB</v>
      </c>
      <c r="C13772" s="2" t="str">
        <f t="shared" si="539"/>
        <v>UN</v>
      </c>
      <c r="D13772" s="7">
        <v>918</v>
      </c>
      <c r="E13772" s="3">
        <v>11</v>
      </c>
      <c r="F13772" s="3">
        <v>11</v>
      </c>
      <c r="G13772" t="s">
        <v>512</v>
      </c>
    </row>
    <row r="13773" spans="1:7" x14ac:dyDescent="0.25">
      <c r="A13773" s="1" t="str">
        <f>"516322"</f>
        <v>516322</v>
      </c>
      <c r="B13773" s="2" t="str">
        <f>"KIT ENTRADA M04 C-DIN 63"</f>
        <v>KIT ENTRADA M04 C-DIN 63</v>
      </c>
      <c r="C13773" s="2" t="str">
        <f t="shared" si="539"/>
        <v>UN</v>
      </c>
      <c r="D13773" s="7">
        <v>918</v>
      </c>
      <c r="E13773" s="3">
        <v>11</v>
      </c>
      <c r="F13773" s="3">
        <v>11</v>
      </c>
      <c r="G13773" t="s">
        <v>513</v>
      </c>
    </row>
    <row r="13774" spans="1:7" x14ac:dyDescent="0.25">
      <c r="A13774" s="1" t="str">
        <f>"516069"</f>
        <v>516069</v>
      </c>
      <c r="B13774" s="2" t="str">
        <f>"KIT ENTRADA M04 C-DIN 71"</f>
        <v>KIT ENTRADA M04 C-DIN 71</v>
      </c>
      <c r="C13774" s="2" t="str">
        <f t="shared" si="539"/>
        <v>UN</v>
      </c>
      <c r="D13774" s="7">
        <v>99999</v>
      </c>
      <c r="E13774" s="3">
        <v>99</v>
      </c>
      <c r="F13774" s="3">
        <v>99</v>
      </c>
      <c r="G13774" t="s">
        <v>514</v>
      </c>
    </row>
    <row r="13775" spans="1:7" x14ac:dyDescent="0.25">
      <c r="A13775" s="1" t="str">
        <f>"515056"</f>
        <v>515056</v>
      </c>
      <c r="B13775" s="2" t="str">
        <f>"KIT ENTRADA M04 FF71"</f>
        <v>KIT ENTRADA M04 FF71</v>
      </c>
      <c r="C13775" s="2" t="str">
        <f t="shared" si="539"/>
        <v>UN</v>
      </c>
      <c r="D13775" s="7">
        <v>812</v>
      </c>
      <c r="E13775" s="3">
        <v>11</v>
      </c>
      <c r="F13775" s="3">
        <v>11</v>
      </c>
      <c r="G13775" t="s">
        <v>514</v>
      </c>
    </row>
    <row r="13776" spans="1:7" x14ac:dyDescent="0.25">
      <c r="A13776" s="1" t="str">
        <f>"517830"</f>
        <v>517830</v>
      </c>
      <c r="B13776" s="2" t="str">
        <f>"KIT ENTRADA M05/06 C-DIN 80"</f>
        <v>KIT ENTRADA M05/06 C-DIN 80</v>
      </c>
      <c r="C13776" s="2" t="str">
        <f t="shared" si="539"/>
        <v>UN</v>
      </c>
      <c r="D13776" s="7">
        <v>1400</v>
      </c>
      <c r="E13776" s="3">
        <v>8</v>
      </c>
      <c r="F13776" s="3">
        <v>8</v>
      </c>
      <c r="G13776" t="s">
        <v>512</v>
      </c>
    </row>
    <row r="13777" spans="1:7" x14ac:dyDescent="0.25">
      <c r="A13777" s="1" t="str">
        <f>"522288"</f>
        <v>522288</v>
      </c>
      <c r="B13777" s="8" t="s">
        <v>290</v>
      </c>
      <c r="C13777" s="2" t="str">
        <f t="shared" si="539"/>
        <v>UN</v>
      </c>
      <c r="D13777" s="7">
        <v>913</v>
      </c>
      <c r="E13777" s="3">
        <v>10</v>
      </c>
      <c r="F13777" s="3">
        <v>10</v>
      </c>
      <c r="G13777" t="s">
        <v>513</v>
      </c>
    </row>
    <row r="13778" spans="1:7" x14ac:dyDescent="0.25">
      <c r="A13778" s="1" t="str">
        <f>"511500"</f>
        <v>511500</v>
      </c>
      <c r="B13778" s="2" t="str">
        <f>"KIT EXPANSOR E FLANGEADOR 1/8"" A 3/4"""</f>
        <v>KIT EXPANSOR E FLANGEADOR 1/8" A 3/4"</v>
      </c>
      <c r="C13778" s="2" t="str">
        <f t="shared" si="539"/>
        <v>UN</v>
      </c>
      <c r="D13778" s="7">
        <v>402</v>
      </c>
      <c r="E13778" s="3">
        <v>4</v>
      </c>
      <c r="F13778" s="3">
        <v>4</v>
      </c>
      <c r="G13778" t="s">
        <v>514</v>
      </c>
    </row>
    <row r="13779" spans="1:7" x14ac:dyDescent="0.25">
      <c r="A13779" s="1" t="str">
        <f>"526968"</f>
        <v>526968</v>
      </c>
      <c r="B13779" s="2" t="str">
        <f>"KIT F783 / E PROX CHAVE 24 VDC PNP SR5 52326961* 800348"</f>
        <v>KIT F783 / E PROX CHAVE 24 VDC PNP SR5 52326961* 800348</v>
      </c>
      <c r="C13779" s="2" t="str">
        <f t="shared" si="539"/>
        <v>UN</v>
      </c>
      <c r="D13779" s="7">
        <v>811</v>
      </c>
      <c r="E13779" s="3">
        <v>8</v>
      </c>
      <c r="F13779" s="3">
        <v>8</v>
      </c>
      <c r="G13779" t="s">
        <v>514</v>
      </c>
    </row>
    <row r="13780" spans="1:7" x14ac:dyDescent="0.25">
      <c r="A13780" s="1" t="str">
        <f>"523383"</f>
        <v>523383</v>
      </c>
      <c r="B13780" s="2" t="str">
        <f>"KIT FECH ELETROMAG 150KGF PORTA E BATENTE MADEIRA (DENTRO)"</f>
        <v>KIT FECH ELETROMAG 150KGF PORTA E BATENTE MADEIRA (DENTRO)</v>
      </c>
      <c r="C13780" s="2" t="str">
        <f t="shared" si="539"/>
        <v>UN</v>
      </c>
      <c r="D13780" s="7">
        <v>99999</v>
      </c>
      <c r="E13780" s="3">
        <v>99</v>
      </c>
      <c r="F13780" s="3">
        <v>99</v>
      </c>
      <c r="G13780" t="s">
        <v>514</v>
      </c>
    </row>
    <row r="13781" spans="1:7" x14ac:dyDescent="0.25">
      <c r="A13781" s="1" t="str">
        <f>"573812"</f>
        <v>573812</v>
      </c>
      <c r="B13781" s="2" t="str">
        <f>"KIT FECH ELETROMAG 150KGF PORTA MADEIRA DESLIZANTE SIMPLES"</f>
        <v>KIT FECH ELETROMAG 150KGF PORTA MADEIRA DESLIZANTE SIMPLES</v>
      </c>
      <c r="C13781" s="2" t="str">
        <f t="shared" si="539"/>
        <v>UN</v>
      </c>
      <c r="D13781" s="7">
        <v>99999</v>
      </c>
      <c r="E13781" s="3">
        <v>99</v>
      </c>
      <c r="F13781" s="3">
        <v>99</v>
      </c>
      <c r="G13781" t="s">
        <v>513</v>
      </c>
    </row>
    <row r="13782" spans="1:7" x14ac:dyDescent="0.25">
      <c r="A13782" s="1" t="str">
        <f>"523384"</f>
        <v>523384</v>
      </c>
      <c r="B13782" s="2" t="str">
        <f>"KIT FECH ELETROMAG 150KGF PORTA VIDRO C/ BATENTE (DENTRO)"</f>
        <v>KIT FECH ELETROMAG 150KGF PORTA VIDRO C/ BATENTE (DENTRO)</v>
      </c>
      <c r="C13782" s="2" t="str">
        <f t="shared" si="539"/>
        <v>UN</v>
      </c>
      <c r="D13782" s="7">
        <v>99999</v>
      </c>
      <c r="E13782" s="3">
        <v>99</v>
      </c>
      <c r="F13782" s="3">
        <v>99</v>
      </c>
      <c r="G13782" t="s">
        <v>512</v>
      </c>
    </row>
    <row r="13783" spans="1:7" x14ac:dyDescent="0.25">
      <c r="A13783" s="1" t="str">
        <f>"520724"</f>
        <v>520724</v>
      </c>
      <c r="B13783" s="2" t="str">
        <f>"KIT FERRAMENTA P/ MONTAGEM ROLAMENTO A FRIO SKF COD. TMFT36"</f>
        <v>KIT FERRAMENTA P/ MONTAGEM ROLAMENTO A FRIO SKF COD. TMFT36</v>
      </c>
      <c r="C13783" s="2" t="str">
        <f t="shared" si="539"/>
        <v>UN</v>
      </c>
      <c r="D13783" s="7">
        <v>402</v>
      </c>
      <c r="E13783" s="3">
        <v>99</v>
      </c>
      <c r="F13783" s="3">
        <v>99</v>
      </c>
      <c r="G13783" t="s">
        <v>513</v>
      </c>
    </row>
    <row r="13784" spans="1:7" x14ac:dyDescent="0.25">
      <c r="A13784" s="1" t="str">
        <f>"522403"</f>
        <v>522403</v>
      </c>
      <c r="B13784" s="2" t="str">
        <f>"KIT FILTRAGEM CULINARIA CSF16 E KIT REDUTORA DE PRESSÃO"</f>
        <v>KIT FILTRAGEM CULINARIA CSF16 E KIT REDUTORA DE PRESSÃO</v>
      </c>
      <c r="C13784" s="2" t="str">
        <f t="shared" si="539"/>
        <v>UN</v>
      </c>
      <c r="D13784" s="7">
        <v>820</v>
      </c>
      <c r="E13784" s="3">
        <v>10</v>
      </c>
      <c r="F13784" s="3">
        <v>10</v>
      </c>
      <c r="G13784" t="s">
        <v>514</v>
      </c>
    </row>
    <row r="13785" spans="1:7" x14ac:dyDescent="0.25">
      <c r="A13785" s="1" t="str">
        <f>"521285"</f>
        <v>521285</v>
      </c>
      <c r="B13785" s="2" t="str">
        <f>"KIT FILTRO + SEPARADOR 8000 HORAS GA132"</f>
        <v>KIT FILTRO + SEPARADOR 8000 HORAS GA132</v>
      </c>
      <c r="C13785" s="2" t="str">
        <f t="shared" si="539"/>
        <v>UN</v>
      </c>
      <c r="D13785" s="7">
        <v>902</v>
      </c>
      <c r="E13785" s="3">
        <v>11</v>
      </c>
      <c r="F13785" s="3">
        <v>11</v>
      </c>
      <c r="G13785" t="s">
        <v>514</v>
      </c>
    </row>
    <row r="13786" spans="1:7" x14ac:dyDescent="0.25">
      <c r="A13786" s="1" t="str">
        <f>"521372"</f>
        <v>521372</v>
      </c>
      <c r="B13786" s="2" t="str">
        <f>"KIT FILTRO AR/OLEO GA-132 2906095300-A"</f>
        <v>KIT FILTRO AR/OLEO GA-132 2906095300-A</v>
      </c>
      <c r="C13786" s="2" t="str">
        <f t="shared" si="539"/>
        <v>UN</v>
      </c>
      <c r="D13786" s="7">
        <v>918</v>
      </c>
      <c r="E13786" s="3">
        <v>11</v>
      </c>
      <c r="F13786" s="3">
        <v>11</v>
      </c>
      <c r="G13786" t="s">
        <v>514</v>
      </c>
    </row>
    <row r="13787" spans="1:7" x14ac:dyDescent="0.25">
      <c r="A13787" s="1" t="str">
        <f>"522337"</f>
        <v>522337</v>
      </c>
      <c r="B13787" s="2" t="str">
        <f>"KIT FILTRO CANOVAS FILTRO 1 PPF-5 / FILTRO 2 T33"</f>
        <v>KIT FILTRO CANOVAS FILTRO 1 PPF-5 / FILTRO 2 T33</v>
      </c>
      <c r="C13787" s="2" t="str">
        <f>"PC"</f>
        <v>PC</v>
      </c>
      <c r="D13787" s="7">
        <v>902</v>
      </c>
      <c r="E13787" s="3">
        <v>11</v>
      </c>
      <c r="F13787" s="3">
        <v>11</v>
      </c>
      <c r="G13787" t="s">
        <v>513</v>
      </c>
    </row>
    <row r="13788" spans="1:7" x14ac:dyDescent="0.25">
      <c r="A13788" s="1" t="str">
        <f>"509761"</f>
        <v>509761</v>
      </c>
      <c r="B13788" s="2" t="str">
        <f>"KIT FILTRO COD.2901194502-J COMPRESSOR GA-90"</f>
        <v>KIT FILTRO COD.2901194502-J COMPRESSOR GA-90</v>
      </c>
      <c r="C13788" s="2" t="str">
        <f t="shared" ref="C13788:C13819" si="540">"UN"</f>
        <v>UN</v>
      </c>
      <c r="D13788" s="7">
        <v>902</v>
      </c>
      <c r="E13788" s="3">
        <v>11</v>
      </c>
      <c r="F13788" s="3">
        <v>11</v>
      </c>
      <c r="G13788" t="s">
        <v>513</v>
      </c>
    </row>
    <row r="13789" spans="1:7" x14ac:dyDescent="0.25">
      <c r="A13789" s="1" t="str">
        <f>"522284"</f>
        <v>522284</v>
      </c>
      <c r="B13789" s="8" t="s">
        <v>286</v>
      </c>
      <c r="C13789" s="2" t="str">
        <f t="shared" si="540"/>
        <v>UN</v>
      </c>
      <c r="D13789" s="7">
        <v>913</v>
      </c>
      <c r="E13789" s="3">
        <v>10</v>
      </c>
      <c r="F13789" s="3">
        <v>10</v>
      </c>
      <c r="G13789" t="s">
        <v>513</v>
      </c>
    </row>
    <row r="13790" spans="1:7" x14ac:dyDescent="0.25">
      <c r="A13790" s="1" t="str">
        <f>"518679"</f>
        <v>518679</v>
      </c>
      <c r="B13790" s="2" t="str">
        <f>"KIT FILTRO EX1 VITON"</f>
        <v>KIT FILTRO EX1 VITON</v>
      </c>
      <c r="C13790" s="2" t="str">
        <f t="shared" si="540"/>
        <v>UN</v>
      </c>
      <c r="D13790" s="7">
        <v>918</v>
      </c>
      <c r="E13790" s="3">
        <v>11</v>
      </c>
      <c r="F13790" s="3">
        <v>11</v>
      </c>
      <c r="G13790" t="s">
        <v>512</v>
      </c>
    </row>
    <row r="13791" spans="1:7" x14ac:dyDescent="0.25">
      <c r="A13791" s="1" t="str">
        <f>"504958"</f>
        <v>504958</v>
      </c>
      <c r="B13791" s="2" t="str">
        <f>"KIT FILTROS IVECO STRALLIS 0CR-0001"</f>
        <v>KIT FILTROS IVECO STRALLIS 0CR-0001</v>
      </c>
      <c r="C13791" s="2" t="str">
        <f t="shared" si="540"/>
        <v>UN</v>
      </c>
      <c r="D13791" s="7">
        <v>701</v>
      </c>
      <c r="E13791" s="3">
        <v>9</v>
      </c>
      <c r="F13791" s="3">
        <v>9</v>
      </c>
      <c r="G13791" t="s">
        <v>513</v>
      </c>
    </row>
    <row r="13792" spans="1:7" x14ac:dyDescent="0.25">
      <c r="A13792" s="1" t="str">
        <f>"519770"</f>
        <v>519770</v>
      </c>
      <c r="B13792" s="2" t="str">
        <f>"KIT FITA IMPRESSORA TACOGRAFO BVDR"</f>
        <v>KIT FITA IMPRESSORA TACOGRAFO BVDR</v>
      </c>
      <c r="C13792" s="2" t="str">
        <f t="shared" si="540"/>
        <v>UN</v>
      </c>
      <c r="D13792" s="7">
        <v>704</v>
      </c>
      <c r="E13792" s="3">
        <v>9</v>
      </c>
      <c r="F13792" s="3">
        <v>9</v>
      </c>
      <c r="G13792" t="s">
        <v>514</v>
      </c>
    </row>
    <row r="13793" spans="1:7" x14ac:dyDescent="0.25">
      <c r="A13793" s="1" t="str">
        <f>"513816"</f>
        <v>513816</v>
      </c>
      <c r="B13793" s="2" t="str">
        <f>"KIT FIXACAO"</f>
        <v>KIT FIXACAO</v>
      </c>
      <c r="C13793" s="2" t="str">
        <f t="shared" si="540"/>
        <v>UN</v>
      </c>
      <c r="D13793" s="7">
        <v>99999</v>
      </c>
      <c r="E13793" s="3">
        <v>99</v>
      </c>
      <c r="F13793" s="3">
        <v>99</v>
      </c>
      <c r="G13793" t="s">
        <v>515</v>
      </c>
    </row>
    <row r="13794" spans="1:7" x14ac:dyDescent="0.25">
      <c r="A13794" s="1" t="str">
        <f>"505768"</f>
        <v>505768</v>
      </c>
      <c r="B13794" s="2" t="str">
        <f>"KIT FIXACAO CUICA FREIO"</f>
        <v>KIT FIXACAO CUICA FREIO</v>
      </c>
      <c r="C13794" s="2" t="str">
        <f t="shared" si="540"/>
        <v>UN</v>
      </c>
      <c r="D13794" s="7">
        <v>704</v>
      </c>
      <c r="E13794" s="3">
        <v>9</v>
      </c>
      <c r="F13794" s="3">
        <v>9</v>
      </c>
      <c r="G13794" t="s">
        <v>512</v>
      </c>
    </row>
    <row r="13795" spans="1:7" x14ac:dyDescent="0.25">
      <c r="A13795" s="1" t="str">
        <f>"523460"</f>
        <v>523460</v>
      </c>
      <c r="B13795" s="2" t="str">
        <f>"KIT FIXAÇÃO M5 BICROMATIZADO PORCA GAIOLA"</f>
        <v>KIT FIXAÇÃO M5 BICROMATIZADO PORCA GAIOLA</v>
      </c>
      <c r="C13795" s="2" t="str">
        <f t="shared" si="540"/>
        <v>UN</v>
      </c>
      <c r="D13795" s="7">
        <v>601</v>
      </c>
      <c r="E13795" s="3">
        <v>8</v>
      </c>
      <c r="F13795" s="3">
        <v>8</v>
      </c>
      <c r="G13795" t="s">
        <v>516</v>
      </c>
    </row>
    <row r="13796" spans="1:7" x14ac:dyDescent="0.25">
      <c r="A13796" s="1" t="str">
        <f>"503739"</f>
        <v>503739</v>
      </c>
      <c r="B13796" s="2" t="str">
        <f>"KIT FLANGEADOR/ALAGRADOR/CHAVE CATRACA/CORTADOR"</f>
        <v>KIT FLANGEADOR/ALAGRADOR/CHAVE CATRACA/CORTADOR</v>
      </c>
      <c r="C13796" s="2" t="str">
        <f t="shared" si="540"/>
        <v>UN</v>
      </c>
      <c r="D13796" s="7">
        <v>402</v>
      </c>
      <c r="E13796" s="3">
        <v>4</v>
      </c>
      <c r="F13796" s="3">
        <v>4</v>
      </c>
      <c r="G13796" t="s">
        <v>515</v>
      </c>
    </row>
    <row r="13797" spans="1:7" x14ac:dyDescent="0.25">
      <c r="A13797" s="1" t="str">
        <f>"520221"</f>
        <v>520221</v>
      </c>
      <c r="B13797" s="2" t="str">
        <f>"KIT FORMATO ANTIGA GARRAFA 900 IMSB"</f>
        <v>KIT FORMATO ANTIGA GARRAFA 900 IMSB</v>
      </c>
      <c r="C13797" s="2" t="str">
        <f t="shared" si="540"/>
        <v>UN</v>
      </c>
      <c r="D13797" s="7">
        <v>918</v>
      </c>
      <c r="E13797" s="3">
        <v>11</v>
      </c>
      <c r="F13797" s="3">
        <v>11</v>
      </c>
      <c r="G13797" t="s">
        <v>514</v>
      </c>
    </row>
    <row r="13798" spans="1:7" x14ac:dyDescent="0.25">
      <c r="A13798" s="1" t="str">
        <f>"505673"</f>
        <v>505673</v>
      </c>
      <c r="B13798" s="2" t="str">
        <f>"KIT GRAXEIRA"</f>
        <v>KIT GRAXEIRA</v>
      </c>
      <c r="C13798" s="2" t="str">
        <f t="shared" si="540"/>
        <v>UN</v>
      </c>
      <c r="D13798" s="7">
        <v>704</v>
      </c>
      <c r="E13798" s="3">
        <v>9</v>
      </c>
      <c r="F13798" s="3">
        <v>9</v>
      </c>
      <c r="G13798" t="s">
        <v>512</v>
      </c>
    </row>
    <row r="13799" spans="1:7" x14ac:dyDescent="0.25">
      <c r="A13799" s="1" t="str">
        <f>"525165"</f>
        <v>525165</v>
      </c>
      <c r="B13799" s="2" t="str">
        <f>"KIT HANDHELD V3.0 C/ FONTE E CABO PEPPERLFUCHS"</f>
        <v>KIT HANDHELD V3.0 C/ FONTE E CABO PEPPERLFUCHS</v>
      </c>
      <c r="C13799" s="2" t="str">
        <f t="shared" si="540"/>
        <v>UN</v>
      </c>
      <c r="D13799" s="7">
        <v>811</v>
      </c>
      <c r="E13799" s="3">
        <v>10</v>
      </c>
      <c r="F13799" s="3">
        <v>10</v>
      </c>
      <c r="G13799" t="s">
        <v>513</v>
      </c>
    </row>
    <row r="13800" spans="1:7" x14ac:dyDescent="0.25">
      <c r="A13800" s="1" t="str">
        <f>"509389"</f>
        <v>509389</v>
      </c>
      <c r="B13800" s="2" t="str">
        <f>"KIT HIDRAULICO HT300"</f>
        <v>KIT HIDRAULICO HT300</v>
      </c>
      <c r="C13800" s="2" t="str">
        <f t="shared" si="540"/>
        <v>UN</v>
      </c>
      <c r="D13800" s="7">
        <v>914</v>
      </c>
      <c r="E13800" s="3">
        <v>11</v>
      </c>
      <c r="F13800" s="3">
        <v>11</v>
      </c>
      <c r="G13800" t="s">
        <v>514</v>
      </c>
    </row>
    <row r="13801" spans="1:7" x14ac:dyDescent="0.25">
      <c r="A13801" s="1" t="str">
        <f>"523969"</f>
        <v>523969</v>
      </c>
      <c r="B13801" s="2" t="str">
        <f>"KIT HIGIENE P/ PROTETOR MSA (SELO E ESPUMA)"</f>
        <v>KIT HIGIENE P/ PROTETOR MSA (SELO E ESPUMA)</v>
      </c>
      <c r="C13801" s="2" t="str">
        <f t="shared" si="540"/>
        <v>UN</v>
      </c>
      <c r="D13801" s="7">
        <v>501</v>
      </c>
      <c r="E13801" s="3">
        <v>5</v>
      </c>
      <c r="F13801" s="3">
        <v>5</v>
      </c>
      <c r="G13801" t="s">
        <v>514</v>
      </c>
    </row>
    <row r="13802" spans="1:7" x14ac:dyDescent="0.25">
      <c r="A13802" s="1" t="str">
        <f>"511239"</f>
        <v>511239</v>
      </c>
      <c r="B13802" s="2" t="str">
        <f>"KIT HMI REMOTA MOD. HMI CFW08 RS SERIAL"</f>
        <v>KIT HMI REMOTA MOD. HMI CFW08 RS SERIAL</v>
      </c>
      <c r="C13802" s="2" t="str">
        <f t="shared" si="540"/>
        <v>UN</v>
      </c>
      <c r="D13802" s="7">
        <v>600</v>
      </c>
      <c r="E13802" s="3">
        <v>8</v>
      </c>
      <c r="F13802" s="3">
        <v>8</v>
      </c>
      <c r="G13802" t="s">
        <v>512</v>
      </c>
    </row>
    <row r="13803" spans="1:7" x14ac:dyDescent="0.25">
      <c r="A13803" s="1" t="str">
        <f>"522563"</f>
        <v>522563</v>
      </c>
      <c r="B13803" s="2" t="str">
        <f>"KIT ILUMINAÇÃO"</f>
        <v>KIT ILUMINAÇÃO</v>
      </c>
      <c r="C13803" s="2" t="str">
        <f t="shared" si="540"/>
        <v>UN</v>
      </c>
      <c r="D13803" s="7">
        <v>99999</v>
      </c>
      <c r="E13803" s="3">
        <v>99</v>
      </c>
      <c r="F13803" s="3">
        <v>99</v>
      </c>
      <c r="G13803" t="s">
        <v>513</v>
      </c>
    </row>
    <row r="13804" spans="1:7" x14ac:dyDescent="0.25">
      <c r="A13804" s="1" t="str">
        <f>"526835"</f>
        <v>526835</v>
      </c>
      <c r="B13804" s="2" t="str">
        <f>"KIT IMOBILIZAÇÃO/RESGATE TIPO CIPA)+ PRANCHA DE POLIETILENO"</f>
        <v>KIT IMOBILIZAÇÃO/RESGATE TIPO CIPA)+ PRANCHA DE POLIETILENO</v>
      </c>
      <c r="C13804" s="2" t="str">
        <f t="shared" si="540"/>
        <v>UN</v>
      </c>
      <c r="D13804" s="7">
        <v>99999</v>
      </c>
      <c r="E13804" s="3">
        <v>99</v>
      </c>
      <c r="F13804" s="3">
        <v>99</v>
      </c>
      <c r="G13804" t="s">
        <v>514</v>
      </c>
    </row>
    <row r="13805" spans="1:7" x14ac:dyDescent="0.25">
      <c r="A13805" s="1" t="str">
        <f>"519831"</f>
        <v>519831</v>
      </c>
      <c r="B13805" s="2" t="str">
        <f>"KIT IMSB 500GR 0 LACTOSE"</f>
        <v>KIT IMSB 500GR 0 LACTOSE</v>
      </c>
      <c r="C13805" s="2" t="str">
        <f t="shared" si="540"/>
        <v>UN</v>
      </c>
      <c r="D13805" s="7">
        <v>918</v>
      </c>
      <c r="E13805" s="3">
        <v>11</v>
      </c>
      <c r="F13805" s="3">
        <v>11</v>
      </c>
      <c r="G13805" t="s">
        <v>514</v>
      </c>
    </row>
    <row r="13806" spans="1:7" x14ac:dyDescent="0.25">
      <c r="A13806" s="1" t="str">
        <f>"512088"</f>
        <v>512088</v>
      </c>
      <c r="B13806" s="2" t="str">
        <f>"KIT INFRA VERMELHO ATIVO"</f>
        <v>KIT INFRA VERMELHO ATIVO</v>
      </c>
      <c r="C13806" s="2" t="str">
        <f t="shared" si="540"/>
        <v>UN</v>
      </c>
      <c r="D13806" s="7">
        <v>811</v>
      </c>
      <c r="E13806" s="3">
        <v>10</v>
      </c>
      <c r="F13806" s="3">
        <v>10</v>
      </c>
      <c r="G13806" t="s">
        <v>514</v>
      </c>
    </row>
    <row r="13807" spans="1:7" x14ac:dyDescent="0.25">
      <c r="A13807" s="1" t="str">
        <f>"514971"</f>
        <v>514971</v>
      </c>
      <c r="B13807" s="2" t="str">
        <f>"KIT INSTALAÇÃO"</f>
        <v>KIT INSTALAÇÃO</v>
      </c>
      <c r="C13807" s="2" t="str">
        <f t="shared" si="540"/>
        <v>UN</v>
      </c>
      <c r="D13807" s="7">
        <v>406</v>
      </c>
      <c r="E13807" s="3">
        <v>4</v>
      </c>
      <c r="F13807" s="3">
        <v>4</v>
      </c>
      <c r="G13807" t="s">
        <v>513</v>
      </c>
    </row>
    <row r="13808" spans="1:7" x14ac:dyDescent="0.25">
      <c r="A13808" s="1" t="str">
        <f>"516874"</f>
        <v>516874</v>
      </c>
      <c r="B13808" s="2" t="str">
        <f>"KIT INSTALAÇÃO NA PLATAFORMA"</f>
        <v>KIT INSTALAÇÃO NA PLATAFORMA</v>
      </c>
      <c r="C13808" s="2" t="str">
        <f t="shared" si="540"/>
        <v>UN</v>
      </c>
      <c r="D13808" s="7">
        <v>1300</v>
      </c>
      <c r="E13808" s="3">
        <v>13</v>
      </c>
      <c r="F13808" s="3">
        <v>13</v>
      </c>
      <c r="G13808" t="s">
        <v>512</v>
      </c>
    </row>
    <row r="13809" spans="1:7" x14ac:dyDescent="0.25">
      <c r="A13809" s="1" t="str">
        <f>"518716"</f>
        <v>518716</v>
      </c>
      <c r="B13809" s="2" t="str">
        <f>"KIT ISO 119/118MM"</f>
        <v>KIT ISO 119/118MM</v>
      </c>
      <c r="C13809" s="2" t="str">
        <f t="shared" si="540"/>
        <v>UN</v>
      </c>
      <c r="D13809" s="7">
        <v>1200</v>
      </c>
      <c r="E13809" s="3">
        <v>4</v>
      </c>
      <c r="F13809" s="3">
        <v>4</v>
      </c>
      <c r="G13809" t="s">
        <v>513</v>
      </c>
    </row>
    <row r="13810" spans="1:7" x14ac:dyDescent="0.25">
      <c r="A13810" s="1" t="str">
        <f>"515387"</f>
        <v>515387</v>
      </c>
      <c r="B13810" s="2" t="str">
        <f>"KIT ISOLANTE PX"</f>
        <v>KIT ISOLANTE PX</v>
      </c>
      <c r="C13810" s="2" t="str">
        <f t="shared" si="540"/>
        <v>UN</v>
      </c>
      <c r="D13810" s="7">
        <v>704</v>
      </c>
      <c r="E13810" s="3">
        <v>9</v>
      </c>
      <c r="F13810" s="3">
        <v>9</v>
      </c>
      <c r="G13810" t="s">
        <v>514</v>
      </c>
    </row>
    <row r="13811" spans="1:7" x14ac:dyDescent="0.25">
      <c r="A13811" s="1" t="str">
        <f>"515179"</f>
        <v>515179</v>
      </c>
      <c r="B13811" s="2" t="str">
        <f>"KIT JOGO DA MEMÓRIA"</f>
        <v>KIT JOGO DA MEMÓRIA</v>
      </c>
      <c r="C13811" s="2" t="str">
        <f t="shared" si="540"/>
        <v>UN</v>
      </c>
      <c r="D13811" s="7">
        <v>401</v>
      </c>
      <c r="E13811" s="3">
        <v>4</v>
      </c>
      <c r="F13811" s="3">
        <v>4</v>
      </c>
      <c r="G13811" t="s">
        <v>514</v>
      </c>
    </row>
    <row r="13812" spans="1:7" x14ac:dyDescent="0.25">
      <c r="A13812" s="1" t="str">
        <f>"514474"</f>
        <v>514474</v>
      </c>
      <c r="B13812" s="2" t="str">
        <f>"KIT LACRE AT"</f>
        <v>KIT LACRE AT</v>
      </c>
      <c r="C13812" s="2" t="str">
        <f t="shared" si="540"/>
        <v>UN</v>
      </c>
      <c r="D13812" s="7">
        <v>811</v>
      </c>
      <c r="E13812" s="3">
        <v>11</v>
      </c>
      <c r="F13812" s="3">
        <v>11</v>
      </c>
      <c r="G13812" t="s">
        <v>514</v>
      </c>
    </row>
    <row r="13813" spans="1:7" x14ac:dyDescent="0.25">
      <c r="A13813" s="1" t="str">
        <f>"509260"</f>
        <v>509260</v>
      </c>
      <c r="B13813" s="2" t="str">
        <f>"KIT LACRE REPARO 1318"</f>
        <v>KIT LACRE REPARO 1318</v>
      </c>
      <c r="C13813" s="2" t="str">
        <f t="shared" si="540"/>
        <v>UN</v>
      </c>
      <c r="D13813" s="7">
        <v>918</v>
      </c>
      <c r="E13813" s="3">
        <v>11</v>
      </c>
      <c r="F13813" s="3">
        <v>11</v>
      </c>
      <c r="G13813" t="s">
        <v>513</v>
      </c>
    </row>
    <row r="13814" spans="1:7" x14ac:dyDescent="0.25">
      <c r="A13814" s="1" t="str">
        <f>"515995"</f>
        <v>515995</v>
      </c>
      <c r="B13814" s="2" t="str">
        <f>"KIT LIMP. 3,5 MANGUEIRA PRETA PISTOLA PRETA"</f>
        <v>KIT LIMP. 3,5 MANGUEIRA PRETA PISTOLA PRETA</v>
      </c>
      <c r="C13814" s="2" t="str">
        <f t="shared" si="540"/>
        <v>UN</v>
      </c>
      <c r="D13814" s="7">
        <v>913</v>
      </c>
      <c r="E13814" s="3">
        <v>11</v>
      </c>
      <c r="F13814" s="3">
        <v>11</v>
      </c>
      <c r="G13814" t="s">
        <v>513</v>
      </c>
    </row>
    <row r="13815" spans="1:7" x14ac:dyDescent="0.25">
      <c r="A13815" s="1" t="str">
        <f>"508283"</f>
        <v>508283</v>
      </c>
      <c r="B13815" s="2" t="str">
        <f>"KIT LIMPEZA DESCARBONIZAÇAO/AR CONDICIONADO"</f>
        <v>KIT LIMPEZA DESCARBONIZAÇAO/AR CONDICIONADO</v>
      </c>
      <c r="C13815" s="2" t="str">
        <f t="shared" si="540"/>
        <v>UN</v>
      </c>
      <c r="D13815" s="7">
        <v>704</v>
      </c>
      <c r="E13815" s="3">
        <v>9</v>
      </c>
      <c r="F13815" s="3">
        <v>9</v>
      </c>
      <c r="G13815" t="s">
        <v>513</v>
      </c>
    </row>
    <row r="13816" spans="1:7" x14ac:dyDescent="0.25">
      <c r="A13816" s="1" t="str">
        <f>"518632"</f>
        <v>518632</v>
      </c>
      <c r="B13816" s="2" t="str">
        <f>"KIT LOCALIZADOR DE CABOS"</f>
        <v>KIT LOCALIZADOR DE CABOS</v>
      </c>
      <c r="C13816" s="2" t="str">
        <f t="shared" si="540"/>
        <v>UN</v>
      </c>
      <c r="D13816" s="7">
        <v>920</v>
      </c>
      <c r="E13816" s="3">
        <v>4</v>
      </c>
      <c r="F13816" s="3">
        <v>4</v>
      </c>
      <c r="G13816" t="s">
        <v>512</v>
      </c>
    </row>
    <row r="13817" spans="1:7" x14ac:dyDescent="0.25">
      <c r="A13817" s="1" t="str">
        <f>"522568"</f>
        <v>522568</v>
      </c>
      <c r="B13817" s="2" t="str">
        <f>"KIT LUBRIFICAÇÃO"</f>
        <v>KIT LUBRIFICAÇÃO</v>
      </c>
      <c r="C13817" s="2" t="str">
        <f t="shared" si="540"/>
        <v>UN</v>
      </c>
      <c r="D13817" s="7">
        <v>819</v>
      </c>
      <c r="E13817" s="3">
        <v>10</v>
      </c>
      <c r="F13817" s="3">
        <v>10</v>
      </c>
      <c r="G13817" t="s">
        <v>513</v>
      </c>
    </row>
    <row r="13818" spans="1:7" x14ac:dyDescent="0.25">
      <c r="A13818" s="1" t="str">
        <f>"527886"</f>
        <v>527886</v>
      </c>
      <c r="B13818" s="2" t="str">
        <f>"KIT LVV (TERMINAL + TENSIONADOR)"</f>
        <v>KIT LVV (TERMINAL + TENSIONADOR)</v>
      </c>
      <c r="C13818" s="2" t="str">
        <f t="shared" si="540"/>
        <v>UN</v>
      </c>
      <c r="D13818" s="7">
        <v>917</v>
      </c>
      <c r="E13818" s="3">
        <v>10</v>
      </c>
      <c r="F13818" s="3">
        <v>10</v>
      </c>
      <c r="G13818" t="s">
        <v>514</v>
      </c>
    </row>
    <row r="13819" spans="1:7" x14ac:dyDescent="0.25">
      <c r="A13819" s="1" t="str">
        <f>"516986"</f>
        <v>516986</v>
      </c>
      <c r="B13819" s="2" t="str">
        <f>"KIT LYON GIRATORIA SEM BRAÇO"</f>
        <v>KIT LYON GIRATORIA SEM BRAÇO</v>
      </c>
      <c r="C13819" s="2" t="str">
        <f t="shared" si="540"/>
        <v>UN</v>
      </c>
      <c r="D13819" s="7">
        <v>1200</v>
      </c>
      <c r="E13819" s="3">
        <v>4</v>
      </c>
      <c r="F13819" s="3">
        <v>4</v>
      </c>
      <c r="G13819" t="s">
        <v>515</v>
      </c>
    </row>
    <row r="13820" spans="1:7" x14ac:dyDescent="0.25">
      <c r="A13820" s="1" t="str">
        <f>"515492"</f>
        <v>515492</v>
      </c>
      <c r="B13820" s="2" t="str">
        <f>"KIT MANICURE"</f>
        <v>KIT MANICURE</v>
      </c>
      <c r="C13820" s="2" t="str">
        <f t="shared" ref="C13820:C13841" si="541">"UN"</f>
        <v>UN</v>
      </c>
      <c r="D13820" s="7">
        <v>401</v>
      </c>
      <c r="E13820" s="3">
        <v>3</v>
      </c>
      <c r="F13820" s="3">
        <v>3</v>
      </c>
      <c r="G13820" t="s">
        <v>512</v>
      </c>
    </row>
    <row r="13821" spans="1:7" x14ac:dyDescent="0.25">
      <c r="A13821" s="1" t="str">
        <f>"523809"</f>
        <v>523809</v>
      </c>
      <c r="B13821" s="2" t="str">
        <f>"KIT MANOPLA PROL. P/CVS400/630A"</f>
        <v>KIT MANOPLA PROL. P/CVS400/630A</v>
      </c>
      <c r="C13821" s="2" t="str">
        <f t="shared" si="541"/>
        <v>UN</v>
      </c>
      <c r="D13821" s="7">
        <v>811</v>
      </c>
      <c r="E13821" s="3">
        <v>11</v>
      </c>
      <c r="F13821" s="3">
        <v>11</v>
      </c>
      <c r="G13821" t="s">
        <v>516</v>
      </c>
    </row>
    <row r="13822" spans="1:7" x14ac:dyDescent="0.25">
      <c r="A13822" s="1" t="str">
        <f>"522350"</f>
        <v>522350</v>
      </c>
      <c r="B13822" s="2" t="str">
        <f>"KIT MANOPLA PROL. SCHNEIDER 29338/LV429338 P/ CVS100/250A"</f>
        <v>KIT MANOPLA PROL. SCHNEIDER 29338/LV429338 P/ CVS100/250A</v>
      </c>
      <c r="C13822" s="2" t="str">
        <f t="shared" si="541"/>
        <v>UN</v>
      </c>
      <c r="D13822" s="7">
        <v>811</v>
      </c>
      <c r="E13822" s="3">
        <v>11</v>
      </c>
      <c r="F13822" s="3">
        <v>11</v>
      </c>
      <c r="G13822" t="s">
        <v>515</v>
      </c>
    </row>
    <row r="13823" spans="1:7" x14ac:dyDescent="0.25">
      <c r="A13823" s="1" t="str">
        <f>"511413"</f>
        <v>511413</v>
      </c>
      <c r="B13823" s="2" t="str">
        <f>"KIT MANTA E RESINA"</f>
        <v>KIT MANTA E RESINA</v>
      </c>
      <c r="C13823" s="2" t="str">
        <f t="shared" si="541"/>
        <v>UN</v>
      </c>
      <c r="D13823" s="7">
        <v>704</v>
      </c>
      <c r="E13823" s="3">
        <v>9</v>
      </c>
      <c r="F13823" s="3">
        <v>9</v>
      </c>
      <c r="G13823" t="s">
        <v>514</v>
      </c>
    </row>
    <row r="13824" spans="1:7" x14ac:dyDescent="0.25">
      <c r="A13824" s="1" t="str">
        <f>"524010"</f>
        <v>524010</v>
      </c>
      <c r="B13824" s="2" t="str">
        <f>"KIT MANUTENÇÃO HX0001-03395"</f>
        <v>KIT MANUTENÇÃO HX0001-03395</v>
      </c>
      <c r="C13824" s="2" t="str">
        <f t="shared" si="541"/>
        <v>UN</v>
      </c>
      <c r="D13824" s="7">
        <v>99999</v>
      </c>
      <c r="E13824" s="3">
        <v>99</v>
      </c>
      <c r="F13824" s="3">
        <v>99</v>
      </c>
      <c r="G13824" t="s">
        <v>512</v>
      </c>
    </row>
    <row r="13825" spans="1:7" x14ac:dyDescent="0.25">
      <c r="A13825" s="1" t="str">
        <f>"527390"</f>
        <v>527390</v>
      </c>
      <c r="B13825" s="2" t="str">
        <f>"KIT MANUTENÇÃO PRESSÃO MINIMA"</f>
        <v>KIT MANUTENÇÃO PRESSÃO MINIMA</v>
      </c>
      <c r="C13825" s="2" t="str">
        <f t="shared" si="541"/>
        <v>UN</v>
      </c>
      <c r="D13825" s="7">
        <v>704</v>
      </c>
      <c r="E13825" s="3">
        <v>9</v>
      </c>
      <c r="F13825" s="3">
        <v>9</v>
      </c>
      <c r="G13825" t="s">
        <v>513</v>
      </c>
    </row>
    <row r="13826" spans="1:7" x14ac:dyDescent="0.25">
      <c r="A13826" s="1" t="str">
        <f>"513443"</f>
        <v>513443</v>
      </c>
      <c r="B13826" s="2" t="str">
        <f>"KIT MANUTENÇÃO PREVENTIVA 10000 HRS REDA 100TE"</f>
        <v>KIT MANUTENÇÃO PREVENTIVA 10000 HRS REDA 100TE</v>
      </c>
      <c r="C13826" s="2" t="str">
        <f t="shared" si="541"/>
        <v>UN</v>
      </c>
      <c r="D13826" s="7">
        <v>918</v>
      </c>
      <c r="E13826" s="3">
        <v>11</v>
      </c>
      <c r="F13826" s="3">
        <v>11</v>
      </c>
      <c r="G13826" t="s">
        <v>514</v>
      </c>
    </row>
    <row r="13827" spans="1:7" x14ac:dyDescent="0.25">
      <c r="A13827" s="1" t="str">
        <f>"527391"</f>
        <v>527391</v>
      </c>
      <c r="B13827" s="2" t="str">
        <f>"KIT MANUTENÇÃO SEPARADOR CONDENSADO"</f>
        <v>KIT MANUTENÇÃO SEPARADOR CONDENSADO</v>
      </c>
      <c r="C13827" s="2" t="str">
        <f t="shared" si="541"/>
        <v>UN</v>
      </c>
      <c r="D13827" s="7">
        <v>704</v>
      </c>
      <c r="E13827" s="3">
        <v>9</v>
      </c>
      <c r="F13827" s="3">
        <v>9</v>
      </c>
      <c r="G13827" t="s">
        <v>514</v>
      </c>
    </row>
    <row r="13828" spans="1:7" x14ac:dyDescent="0.25">
      <c r="A13828" s="1" t="str">
        <f>"527389"</f>
        <v>527389</v>
      </c>
      <c r="B13828" s="2" t="str">
        <f>"KIT MANUTENÇÃO VALVULA DESVIO OLEO"</f>
        <v>KIT MANUTENÇÃO VALVULA DESVIO OLEO</v>
      </c>
      <c r="C13828" s="2" t="str">
        <f t="shared" si="541"/>
        <v>UN</v>
      </c>
      <c r="D13828" s="7">
        <v>704</v>
      </c>
      <c r="E13828" s="3">
        <v>9</v>
      </c>
      <c r="F13828" s="3">
        <v>9</v>
      </c>
      <c r="G13828" t="s">
        <v>512</v>
      </c>
    </row>
    <row r="13829" spans="1:7" x14ac:dyDescent="0.25">
      <c r="A13829" s="1" t="str">
        <f>"519614"</f>
        <v>519614</v>
      </c>
      <c r="B13829" s="2" t="str">
        <f>"KIT MEDIAÇÃO PH INSERÇAO"</f>
        <v>KIT MEDIAÇÃO PH INSERÇAO</v>
      </c>
      <c r="C13829" s="2" t="str">
        <f t="shared" si="541"/>
        <v>UN</v>
      </c>
      <c r="D13829" s="7">
        <v>918</v>
      </c>
      <c r="E13829" s="3">
        <v>11</v>
      </c>
      <c r="F13829" s="3">
        <v>11</v>
      </c>
      <c r="G13829" t="s">
        <v>513</v>
      </c>
    </row>
    <row r="13830" spans="1:7" x14ac:dyDescent="0.25">
      <c r="A13830" s="1" t="str">
        <f>"524602"</f>
        <v>524602</v>
      </c>
      <c r="B13830" s="8" t="s">
        <v>379</v>
      </c>
      <c r="C13830" s="2" t="str">
        <f t="shared" si="541"/>
        <v>UN</v>
      </c>
      <c r="D13830" s="7">
        <v>406</v>
      </c>
      <c r="E13830" s="3">
        <v>13</v>
      </c>
      <c r="F13830" s="3">
        <v>13</v>
      </c>
      <c r="G13830" t="s">
        <v>514</v>
      </c>
    </row>
    <row r="13831" spans="1:7" x14ac:dyDescent="0.25">
      <c r="A13831" s="1" t="str">
        <f>"506988"</f>
        <v>506988</v>
      </c>
      <c r="B13831" s="2" t="str">
        <f>"KIT MOLA SAPATA DE FREIO"</f>
        <v>KIT MOLA SAPATA DE FREIO</v>
      </c>
      <c r="C13831" s="2" t="str">
        <f t="shared" si="541"/>
        <v>UN</v>
      </c>
      <c r="D13831" s="7">
        <v>704</v>
      </c>
      <c r="E13831" s="3">
        <v>9</v>
      </c>
      <c r="F13831" s="3">
        <v>9</v>
      </c>
      <c r="G13831" t="s">
        <v>514</v>
      </c>
    </row>
    <row r="13832" spans="1:7" x14ac:dyDescent="0.25">
      <c r="A13832" s="1" t="str">
        <f>"515938"</f>
        <v>515938</v>
      </c>
      <c r="B13832" s="2" t="str">
        <f>"KIT MONT. POA/POB-PORTA 6SE6400-0PM00-0AA0"</f>
        <v>KIT MONT. POA/POB-PORTA 6SE6400-0PM00-0AA0</v>
      </c>
      <c r="C13832" s="2" t="str">
        <f t="shared" si="541"/>
        <v>UN</v>
      </c>
      <c r="D13832" s="7">
        <v>811</v>
      </c>
      <c r="E13832" s="3">
        <v>8</v>
      </c>
      <c r="F13832" s="3">
        <v>8</v>
      </c>
      <c r="G13832" t="s">
        <v>514</v>
      </c>
    </row>
    <row r="13833" spans="1:7" x14ac:dyDescent="0.25">
      <c r="A13833" s="1" t="str">
        <f>"526283"</f>
        <v>526283</v>
      </c>
      <c r="B13833" s="2" t="str">
        <f>"KIT MONTAGEM CONJ. DA IMPRESSORA SPRT2"</f>
        <v>KIT MONTAGEM CONJ. DA IMPRESSORA SPRT2</v>
      </c>
      <c r="C13833" s="2" t="str">
        <f t="shared" si="541"/>
        <v>UN</v>
      </c>
      <c r="D13833" s="7">
        <v>99999</v>
      </c>
      <c r="E13833" s="3">
        <v>99</v>
      </c>
      <c r="F13833" s="3">
        <v>99</v>
      </c>
      <c r="G13833" t="s">
        <v>513</v>
      </c>
    </row>
    <row r="13834" spans="1:7" x14ac:dyDescent="0.25">
      <c r="A13834" s="1" t="str">
        <f>"524448"</f>
        <v>524448</v>
      </c>
      <c r="B13834" s="2" t="str">
        <f>"KIT MONTAGEM ELETROMECANICA PARA DETECTORES DE GAS"</f>
        <v>KIT MONTAGEM ELETROMECANICA PARA DETECTORES DE GAS</v>
      </c>
      <c r="C13834" s="2" t="str">
        <f t="shared" si="541"/>
        <v>UN</v>
      </c>
      <c r="D13834" s="7">
        <v>99999</v>
      </c>
      <c r="E13834" s="3">
        <v>99</v>
      </c>
      <c r="F13834" s="3">
        <v>99</v>
      </c>
      <c r="G13834" t="s">
        <v>512</v>
      </c>
    </row>
    <row r="13835" spans="1:7" x14ac:dyDescent="0.25">
      <c r="A13835" s="1" t="str">
        <f>"527455"</f>
        <v>527455</v>
      </c>
      <c r="B13835" s="2" t="str">
        <f>"KIT MONTAGEM VALVULA/ATUADOR PNEUMÁTICO 2007526"</f>
        <v>KIT MONTAGEM VALVULA/ATUADOR PNEUMÁTICO 2007526</v>
      </c>
      <c r="C13835" s="2" t="str">
        <f t="shared" si="541"/>
        <v>UN</v>
      </c>
      <c r="D13835" s="7">
        <v>807</v>
      </c>
      <c r="E13835" s="3">
        <v>11</v>
      </c>
      <c r="F13835" s="3">
        <v>11</v>
      </c>
      <c r="G13835" t="s">
        <v>513</v>
      </c>
    </row>
    <row r="13836" spans="1:7" x14ac:dyDescent="0.25">
      <c r="A13836" s="1" t="str">
        <f>"527456"</f>
        <v>527456</v>
      </c>
      <c r="B13836" s="2" t="str">
        <f>"KIT MONTAGEM VALVULA/ATUADOR PNEUMÁTICO 2032570"</f>
        <v>KIT MONTAGEM VALVULA/ATUADOR PNEUMÁTICO 2032570</v>
      </c>
      <c r="C13836" s="2" t="str">
        <f t="shared" si="541"/>
        <v>UN</v>
      </c>
      <c r="D13836" s="7">
        <v>807</v>
      </c>
      <c r="E13836" s="3">
        <v>11</v>
      </c>
      <c r="F13836" s="3">
        <v>11</v>
      </c>
      <c r="G13836" t="s">
        <v>514</v>
      </c>
    </row>
    <row r="13837" spans="1:7" x14ac:dyDescent="0.25">
      <c r="A13837" s="1" t="str">
        <f>"526808"</f>
        <v>526808</v>
      </c>
      <c r="B13837" s="2" t="str">
        <f>"KIT MOTOR"</f>
        <v>KIT MOTOR</v>
      </c>
      <c r="C13837" s="2" t="str">
        <f t="shared" si="541"/>
        <v>UN</v>
      </c>
      <c r="D13837" s="7">
        <v>1400</v>
      </c>
      <c r="E13837" s="3">
        <v>13</v>
      </c>
      <c r="F13837" s="3">
        <v>13</v>
      </c>
      <c r="G13837" t="s">
        <v>514</v>
      </c>
    </row>
    <row r="13838" spans="1:7" x14ac:dyDescent="0.25">
      <c r="A13838" s="1" t="str">
        <f>"502672"</f>
        <v>502672</v>
      </c>
      <c r="B13838" s="2" t="str">
        <f>"KIT MOTOR CUMMINS STD"</f>
        <v>KIT MOTOR CUMMINS STD</v>
      </c>
      <c r="C13838" s="2" t="str">
        <f t="shared" si="541"/>
        <v>UN</v>
      </c>
      <c r="D13838" s="7">
        <v>704</v>
      </c>
      <c r="E13838" s="3">
        <v>9</v>
      </c>
      <c r="F13838" s="3">
        <v>9</v>
      </c>
      <c r="G13838" t="s">
        <v>514</v>
      </c>
    </row>
    <row r="13839" spans="1:7" x14ac:dyDescent="0.25">
      <c r="A13839" s="1" t="str">
        <f>"522008"</f>
        <v>522008</v>
      </c>
      <c r="B13839" s="2" t="str">
        <f>"KIT MOUSE/TECLADO KM636"</f>
        <v>KIT MOUSE/TECLADO KM636</v>
      </c>
      <c r="C13839" s="2" t="str">
        <f t="shared" si="541"/>
        <v>UN</v>
      </c>
      <c r="D13839" s="7">
        <v>401</v>
      </c>
      <c r="E13839" s="3">
        <v>4</v>
      </c>
      <c r="F13839" s="3">
        <v>4</v>
      </c>
      <c r="G13839" t="s">
        <v>513</v>
      </c>
    </row>
    <row r="13840" spans="1:7" x14ac:dyDescent="0.25">
      <c r="A13840" s="1" t="str">
        <f>"518620"</f>
        <v>518620</v>
      </c>
      <c r="B13840" s="2" t="str">
        <f>"KIT MOUSE/TECLADO MICROSOFT WR MOB 1000 PRETO"</f>
        <v>KIT MOUSE/TECLADO MICROSOFT WR MOB 1000 PRETO</v>
      </c>
      <c r="C13840" s="2" t="str">
        <f t="shared" si="541"/>
        <v>UN</v>
      </c>
      <c r="D13840" s="7">
        <v>401</v>
      </c>
      <c r="E13840" s="3">
        <v>4</v>
      </c>
      <c r="F13840" s="3">
        <v>4</v>
      </c>
      <c r="G13840" t="s">
        <v>513</v>
      </c>
    </row>
    <row r="13841" spans="1:7" x14ac:dyDescent="0.25">
      <c r="A13841" s="1" t="str">
        <f>"515038"</f>
        <v>515038</v>
      </c>
      <c r="B13841" s="2" t="str">
        <f>"KIT NECESSAIRE"</f>
        <v>KIT NECESSAIRE</v>
      </c>
      <c r="C13841" s="2" t="str">
        <f t="shared" si="541"/>
        <v>UN</v>
      </c>
      <c r="D13841" s="7">
        <v>401</v>
      </c>
      <c r="E13841" s="3">
        <v>4</v>
      </c>
      <c r="F13841" s="3">
        <v>4</v>
      </c>
      <c r="G13841" t="s">
        <v>513</v>
      </c>
    </row>
    <row r="13842" spans="1:7" x14ac:dyDescent="0.25">
      <c r="A13842" s="1" t="str">
        <f>"526185"</f>
        <v>526185</v>
      </c>
      <c r="B13842" s="2" t="str">
        <f>"KIT NO 3 SEAL C114 BUNA 60124"</f>
        <v>KIT NO 3 SEAL C114 BUNA 60124</v>
      </c>
      <c r="C13842" s="2" t="str">
        <f>"PC"</f>
        <v>PC</v>
      </c>
      <c r="D13842" s="7">
        <v>902</v>
      </c>
      <c r="E13842" s="3">
        <v>11</v>
      </c>
      <c r="F13842" s="3">
        <v>11</v>
      </c>
      <c r="G13842" t="s">
        <v>512</v>
      </c>
    </row>
    <row r="13843" spans="1:7" x14ac:dyDescent="0.25">
      <c r="A13843" s="1" t="str">
        <f>"522703"</f>
        <v>522703</v>
      </c>
      <c r="B13843" s="2" t="str">
        <f>"KIT ORGANIZADOR DE UTENSÍLIOS (ALUMÍNIO CÓD. 15153)"</f>
        <v>KIT ORGANIZADOR DE UTENSÍLIOS (ALUMÍNIO CÓD. 15153)</v>
      </c>
      <c r="C13843" s="2" t="str">
        <f t="shared" ref="C13843:C13875" si="542">"UN"</f>
        <v>UN</v>
      </c>
      <c r="D13843" s="7">
        <v>400</v>
      </c>
      <c r="E13843" s="3">
        <v>4</v>
      </c>
      <c r="F13843" s="3">
        <v>4</v>
      </c>
      <c r="G13843" t="s">
        <v>513</v>
      </c>
    </row>
    <row r="13844" spans="1:7" x14ac:dyDescent="0.25">
      <c r="A13844" s="1" t="str">
        <f>"527818"</f>
        <v>527818</v>
      </c>
      <c r="B13844" s="2" t="str">
        <f>"KIT ORGANIZADOR DE UTENSÍLIOS (ALUMÍNIO CÓD. 15154)"</f>
        <v>KIT ORGANIZADOR DE UTENSÍLIOS (ALUMÍNIO CÓD. 15154)</v>
      </c>
      <c r="C13844" s="2" t="str">
        <f t="shared" si="542"/>
        <v>UN</v>
      </c>
      <c r="D13844" s="7">
        <v>400</v>
      </c>
      <c r="E13844" s="3">
        <v>4</v>
      </c>
      <c r="F13844" s="3">
        <v>4</v>
      </c>
      <c r="G13844" t="s">
        <v>514</v>
      </c>
    </row>
    <row r="13845" spans="1:7" x14ac:dyDescent="0.25">
      <c r="A13845" s="1" t="str">
        <f>"518291"</f>
        <v>518291</v>
      </c>
      <c r="B13845" s="2" t="str">
        <f>"KIT P/ PULVERIZAÇÃO JACTO JP-75 CAPACIDADE 75 LITROS"</f>
        <v>KIT P/ PULVERIZAÇÃO JACTO JP-75 CAPACIDADE 75 LITROS</v>
      </c>
      <c r="C13845" s="2" t="str">
        <f t="shared" si="542"/>
        <v>UN</v>
      </c>
      <c r="D13845" s="7">
        <v>1400</v>
      </c>
      <c r="E13845" s="3">
        <v>13</v>
      </c>
      <c r="F13845" s="3">
        <v>13</v>
      </c>
      <c r="G13845" t="s">
        <v>515</v>
      </c>
    </row>
    <row r="13846" spans="1:7" x14ac:dyDescent="0.25">
      <c r="A13846" s="1" t="str">
        <f>"526586"</f>
        <v>526586</v>
      </c>
      <c r="B13846" s="2" t="str">
        <f>"KIT PARAFUSO POLIA J06710080 P/ HOMOG"</f>
        <v>KIT PARAFUSO POLIA J06710080 P/ HOMOG</v>
      </c>
      <c r="C13846" s="2" t="str">
        <f t="shared" si="542"/>
        <v>UN</v>
      </c>
      <c r="D13846" s="7">
        <v>812</v>
      </c>
      <c r="E13846" s="3">
        <v>10</v>
      </c>
      <c r="F13846" s="3">
        <v>10</v>
      </c>
      <c r="G13846" t="s">
        <v>512</v>
      </c>
    </row>
    <row r="13847" spans="1:7" x14ac:dyDescent="0.25">
      <c r="A13847" s="1" t="str">
        <f>"527092"</f>
        <v>527092</v>
      </c>
      <c r="B13847" s="2" t="str">
        <f>"KIT PARAMETETRIZAÇÃO MAST.IOLINK ZZ1120"</f>
        <v>KIT PARAMETETRIZAÇÃO MAST.IOLINK ZZ1120</v>
      </c>
      <c r="C13847" s="2" t="str">
        <f t="shared" si="542"/>
        <v>UN</v>
      </c>
      <c r="D13847" s="7">
        <v>908</v>
      </c>
      <c r="E13847" s="3">
        <v>11</v>
      </c>
      <c r="F13847" s="3">
        <v>11</v>
      </c>
      <c r="G13847" t="s">
        <v>516</v>
      </c>
    </row>
    <row r="13848" spans="1:7" x14ac:dyDescent="0.25">
      <c r="A13848" s="1" t="str">
        <f>"504970"</f>
        <v>504970</v>
      </c>
      <c r="B13848" s="2" t="str">
        <f>"KIT PARCIL FREIOS"</f>
        <v>KIT PARCIL FREIOS</v>
      </c>
      <c r="C13848" s="2" t="str">
        <f t="shared" si="542"/>
        <v>UN</v>
      </c>
      <c r="D13848" s="7">
        <v>704</v>
      </c>
      <c r="E13848" s="3">
        <v>9</v>
      </c>
      <c r="F13848" s="3">
        <v>9</v>
      </c>
      <c r="G13848" t="s">
        <v>515</v>
      </c>
    </row>
    <row r="13849" spans="1:7" x14ac:dyDescent="0.25">
      <c r="A13849" s="1" t="str">
        <f>"505756"</f>
        <v>505756</v>
      </c>
      <c r="B13849" s="2" t="str">
        <f>"KIT PCS COMPRESSOR MYCOM N4A"</f>
        <v>KIT PCS COMPRESSOR MYCOM N4A</v>
      </c>
      <c r="C13849" s="2" t="str">
        <f t="shared" si="542"/>
        <v>UN</v>
      </c>
      <c r="D13849" s="7">
        <v>704</v>
      </c>
      <c r="E13849" s="3">
        <v>9</v>
      </c>
      <c r="F13849" s="3">
        <v>9</v>
      </c>
      <c r="G13849" t="s">
        <v>514</v>
      </c>
    </row>
    <row r="13850" spans="1:7" x14ac:dyDescent="0.25">
      <c r="A13850" s="1" t="str">
        <f>"520647"</f>
        <v>520647</v>
      </c>
      <c r="B13850" s="2" t="str">
        <f>"KIT PETRIFILM STX PLACA/DISCO CX 50/20"</f>
        <v>KIT PETRIFILM STX PLACA/DISCO CX 50/20</v>
      </c>
      <c r="C13850" s="2" t="str">
        <f t="shared" si="542"/>
        <v>UN</v>
      </c>
      <c r="D13850" s="7">
        <v>406</v>
      </c>
      <c r="E13850" s="3">
        <v>4</v>
      </c>
      <c r="F13850" s="3">
        <v>4</v>
      </c>
      <c r="G13850" t="s">
        <v>512</v>
      </c>
    </row>
    <row r="13851" spans="1:7" x14ac:dyDescent="0.25">
      <c r="A13851" s="1" t="str">
        <f>"504555"</f>
        <v>504555</v>
      </c>
      <c r="B13851" s="2" t="str">
        <f>"KIT PINTURA"</f>
        <v>KIT PINTURA</v>
      </c>
      <c r="C13851" s="2" t="str">
        <f t="shared" si="542"/>
        <v>UN</v>
      </c>
      <c r="D13851" s="7">
        <v>704</v>
      </c>
      <c r="E13851" s="3">
        <v>9</v>
      </c>
      <c r="F13851" s="3">
        <v>9</v>
      </c>
      <c r="G13851" t="s">
        <v>513</v>
      </c>
    </row>
    <row r="13852" spans="1:7" x14ac:dyDescent="0.25">
      <c r="A13852" s="1" t="str">
        <f>"524593"</f>
        <v>524593</v>
      </c>
      <c r="B13852" s="2" t="str">
        <f>"KIT PIVOTANTE RECORTE BRONZE S/ PUXADOR"</f>
        <v>KIT PIVOTANTE RECORTE BRONZE S/ PUXADOR</v>
      </c>
      <c r="C13852" s="2" t="str">
        <f t="shared" si="542"/>
        <v>UN</v>
      </c>
      <c r="D13852" s="7">
        <v>917</v>
      </c>
      <c r="E13852" s="3">
        <v>10</v>
      </c>
      <c r="F13852" s="3">
        <v>10</v>
      </c>
      <c r="G13852" t="s">
        <v>514</v>
      </c>
    </row>
    <row r="13853" spans="1:7" x14ac:dyDescent="0.25">
      <c r="A13853" s="1" t="str">
        <f>"518977"</f>
        <v>518977</v>
      </c>
      <c r="B13853" s="2" t="str">
        <f>"KIT PLANET COLOR VERNIZ PU FOSCO"</f>
        <v>KIT PLANET COLOR VERNIZ PU FOSCO</v>
      </c>
      <c r="C13853" s="2" t="str">
        <f t="shared" si="542"/>
        <v>UN</v>
      </c>
      <c r="D13853" s="7">
        <v>403</v>
      </c>
      <c r="E13853" s="3">
        <v>4</v>
      </c>
      <c r="F13853" s="3">
        <v>4</v>
      </c>
      <c r="G13853" t="s">
        <v>514</v>
      </c>
    </row>
    <row r="13854" spans="1:7" x14ac:dyDescent="0.25">
      <c r="A13854" s="1" t="str">
        <f>"523765"</f>
        <v>523765</v>
      </c>
      <c r="B13854" s="2" t="str">
        <f>"KIT PM MILKOSCAN FT-2"</f>
        <v>KIT PM MILKOSCAN FT-2</v>
      </c>
      <c r="C13854" s="2" t="str">
        <f t="shared" si="542"/>
        <v>UN</v>
      </c>
      <c r="D13854" s="7">
        <v>99999</v>
      </c>
      <c r="E13854" s="3">
        <v>99</v>
      </c>
      <c r="F13854" s="3">
        <v>99</v>
      </c>
      <c r="G13854" t="s">
        <v>512</v>
      </c>
    </row>
    <row r="13855" spans="1:7" x14ac:dyDescent="0.25">
      <c r="A13855" s="1" t="str">
        <f>"522611"</f>
        <v>522611</v>
      </c>
      <c r="B13855" s="2" t="str">
        <f>"KIT PNEUMATICO ACIONAMENTO TOMADA TK6102"</f>
        <v>KIT PNEUMATICO ACIONAMENTO TOMADA TK6102</v>
      </c>
      <c r="C13855" s="2" t="str">
        <f t="shared" si="542"/>
        <v>UN</v>
      </c>
      <c r="D13855" s="7">
        <v>1500</v>
      </c>
      <c r="E13855" s="3">
        <v>13</v>
      </c>
      <c r="F13855" s="3">
        <v>13</v>
      </c>
      <c r="G13855" t="s">
        <v>513</v>
      </c>
    </row>
    <row r="13856" spans="1:7" x14ac:dyDescent="0.25">
      <c r="A13856" s="1" t="str">
        <f>"516985"</f>
        <v>516985</v>
      </c>
      <c r="B13856" s="2" t="str">
        <f>"KIT POLTRONA ELITE"</f>
        <v>KIT POLTRONA ELITE</v>
      </c>
      <c r="C13856" s="2" t="str">
        <f t="shared" si="542"/>
        <v>UN</v>
      </c>
      <c r="D13856" s="7">
        <v>1200</v>
      </c>
      <c r="E13856" s="3">
        <v>4</v>
      </c>
      <c r="F13856" s="3">
        <v>4</v>
      </c>
      <c r="G13856" t="s">
        <v>514</v>
      </c>
    </row>
    <row r="13857" spans="1:7" x14ac:dyDescent="0.25">
      <c r="A13857" s="1" t="str">
        <f>"518715"</f>
        <v>518715</v>
      </c>
      <c r="B13857" s="2" t="str">
        <f>"KIT POLTRONA GIRAT GRJ-1402"</f>
        <v>KIT POLTRONA GIRAT GRJ-1402</v>
      </c>
      <c r="C13857" s="2" t="str">
        <f t="shared" si="542"/>
        <v>UN</v>
      </c>
      <c r="D13857" s="7">
        <v>1200</v>
      </c>
      <c r="E13857" s="3">
        <v>4</v>
      </c>
      <c r="F13857" s="3">
        <v>4</v>
      </c>
      <c r="G13857" t="s">
        <v>514</v>
      </c>
    </row>
    <row r="13858" spans="1:7" x14ac:dyDescent="0.25">
      <c r="A13858" s="1" t="str">
        <f>"517143"</f>
        <v>517143</v>
      </c>
      <c r="B13858" s="2" t="str">
        <f>"KIT POLTRONA GIRATORIA GR 1801"</f>
        <v>KIT POLTRONA GIRATORIA GR 1801</v>
      </c>
      <c r="C13858" s="2" t="str">
        <f t="shared" si="542"/>
        <v>UN</v>
      </c>
      <c r="D13858" s="7">
        <v>1200</v>
      </c>
      <c r="E13858" s="3">
        <v>4</v>
      </c>
      <c r="F13858" s="3">
        <v>4</v>
      </c>
      <c r="G13858" t="s">
        <v>514</v>
      </c>
    </row>
    <row r="13859" spans="1:7" x14ac:dyDescent="0.25">
      <c r="A13859" s="1" t="str">
        <f>"517142"</f>
        <v>517142</v>
      </c>
      <c r="B13859" s="2" t="str">
        <f>"KIT POLTRONA GIRATORIA GR1402"</f>
        <v>KIT POLTRONA GIRATORIA GR1402</v>
      </c>
      <c r="C13859" s="2" t="str">
        <f t="shared" si="542"/>
        <v>UN</v>
      </c>
      <c r="D13859" s="7">
        <v>1200</v>
      </c>
      <c r="E13859" s="3">
        <v>4</v>
      </c>
      <c r="F13859" s="3">
        <v>4</v>
      </c>
      <c r="G13859" t="s">
        <v>513</v>
      </c>
    </row>
    <row r="13860" spans="1:7" x14ac:dyDescent="0.25">
      <c r="A13860" s="1" t="str">
        <f>"523912"</f>
        <v>523912</v>
      </c>
      <c r="B13860" s="2" t="str">
        <f>"KIT PORCA GAIOLA"</f>
        <v>KIT PORCA GAIOLA</v>
      </c>
      <c r="C13860" s="2" t="str">
        <f t="shared" si="542"/>
        <v>UN</v>
      </c>
      <c r="D13860" s="7">
        <v>814</v>
      </c>
      <c r="E13860" s="3">
        <v>8</v>
      </c>
      <c r="F13860" s="3">
        <v>8</v>
      </c>
      <c r="G13860" t="s">
        <v>512</v>
      </c>
    </row>
    <row r="13861" spans="1:7" x14ac:dyDescent="0.25">
      <c r="A13861" s="1" t="str">
        <f>"511237"</f>
        <v>511237</v>
      </c>
      <c r="B13861" s="2" t="str">
        <f>"KIT PORTA INVERSOR MM420"</f>
        <v>KIT PORTA INVERSOR MM420</v>
      </c>
      <c r="C13861" s="2" t="str">
        <f t="shared" si="542"/>
        <v>UN</v>
      </c>
      <c r="D13861" s="7">
        <v>600</v>
      </c>
      <c r="E13861" s="3">
        <v>8</v>
      </c>
      <c r="F13861" s="3">
        <v>8</v>
      </c>
      <c r="G13861" t="s">
        <v>513</v>
      </c>
    </row>
    <row r="13862" spans="1:7" x14ac:dyDescent="0.25">
      <c r="A13862" s="1" t="str">
        <f>"526897"</f>
        <v>526897</v>
      </c>
      <c r="B13862" s="2" t="str">
        <f>"KIT PORTA PIVOTANTE BRONZE COM MIOLO"</f>
        <v>KIT PORTA PIVOTANTE BRONZE COM MIOLO</v>
      </c>
      <c r="C13862" s="2" t="str">
        <f t="shared" si="542"/>
        <v>UN</v>
      </c>
      <c r="D13862" s="7">
        <v>402</v>
      </c>
      <c r="E13862" s="3">
        <v>4</v>
      </c>
      <c r="F13862" s="3">
        <v>4</v>
      </c>
      <c r="G13862" t="s">
        <v>514</v>
      </c>
    </row>
    <row r="13863" spans="1:7" x14ac:dyDescent="0.25">
      <c r="A13863" s="1" t="str">
        <f>"518974"</f>
        <v>518974</v>
      </c>
      <c r="B13863" s="2" t="str">
        <f>"KIT PRIMER HS PU MAXI RUBBER"</f>
        <v>KIT PRIMER HS PU MAXI RUBBER</v>
      </c>
      <c r="C13863" s="2" t="str">
        <f t="shared" si="542"/>
        <v>UN</v>
      </c>
      <c r="D13863" s="7">
        <v>403</v>
      </c>
      <c r="E13863" s="3">
        <v>4</v>
      </c>
      <c r="F13863" s="3">
        <v>4</v>
      </c>
      <c r="G13863" t="s">
        <v>514</v>
      </c>
    </row>
    <row r="13864" spans="1:7" x14ac:dyDescent="0.25">
      <c r="A13864" s="1" t="str">
        <f>"527153"</f>
        <v>527153</v>
      </c>
      <c r="B13864" s="2" t="str">
        <f>"KIT PROTETOR FACIAL CARBOGRAFITE INCOLOR CA-25721"</f>
        <v>KIT PROTETOR FACIAL CARBOGRAFITE INCOLOR CA-25721</v>
      </c>
      <c r="C13864" s="2" t="str">
        <f t="shared" si="542"/>
        <v>UN</v>
      </c>
      <c r="D13864" s="7">
        <v>501</v>
      </c>
      <c r="E13864" s="3">
        <v>5</v>
      </c>
      <c r="F13864" s="3">
        <v>5</v>
      </c>
      <c r="G13864" t="s">
        <v>514</v>
      </c>
    </row>
    <row r="13865" spans="1:7" x14ac:dyDescent="0.25">
      <c r="A13865" s="1" t="str">
        <f>"523482"</f>
        <v>523482</v>
      </c>
      <c r="B13865" s="2" t="str">
        <f>"KIT PROTETOR FACIAL V-GUARD 190 ARC PLUS MSA CA 31752"</f>
        <v>KIT PROTETOR FACIAL V-GUARD 190 ARC PLUS MSA CA 31752</v>
      </c>
      <c r="C13865" s="2" t="str">
        <f t="shared" si="542"/>
        <v>UN</v>
      </c>
      <c r="D13865" s="7">
        <v>501</v>
      </c>
      <c r="E13865" s="3">
        <v>5</v>
      </c>
      <c r="F13865" s="3">
        <v>5</v>
      </c>
      <c r="G13865" t="s">
        <v>513</v>
      </c>
    </row>
    <row r="13866" spans="1:7" x14ac:dyDescent="0.25">
      <c r="A13866" s="1" t="str">
        <f>"526414"</f>
        <v>526414</v>
      </c>
      <c r="B13866" s="2" t="str">
        <f>"KIT PROTETOR FACIAL V-GUARD 240 CA-31752"</f>
        <v>KIT PROTETOR FACIAL V-GUARD 240 CA-31752</v>
      </c>
      <c r="C13866" s="2" t="str">
        <f t="shared" si="542"/>
        <v>UN</v>
      </c>
      <c r="D13866" s="7">
        <v>501</v>
      </c>
      <c r="E13866" s="3">
        <v>5</v>
      </c>
      <c r="F13866" s="3">
        <v>5</v>
      </c>
      <c r="G13866" t="s">
        <v>513</v>
      </c>
    </row>
    <row r="13867" spans="1:7" x14ac:dyDescent="0.25">
      <c r="A13867" s="1" t="str">
        <f>"523717"</f>
        <v>523717</v>
      </c>
      <c r="B13867" s="2" t="str">
        <f>"KIT PROTETOR FACIAL V-GUARD 240 TEMPGOLD MSA CA 34388"</f>
        <v>KIT PROTETOR FACIAL V-GUARD 240 TEMPGOLD MSA CA 34388</v>
      </c>
      <c r="C13867" s="2" t="str">
        <f t="shared" si="542"/>
        <v>UN</v>
      </c>
      <c r="D13867" s="7">
        <v>501</v>
      </c>
      <c r="E13867" s="3">
        <v>5</v>
      </c>
      <c r="F13867" s="3">
        <v>5</v>
      </c>
      <c r="G13867" t="s">
        <v>513</v>
      </c>
    </row>
    <row r="13868" spans="1:7" x14ac:dyDescent="0.25">
      <c r="A13868" s="1" t="str">
        <f>"513658"</f>
        <v>513658</v>
      </c>
      <c r="B13868" s="2" t="str">
        <f>"KIT REAGENTE SERIE A CL2 CTS"</f>
        <v>KIT REAGENTE SERIE A CL2 CTS</v>
      </c>
      <c r="C13868" s="2" t="str">
        <f t="shared" si="542"/>
        <v>UN</v>
      </c>
      <c r="D13868" s="7">
        <v>400</v>
      </c>
      <c r="E13868" s="3">
        <v>4</v>
      </c>
      <c r="F13868" s="3">
        <v>4</v>
      </c>
      <c r="G13868" t="s">
        <v>512</v>
      </c>
    </row>
    <row r="13869" spans="1:7" x14ac:dyDescent="0.25">
      <c r="A13869" s="1" t="str">
        <f>"527813"</f>
        <v>527813</v>
      </c>
      <c r="B13869" s="2" t="str">
        <f>"KIT REJUNTAMENTO A BASE DE RESINA ANTIACIDA - PPB"</f>
        <v>KIT REJUNTAMENTO A BASE DE RESINA ANTIACIDA - PPB</v>
      </c>
      <c r="C13869" s="2" t="str">
        <f t="shared" si="542"/>
        <v>UN</v>
      </c>
      <c r="D13869" s="7">
        <v>803</v>
      </c>
      <c r="E13869" s="3">
        <v>10</v>
      </c>
      <c r="F13869" s="3">
        <v>10</v>
      </c>
      <c r="G13869" t="s">
        <v>513</v>
      </c>
    </row>
    <row r="13870" spans="1:7" x14ac:dyDescent="0.25">
      <c r="A13870" s="1" t="str">
        <f>"511984"</f>
        <v>511984</v>
      </c>
      <c r="B13870" s="2" t="str">
        <f>"KIT REMOTO INVERSOR DANFFOS VLT 2.800"</f>
        <v>KIT REMOTO INVERSOR DANFFOS VLT 2.800</v>
      </c>
      <c r="C13870" s="2" t="str">
        <f t="shared" si="542"/>
        <v>UN</v>
      </c>
      <c r="D13870" s="7">
        <v>600</v>
      </c>
      <c r="E13870" s="3">
        <v>8</v>
      </c>
      <c r="F13870" s="3">
        <v>8</v>
      </c>
      <c r="G13870" t="s">
        <v>514</v>
      </c>
    </row>
    <row r="13871" spans="1:7" x14ac:dyDescent="0.25">
      <c r="A13871" s="1" t="str">
        <f>"511985"</f>
        <v>511985</v>
      </c>
      <c r="B13871" s="2" t="str">
        <f>"KIT REMOTO INVERSOR DANFOS VLT MICRO MAS"</f>
        <v>KIT REMOTO INVERSOR DANFOS VLT MICRO MAS</v>
      </c>
      <c r="C13871" s="2" t="str">
        <f t="shared" si="542"/>
        <v>UN</v>
      </c>
      <c r="D13871" s="7">
        <v>600</v>
      </c>
      <c r="E13871" s="3">
        <v>8</v>
      </c>
      <c r="F13871" s="3">
        <v>8</v>
      </c>
      <c r="G13871" t="s">
        <v>515</v>
      </c>
    </row>
    <row r="13872" spans="1:7" x14ac:dyDescent="0.25">
      <c r="A13872" s="1" t="str">
        <f>"511983"</f>
        <v>511983</v>
      </c>
      <c r="B13872" s="2" t="str">
        <f>"KIT REMOTO INVERSOR WEG CFW08"</f>
        <v>KIT REMOTO INVERSOR WEG CFW08</v>
      </c>
      <c r="C13872" s="2" t="str">
        <f t="shared" si="542"/>
        <v>UN</v>
      </c>
      <c r="D13872" s="7">
        <v>600</v>
      </c>
      <c r="E13872" s="3">
        <v>8</v>
      </c>
      <c r="F13872" s="3">
        <v>8</v>
      </c>
      <c r="G13872" t="s">
        <v>512</v>
      </c>
    </row>
    <row r="13873" spans="1:7" x14ac:dyDescent="0.25">
      <c r="A13873" s="1" t="str">
        <f>"518830"</f>
        <v>518830</v>
      </c>
      <c r="B13873" s="2" t="str">
        <f>"KIT REPARO BOMBA J942A"</f>
        <v>KIT REPARO BOMBA J942A</v>
      </c>
      <c r="C13873" s="2" t="str">
        <f t="shared" si="542"/>
        <v>UN</v>
      </c>
      <c r="D13873" s="7">
        <v>918</v>
      </c>
      <c r="E13873" s="3">
        <v>11</v>
      </c>
      <c r="F13873" s="3">
        <v>11</v>
      </c>
      <c r="G13873" t="s">
        <v>516</v>
      </c>
    </row>
    <row r="13874" spans="1:7" x14ac:dyDescent="0.25">
      <c r="A13874" s="1" t="str">
        <f>"520662"</f>
        <v>520662</v>
      </c>
      <c r="B13874" s="8" t="s">
        <v>172</v>
      </c>
      <c r="C13874" s="2" t="str">
        <f t="shared" si="542"/>
        <v>UN</v>
      </c>
      <c r="D13874" s="7">
        <v>918</v>
      </c>
      <c r="E13874" s="3">
        <v>11</v>
      </c>
      <c r="F13874" s="3">
        <v>11</v>
      </c>
      <c r="G13874" t="s">
        <v>515</v>
      </c>
    </row>
    <row r="13875" spans="1:7" x14ac:dyDescent="0.25">
      <c r="A13875" s="1" t="str">
        <f>"521725"</f>
        <v>521725</v>
      </c>
      <c r="B13875" s="2" t="str">
        <f>"KIT REPARO COMPLETO VALVULA DE PÉ MANNES EG2666"</f>
        <v>KIT REPARO COMPLETO VALVULA DE PÉ MANNES EG2666</v>
      </c>
      <c r="C13875" s="2" t="str">
        <f t="shared" si="542"/>
        <v>UN</v>
      </c>
      <c r="D13875" s="7">
        <v>812</v>
      </c>
      <c r="E13875" s="3">
        <v>11</v>
      </c>
      <c r="F13875" s="3">
        <v>11</v>
      </c>
      <c r="G13875" t="s">
        <v>514</v>
      </c>
    </row>
    <row r="13876" spans="1:7" x14ac:dyDescent="0.25">
      <c r="A13876" s="1" t="str">
        <f>"526562"</f>
        <v>526562</v>
      </c>
      <c r="B13876" s="2" t="str">
        <f>"KIT REPARO DO CILINDRO PNEUMATICO"</f>
        <v>KIT REPARO DO CILINDRO PNEUMATICO</v>
      </c>
      <c r="C13876" s="2" t="str">
        <f>"PC"</f>
        <v>PC</v>
      </c>
      <c r="D13876" s="7">
        <v>918</v>
      </c>
      <c r="E13876" s="3">
        <v>11</v>
      </c>
      <c r="F13876" s="3">
        <v>11</v>
      </c>
      <c r="G13876" t="s">
        <v>512</v>
      </c>
    </row>
    <row r="13877" spans="1:7" x14ac:dyDescent="0.25">
      <c r="A13877" s="1" t="str">
        <f>"522197"</f>
        <v>522197</v>
      </c>
      <c r="B13877" s="2" t="str">
        <f>"KIT REPARO RA 02550/0302 D S"</f>
        <v>KIT REPARO RA 02550/0302 D S</v>
      </c>
      <c r="C13877" s="2" t="str">
        <f t="shared" ref="C13877:C13885" si="543">"UN"</f>
        <v>UN</v>
      </c>
      <c r="D13877" s="7">
        <v>913</v>
      </c>
      <c r="E13877" s="3">
        <v>11</v>
      </c>
      <c r="F13877" s="3">
        <v>11</v>
      </c>
      <c r="G13877" t="s">
        <v>513</v>
      </c>
    </row>
    <row r="13878" spans="1:7" x14ac:dyDescent="0.25">
      <c r="A13878" s="1" t="str">
        <f>"505685"</f>
        <v>505685</v>
      </c>
      <c r="B13878" s="2" t="str">
        <f>"KIT REPARO S CARRETA"</f>
        <v>KIT REPARO S CARRETA</v>
      </c>
      <c r="C13878" s="2" t="str">
        <f t="shared" si="543"/>
        <v>UN</v>
      </c>
      <c r="D13878" s="7">
        <v>704</v>
      </c>
      <c r="E13878" s="3">
        <v>9</v>
      </c>
      <c r="F13878" s="3">
        <v>9</v>
      </c>
      <c r="G13878" t="s">
        <v>514</v>
      </c>
    </row>
    <row r="13879" spans="1:7" x14ac:dyDescent="0.25">
      <c r="A13879" s="1" t="str">
        <f>"509541"</f>
        <v>509541</v>
      </c>
      <c r="B13879" s="2" t="str">
        <f>"KIT REPARO VALVULA 220409"</f>
        <v>KIT REPARO VALVULA 220409</v>
      </c>
      <c r="C13879" s="2" t="str">
        <f t="shared" si="543"/>
        <v>UN</v>
      </c>
      <c r="D13879" s="7">
        <v>918</v>
      </c>
      <c r="E13879" s="3">
        <v>11</v>
      </c>
      <c r="F13879" s="3">
        <v>11</v>
      </c>
      <c r="G13879" t="s">
        <v>514</v>
      </c>
    </row>
    <row r="13880" spans="1:7" x14ac:dyDescent="0.25">
      <c r="A13880" s="1" t="str">
        <f>"520596"</f>
        <v>520596</v>
      </c>
      <c r="B13880" s="2" t="str">
        <f>"KIT REPARO VALVULA SEGURANÇA EPDM 1 1/2"</f>
        <v>KIT REPARO VALVULA SEGURANÇA EPDM 1 1/2</v>
      </c>
      <c r="C13880" s="2" t="str">
        <f t="shared" si="543"/>
        <v>UN</v>
      </c>
      <c r="D13880" s="7">
        <v>918</v>
      </c>
      <c r="E13880" s="3">
        <v>11</v>
      </c>
      <c r="F13880" s="3">
        <v>11</v>
      </c>
      <c r="G13880" t="s">
        <v>512</v>
      </c>
    </row>
    <row r="13881" spans="1:7" x14ac:dyDescent="0.25">
      <c r="A13881" s="1" t="str">
        <f>"520597"</f>
        <v>520597</v>
      </c>
      <c r="B13881" s="2" t="str">
        <f>"KIT REPARO VALVULA SEGURANÇA EPDM 2"""</f>
        <v>KIT REPARO VALVULA SEGURANÇA EPDM 2"</v>
      </c>
      <c r="C13881" s="2" t="str">
        <f t="shared" si="543"/>
        <v>UN</v>
      </c>
      <c r="D13881" s="7">
        <v>918</v>
      </c>
      <c r="E13881" s="3">
        <v>11</v>
      </c>
      <c r="F13881" s="3">
        <v>11</v>
      </c>
      <c r="G13881" t="s">
        <v>513</v>
      </c>
    </row>
    <row r="13882" spans="1:7" x14ac:dyDescent="0.25">
      <c r="A13882" s="1" t="str">
        <f>"527208"</f>
        <v>527208</v>
      </c>
      <c r="B13882" s="2" t="str">
        <f>"KIT RESGATE ALTURA ESPAÇO CONFIN. TASK PGA-001"</f>
        <v>KIT RESGATE ALTURA ESPAÇO CONFIN. TASK PGA-001</v>
      </c>
      <c r="C13882" s="2" t="str">
        <f t="shared" si="543"/>
        <v>UN</v>
      </c>
      <c r="D13882" s="7">
        <v>501</v>
      </c>
      <c r="E13882" s="3">
        <v>5</v>
      </c>
      <c r="F13882" s="3">
        <v>5</v>
      </c>
      <c r="G13882" t="s">
        <v>514</v>
      </c>
    </row>
    <row r="13883" spans="1:7" x14ac:dyDescent="0.25">
      <c r="A13883" s="1" t="str">
        <f>"524855"</f>
        <v>524855</v>
      </c>
      <c r="B13883" s="2" t="str">
        <f>"KIT RETENTORES - DECANTER GRATT GMT 355G"</f>
        <v>KIT RETENTORES - DECANTER GRATT GMT 355G</v>
      </c>
      <c r="C13883" s="2" t="str">
        <f t="shared" si="543"/>
        <v>UN</v>
      </c>
      <c r="D13883" s="7">
        <v>918</v>
      </c>
      <c r="E13883" s="3">
        <v>10</v>
      </c>
      <c r="F13883" s="3">
        <v>10</v>
      </c>
      <c r="G13883" t="s">
        <v>514</v>
      </c>
    </row>
    <row r="13884" spans="1:7" x14ac:dyDescent="0.25">
      <c r="A13884" s="1" t="str">
        <f>"501426"</f>
        <v>501426</v>
      </c>
      <c r="B13884" s="2" t="str">
        <f>"KIT REVISÃO L. VIDROS GRAXA SILICONE LUBRIFICANTE"</f>
        <v>KIT REVISÃO L. VIDROS GRAXA SILICONE LUBRIFICANTE</v>
      </c>
      <c r="C13884" s="2" t="str">
        <f t="shared" si="543"/>
        <v>UN</v>
      </c>
      <c r="D13884" s="7">
        <v>918</v>
      </c>
      <c r="E13884" s="3">
        <v>9</v>
      </c>
      <c r="F13884" s="3">
        <v>9</v>
      </c>
      <c r="G13884" t="s">
        <v>514</v>
      </c>
    </row>
    <row r="13885" spans="1:7" x14ac:dyDescent="0.25">
      <c r="A13885" s="1" t="str">
        <f>"508284"</f>
        <v>508284</v>
      </c>
      <c r="B13885" s="2" t="str">
        <f>"KIT REVISAO MOC. POLYPARTS"</f>
        <v>KIT REVISAO MOC. POLYPARTS</v>
      </c>
      <c r="C13885" s="2" t="str">
        <f t="shared" si="543"/>
        <v>UN</v>
      </c>
      <c r="D13885" s="7">
        <v>704</v>
      </c>
      <c r="E13885" s="3">
        <v>9</v>
      </c>
      <c r="F13885" s="3">
        <v>9</v>
      </c>
      <c r="G13885" t="s">
        <v>513</v>
      </c>
    </row>
    <row r="13886" spans="1:7" x14ac:dyDescent="0.25">
      <c r="A13886" s="1" t="str">
        <f>"510185"</f>
        <v>510185</v>
      </c>
      <c r="B13886" s="2" t="str">
        <f>"KIT RODO AR 6 X 2"</f>
        <v>KIT RODO AR 6 X 2</v>
      </c>
      <c r="C13886" s="2" t="str">
        <f>"BR"</f>
        <v>BR</v>
      </c>
      <c r="D13886" s="7">
        <v>808</v>
      </c>
      <c r="E13886" s="3">
        <v>10</v>
      </c>
      <c r="F13886" s="3">
        <v>10</v>
      </c>
      <c r="G13886" t="s">
        <v>512</v>
      </c>
    </row>
    <row r="13887" spans="1:7" x14ac:dyDescent="0.25">
      <c r="A13887" s="1" t="str">
        <f>"524856"</f>
        <v>524856</v>
      </c>
      <c r="B13887" s="2" t="str">
        <f>"KIT ROLAMENTOS - DECANTER/TRIDEC GRATT GMT 355G"</f>
        <v>KIT ROLAMENTOS - DECANTER/TRIDEC GRATT GMT 355G</v>
      </c>
      <c r="C13887" s="2" t="str">
        <f t="shared" ref="C13887:C13897" si="544">"UN"</f>
        <v>UN</v>
      </c>
      <c r="D13887" s="7">
        <v>918</v>
      </c>
      <c r="E13887" s="3">
        <v>10</v>
      </c>
      <c r="F13887" s="3">
        <v>10</v>
      </c>
      <c r="G13887" t="s">
        <v>513</v>
      </c>
    </row>
    <row r="13888" spans="1:7" x14ac:dyDescent="0.25">
      <c r="A13888" s="1" t="str">
        <f>"519828"</f>
        <v>519828</v>
      </c>
      <c r="B13888" s="8" t="s">
        <v>121</v>
      </c>
      <c r="C13888" s="2" t="str">
        <f t="shared" si="544"/>
        <v>UN</v>
      </c>
      <c r="D13888" s="7">
        <v>918</v>
      </c>
      <c r="E13888" s="3">
        <v>11</v>
      </c>
      <c r="F13888" s="3">
        <v>11</v>
      </c>
      <c r="G13888" t="s">
        <v>514</v>
      </c>
    </row>
    <row r="13889" spans="1:7" x14ac:dyDescent="0.25">
      <c r="A13889" s="1" t="str">
        <f>"527979"</f>
        <v>527979</v>
      </c>
      <c r="B13889" s="2" t="str">
        <f>"KIT ROTULADORA"</f>
        <v>KIT ROTULADORA</v>
      </c>
      <c r="C13889" s="2" t="str">
        <f t="shared" si="544"/>
        <v>UN</v>
      </c>
      <c r="D13889" s="7">
        <v>812</v>
      </c>
      <c r="E13889" s="3">
        <v>11</v>
      </c>
      <c r="F13889" s="3">
        <v>11</v>
      </c>
      <c r="G13889" t="s">
        <v>514</v>
      </c>
    </row>
    <row r="13890" spans="1:7" x14ac:dyDescent="0.25">
      <c r="A13890" s="1" t="str">
        <f>"523076"</f>
        <v>523076</v>
      </c>
      <c r="B13890" s="2" t="str">
        <f>"KIT ROUPAGEM DE GELADEIRA COMPLETO EM PS 1MM"</f>
        <v>KIT ROUPAGEM DE GELADEIRA COMPLETO EM PS 1MM</v>
      </c>
      <c r="C13890" s="2" t="str">
        <f t="shared" si="544"/>
        <v>UN</v>
      </c>
      <c r="D13890" s="7">
        <v>1300</v>
      </c>
      <c r="E13890" s="3">
        <v>13</v>
      </c>
      <c r="F13890" s="3">
        <v>13</v>
      </c>
      <c r="G13890" t="s">
        <v>514</v>
      </c>
    </row>
    <row r="13891" spans="1:7" x14ac:dyDescent="0.25">
      <c r="A13891" s="1" t="str">
        <f>"514620"</f>
        <v>514620</v>
      </c>
      <c r="B13891" s="2" t="str">
        <f>"KIT SEDE PURGADOR FTV 272/272 1"""</f>
        <v>KIT SEDE PURGADOR FTV 272/272 1"</v>
      </c>
      <c r="C13891" s="2" t="str">
        <f t="shared" si="544"/>
        <v>UN</v>
      </c>
      <c r="D13891" s="7">
        <v>1300</v>
      </c>
      <c r="E13891" s="3">
        <v>13</v>
      </c>
      <c r="F13891" s="3">
        <v>13</v>
      </c>
      <c r="G13891" t="s">
        <v>513</v>
      </c>
    </row>
    <row r="13892" spans="1:7" x14ac:dyDescent="0.25">
      <c r="A13892" s="1" t="str">
        <f>"502808"</f>
        <v>502808</v>
      </c>
      <c r="B13892" s="2" t="str">
        <f>"KIT SELO MECANICO BC400S SIMPLES EPDM"</f>
        <v>KIT SELO MECANICO BC400S SIMPLES EPDM</v>
      </c>
      <c r="C13892" s="2" t="str">
        <f t="shared" si="544"/>
        <v>UN</v>
      </c>
      <c r="D13892" s="7">
        <v>918</v>
      </c>
      <c r="E13892" s="3">
        <v>11</v>
      </c>
      <c r="F13892" s="3">
        <v>11</v>
      </c>
      <c r="G13892" t="s">
        <v>513</v>
      </c>
    </row>
    <row r="13893" spans="1:7" x14ac:dyDescent="0.25">
      <c r="A13893" s="1" t="str">
        <f>"509762"</f>
        <v>509762</v>
      </c>
      <c r="B13893" s="2" t="str">
        <f>"KIT SEPAR/OLEO COD.2901056622-J"</f>
        <v>KIT SEPAR/OLEO COD.2901056622-J</v>
      </c>
      <c r="C13893" s="2" t="str">
        <f t="shared" si="544"/>
        <v>UN</v>
      </c>
      <c r="D13893" s="7">
        <v>902</v>
      </c>
      <c r="E13893" s="3">
        <v>11</v>
      </c>
      <c r="F13893" s="3">
        <v>11</v>
      </c>
      <c r="G13893" t="s">
        <v>513</v>
      </c>
    </row>
    <row r="13894" spans="1:7" x14ac:dyDescent="0.25">
      <c r="A13894" s="1" t="str">
        <f>"522287"</f>
        <v>522287</v>
      </c>
      <c r="B13894" s="8" t="s">
        <v>289</v>
      </c>
      <c r="C13894" s="2" t="str">
        <f t="shared" si="544"/>
        <v>UN</v>
      </c>
      <c r="D13894" s="7">
        <v>913</v>
      </c>
      <c r="E13894" s="3">
        <v>10</v>
      </c>
      <c r="F13894" s="3">
        <v>10</v>
      </c>
      <c r="G13894" t="s">
        <v>512</v>
      </c>
    </row>
    <row r="13895" spans="1:7" x14ac:dyDescent="0.25">
      <c r="A13895" s="1" t="str">
        <f>"521373"</f>
        <v>521373</v>
      </c>
      <c r="B13895" s="2" t="str">
        <f>"KIT SEPARADOR OLEO GA-132 2906095500-A"</f>
        <v>KIT SEPARADOR OLEO GA-132 2906095500-A</v>
      </c>
      <c r="C13895" s="2" t="str">
        <f t="shared" si="544"/>
        <v>UN</v>
      </c>
      <c r="D13895" s="7">
        <v>918</v>
      </c>
      <c r="E13895" s="3">
        <v>11</v>
      </c>
      <c r="F13895" s="3">
        <v>11</v>
      </c>
      <c r="G13895" t="s">
        <v>513</v>
      </c>
    </row>
    <row r="13896" spans="1:7" x14ac:dyDescent="0.25">
      <c r="A13896" s="1" t="str">
        <f>"525359"</f>
        <v>525359</v>
      </c>
      <c r="B13896" s="2" t="str">
        <f>"KIT SERRA COPO INDUSTRIAL STARRET KDC11042-5"</f>
        <v>KIT SERRA COPO INDUSTRIAL STARRET KDC11042-5</v>
      </c>
      <c r="C13896" s="2" t="str">
        <f t="shared" si="544"/>
        <v>UN</v>
      </c>
      <c r="D13896" s="7">
        <v>403</v>
      </c>
      <c r="E13896" s="3">
        <v>4</v>
      </c>
      <c r="F13896" s="3">
        <v>4</v>
      </c>
      <c r="G13896" t="s">
        <v>514</v>
      </c>
    </row>
    <row r="13897" spans="1:7" x14ac:dyDescent="0.25">
      <c r="A13897" s="1" t="str">
        <f>"517823"</f>
        <v>517823</v>
      </c>
      <c r="B13897" s="2" t="str">
        <f>"KIT SERVO PANASONIC A5 LIQI 750W 2,4N/M 300/4500RPM"</f>
        <v>KIT SERVO PANASONIC A5 LIQI 750W 2,4N/M 300/4500RPM</v>
      </c>
      <c r="C13897" s="2" t="str">
        <f t="shared" si="544"/>
        <v>UN</v>
      </c>
      <c r="D13897" s="7">
        <v>811</v>
      </c>
      <c r="E13897" s="3">
        <v>8</v>
      </c>
      <c r="F13897" s="3">
        <v>8</v>
      </c>
      <c r="G13897" t="s">
        <v>515</v>
      </c>
    </row>
    <row r="13898" spans="1:7" x14ac:dyDescent="0.25">
      <c r="A13898" s="1" t="str">
        <f>"504149"</f>
        <v>504149</v>
      </c>
      <c r="B13898" s="2" t="str">
        <f>"KIT SILICAGEL MICRO REF.0.101.000.056"</f>
        <v>KIT SILICAGEL MICRO REF.0.101.000.056</v>
      </c>
      <c r="C13898" s="2" t="str">
        <f>"BR"</f>
        <v>BR</v>
      </c>
      <c r="D13898" s="7">
        <v>808</v>
      </c>
      <c r="E13898" s="3">
        <v>10</v>
      </c>
      <c r="F13898" s="3">
        <v>10</v>
      </c>
      <c r="G13898" t="s">
        <v>512</v>
      </c>
    </row>
    <row r="13899" spans="1:7" x14ac:dyDescent="0.25">
      <c r="A13899" s="1" t="str">
        <f>"521736"</f>
        <v>521736</v>
      </c>
      <c r="B13899" s="2" t="str">
        <f>"KIT SOLUÇÃO DETERGENTE FOSS CLEAN 2X50ML 00541011"</f>
        <v>KIT SOLUÇÃO DETERGENTE FOSS CLEAN 2X50ML 00541011</v>
      </c>
      <c r="C13899" s="2" t="str">
        <f t="shared" ref="C13899:C13930" si="545">"UN"</f>
        <v>UN</v>
      </c>
      <c r="D13899" s="7">
        <v>1300</v>
      </c>
      <c r="E13899" s="3">
        <v>13</v>
      </c>
      <c r="F13899" s="3">
        <v>13</v>
      </c>
      <c r="G13899" t="s">
        <v>516</v>
      </c>
    </row>
    <row r="13900" spans="1:7" x14ac:dyDescent="0.25">
      <c r="A13900" s="1" t="str">
        <f>"527908"</f>
        <v>527908</v>
      </c>
      <c r="B13900" s="2" t="str">
        <f>"KIT SOLUCAO PADRAO 422+621 - 500ML CADA"</f>
        <v>KIT SOLUCAO PADRAO 422+621 - 500ML CADA</v>
      </c>
      <c r="C13900" s="2" t="str">
        <f t="shared" si="545"/>
        <v>UN</v>
      </c>
      <c r="D13900" s="7">
        <v>99999</v>
      </c>
      <c r="E13900" s="3">
        <v>99</v>
      </c>
      <c r="F13900" s="3">
        <v>99</v>
      </c>
      <c r="G13900" t="s">
        <v>515</v>
      </c>
    </row>
    <row r="13901" spans="1:7" x14ac:dyDescent="0.25">
      <c r="A13901" s="1" t="str">
        <f>"527887"</f>
        <v>527887</v>
      </c>
      <c r="B13901" s="2" t="str">
        <f>"KIT SUPORTE PARA ESCADA LVV"</f>
        <v>KIT SUPORTE PARA ESCADA LVV</v>
      </c>
      <c r="C13901" s="2" t="str">
        <f t="shared" si="545"/>
        <v>UN</v>
      </c>
      <c r="D13901" s="7">
        <v>917</v>
      </c>
      <c r="E13901" s="3">
        <v>10</v>
      </c>
      <c r="F13901" s="3">
        <v>10</v>
      </c>
      <c r="G13901" t="s">
        <v>514</v>
      </c>
    </row>
    <row r="13902" spans="1:7" x14ac:dyDescent="0.25">
      <c r="A13902" s="1" t="str">
        <f>"519957"</f>
        <v>519957</v>
      </c>
      <c r="B13902" s="2" t="str">
        <f>"KIT SUPORTE/CX OCTAGONAL 4X4 P/ LAJE(CONDUITE)"</f>
        <v>KIT SUPORTE/CX OCTAGONAL 4X4 P/ LAJE(CONDUITE)</v>
      </c>
      <c r="C13902" s="2" t="str">
        <f t="shared" si="545"/>
        <v>UN</v>
      </c>
      <c r="D13902" s="7">
        <v>808</v>
      </c>
      <c r="E13902" s="3">
        <v>10</v>
      </c>
      <c r="F13902" s="3">
        <v>10</v>
      </c>
      <c r="G13902" t="s">
        <v>512</v>
      </c>
    </row>
    <row r="13903" spans="1:7" x14ac:dyDescent="0.25">
      <c r="A13903" s="1" t="str">
        <f>"515378"</f>
        <v>515378</v>
      </c>
      <c r="B13903" s="2" t="str">
        <f>"KIT T1000"</f>
        <v>KIT T1000</v>
      </c>
      <c r="C13903" s="2" t="str">
        <f t="shared" si="545"/>
        <v>UN</v>
      </c>
      <c r="D13903" s="7">
        <v>401</v>
      </c>
      <c r="E13903" s="3">
        <v>4</v>
      </c>
      <c r="F13903" s="3">
        <v>4</v>
      </c>
      <c r="G13903" t="s">
        <v>513</v>
      </c>
    </row>
    <row r="13904" spans="1:7" x14ac:dyDescent="0.25">
      <c r="A13904" s="1" t="str">
        <f>"515384"</f>
        <v>515384</v>
      </c>
      <c r="B13904" s="2" t="str">
        <f>"KIT TOP PEN DRIVE"</f>
        <v>KIT TOP PEN DRIVE</v>
      </c>
      <c r="C13904" s="2" t="str">
        <f t="shared" si="545"/>
        <v>UN</v>
      </c>
      <c r="D13904" s="7">
        <v>401</v>
      </c>
      <c r="E13904" s="3">
        <v>4</v>
      </c>
      <c r="F13904" s="3">
        <v>4</v>
      </c>
      <c r="G13904" t="s">
        <v>514</v>
      </c>
    </row>
    <row r="13905" spans="1:7" x14ac:dyDescent="0.25">
      <c r="A13905" s="1" t="str">
        <f>"510792"</f>
        <v>510792</v>
      </c>
      <c r="B13905" s="2" t="str">
        <f>"KIT TRANSFRENCIA COMBUSTIVEL MB"</f>
        <v>KIT TRANSFRENCIA COMBUSTIVEL MB</v>
      </c>
      <c r="C13905" s="2" t="str">
        <f t="shared" si="545"/>
        <v>UN</v>
      </c>
      <c r="D13905" s="7">
        <v>704</v>
      </c>
      <c r="E13905" s="3">
        <v>9</v>
      </c>
      <c r="F13905" s="3">
        <v>9</v>
      </c>
      <c r="G13905" t="s">
        <v>514</v>
      </c>
    </row>
    <row r="13906" spans="1:7" x14ac:dyDescent="0.25">
      <c r="A13906" s="1" t="str">
        <f>"522569"</f>
        <v>522569</v>
      </c>
      <c r="B13906" s="2" t="str">
        <f>"KIT TRAVA DIAGONAL ANDAIME 1,50 X 1,00"</f>
        <v>KIT TRAVA DIAGONAL ANDAIME 1,50 X 1,00</v>
      </c>
      <c r="C13906" s="2" t="str">
        <f t="shared" si="545"/>
        <v>UN</v>
      </c>
      <c r="D13906" s="7">
        <v>919</v>
      </c>
      <c r="E13906" s="3">
        <v>4</v>
      </c>
      <c r="F13906" s="3">
        <v>4</v>
      </c>
      <c r="G13906" t="s">
        <v>512</v>
      </c>
    </row>
    <row r="13907" spans="1:7" x14ac:dyDescent="0.25">
      <c r="A13907" s="1" t="str">
        <f>"513450"</f>
        <v>513450</v>
      </c>
      <c r="B13907" s="2" t="str">
        <f>"KIT VALVULA"</f>
        <v>KIT VALVULA</v>
      </c>
      <c r="C13907" s="2" t="str">
        <f t="shared" si="545"/>
        <v>UN</v>
      </c>
      <c r="D13907" s="7">
        <v>918</v>
      </c>
      <c r="E13907" s="3">
        <v>11</v>
      </c>
      <c r="F13907" s="3">
        <v>11</v>
      </c>
      <c r="G13907" t="s">
        <v>513</v>
      </c>
    </row>
    <row r="13908" spans="1:7" x14ac:dyDescent="0.25">
      <c r="A13908" s="1" t="str">
        <f>"522796"</f>
        <v>522796</v>
      </c>
      <c r="B13908" s="8" t="s">
        <v>334</v>
      </c>
      <c r="C13908" s="2" t="str">
        <f t="shared" si="545"/>
        <v>UN</v>
      </c>
      <c r="D13908" s="7">
        <v>901</v>
      </c>
      <c r="E13908" s="3">
        <v>11</v>
      </c>
      <c r="F13908" s="3">
        <v>11</v>
      </c>
      <c r="G13908" t="s">
        <v>514</v>
      </c>
    </row>
    <row r="13909" spans="1:7" x14ac:dyDescent="0.25">
      <c r="A13909" s="1" t="str">
        <f>"522797"</f>
        <v>522797</v>
      </c>
      <c r="B13909" s="8" t="s">
        <v>335</v>
      </c>
      <c r="C13909" s="2" t="str">
        <f t="shared" si="545"/>
        <v>UN</v>
      </c>
      <c r="D13909" s="7">
        <v>901</v>
      </c>
      <c r="E13909" s="3">
        <v>11</v>
      </c>
      <c r="F13909" s="3">
        <v>11</v>
      </c>
      <c r="G13909" t="s">
        <v>514</v>
      </c>
    </row>
    <row r="13910" spans="1:7" x14ac:dyDescent="0.25">
      <c r="A13910" s="1" t="str">
        <f>"521653"</f>
        <v>521653</v>
      </c>
      <c r="B13910" s="2" t="str">
        <f>"KIT VEDAÇÃO"</f>
        <v>KIT VEDAÇÃO</v>
      </c>
      <c r="C13910" s="2" t="str">
        <f t="shared" si="545"/>
        <v>UN</v>
      </c>
      <c r="D13910" s="7">
        <v>99999</v>
      </c>
      <c r="E13910" s="3">
        <v>99</v>
      </c>
      <c r="F13910" s="3">
        <v>99</v>
      </c>
      <c r="G13910" t="s">
        <v>514</v>
      </c>
    </row>
    <row r="13911" spans="1:7" x14ac:dyDescent="0.25">
      <c r="A13911" s="1" t="str">
        <f>"516531"</f>
        <v>516531</v>
      </c>
      <c r="B13911" s="2" t="str">
        <f>"KIT VEDAÇÃO BOMBA HIDRAULICA LIVENZA COD.552090549524"</f>
        <v>KIT VEDAÇÃO BOMBA HIDRAULICA LIVENZA COD.552090549524</v>
      </c>
      <c r="C13911" s="2" t="str">
        <f t="shared" si="545"/>
        <v>UN</v>
      </c>
      <c r="D13911" s="7">
        <v>1400</v>
      </c>
      <c r="E13911" s="3">
        <v>16</v>
      </c>
      <c r="F13911" s="3">
        <v>16</v>
      </c>
      <c r="G13911" t="s">
        <v>513</v>
      </c>
    </row>
    <row r="13912" spans="1:7" x14ac:dyDescent="0.25">
      <c r="A13912" s="1" t="str">
        <f>"527450"</f>
        <v>527450</v>
      </c>
      <c r="B13912" s="2" t="str">
        <f>"KIT VEDAÇÃO BORRACHA VULCANIZADA 52078671"</f>
        <v>KIT VEDAÇÃO BORRACHA VULCANIZADA 52078671</v>
      </c>
      <c r="C13912" s="2" t="str">
        <f t="shared" si="545"/>
        <v>UN</v>
      </c>
      <c r="D13912" s="7">
        <v>909</v>
      </c>
      <c r="E13912" s="3">
        <v>11</v>
      </c>
      <c r="F13912" s="3">
        <v>11</v>
      </c>
      <c r="G13912" t="s">
        <v>512</v>
      </c>
    </row>
    <row r="13913" spans="1:7" x14ac:dyDescent="0.25">
      <c r="A13913" s="1" t="str">
        <f>"527449"</f>
        <v>527449</v>
      </c>
      <c r="B13913" s="2" t="str">
        <f>"KIT VEDAÇÃO BORRACHA VULCANIZADA 52079286"</f>
        <v>KIT VEDAÇÃO BORRACHA VULCANIZADA 52079286</v>
      </c>
      <c r="C13913" s="2" t="str">
        <f t="shared" si="545"/>
        <v>UN</v>
      </c>
      <c r="D13913" s="7">
        <v>909</v>
      </c>
      <c r="E13913" s="3">
        <v>11</v>
      </c>
      <c r="F13913" s="3">
        <v>11</v>
      </c>
      <c r="G13913" t="s">
        <v>513</v>
      </c>
    </row>
    <row r="13914" spans="1:7" x14ac:dyDescent="0.25">
      <c r="A13914" s="1" t="str">
        <f>"523134"</f>
        <v>523134</v>
      </c>
      <c r="B13914" s="2" t="str">
        <f>"KIT VEDAÇÃO CILINDRO CENTRAL"</f>
        <v>KIT VEDAÇÃO CILINDRO CENTRAL</v>
      </c>
      <c r="C13914" s="2" t="str">
        <f t="shared" si="545"/>
        <v>UN</v>
      </c>
      <c r="D13914" s="7">
        <v>914</v>
      </c>
      <c r="E13914" s="3">
        <v>10</v>
      </c>
      <c r="F13914" s="3">
        <v>10</v>
      </c>
      <c r="G13914" t="s">
        <v>514</v>
      </c>
    </row>
    <row r="13915" spans="1:7" x14ac:dyDescent="0.25">
      <c r="A13915" s="1" t="str">
        <f>"523133"</f>
        <v>523133</v>
      </c>
      <c r="B13915" s="2" t="str">
        <f>"KIT VEDAÇÃO CILINDRO LATERAL"</f>
        <v>KIT VEDAÇÃO CILINDRO LATERAL</v>
      </c>
      <c r="C13915" s="2" t="str">
        <f t="shared" si="545"/>
        <v>UN</v>
      </c>
      <c r="D13915" s="7">
        <v>914</v>
      </c>
      <c r="E13915" s="3">
        <v>10</v>
      </c>
      <c r="F13915" s="3">
        <v>10</v>
      </c>
      <c r="G13915" t="s">
        <v>514</v>
      </c>
    </row>
    <row r="13916" spans="1:7" x14ac:dyDescent="0.25">
      <c r="A13916" s="1" t="str">
        <f>"516092"</f>
        <v>516092</v>
      </c>
      <c r="B13916" s="2" t="str">
        <f>"KIT VEDAÇÃO COMPLETO TOMADA FORÇA TAKARADA 140503 KV140503"</f>
        <v>KIT VEDAÇÃO COMPLETO TOMADA FORÇA TAKARADA 140503 KV140503</v>
      </c>
      <c r="C13916" s="2" t="str">
        <f t="shared" si="545"/>
        <v>UN</v>
      </c>
      <c r="D13916" s="7">
        <v>704</v>
      </c>
      <c r="E13916" s="3">
        <v>9</v>
      </c>
      <c r="F13916" s="3">
        <v>9</v>
      </c>
      <c r="G13916" t="s">
        <v>514</v>
      </c>
    </row>
    <row r="13917" spans="1:7" x14ac:dyDescent="0.25">
      <c r="A13917" s="1" t="str">
        <f>"526863"</f>
        <v>526863</v>
      </c>
      <c r="B13917" s="2" t="str">
        <f>"KIT VEDAÇÃO LADO DO ATUADOR 2308592  (135704)"</f>
        <v>KIT VEDAÇÃO LADO DO ATUADOR 2308592  (135704)</v>
      </c>
      <c r="C13917" s="2" t="str">
        <f t="shared" si="545"/>
        <v>UN</v>
      </c>
      <c r="D13917" s="7">
        <v>909</v>
      </c>
      <c r="E13917" s="3">
        <v>11</v>
      </c>
      <c r="F13917" s="3">
        <v>11</v>
      </c>
      <c r="G13917" t="s">
        <v>513</v>
      </c>
    </row>
    <row r="13918" spans="1:7" x14ac:dyDescent="0.25">
      <c r="A13918" s="1" t="str">
        <f>"513815"</f>
        <v>513815</v>
      </c>
      <c r="B13918" s="2" t="str">
        <f>"KIT VEDAÇÃO MA-1250/DS-2000"</f>
        <v>KIT VEDAÇÃO MA-1250/DS-2000</v>
      </c>
      <c r="C13918" s="2" t="str">
        <f t="shared" si="545"/>
        <v>UN</v>
      </c>
      <c r="D13918" s="7">
        <v>99999</v>
      </c>
      <c r="E13918" s="3">
        <v>99</v>
      </c>
      <c r="F13918" s="3">
        <v>99</v>
      </c>
      <c r="G13918" t="s">
        <v>513</v>
      </c>
    </row>
    <row r="13919" spans="1:7" x14ac:dyDescent="0.25">
      <c r="A13919" s="1" t="str">
        <f>"510404"</f>
        <v>510404</v>
      </c>
      <c r="B13919" s="2" t="str">
        <f>"KIT VEDACAO P MOTOR BIDIRECIONAL"</f>
        <v>KIT VEDACAO P MOTOR BIDIRECIONAL</v>
      </c>
      <c r="C13919" s="2" t="str">
        <f t="shared" si="545"/>
        <v>UN</v>
      </c>
      <c r="D13919" s="7">
        <v>909</v>
      </c>
      <c r="E13919" s="3">
        <v>11</v>
      </c>
      <c r="F13919" s="3">
        <v>11</v>
      </c>
      <c r="G13919" t="s">
        <v>513</v>
      </c>
    </row>
    <row r="13920" spans="1:7" x14ac:dyDescent="0.25">
      <c r="A13920" s="1" t="str">
        <f>"524721"</f>
        <v>524721</v>
      </c>
      <c r="B13920" s="2" t="str">
        <f>"KIT VEDAÇÃO P/ VALVUA DUPLA SEDE D624 OD 2 1/2"" EPDM 2308574"</f>
        <v>KIT VEDAÇÃO P/ VALVUA DUPLA SEDE D624 OD 2 1/2" EPDM 2308574</v>
      </c>
      <c r="C13920" s="2" t="str">
        <f t="shared" si="545"/>
        <v>UN</v>
      </c>
      <c r="D13920" s="7">
        <v>909</v>
      </c>
      <c r="E13920" s="3">
        <v>11</v>
      </c>
      <c r="F13920" s="3">
        <v>11</v>
      </c>
      <c r="G13920" t="s">
        <v>512</v>
      </c>
    </row>
    <row r="13921" spans="1:7" x14ac:dyDescent="0.25">
      <c r="A13921" s="1" t="str">
        <f>"524722"</f>
        <v>524722</v>
      </c>
      <c r="B13921" s="2" t="str">
        <f>"KIT VEDAÇÃO P/ VALVULA ASSENTO OD 1"" EPDM 2140839"</f>
        <v>KIT VEDAÇÃO P/ VALVULA ASSENTO OD 1" EPDM 2140839</v>
      </c>
      <c r="C13921" s="2" t="str">
        <f t="shared" si="545"/>
        <v>UN</v>
      </c>
      <c r="D13921" s="7">
        <v>807</v>
      </c>
      <c r="E13921" s="3">
        <v>11</v>
      </c>
      <c r="F13921" s="3">
        <v>11</v>
      </c>
      <c r="G13921" t="s">
        <v>513</v>
      </c>
    </row>
    <row r="13922" spans="1:7" x14ac:dyDescent="0.25">
      <c r="A13922" s="1" t="str">
        <f>"524706"</f>
        <v>524706</v>
      </c>
      <c r="B13922" s="2" t="str">
        <f>"KIT VEDAÇÃO P/ VALVULA BORB. OD 1 1/2"" EPDM 2086064"</f>
        <v>KIT VEDAÇÃO P/ VALVULA BORB. OD 1 1/2" EPDM 2086064</v>
      </c>
      <c r="C13922" s="2" t="str">
        <f t="shared" si="545"/>
        <v>UN</v>
      </c>
      <c r="D13922" s="7">
        <v>807</v>
      </c>
      <c r="E13922" s="3">
        <v>11</v>
      </c>
      <c r="F13922" s="3">
        <v>11</v>
      </c>
      <c r="G13922" t="s">
        <v>514</v>
      </c>
    </row>
    <row r="13923" spans="1:7" x14ac:dyDescent="0.25">
      <c r="A13923" s="1" t="str">
        <f>"527448"</f>
        <v>527448</v>
      </c>
      <c r="B13923" s="2" t="str">
        <f>"KIT VEDAÇÃO P/ VALVULA BORB. OD 1"" FKM 2091962"</f>
        <v>KIT VEDAÇÃO P/ VALVULA BORB. OD 1" FKM 2091962</v>
      </c>
      <c r="C13923" s="2" t="str">
        <f t="shared" si="545"/>
        <v>UN</v>
      </c>
      <c r="D13923" s="7">
        <v>909</v>
      </c>
      <c r="E13923" s="3">
        <v>11</v>
      </c>
      <c r="F13923" s="3">
        <v>11</v>
      </c>
      <c r="G13923" t="s">
        <v>515</v>
      </c>
    </row>
    <row r="13924" spans="1:7" x14ac:dyDescent="0.25">
      <c r="A13924" s="1" t="str">
        <f>"524704"</f>
        <v>524704</v>
      </c>
      <c r="B13924" s="2" t="str">
        <f>"KIT VEDAÇÃO P/ VALVULA BORB. OD 1"" FKM 2096050"</f>
        <v>KIT VEDAÇÃO P/ VALVULA BORB. OD 1" FKM 2096050</v>
      </c>
      <c r="C13924" s="2" t="str">
        <f t="shared" si="545"/>
        <v>UN</v>
      </c>
      <c r="D13924" s="7">
        <v>909</v>
      </c>
      <c r="E13924" s="3">
        <v>11</v>
      </c>
      <c r="F13924" s="3">
        <v>11</v>
      </c>
      <c r="G13924" t="s">
        <v>512</v>
      </c>
    </row>
    <row r="13925" spans="1:7" x14ac:dyDescent="0.25">
      <c r="A13925" s="1" t="str">
        <f>"524692"</f>
        <v>524692</v>
      </c>
      <c r="B13925" s="2" t="str">
        <f>"KIT VEDAÇÃO P/ VALVULA BORB. OD 2 1/2"" EPDM 2092237"</f>
        <v>KIT VEDAÇÃO P/ VALVULA BORB. OD 2 1/2" EPDM 2092237</v>
      </c>
      <c r="C13925" s="2" t="str">
        <f t="shared" si="545"/>
        <v>UN</v>
      </c>
      <c r="D13925" s="7">
        <v>807</v>
      </c>
      <c r="E13925" s="3">
        <v>11</v>
      </c>
      <c r="F13925" s="3">
        <v>11</v>
      </c>
      <c r="G13925" t="s">
        <v>516</v>
      </c>
    </row>
    <row r="13926" spans="1:7" x14ac:dyDescent="0.25">
      <c r="A13926" s="1" t="str">
        <f>"524693"</f>
        <v>524693</v>
      </c>
      <c r="B13926" s="2" t="str">
        <f>"KIT VEDAÇÃO P/ VALVULA BORB. OD 2"" EPDM 2083866"</f>
        <v>KIT VEDAÇÃO P/ VALVULA BORB. OD 2" EPDM 2083866</v>
      </c>
      <c r="C13926" s="2" t="str">
        <f t="shared" si="545"/>
        <v>UN</v>
      </c>
      <c r="D13926" s="7">
        <v>807</v>
      </c>
      <c r="E13926" s="3">
        <v>11</v>
      </c>
      <c r="F13926" s="3">
        <v>11</v>
      </c>
      <c r="G13926" t="s">
        <v>515</v>
      </c>
    </row>
    <row r="13927" spans="1:7" x14ac:dyDescent="0.25">
      <c r="A13927" s="1" t="str">
        <f>"524707"</f>
        <v>524707</v>
      </c>
      <c r="B13927" s="2" t="str">
        <f>"KIT VEDAÇÃO P/ VALVULA BORB. OD 2"" EPDM 2083866"</f>
        <v>KIT VEDAÇÃO P/ VALVULA BORB. OD 2" EPDM 2083866</v>
      </c>
      <c r="C13927" s="2" t="str">
        <f t="shared" si="545"/>
        <v>UN</v>
      </c>
      <c r="D13927" s="7">
        <v>807</v>
      </c>
      <c r="E13927" s="3">
        <v>11</v>
      </c>
      <c r="F13927" s="3">
        <v>11</v>
      </c>
      <c r="G13927" t="s">
        <v>514</v>
      </c>
    </row>
    <row r="13928" spans="1:7" x14ac:dyDescent="0.25">
      <c r="A13928" s="1" t="str">
        <f>"524691"</f>
        <v>524691</v>
      </c>
      <c r="B13928" s="2" t="str">
        <f>"KIT VEDAÇÃO P/ VALVULA BORB. OD 3"" EPDM 2094643"</f>
        <v>KIT VEDAÇÃO P/ VALVULA BORB. OD 3" EPDM 2094643</v>
      </c>
      <c r="C13928" s="2" t="str">
        <f t="shared" si="545"/>
        <v>UN</v>
      </c>
      <c r="D13928" s="7">
        <v>807</v>
      </c>
      <c r="E13928" s="3">
        <v>11</v>
      </c>
      <c r="F13928" s="3">
        <v>11</v>
      </c>
      <c r="G13928" t="s">
        <v>512</v>
      </c>
    </row>
    <row r="13929" spans="1:7" x14ac:dyDescent="0.25">
      <c r="A13929" s="1" t="str">
        <f>"524709"</f>
        <v>524709</v>
      </c>
      <c r="B13929" s="2" t="str">
        <f>"KIT VEDAÇÃO' P/ VALVULA BORB. OD 4"" EPDM 2078299"</f>
        <v>KIT VEDAÇÃO' P/ VALVULA BORB. OD 4" EPDM 2078299</v>
      </c>
      <c r="C13929" s="2" t="str">
        <f t="shared" si="545"/>
        <v>UN</v>
      </c>
      <c r="D13929" s="7">
        <v>807</v>
      </c>
      <c r="E13929" s="3">
        <v>11</v>
      </c>
      <c r="F13929" s="3">
        <v>11</v>
      </c>
      <c r="G13929" t="s">
        <v>513</v>
      </c>
    </row>
    <row r="13930" spans="1:7" x14ac:dyDescent="0.25">
      <c r="A13930" s="1" t="str">
        <f>"524730"</f>
        <v>524730</v>
      </c>
      <c r="B13930" s="2" t="str">
        <f>"KIT VEDAÇÃO P/ VALVULA DE ALIVIO S374EAF OD 3"" EPDM 2132028"</f>
        <v>KIT VEDAÇÃO P/ VALVULA DE ALIVIO S374EAF OD 3" EPDM 2132028</v>
      </c>
      <c r="C13930" s="2" t="str">
        <f t="shared" si="545"/>
        <v>UN</v>
      </c>
      <c r="D13930" s="7">
        <v>807</v>
      </c>
      <c r="E13930" s="3">
        <v>11</v>
      </c>
      <c r="F13930" s="3">
        <v>11</v>
      </c>
      <c r="G13930" t="s">
        <v>514</v>
      </c>
    </row>
    <row r="13931" spans="1:7" x14ac:dyDescent="0.25">
      <c r="A13931" s="1" t="str">
        <f>"524727"</f>
        <v>524727</v>
      </c>
      <c r="B13931" s="2" t="str">
        <f>"KIT VEDAÇÃO P/ VALVULA DE ASSENTO OD 3"" EPDM 2134571"</f>
        <v>KIT VEDAÇÃO P/ VALVULA DE ASSENTO OD 3" EPDM 2134571</v>
      </c>
      <c r="C13931" s="2" t="str">
        <f t="shared" ref="C13931:C13958" si="546">"UN"</f>
        <v>UN</v>
      </c>
      <c r="D13931" s="7">
        <v>807</v>
      </c>
      <c r="E13931" s="3">
        <v>11</v>
      </c>
      <c r="F13931" s="3">
        <v>11</v>
      </c>
      <c r="G13931" t="s">
        <v>514</v>
      </c>
    </row>
    <row r="13932" spans="1:7" x14ac:dyDescent="0.25">
      <c r="A13932" s="1" t="str">
        <f>"524728"</f>
        <v>524728</v>
      </c>
      <c r="B13932" s="2" t="str">
        <f>"KIT VEDAÇÃO P/ VALVULA DE DESVIO OD 3"" EPDM 2134572"</f>
        <v>KIT VEDAÇÃO P/ VALVULA DE DESVIO OD 3" EPDM 2134572</v>
      </c>
      <c r="C13932" s="2" t="str">
        <f t="shared" si="546"/>
        <v>UN</v>
      </c>
      <c r="D13932" s="7">
        <v>807</v>
      </c>
      <c r="E13932" s="3">
        <v>11</v>
      </c>
      <c r="F13932" s="3">
        <v>11</v>
      </c>
      <c r="G13932" t="s">
        <v>512</v>
      </c>
    </row>
    <row r="13933" spans="1:7" x14ac:dyDescent="0.25">
      <c r="A13933" s="1" t="str">
        <f>"524723"</f>
        <v>524723</v>
      </c>
      <c r="B13933" s="2" t="str">
        <f>"KIT VEDAÇÃO P/ VALVULA DESVIO OD 2 1/2"" EPDM 2135734"</f>
        <v>KIT VEDAÇÃO P/ VALVULA DESVIO OD 2 1/2" EPDM 2135734</v>
      </c>
      <c r="C13933" s="2" t="str">
        <f t="shared" si="546"/>
        <v>UN</v>
      </c>
      <c r="D13933" s="7">
        <v>807</v>
      </c>
      <c r="E13933" s="3">
        <v>11</v>
      </c>
      <c r="F13933" s="3">
        <v>11</v>
      </c>
      <c r="G13933" t="s">
        <v>513</v>
      </c>
    </row>
    <row r="13934" spans="1:7" x14ac:dyDescent="0.25">
      <c r="A13934" s="1" t="str">
        <f>"524724"</f>
        <v>524724</v>
      </c>
      <c r="B13934" s="2" t="str">
        <f>"KIT VEDAÇÃO P/ VALVULA DUPLA OD 2 1/2"" EPDM 5134573"</f>
        <v>KIT VEDAÇÃO P/ VALVULA DUPLA OD 2 1/2" EPDM 5134573</v>
      </c>
      <c r="C13934" s="2" t="str">
        <f t="shared" si="546"/>
        <v>UN</v>
      </c>
      <c r="D13934" s="7">
        <v>807</v>
      </c>
      <c r="E13934" s="3">
        <v>11</v>
      </c>
      <c r="F13934" s="3">
        <v>11</v>
      </c>
      <c r="G13934" t="s">
        <v>514</v>
      </c>
    </row>
    <row r="13935" spans="1:7" x14ac:dyDescent="0.25">
      <c r="A13935" s="1" t="str">
        <f>"524726"</f>
        <v>524726</v>
      </c>
      <c r="B13935" s="2" t="str">
        <f>"KIT VEDAÇÃO P/ VALVULA DUPLASEDE D651 OD 2 1/2"" EPDM 2161816"</f>
        <v>KIT VEDAÇÃO P/ VALVULA DUPLASEDE D651 OD 2 1/2" EPDM 2161816</v>
      </c>
      <c r="C13935" s="2" t="str">
        <f t="shared" si="546"/>
        <v>UN</v>
      </c>
      <c r="D13935" s="7">
        <v>909</v>
      </c>
      <c r="E13935" s="3">
        <v>11</v>
      </c>
      <c r="F13935" s="3">
        <v>11</v>
      </c>
      <c r="G13935" t="s">
        <v>514</v>
      </c>
    </row>
    <row r="13936" spans="1:7" x14ac:dyDescent="0.25">
      <c r="A13936" s="1" t="str">
        <f>"524732"</f>
        <v>524732</v>
      </c>
      <c r="B13936" s="2" t="str">
        <f>"KIT VEDAÇÃO P/ VALVULA ESFERA OD 1 1/2"" PTFE 2038438"</f>
        <v>KIT VEDAÇÃO P/ VALVULA ESFERA OD 1 1/2" PTFE 2038438</v>
      </c>
      <c r="C13936" s="2" t="str">
        <f t="shared" si="546"/>
        <v>UN</v>
      </c>
      <c r="D13936" s="7">
        <v>807</v>
      </c>
      <c r="E13936" s="3">
        <v>11</v>
      </c>
      <c r="F13936" s="3">
        <v>11</v>
      </c>
      <c r="G13936" t="s">
        <v>514</v>
      </c>
    </row>
    <row r="13937" spans="1:7" x14ac:dyDescent="0.25">
      <c r="A13937" s="1" t="str">
        <f>"524701"</f>
        <v>524701</v>
      </c>
      <c r="B13937" s="2" t="str">
        <f>"KIT VEDAÇÃO P/ VALVULA ESFERA OD 2 1/2"" PTFE 2000975"</f>
        <v>KIT VEDAÇÃO P/ VALVULA ESFERA OD 2 1/2" PTFE 2000975</v>
      </c>
      <c r="C13937" s="2" t="str">
        <f t="shared" si="546"/>
        <v>UN</v>
      </c>
      <c r="D13937" s="7">
        <v>807</v>
      </c>
      <c r="E13937" s="3">
        <v>11</v>
      </c>
      <c r="F13937" s="3">
        <v>11</v>
      </c>
      <c r="G13937" t="s">
        <v>513</v>
      </c>
    </row>
    <row r="13938" spans="1:7" x14ac:dyDescent="0.25">
      <c r="A13938" s="1" t="str">
        <f>"524733"</f>
        <v>524733</v>
      </c>
      <c r="B13938" s="2" t="str">
        <f>"KIT VEDAÇÃO P/ VALVULA ESFERA OD 2"" PTFE 20000638"</f>
        <v>KIT VEDAÇÃO P/ VALVULA ESFERA OD 2" PTFE 20000638</v>
      </c>
      <c r="C13938" s="2" t="str">
        <f t="shared" si="546"/>
        <v>UN</v>
      </c>
      <c r="D13938" s="7">
        <v>807</v>
      </c>
      <c r="E13938" s="3">
        <v>11</v>
      </c>
      <c r="F13938" s="3">
        <v>11</v>
      </c>
      <c r="G13938" t="s">
        <v>512</v>
      </c>
    </row>
    <row r="13939" spans="1:7" x14ac:dyDescent="0.25">
      <c r="A13939" s="1" t="str">
        <f>"524734"</f>
        <v>524734</v>
      </c>
      <c r="B13939" s="2" t="str">
        <f>"KIT VEDAÇÃO P/ VALVULA ESFERA OD 3"" PTFE 2016575"</f>
        <v>KIT VEDAÇÃO P/ VALVULA ESFERA OD 3" PTFE 2016575</v>
      </c>
      <c r="C13939" s="2" t="str">
        <f t="shared" si="546"/>
        <v>UN</v>
      </c>
      <c r="D13939" s="7">
        <v>807</v>
      </c>
      <c r="E13939" s="3">
        <v>11</v>
      </c>
      <c r="F13939" s="3">
        <v>11</v>
      </c>
      <c r="G13939" t="s">
        <v>513</v>
      </c>
    </row>
    <row r="13940" spans="1:7" x14ac:dyDescent="0.25">
      <c r="A13940" s="1" t="str">
        <f>"524735"</f>
        <v>524735</v>
      </c>
      <c r="B13940" s="2" t="str">
        <f>"KIT VEDAÇÃO P/ VALVULA ESFERA OD 4"" PTFE 2013591"</f>
        <v>KIT VEDAÇÃO P/ VALVULA ESFERA OD 4" PTFE 2013591</v>
      </c>
      <c r="C13940" s="2" t="str">
        <f t="shared" si="546"/>
        <v>UN</v>
      </c>
      <c r="D13940" s="7">
        <v>807</v>
      </c>
      <c r="E13940" s="3">
        <v>11</v>
      </c>
      <c r="F13940" s="3">
        <v>11</v>
      </c>
      <c r="G13940" t="s">
        <v>514</v>
      </c>
    </row>
    <row r="13941" spans="1:7" x14ac:dyDescent="0.25">
      <c r="A13941" s="1" t="str">
        <f>"524729"</f>
        <v>524729</v>
      </c>
      <c r="B13941" s="2" t="str">
        <f>"KIT VEDAÇÃO P/ VALVULA FUNDO DE TQ OD 3"" EPDM 2134571"</f>
        <v>KIT VEDAÇÃO P/ VALVULA FUNDO DE TQ OD 3" EPDM 2134571</v>
      </c>
      <c r="C13941" s="2" t="str">
        <f t="shared" si="546"/>
        <v>UN</v>
      </c>
      <c r="D13941" s="7">
        <v>807</v>
      </c>
      <c r="E13941" s="3">
        <v>11</v>
      </c>
      <c r="F13941" s="3">
        <v>11</v>
      </c>
      <c r="G13941" t="s">
        <v>514</v>
      </c>
    </row>
    <row r="13942" spans="1:7" x14ac:dyDescent="0.25">
      <c r="A13942" s="1" t="str">
        <f>"524725"</f>
        <v>524725</v>
      </c>
      <c r="B13942" s="2" t="str">
        <f>"KIT VEDAÇÃO P/ VALVULA FUNDO TQ OD 2 1/2"" EPDM 2134574"</f>
        <v>KIT VEDAÇÃO P/ VALVULA FUNDO TQ OD 2 1/2" EPDM 2134574</v>
      </c>
      <c r="C13942" s="2" t="str">
        <f t="shared" si="546"/>
        <v>UN</v>
      </c>
      <c r="D13942" s="7">
        <v>807</v>
      </c>
      <c r="E13942" s="3">
        <v>11</v>
      </c>
      <c r="F13942" s="3">
        <v>11</v>
      </c>
      <c r="G13942" t="s">
        <v>514</v>
      </c>
    </row>
    <row r="13943" spans="1:7" x14ac:dyDescent="0.25">
      <c r="A13943" s="1" t="str">
        <f>"524731"</f>
        <v>524731</v>
      </c>
      <c r="B13943" s="2" t="str">
        <f>"KIT VEDAÇÃO P/ VALVULA FUNDO TQ OD 2 1/2"" EPDM 2134574"</f>
        <v>KIT VEDAÇÃO P/ VALVULA FUNDO TQ OD 2 1/2" EPDM 2134574</v>
      </c>
      <c r="C13943" s="2" t="str">
        <f t="shared" si="546"/>
        <v>UN</v>
      </c>
      <c r="D13943" s="7">
        <v>807</v>
      </c>
      <c r="E13943" s="3">
        <v>11</v>
      </c>
      <c r="F13943" s="3">
        <v>11</v>
      </c>
      <c r="G13943" t="s">
        <v>513</v>
      </c>
    </row>
    <row r="13944" spans="1:7" x14ac:dyDescent="0.25">
      <c r="A13944" s="1" t="str">
        <f>"524711"</f>
        <v>524711</v>
      </c>
      <c r="B13944" s="2" t="str">
        <f>"KIT VEDAÇÃO P/ VALVULA RETENÇÃO OD 1"" FKM 2026830"</f>
        <v>KIT VEDAÇÃO P/ VALVULA RETENÇÃO OD 1" FKM 2026830</v>
      </c>
      <c r="C13944" s="2" t="str">
        <f t="shared" si="546"/>
        <v>UN</v>
      </c>
      <c r="D13944" s="7">
        <v>807</v>
      </c>
      <c r="E13944" s="3">
        <v>11</v>
      </c>
      <c r="F13944" s="3">
        <v>11</v>
      </c>
      <c r="G13944" t="s">
        <v>513</v>
      </c>
    </row>
    <row r="13945" spans="1:7" x14ac:dyDescent="0.25">
      <c r="A13945" s="1" t="str">
        <f>"515911"</f>
        <v>515911</v>
      </c>
      <c r="B13945" s="2" t="str">
        <f>"KIT VEDAÇÃO REDA RE100"</f>
        <v>KIT VEDAÇÃO REDA RE100</v>
      </c>
      <c r="C13945" s="2" t="str">
        <f t="shared" si="546"/>
        <v>UN</v>
      </c>
      <c r="D13945" s="7">
        <v>909</v>
      </c>
      <c r="E13945" s="3">
        <v>11</v>
      </c>
      <c r="F13945" s="3">
        <v>11</v>
      </c>
      <c r="G13945" t="s">
        <v>513</v>
      </c>
    </row>
    <row r="13946" spans="1:7" x14ac:dyDescent="0.25">
      <c r="A13946" s="1" t="str">
        <f>"524699"</f>
        <v>524699</v>
      </c>
      <c r="B13946" s="2" t="str">
        <f>"KIT VEDAÇÃO VALVULA DESVIO OD 2 1/2"" EPDM 2135734"</f>
        <v>KIT VEDAÇÃO VALVULA DESVIO OD 2 1/2" EPDM 2135734</v>
      </c>
      <c r="C13946" s="2" t="str">
        <f t="shared" si="546"/>
        <v>UN</v>
      </c>
      <c r="D13946" s="7">
        <v>807</v>
      </c>
      <c r="E13946" s="3">
        <v>11</v>
      </c>
      <c r="F13946" s="3">
        <v>11</v>
      </c>
      <c r="G13946" t="s">
        <v>512</v>
      </c>
    </row>
    <row r="13947" spans="1:7" x14ac:dyDescent="0.25">
      <c r="A13947" s="1" t="str">
        <f>"524700"</f>
        <v>524700</v>
      </c>
      <c r="B13947" s="2" t="str">
        <f>"KIT VEDAÇÃO VALVULA DESVIO OD 2"" EPDM 2135734"</f>
        <v>KIT VEDAÇÃO VALVULA DESVIO OD 2" EPDM 2135734</v>
      </c>
      <c r="C13947" s="2" t="str">
        <f t="shared" si="546"/>
        <v>UN</v>
      </c>
      <c r="D13947" s="7">
        <v>807</v>
      </c>
      <c r="E13947" s="3">
        <v>11</v>
      </c>
      <c r="F13947" s="3">
        <v>11</v>
      </c>
      <c r="G13947" t="s">
        <v>513</v>
      </c>
    </row>
    <row r="13948" spans="1:7" x14ac:dyDescent="0.25">
      <c r="A13948" s="1" t="str">
        <f>"524696"</f>
        <v>524696</v>
      </c>
      <c r="B13948" s="2" t="str">
        <f>"KIT VEDAÇÃO VALVULA DESVIO OD 3"" EPDM 2134572"</f>
        <v>KIT VEDAÇÃO VALVULA DESVIO OD 3" EPDM 2134572</v>
      </c>
      <c r="C13948" s="2" t="str">
        <f t="shared" si="546"/>
        <v>UN</v>
      </c>
      <c r="D13948" s="7">
        <v>807</v>
      </c>
      <c r="E13948" s="3">
        <v>11</v>
      </c>
      <c r="F13948" s="3">
        <v>11</v>
      </c>
      <c r="G13948" t="s">
        <v>514</v>
      </c>
    </row>
    <row r="13949" spans="1:7" x14ac:dyDescent="0.25">
      <c r="A13949" s="1" t="str">
        <f>"525439"</f>
        <v>525439</v>
      </c>
      <c r="B13949" s="2" t="str">
        <f>"KIT VEDAÇÃO VALVULA PRESSÃO COR T725K OD 3 2162752"</f>
        <v>KIT VEDAÇÃO VALVULA PRESSÃO COR T725K OD 3 2162752</v>
      </c>
      <c r="C13949" s="2" t="str">
        <f t="shared" si="546"/>
        <v>UN</v>
      </c>
      <c r="D13949" s="7">
        <v>807</v>
      </c>
      <c r="E13949" s="3">
        <v>11</v>
      </c>
      <c r="F13949" s="3">
        <v>11</v>
      </c>
      <c r="G13949" t="s">
        <v>515</v>
      </c>
    </row>
    <row r="13950" spans="1:7" x14ac:dyDescent="0.25">
      <c r="A13950" s="1" t="str">
        <f>"524697"</f>
        <v>524697</v>
      </c>
      <c r="B13950" s="2" t="str">
        <f>"KIT VEDAÇÃO VALVULA RETENÇÃO OD 2 1/2"" EPDM 2094373"</f>
        <v>KIT VEDAÇÃO VALVULA RETENÇÃO OD 2 1/2" EPDM 2094373</v>
      </c>
      <c r="C13950" s="2" t="str">
        <f t="shared" si="546"/>
        <v>UN</v>
      </c>
      <c r="D13950" s="7">
        <v>807</v>
      </c>
      <c r="E13950" s="3">
        <v>11</v>
      </c>
      <c r="F13950" s="3">
        <v>11</v>
      </c>
      <c r="G13950" t="s">
        <v>512</v>
      </c>
    </row>
    <row r="13951" spans="1:7" x14ac:dyDescent="0.25">
      <c r="A13951" s="1" t="str">
        <f>"524698"</f>
        <v>524698</v>
      </c>
      <c r="B13951" s="2" t="str">
        <f>"KIT VEDAÇÃO VALVULA RETENÇÃO OD 2"" EPDM 5021688"</f>
        <v>KIT VEDAÇÃO VALVULA RETENÇÃO OD 2" EPDM 5021688</v>
      </c>
      <c r="C13951" s="2" t="str">
        <f t="shared" si="546"/>
        <v>UN</v>
      </c>
      <c r="D13951" s="7">
        <v>807</v>
      </c>
      <c r="E13951" s="3">
        <v>11</v>
      </c>
      <c r="F13951" s="3">
        <v>11</v>
      </c>
      <c r="G13951" t="s">
        <v>516</v>
      </c>
    </row>
    <row r="13952" spans="1:7" x14ac:dyDescent="0.25">
      <c r="A13952" s="1" t="str">
        <f>"522453"</f>
        <v>522453</v>
      </c>
      <c r="B13952" s="2" t="str">
        <f>"KIT VENTILAÇÃO VENTILADORES - PRETO"</f>
        <v>KIT VENTILAÇÃO VENTILADORES - PRETO</v>
      </c>
      <c r="C13952" s="2" t="str">
        <f t="shared" si="546"/>
        <v>UN</v>
      </c>
      <c r="D13952" s="7">
        <v>99999</v>
      </c>
      <c r="E13952" s="3">
        <v>99</v>
      </c>
      <c r="F13952" s="3">
        <v>99</v>
      </c>
      <c r="G13952" t="s">
        <v>515</v>
      </c>
    </row>
    <row r="13953" spans="1:7" x14ac:dyDescent="0.25">
      <c r="A13953" s="1" t="str">
        <f>"522213"</f>
        <v>522213</v>
      </c>
      <c r="B13953" s="2" t="str">
        <f>"KIT VISOR POLICARBONATO 600MM X 800MM X 50MM"</f>
        <v>KIT VISOR POLICARBONATO 600MM X 800MM X 50MM</v>
      </c>
      <c r="C13953" s="2" t="str">
        <f t="shared" si="546"/>
        <v>UN</v>
      </c>
      <c r="D13953" s="7">
        <v>803</v>
      </c>
      <c r="E13953" s="3">
        <v>10</v>
      </c>
      <c r="F13953" s="3">
        <v>10</v>
      </c>
      <c r="G13953" t="s">
        <v>514</v>
      </c>
    </row>
    <row r="13954" spans="1:7" x14ac:dyDescent="0.25">
      <c r="A13954" s="1" t="str">
        <f>"522108"</f>
        <v>522108</v>
      </c>
      <c r="B13954" s="2" t="str">
        <f>"KIT. MANOPLA/PROL/EIXO.29338/LV429338 P/CVS"</f>
        <v>KIT. MANOPLA/PROL/EIXO.29338/LV429338 P/CVS</v>
      </c>
      <c r="C13954" s="2" t="str">
        <f t="shared" si="546"/>
        <v>UN</v>
      </c>
      <c r="D13954" s="7">
        <v>811</v>
      </c>
      <c r="E13954" s="3">
        <v>8</v>
      </c>
      <c r="F13954" s="3">
        <v>8</v>
      </c>
      <c r="G13954" t="s">
        <v>512</v>
      </c>
    </row>
    <row r="13955" spans="1:7" x14ac:dyDescent="0.25">
      <c r="A13955" s="1" t="str">
        <f>"523859"</f>
        <v>523859</v>
      </c>
      <c r="B13955" s="8" t="s">
        <v>369</v>
      </c>
      <c r="C13955" s="2" t="str">
        <f t="shared" si="546"/>
        <v>UN</v>
      </c>
      <c r="D13955" s="7">
        <v>406</v>
      </c>
      <c r="E13955" s="3">
        <v>13</v>
      </c>
      <c r="F13955" s="3">
        <v>13</v>
      </c>
      <c r="G13955" t="s">
        <v>513</v>
      </c>
    </row>
    <row r="13956" spans="1:7" x14ac:dyDescent="0.25">
      <c r="A13956" s="1" t="str">
        <f>"524621"</f>
        <v>524621</v>
      </c>
      <c r="B13956" s="8" t="s">
        <v>395</v>
      </c>
      <c r="C13956" s="2" t="str">
        <f t="shared" si="546"/>
        <v>UN</v>
      </c>
      <c r="D13956" s="7">
        <v>406</v>
      </c>
      <c r="E13956" s="3">
        <v>13</v>
      </c>
      <c r="F13956" s="3">
        <v>13</v>
      </c>
      <c r="G13956" t="s">
        <v>514</v>
      </c>
    </row>
    <row r="13957" spans="1:7" x14ac:dyDescent="0.25">
      <c r="A13957" s="1" t="str">
        <f>"515759"</f>
        <v>515759</v>
      </c>
      <c r="B13957" s="2" t="str">
        <f>"KITS DE 180GRS DE POSICIONADORA"</f>
        <v>KITS DE 180GRS DE POSICIONADORA</v>
      </c>
      <c r="C13957" s="2" t="str">
        <f t="shared" si="546"/>
        <v>UN</v>
      </c>
      <c r="D13957" s="7">
        <v>1300</v>
      </c>
      <c r="E13957" s="3">
        <v>13</v>
      </c>
      <c r="F13957" s="3">
        <v>13</v>
      </c>
      <c r="G13957" t="s">
        <v>514</v>
      </c>
    </row>
    <row r="13958" spans="1:7" x14ac:dyDescent="0.25">
      <c r="A13958" s="1" t="str">
        <f>"515237"</f>
        <v>515237</v>
      </c>
      <c r="B13958" s="2" t="str">
        <f>"KIWI"</f>
        <v>KIWI</v>
      </c>
      <c r="C13958" s="2" t="str">
        <f t="shared" si="546"/>
        <v>UN</v>
      </c>
      <c r="D13958" s="7">
        <v>401</v>
      </c>
      <c r="E13958" s="3">
        <v>4</v>
      </c>
      <c r="F13958" s="3">
        <v>4</v>
      </c>
      <c r="G13958" t="s">
        <v>512</v>
      </c>
    </row>
    <row r="13959" spans="1:7" x14ac:dyDescent="0.25">
      <c r="A13959" s="1" t="str">
        <f>"514821"</f>
        <v>514821</v>
      </c>
      <c r="B13959" s="2" t="str">
        <f>"KK IOGEL DV 40 A-3914"</f>
        <v>KK IOGEL DV 40 A-3914</v>
      </c>
      <c r="C13959" s="2" t="str">
        <f>"KG"</f>
        <v>KG</v>
      </c>
      <c r="D13959" s="7">
        <v>209</v>
      </c>
      <c r="E13959" s="3">
        <v>2</v>
      </c>
      <c r="F13959" s="3">
        <v>2</v>
      </c>
      <c r="G13959" t="s">
        <v>513</v>
      </c>
    </row>
    <row r="13960" spans="1:7" x14ac:dyDescent="0.25">
      <c r="A13960" s="1" t="str">
        <f>"900"</f>
        <v>900</v>
      </c>
      <c r="B13960" s="2" t="str">
        <f>"KK IOGEL HM 35A - 4903"</f>
        <v>KK IOGEL HM 35A - 4903</v>
      </c>
      <c r="C13960" s="2" t="str">
        <f>"KG"</f>
        <v>KG</v>
      </c>
      <c r="D13960" s="7">
        <v>209</v>
      </c>
      <c r="E13960" s="3">
        <v>2</v>
      </c>
      <c r="F13960" s="3">
        <v>2</v>
      </c>
      <c r="G13960" t="s">
        <v>514</v>
      </c>
    </row>
    <row r="13961" spans="1:7" x14ac:dyDescent="0.25">
      <c r="A13961" s="1" t="str">
        <f>"514944"</f>
        <v>514944</v>
      </c>
      <c r="B13961" s="2" t="str">
        <f>"KK IOGEL ZLC 80 A-3963"</f>
        <v>KK IOGEL ZLC 80 A-3963</v>
      </c>
      <c r="C13961" s="2" t="str">
        <f>"KG"</f>
        <v>KG</v>
      </c>
      <c r="D13961" s="7">
        <v>209</v>
      </c>
      <c r="E13961" s="3">
        <v>2</v>
      </c>
      <c r="F13961" s="3">
        <v>2</v>
      </c>
      <c r="G13961" t="s">
        <v>514</v>
      </c>
    </row>
    <row r="13962" spans="1:7" x14ac:dyDescent="0.25">
      <c r="A13962" s="1" t="str">
        <f>"524888"</f>
        <v>524888</v>
      </c>
      <c r="B13962" s="2" t="str">
        <f>"KLARIN (POLICLORETO DE ALUMINIO 18%)  DENS. 1,3KG"</f>
        <v>KLARIN (POLICLORETO DE ALUMINIO 18%)  DENS. 1,3KG</v>
      </c>
      <c r="C13962" s="2" t="str">
        <f t="shared" ref="C13962:C13976" si="547">"UN"</f>
        <v>UN</v>
      </c>
      <c r="D13962" s="7">
        <v>99999</v>
      </c>
      <c r="E13962" s="3">
        <v>99</v>
      </c>
      <c r="F13962" s="3">
        <v>99</v>
      </c>
      <c r="G13962" t="s">
        <v>514</v>
      </c>
    </row>
    <row r="13963" spans="1:7" x14ac:dyDescent="0.25">
      <c r="A13963" s="1" t="str">
        <f>"514007"</f>
        <v>514007</v>
      </c>
      <c r="B13963" s="2" t="str">
        <f>"KNOB ORIGO"</f>
        <v>KNOB ORIGO</v>
      </c>
      <c r="C13963" s="2" t="str">
        <f t="shared" si="547"/>
        <v>UN</v>
      </c>
      <c r="D13963" s="7">
        <v>811</v>
      </c>
      <c r="E13963" s="3">
        <v>8</v>
      </c>
      <c r="F13963" s="3">
        <v>8</v>
      </c>
      <c r="G13963" t="s">
        <v>513</v>
      </c>
    </row>
    <row r="13964" spans="1:7" x14ac:dyDescent="0.25">
      <c r="A13964" s="1" t="str">
        <f>"523073"</f>
        <v>523073</v>
      </c>
      <c r="B13964" s="2" t="str">
        <f>"KOLLAGENASE 10MG"</f>
        <v>KOLLAGENASE 10MG</v>
      </c>
      <c r="C13964" s="2" t="str">
        <f t="shared" si="547"/>
        <v>UN</v>
      </c>
      <c r="D13964" s="7">
        <v>401</v>
      </c>
      <c r="E13964" s="3">
        <v>4</v>
      </c>
      <c r="F13964" s="3">
        <v>4</v>
      </c>
      <c r="G13964" t="s">
        <v>512</v>
      </c>
    </row>
    <row r="13965" spans="1:7" x14ac:dyDescent="0.25">
      <c r="A13965" s="1" t="str">
        <f>"523259"</f>
        <v>523259</v>
      </c>
      <c r="B13965" s="2" t="str">
        <f>"K-O-M CABO INTERL. LMI-02 20M"</f>
        <v>K-O-M CABO INTERL. LMI-02 20M</v>
      </c>
      <c r="C13965" s="2" t="str">
        <f t="shared" si="547"/>
        <v>UN</v>
      </c>
      <c r="D13965" s="7">
        <v>400</v>
      </c>
      <c r="E13965" s="3">
        <v>4</v>
      </c>
      <c r="F13965" s="3">
        <v>4</v>
      </c>
      <c r="G13965" t="s">
        <v>513</v>
      </c>
    </row>
    <row r="13966" spans="1:7" x14ac:dyDescent="0.25">
      <c r="A13966" s="1" t="str">
        <f>"523260"</f>
        <v>523260</v>
      </c>
      <c r="B13966" s="2" t="str">
        <f>"K-O-M CELULA COND.P/LMI-02"</f>
        <v>K-O-M CELULA COND.P/LMI-02</v>
      </c>
      <c r="C13966" s="2" t="str">
        <f t="shared" si="547"/>
        <v>UN</v>
      </c>
      <c r="D13966" s="7">
        <v>400</v>
      </c>
      <c r="E13966" s="3">
        <v>4</v>
      </c>
      <c r="F13966" s="3">
        <v>4</v>
      </c>
      <c r="G13966" t="s">
        <v>514</v>
      </c>
    </row>
    <row r="13967" spans="1:7" x14ac:dyDescent="0.25">
      <c r="A13967" s="1" t="str">
        <f>"523261"</f>
        <v>523261</v>
      </c>
      <c r="B13967" s="2" t="str">
        <f>"K-O-M FLANGE P/CELULA CONDUTI"</f>
        <v>K-O-M FLANGE P/CELULA CONDUTI</v>
      </c>
      <c r="C13967" s="2" t="str">
        <f t="shared" si="547"/>
        <v>UN</v>
      </c>
      <c r="D13967" s="7">
        <v>400</v>
      </c>
      <c r="E13967" s="3">
        <v>4</v>
      </c>
      <c r="F13967" s="3">
        <v>4</v>
      </c>
      <c r="G13967" t="s">
        <v>514</v>
      </c>
    </row>
    <row r="13968" spans="1:7" x14ac:dyDescent="0.25">
      <c r="A13968" s="1" t="str">
        <f>"523258"</f>
        <v>523258</v>
      </c>
      <c r="B13968" s="2" t="str">
        <f>"K-O-M LMI 02 TIMER"</f>
        <v>K-O-M LMI 02 TIMER</v>
      </c>
      <c r="C13968" s="2" t="str">
        <f t="shared" si="547"/>
        <v>UN</v>
      </c>
      <c r="D13968" s="7">
        <v>400</v>
      </c>
      <c r="E13968" s="3">
        <v>4</v>
      </c>
      <c r="F13968" s="3">
        <v>4</v>
      </c>
      <c r="G13968" t="s">
        <v>514</v>
      </c>
    </row>
    <row r="13969" spans="1:7" x14ac:dyDescent="0.25">
      <c r="A13969" s="1" t="str">
        <f>"514954"</f>
        <v>514954</v>
      </c>
      <c r="B13969" s="2" t="str">
        <f>"K-OTHRINE SC 25"</f>
        <v>K-OTHRINE SC 25</v>
      </c>
      <c r="C13969" s="2" t="str">
        <f t="shared" si="547"/>
        <v>UN</v>
      </c>
      <c r="D13969" s="7">
        <v>401</v>
      </c>
      <c r="E13969" s="3">
        <v>4</v>
      </c>
      <c r="F13969" s="3">
        <v>4</v>
      </c>
      <c r="G13969" t="s">
        <v>513</v>
      </c>
    </row>
    <row r="13970" spans="1:7" x14ac:dyDescent="0.25">
      <c r="A13970" s="1" t="str">
        <f>"510907"</f>
        <v>510907</v>
      </c>
      <c r="B13970" s="2" t="str">
        <f>"KPO"</f>
        <v>KPO</v>
      </c>
      <c r="C13970" s="2" t="str">
        <f t="shared" si="547"/>
        <v>UN</v>
      </c>
      <c r="D13970" s="7">
        <v>900</v>
      </c>
      <c r="E13970" s="3">
        <v>11</v>
      </c>
      <c r="F13970" s="3">
        <v>11</v>
      </c>
      <c r="G13970" t="s">
        <v>513</v>
      </c>
    </row>
    <row r="13971" spans="1:7" x14ac:dyDescent="0.25">
      <c r="A13971" s="1" t="str">
        <f>"519291"</f>
        <v>519291</v>
      </c>
      <c r="B13971" s="2" t="str">
        <f>"KURAMED 20MG SOL TOP SPRAY 50ML"</f>
        <v>KURAMED 20MG SOL TOP SPRAY 50ML</v>
      </c>
      <c r="C13971" s="2" t="str">
        <f t="shared" si="547"/>
        <v>UN</v>
      </c>
      <c r="D13971" s="7">
        <v>401</v>
      </c>
      <c r="E13971" s="3">
        <v>4</v>
      </c>
      <c r="F13971" s="3">
        <v>4</v>
      </c>
      <c r="G13971" t="s">
        <v>513</v>
      </c>
    </row>
    <row r="13972" spans="1:7" x14ac:dyDescent="0.25">
      <c r="A13972" s="1" t="str">
        <f>"525007"</f>
        <v>525007</v>
      </c>
      <c r="B13972" s="2" t="str">
        <f>"L (L-RING GASKET) EPDM P/ MAGTRAP 135-2 1/5"""</f>
        <v>L (L-RING GASKET) EPDM P/ MAGTRAP 135-2 1/5"</v>
      </c>
      <c r="C13972" s="2" t="str">
        <f t="shared" si="547"/>
        <v>UN</v>
      </c>
      <c r="D13972" s="7">
        <v>909</v>
      </c>
      <c r="E13972" s="3">
        <v>11</v>
      </c>
      <c r="F13972" s="3">
        <v>11</v>
      </c>
      <c r="G13972" t="s">
        <v>512</v>
      </c>
    </row>
    <row r="13973" spans="1:7" x14ac:dyDescent="0.25">
      <c r="A13973" s="1" t="str">
        <f>"3551"</f>
        <v>3551</v>
      </c>
      <c r="B13973" s="2" t="str">
        <f>"L. FERM.BIO BALANCE AMEIXA 170G C/25UN GMB CAROLINA YOPLAIT"</f>
        <v>L. FERM.BIO BALANCE AMEIXA 170G C/25UN GMB CAROLINA YOPLAIT</v>
      </c>
      <c r="C13973" s="2" t="str">
        <f t="shared" si="547"/>
        <v>UN</v>
      </c>
      <c r="D13973" s="7">
        <v>10</v>
      </c>
      <c r="E13973" s="3">
        <v>6</v>
      </c>
      <c r="F13973" s="3">
        <v>6</v>
      </c>
      <c r="G13973" t="s">
        <v>513</v>
      </c>
    </row>
    <row r="13974" spans="1:7" x14ac:dyDescent="0.25">
      <c r="A13974" s="1" t="str">
        <f>"3541"</f>
        <v>3541</v>
      </c>
      <c r="B13974" s="2" t="str">
        <f>"L. FERM.BIO BALANCE AMEIXA 900G C/15UN GMB CAROLINA YOPLAIT"</f>
        <v>L. FERM.BIO BALANCE AMEIXA 900G C/15UN GMB CAROLINA YOPLAIT</v>
      </c>
      <c r="C13974" s="2" t="str">
        <f t="shared" si="547"/>
        <v>UN</v>
      </c>
      <c r="D13974" s="7">
        <v>16</v>
      </c>
      <c r="E13974" s="3">
        <v>6</v>
      </c>
      <c r="F13974" s="3">
        <v>6</v>
      </c>
      <c r="G13974" t="s">
        <v>514</v>
      </c>
    </row>
    <row r="13975" spans="1:7" x14ac:dyDescent="0.25">
      <c r="A13975" s="1" t="str">
        <f>"3550"</f>
        <v>3550</v>
      </c>
      <c r="B13975" s="2" t="str">
        <f>"L. FERM.BIOBALANCE MORANGO 170G C/25UN GMB CAROLINA YOPLAIT"</f>
        <v>L. FERM.BIOBALANCE MORANGO 170G C/25UN GMB CAROLINA YOPLAIT</v>
      </c>
      <c r="C13975" s="2" t="str">
        <f t="shared" si="547"/>
        <v>UN</v>
      </c>
      <c r="D13975" s="7">
        <v>10</v>
      </c>
      <c r="E13975" s="3">
        <v>6</v>
      </c>
      <c r="F13975" s="3">
        <v>6</v>
      </c>
      <c r="G13975" t="s">
        <v>515</v>
      </c>
    </row>
    <row r="13976" spans="1:7" x14ac:dyDescent="0.25">
      <c r="A13976" s="1" t="str">
        <f>"3540"</f>
        <v>3540</v>
      </c>
      <c r="B13976" s="2" t="str">
        <f>"L. FERM.BIOBALANCE MORANGO 900G C/15UN GMB CAROLINA YOPLAIT"</f>
        <v>L. FERM.BIOBALANCE MORANGO 900G C/15UN GMB CAROLINA YOPLAIT</v>
      </c>
      <c r="C13976" s="2" t="str">
        <f t="shared" si="547"/>
        <v>UN</v>
      </c>
      <c r="D13976" s="7">
        <v>16</v>
      </c>
      <c r="E13976" s="3">
        <v>6</v>
      </c>
      <c r="F13976" s="3">
        <v>6</v>
      </c>
      <c r="G13976" t="s">
        <v>512</v>
      </c>
    </row>
    <row r="13977" spans="1:7" x14ac:dyDescent="0.25">
      <c r="A13977" s="1" t="str">
        <f>"513557"</f>
        <v>513557</v>
      </c>
      <c r="B13977" s="2" t="str">
        <f>"LÃ DE ROCHA 3/4 X 50MM"</f>
        <v>LÃ DE ROCHA 3/4 X 50MM</v>
      </c>
      <c r="C13977" s="2" t="str">
        <f>"MT"</f>
        <v>MT</v>
      </c>
      <c r="D13977" s="7">
        <v>808</v>
      </c>
      <c r="E13977" s="3">
        <v>10</v>
      </c>
      <c r="F13977" s="3">
        <v>10</v>
      </c>
      <c r="G13977" t="s">
        <v>516</v>
      </c>
    </row>
    <row r="13978" spans="1:7" x14ac:dyDescent="0.25">
      <c r="A13978" s="1" t="str">
        <f>"516062"</f>
        <v>516062</v>
      </c>
      <c r="B13978" s="2" t="str">
        <f>"LÃ DE ROCHA 9MT LARGURA 7MT ALTURA 10MM EXPESSURA"</f>
        <v>LÃ DE ROCHA 9MT LARGURA 7MT ALTURA 10MM EXPESSURA</v>
      </c>
      <c r="C13978" s="2" t="str">
        <f>"UN"</f>
        <v>UN</v>
      </c>
      <c r="D13978" s="7">
        <v>99999</v>
      </c>
      <c r="E13978" s="3">
        <v>99</v>
      </c>
      <c r="F13978" s="3">
        <v>99</v>
      </c>
      <c r="G13978" t="s">
        <v>515</v>
      </c>
    </row>
    <row r="13979" spans="1:7" x14ac:dyDescent="0.25">
      <c r="A13979" s="1" t="str">
        <f>"522722"</f>
        <v>522722</v>
      </c>
      <c r="B13979" s="2" t="str">
        <f>"LÃ DE ROCHA MCT 48 X 50 MM"</f>
        <v>LÃ DE ROCHA MCT 48 X 50 MM</v>
      </c>
      <c r="C13979" s="2" t="str">
        <f>"MT"</f>
        <v>MT</v>
      </c>
      <c r="D13979" s="7">
        <v>912</v>
      </c>
      <c r="E13979" s="3">
        <v>10</v>
      </c>
      <c r="F13979" s="3">
        <v>10</v>
      </c>
      <c r="G13979" t="s">
        <v>514</v>
      </c>
    </row>
    <row r="13980" spans="1:7" x14ac:dyDescent="0.25">
      <c r="A13980" s="1" t="str">
        <f>"516305"</f>
        <v>516305</v>
      </c>
      <c r="B13980" s="2" t="str">
        <f>"LÃ DE ROCHA P/ ISOLAMENTO TUBO CALDEIRA 167MM EXTERNO"</f>
        <v>LÃ DE ROCHA P/ ISOLAMENTO TUBO CALDEIRA 167MM EXTERNO</v>
      </c>
      <c r="C13980" s="2" t="str">
        <f>"MT"</f>
        <v>MT</v>
      </c>
      <c r="D13980" s="7">
        <v>808</v>
      </c>
      <c r="E13980" s="3">
        <v>10</v>
      </c>
      <c r="F13980" s="3">
        <v>10</v>
      </c>
      <c r="G13980" t="s">
        <v>512</v>
      </c>
    </row>
    <row r="13981" spans="1:7" x14ac:dyDescent="0.25">
      <c r="A13981" s="1" t="str">
        <f>"516607"</f>
        <v>516607</v>
      </c>
      <c r="B13981" s="2" t="str">
        <f>"LAC 20 L"</f>
        <v>LAC 20 L</v>
      </c>
      <c r="C13981" s="2" t="str">
        <f>"LT"</f>
        <v>LT</v>
      </c>
      <c r="D13981" s="7">
        <v>407</v>
      </c>
      <c r="E13981" s="3">
        <v>4</v>
      </c>
      <c r="F13981" s="3">
        <v>4</v>
      </c>
      <c r="G13981" t="s">
        <v>513</v>
      </c>
    </row>
    <row r="13982" spans="1:7" x14ac:dyDescent="0.25">
      <c r="A13982" s="1" t="str">
        <f>"514950"</f>
        <v>514950</v>
      </c>
      <c r="B13982" s="2" t="str">
        <f>"LAC 5 L"</f>
        <v>LAC 5 L</v>
      </c>
      <c r="C13982" s="2" t="str">
        <f>"LT"</f>
        <v>LT</v>
      </c>
      <c r="D13982" s="7">
        <v>407</v>
      </c>
      <c r="E13982" s="3">
        <v>4</v>
      </c>
      <c r="F13982" s="3">
        <v>4</v>
      </c>
      <c r="G13982" t="s">
        <v>514</v>
      </c>
    </row>
    <row r="13983" spans="1:7" x14ac:dyDescent="0.25">
      <c r="A13983" s="1" t="str">
        <f>"6340"</f>
        <v>6340</v>
      </c>
      <c r="B13983" s="2" t="str">
        <f>"LAC 8017 - T28"</f>
        <v>LAC 8017 - T28</v>
      </c>
      <c r="C13983" s="2" t="str">
        <f>"KG"</f>
        <v>KG</v>
      </c>
      <c r="D13983" s="7">
        <v>202</v>
      </c>
      <c r="E13983" s="3">
        <v>2</v>
      </c>
      <c r="F13983" s="3">
        <v>2</v>
      </c>
      <c r="G13983" t="s">
        <v>514</v>
      </c>
    </row>
    <row r="13984" spans="1:7" x14ac:dyDescent="0.25">
      <c r="A13984" s="1" t="str">
        <f>"814"</f>
        <v>814</v>
      </c>
      <c r="B13984" s="2" t="str">
        <f>"LAC 8118-19 GREGO SEM AMIDO"</f>
        <v>LAC 8118-19 GREGO SEM AMIDO</v>
      </c>
      <c r="C13984" s="2" t="str">
        <f>"KG"</f>
        <v>KG</v>
      </c>
      <c r="D13984" s="7">
        <v>204</v>
      </c>
      <c r="E13984" s="3">
        <v>2</v>
      </c>
      <c r="F13984" s="3">
        <v>2</v>
      </c>
      <c r="G13984" t="s">
        <v>512</v>
      </c>
    </row>
    <row r="13985" spans="1:7" x14ac:dyDescent="0.25">
      <c r="A13985" s="1" t="str">
        <f>"813"</f>
        <v>813</v>
      </c>
      <c r="B13985" s="2" t="str">
        <f>"LAC 8509-28 GREGOCAROL"</f>
        <v>LAC 8509-28 GREGOCAROL</v>
      </c>
      <c r="C13985" s="2" t="str">
        <f>"KG"</f>
        <v>KG</v>
      </c>
      <c r="D13985" s="7">
        <v>204</v>
      </c>
      <c r="E13985" s="3">
        <v>2</v>
      </c>
      <c r="F13985" s="3">
        <v>2</v>
      </c>
      <c r="G13985" t="s">
        <v>513</v>
      </c>
    </row>
    <row r="13986" spans="1:7" x14ac:dyDescent="0.25">
      <c r="A13986" s="1" t="str">
        <f>"7139"</f>
        <v>7139</v>
      </c>
      <c r="B13986" s="2" t="str">
        <f>"LAC-GREGO CAROL - T2"</f>
        <v>LAC-GREGO CAROL - T2</v>
      </c>
      <c r="C13986" s="2" t="str">
        <f>"KG"</f>
        <v>KG</v>
      </c>
      <c r="D13986" s="7">
        <v>1109</v>
      </c>
      <c r="E13986" s="3">
        <v>2</v>
      </c>
      <c r="F13986" s="3">
        <v>2</v>
      </c>
      <c r="G13986" t="s">
        <v>514</v>
      </c>
    </row>
    <row r="13987" spans="1:7" x14ac:dyDescent="0.25">
      <c r="A13987" s="1" t="str">
        <f>"812"</f>
        <v>812</v>
      </c>
      <c r="B13987" s="2" t="str">
        <f>"LAC-GREGOCAROL-T2"</f>
        <v>LAC-GREGOCAROL-T2</v>
      </c>
      <c r="C13987" s="2" t="str">
        <f>"KG"</f>
        <v>KG</v>
      </c>
      <c r="D13987" s="7">
        <v>32</v>
      </c>
      <c r="E13987" s="3">
        <v>2</v>
      </c>
      <c r="F13987" s="3">
        <v>2</v>
      </c>
      <c r="G13987" t="s">
        <v>514</v>
      </c>
    </row>
    <row r="13988" spans="1:7" x14ac:dyDescent="0.25">
      <c r="A13988" s="1" t="str">
        <f>"510432"</f>
        <v>510432</v>
      </c>
      <c r="B13988" s="2" t="str">
        <f>"LAÇO"</f>
        <v>LAÇO</v>
      </c>
      <c r="C13988" s="2" t="str">
        <f t="shared" ref="C13988:C14007" si="548">"UN"</f>
        <v>UN</v>
      </c>
      <c r="D13988" s="7">
        <v>402</v>
      </c>
      <c r="E13988" s="3">
        <v>4</v>
      </c>
      <c r="F13988" s="3">
        <v>4</v>
      </c>
      <c r="G13988" t="s">
        <v>514</v>
      </c>
    </row>
    <row r="13989" spans="1:7" x14ac:dyDescent="0.25">
      <c r="A13989" s="1" t="str">
        <f>"514999"</f>
        <v>514999</v>
      </c>
      <c r="B13989" s="2" t="str">
        <f>"LACRE DE EQUIPAMENTO REP"</f>
        <v>LACRE DE EQUIPAMENTO REP</v>
      </c>
      <c r="C13989" s="2" t="str">
        <f t="shared" si="548"/>
        <v>UN</v>
      </c>
      <c r="D13989" s="7">
        <v>401</v>
      </c>
      <c r="E13989" s="3">
        <v>4</v>
      </c>
      <c r="F13989" s="3">
        <v>4</v>
      </c>
      <c r="G13989" t="s">
        <v>513</v>
      </c>
    </row>
    <row r="13990" spans="1:7" x14ac:dyDescent="0.25">
      <c r="A13990" s="1" t="str">
        <f>"514189"</f>
        <v>514189</v>
      </c>
      <c r="B13990" s="2" t="str">
        <f>"LACRE EM NYLON AMARELO 16CM"</f>
        <v>LACRE EM NYLON AMARELO 16CM</v>
      </c>
      <c r="C13990" s="2" t="str">
        <f t="shared" si="548"/>
        <v>UN</v>
      </c>
      <c r="D13990" s="7">
        <v>401</v>
      </c>
      <c r="E13990" s="3">
        <v>4</v>
      </c>
      <c r="F13990" s="3">
        <v>4</v>
      </c>
      <c r="G13990" t="s">
        <v>512</v>
      </c>
    </row>
    <row r="13991" spans="1:7" x14ac:dyDescent="0.25">
      <c r="A13991" s="1" t="str">
        <f>"6342"</f>
        <v>6342</v>
      </c>
      <c r="B13991" s="2" t="str">
        <f>"LACRE MODELO SL11 LAT CAROLINA SIF 2630 AZUL"</f>
        <v>LACRE MODELO SL11 LAT CAROLINA SIF 2630 AZUL</v>
      </c>
      <c r="C13991" s="2" t="str">
        <f t="shared" si="548"/>
        <v>UN</v>
      </c>
      <c r="D13991" s="7">
        <v>401</v>
      </c>
      <c r="E13991" s="3">
        <v>4</v>
      </c>
      <c r="F13991" s="3">
        <v>4</v>
      </c>
      <c r="G13991" t="s">
        <v>513</v>
      </c>
    </row>
    <row r="13992" spans="1:7" x14ac:dyDescent="0.25">
      <c r="A13992" s="1" t="str">
        <f>"6349"</f>
        <v>6349</v>
      </c>
      <c r="B13992" s="2" t="str">
        <f>"LACRE MODELO SL11 LAT CAROLINA SIF 2630 VERMELHO"</f>
        <v>LACRE MODELO SL11 LAT CAROLINA SIF 2630 VERMELHO</v>
      </c>
      <c r="C13992" s="2" t="str">
        <f t="shared" si="548"/>
        <v>UN</v>
      </c>
      <c r="D13992" s="7">
        <v>401</v>
      </c>
      <c r="E13992" s="3">
        <v>4</v>
      </c>
      <c r="F13992" s="3">
        <v>4</v>
      </c>
      <c r="G13992" t="s">
        <v>514</v>
      </c>
    </row>
    <row r="13993" spans="1:7" x14ac:dyDescent="0.25">
      <c r="A13993" s="1" t="str">
        <f>"514271"</f>
        <v>514271</v>
      </c>
      <c r="B13993" s="2" t="str">
        <f>"LACRE MODELO SL11 LAT CROL SIF 2375 (AZUL)"</f>
        <v>LACRE MODELO SL11 LAT CROL SIF 2375 (AZUL)</v>
      </c>
      <c r="C13993" s="2" t="str">
        <f t="shared" si="548"/>
        <v>UN</v>
      </c>
      <c r="D13993" s="7">
        <v>401</v>
      </c>
      <c r="E13993" s="3">
        <v>4</v>
      </c>
      <c r="F13993" s="3">
        <v>4</v>
      </c>
      <c r="G13993" t="s">
        <v>514</v>
      </c>
    </row>
    <row r="13994" spans="1:7" x14ac:dyDescent="0.25">
      <c r="A13994" s="1" t="str">
        <f>"6735"</f>
        <v>6735</v>
      </c>
      <c r="B13994" s="2" t="str">
        <f>"LACRE MODELO SL11 LAT CROL SIF 2375 (LARANJA)"</f>
        <v>LACRE MODELO SL11 LAT CROL SIF 2375 (LARANJA)</v>
      </c>
      <c r="C13994" s="2" t="str">
        <f t="shared" si="548"/>
        <v>UN</v>
      </c>
      <c r="D13994" s="7">
        <v>401</v>
      </c>
      <c r="E13994" s="3">
        <v>4</v>
      </c>
      <c r="F13994" s="3">
        <v>4</v>
      </c>
      <c r="G13994" t="s">
        <v>514</v>
      </c>
    </row>
    <row r="13995" spans="1:7" x14ac:dyDescent="0.25">
      <c r="A13995" s="1" t="str">
        <f>"6341"</f>
        <v>6341</v>
      </c>
      <c r="B13995" s="2" t="str">
        <f>"LACRE MODELO SL16 COR LARANJA"</f>
        <v>LACRE MODELO SL16 COR LARANJA</v>
      </c>
      <c r="C13995" s="2" t="str">
        <f t="shared" si="548"/>
        <v>UN</v>
      </c>
      <c r="D13995" s="7">
        <v>401</v>
      </c>
      <c r="E13995" s="3">
        <v>4</v>
      </c>
      <c r="F13995" s="3">
        <v>4</v>
      </c>
      <c r="G13995" t="s">
        <v>513</v>
      </c>
    </row>
    <row r="13996" spans="1:7" x14ac:dyDescent="0.25">
      <c r="A13996" s="1" t="str">
        <f>"522407"</f>
        <v>522407</v>
      </c>
      <c r="B13996" s="2" t="str">
        <f>"LACRE MODELO SL23 30CM AM"</f>
        <v>LACRE MODELO SL23 30CM AM</v>
      </c>
      <c r="C13996" s="2" t="str">
        <f t="shared" si="548"/>
        <v>UN</v>
      </c>
      <c r="D13996" s="7">
        <v>401</v>
      </c>
      <c r="E13996" s="3">
        <v>4</v>
      </c>
      <c r="F13996" s="3">
        <v>4</v>
      </c>
      <c r="G13996" t="s">
        <v>513</v>
      </c>
    </row>
    <row r="13997" spans="1:7" x14ac:dyDescent="0.25">
      <c r="A13997" s="1" t="str">
        <f>"522406"</f>
        <v>522406</v>
      </c>
      <c r="B13997" s="2" t="str">
        <f>"LACRE MODELO SL23 30CM AZ"</f>
        <v>LACRE MODELO SL23 30CM AZ</v>
      </c>
      <c r="C13997" s="2" t="str">
        <f t="shared" si="548"/>
        <v>UN</v>
      </c>
      <c r="D13997" s="7">
        <v>401</v>
      </c>
      <c r="E13997" s="3">
        <v>4</v>
      </c>
      <c r="F13997" s="3">
        <v>4</v>
      </c>
      <c r="G13997" t="s">
        <v>513</v>
      </c>
    </row>
    <row r="13998" spans="1:7" x14ac:dyDescent="0.25">
      <c r="A13998" s="1" t="str">
        <f>"522410"</f>
        <v>522410</v>
      </c>
      <c r="B13998" s="2" t="str">
        <f>"LACRE MODELO SL23 30CM BR"</f>
        <v>LACRE MODELO SL23 30CM BR</v>
      </c>
      <c r="C13998" s="2" t="str">
        <f t="shared" si="548"/>
        <v>UN</v>
      </c>
      <c r="D13998" s="7">
        <v>401</v>
      </c>
      <c r="E13998" s="3">
        <v>4</v>
      </c>
      <c r="F13998" s="3">
        <v>4</v>
      </c>
      <c r="G13998" t="s">
        <v>512</v>
      </c>
    </row>
    <row r="13999" spans="1:7" x14ac:dyDescent="0.25">
      <c r="A13999" s="1" t="str">
        <f>"522408"</f>
        <v>522408</v>
      </c>
      <c r="B13999" s="2" t="str">
        <f>"LACRE MODELO SL23 30CM LR"</f>
        <v>LACRE MODELO SL23 30CM LR</v>
      </c>
      <c r="C13999" s="2" t="str">
        <f t="shared" si="548"/>
        <v>UN</v>
      </c>
      <c r="D13999" s="7">
        <v>401</v>
      </c>
      <c r="E13999" s="3">
        <v>4</v>
      </c>
      <c r="F13999" s="3">
        <v>4</v>
      </c>
      <c r="G13999" t="s">
        <v>513</v>
      </c>
    </row>
    <row r="14000" spans="1:7" x14ac:dyDescent="0.25">
      <c r="A14000" s="1" t="str">
        <f>"522405"</f>
        <v>522405</v>
      </c>
      <c r="B14000" s="2" t="str">
        <f>"LACRE MODELO SL23 30CM VD"</f>
        <v>LACRE MODELO SL23 30CM VD</v>
      </c>
      <c r="C14000" s="2" t="str">
        <f t="shared" si="548"/>
        <v>UN</v>
      </c>
      <c r="D14000" s="7">
        <v>401</v>
      </c>
      <c r="E14000" s="3">
        <v>4</v>
      </c>
      <c r="F14000" s="3">
        <v>4</v>
      </c>
      <c r="G14000" t="s">
        <v>514</v>
      </c>
    </row>
    <row r="14001" spans="1:7" x14ac:dyDescent="0.25">
      <c r="A14001" s="1" t="str">
        <f>"522409"</f>
        <v>522409</v>
      </c>
      <c r="B14001" s="2" t="str">
        <f>"LACRE MODELO SL23 30CM VM"</f>
        <v>LACRE MODELO SL23 30CM VM</v>
      </c>
      <c r="C14001" s="2" t="str">
        <f t="shared" si="548"/>
        <v>UN</v>
      </c>
      <c r="D14001" s="7">
        <v>401</v>
      </c>
      <c r="E14001" s="3">
        <v>4</v>
      </c>
      <c r="F14001" s="3">
        <v>4</v>
      </c>
      <c r="G14001" t="s">
        <v>515</v>
      </c>
    </row>
    <row r="14002" spans="1:7" x14ac:dyDescent="0.25">
      <c r="A14002" s="1" t="str">
        <f>"526284"</f>
        <v>526284</v>
      </c>
      <c r="B14002" s="2" t="str">
        <f>"LACRE POLICARBONATO LARANJA 300MM"</f>
        <v>LACRE POLICARBONATO LARANJA 300MM</v>
      </c>
      <c r="C14002" s="2" t="str">
        <f t="shared" si="548"/>
        <v>UN</v>
      </c>
      <c r="D14002" s="7">
        <v>99999</v>
      </c>
      <c r="E14002" s="3">
        <v>99</v>
      </c>
      <c r="F14002" s="3">
        <v>99</v>
      </c>
      <c r="G14002" t="s">
        <v>512</v>
      </c>
    </row>
    <row r="14003" spans="1:7" x14ac:dyDescent="0.25">
      <c r="A14003" s="1" t="str">
        <f>"518554"</f>
        <v>518554</v>
      </c>
      <c r="B14003" s="2" t="str">
        <f>"LACRIFILM 5MG/ML SOL FR 10ML"</f>
        <v>LACRIFILM 5MG/ML SOL FR 10ML</v>
      </c>
      <c r="C14003" s="2" t="str">
        <f t="shared" si="548"/>
        <v>UN</v>
      </c>
      <c r="D14003" s="7">
        <v>406</v>
      </c>
      <c r="E14003" s="3">
        <v>4</v>
      </c>
      <c r="F14003" s="3">
        <v>4</v>
      </c>
      <c r="G14003" t="s">
        <v>516</v>
      </c>
    </row>
    <row r="14004" spans="1:7" x14ac:dyDescent="0.25">
      <c r="A14004" s="1" t="str">
        <f>"514976"</f>
        <v>514976</v>
      </c>
      <c r="B14004" s="2" t="str">
        <f>"LACRIMA PLUS SOL OFT"</f>
        <v>LACRIMA PLUS SOL OFT</v>
      </c>
      <c r="C14004" s="2" t="str">
        <f t="shared" si="548"/>
        <v>UN</v>
      </c>
      <c r="D14004" s="7">
        <v>406</v>
      </c>
      <c r="E14004" s="3">
        <v>4</v>
      </c>
      <c r="F14004" s="3">
        <v>4</v>
      </c>
      <c r="G14004" t="s">
        <v>515</v>
      </c>
    </row>
    <row r="14005" spans="1:7" x14ac:dyDescent="0.25">
      <c r="A14005" s="1" t="str">
        <f>"515396"</f>
        <v>515396</v>
      </c>
      <c r="B14005" s="2" t="str">
        <f>"LACTODENSIMETRO"</f>
        <v>LACTODENSIMETRO</v>
      </c>
      <c r="C14005" s="2" t="str">
        <f t="shared" si="548"/>
        <v>UN</v>
      </c>
      <c r="D14005" s="7">
        <v>406</v>
      </c>
      <c r="E14005" s="3">
        <v>4</v>
      </c>
      <c r="F14005" s="3">
        <v>4</v>
      </c>
      <c r="G14005" t="s">
        <v>514</v>
      </c>
    </row>
    <row r="14006" spans="1:7" x14ac:dyDescent="0.25">
      <c r="A14006" s="1" t="str">
        <f>"520922"</f>
        <v>520922</v>
      </c>
      <c r="B14006" s="2" t="str">
        <f>"LACTOSE D(+) (H20) PA 500GR DINAMICA"</f>
        <v>LACTOSE D(+) (H20) PA 500GR DINAMICA</v>
      </c>
      <c r="C14006" s="2" t="str">
        <f t="shared" si="548"/>
        <v>UN</v>
      </c>
      <c r="D14006" s="7">
        <v>406</v>
      </c>
      <c r="E14006" s="3">
        <v>4</v>
      </c>
      <c r="F14006" s="3">
        <v>4</v>
      </c>
      <c r="G14006" t="s">
        <v>512</v>
      </c>
    </row>
    <row r="14007" spans="1:7" x14ac:dyDescent="0.25">
      <c r="A14007" s="1" t="str">
        <f>"514882"</f>
        <v>514882</v>
      </c>
      <c r="B14007" s="2" t="str">
        <f>"LAGARTO"</f>
        <v>LAGARTO</v>
      </c>
      <c r="C14007" s="2" t="str">
        <f t="shared" si="548"/>
        <v>UN</v>
      </c>
      <c r="D14007" s="7">
        <v>401</v>
      </c>
      <c r="E14007" s="3">
        <v>4</v>
      </c>
      <c r="F14007" s="3">
        <v>4</v>
      </c>
      <c r="G14007" t="s">
        <v>513</v>
      </c>
    </row>
    <row r="14008" spans="1:7" x14ac:dyDescent="0.25">
      <c r="A14008" s="1" t="str">
        <f>"525173"</f>
        <v>525173</v>
      </c>
      <c r="B14008" s="2" t="str">
        <f>"LAJE H8 CONVENCIONAL"</f>
        <v>LAJE H8 CONVENCIONAL</v>
      </c>
      <c r="C14008" s="2" t="str">
        <f>"MT"</f>
        <v>MT</v>
      </c>
      <c r="D14008" s="7">
        <v>917</v>
      </c>
      <c r="E14008" s="3">
        <v>10</v>
      </c>
      <c r="F14008" s="3">
        <v>10</v>
      </c>
      <c r="G14008" t="s">
        <v>514</v>
      </c>
    </row>
    <row r="14009" spans="1:7" x14ac:dyDescent="0.25">
      <c r="A14009" s="1" t="str">
        <f>"525174"</f>
        <v>525174</v>
      </c>
      <c r="B14009" s="2" t="str">
        <f>"LAJE H8 REFORÇADA"</f>
        <v>LAJE H8 REFORÇADA</v>
      </c>
      <c r="C14009" s="2" t="str">
        <f>"MT"</f>
        <v>MT</v>
      </c>
      <c r="D14009" s="7">
        <v>917</v>
      </c>
      <c r="E14009" s="3">
        <v>10</v>
      </c>
      <c r="F14009" s="3">
        <v>10</v>
      </c>
      <c r="G14009" t="s">
        <v>514</v>
      </c>
    </row>
    <row r="14010" spans="1:7" x14ac:dyDescent="0.25">
      <c r="A14010" s="1" t="str">
        <f>"503061"</f>
        <v>503061</v>
      </c>
      <c r="B14010" s="2" t="str">
        <f>"LAJE TRELIÇA H12"</f>
        <v>LAJE TRELIÇA H12</v>
      </c>
      <c r="C14010" s="2" t="str">
        <f t="shared" ref="C14010:C14031" si="549">"UN"</f>
        <v>UN</v>
      </c>
      <c r="D14010" s="7">
        <v>403</v>
      </c>
      <c r="E14010" s="3">
        <v>4</v>
      </c>
      <c r="F14010" s="3">
        <v>4</v>
      </c>
      <c r="G14010" t="s">
        <v>512</v>
      </c>
    </row>
    <row r="14011" spans="1:7" x14ac:dyDescent="0.25">
      <c r="A14011" s="1" t="str">
        <f>"6195"</f>
        <v>6195</v>
      </c>
      <c r="B14011" s="2" t="str">
        <f>"LAM BATIDOS 900G E 180G PAP. COUCHE 4X4"</f>
        <v>LAM BATIDOS 900G E 180G PAP. COUCHE 4X4</v>
      </c>
      <c r="C14011" s="2" t="str">
        <f t="shared" si="549"/>
        <v>UN</v>
      </c>
      <c r="D14011" s="7">
        <v>408</v>
      </c>
      <c r="E14011" s="3">
        <v>4</v>
      </c>
      <c r="F14011" s="3">
        <v>4</v>
      </c>
      <c r="G14011" t="s">
        <v>513</v>
      </c>
    </row>
    <row r="14012" spans="1:7" x14ac:dyDescent="0.25">
      <c r="A14012" s="1" t="str">
        <f>"6213"</f>
        <v>6213</v>
      </c>
      <c r="B14012" s="2" t="str">
        <f>"LAM BIBI BITS 130G COUCHE"</f>
        <v>LAM BIBI BITS 130G COUCHE</v>
      </c>
      <c r="C14012" s="2" t="str">
        <f t="shared" si="549"/>
        <v>UN</v>
      </c>
      <c r="D14012" s="7">
        <v>408</v>
      </c>
      <c r="E14012" s="3">
        <v>4</v>
      </c>
      <c r="F14012" s="3">
        <v>4</v>
      </c>
      <c r="G14012" t="s">
        <v>514</v>
      </c>
    </row>
    <row r="14013" spans="1:7" x14ac:dyDescent="0.25">
      <c r="A14013" s="1" t="str">
        <f>"6369"</f>
        <v>6369</v>
      </c>
      <c r="B14013" s="2" t="str">
        <f>"LAM CAPA IMPRESSAO 4 X 0 COM VERNIZ"</f>
        <v>LAM CAPA IMPRESSAO 4 X 0 COM VERNIZ</v>
      </c>
      <c r="C14013" s="2" t="str">
        <f t="shared" si="549"/>
        <v>UN</v>
      </c>
      <c r="D14013" s="7">
        <v>408</v>
      </c>
      <c r="E14013" s="3">
        <v>4</v>
      </c>
      <c r="F14013" s="3">
        <v>4</v>
      </c>
      <c r="G14013" t="s">
        <v>514</v>
      </c>
    </row>
    <row r="14014" spans="1:7" x14ac:dyDescent="0.25">
      <c r="A14014" s="1" t="str">
        <f>"6206"</f>
        <v>6206</v>
      </c>
      <c r="B14014" s="2" t="str">
        <f>"LAM CAPA PAPEL COUCHE 4X0 COM VERNIZ"</f>
        <v>LAM CAPA PAPEL COUCHE 4X0 COM VERNIZ</v>
      </c>
      <c r="C14014" s="2" t="str">
        <f t="shared" si="549"/>
        <v>UN</v>
      </c>
      <c r="D14014" s="7">
        <v>408</v>
      </c>
      <c r="E14014" s="3">
        <v>4</v>
      </c>
      <c r="F14014" s="3">
        <v>4</v>
      </c>
      <c r="G14014" t="s">
        <v>514</v>
      </c>
    </row>
    <row r="14015" spans="1:7" x14ac:dyDescent="0.25">
      <c r="A14015" s="1" t="str">
        <f>"6370"</f>
        <v>6370</v>
      </c>
      <c r="B14015" s="2" t="str">
        <f>"LAM CONTRA CAPA 4 X 0 COM VERNIZ"</f>
        <v>LAM CONTRA CAPA 4 X 0 COM VERNIZ</v>
      </c>
      <c r="C14015" s="2" t="str">
        <f t="shared" si="549"/>
        <v>UN</v>
      </c>
      <c r="D14015" s="7">
        <v>408</v>
      </c>
      <c r="E14015" s="3">
        <v>4</v>
      </c>
      <c r="F14015" s="3">
        <v>4</v>
      </c>
      <c r="G14015" t="s">
        <v>513</v>
      </c>
    </row>
    <row r="14016" spans="1:7" x14ac:dyDescent="0.25">
      <c r="A14016" s="1" t="str">
        <f>"6207"</f>
        <v>6207</v>
      </c>
      <c r="B14016" s="2" t="str">
        <f>"LAM CONTRA CAPA COUCHE 4X0 COM VERNIZ"</f>
        <v>LAM CONTRA CAPA COUCHE 4X0 COM VERNIZ</v>
      </c>
      <c r="C14016" s="2" t="str">
        <f t="shared" si="549"/>
        <v>UN</v>
      </c>
      <c r="D14016" s="7">
        <v>408</v>
      </c>
      <c r="E14016" s="3">
        <v>4</v>
      </c>
      <c r="F14016" s="3">
        <v>4</v>
      </c>
      <c r="G14016" t="s">
        <v>512</v>
      </c>
    </row>
    <row r="14017" spans="1:7" x14ac:dyDescent="0.25">
      <c r="A14017" s="1" t="str">
        <f>"6198"</f>
        <v>6198</v>
      </c>
      <c r="B14017" s="2" t="str">
        <f>"LAM COPOS NATURAIS 180G E 185G COUCHE4X4"</f>
        <v>LAM COPOS NATURAIS 180G E 185G COUCHE4X4</v>
      </c>
      <c r="C14017" s="2" t="str">
        <f t="shared" si="549"/>
        <v>UN</v>
      </c>
      <c r="D14017" s="7">
        <v>408</v>
      </c>
      <c r="E14017" s="3">
        <v>4</v>
      </c>
      <c r="F14017" s="3">
        <v>4</v>
      </c>
      <c r="G14017" t="s">
        <v>513</v>
      </c>
    </row>
    <row r="14018" spans="1:7" x14ac:dyDescent="0.25">
      <c r="A14018" s="1" t="str">
        <f>"6199"</f>
        <v>6199</v>
      </c>
      <c r="B14018" s="2" t="str">
        <f>"LAM COPOS NATURAIS 180G PAPEL COUCHE 4X4"</f>
        <v>LAM COPOS NATURAIS 180G PAPEL COUCHE 4X4</v>
      </c>
      <c r="C14018" s="2" t="str">
        <f t="shared" si="549"/>
        <v>UN</v>
      </c>
      <c r="D14018" s="7">
        <v>408</v>
      </c>
      <c r="E14018" s="3">
        <v>4</v>
      </c>
      <c r="F14018" s="3">
        <v>4</v>
      </c>
      <c r="G14018" t="s">
        <v>514</v>
      </c>
    </row>
    <row r="14019" spans="1:7" x14ac:dyDescent="0.25">
      <c r="A14019" s="1" t="str">
        <f>"6200"</f>
        <v>6200</v>
      </c>
      <c r="B14019" s="2" t="str">
        <f>"LAM DUET 130G PAPEL COUCHE 4X4"</f>
        <v>LAM DUET 130G PAPEL COUCHE 4X4</v>
      </c>
      <c r="C14019" s="2" t="str">
        <f t="shared" si="549"/>
        <v>UN</v>
      </c>
      <c r="D14019" s="7">
        <v>408</v>
      </c>
      <c r="E14019" s="3">
        <v>4</v>
      </c>
      <c r="F14019" s="3">
        <v>4</v>
      </c>
      <c r="G14019" t="s">
        <v>514</v>
      </c>
    </row>
    <row r="14020" spans="1:7" x14ac:dyDescent="0.25">
      <c r="A14020" s="1" t="str">
        <f>"6201"</f>
        <v>6201</v>
      </c>
      <c r="B14020" s="2" t="str">
        <f>"LAM GLUCK 180G PAPEL COUCHE 4X4"</f>
        <v>LAM GLUCK 180G PAPEL COUCHE 4X4</v>
      </c>
      <c r="C14020" s="2" t="str">
        <f t="shared" si="549"/>
        <v>UN</v>
      </c>
      <c r="D14020" s="7">
        <v>408</v>
      </c>
      <c r="E14020" s="3">
        <v>4</v>
      </c>
      <c r="F14020" s="3">
        <v>4</v>
      </c>
      <c r="G14020" t="s">
        <v>514</v>
      </c>
    </row>
    <row r="14021" spans="1:7" x14ac:dyDescent="0.25">
      <c r="A14021" s="1" t="str">
        <f>"6202"</f>
        <v>6202</v>
      </c>
      <c r="B14021" s="2" t="str">
        <f>"LAM GLUCK 900G PAPEL COUCHE 4X4"</f>
        <v>LAM GLUCK 900G PAPEL COUCHE 4X4</v>
      </c>
      <c r="C14021" s="2" t="str">
        <f t="shared" si="549"/>
        <v>UN</v>
      </c>
      <c r="D14021" s="7">
        <v>408</v>
      </c>
      <c r="E14021" s="3">
        <v>4</v>
      </c>
      <c r="F14021" s="3">
        <v>4</v>
      </c>
      <c r="G14021" t="s">
        <v>513</v>
      </c>
    </row>
    <row r="14022" spans="1:7" x14ac:dyDescent="0.25">
      <c r="A14022" s="1" t="str">
        <f>"6203"</f>
        <v>6203</v>
      </c>
      <c r="B14022" s="2" t="str">
        <f>"LAM GLUCK LIGHT 170G PAPEL COUCHE 4X4"</f>
        <v>LAM GLUCK LIGHT 170G PAPEL COUCHE 4X4</v>
      </c>
      <c r="C14022" s="2" t="str">
        <f t="shared" si="549"/>
        <v>UN</v>
      </c>
      <c r="D14022" s="7">
        <v>408</v>
      </c>
      <c r="E14022" s="3">
        <v>4</v>
      </c>
      <c r="F14022" s="3">
        <v>4</v>
      </c>
      <c r="G14022" t="s">
        <v>513</v>
      </c>
    </row>
    <row r="14023" spans="1:7" x14ac:dyDescent="0.25">
      <c r="A14023" s="1" t="str">
        <f>"6204"</f>
        <v>6204</v>
      </c>
      <c r="B14023" s="2" t="str">
        <f>"LAM GLUCK LIGHT 850G PAPEL COUCHE 4X4"</f>
        <v>LAM GLUCK LIGHT 850G PAPEL COUCHE 4X4</v>
      </c>
      <c r="C14023" s="2" t="str">
        <f t="shared" si="549"/>
        <v>UN</v>
      </c>
      <c r="D14023" s="7">
        <v>408</v>
      </c>
      <c r="E14023" s="3">
        <v>4</v>
      </c>
      <c r="F14023" s="3">
        <v>4</v>
      </c>
      <c r="G14023" t="s">
        <v>513</v>
      </c>
    </row>
    <row r="14024" spans="1:7" x14ac:dyDescent="0.25">
      <c r="A14024" s="1" t="str">
        <f>"6642"</f>
        <v>6642</v>
      </c>
      <c r="B14024" s="2" t="str">
        <f>"LAM LEITE FERMENTADO 80G 4 X 4"</f>
        <v>LAM LEITE FERMENTADO 80G 4 X 4</v>
      </c>
      <c r="C14024" s="2" t="str">
        <f t="shared" si="549"/>
        <v>UN</v>
      </c>
      <c r="D14024" s="7">
        <v>408</v>
      </c>
      <c r="E14024" s="3">
        <v>4</v>
      </c>
      <c r="F14024" s="3">
        <v>4</v>
      </c>
      <c r="G14024" t="s">
        <v>512</v>
      </c>
    </row>
    <row r="14025" spans="1:7" x14ac:dyDescent="0.25">
      <c r="A14025" s="1" t="str">
        <f>"6205"</f>
        <v>6205</v>
      </c>
      <c r="B14025" s="2" t="str">
        <f>"LAM PETIT E SOBR LAC 380G 320G COUCHE4X4"</f>
        <v>LAM PETIT E SOBR LAC 380G 320G COUCHE4X4</v>
      </c>
      <c r="C14025" s="2" t="str">
        <f t="shared" si="549"/>
        <v>UN</v>
      </c>
      <c r="D14025" s="7">
        <v>408</v>
      </c>
      <c r="E14025" s="3">
        <v>4</v>
      </c>
      <c r="F14025" s="3">
        <v>4</v>
      </c>
      <c r="G14025" t="s">
        <v>513</v>
      </c>
    </row>
    <row r="14026" spans="1:7" x14ac:dyDescent="0.25">
      <c r="A14026" s="1" t="str">
        <f>"6197"</f>
        <v>6197</v>
      </c>
      <c r="B14026" s="2" t="str">
        <f>"LAM POLPA 600G PAPEL COUCHE 4X4"</f>
        <v>LAM POLPA 600G PAPEL COUCHE 4X4</v>
      </c>
      <c r="C14026" s="2" t="str">
        <f t="shared" si="549"/>
        <v>UN</v>
      </c>
      <c r="D14026" s="7">
        <v>408</v>
      </c>
      <c r="E14026" s="3">
        <v>4</v>
      </c>
      <c r="F14026" s="3">
        <v>4</v>
      </c>
      <c r="G14026" t="s">
        <v>514</v>
      </c>
    </row>
    <row r="14027" spans="1:7" x14ac:dyDescent="0.25">
      <c r="A14027" s="1" t="str">
        <f>"6196"</f>
        <v>6196</v>
      </c>
      <c r="B14027" s="2" t="str">
        <f>"LAM POLPA 720G PAPEL COUCHE 4X4"</f>
        <v>LAM POLPA 720G PAPEL COUCHE 4X4</v>
      </c>
      <c r="C14027" s="2" t="str">
        <f t="shared" si="549"/>
        <v>UN</v>
      </c>
      <c r="D14027" s="7">
        <v>408</v>
      </c>
      <c r="E14027" s="3">
        <v>4</v>
      </c>
      <c r="F14027" s="3">
        <v>4</v>
      </c>
      <c r="G14027" t="s">
        <v>515</v>
      </c>
    </row>
    <row r="14028" spans="1:7" x14ac:dyDescent="0.25">
      <c r="A14028" s="1" t="str">
        <f>"6212"</f>
        <v>6212</v>
      </c>
      <c r="B14028" s="2" t="str">
        <f>"LAM REQ. TRAD/LIGHT 200G COUCHE"</f>
        <v>LAM REQ. TRAD/LIGHT 200G COUCHE</v>
      </c>
      <c r="C14028" s="2" t="str">
        <f t="shared" si="549"/>
        <v>UN</v>
      </c>
      <c r="D14028" s="7">
        <v>408</v>
      </c>
      <c r="E14028" s="3">
        <v>4</v>
      </c>
      <c r="F14028" s="3">
        <v>4</v>
      </c>
      <c r="G14028" t="s">
        <v>512</v>
      </c>
    </row>
    <row r="14029" spans="1:7" x14ac:dyDescent="0.25">
      <c r="A14029" s="1" t="str">
        <f>"6211"</f>
        <v>6211</v>
      </c>
      <c r="B14029" s="2" t="str">
        <f>"LAM REQ. TRAD/LIGHT 220G COUCHE"</f>
        <v>LAM REQ. TRAD/LIGHT 220G COUCHE</v>
      </c>
      <c r="C14029" s="2" t="str">
        <f t="shared" si="549"/>
        <v>UN</v>
      </c>
      <c r="D14029" s="7">
        <v>408</v>
      </c>
      <c r="E14029" s="3">
        <v>4</v>
      </c>
      <c r="F14029" s="3">
        <v>4</v>
      </c>
      <c r="G14029" t="s">
        <v>516</v>
      </c>
    </row>
    <row r="14030" spans="1:7" x14ac:dyDescent="0.25">
      <c r="A14030" s="1" t="str">
        <f>"6194"</f>
        <v>6194</v>
      </c>
      <c r="B14030" s="2" t="str">
        <f>"LAM VERY GURT 510G PAPEL COUCHE 4X4"</f>
        <v>LAM VERY GURT 510G PAPEL COUCHE 4X4</v>
      </c>
      <c r="C14030" s="2" t="str">
        <f t="shared" si="549"/>
        <v>UN</v>
      </c>
      <c r="D14030" s="7">
        <v>408</v>
      </c>
      <c r="E14030" s="3">
        <v>4</v>
      </c>
      <c r="F14030" s="3">
        <v>4</v>
      </c>
      <c r="G14030" t="s">
        <v>515</v>
      </c>
    </row>
    <row r="14031" spans="1:7" x14ac:dyDescent="0.25">
      <c r="A14031" s="1" t="str">
        <f>"6368"</f>
        <v>6368</v>
      </c>
      <c r="B14031" s="2" t="str">
        <f>"LAM VERY GURT 850 4 X 4 PAPEL COUCHE"</f>
        <v>LAM VERY GURT 850 4 X 4 PAPEL COUCHE</v>
      </c>
      <c r="C14031" s="2" t="str">
        <f t="shared" si="549"/>
        <v>UN</v>
      </c>
      <c r="D14031" s="7">
        <v>408</v>
      </c>
      <c r="E14031" s="3">
        <v>4</v>
      </c>
      <c r="F14031" s="3">
        <v>4</v>
      </c>
      <c r="G14031" t="s">
        <v>514</v>
      </c>
    </row>
    <row r="14032" spans="1:7" x14ac:dyDescent="0.25">
      <c r="A14032" s="1" t="str">
        <f>"514358"</f>
        <v>514358</v>
      </c>
      <c r="B14032" s="2" t="str">
        <f>"LAM.EMB.PROT.BOPP 62X0,02 18G (COD.2123213)"</f>
        <v>LAM.EMB.PROT.BOPP 62X0,02 18G (COD.2123213)</v>
      </c>
      <c r="C14032" s="2" t="str">
        <f t="shared" ref="C14032:C14059" si="550">"KG"</f>
        <v>KG</v>
      </c>
      <c r="D14032" s="7">
        <v>114</v>
      </c>
      <c r="E14032" s="3">
        <v>1</v>
      </c>
      <c r="F14032" s="3">
        <v>1</v>
      </c>
      <c r="G14032" t="s">
        <v>512</v>
      </c>
    </row>
    <row r="14033" spans="1:7" x14ac:dyDescent="0.25">
      <c r="A14033" s="1" t="str">
        <f>"6544"</f>
        <v>6544</v>
      </c>
      <c r="B14033" s="2" t="str">
        <f>"LAM.EMB.PROT.BOPP 62X0,02 18G (COD.2123213)"</f>
        <v>LAM.EMB.PROT.BOPP 62X0,02 18G (COD.2123213)</v>
      </c>
      <c r="C14033" s="2" t="str">
        <f t="shared" si="550"/>
        <v>KG</v>
      </c>
      <c r="D14033" s="7">
        <v>114</v>
      </c>
      <c r="E14033" s="3">
        <v>1</v>
      </c>
      <c r="F14033" s="3">
        <v>1</v>
      </c>
      <c r="G14033" t="s">
        <v>513</v>
      </c>
    </row>
    <row r="14034" spans="1:7" x14ac:dyDescent="0.25">
      <c r="A14034" s="1" t="str">
        <f>"514359"</f>
        <v>514359</v>
      </c>
      <c r="B14034" s="2" t="str">
        <f>"LAM.EMB.PROT.S.IMP.62X0.02X18 (COD.2123215)"</f>
        <v>LAM.EMB.PROT.S.IMP.62X0.02X18 (COD.2123215)</v>
      </c>
      <c r="C14034" s="2" t="str">
        <f t="shared" si="550"/>
        <v>KG</v>
      </c>
      <c r="D14034" s="7">
        <v>114</v>
      </c>
      <c r="E14034" s="3">
        <v>1</v>
      </c>
      <c r="F14034" s="3">
        <v>1</v>
      </c>
      <c r="G14034" t="s">
        <v>514</v>
      </c>
    </row>
    <row r="14035" spans="1:7" x14ac:dyDescent="0.25">
      <c r="A14035" s="1" t="str">
        <f>"6545"</f>
        <v>6545</v>
      </c>
      <c r="B14035" s="2" t="str">
        <f>"LAM.EMB.PROT.S.IMP.62X0.02X18 (COD.2123215)"</f>
        <v>LAM.EMB.PROT.S.IMP.62X0.02X18 (COD.2123215)</v>
      </c>
      <c r="C14035" s="2" t="str">
        <f t="shared" si="550"/>
        <v>KG</v>
      </c>
      <c r="D14035" s="7">
        <v>114</v>
      </c>
      <c r="E14035" s="3">
        <v>1</v>
      </c>
      <c r="F14035" s="3">
        <v>1</v>
      </c>
      <c r="G14035" t="s">
        <v>514</v>
      </c>
    </row>
    <row r="14036" spans="1:7" x14ac:dyDescent="0.25">
      <c r="A14036" s="1" t="str">
        <f>"513430"</f>
        <v>513430</v>
      </c>
      <c r="B14036" s="2" t="str">
        <f>"LAM.IMP ABACAXI /COCO CAROLINA 48G (COD.2123281)"</f>
        <v>LAM.IMP ABACAXI /COCO CAROLINA 48G (COD.2123281)</v>
      </c>
      <c r="C14036" s="2" t="str">
        <f t="shared" si="550"/>
        <v>KG</v>
      </c>
      <c r="D14036" s="7">
        <v>114</v>
      </c>
      <c r="E14036" s="3">
        <v>1</v>
      </c>
      <c r="F14036" s="3">
        <v>1</v>
      </c>
      <c r="G14036" t="s">
        <v>512</v>
      </c>
    </row>
    <row r="14037" spans="1:7" x14ac:dyDescent="0.25">
      <c r="A14037" s="1" t="str">
        <f>"513420"</f>
        <v>513420</v>
      </c>
      <c r="B14037" s="2" t="str">
        <f>"LAM.IMP ABACAXI/COCO CAROLINA 50G (COD.2123234)"</f>
        <v>LAM.IMP ABACAXI/COCO CAROLINA 50G (COD.2123234)</v>
      </c>
      <c r="C14037" s="2" t="str">
        <f t="shared" si="550"/>
        <v>KG</v>
      </c>
      <c r="D14037" s="7">
        <v>114</v>
      </c>
      <c r="E14037" s="3">
        <v>1</v>
      </c>
      <c r="F14037" s="3">
        <v>1</v>
      </c>
      <c r="G14037" t="s">
        <v>513</v>
      </c>
    </row>
    <row r="14038" spans="1:7" x14ac:dyDescent="0.25">
      <c r="A14038" s="1" t="str">
        <f>"514360"</f>
        <v>514360</v>
      </c>
      <c r="B14038" s="2" t="str">
        <f>"LAM.IMP.COCO CAROLINA (COD.2123202)"</f>
        <v>LAM.IMP.COCO CAROLINA (COD.2123202)</v>
      </c>
      <c r="C14038" s="2" t="str">
        <f t="shared" si="550"/>
        <v>KG</v>
      </c>
      <c r="D14038" s="7">
        <v>114</v>
      </c>
      <c r="E14038" s="3">
        <v>1</v>
      </c>
      <c r="F14038" s="3">
        <v>1</v>
      </c>
      <c r="G14038" t="s">
        <v>514</v>
      </c>
    </row>
    <row r="14039" spans="1:7" x14ac:dyDescent="0.25">
      <c r="A14039" s="1" t="str">
        <f>"6538"</f>
        <v>6538</v>
      </c>
      <c r="B14039" s="2" t="str">
        <f>"LAM.IMP.COCO CAROLINA (COD.2123202)"</f>
        <v>LAM.IMP.COCO CAROLINA (COD.2123202)</v>
      </c>
      <c r="C14039" s="2" t="str">
        <f t="shared" si="550"/>
        <v>KG</v>
      </c>
      <c r="D14039" s="7">
        <v>114</v>
      </c>
      <c r="E14039" s="3">
        <v>1</v>
      </c>
      <c r="F14039" s="3">
        <v>1</v>
      </c>
      <c r="G14039" t="s">
        <v>514</v>
      </c>
    </row>
    <row r="14040" spans="1:7" x14ac:dyDescent="0.25">
      <c r="A14040" s="1" t="str">
        <f>"516379"</f>
        <v>516379</v>
      </c>
      <c r="B14040" s="2" t="str">
        <f>"LAM.IMP.COCO CAROLINA 48G (CÓD.2123279)"</f>
        <v>LAM.IMP.COCO CAROLINA 48G (CÓD.2123279)</v>
      </c>
      <c r="C14040" s="2" t="str">
        <f t="shared" si="550"/>
        <v>KG</v>
      </c>
      <c r="D14040" s="7">
        <v>114</v>
      </c>
      <c r="E14040" s="3">
        <v>1</v>
      </c>
      <c r="F14040" s="3">
        <v>1</v>
      </c>
      <c r="G14040" t="s">
        <v>514</v>
      </c>
    </row>
    <row r="14041" spans="1:7" x14ac:dyDescent="0.25">
      <c r="A14041" s="1" t="str">
        <f>"516429"</f>
        <v>516429</v>
      </c>
      <c r="B14041" s="2" t="str">
        <f>"LAM.IMP.FRUTAS VERMELHAS CAROLINA 48G (CÓD.2123313)"</f>
        <v>LAM.IMP.FRUTAS VERMELHAS CAROLINA 48G (CÓD.2123313)</v>
      </c>
      <c r="C14041" s="2" t="str">
        <f t="shared" si="550"/>
        <v>KG</v>
      </c>
      <c r="D14041" s="7">
        <v>114</v>
      </c>
      <c r="E14041" s="3">
        <v>1</v>
      </c>
      <c r="F14041" s="3">
        <v>1</v>
      </c>
      <c r="G14041" t="s">
        <v>513</v>
      </c>
    </row>
    <row r="14042" spans="1:7" x14ac:dyDescent="0.25">
      <c r="A14042" s="1" t="str">
        <f>"514361"</f>
        <v>514361</v>
      </c>
      <c r="B14042" s="2" t="str">
        <f>"LAM.IMP.GRAVIOLA CAROLINA (COD.2123204)"</f>
        <v>LAM.IMP.GRAVIOLA CAROLINA (COD.2123204)</v>
      </c>
      <c r="C14042" s="2" t="str">
        <f t="shared" si="550"/>
        <v>KG</v>
      </c>
      <c r="D14042" s="7">
        <v>114</v>
      </c>
      <c r="E14042" s="3">
        <v>1</v>
      </c>
      <c r="F14042" s="3">
        <v>1</v>
      </c>
      <c r="G14042" t="s">
        <v>512</v>
      </c>
    </row>
    <row r="14043" spans="1:7" x14ac:dyDescent="0.25">
      <c r="A14043" s="1" t="str">
        <f>"6540"</f>
        <v>6540</v>
      </c>
      <c r="B14043" s="2" t="str">
        <f>"LAM.IMP.GRAVIOLA CAROLINA (COD.2123204)"</f>
        <v>LAM.IMP.GRAVIOLA CAROLINA (COD.2123204)</v>
      </c>
      <c r="C14043" s="2" t="str">
        <f t="shared" si="550"/>
        <v>KG</v>
      </c>
      <c r="D14043" s="7">
        <v>114</v>
      </c>
      <c r="E14043" s="3">
        <v>1</v>
      </c>
      <c r="F14043" s="3">
        <v>1</v>
      </c>
      <c r="G14043" t="s">
        <v>513</v>
      </c>
    </row>
    <row r="14044" spans="1:7" x14ac:dyDescent="0.25">
      <c r="A14044" s="1" t="str">
        <f>"514362"</f>
        <v>514362</v>
      </c>
      <c r="B14044" s="2" t="str">
        <f>"LAM.IMP.LIMAO CAROLINA (COD.2123230)"</f>
        <v>LAM.IMP.LIMAO CAROLINA (COD.2123230)</v>
      </c>
      <c r="C14044" s="2" t="str">
        <f t="shared" si="550"/>
        <v>KG</v>
      </c>
      <c r="D14044" s="7">
        <v>114</v>
      </c>
      <c r="E14044" s="3">
        <v>1</v>
      </c>
      <c r="F14044" s="3">
        <v>1</v>
      </c>
      <c r="G14044" t="s">
        <v>514</v>
      </c>
    </row>
    <row r="14045" spans="1:7" x14ac:dyDescent="0.25">
      <c r="A14045" s="1" t="str">
        <f>"6779"</f>
        <v>6779</v>
      </c>
      <c r="B14045" s="2" t="str">
        <f>"LAM.IMP.LIMAO CAROLINA (COD.2123230)"</f>
        <v>LAM.IMP.LIMAO CAROLINA (COD.2123230)</v>
      </c>
      <c r="C14045" s="2" t="str">
        <f t="shared" si="550"/>
        <v>KG</v>
      </c>
      <c r="D14045" s="7">
        <v>114</v>
      </c>
      <c r="E14045" s="3">
        <v>1</v>
      </c>
      <c r="F14045" s="3">
        <v>1</v>
      </c>
      <c r="G14045" t="s">
        <v>514</v>
      </c>
    </row>
    <row r="14046" spans="1:7" x14ac:dyDescent="0.25">
      <c r="A14046" s="1" t="str">
        <f>"514363"</f>
        <v>514363</v>
      </c>
      <c r="B14046" s="2" t="str">
        <f>"LAM.IMP.MACACUJA CAROLINA (COD.2123205)"</f>
        <v>LAM.IMP.MACACUJA CAROLINA (COD.2123205)</v>
      </c>
      <c r="C14046" s="2" t="str">
        <f t="shared" si="550"/>
        <v>KG</v>
      </c>
      <c r="D14046" s="7">
        <v>114</v>
      </c>
      <c r="E14046" s="3">
        <v>1</v>
      </c>
      <c r="F14046" s="3">
        <v>1</v>
      </c>
      <c r="G14046" t="s">
        <v>514</v>
      </c>
    </row>
    <row r="14047" spans="1:7" x14ac:dyDescent="0.25">
      <c r="A14047" s="1" t="str">
        <f>"6541"</f>
        <v>6541</v>
      </c>
      <c r="B14047" s="2" t="str">
        <f>"LAM.IMP.MACACUJA CAROLINA (COD.2123205)"</f>
        <v>LAM.IMP.MACACUJA CAROLINA (COD.2123205)</v>
      </c>
      <c r="C14047" s="2" t="str">
        <f t="shared" si="550"/>
        <v>KG</v>
      </c>
      <c r="D14047" s="7">
        <v>114</v>
      </c>
      <c r="E14047" s="3">
        <v>1</v>
      </c>
      <c r="F14047" s="3">
        <v>1</v>
      </c>
      <c r="G14047" t="s">
        <v>513</v>
      </c>
    </row>
    <row r="14048" spans="1:7" x14ac:dyDescent="0.25">
      <c r="A14048" s="1" t="str">
        <f>"514364"</f>
        <v>514364</v>
      </c>
      <c r="B14048" s="2" t="str">
        <f>"LAM.IMP.MANGA CAROLINA (COD.2123203)"</f>
        <v>LAM.IMP.MANGA CAROLINA (COD.2123203)</v>
      </c>
      <c r="C14048" s="2" t="str">
        <f t="shared" si="550"/>
        <v>KG</v>
      </c>
      <c r="D14048" s="7">
        <v>114</v>
      </c>
      <c r="E14048" s="3">
        <v>1</v>
      </c>
      <c r="F14048" s="3">
        <v>1</v>
      </c>
      <c r="G14048" t="s">
        <v>513</v>
      </c>
    </row>
    <row r="14049" spans="1:7" x14ac:dyDescent="0.25">
      <c r="A14049" s="1" t="str">
        <f>"6539"</f>
        <v>6539</v>
      </c>
      <c r="B14049" s="2" t="str">
        <f>"LAM.IMP.MANGA CAROLINA (COD.2123203)"</f>
        <v>LAM.IMP.MANGA CAROLINA (COD.2123203)</v>
      </c>
      <c r="C14049" s="2" t="str">
        <f t="shared" si="550"/>
        <v>KG</v>
      </c>
      <c r="D14049" s="7">
        <v>114</v>
      </c>
      <c r="E14049" s="3">
        <v>1</v>
      </c>
      <c r="F14049" s="3">
        <v>1</v>
      </c>
      <c r="G14049" t="s">
        <v>513</v>
      </c>
    </row>
    <row r="14050" spans="1:7" x14ac:dyDescent="0.25">
      <c r="A14050" s="1" t="str">
        <f>"516380"</f>
        <v>516380</v>
      </c>
      <c r="B14050" s="2" t="str">
        <f>"LAM.IMP.MANGA CAROLINA 48G (COD.2123280)"</f>
        <v>LAM.IMP.MANGA CAROLINA 48G (COD.2123280)</v>
      </c>
      <c r="C14050" s="2" t="str">
        <f t="shared" si="550"/>
        <v>KG</v>
      </c>
      <c r="D14050" s="7">
        <v>114</v>
      </c>
      <c r="E14050" s="3">
        <v>1</v>
      </c>
      <c r="F14050" s="3">
        <v>1</v>
      </c>
      <c r="G14050" t="s">
        <v>512</v>
      </c>
    </row>
    <row r="14051" spans="1:7" x14ac:dyDescent="0.25">
      <c r="A14051" s="1" t="str">
        <f>"516381"</f>
        <v>516381</v>
      </c>
      <c r="B14051" s="2" t="str">
        <f>"LAM.IMP.MARACUJA CAROLINA 48G (CÓD.2123282)"</f>
        <v>LAM.IMP.MARACUJA CAROLINA 48G (CÓD.2123282)</v>
      </c>
      <c r="C14051" s="2" t="str">
        <f t="shared" si="550"/>
        <v>KG</v>
      </c>
      <c r="D14051" s="7">
        <v>114</v>
      </c>
      <c r="E14051" s="3">
        <v>1</v>
      </c>
      <c r="F14051" s="3">
        <v>1</v>
      </c>
      <c r="G14051" t="s">
        <v>513</v>
      </c>
    </row>
    <row r="14052" spans="1:7" x14ac:dyDescent="0.25">
      <c r="A14052" s="1" t="str">
        <f>"514365"</f>
        <v>514365</v>
      </c>
      <c r="B14052" s="2" t="str">
        <f>"LAM.IMP.MORANGO CAROLINA (COD.2123201)"</f>
        <v>LAM.IMP.MORANGO CAROLINA (COD.2123201)</v>
      </c>
      <c r="C14052" s="2" t="str">
        <f t="shared" si="550"/>
        <v>KG</v>
      </c>
      <c r="D14052" s="7">
        <v>114</v>
      </c>
      <c r="E14052" s="3">
        <v>1</v>
      </c>
      <c r="F14052" s="3">
        <v>1</v>
      </c>
      <c r="G14052" t="s">
        <v>514</v>
      </c>
    </row>
    <row r="14053" spans="1:7" x14ac:dyDescent="0.25">
      <c r="A14053" s="1" t="str">
        <f>"6537"</f>
        <v>6537</v>
      </c>
      <c r="B14053" s="2" t="str">
        <f>"LAM.IMP.MORANGO CAROLINA (COD.2123201)"</f>
        <v>LAM.IMP.MORANGO CAROLINA (COD.2123201)</v>
      </c>
      <c r="C14053" s="2" t="str">
        <f t="shared" si="550"/>
        <v>KG</v>
      </c>
      <c r="D14053" s="7">
        <v>114</v>
      </c>
      <c r="E14053" s="3">
        <v>1</v>
      </c>
      <c r="F14053" s="3">
        <v>1</v>
      </c>
      <c r="G14053" t="s">
        <v>515</v>
      </c>
    </row>
    <row r="14054" spans="1:7" x14ac:dyDescent="0.25">
      <c r="A14054" s="1" t="str">
        <f>"516378"</f>
        <v>516378</v>
      </c>
      <c r="B14054" s="2" t="str">
        <f>"LAM.IMP.MORANGO CAROLINA 48G (CÓD.2123278)"</f>
        <v>LAM.IMP.MORANGO CAROLINA 48G (CÓD.2123278)</v>
      </c>
      <c r="C14054" s="2" t="str">
        <f t="shared" si="550"/>
        <v>KG</v>
      </c>
      <c r="D14054" s="7">
        <v>114</v>
      </c>
      <c r="E14054" s="3">
        <v>1</v>
      </c>
      <c r="F14054" s="3">
        <v>1</v>
      </c>
      <c r="G14054" t="s">
        <v>512</v>
      </c>
    </row>
    <row r="14055" spans="1:7" x14ac:dyDescent="0.25">
      <c r="A14055" s="1" t="str">
        <f>"516382"</f>
        <v>516382</v>
      </c>
      <c r="B14055" s="2" t="str">
        <f>"LAM.IMP.UVA CAROLINA 48G (COD.2123283)"</f>
        <v>LAM.IMP.UVA CAROLINA 48G (COD.2123283)</v>
      </c>
      <c r="C14055" s="2" t="str">
        <f t="shared" si="550"/>
        <v>KG</v>
      </c>
      <c r="D14055" s="7">
        <v>114</v>
      </c>
      <c r="E14055" s="3">
        <v>1</v>
      </c>
      <c r="F14055" s="3">
        <v>1</v>
      </c>
      <c r="G14055" t="s">
        <v>516</v>
      </c>
    </row>
    <row r="14056" spans="1:7" x14ac:dyDescent="0.25">
      <c r="A14056" s="1" t="str">
        <f>"514366"</f>
        <v>514366</v>
      </c>
      <c r="B14056" s="2" t="str">
        <f>"LAM.PACOTE PEBD 36.8X0.05G (COD.2123216)"</f>
        <v>LAM.PACOTE PEBD 36.8X0.05G (COD.2123216)</v>
      </c>
      <c r="C14056" s="2" t="str">
        <f t="shared" si="550"/>
        <v>KG</v>
      </c>
      <c r="D14056" s="7">
        <v>114</v>
      </c>
      <c r="E14056" s="3">
        <v>1</v>
      </c>
      <c r="F14056" s="3">
        <v>1</v>
      </c>
      <c r="G14056" t="s">
        <v>515</v>
      </c>
    </row>
    <row r="14057" spans="1:7" x14ac:dyDescent="0.25">
      <c r="A14057" s="1" t="str">
        <f>"6546"</f>
        <v>6546</v>
      </c>
      <c r="B14057" s="2" t="str">
        <f>"LAM.PACOTE PEBD 36.8X0.05G (COD.2123216)"</f>
        <v>LAM.PACOTE PEBD 36.8X0.05G (COD.2123216)</v>
      </c>
      <c r="C14057" s="2" t="str">
        <f t="shared" si="550"/>
        <v>KG</v>
      </c>
      <c r="D14057" s="7">
        <v>114</v>
      </c>
      <c r="E14057" s="3">
        <v>1</v>
      </c>
      <c r="F14057" s="3">
        <v>1</v>
      </c>
      <c r="G14057" t="s">
        <v>514</v>
      </c>
    </row>
    <row r="14058" spans="1:7" x14ac:dyDescent="0.25">
      <c r="A14058" s="1" t="str">
        <f>"514367"</f>
        <v>514367</v>
      </c>
      <c r="B14058" s="2" t="str">
        <f>"LAM.S.IMP.INTALPEL (COD.2123212)"</f>
        <v>LAM.S.IMP.INTALPEL (COD.2123212)</v>
      </c>
      <c r="C14058" s="2" t="str">
        <f t="shared" si="550"/>
        <v>KG</v>
      </c>
      <c r="D14058" s="7">
        <v>114</v>
      </c>
      <c r="E14058" s="3">
        <v>1</v>
      </c>
      <c r="F14058" s="3">
        <v>1</v>
      </c>
      <c r="G14058" t="s">
        <v>512</v>
      </c>
    </row>
    <row r="14059" spans="1:7" x14ac:dyDescent="0.25">
      <c r="A14059" s="1" t="str">
        <f>"6543"</f>
        <v>6543</v>
      </c>
      <c r="B14059" s="2" t="str">
        <f>"LAM.S.IMP.INTALPEL (COD.2123212)"</f>
        <v>LAM.S.IMP.INTALPEL (COD.2123212)</v>
      </c>
      <c r="C14059" s="2" t="str">
        <f t="shared" si="550"/>
        <v>KG</v>
      </c>
      <c r="D14059" s="7">
        <v>114</v>
      </c>
      <c r="E14059" s="3">
        <v>1</v>
      </c>
      <c r="F14059" s="3">
        <v>1</v>
      </c>
      <c r="G14059" t="s">
        <v>513</v>
      </c>
    </row>
    <row r="14060" spans="1:7" x14ac:dyDescent="0.25">
      <c r="A14060" s="1" t="str">
        <f>"519813"</f>
        <v>519813</v>
      </c>
      <c r="B14060" s="2" t="str">
        <f>"LAMBRIO 3 X 20 #18"</f>
        <v>LAMBRIO 3 X 20 #18</v>
      </c>
      <c r="C14060" s="2" t="str">
        <f t="shared" ref="C14060:C14074" si="551">"UN"</f>
        <v>UN</v>
      </c>
      <c r="D14060" s="7">
        <v>917</v>
      </c>
      <c r="E14060" s="3">
        <v>4</v>
      </c>
      <c r="F14060" s="3">
        <v>4</v>
      </c>
      <c r="G14060" t="s">
        <v>514</v>
      </c>
    </row>
    <row r="14061" spans="1:7" x14ac:dyDescent="0.25">
      <c r="A14061" s="1" t="str">
        <f>"528028"</f>
        <v>528028</v>
      </c>
      <c r="B14061" s="2" t="str">
        <f>"LAMELA EXTERNA"</f>
        <v>LAMELA EXTERNA</v>
      </c>
      <c r="C14061" s="2" t="str">
        <f t="shared" si="551"/>
        <v>UN</v>
      </c>
      <c r="D14061" s="7">
        <v>704</v>
      </c>
      <c r="E14061" s="3">
        <v>4</v>
      </c>
      <c r="F14061" s="3">
        <v>4</v>
      </c>
      <c r="G14061" t="s">
        <v>514</v>
      </c>
    </row>
    <row r="14062" spans="1:7" x14ac:dyDescent="0.25">
      <c r="A14062" s="1" t="str">
        <f>"528027"</f>
        <v>528027</v>
      </c>
      <c r="B14062" s="2" t="str">
        <f>"LAMELA INTERNA"</f>
        <v>LAMELA INTERNA</v>
      </c>
      <c r="C14062" s="2" t="str">
        <f t="shared" si="551"/>
        <v>UN</v>
      </c>
      <c r="D14062" s="7">
        <v>704</v>
      </c>
      <c r="E14062" s="3">
        <v>4</v>
      </c>
      <c r="F14062" s="3">
        <v>4</v>
      </c>
      <c r="G14062" t="s">
        <v>512</v>
      </c>
    </row>
    <row r="14063" spans="1:7" x14ac:dyDescent="0.25">
      <c r="A14063" s="1" t="str">
        <f>"511512"</f>
        <v>511512</v>
      </c>
      <c r="B14063" s="2" t="str">
        <f>"LAMI PLAST V 75/30 2440"</f>
        <v>LAMI PLAST V 75/30 2440</v>
      </c>
      <c r="C14063" s="2" t="str">
        <f t="shared" si="551"/>
        <v>UN</v>
      </c>
      <c r="D14063" s="7">
        <v>704</v>
      </c>
      <c r="E14063" s="3">
        <v>9</v>
      </c>
      <c r="F14063" s="3">
        <v>9</v>
      </c>
      <c r="G14063" t="s">
        <v>513</v>
      </c>
    </row>
    <row r="14064" spans="1:7" x14ac:dyDescent="0.25">
      <c r="A14064" s="1" t="str">
        <f>"513896"</f>
        <v>513896</v>
      </c>
      <c r="B14064" s="2" t="str">
        <f>"LAMINA"</f>
        <v>LAMINA</v>
      </c>
      <c r="C14064" s="2" t="str">
        <f t="shared" si="551"/>
        <v>UN</v>
      </c>
      <c r="D14064" s="7">
        <v>99999</v>
      </c>
      <c r="E14064" s="3">
        <v>99</v>
      </c>
      <c r="F14064" s="3">
        <v>99</v>
      </c>
      <c r="G14064" t="s">
        <v>514</v>
      </c>
    </row>
    <row r="14065" spans="1:7" x14ac:dyDescent="0.25">
      <c r="A14065" s="1" t="str">
        <f>"516121"</f>
        <v>516121</v>
      </c>
      <c r="B14065" s="2" t="str">
        <f>"LAMINA CORTE CP - 1500"</f>
        <v>LAMINA CORTE CP - 1500</v>
      </c>
      <c r="C14065" s="2" t="str">
        <f t="shared" si="551"/>
        <v>UN</v>
      </c>
      <c r="D14065" s="7">
        <v>918</v>
      </c>
      <c r="E14065" s="3">
        <v>11</v>
      </c>
      <c r="F14065" s="3">
        <v>11</v>
      </c>
      <c r="G14065" t="s">
        <v>514</v>
      </c>
    </row>
    <row r="14066" spans="1:7" x14ac:dyDescent="0.25">
      <c r="A14066" s="1" t="str">
        <f>"523862"</f>
        <v>523862</v>
      </c>
      <c r="B14066" s="2" t="str">
        <f>"LAMINA DE CADASTRO"</f>
        <v>LAMINA DE CADASTRO</v>
      </c>
      <c r="C14066" s="2" t="str">
        <f t="shared" si="551"/>
        <v>UN</v>
      </c>
      <c r="D14066" s="7">
        <v>99999</v>
      </c>
      <c r="E14066" s="3">
        <v>99</v>
      </c>
      <c r="F14066" s="3">
        <v>99</v>
      </c>
      <c r="G14066" t="s">
        <v>514</v>
      </c>
    </row>
    <row r="14067" spans="1:7" x14ac:dyDescent="0.25">
      <c r="A14067" s="1" t="str">
        <f>"521146"</f>
        <v>521146</v>
      </c>
      <c r="B14067" s="2" t="str">
        <f>"LAMINA DECORADA CARVALHO FORMICA"</f>
        <v>LAMINA DECORADA CARVALHO FORMICA</v>
      </c>
      <c r="C14067" s="2" t="str">
        <f t="shared" si="551"/>
        <v>UN</v>
      </c>
      <c r="D14067" s="7">
        <v>1200</v>
      </c>
      <c r="E14067" s="3">
        <v>4</v>
      </c>
      <c r="F14067" s="3">
        <v>4</v>
      </c>
      <c r="G14067" t="s">
        <v>513</v>
      </c>
    </row>
    <row r="14068" spans="1:7" x14ac:dyDescent="0.25">
      <c r="A14068" s="1" t="str">
        <f>"520688"</f>
        <v>520688</v>
      </c>
      <c r="B14068" s="2" t="str">
        <f>"LAMINA DECORADA FORMICA"</f>
        <v>LAMINA DECORADA FORMICA</v>
      </c>
      <c r="C14068" s="2" t="str">
        <f t="shared" si="551"/>
        <v>UN</v>
      </c>
      <c r="D14068" s="7">
        <v>99999</v>
      </c>
      <c r="E14068" s="3">
        <v>99</v>
      </c>
      <c r="F14068" s="3">
        <v>99</v>
      </c>
      <c r="G14068" t="s">
        <v>512</v>
      </c>
    </row>
    <row r="14069" spans="1:7" x14ac:dyDescent="0.25">
      <c r="A14069" s="1" t="str">
        <f>"520689"</f>
        <v>520689</v>
      </c>
      <c r="B14069" s="2" t="str">
        <f>"LAMINA EMBUIA ESCURA SELECTA"</f>
        <v>LAMINA EMBUIA ESCURA SELECTA</v>
      </c>
      <c r="C14069" s="2" t="str">
        <f t="shared" si="551"/>
        <v>UN</v>
      </c>
      <c r="D14069" s="7">
        <v>99999</v>
      </c>
      <c r="E14069" s="3">
        <v>99</v>
      </c>
      <c r="F14069" s="3">
        <v>99</v>
      </c>
      <c r="G14069" t="s">
        <v>513</v>
      </c>
    </row>
    <row r="14070" spans="1:7" x14ac:dyDescent="0.25">
      <c r="A14070" s="1" t="str">
        <f>"500294"</f>
        <v>500294</v>
      </c>
      <c r="B14070" s="2" t="str">
        <f>"LAMINA P/ ESTILETE (STARRET) CJ C/ 10"</f>
        <v>LAMINA P/ ESTILETE (STARRET) CJ C/ 10</v>
      </c>
      <c r="C14070" s="2" t="str">
        <f t="shared" si="551"/>
        <v>UN</v>
      </c>
      <c r="D14070" s="7">
        <v>918</v>
      </c>
      <c r="E14070" s="3">
        <v>11</v>
      </c>
      <c r="F14070" s="3">
        <v>11</v>
      </c>
      <c r="G14070" t="s">
        <v>514</v>
      </c>
    </row>
    <row r="14071" spans="1:7" x14ac:dyDescent="0.25">
      <c r="A14071" s="1" t="str">
        <f>"527181"</f>
        <v>527181</v>
      </c>
      <c r="B14071" s="2" t="str">
        <f>"LAMINA P/ ESTILETE RETRATIL KS01R"</f>
        <v>LAMINA P/ ESTILETE RETRATIL KS01R</v>
      </c>
      <c r="C14071" s="2" t="str">
        <f t="shared" si="551"/>
        <v>UN</v>
      </c>
      <c r="D14071" s="7">
        <v>918</v>
      </c>
      <c r="E14071" s="3">
        <v>11</v>
      </c>
      <c r="F14071" s="3">
        <v>11</v>
      </c>
      <c r="G14071" t="s">
        <v>514</v>
      </c>
    </row>
    <row r="14072" spans="1:7" x14ac:dyDescent="0.25">
      <c r="A14072" s="1" t="str">
        <f>"527182"</f>
        <v>527182</v>
      </c>
      <c r="B14072" s="2" t="str">
        <f>"LAMINA P/ ESTILETE S 06 R"</f>
        <v>LAMINA P/ ESTILETE S 06 R</v>
      </c>
      <c r="C14072" s="2" t="str">
        <f t="shared" si="551"/>
        <v>UN</v>
      </c>
      <c r="D14072" s="7">
        <v>918</v>
      </c>
      <c r="E14072" s="3">
        <v>11</v>
      </c>
      <c r="F14072" s="3">
        <v>11</v>
      </c>
      <c r="G14072" t="s">
        <v>514</v>
      </c>
    </row>
    <row r="14073" spans="1:7" x14ac:dyDescent="0.25">
      <c r="A14073" s="1" t="str">
        <f>"521143"</f>
        <v>521143</v>
      </c>
      <c r="B14073" s="2" t="str">
        <f>"LAMINA P/ IMBUIA ESCURA"</f>
        <v>LAMINA P/ IMBUIA ESCURA</v>
      </c>
      <c r="C14073" s="2" t="str">
        <f t="shared" si="551"/>
        <v>UN</v>
      </c>
      <c r="D14073" s="7">
        <v>1200</v>
      </c>
      <c r="E14073" s="3">
        <v>4</v>
      </c>
      <c r="F14073" s="3">
        <v>4</v>
      </c>
      <c r="G14073" t="s">
        <v>513</v>
      </c>
    </row>
    <row r="14074" spans="1:7" x14ac:dyDescent="0.25">
      <c r="A14074" s="1" t="str">
        <f>"511010"</f>
        <v>511010</v>
      </c>
      <c r="B14074" s="2" t="str">
        <f>"LAMINA VINCO INTERNO 7103"</f>
        <v>LAMINA VINCO INTERNO 7103</v>
      </c>
      <c r="C14074" s="2" t="str">
        <f t="shared" si="551"/>
        <v>UN</v>
      </c>
      <c r="D14074" s="7">
        <v>401</v>
      </c>
      <c r="E14074" s="3">
        <v>4</v>
      </c>
      <c r="F14074" s="3">
        <v>4</v>
      </c>
      <c r="G14074" t="s">
        <v>513</v>
      </c>
    </row>
    <row r="14075" spans="1:7" x14ac:dyDescent="0.25">
      <c r="A14075" s="1" t="str">
        <f>"516992"</f>
        <v>516992</v>
      </c>
      <c r="B14075" s="2" t="str">
        <f>"LAMINADO ATÓXICO IMPRESSO ABACAXI C/ COCO 25G"</f>
        <v>LAMINADO ATÓXICO IMPRESSO ABACAXI C/ COCO 25G</v>
      </c>
      <c r="C14075" s="2" t="str">
        <f t="shared" ref="C14075:C14085" si="552">"KG"</f>
        <v>KG</v>
      </c>
      <c r="D14075" s="7">
        <v>114</v>
      </c>
      <c r="E14075" s="3">
        <v>1</v>
      </c>
      <c r="F14075" s="3">
        <v>1</v>
      </c>
      <c r="G14075" t="s">
        <v>513</v>
      </c>
    </row>
    <row r="14076" spans="1:7" x14ac:dyDescent="0.25">
      <c r="A14076" s="1" t="str">
        <f>"516994"</f>
        <v>516994</v>
      </c>
      <c r="B14076" s="2" t="str">
        <f>"LAMINADO ATÓXICO IMPRESSO ABACAXI C/ COCO 60G"</f>
        <v>LAMINADO ATÓXICO IMPRESSO ABACAXI C/ COCO 60G</v>
      </c>
      <c r="C14076" s="2" t="str">
        <f t="shared" si="552"/>
        <v>KG</v>
      </c>
      <c r="D14076" s="7">
        <v>114</v>
      </c>
      <c r="E14076" s="3">
        <v>1</v>
      </c>
      <c r="F14076" s="3">
        <v>1</v>
      </c>
      <c r="G14076" t="s">
        <v>512</v>
      </c>
    </row>
    <row r="14077" spans="1:7" x14ac:dyDescent="0.25">
      <c r="A14077" s="1" t="str">
        <f>"516999"</f>
        <v>516999</v>
      </c>
      <c r="B14077" s="2" t="str">
        <f>"LAMINADO ATÓXICO IMPRESSO AÇAÍ COM BANANA 60G"</f>
        <v>LAMINADO ATÓXICO IMPRESSO AÇAÍ COM BANANA 60G</v>
      </c>
      <c r="C14077" s="2" t="str">
        <f t="shared" si="552"/>
        <v>KG</v>
      </c>
      <c r="D14077" s="7">
        <v>114</v>
      </c>
      <c r="E14077" s="3">
        <v>1</v>
      </c>
      <c r="F14077" s="3">
        <v>1</v>
      </c>
      <c r="G14077" t="s">
        <v>513</v>
      </c>
    </row>
    <row r="14078" spans="1:7" x14ac:dyDescent="0.25">
      <c r="A14078" s="1" t="str">
        <f>"516996"</f>
        <v>516996</v>
      </c>
      <c r="B14078" s="2" t="str">
        <f>"LAMINADO ATÓXICO IMPRESSO COCO 60G"</f>
        <v>LAMINADO ATÓXICO IMPRESSO COCO 60G</v>
      </c>
      <c r="C14078" s="2" t="str">
        <f t="shared" si="552"/>
        <v>KG</v>
      </c>
      <c r="D14078" s="7">
        <v>114</v>
      </c>
      <c r="E14078" s="3">
        <v>1</v>
      </c>
      <c r="F14078" s="3">
        <v>1</v>
      </c>
      <c r="G14078" t="s">
        <v>514</v>
      </c>
    </row>
    <row r="14079" spans="1:7" x14ac:dyDescent="0.25">
      <c r="A14079" s="1" t="str">
        <f>"516998"</f>
        <v>516998</v>
      </c>
      <c r="B14079" s="2" t="str">
        <f>"LAMINADO ATÓXICO IMPRESSO FRUTAS VERMELHAS 60G"</f>
        <v>LAMINADO ATÓXICO IMPRESSO FRUTAS VERMELHAS 60G</v>
      </c>
      <c r="C14079" s="2" t="str">
        <f t="shared" si="552"/>
        <v>KG</v>
      </c>
      <c r="D14079" s="7">
        <v>114</v>
      </c>
      <c r="E14079" s="3">
        <v>1</v>
      </c>
      <c r="F14079" s="3">
        <v>1</v>
      </c>
      <c r="G14079" t="s">
        <v>515</v>
      </c>
    </row>
    <row r="14080" spans="1:7" x14ac:dyDescent="0.25">
      <c r="A14080" s="1" t="str">
        <f>"516997"</f>
        <v>516997</v>
      </c>
      <c r="B14080" s="2" t="str">
        <f>"LAMINADO ATÓXICO IMPRESSO MANGA 60G"</f>
        <v>LAMINADO ATÓXICO IMPRESSO MANGA 60G</v>
      </c>
      <c r="C14080" s="2" t="str">
        <f t="shared" si="552"/>
        <v>KG</v>
      </c>
      <c r="D14080" s="7">
        <v>114</v>
      </c>
      <c r="E14080" s="3">
        <v>1</v>
      </c>
      <c r="F14080" s="3">
        <v>1</v>
      </c>
      <c r="G14080" t="s">
        <v>512</v>
      </c>
    </row>
    <row r="14081" spans="1:7" x14ac:dyDescent="0.25">
      <c r="A14081" s="1" t="str">
        <f>"516990"</f>
        <v>516990</v>
      </c>
      <c r="B14081" s="2" t="str">
        <f>"LAMINADO ATÓXICO IMPRESSO MORANGO 25G"</f>
        <v>LAMINADO ATÓXICO IMPRESSO MORANGO 25G</v>
      </c>
      <c r="C14081" s="2" t="str">
        <f t="shared" si="552"/>
        <v>KG</v>
      </c>
      <c r="D14081" s="7">
        <v>114</v>
      </c>
      <c r="E14081" s="3">
        <v>1</v>
      </c>
      <c r="F14081" s="3">
        <v>1</v>
      </c>
      <c r="G14081" t="s">
        <v>516</v>
      </c>
    </row>
    <row r="14082" spans="1:7" x14ac:dyDescent="0.25">
      <c r="A14082" s="1" t="str">
        <f>"516993"</f>
        <v>516993</v>
      </c>
      <c r="B14082" s="2" t="str">
        <f>"LAMINADO ATÓXICO IMPRESSO MORANGO 60G"</f>
        <v>LAMINADO ATÓXICO IMPRESSO MORANGO 60G</v>
      </c>
      <c r="C14082" s="2" t="str">
        <f t="shared" si="552"/>
        <v>KG</v>
      </c>
      <c r="D14082" s="7">
        <v>114</v>
      </c>
      <c r="E14082" s="3">
        <v>1</v>
      </c>
      <c r="F14082" s="3">
        <v>1</v>
      </c>
      <c r="G14082" t="s">
        <v>515</v>
      </c>
    </row>
    <row r="14083" spans="1:7" x14ac:dyDescent="0.25">
      <c r="A14083" s="1" t="str">
        <f>"516991"</f>
        <v>516991</v>
      </c>
      <c r="B14083" s="2" t="str">
        <f>"LAMINADO ATÓXICO IMPRESSO UVA 25G"</f>
        <v>LAMINADO ATÓXICO IMPRESSO UVA 25G</v>
      </c>
      <c r="C14083" s="2" t="str">
        <f t="shared" si="552"/>
        <v>KG</v>
      </c>
      <c r="D14083" s="7">
        <v>114</v>
      </c>
      <c r="E14083" s="3">
        <v>1</v>
      </c>
      <c r="F14083" s="3">
        <v>1</v>
      </c>
      <c r="G14083" t="s">
        <v>514</v>
      </c>
    </row>
    <row r="14084" spans="1:7" x14ac:dyDescent="0.25">
      <c r="A14084" s="1" t="str">
        <f>"516995"</f>
        <v>516995</v>
      </c>
      <c r="B14084" s="2" t="str">
        <f>"LAMINADO ATÓXICO IMPRESSO UVA 60G"</f>
        <v>LAMINADO ATÓXICO IMPRESSO UVA 60G</v>
      </c>
      <c r="C14084" s="2" t="str">
        <f t="shared" si="552"/>
        <v>KG</v>
      </c>
      <c r="D14084" s="7">
        <v>114</v>
      </c>
      <c r="E14084" s="3">
        <v>1</v>
      </c>
      <c r="F14084" s="3">
        <v>1</v>
      </c>
      <c r="G14084" t="s">
        <v>512</v>
      </c>
    </row>
    <row r="14085" spans="1:7" x14ac:dyDescent="0.25">
      <c r="A14085" s="1" t="str">
        <f>"517000"</f>
        <v>517000</v>
      </c>
      <c r="B14085" s="2" t="str">
        <f>"LAMINADO ATÓXICO SEM IMPRESSÃO"</f>
        <v>LAMINADO ATÓXICO SEM IMPRESSÃO</v>
      </c>
      <c r="C14085" s="2" t="str">
        <f t="shared" si="552"/>
        <v>KG</v>
      </c>
      <c r="D14085" s="7">
        <v>114</v>
      </c>
      <c r="E14085" s="3">
        <v>1</v>
      </c>
      <c r="F14085" s="3">
        <v>1</v>
      </c>
      <c r="G14085" t="s">
        <v>513</v>
      </c>
    </row>
    <row r="14086" spans="1:7" x14ac:dyDescent="0.25">
      <c r="A14086" s="1" t="str">
        <f>"515623"</f>
        <v>515623</v>
      </c>
      <c r="B14086" s="2" t="str">
        <f>"LAMINADO FIBRALIT"</f>
        <v>LAMINADO FIBRALIT</v>
      </c>
      <c r="C14086" s="2" t="str">
        <f t="shared" ref="C14086:C14111" si="553">"UN"</f>
        <v>UN</v>
      </c>
      <c r="D14086" s="7">
        <v>704</v>
      </c>
      <c r="E14086" s="3">
        <v>9</v>
      </c>
      <c r="F14086" s="3">
        <v>9</v>
      </c>
      <c r="G14086" t="s">
        <v>514</v>
      </c>
    </row>
    <row r="14087" spans="1:7" x14ac:dyDescent="0.25">
      <c r="A14087" s="1" t="str">
        <f>"509303"</f>
        <v>509303</v>
      </c>
      <c r="B14087" s="2" t="str">
        <f>"LAMINADOS DIVERSOS"</f>
        <v>LAMINADOS DIVERSOS</v>
      </c>
      <c r="C14087" s="2" t="str">
        <f t="shared" si="553"/>
        <v>UN</v>
      </c>
      <c r="D14087" s="7">
        <v>1300</v>
      </c>
      <c r="E14087" s="3">
        <v>13</v>
      </c>
      <c r="F14087" s="3">
        <v>13</v>
      </c>
      <c r="G14087" t="s">
        <v>514</v>
      </c>
    </row>
    <row r="14088" spans="1:7" x14ac:dyDescent="0.25">
      <c r="A14088" s="1" t="str">
        <f>"505845"</f>
        <v>505845</v>
      </c>
      <c r="B14088" s="2" t="str">
        <f>"LAMPADA"</f>
        <v>LAMPADA</v>
      </c>
      <c r="C14088" s="2" t="str">
        <f t="shared" si="553"/>
        <v>UN</v>
      </c>
      <c r="D14088" s="7">
        <v>704</v>
      </c>
      <c r="E14088" s="3">
        <v>9</v>
      </c>
      <c r="F14088" s="3">
        <v>9</v>
      </c>
      <c r="G14088" t="s">
        <v>512</v>
      </c>
    </row>
    <row r="14089" spans="1:7" x14ac:dyDescent="0.25">
      <c r="A14089" s="1" t="str">
        <f>"526647"</f>
        <v>526647</v>
      </c>
      <c r="B14089" s="2" t="str">
        <f>"LAMPADA 1 POLO 1OW  12V"</f>
        <v>LAMPADA 1 POLO 1OW  12V</v>
      </c>
      <c r="C14089" s="2" t="str">
        <f t="shared" si="553"/>
        <v>UN</v>
      </c>
      <c r="D14089" s="7">
        <v>704</v>
      </c>
      <c r="E14089" s="3">
        <v>9</v>
      </c>
      <c r="F14089" s="3">
        <v>9</v>
      </c>
      <c r="G14089" t="s">
        <v>513</v>
      </c>
    </row>
    <row r="14090" spans="1:7" x14ac:dyDescent="0.25">
      <c r="A14090" s="1" t="str">
        <f>"513869"</f>
        <v>513869</v>
      </c>
      <c r="B14090" s="2" t="str">
        <f>"LAMPADA 1141"</f>
        <v>LAMPADA 1141</v>
      </c>
      <c r="C14090" s="2" t="str">
        <f t="shared" si="553"/>
        <v>UN</v>
      </c>
      <c r="D14090" s="7">
        <v>99999</v>
      </c>
      <c r="E14090" s="3">
        <v>99</v>
      </c>
      <c r="F14090" s="3">
        <v>99</v>
      </c>
      <c r="G14090" t="s">
        <v>514</v>
      </c>
    </row>
    <row r="14091" spans="1:7" x14ac:dyDescent="0.25">
      <c r="A14091" s="1" t="str">
        <f>"514156"</f>
        <v>514156</v>
      </c>
      <c r="B14091" s="2" t="str">
        <f>"LAMPADA 1176"</f>
        <v>LAMPADA 1176</v>
      </c>
      <c r="C14091" s="2" t="str">
        <f t="shared" si="553"/>
        <v>UN</v>
      </c>
      <c r="D14091" s="7">
        <v>704</v>
      </c>
      <c r="E14091" s="3">
        <v>9</v>
      </c>
      <c r="F14091" s="3">
        <v>9</v>
      </c>
      <c r="G14091" t="s">
        <v>514</v>
      </c>
    </row>
    <row r="14092" spans="1:7" x14ac:dyDescent="0.25">
      <c r="A14092" s="1" t="str">
        <f>"524424"</f>
        <v>524424</v>
      </c>
      <c r="B14092" s="2" t="str">
        <f>"LAMPADA 12VTS"</f>
        <v>LAMPADA 12VTS</v>
      </c>
      <c r="C14092" s="2" t="str">
        <f t="shared" si="553"/>
        <v>UN</v>
      </c>
      <c r="D14092" s="7">
        <v>704</v>
      </c>
      <c r="E14092" s="3">
        <v>9</v>
      </c>
      <c r="F14092" s="3">
        <v>9</v>
      </c>
      <c r="G14092" t="s">
        <v>514</v>
      </c>
    </row>
    <row r="14093" spans="1:7" x14ac:dyDescent="0.25">
      <c r="A14093" s="1" t="str">
        <f>"524011"</f>
        <v>524011</v>
      </c>
      <c r="B14093" s="2" t="str">
        <f>"LAMPADA 2110 P/Q HX0001-01202"</f>
        <v>LAMPADA 2110 P/Q HX0001-01202</v>
      </c>
      <c r="C14093" s="2" t="str">
        <f t="shared" si="553"/>
        <v>UN</v>
      </c>
      <c r="D14093" s="7">
        <v>99999</v>
      </c>
      <c r="E14093" s="3">
        <v>99</v>
      </c>
      <c r="F14093" s="3">
        <v>99</v>
      </c>
      <c r="G14093" t="s">
        <v>513</v>
      </c>
    </row>
    <row r="14094" spans="1:7" x14ac:dyDescent="0.25">
      <c r="A14094" s="1" t="str">
        <f>"515764"</f>
        <v>515764</v>
      </c>
      <c r="B14094" s="2" t="str">
        <f>"LAMPADA 24VTS"</f>
        <v>LAMPADA 24VTS</v>
      </c>
      <c r="C14094" s="2" t="str">
        <f t="shared" si="553"/>
        <v>UN</v>
      </c>
      <c r="D14094" s="7">
        <v>704</v>
      </c>
      <c r="E14094" s="3">
        <v>9</v>
      </c>
      <c r="F14094" s="3">
        <v>9</v>
      </c>
      <c r="G14094" t="s">
        <v>512</v>
      </c>
    </row>
    <row r="14095" spans="1:7" x14ac:dyDescent="0.25">
      <c r="A14095" s="1" t="str">
        <f>"502564"</f>
        <v>502564</v>
      </c>
      <c r="B14095" s="2" t="str">
        <f>"LAMPADA 41"</f>
        <v>LAMPADA 41</v>
      </c>
      <c r="C14095" s="2" t="str">
        <f t="shared" si="553"/>
        <v>UN</v>
      </c>
      <c r="D14095" s="7">
        <v>704</v>
      </c>
      <c r="E14095" s="3">
        <v>9</v>
      </c>
      <c r="F14095" s="3">
        <v>9</v>
      </c>
      <c r="G14095" t="s">
        <v>513</v>
      </c>
    </row>
    <row r="14096" spans="1:7" x14ac:dyDescent="0.25">
      <c r="A14096" s="1" t="str">
        <f>"513758"</f>
        <v>513758</v>
      </c>
      <c r="B14096" s="2" t="str">
        <f>"LAMPADA 67"</f>
        <v>LAMPADA 67</v>
      </c>
      <c r="C14096" s="2" t="str">
        <f t="shared" si="553"/>
        <v>UN</v>
      </c>
      <c r="D14096" s="7">
        <v>704</v>
      </c>
      <c r="E14096" s="3">
        <v>9</v>
      </c>
      <c r="F14096" s="3">
        <v>9</v>
      </c>
      <c r="G14096" t="s">
        <v>514</v>
      </c>
    </row>
    <row r="14097" spans="1:7" x14ac:dyDescent="0.25">
      <c r="A14097" s="1" t="str">
        <f>"514185"</f>
        <v>514185</v>
      </c>
      <c r="B14097" s="2" t="str">
        <f>"LAMPADA 69"</f>
        <v>LAMPADA 69</v>
      </c>
      <c r="C14097" s="2" t="str">
        <f t="shared" si="553"/>
        <v>UN</v>
      </c>
      <c r="D14097" s="7">
        <v>704</v>
      </c>
      <c r="E14097" s="3">
        <v>9</v>
      </c>
      <c r="F14097" s="3">
        <v>9</v>
      </c>
      <c r="G14097" t="s">
        <v>514</v>
      </c>
    </row>
    <row r="14098" spans="1:7" x14ac:dyDescent="0.25">
      <c r="A14098" s="1" t="str">
        <f>"514264"</f>
        <v>514264</v>
      </c>
      <c r="B14098" s="2" t="str">
        <f>"LAMPADA BA9S"</f>
        <v>LAMPADA BA9S</v>
      </c>
      <c r="C14098" s="2" t="str">
        <f t="shared" si="553"/>
        <v>UN</v>
      </c>
      <c r="D14098" s="7">
        <v>811</v>
      </c>
      <c r="E14098" s="3">
        <v>8</v>
      </c>
      <c r="F14098" s="3">
        <v>8</v>
      </c>
      <c r="G14098" t="s">
        <v>514</v>
      </c>
    </row>
    <row r="14099" spans="1:7" x14ac:dyDescent="0.25">
      <c r="A14099" s="1" t="str">
        <f>"514154"</f>
        <v>514154</v>
      </c>
      <c r="B14099" s="2" t="str">
        <f>"LAMPADA BU LED"</f>
        <v>LAMPADA BU LED</v>
      </c>
      <c r="C14099" s="2" t="str">
        <f t="shared" si="553"/>
        <v>UN</v>
      </c>
      <c r="D14099" s="7">
        <v>704</v>
      </c>
      <c r="E14099" s="3">
        <v>9</v>
      </c>
      <c r="F14099" s="3">
        <v>9</v>
      </c>
      <c r="G14099" t="s">
        <v>513</v>
      </c>
    </row>
    <row r="14100" spans="1:7" x14ac:dyDescent="0.25">
      <c r="A14100" s="1" t="str">
        <f>"514773"</f>
        <v>514773</v>
      </c>
      <c r="B14100" s="2" t="str">
        <f>"LAMPADA COMPACTA 46W  127V"</f>
        <v>LAMPADA COMPACTA 46W  127V</v>
      </c>
      <c r="C14100" s="2" t="str">
        <f t="shared" si="553"/>
        <v>UN</v>
      </c>
      <c r="D14100" s="7">
        <v>900</v>
      </c>
      <c r="E14100" s="3">
        <v>8</v>
      </c>
      <c r="F14100" s="3">
        <v>8</v>
      </c>
      <c r="G14100" t="s">
        <v>513</v>
      </c>
    </row>
    <row r="14101" spans="1:7" x14ac:dyDescent="0.25">
      <c r="A14101" s="1" t="str">
        <f>"513764"</f>
        <v>513764</v>
      </c>
      <c r="B14101" s="2" t="str">
        <f>"LAMPADA COMPACTA 55W GE"</f>
        <v>LAMPADA COMPACTA 55W GE</v>
      </c>
      <c r="C14101" s="2" t="str">
        <f t="shared" si="553"/>
        <v>UN</v>
      </c>
      <c r="D14101" s="7">
        <v>919</v>
      </c>
      <c r="E14101" s="3">
        <v>4</v>
      </c>
      <c r="F14101" s="3">
        <v>4</v>
      </c>
      <c r="G14101" t="s">
        <v>513</v>
      </c>
    </row>
    <row r="14102" spans="1:7" x14ac:dyDescent="0.25">
      <c r="A14102" s="1" t="str">
        <f>"502453"</f>
        <v>502453</v>
      </c>
      <c r="B14102" s="2" t="str">
        <f>"LAMPADA DE 48V"</f>
        <v>LAMPADA DE 48V</v>
      </c>
      <c r="C14102" s="2" t="str">
        <f t="shared" si="553"/>
        <v>UN</v>
      </c>
      <c r="D14102" s="7">
        <v>601</v>
      </c>
      <c r="E14102" s="3">
        <v>8</v>
      </c>
      <c r="F14102" s="3">
        <v>8</v>
      </c>
      <c r="G14102" t="s">
        <v>512</v>
      </c>
    </row>
    <row r="14103" spans="1:7" x14ac:dyDescent="0.25">
      <c r="A14103" s="1" t="str">
        <f>"507063"</f>
        <v>507063</v>
      </c>
      <c r="B14103" s="2" t="str">
        <f>"LAMPADA DE EMERGENCIA 30 LEDS"</f>
        <v>LAMPADA DE EMERGENCIA 30 LEDS</v>
      </c>
      <c r="C14103" s="2" t="str">
        <f t="shared" si="553"/>
        <v>UN</v>
      </c>
      <c r="D14103" s="7">
        <v>601</v>
      </c>
      <c r="E14103" s="3">
        <v>8</v>
      </c>
      <c r="F14103" s="3">
        <v>8</v>
      </c>
      <c r="G14103" t="s">
        <v>513</v>
      </c>
    </row>
    <row r="14104" spans="1:7" x14ac:dyDescent="0.25">
      <c r="A14104" s="1" t="str">
        <f>"521191"</f>
        <v>521191</v>
      </c>
      <c r="B14104" s="2" t="str">
        <f>"LAMPADA DE LED 20W"</f>
        <v>LAMPADA DE LED 20W</v>
      </c>
      <c r="C14104" s="2" t="str">
        <f t="shared" si="553"/>
        <v>UN</v>
      </c>
      <c r="D14104" s="7">
        <v>601</v>
      </c>
      <c r="E14104" s="3">
        <v>8</v>
      </c>
      <c r="F14104" s="3">
        <v>8</v>
      </c>
      <c r="G14104" t="s">
        <v>514</v>
      </c>
    </row>
    <row r="14105" spans="1:7" x14ac:dyDescent="0.25">
      <c r="A14105" s="1" t="str">
        <f>"509757"</f>
        <v>509757</v>
      </c>
      <c r="B14105" s="2" t="str">
        <f>"LAMPADA DICROICA 50W 127V COM PINAGEM GU10"</f>
        <v>LAMPADA DICROICA 50W 127V COM PINAGEM GU10</v>
      </c>
      <c r="C14105" s="2" t="str">
        <f t="shared" si="553"/>
        <v>UN</v>
      </c>
      <c r="D14105" s="7">
        <v>601</v>
      </c>
      <c r="E14105" s="3">
        <v>8</v>
      </c>
      <c r="F14105" s="3">
        <v>8</v>
      </c>
      <c r="G14105" t="s">
        <v>515</v>
      </c>
    </row>
    <row r="14106" spans="1:7" x14ac:dyDescent="0.25">
      <c r="A14106" s="1" t="str">
        <f>"509488"</f>
        <v>509488</v>
      </c>
      <c r="B14106" s="2" t="str">
        <f>"LAMPADA DICROICA SPOT 110V"</f>
        <v>LAMPADA DICROICA SPOT 110V</v>
      </c>
      <c r="C14106" s="2" t="str">
        <f t="shared" si="553"/>
        <v>UN</v>
      </c>
      <c r="D14106" s="7">
        <v>704</v>
      </c>
      <c r="E14106" s="3">
        <v>9</v>
      </c>
      <c r="F14106" s="3">
        <v>9</v>
      </c>
      <c r="G14106" t="s">
        <v>512</v>
      </c>
    </row>
    <row r="14107" spans="1:7" x14ac:dyDescent="0.25">
      <c r="A14107" s="1" t="str">
        <f>"512352"</f>
        <v>512352</v>
      </c>
      <c r="B14107" s="2" t="str">
        <f>"LAMPADA ECONOMICA 110V 20W"</f>
        <v>LAMPADA ECONOMICA 110V 20W</v>
      </c>
      <c r="C14107" s="2" t="str">
        <f t="shared" si="553"/>
        <v>UN</v>
      </c>
      <c r="D14107" s="7">
        <v>601</v>
      </c>
      <c r="E14107" s="3">
        <v>8</v>
      </c>
      <c r="F14107" s="3">
        <v>8</v>
      </c>
      <c r="G14107" t="s">
        <v>516</v>
      </c>
    </row>
    <row r="14108" spans="1:7" x14ac:dyDescent="0.25">
      <c r="A14108" s="1" t="str">
        <f>"512353"</f>
        <v>512353</v>
      </c>
      <c r="B14108" s="2" t="str">
        <f>"LAMPADA ECONOMICA 220V 20W"</f>
        <v>LAMPADA ECONOMICA 220V 20W</v>
      </c>
      <c r="C14108" s="2" t="str">
        <f t="shared" si="553"/>
        <v>UN</v>
      </c>
      <c r="D14108" s="7">
        <v>601</v>
      </c>
      <c r="E14108" s="3">
        <v>8</v>
      </c>
      <c r="F14108" s="3">
        <v>8</v>
      </c>
      <c r="G14108" t="s">
        <v>515</v>
      </c>
    </row>
    <row r="14109" spans="1:7" x14ac:dyDescent="0.25">
      <c r="A14109" s="1" t="str">
        <f>"513987"</f>
        <v>513987</v>
      </c>
      <c r="B14109" s="2" t="str">
        <f>"LAMPADA ESMAGADA"</f>
        <v>LAMPADA ESMAGADA</v>
      </c>
      <c r="C14109" s="2" t="str">
        <f t="shared" si="553"/>
        <v>UN</v>
      </c>
      <c r="D14109" s="7">
        <v>704</v>
      </c>
      <c r="E14109" s="3">
        <v>9</v>
      </c>
      <c r="F14109" s="3">
        <v>9</v>
      </c>
      <c r="G14109" t="s">
        <v>514</v>
      </c>
    </row>
    <row r="14110" spans="1:7" x14ac:dyDescent="0.25">
      <c r="A14110" s="1" t="str">
        <f>"513986"</f>
        <v>513986</v>
      </c>
      <c r="B14110" s="2" t="str">
        <f>"LAMPADA ESMAGADINHA"</f>
        <v>LAMPADA ESMAGADINHA</v>
      </c>
      <c r="C14110" s="2" t="str">
        <f t="shared" si="553"/>
        <v>UN</v>
      </c>
      <c r="D14110" s="7">
        <v>704</v>
      </c>
      <c r="E14110" s="3">
        <v>9</v>
      </c>
      <c r="F14110" s="3">
        <v>9</v>
      </c>
      <c r="G14110" t="s">
        <v>512</v>
      </c>
    </row>
    <row r="14111" spans="1:7" x14ac:dyDescent="0.25">
      <c r="A14111" s="1" t="str">
        <f>"501969"</f>
        <v>501969</v>
      </c>
      <c r="B14111" s="2" t="str">
        <f>"LAMPADA FLUORESCENTE 10W"</f>
        <v>LAMPADA FLUORESCENTE 10W</v>
      </c>
      <c r="C14111" s="2" t="str">
        <f t="shared" si="553"/>
        <v>UN</v>
      </c>
      <c r="D14111" s="7">
        <v>601</v>
      </c>
      <c r="E14111" s="3">
        <v>8</v>
      </c>
      <c r="F14111" s="3">
        <v>8</v>
      </c>
      <c r="G14111" t="s">
        <v>513</v>
      </c>
    </row>
    <row r="14112" spans="1:7" x14ac:dyDescent="0.25">
      <c r="A14112" s="1" t="str">
        <f>"508202"</f>
        <v>508202</v>
      </c>
      <c r="B14112" s="2" t="str">
        <f>"LAMPADA FLUORESCENTE 110W HO"</f>
        <v>LAMPADA FLUORESCENTE 110W HO</v>
      </c>
      <c r="C14112" s="2" t="str">
        <f>"PC"</f>
        <v>PC</v>
      </c>
      <c r="D14112" s="7">
        <v>811</v>
      </c>
      <c r="E14112" s="3">
        <v>10</v>
      </c>
      <c r="F14112" s="3">
        <v>10</v>
      </c>
      <c r="G14112" t="s">
        <v>514</v>
      </c>
    </row>
    <row r="14113" spans="1:7" x14ac:dyDescent="0.25">
      <c r="A14113" s="1" t="str">
        <f>"507709"</f>
        <v>507709</v>
      </c>
      <c r="B14113" s="2" t="str">
        <f>"LAMPADA FLUORESCENTE 15W (ANTI-INSETO)"</f>
        <v>LAMPADA FLUORESCENTE 15W (ANTI-INSETO)</v>
      </c>
      <c r="C14113" s="2" t="str">
        <f t="shared" ref="C14113:C14144" si="554">"UN"</f>
        <v>UN</v>
      </c>
      <c r="D14113" s="7">
        <v>601</v>
      </c>
      <c r="E14113" s="3">
        <v>8</v>
      </c>
      <c r="F14113" s="3">
        <v>8</v>
      </c>
      <c r="G14113" t="s">
        <v>514</v>
      </c>
    </row>
    <row r="14114" spans="1:7" x14ac:dyDescent="0.25">
      <c r="A14114" s="1" t="str">
        <f>"500187"</f>
        <v>500187</v>
      </c>
      <c r="B14114" s="2" t="str">
        <f>"LAMPADA FLUORESCENTE 30W"</f>
        <v>LAMPADA FLUORESCENTE 30W</v>
      </c>
      <c r="C14114" s="2" t="str">
        <f t="shared" si="554"/>
        <v>UN</v>
      </c>
      <c r="D14114" s="7">
        <v>601</v>
      </c>
      <c r="E14114" s="3">
        <v>8</v>
      </c>
      <c r="F14114" s="3">
        <v>8</v>
      </c>
      <c r="G14114" t="s">
        <v>512</v>
      </c>
    </row>
    <row r="14115" spans="1:7" x14ac:dyDescent="0.25">
      <c r="A14115" s="1" t="str">
        <f>"502819"</f>
        <v>502819</v>
      </c>
      <c r="B14115" s="2" t="str">
        <f>"LAMPADA FLUORESCENTE 40W"</f>
        <v>LAMPADA FLUORESCENTE 40W</v>
      </c>
      <c r="C14115" s="2" t="str">
        <f t="shared" si="554"/>
        <v>UN</v>
      </c>
      <c r="D14115" s="7">
        <v>601</v>
      </c>
      <c r="E14115" s="3">
        <v>8</v>
      </c>
      <c r="F14115" s="3">
        <v>8</v>
      </c>
      <c r="G14115" t="s">
        <v>513</v>
      </c>
    </row>
    <row r="14116" spans="1:7" x14ac:dyDescent="0.25">
      <c r="A14116" s="1" t="str">
        <f>"509758"</f>
        <v>509758</v>
      </c>
      <c r="B14116" s="2" t="str">
        <f>"LAMPADA FLUORESCENTE ECONOMICA 20W 127V"</f>
        <v>LAMPADA FLUORESCENTE ECONOMICA 20W 127V</v>
      </c>
      <c r="C14116" s="2" t="str">
        <f t="shared" si="554"/>
        <v>UN</v>
      </c>
      <c r="D14116" s="7">
        <v>601</v>
      </c>
      <c r="E14116" s="3">
        <v>8</v>
      </c>
      <c r="F14116" s="3">
        <v>8</v>
      </c>
      <c r="G14116" t="s">
        <v>514</v>
      </c>
    </row>
    <row r="14117" spans="1:7" x14ac:dyDescent="0.25">
      <c r="A14117" s="1" t="str">
        <f>"501737"</f>
        <v>501737</v>
      </c>
      <c r="B14117" s="2" t="str">
        <f>"LAMPADA FLUORESCENTE GERMICIDA 15W"</f>
        <v>LAMPADA FLUORESCENTE GERMICIDA 15W</v>
      </c>
      <c r="C14117" s="2" t="str">
        <f t="shared" si="554"/>
        <v>UN</v>
      </c>
      <c r="D14117" s="7">
        <v>601</v>
      </c>
      <c r="E14117" s="3">
        <v>8</v>
      </c>
      <c r="F14117" s="3">
        <v>8</v>
      </c>
      <c r="G14117" t="s">
        <v>514</v>
      </c>
    </row>
    <row r="14118" spans="1:7" x14ac:dyDescent="0.25">
      <c r="A14118" s="1" t="str">
        <f>"519334"</f>
        <v>519334</v>
      </c>
      <c r="B14118" s="2" t="str">
        <f>"LAMPADA FLUORESCENTE GERMICIDA 30W"</f>
        <v>LAMPADA FLUORESCENTE GERMICIDA 30W</v>
      </c>
      <c r="C14118" s="2" t="str">
        <f t="shared" si="554"/>
        <v>UN</v>
      </c>
      <c r="D14118" s="7">
        <v>601</v>
      </c>
      <c r="E14118" s="3">
        <v>8</v>
      </c>
      <c r="F14118" s="3">
        <v>8</v>
      </c>
      <c r="G14118" t="s">
        <v>514</v>
      </c>
    </row>
    <row r="14119" spans="1:7" x14ac:dyDescent="0.25">
      <c r="A14119" s="1" t="str">
        <f>"500358"</f>
        <v>500358</v>
      </c>
      <c r="B14119" s="8" t="s">
        <v>11</v>
      </c>
      <c r="C14119" s="2" t="str">
        <f t="shared" si="554"/>
        <v>UN</v>
      </c>
      <c r="D14119" s="7">
        <v>601</v>
      </c>
      <c r="E14119" s="3">
        <v>8</v>
      </c>
      <c r="F14119" s="3">
        <v>8</v>
      </c>
      <c r="G14119" t="s">
        <v>513</v>
      </c>
    </row>
    <row r="14120" spans="1:7" x14ac:dyDescent="0.25">
      <c r="A14120" s="1" t="str">
        <f>"520511"</f>
        <v>520511</v>
      </c>
      <c r="B14120" s="2" t="str">
        <f>"LAMPADA FLUORESCENTE ULTRA VIOLETA 15W"</f>
        <v>LAMPADA FLUORESCENTE ULTRA VIOLETA 15W</v>
      </c>
      <c r="C14120" s="2" t="str">
        <f t="shared" si="554"/>
        <v>UN</v>
      </c>
      <c r="D14120" s="7">
        <v>601</v>
      </c>
      <c r="E14120" s="3">
        <v>8</v>
      </c>
      <c r="F14120" s="3">
        <v>8</v>
      </c>
      <c r="G14120" t="s">
        <v>512</v>
      </c>
    </row>
    <row r="14121" spans="1:7" x14ac:dyDescent="0.25">
      <c r="A14121" s="1" t="str">
        <f>"501734"</f>
        <v>501734</v>
      </c>
      <c r="B14121" s="2" t="str">
        <f>"LAMPADA FLUORESCENTE ULTRA VIOLETA 40W"</f>
        <v>LAMPADA FLUORESCENTE ULTRA VIOLETA 40W</v>
      </c>
      <c r="C14121" s="2" t="str">
        <f t="shared" si="554"/>
        <v>UN</v>
      </c>
      <c r="D14121" s="7">
        <v>601</v>
      </c>
      <c r="E14121" s="3">
        <v>8</v>
      </c>
      <c r="F14121" s="3">
        <v>8</v>
      </c>
      <c r="G14121" t="s">
        <v>513</v>
      </c>
    </row>
    <row r="14122" spans="1:7" x14ac:dyDescent="0.25">
      <c r="A14122" s="1" t="str">
        <f>"523343"</f>
        <v>523343</v>
      </c>
      <c r="B14122" s="2" t="str">
        <f>"LAMPADA GERM 30W G13 T8 900MM OSRAM"</f>
        <v>LAMPADA GERM 30W G13 T8 900MM OSRAM</v>
      </c>
      <c r="C14122" s="2" t="str">
        <f t="shared" si="554"/>
        <v>UN</v>
      </c>
      <c r="D14122" s="7">
        <v>600</v>
      </c>
      <c r="E14122" s="3">
        <v>8</v>
      </c>
      <c r="F14122" s="3">
        <v>8</v>
      </c>
      <c r="G14122" t="s">
        <v>514</v>
      </c>
    </row>
    <row r="14123" spans="1:7" x14ac:dyDescent="0.25">
      <c r="A14123" s="1" t="str">
        <f>"526898"</f>
        <v>526898</v>
      </c>
      <c r="B14123" s="2" t="str">
        <f>"LAMPADA GERM. OSRAM HNS L24W GFT24DL/2G11/SE/OF"</f>
        <v>LAMPADA GERM. OSRAM HNS L24W GFT24DL/2G11/SE/OF</v>
      </c>
      <c r="C14123" s="2" t="str">
        <f t="shared" si="554"/>
        <v>UN</v>
      </c>
      <c r="D14123" s="7">
        <v>811</v>
      </c>
      <c r="E14123" s="3">
        <v>10</v>
      </c>
      <c r="F14123" s="3">
        <v>10</v>
      </c>
      <c r="G14123" t="s">
        <v>514</v>
      </c>
    </row>
    <row r="14124" spans="1:7" x14ac:dyDescent="0.25">
      <c r="A14124" s="1" t="str">
        <f>"522966"</f>
        <v>522966</v>
      </c>
      <c r="B14124" s="2" t="str">
        <f>"LAMPADA GERMICIDA TUV 4P SE 36W PHILIPS (842MM)"</f>
        <v>LAMPADA GERMICIDA TUV 4P SE 36W PHILIPS (842MM)</v>
      </c>
      <c r="C14124" s="2" t="str">
        <f t="shared" si="554"/>
        <v>UN</v>
      </c>
      <c r="D14124" s="7">
        <v>811</v>
      </c>
      <c r="E14124" s="3">
        <v>10</v>
      </c>
      <c r="F14124" s="3">
        <v>10</v>
      </c>
      <c r="G14124" t="s">
        <v>514</v>
      </c>
    </row>
    <row r="14125" spans="1:7" x14ac:dyDescent="0.25">
      <c r="A14125" s="1" t="str">
        <f>"522964"</f>
        <v>522964</v>
      </c>
      <c r="B14125" s="2" t="str">
        <f>"LAMPADA GERMICIDA TUV PL-L 95W HO/4P PHILIPS"</f>
        <v>LAMPADA GERMICIDA TUV PL-L 95W HO/4P PHILIPS</v>
      </c>
      <c r="C14125" s="2" t="str">
        <f t="shared" si="554"/>
        <v>UN</v>
      </c>
      <c r="D14125" s="7">
        <v>811</v>
      </c>
      <c r="E14125" s="3">
        <v>10</v>
      </c>
      <c r="F14125" s="3">
        <v>10</v>
      </c>
      <c r="G14125" t="s">
        <v>513</v>
      </c>
    </row>
    <row r="14126" spans="1:7" x14ac:dyDescent="0.25">
      <c r="A14126" s="1" t="str">
        <f>"507814"</f>
        <v>507814</v>
      </c>
      <c r="B14126" s="2" t="str">
        <f>"LAMPADA H1 GE"</f>
        <v>LAMPADA H1 GE</v>
      </c>
      <c r="C14126" s="2" t="str">
        <f t="shared" si="554"/>
        <v>UN</v>
      </c>
      <c r="D14126" s="7">
        <v>601</v>
      </c>
      <c r="E14126" s="3">
        <v>8</v>
      </c>
      <c r="F14126" s="3">
        <v>8</v>
      </c>
      <c r="G14126" t="s">
        <v>513</v>
      </c>
    </row>
    <row r="14127" spans="1:7" x14ac:dyDescent="0.25">
      <c r="A14127" s="1" t="str">
        <f>"513402"</f>
        <v>513402</v>
      </c>
      <c r="B14127" s="2" t="str">
        <f>"LAMPADA H4 24V"</f>
        <v>LAMPADA H4 24V</v>
      </c>
      <c r="C14127" s="2" t="str">
        <f t="shared" si="554"/>
        <v>UN</v>
      </c>
      <c r="D14127" s="7">
        <v>704</v>
      </c>
      <c r="E14127" s="3">
        <v>9</v>
      </c>
      <c r="F14127" s="3">
        <v>9</v>
      </c>
      <c r="G14127" t="s">
        <v>513</v>
      </c>
    </row>
    <row r="14128" spans="1:7" x14ac:dyDescent="0.25">
      <c r="A14128" s="1" t="str">
        <f>"513933"</f>
        <v>513933</v>
      </c>
      <c r="B14128" s="2" t="str">
        <f>"LAMPADA H7"</f>
        <v>LAMPADA H7</v>
      </c>
      <c r="C14128" s="2" t="str">
        <f t="shared" si="554"/>
        <v>UN</v>
      </c>
      <c r="D14128" s="7">
        <v>99999</v>
      </c>
      <c r="E14128" s="3">
        <v>99</v>
      </c>
      <c r="F14128" s="3">
        <v>99</v>
      </c>
      <c r="G14128" t="s">
        <v>512</v>
      </c>
    </row>
    <row r="14129" spans="1:7" x14ac:dyDescent="0.25">
      <c r="A14129" s="1" t="str">
        <f>"500260"</f>
        <v>500260</v>
      </c>
      <c r="B14129" s="2" t="str">
        <f>"LAMPADA HALOGENEA 220V X 120 W"</f>
        <v>LAMPADA HALOGENEA 220V X 120 W</v>
      </c>
      <c r="C14129" s="2" t="str">
        <f t="shared" si="554"/>
        <v>UN</v>
      </c>
      <c r="D14129" s="7">
        <v>601</v>
      </c>
      <c r="E14129" s="3">
        <v>8</v>
      </c>
      <c r="F14129" s="3">
        <v>8</v>
      </c>
      <c r="G14129" t="s">
        <v>513</v>
      </c>
    </row>
    <row r="14130" spans="1:7" x14ac:dyDescent="0.25">
      <c r="A14130" s="1" t="str">
        <f>"500314"</f>
        <v>500314</v>
      </c>
      <c r="B14130" s="2" t="str">
        <f>"LAMPADA HALOGENEA 220V X 300 W"</f>
        <v>LAMPADA HALOGENEA 220V X 300 W</v>
      </c>
      <c r="C14130" s="2" t="str">
        <f t="shared" si="554"/>
        <v>UN</v>
      </c>
      <c r="D14130" s="7">
        <v>601</v>
      </c>
      <c r="E14130" s="3">
        <v>8</v>
      </c>
      <c r="F14130" s="3">
        <v>8</v>
      </c>
      <c r="G14130" t="s">
        <v>514</v>
      </c>
    </row>
    <row r="14131" spans="1:7" x14ac:dyDescent="0.25">
      <c r="A14131" s="1" t="str">
        <f>"521708"</f>
        <v>521708</v>
      </c>
      <c r="B14131" s="2" t="str">
        <f>"LAMPADA HALOGENEA INCANDESCENTE"</f>
        <v>LAMPADA HALOGENEA INCANDESCENTE</v>
      </c>
      <c r="C14131" s="2" t="str">
        <f t="shared" si="554"/>
        <v>UN</v>
      </c>
      <c r="D14131" s="7">
        <v>99999</v>
      </c>
      <c r="E14131" s="3">
        <v>99</v>
      </c>
      <c r="F14131" s="3">
        <v>99</v>
      </c>
      <c r="G14131" t="s">
        <v>515</v>
      </c>
    </row>
    <row r="14132" spans="1:7" x14ac:dyDescent="0.25">
      <c r="A14132" s="1" t="str">
        <f>"500394"</f>
        <v>500394</v>
      </c>
      <c r="B14132" s="2" t="str">
        <f>"LAMPADA INCAD. 60 X 127 V"</f>
        <v>LAMPADA INCAD. 60 X 127 V</v>
      </c>
      <c r="C14132" s="2" t="str">
        <f t="shared" si="554"/>
        <v>UN</v>
      </c>
      <c r="D14132" s="7">
        <v>601</v>
      </c>
      <c r="E14132" s="3">
        <v>8</v>
      </c>
      <c r="F14132" s="3">
        <v>8</v>
      </c>
      <c r="G14132" t="s">
        <v>512</v>
      </c>
    </row>
    <row r="14133" spans="1:7" x14ac:dyDescent="0.25">
      <c r="A14133" s="1" t="str">
        <f>"519133"</f>
        <v>519133</v>
      </c>
      <c r="B14133" s="2" t="str">
        <f>"LAMPADA INCAD. 60 X 220 V"</f>
        <v>LAMPADA INCAD. 60 X 220 V</v>
      </c>
      <c r="C14133" s="2" t="str">
        <f t="shared" si="554"/>
        <v>UN</v>
      </c>
      <c r="D14133" s="7">
        <v>601</v>
      </c>
      <c r="E14133" s="3">
        <v>8</v>
      </c>
      <c r="F14133" s="3">
        <v>8</v>
      </c>
      <c r="G14133" t="s">
        <v>516</v>
      </c>
    </row>
    <row r="14134" spans="1:7" x14ac:dyDescent="0.25">
      <c r="A14134" s="1" t="str">
        <f>"500259"</f>
        <v>500259</v>
      </c>
      <c r="B14134" s="2" t="str">
        <f>"LAMPADA INCAD.150 X 127 V BASE E-27"</f>
        <v>LAMPADA INCAD.150 X 127 V BASE E-27</v>
      </c>
      <c r="C14134" s="2" t="str">
        <f t="shared" si="554"/>
        <v>UN</v>
      </c>
      <c r="D14134" s="7">
        <v>601</v>
      </c>
      <c r="E14134" s="3">
        <v>8</v>
      </c>
      <c r="F14134" s="3">
        <v>8</v>
      </c>
      <c r="G14134" t="s">
        <v>515</v>
      </c>
    </row>
    <row r="14135" spans="1:7" x14ac:dyDescent="0.25">
      <c r="A14135" s="1" t="str">
        <f>"500152"</f>
        <v>500152</v>
      </c>
      <c r="B14135" s="2" t="str">
        <f>"LAMPADA INCAD.150 X 220 V BASE E-27"</f>
        <v>LAMPADA INCAD.150 X 220 V BASE E-27</v>
      </c>
      <c r="C14135" s="2" t="str">
        <f t="shared" si="554"/>
        <v>UN</v>
      </c>
      <c r="D14135" s="7">
        <v>601</v>
      </c>
      <c r="E14135" s="3">
        <v>8</v>
      </c>
      <c r="F14135" s="3">
        <v>8</v>
      </c>
      <c r="G14135" t="s">
        <v>514</v>
      </c>
    </row>
    <row r="14136" spans="1:7" x14ac:dyDescent="0.25">
      <c r="A14136" s="1" t="str">
        <f>"502810"</f>
        <v>502810</v>
      </c>
      <c r="B14136" s="2" t="str">
        <f>"LAMPADA LANTERNA"</f>
        <v>LAMPADA LANTERNA</v>
      </c>
      <c r="C14136" s="2" t="str">
        <f t="shared" si="554"/>
        <v>UN</v>
      </c>
      <c r="D14136" s="7">
        <v>704</v>
      </c>
      <c r="E14136" s="3">
        <v>9</v>
      </c>
      <c r="F14136" s="3">
        <v>9</v>
      </c>
      <c r="G14136" t="s">
        <v>512</v>
      </c>
    </row>
    <row r="14137" spans="1:7" x14ac:dyDescent="0.25">
      <c r="A14137" s="1" t="str">
        <f>"520535"</f>
        <v>520535</v>
      </c>
      <c r="B14137" s="8" t="s">
        <v>156</v>
      </c>
      <c r="C14137" s="2" t="str">
        <f t="shared" si="554"/>
        <v>UN</v>
      </c>
      <c r="D14137" s="7">
        <v>600</v>
      </c>
      <c r="E14137" s="3">
        <v>8</v>
      </c>
      <c r="F14137" s="3">
        <v>8</v>
      </c>
      <c r="G14137" t="s">
        <v>513</v>
      </c>
    </row>
    <row r="14138" spans="1:7" x14ac:dyDescent="0.25">
      <c r="A14138" s="1" t="str">
        <f>"525072"</f>
        <v>525072</v>
      </c>
      <c r="B14138" s="2" t="str">
        <f>"LAMPADA LED 18W 120MM"</f>
        <v>LAMPADA LED 18W 120MM</v>
      </c>
      <c r="C14138" s="2" t="str">
        <f t="shared" si="554"/>
        <v>UN</v>
      </c>
      <c r="D14138" s="7">
        <v>601</v>
      </c>
      <c r="E14138" s="3">
        <v>8</v>
      </c>
      <c r="F14138" s="3">
        <v>8</v>
      </c>
      <c r="G14138" t="s">
        <v>514</v>
      </c>
    </row>
    <row r="14139" spans="1:7" x14ac:dyDescent="0.25">
      <c r="A14139" s="1" t="str">
        <f>"513577"</f>
        <v>513577</v>
      </c>
      <c r="B14139" s="8" t="s">
        <v>45</v>
      </c>
      <c r="C14139" s="2" t="str">
        <f t="shared" si="554"/>
        <v>UN</v>
      </c>
      <c r="D14139" s="7">
        <v>601</v>
      </c>
      <c r="E14139" s="3">
        <v>8</v>
      </c>
      <c r="F14139" s="3">
        <v>8</v>
      </c>
      <c r="G14139" t="s">
        <v>514</v>
      </c>
    </row>
    <row r="14140" spans="1:7" x14ac:dyDescent="0.25">
      <c r="A14140" s="1" t="str">
        <f>"520536"</f>
        <v>520536</v>
      </c>
      <c r="B14140" s="8" t="s">
        <v>157</v>
      </c>
      <c r="C14140" s="2" t="str">
        <f t="shared" si="554"/>
        <v>UN</v>
      </c>
      <c r="D14140" s="7">
        <v>601</v>
      </c>
      <c r="E14140" s="3">
        <v>8</v>
      </c>
      <c r="F14140" s="3">
        <v>8</v>
      </c>
      <c r="G14140" t="s">
        <v>512</v>
      </c>
    </row>
    <row r="14141" spans="1:7" x14ac:dyDescent="0.25">
      <c r="A14141" s="1" t="str">
        <f>"523192"</f>
        <v>523192</v>
      </c>
      <c r="B14141" s="8" t="s">
        <v>365</v>
      </c>
      <c r="C14141" s="2" t="str">
        <f t="shared" si="554"/>
        <v>UN</v>
      </c>
      <c r="D14141" s="7">
        <v>811</v>
      </c>
      <c r="E14141" s="3">
        <v>10</v>
      </c>
      <c r="F14141" s="3">
        <v>10</v>
      </c>
      <c r="G14141" t="s">
        <v>513</v>
      </c>
    </row>
    <row r="14142" spans="1:7" x14ac:dyDescent="0.25">
      <c r="A14142" s="1" t="str">
        <f>"521572"</f>
        <v>521572</v>
      </c>
      <c r="B14142" s="8" t="s">
        <v>206</v>
      </c>
      <c r="C14142" s="2" t="str">
        <f t="shared" si="554"/>
        <v>UN</v>
      </c>
      <c r="D14142" s="7">
        <v>812</v>
      </c>
      <c r="E14142" s="3">
        <v>10</v>
      </c>
      <c r="F14142" s="3">
        <v>10</v>
      </c>
      <c r="G14142" t="s">
        <v>514</v>
      </c>
    </row>
    <row r="14143" spans="1:7" x14ac:dyDescent="0.25">
      <c r="A14143" s="1" t="str">
        <f>"505262"</f>
        <v>505262</v>
      </c>
      <c r="B14143" s="2" t="str">
        <f>"LAMPADA LED BOLBO E-27 23W 6500K 3000LMS"</f>
        <v>LAMPADA LED BOLBO E-27 23W 6500K 3000LMS</v>
      </c>
      <c r="C14143" s="2" t="str">
        <f t="shared" si="554"/>
        <v>UN</v>
      </c>
      <c r="D14143" s="7">
        <v>601</v>
      </c>
      <c r="E14143" s="3">
        <v>8</v>
      </c>
      <c r="F14143" s="3">
        <v>8</v>
      </c>
      <c r="G14143" t="s">
        <v>514</v>
      </c>
    </row>
    <row r="14144" spans="1:7" x14ac:dyDescent="0.25">
      <c r="A14144" s="1" t="str">
        <f>"509487"</f>
        <v>509487</v>
      </c>
      <c r="B14144" s="2" t="str">
        <f>"LAMPADA LED BOLBO E-27 7,5W 6500K 806LMS"</f>
        <v>LAMPADA LED BOLBO E-27 7,5W 6500K 806LMS</v>
      </c>
      <c r="C14144" s="2" t="str">
        <f t="shared" si="554"/>
        <v>UN</v>
      </c>
      <c r="D14144" s="7">
        <v>601</v>
      </c>
      <c r="E14144" s="3">
        <v>8</v>
      </c>
      <c r="F14144" s="3">
        <v>8</v>
      </c>
      <c r="G14144" t="s">
        <v>514</v>
      </c>
    </row>
    <row r="14145" spans="1:7" x14ac:dyDescent="0.25">
      <c r="A14145" s="1" t="str">
        <f>"524452"</f>
        <v>524452</v>
      </c>
      <c r="B14145" s="2" t="str">
        <f>"LAMPADA LED TUBE 10W 6500K T8 100-240V POLICARBONATO (60CM)"</f>
        <v>LAMPADA LED TUBE 10W 6500K T8 100-240V POLICARBONATO (60CM)</v>
      </c>
      <c r="C14145" s="2" t="str">
        <f t="shared" ref="C14145:C14162" si="555">"UN"</f>
        <v>UN</v>
      </c>
      <c r="D14145" s="7">
        <v>811</v>
      </c>
      <c r="E14145" s="3">
        <v>10</v>
      </c>
      <c r="F14145" s="3">
        <v>10</v>
      </c>
      <c r="G14145" t="s">
        <v>513</v>
      </c>
    </row>
    <row r="14146" spans="1:7" x14ac:dyDescent="0.25">
      <c r="A14146" s="1" t="str">
        <f>"519824"</f>
        <v>519824</v>
      </c>
      <c r="B14146" s="2" t="str">
        <f>"LAMPADA LED TUBULAR 120CM 18W 1600LMS"</f>
        <v>LAMPADA LED TUBULAR 120CM 18W 1600LMS</v>
      </c>
      <c r="C14146" s="2" t="str">
        <f t="shared" si="555"/>
        <v>UN</v>
      </c>
      <c r="D14146" s="7">
        <v>811</v>
      </c>
      <c r="E14146" s="3">
        <v>8</v>
      </c>
      <c r="F14146" s="3">
        <v>8</v>
      </c>
      <c r="G14146" t="s">
        <v>512</v>
      </c>
    </row>
    <row r="14147" spans="1:7" x14ac:dyDescent="0.25">
      <c r="A14147" s="1" t="str">
        <f>"502407"</f>
        <v>502407</v>
      </c>
      <c r="B14147" s="2" t="str">
        <f>"LAMPADA LUZ MISTA 500W E-27 220V"</f>
        <v>LAMPADA LUZ MISTA 500W E-27 220V</v>
      </c>
      <c r="C14147" s="2" t="str">
        <f t="shared" si="555"/>
        <v>UN</v>
      </c>
      <c r="D14147" s="7">
        <v>601</v>
      </c>
      <c r="E14147" s="3">
        <v>8</v>
      </c>
      <c r="F14147" s="3">
        <v>8</v>
      </c>
      <c r="G14147" t="s">
        <v>513</v>
      </c>
    </row>
    <row r="14148" spans="1:7" x14ac:dyDescent="0.25">
      <c r="A14148" s="1" t="str">
        <f>"502818"</f>
        <v>502818</v>
      </c>
      <c r="B14148" s="2" t="str">
        <f>"LAMPADA LUZ MISTA LM160CC/27 REF.PH16027"</f>
        <v>LAMPADA LUZ MISTA LM160CC/27 REF.PH16027</v>
      </c>
      <c r="C14148" s="2" t="str">
        <f t="shared" si="555"/>
        <v>UN</v>
      </c>
      <c r="D14148" s="7">
        <v>601</v>
      </c>
      <c r="E14148" s="3">
        <v>8</v>
      </c>
      <c r="F14148" s="3">
        <v>8</v>
      </c>
      <c r="G14148" t="s">
        <v>514</v>
      </c>
    </row>
    <row r="14149" spans="1:7" x14ac:dyDescent="0.25">
      <c r="A14149" s="1" t="str">
        <f>"518791"</f>
        <v>518791</v>
      </c>
      <c r="B14149" s="2" t="str">
        <f>"LAMPADA MISTA 160W E-27"</f>
        <v>LAMPADA MISTA 160W E-27</v>
      </c>
      <c r="C14149" s="2" t="str">
        <f t="shared" si="555"/>
        <v>UN</v>
      </c>
      <c r="D14149" s="7">
        <v>900</v>
      </c>
      <c r="E14149" s="3">
        <v>11</v>
      </c>
      <c r="F14149" s="3">
        <v>11</v>
      </c>
      <c r="G14149" t="s">
        <v>514</v>
      </c>
    </row>
    <row r="14150" spans="1:7" x14ac:dyDescent="0.25">
      <c r="A14150" s="1" t="str">
        <f>"510104"</f>
        <v>510104</v>
      </c>
      <c r="B14150" s="2" t="str">
        <f>"LAMPADA MISTA 250W E-27"</f>
        <v>LAMPADA MISTA 250W E-27</v>
      </c>
      <c r="C14150" s="2" t="str">
        <f t="shared" si="555"/>
        <v>UN</v>
      </c>
      <c r="D14150" s="7">
        <v>900</v>
      </c>
      <c r="E14150" s="3">
        <v>11</v>
      </c>
      <c r="F14150" s="3">
        <v>11</v>
      </c>
      <c r="G14150" t="s">
        <v>514</v>
      </c>
    </row>
    <row r="14151" spans="1:7" x14ac:dyDescent="0.25">
      <c r="A14151" s="1" t="str">
        <f>"512258"</f>
        <v>512258</v>
      </c>
      <c r="B14151" s="2" t="str">
        <f>"LAMPADA MISTA 250W E-40"</f>
        <v>LAMPADA MISTA 250W E-40</v>
      </c>
      <c r="C14151" s="2" t="str">
        <f t="shared" si="555"/>
        <v>UN</v>
      </c>
      <c r="D14151" s="7">
        <v>601</v>
      </c>
      <c r="E14151" s="3">
        <v>8</v>
      </c>
      <c r="F14151" s="3">
        <v>8</v>
      </c>
      <c r="G14151" t="s">
        <v>513</v>
      </c>
    </row>
    <row r="14152" spans="1:7" x14ac:dyDescent="0.25">
      <c r="A14152" s="1" t="str">
        <f>"506562"</f>
        <v>506562</v>
      </c>
      <c r="B14152" s="2" t="str">
        <f>"LAMPADA P/ SINALEIRO DE PAINEL 220V"</f>
        <v>LAMPADA P/ SINALEIRO DE PAINEL 220V</v>
      </c>
      <c r="C14152" s="2" t="str">
        <f t="shared" si="555"/>
        <v>UN</v>
      </c>
      <c r="D14152" s="7">
        <v>600</v>
      </c>
      <c r="E14152" s="3">
        <v>8</v>
      </c>
      <c r="F14152" s="3">
        <v>8</v>
      </c>
      <c r="G14152" t="s">
        <v>513</v>
      </c>
    </row>
    <row r="14153" spans="1:7" x14ac:dyDescent="0.25">
      <c r="A14153" s="1" t="str">
        <f>"506025"</f>
        <v>506025</v>
      </c>
      <c r="B14153" s="2" t="str">
        <f>"LAMPADA PAINEL NEON BAIONETA BA9S 220V"</f>
        <v>LAMPADA PAINEL NEON BAIONETA BA9S 220V</v>
      </c>
      <c r="C14153" s="2" t="str">
        <f t="shared" si="555"/>
        <v>UN</v>
      </c>
      <c r="D14153" s="7">
        <v>600</v>
      </c>
      <c r="E14153" s="3">
        <v>8</v>
      </c>
      <c r="F14153" s="3">
        <v>8</v>
      </c>
      <c r="G14153" t="s">
        <v>513</v>
      </c>
    </row>
    <row r="14154" spans="1:7" x14ac:dyDescent="0.25">
      <c r="A14154" s="1" t="str">
        <f>"517865"</f>
        <v>517865</v>
      </c>
      <c r="B14154" s="2" t="str">
        <f>"LAMPADA POWERSTAR  HQI-TS 150W/NDL OSRAM"</f>
        <v>LAMPADA POWERSTAR  HQI-TS 150W/NDL OSRAM</v>
      </c>
      <c r="C14154" s="2" t="str">
        <f t="shared" si="555"/>
        <v>UN</v>
      </c>
      <c r="D14154" s="7">
        <v>811</v>
      </c>
      <c r="E14154" s="3">
        <v>8</v>
      </c>
      <c r="F14154" s="3">
        <v>8</v>
      </c>
      <c r="G14154" t="s">
        <v>512</v>
      </c>
    </row>
    <row r="14155" spans="1:7" x14ac:dyDescent="0.25">
      <c r="A14155" s="1" t="str">
        <f>"509611"</f>
        <v>509611</v>
      </c>
      <c r="B14155" s="2" t="str">
        <f>"LAMPADA SDK 220V 15W -  GELADEIRA"</f>
        <v>LAMPADA SDK 220V 15W -  GELADEIRA</v>
      </c>
      <c r="C14155" s="2" t="str">
        <f t="shared" si="555"/>
        <v>UN</v>
      </c>
      <c r="D14155" s="7">
        <v>601</v>
      </c>
      <c r="E14155" s="3">
        <v>8</v>
      </c>
      <c r="F14155" s="3">
        <v>8</v>
      </c>
      <c r="G14155" t="s">
        <v>513</v>
      </c>
    </row>
    <row r="14156" spans="1:7" x14ac:dyDescent="0.25">
      <c r="A14156" s="1" t="str">
        <f>"520359"</f>
        <v>520359</v>
      </c>
      <c r="B14156" s="2" t="str">
        <f>"LAMPADA SPIRAL 220V 20W GE"</f>
        <v>LAMPADA SPIRAL 220V 20W GE</v>
      </c>
      <c r="C14156" s="2" t="str">
        <f t="shared" si="555"/>
        <v>UN</v>
      </c>
      <c r="D14156" s="7">
        <v>601</v>
      </c>
      <c r="E14156" s="3">
        <v>8</v>
      </c>
      <c r="F14156" s="3">
        <v>8</v>
      </c>
      <c r="G14156" t="s">
        <v>514</v>
      </c>
    </row>
    <row r="14157" spans="1:7" x14ac:dyDescent="0.25">
      <c r="A14157" s="1" t="str">
        <f>"505877"</f>
        <v>505877</v>
      </c>
      <c r="B14157" s="2" t="str">
        <f>"LAMPADA TACOGRAFO"</f>
        <v>LAMPADA TACOGRAFO</v>
      </c>
      <c r="C14157" s="2" t="str">
        <f t="shared" si="555"/>
        <v>UN</v>
      </c>
      <c r="D14157" s="7">
        <v>704</v>
      </c>
      <c r="E14157" s="3">
        <v>9</v>
      </c>
      <c r="F14157" s="3">
        <v>9</v>
      </c>
      <c r="G14157" t="s">
        <v>515</v>
      </c>
    </row>
    <row r="14158" spans="1:7" x14ac:dyDescent="0.25">
      <c r="A14158" s="1" t="str">
        <f>"508948"</f>
        <v>508948</v>
      </c>
      <c r="B14158" s="2" t="str">
        <f>"LAMPADA TORPEDO 24VTS"</f>
        <v>LAMPADA TORPEDO 24VTS</v>
      </c>
      <c r="C14158" s="2" t="str">
        <f t="shared" si="555"/>
        <v>UN</v>
      </c>
      <c r="D14158" s="7">
        <v>99999</v>
      </c>
      <c r="E14158" s="3">
        <v>99</v>
      </c>
      <c r="F14158" s="3">
        <v>99</v>
      </c>
      <c r="G14158" t="s">
        <v>512</v>
      </c>
    </row>
    <row r="14159" spans="1:7" x14ac:dyDescent="0.25">
      <c r="A14159" s="1" t="str">
        <f>"524236"</f>
        <v>524236</v>
      </c>
      <c r="B14159" s="2" t="str">
        <f>"LAMPADA TUBULAR LED 65W 6500 IM BIVOLT"</f>
        <v>LAMPADA TUBULAR LED 65W 6500 IM BIVOLT</v>
      </c>
      <c r="C14159" s="2" t="str">
        <f t="shared" si="555"/>
        <v>UN</v>
      </c>
      <c r="D14159" s="7">
        <v>601</v>
      </c>
      <c r="E14159" s="3">
        <v>8</v>
      </c>
      <c r="F14159" s="3">
        <v>8</v>
      </c>
      <c r="G14159" t="s">
        <v>516</v>
      </c>
    </row>
    <row r="14160" spans="1:7" x14ac:dyDescent="0.25">
      <c r="A14160" s="1" t="str">
        <f>"516440"</f>
        <v>516440</v>
      </c>
      <c r="B14160" s="2" t="str">
        <f>"LAMPADA VAPOR DE SODIO 250W"</f>
        <v>LAMPADA VAPOR DE SODIO 250W</v>
      </c>
      <c r="C14160" s="2" t="str">
        <f t="shared" si="555"/>
        <v>UN</v>
      </c>
      <c r="D14160" s="7">
        <v>811</v>
      </c>
      <c r="E14160" s="3">
        <v>8</v>
      </c>
      <c r="F14160" s="3">
        <v>8</v>
      </c>
      <c r="G14160" t="s">
        <v>515</v>
      </c>
    </row>
    <row r="14161" spans="1:7" x14ac:dyDescent="0.25">
      <c r="A14161" s="1" t="str">
        <f>"501414"</f>
        <v>501414</v>
      </c>
      <c r="B14161" s="2" t="str">
        <f>"LAMPADA VAPOR MERCURIO 350W 220V E-40"</f>
        <v>LAMPADA VAPOR MERCURIO 350W 220V E-40</v>
      </c>
      <c r="C14161" s="2" t="str">
        <f t="shared" si="555"/>
        <v>UN</v>
      </c>
      <c r="D14161" s="7">
        <v>601</v>
      </c>
      <c r="E14161" s="3">
        <v>8</v>
      </c>
      <c r="F14161" s="3">
        <v>8</v>
      </c>
      <c r="G14161" t="s">
        <v>514</v>
      </c>
    </row>
    <row r="14162" spans="1:7" x14ac:dyDescent="0.25">
      <c r="A14162" s="1" t="str">
        <f>"516898"</f>
        <v>516898</v>
      </c>
      <c r="B14162" s="2" t="str">
        <f>"LAMPADA VAPOR METALICO 250W"</f>
        <v>LAMPADA VAPOR METALICO 250W</v>
      </c>
      <c r="C14162" s="2" t="str">
        <f t="shared" si="555"/>
        <v>UN</v>
      </c>
      <c r="D14162" s="7">
        <v>601</v>
      </c>
      <c r="E14162" s="3">
        <v>4</v>
      </c>
      <c r="F14162" s="3">
        <v>4</v>
      </c>
      <c r="G14162" t="s">
        <v>512</v>
      </c>
    </row>
    <row r="14163" spans="1:7" x14ac:dyDescent="0.25">
      <c r="A14163" s="1" t="str">
        <f>"506563"</f>
        <v>506563</v>
      </c>
      <c r="B14163" s="2" t="str">
        <f>"LAMPADA VAPOR METALICO 400W"</f>
        <v>LAMPADA VAPOR METALICO 400W</v>
      </c>
      <c r="C14163" s="2" t="str">
        <f>"PC"</f>
        <v>PC</v>
      </c>
      <c r="D14163" s="7">
        <v>601</v>
      </c>
      <c r="E14163" s="3">
        <v>8</v>
      </c>
      <c r="F14163" s="3">
        <v>8</v>
      </c>
      <c r="G14163" t="s">
        <v>513</v>
      </c>
    </row>
    <row r="14164" spans="1:7" x14ac:dyDescent="0.25">
      <c r="A14164" s="1" t="str">
        <f>"503289"</f>
        <v>503289</v>
      </c>
      <c r="B14164" s="2" t="str">
        <f>"LAMPADA VAPOR SODIO 400W GE"</f>
        <v>LAMPADA VAPOR SODIO 400W GE</v>
      </c>
      <c r="C14164" s="2" t="str">
        <f t="shared" ref="C14164:C14192" si="556">"UN"</f>
        <v>UN</v>
      </c>
      <c r="D14164" s="7">
        <v>601</v>
      </c>
      <c r="E14164" s="3">
        <v>8</v>
      </c>
      <c r="F14164" s="3">
        <v>8</v>
      </c>
      <c r="G14164" t="s">
        <v>514</v>
      </c>
    </row>
    <row r="14165" spans="1:7" x14ac:dyDescent="0.25">
      <c r="A14165" s="1" t="str">
        <f>"501410"</f>
        <v>501410</v>
      </c>
      <c r="B14165" s="2" t="str">
        <f>"LAMPADA VAPOR SODIO E-40 350W OVOIDE"</f>
        <v>LAMPADA VAPOR SODIO E-40 350W OVOIDE</v>
      </c>
      <c r="C14165" s="2" t="str">
        <f t="shared" si="556"/>
        <v>UN</v>
      </c>
      <c r="D14165" s="7">
        <v>601</v>
      </c>
      <c r="E14165" s="3">
        <v>8</v>
      </c>
      <c r="F14165" s="3">
        <v>8</v>
      </c>
      <c r="G14165" t="s">
        <v>514</v>
      </c>
    </row>
    <row r="14166" spans="1:7" x14ac:dyDescent="0.25">
      <c r="A14166" s="1" t="str">
        <f>"516408"</f>
        <v>516408</v>
      </c>
      <c r="B14166" s="2" t="str">
        <f>"LAMPADA VERMELHA 1W 110V TA= 5ºC A 45ºC KAY TASCHIBRA"</f>
        <v>LAMPADA VERMELHA 1W 110V TA= 5ºC A 45ºC KAY TASCHIBRA</v>
      </c>
      <c r="C14166" s="2" t="str">
        <f t="shared" si="556"/>
        <v>UN</v>
      </c>
      <c r="D14166" s="7">
        <v>601</v>
      </c>
      <c r="E14166" s="3">
        <v>8</v>
      </c>
      <c r="F14166" s="3">
        <v>8</v>
      </c>
      <c r="G14166" t="s">
        <v>512</v>
      </c>
    </row>
    <row r="14167" spans="1:7" x14ac:dyDescent="0.25">
      <c r="A14167" s="1" t="str">
        <f>"515469"</f>
        <v>515469</v>
      </c>
      <c r="B14167" s="2" t="str">
        <f>"LAMPARINA A ALCOOL C/ PAVIO 100MM"</f>
        <v>LAMPARINA A ALCOOL C/ PAVIO 100MM</v>
      </c>
      <c r="C14167" s="2" t="str">
        <f t="shared" si="556"/>
        <v>UN</v>
      </c>
      <c r="D14167" s="7">
        <v>406</v>
      </c>
      <c r="E14167" s="3">
        <v>4</v>
      </c>
      <c r="F14167" s="3">
        <v>4</v>
      </c>
      <c r="G14167" t="s">
        <v>513</v>
      </c>
    </row>
    <row r="14168" spans="1:7" x14ac:dyDescent="0.25">
      <c r="A14168" s="1" t="str">
        <f>"524056"</f>
        <v>524056</v>
      </c>
      <c r="B14168" s="2" t="str">
        <f>"LANCA APLIC. REG. INOX 304 JETF"</f>
        <v>LANCA APLIC. REG. INOX 304 JETF</v>
      </c>
      <c r="C14168" s="2" t="str">
        <f t="shared" si="556"/>
        <v>UN</v>
      </c>
      <c r="D14168" s="7">
        <v>400</v>
      </c>
      <c r="E14168" s="3">
        <v>4</v>
      </c>
      <c r="F14168" s="3">
        <v>4</v>
      </c>
      <c r="G14168" t="s">
        <v>514</v>
      </c>
    </row>
    <row r="14169" spans="1:7" x14ac:dyDescent="0.25">
      <c r="A14169" s="1" t="str">
        <f>"517669"</f>
        <v>517669</v>
      </c>
      <c r="B14169" s="2" t="str">
        <f>"LANÇA CHAMA"</f>
        <v>LANÇA CHAMA</v>
      </c>
      <c r="C14169" s="2" t="str">
        <f t="shared" si="556"/>
        <v>UN</v>
      </c>
      <c r="D14169" s="7">
        <v>817</v>
      </c>
      <c r="E14169" s="3">
        <v>4</v>
      </c>
      <c r="F14169" s="3">
        <v>4</v>
      </c>
      <c r="G14169" t="s">
        <v>514</v>
      </c>
    </row>
    <row r="14170" spans="1:7" x14ac:dyDescent="0.25">
      <c r="A14170" s="1" t="str">
        <f>"522877"</f>
        <v>522877</v>
      </c>
      <c r="B14170" s="2" t="str">
        <f>"LANÇA CHAMAS MAÇARICO A GAS REGISTRO DUPLO REFORÇADO"</f>
        <v>LANÇA CHAMAS MAÇARICO A GAS REGISTRO DUPLO REFORÇADO</v>
      </c>
      <c r="C14170" s="2" t="str">
        <f t="shared" si="556"/>
        <v>UN</v>
      </c>
      <c r="D14170" s="7">
        <v>817</v>
      </c>
      <c r="E14170" s="3">
        <v>4</v>
      </c>
      <c r="F14170" s="3">
        <v>4</v>
      </c>
      <c r="G14170" t="s">
        <v>514</v>
      </c>
    </row>
    <row r="14171" spans="1:7" x14ac:dyDescent="0.25">
      <c r="A14171" s="1" t="str">
        <f>"524055"</f>
        <v>524055</v>
      </c>
      <c r="B14171" s="2" t="str">
        <f>"LANÇA CONFETE PERSONALIZADO CAROLINA"</f>
        <v>LANÇA CONFETE PERSONALIZADO CAROLINA</v>
      </c>
      <c r="C14171" s="2" t="str">
        <f t="shared" si="556"/>
        <v>UN</v>
      </c>
      <c r="D14171" s="7">
        <v>99999</v>
      </c>
      <c r="E14171" s="3">
        <v>99</v>
      </c>
      <c r="F14171" s="3">
        <v>99</v>
      </c>
      <c r="G14171" t="s">
        <v>513</v>
      </c>
    </row>
    <row r="14172" spans="1:7" x14ac:dyDescent="0.25">
      <c r="A14172" s="1" t="str">
        <f>"513611"</f>
        <v>513611</v>
      </c>
      <c r="B14172" s="2" t="str">
        <f>"LANCA LJ-12000 JACTO"</f>
        <v>LANCA LJ-12000 JACTO</v>
      </c>
      <c r="C14172" s="2" t="str">
        <f t="shared" si="556"/>
        <v>UN</v>
      </c>
      <c r="D14172" s="7">
        <v>401</v>
      </c>
      <c r="E14172" s="3">
        <v>4</v>
      </c>
      <c r="F14172" s="3">
        <v>4</v>
      </c>
      <c r="G14172" t="s">
        <v>512</v>
      </c>
    </row>
    <row r="14173" spans="1:7" x14ac:dyDescent="0.25">
      <c r="A14173" s="1" t="str">
        <f>"524891"</f>
        <v>524891</v>
      </c>
      <c r="B14173" s="2" t="str">
        <f>"LANCETAS PARA LANCETEADOR C/100 G-TECH"</f>
        <v>LANCETAS PARA LANCETEADOR C/100 G-TECH</v>
      </c>
      <c r="C14173" s="2" t="str">
        <f t="shared" si="556"/>
        <v>UN</v>
      </c>
      <c r="D14173" s="7">
        <v>99999</v>
      </c>
      <c r="E14173" s="3">
        <v>99</v>
      </c>
      <c r="F14173" s="3">
        <v>99</v>
      </c>
      <c r="G14173" t="s">
        <v>513</v>
      </c>
    </row>
    <row r="14174" spans="1:7" x14ac:dyDescent="0.25">
      <c r="A14174" s="1" t="str">
        <f>"523349"</f>
        <v>523349</v>
      </c>
      <c r="B14174" s="2" t="str">
        <f>"LANTENA RAYOVAC MOD. INDESTRUTIVEL"</f>
        <v>LANTENA RAYOVAC MOD. INDESTRUTIVEL</v>
      </c>
      <c r="C14174" s="2" t="str">
        <f t="shared" si="556"/>
        <v>UN</v>
      </c>
      <c r="D14174" s="7">
        <v>817</v>
      </c>
      <c r="E14174" s="3">
        <v>4</v>
      </c>
      <c r="F14174" s="3">
        <v>4</v>
      </c>
      <c r="G14174" t="s">
        <v>514</v>
      </c>
    </row>
    <row r="14175" spans="1:7" x14ac:dyDescent="0.25">
      <c r="A14175" s="1" t="str">
        <f>"502560"</f>
        <v>502560</v>
      </c>
      <c r="B14175" s="2" t="str">
        <f>"LANTERNA"</f>
        <v>LANTERNA</v>
      </c>
      <c r="C14175" s="2" t="str">
        <f t="shared" si="556"/>
        <v>UN</v>
      </c>
      <c r="D14175" s="7">
        <v>704</v>
      </c>
      <c r="E14175" s="3">
        <v>9</v>
      </c>
      <c r="F14175" s="3">
        <v>9</v>
      </c>
      <c r="G14175" t="s">
        <v>514</v>
      </c>
    </row>
    <row r="14176" spans="1:7" x14ac:dyDescent="0.25">
      <c r="A14176" s="1" t="str">
        <f>"500591"</f>
        <v>500591</v>
      </c>
      <c r="B14176" s="2" t="str">
        <f>"LANTERNA 6F-122"</f>
        <v>LANTERNA 6F-122</v>
      </c>
      <c r="C14176" s="2" t="str">
        <f t="shared" si="556"/>
        <v>UN</v>
      </c>
      <c r="D14176" s="7">
        <v>704</v>
      </c>
      <c r="E14176" s="3">
        <v>9</v>
      </c>
      <c r="F14176" s="3">
        <v>9</v>
      </c>
      <c r="G14176" t="s">
        <v>514</v>
      </c>
    </row>
    <row r="14177" spans="1:7" x14ac:dyDescent="0.25">
      <c r="A14177" s="1" t="str">
        <f>"506032"</f>
        <v>506032</v>
      </c>
      <c r="B14177" s="2" t="str">
        <f>"LANTERNA BATERIA"</f>
        <v>LANTERNA BATERIA</v>
      </c>
      <c r="C14177" s="2" t="str">
        <f t="shared" si="556"/>
        <v>UN</v>
      </c>
      <c r="D14177" s="7">
        <v>900</v>
      </c>
      <c r="E14177" s="3">
        <v>11</v>
      </c>
      <c r="F14177" s="3">
        <v>11</v>
      </c>
      <c r="G14177" t="s">
        <v>513</v>
      </c>
    </row>
    <row r="14178" spans="1:7" x14ac:dyDescent="0.25">
      <c r="A14178" s="1" t="str">
        <f>"500590"</f>
        <v>500590</v>
      </c>
      <c r="B14178" s="2" t="str">
        <f>"LANTERNA COMPLETA (TP.MARMITA)"</f>
        <v>LANTERNA COMPLETA (TP.MARMITA)</v>
      </c>
      <c r="C14178" s="2" t="str">
        <f t="shared" si="556"/>
        <v>UN</v>
      </c>
      <c r="D14178" s="7">
        <v>704</v>
      </c>
      <c r="E14178" s="3">
        <v>9</v>
      </c>
      <c r="F14178" s="3">
        <v>9</v>
      </c>
      <c r="G14178" t="s">
        <v>513</v>
      </c>
    </row>
    <row r="14179" spans="1:7" x14ac:dyDescent="0.25">
      <c r="A14179" s="1" t="str">
        <f>"504231"</f>
        <v>504231</v>
      </c>
      <c r="B14179" s="2" t="str">
        <f>"LANTERNA DELIMITADORA UNIVERSAL"</f>
        <v>LANTERNA DELIMITADORA UNIVERSAL</v>
      </c>
      <c r="C14179" s="2" t="str">
        <f t="shared" si="556"/>
        <v>UN</v>
      </c>
      <c r="D14179" s="7">
        <v>704</v>
      </c>
      <c r="E14179" s="3">
        <v>9</v>
      </c>
      <c r="F14179" s="3">
        <v>9</v>
      </c>
      <c r="G14179" t="s">
        <v>513</v>
      </c>
    </row>
    <row r="14180" spans="1:7" x14ac:dyDescent="0.25">
      <c r="A14180" s="1" t="str">
        <f>"519640"</f>
        <v>519640</v>
      </c>
      <c r="B14180" s="2" t="str">
        <f>"LANTERNA ESTRIBO CARGO"</f>
        <v>LANTERNA ESTRIBO CARGO</v>
      </c>
      <c r="C14180" s="2" t="str">
        <f t="shared" si="556"/>
        <v>UN</v>
      </c>
      <c r="D14180" s="7">
        <v>704</v>
      </c>
      <c r="E14180" s="3">
        <v>9</v>
      </c>
      <c r="F14180" s="3">
        <v>9</v>
      </c>
      <c r="G14180" t="s">
        <v>512</v>
      </c>
    </row>
    <row r="14181" spans="1:7" x14ac:dyDescent="0.25">
      <c r="A14181" s="1" t="str">
        <f>"522777"</f>
        <v>522777</v>
      </c>
      <c r="B14181" s="2" t="str">
        <f>"LANTERNA EVOLUTION P/ ACOPLAR EM CAPACETE C/ 5 LEDS"</f>
        <v>LANTERNA EVOLUTION P/ ACOPLAR EM CAPACETE C/ 5 LEDS</v>
      </c>
      <c r="C14181" s="2" t="str">
        <f t="shared" si="556"/>
        <v>UN</v>
      </c>
      <c r="D14181" s="7">
        <v>501</v>
      </c>
      <c r="E14181" s="3">
        <v>5</v>
      </c>
      <c r="F14181" s="3">
        <v>5</v>
      </c>
      <c r="G14181" t="s">
        <v>513</v>
      </c>
    </row>
    <row r="14182" spans="1:7" x14ac:dyDescent="0.25">
      <c r="A14182" s="1" t="str">
        <f>"501880"</f>
        <v>501880</v>
      </c>
      <c r="B14182" s="2" t="str">
        <f>"LANTERNA LATERAL"</f>
        <v>LANTERNA LATERAL</v>
      </c>
      <c r="C14182" s="2" t="str">
        <f t="shared" si="556"/>
        <v>UN</v>
      </c>
      <c r="D14182" s="7">
        <v>704</v>
      </c>
      <c r="E14182" s="3">
        <v>9</v>
      </c>
      <c r="F14182" s="3">
        <v>9</v>
      </c>
      <c r="G14182" t="s">
        <v>514</v>
      </c>
    </row>
    <row r="14183" spans="1:7" x14ac:dyDescent="0.25">
      <c r="A14183" s="1" t="str">
        <f>"504170"</f>
        <v>504170</v>
      </c>
      <c r="B14183" s="2" t="str">
        <f>"LANTERNA LE COD. 5C45 13369 AA"</f>
        <v>LANTERNA LE COD. 5C45 13369 AA</v>
      </c>
      <c r="C14183" s="2" t="str">
        <f t="shared" si="556"/>
        <v>UN</v>
      </c>
      <c r="D14183" s="7">
        <v>704</v>
      </c>
      <c r="E14183" s="3">
        <v>9</v>
      </c>
      <c r="F14183" s="3">
        <v>9</v>
      </c>
      <c r="G14183" t="s">
        <v>515</v>
      </c>
    </row>
    <row r="14184" spans="1:7" x14ac:dyDescent="0.25">
      <c r="A14184" s="1" t="str">
        <f>"527378"</f>
        <v>527378</v>
      </c>
      <c r="B14184" s="2" t="str">
        <f>"LANTERNA MINI CLIP LED COB"</f>
        <v>LANTERNA MINI CLIP LED COB</v>
      </c>
      <c r="C14184" s="2" t="str">
        <f t="shared" si="556"/>
        <v>UN</v>
      </c>
      <c r="D14184" s="7">
        <v>99999</v>
      </c>
      <c r="E14184" s="3">
        <v>99</v>
      </c>
      <c r="F14184" s="3">
        <v>99</v>
      </c>
      <c r="G14184" t="s">
        <v>512</v>
      </c>
    </row>
    <row r="14185" spans="1:7" x14ac:dyDescent="0.25">
      <c r="A14185" s="1" t="str">
        <f>"519159"</f>
        <v>519159</v>
      </c>
      <c r="B14185" s="2" t="str">
        <f>"LANTERNA PISCA DIANTEIRA VW CONSTELLATION TD"</f>
        <v>LANTERNA PISCA DIANTEIRA VW CONSTELLATION TD</v>
      </c>
      <c r="C14185" s="2" t="str">
        <f t="shared" si="556"/>
        <v>UN</v>
      </c>
      <c r="D14185" s="7">
        <v>704</v>
      </c>
      <c r="E14185" s="3">
        <v>9</v>
      </c>
      <c r="F14185" s="3">
        <v>9</v>
      </c>
      <c r="G14185" t="s">
        <v>516</v>
      </c>
    </row>
    <row r="14186" spans="1:7" x14ac:dyDescent="0.25">
      <c r="A14186" s="1" t="str">
        <f>"521675"</f>
        <v>521675</v>
      </c>
      <c r="B14186" s="2" t="str">
        <f>"LANTERNA PLACA UNIVERSAL"</f>
        <v>LANTERNA PLACA UNIVERSAL</v>
      </c>
      <c r="C14186" s="2" t="str">
        <f t="shared" si="556"/>
        <v>UN</v>
      </c>
      <c r="D14186" s="7">
        <v>99999</v>
      </c>
      <c r="E14186" s="3">
        <v>99</v>
      </c>
      <c r="F14186" s="3">
        <v>99</v>
      </c>
      <c r="G14186" t="s">
        <v>515</v>
      </c>
    </row>
    <row r="14187" spans="1:7" x14ac:dyDescent="0.25">
      <c r="A14187" s="1" t="str">
        <f>"527496"</f>
        <v>527496</v>
      </c>
      <c r="B14187" s="2" t="str">
        <f>"LANTERNA RECAR.SUPERLEDCREELRV135 180L.C/3 8075135000 VONDER"</f>
        <v>LANTERNA RECAR.SUPERLEDCREELRV135 180L.C/3 8075135000 VONDER</v>
      </c>
      <c r="C14187" s="2" t="str">
        <f t="shared" si="556"/>
        <v>UN</v>
      </c>
      <c r="D14187" s="7">
        <v>99999</v>
      </c>
      <c r="E14187" s="3">
        <v>99</v>
      </c>
      <c r="F14187" s="3">
        <v>99</v>
      </c>
      <c r="G14187" t="s">
        <v>514</v>
      </c>
    </row>
    <row r="14188" spans="1:7" x14ac:dyDescent="0.25">
      <c r="A14188" s="1" t="str">
        <f>"508947"</f>
        <v>508947</v>
      </c>
      <c r="B14188" s="2" t="str">
        <f>"LANTERNA TETO"</f>
        <v>LANTERNA TETO</v>
      </c>
      <c r="C14188" s="2" t="str">
        <f t="shared" si="556"/>
        <v>UN</v>
      </c>
      <c r="D14188" s="7">
        <v>900</v>
      </c>
      <c r="E14188" s="3">
        <v>11</v>
      </c>
      <c r="F14188" s="3">
        <v>11</v>
      </c>
      <c r="G14188" t="s">
        <v>512</v>
      </c>
    </row>
    <row r="14189" spans="1:7" x14ac:dyDescent="0.25">
      <c r="A14189" s="1" t="str">
        <f>"513792"</f>
        <v>513792</v>
      </c>
      <c r="B14189" s="2" t="str">
        <f>"LANTERNA TRASEIRA"</f>
        <v>LANTERNA TRASEIRA</v>
      </c>
      <c r="C14189" s="2" t="str">
        <f t="shared" si="556"/>
        <v>UN</v>
      </c>
      <c r="D14189" s="7">
        <v>704</v>
      </c>
      <c r="E14189" s="3">
        <v>9</v>
      </c>
      <c r="F14189" s="3">
        <v>9</v>
      </c>
      <c r="G14189" t="s">
        <v>513</v>
      </c>
    </row>
    <row r="14190" spans="1:7" x14ac:dyDescent="0.25">
      <c r="A14190" s="1" t="str">
        <f>"510157"</f>
        <v>510157</v>
      </c>
      <c r="B14190" s="2" t="str">
        <f>"LANTERNAS TRASEIRA CAT. 416E 172-6489"</f>
        <v>LANTERNAS TRASEIRA CAT. 416E 172-6489</v>
      </c>
      <c r="C14190" s="2" t="str">
        <f t="shared" si="556"/>
        <v>UN</v>
      </c>
      <c r="D14190" s="7">
        <v>704</v>
      </c>
      <c r="E14190" s="3">
        <v>9</v>
      </c>
      <c r="F14190" s="3">
        <v>9</v>
      </c>
      <c r="G14190" t="s">
        <v>514</v>
      </c>
    </row>
    <row r="14191" spans="1:7" x14ac:dyDescent="0.25">
      <c r="A14191" s="1" t="str">
        <f>"510501"</f>
        <v>510501</v>
      </c>
      <c r="B14191" s="2" t="str">
        <f>"LAPIS CARPINTEIRO"</f>
        <v>LAPIS CARPINTEIRO</v>
      </c>
      <c r="C14191" s="2" t="str">
        <f t="shared" si="556"/>
        <v>UN</v>
      </c>
      <c r="D14191" s="7">
        <v>401</v>
      </c>
      <c r="E14191" s="3">
        <v>4</v>
      </c>
      <c r="F14191" s="3">
        <v>4</v>
      </c>
      <c r="G14191" t="s">
        <v>514</v>
      </c>
    </row>
    <row r="14192" spans="1:7" x14ac:dyDescent="0.25">
      <c r="A14192" s="1" t="str">
        <f>"521631"</f>
        <v>521631</v>
      </c>
      <c r="B14192" s="2" t="str">
        <f>"LAPIS DE COR"</f>
        <v>LAPIS DE COR</v>
      </c>
      <c r="C14192" s="2" t="str">
        <f t="shared" si="556"/>
        <v>UN</v>
      </c>
      <c r="D14192" s="7">
        <v>99999</v>
      </c>
      <c r="E14192" s="3">
        <v>99</v>
      </c>
      <c r="F14192" s="3">
        <v>99</v>
      </c>
      <c r="G14192" t="s">
        <v>512</v>
      </c>
    </row>
    <row r="14193" spans="1:7" x14ac:dyDescent="0.25">
      <c r="A14193" s="1" t="str">
        <f>"2157"</f>
        <v>2157</v>
      </c>
      <c r="B14193" s="2" t="str">
        <f>"LAPIS ESTACA CERA C/12 ACRILEX COR PRETA"</f>
        <v>LAPIS ESTACA CERA C/12 ACRILEX COR PRETA</v>
      </c>
      <c r="C14193" s="2" t="str">
        <f>"CX"</f>
        <v>CX</v>
      </c>
      <c r="D14193" s="7">
        <v>408</v>
      </c>
      <c r="E14193" s="3">
        <v>4</v>
      </c>
      <c r="F14193" s="3">
        <v>4</v>
      </c>
      <c r="G14193" t="s">
        <v>513</v>
      </c>
    </row>
    <row r="14194" spans="1:7" x14ac:dyDescent="0.25">
      <c r="A14194" s="1" t="str">
        <f>"6322"</f>
        <v>6322</v>
      </c>
      <c r="B14194" s="2" t="str">
        <f>"LAPIS PRETO 2B"</f>
        <v>LAPIS PRETO 2B</v>
      </c>
      <c r="C14194" s="2" t="str">
        <f t="shared" ref="C14194:C14215" si="557">"UN"</f>
        <v>UN</v>
      </c>
      <c r="D14194" s="7">
        <v>401</v>
      </c>
      <c r="E14194" s="3">
        <v>4</v>
      </c>
      <c r="F14194" s="3">
        <v>4</v>
      </c>
      <c r="G14194" t="s">
        <v>514</v>
      </c>
    </row>
    <row r="14195" spans="1:7" x14ac:dyDescent="0.25">
      <c r="A14195" s="1" t="str">
        <f>"513961"</f>
        <v>513961</v>
      </c>
      <c r="B14195" s="2" t="str">
        <f>"LAPISEIRA"</f>
        <v>LAPISEIRA</v>
      </c>
      <c r="C14195" s="2" t="str">
        <f t="shared" si="557"/>
        <v>UN</v>
      </c>
      <c r="D14195" s="7">
        <v>99999</v>
      </c>
      <c r="E14195" s="3">
        <v>99</v>
      </c>
      <c r="F14195" s="3">
        <v>99</v>
      </c>
      <c r="G14195" t="s">
        <v>514</v>
      </c>
    </row>
    <row r="14196" spans="1:7" x14ac:dyDescent="0.25">
      <c r="A14196" s="1" t="str">
        <f>"515447"</f>
        <v>515447</v>
      </c>
      <c r="B14196" s="2" t="str">
        <f>"LARANJA"</f>
        <v>LARANJA</v>
      </c>
      <c r="C14196" s="2" t="str">
        <f t="shared" si="557"/>
        <v>UN</v>
      </c>
      <c r="D14196" s="7">
        <v>401</v>
      </c>
      <c r="E14196" s="3">
        <v>4</v>
      </c>
      <c r="F14196" s="3">
        <v>4</v>
      </c>
      <c r="G14196" t="s">
        <v>514</v>
      </c>
    </row>
    <row r="14197" spans="1:7" x14ac:dyDescent="0.25">
      <c r="A14197" s="1" t="str">
        <f>"502149"</f>
        <v>502149</v>
      </c>
      <c r="B14197" s="2" t="str">
        <f>"LARO PARA ESTRIVO"</f>
        <v>LARO PARA ESTRIVO</v>
      </c>
      <c r="C14197" s="2" t="str">
        <f t="shared" si="557"/>
        <v>UN</v>
      </c>
      <c r="D14197" s="7">
        <v>704</v>
      </c>
      <c r="E14197" s="3">
        <v>9</v>
      </c>
      <c r="F14197" s="3">
        <v>9</v>
      </c>
      <c r="G14197" t="s">
        <v>513</v>
      </c>
    </row>
    <row r="14198" spans="1:7" x14ac:dyDescent="0.25">
      <c r="A14198" s="1" t="str">
        <f>"523704"</f>
        <v>523704</v>
      </c>
      <c r="B14198" s="2" t="str">
        <f>"LASER VERDE"</f>
        <v>LASER VERDE</v>
      </c>
      <c r="C14198" s="2" t="str">
        <f t="shared" si="557"/>
        <v>UN</v>
      </c>
      <c r="D14198" s="7">
        <v>99999</v>
      </c>
      <c r="E14198" s="3">
        <v>99</v>
      </c>
      <c r="F14198" s="3">
        <v>99</v>
      </c>
      <c r="G14198" t="s">
        <v>512</v>
      </c>
    </row>
    <row r="14199" spans="1:7" x14ac:dyDescent="0.25">
      <c r="A14199" s="1" t="str">
        <f>"500417"</f>
        <v>500417</v>
      </c>
      <c r="B14199" s="2" t="str">
        <f>"LATA DE SELADORA SUVINIL 3.600"</f>
        <v>LATA DE SELADORA SUVINIL 3.600</v>
      </c>
      <c r="C14199" s="2" t="str">
        <f t="shared" si="557"/>
        <v>UN</v>
      </c>
      <c r="D14199" s="7">
        <v>403</v>
      </c>
      <c r="E14199" s="3">
        <v>4</v>
      </c>
      <c r="F14199" s="3">
        <v>4</v>
      </c>
      <c r="G14199" t="s">
        <v>513</v>
      </c>
    </row>
    <row r="14200" spans="1:7" x14ac:dyDescent="0.25">
      <c r="A14200" s="1" t="str">
        <f>"515736"</f>
        <v>515736</v>
      </c>
      <c r="B14200" s="2" t="str">
        <f>"LATAO"</f>
        <v>LATAO</v>
      </c>
      <c r="C14200" s="2" t="str">
        <f t="shared" si="557"/>
        <v>UN</v>
      </c>
      <c r="D14200" s="7">
        <v>812</v>
      </c>
      <c r="E14200" s="3">
        <v>4</v>
      </c>
      <c r="F14200" s="3">
        <v>4</v>
      </c>
      <c r="G14200" t="s">
        <v>514</v>
      </c>
    </row>
    <row r="14201" spans="1:7" x14ac:dyDescent="0.25">
      <c r="A14201" s="1" t="str">
        <f>"527945"</f>
        <v>527945</v>
      </c>
      <c r="B14201" s="2" t="str">
        <f>"LATAO P/ LEITE 50LT"</f>
        <v>LATAO P/ LEITE 50LT</v>
      </c>
      <c r="C14201" s="2" t="str">
        <f t="shared" si="557"/>
        <v>UN</v>
      </c>
      <c r="D14201" s="7">
        <v>812</v>
      </c>
      <c r="E14201" s="3">
        <v>4</v>
      </c>
      <c r="F14201" s="3">
        <v>4</v>
      </c>
      <c r="G14201" t="s">
        <v>514</v>
      </c>
    </row>
    <row r="14202" spans="1:7" x14ac:dyDescent="0.25">
      <c r="A14202" s="1" t="str">
        <f>"6578"</f>
        <v>6578</v>
      </c>
      <c r="B14202" s="2" t="str">
        <f>"LATAO PARA LIXO 20LITROS"</f>
        <v>LATAO PARA LIXO 20LITROS</v>
      </c>
      <c r="C14202" s="2" t="str">
        <f t="shared" si="557"/>
        <v>UN</v>
      </c>
      <c r="D14202" s="7">
        <v>400</v>
      </c>
      <c r="E14202" s="3">
        <v>4</v>
      </c>
      <c r="F14202" s="3">
        <v>4</v>
      </c>
      <c r="G14202" t="s">
        <v>514</v>
      </c>
    </row>
    <row r="14203" spans="1:7" x14ac:dyDescent="0.25">
      <c r="A14203" s="1" t="str">
        <f>"6576"</f>
        <v>6576</v>
      </c>
      <c r="B14203" s="2" t="str">
        <f>"LATAO PARA LIXO 30LITROS"</f>
        <v>LATAO PARA LIXO 30LITROS</v>
      </c>
      <c r="C14203" s="2" t="str">
        <f t="shared" si="557"/>
        <v>UN</v>
      </c>
      <c r="D14203" s="7">
        <v>400</v>
      </c>
      <c r="E14203" s="3">
        <v>4</v>
      </c>
      <c r="F14203" s="3">
        <v>4</v>
      </c>
      <c r="G14203" t="s">
        <v>513</v>
      </c>
    </row>
    <row r="14204" spans="1:7" x14ac:dyDescent="0.25">
      <c r="A14204" s="1" t="str">
        <f>"6577"</f>
        <v>6577</v>
      </c>
      <c r="B14204" s="2" t="str">
        <f>"LATAO PARA LIXO 60LITROS"</f>
        <v>LATAO PARA LIXO 60LITROS</v>
      </c>
      <c r="C14204" s="2" t="str">
        <f t="shared" si="557"/>
        <v>UN</v>
      </c>
      <c r="D14204" s="7">
        <v>400</v>
      </c>
      <c r="E14204" s="3">
        <v>4</v>
      </c>
      <c r="F14204" s="3">
        <v>4</v>
      </c>
      <c r="G14204" t="s">
        <v>513</v>
      </c>
    </row>
    <row r="14205" spans="1:7" x14ac:dyDescent="0.25">
      <c r="A14205" s="1" t="str">
        <f>"521147"</f>
        <v>521147</v>
      </c>
      <c r="B14205" s="2" t="str">
        <f>"LATERAIS MESA"</f>
        <v>LATERAIS MESA</v>
      </c>
      <c r="C14205" s="2" t="str">
        <f t="shared" si="557"/>
        <v>UN</v>
      </c>
      <c r="D14205" s="7">
        <v>1200</v>
      </c>
      <c r="E14205" s="3">
        <v>4</v>
      </c>
      <c r="F14205" s="3">
        <v>4</v>
      </c>
      <c r="G14205" t="s">
        <v>513</v>
      </c>
    </row>
    <row r="14206" spans="1:7" x14ac:dyDescent="0.25">
      <c r="A14206" s="1" t="str">
        <f>"520687"</f>
        <v>520687</v>
      </c>
      <c r="B14206" s="2" t="str">
        <f>"LATERAL ARMARIO MDF LAMINADO EMBUIA ESCURA"</f>
        <v>LATERAL ARMARIO MDF LAMINADO EMBUIA ESCURA</v>
      </c>
      <c r="C14206" s="2" t="str">
        <f t="shared" si="557"/>
        <v>UN</v>
      </c>
      <c r="D14206" s="7">
        <v>99999</v>
      </c>
      <c r="E14206" s="3">
        <v>99</v>
      </c>
      <c r="F14206" s="3">
        <v>99</v>
      </c>
      <c r="G14206" t="s">
        <v>512</v>
      </c>
    </row>
    <row r="14207" spans="1:7" x14ac:dyDescent="0.25">
      <c r="A14207" s="1" t="str">
        <f>"524291"</f>
        <v>524291</v>
      </c>
      <c r="B14207" s="2" t="str">
        <f>"LATERAL BRAÇO DIREITO"</f>
        <v>LATERAL BRAÇO DIREITO</v>
      </c>
      <c r="C14207" s="2" t="str">
        <f t="shared" si="557"/>
        <v>UN</v>
      </c>
      <c r="D14207" s="7">
        <v>99999</v>
      </c>
      <c r="E14207" s="3">
        <v>99</v>
      </c>
      <c r="F14207" s="3">
        <v>99</v>
      </c>
      <c r="G14207" t="s">
        <v>513</v>
      </c>
    </row>
    <row r="14208" spans="1:7" x14ac:dyDescent="0.25">
      <c r="A14208" s="1" t="str">
        <f>"524292"</f>
        <v>524292</v>
      </c>
      <c r="B14208" s="2" t="str">
        <f>"LATERAL BRAÇO ESQUERDO"</f>
        <v>LATERAL BRAÇO ESQUERDO</v>
      </c>
      <c r="C14208" s="2" t="str">
        <f t="shared" si="557"/>
        <v>UN</v>
      </c>
      <c r="D14208" s="7">
        <v>99999</v>
      </c>
      <c r="E14208" s="3">
        <v>99</v>
      </c>
      <c r="F14208" s="3">
        <v>99</v>
      </c>
      <c r="G14208" t="s">
        <v>514</v>
      </c>
    </row>
    <row r="14209" spans="1:7" x14ac:dyDescent="0.25">
      <c r="A14209" s="1" t="str">
        <f>"510534"</f>
        <v>510534</v>
      </c>
      <c r="B14209" s="2" t="str">
        <f>"LATERAL DOS ROLETES 05.3121.064.00"</f>
        <v>LATERAL DOS ROLETES 05.3121.064.00</v>
      </c>
      <c r="C14209" s="2" t="str">
        <f t="shared" si="557"/>
        <v>UN</v>
      </c>
      <c r="D14209" s="7">
        <v>918</v>
      </c>
      <c r="E14209" s="3">
        <v>11</v>
      </c>
      <c r="F14209" s="3">
        <v>11</v>
      </c>
      <c r="G14209" t="s">
        <v>515</v>
      </c>
    </row>
    <row r="14210" spans="1:7" x14ac:dyDescent="0.25">
      <c r="A14210" s="1" t="str">
        <f>"510535"</f>
        <v>510535</v>
      </c>
      <c r="B14210" s="2" t="str">
        <f>"LATERAL DOS ROLETES 05.3121.064.00"</f>
        <v>LATERAL DOS ROLETES 05.3121.064.00</v>
      </c>
      <c r="C14210" s="2" t="str">
        <f t="shared" si="557"/>
        <v>UN</v>
      </c>
      <c r="D14210" s="7">
        <v>918</v>
      </c>
      <c r="E14210" s="3">
        <v>11</v>
      </c>
      <c r="F14210" s="3">
        <v>11</v>
      </c>
      <c r="G14210" t="s">
        <v>512</v>
      </c>
    </row>
    <row r="14211" spans="1:7" x14ac:dyDescent="0.25">
      <c r="A14211" s="1" t="str">
        <f>"510795"</f>
        <v>510795</v>
      </c>
      <c r="B14211" s="2" t="str">
        <f>"LATERAL DOS ROLETES 05.3130.329.00"</f>
        <v>LATERAL DOS ROLETES 05.3130.329.00</v>
      </c>
      <c r="C14211" s="2" t="str">
        <f t="shared" si="557"/>
        <v>UN</v>
      </c>
      <c r="D14211" s="7">
        <v>918</v>
      </c>
      <c r="E14211" s="3">
        <v>11</v>
      </c>
      <c r="F14211" s="3">
        <v>11</v>
      </c>
      <c r="G14211" t="s">
        <v>516</v>
      </c>
    </row>
    <row r="14212" spans="1:7" x14ac:dyDescent="0.25">
      <c r="A14212" s="1" t="str">
        <f>"510796"</f>
        <v>510796</v>
      </c>
      <c r="B14212" s="2" t="str">
        <f>"LATERAL DOS ROLETES 05.3130.330.00"</f>
        <v>LATERAL DOS ROLETES 05.3130.330.00</v>
      </c>
      <c r="C14212" s="2" t="str">
        <f t="shared" si="557"/>
        <v>UN</v>
      </c>
      <c r="D14212" s="7">
        <v>918</v>
      </c>
      <c r="E14212" s="3">
        <v>11</v>
      </c>
      <c r="F14212" s="3">
        <v>11</v>
      </c>
      <c r="G14212" t="s">
        <v>515</v>
      </c>
    </row>
    <row r="14213" spans="1:7" x14ac:dyDescent="0.25">
      <c r="A14213" s="1" t="str">
        <f>"509396"</f>
        <v>509396</v>
      </c>
      <c r="B14213" s="2" t="str">
        <f>"LATERAL INTEIRA SUPORTE DISNTEIRO"</f>
        <v>LATERAL INTEIRA SUPORTE DISNTEIRO</v>
      </c>
      <c r="C14213" s="2" t="str">
        <f t="shared" si="557"/>
        <v>UN</v>
      </c>
      <c r="D14213" s="7">
        <v>704</v>
      </c>
      <c r="E14213" s="3">
        <v>9</v>
      </c>
      <c r="F14213" s="3">
        <v>9</v>
      </c>
      <c r="G14213" t="s">
        <v>514</v>
      </c>
    </row>
    <row r="14214" spans="1:7" x14ac:dyDescent="0.25">
      <c r="A14214" s="1" t="str">
        <f>"517593"</f>
        <v>517593</v>
      </c>
      <c r="B14214" s="2" t="str">
        <f>"LAV. AP. HD 10/20-4 CAGE FOOD 220V - 60HZ"</f>
        <v>LAV. AP. HD 10/20-4 CAGE FOOD 220V - 60HZ</v>
      </c>
      <c r="C14214" s="2" t="str">
        <f t="shared" si="557"/>
        <v>UN</v>
      </c>
      <c r="D14214" s="7">
        <v>1400</v>
      </c>
      <c r="E14214" s="3">
        <v>13</v>
      </c>
      <c r="F14214" s="3">
        <v>13</v>
      </c>
      <c r="G14214" t="s">
        <v>512</v>
      </c>
    </row>
    <row r="14215" spans="1:7" x14ac:dyDescent="0.25">
      <c r="A14215" s="1" t="str">
        <f>"514898"</f>
        <v>514898</v>
      </c>
      <c r="B14215" s="2" t="str">
        <f>"LAVA OLHOS EMERGENCIA FRASCO 500ML"</f>
        <v>LAVA OLHOS EMERGENCIA FRASCO 500ML</v>
      </c>
      <c r="C14215" s="2" t="str">
        <f t="shared" si="557"/>
        <v>UN</v>
      </c>
      <c r="D14215" s="7">
        <v>406</v>
      </c>
      <c r="E14215" s="3">
        <v>4</v>
      </c>
      <c r="F14215" s="3">
        <v>4</v>
      </c>
      <c r="G14215" t="s">
        <v>513</v>
      </c>
    </row>
    <row r="14216" spans="1:7" x14ac:dyDescent="0.25">
      <c r="A14216" s="1" t="str">
        <f>"510446"</f>
        <v>510446</v>
      </c>
      <c r="B14216" s="2" t="str">
        <f>"LAVABRIO ANTI SALA PRODUÇAO"</f>
        <v>LAVABRIO ANTI SALA PRODUÇAO</v>
      </c>
      <c r="C14216" s="2" t="str">
        <f>"BR"</f>
        <v>BR</v>
      </c>
      <c r="D14216" s="7">
        <v>808</v>
      </c>
      <c r="E14216" s="3">
        <v>10</v>
      </c>
      <c r="F14216" s="3">
        <v>10</v>
      </c>
      <c r="G14216" t="s">
        <v>514</v>
      </c>
    </row>
    <row r="14217" spans="1:7" x14ac:dyDescent="0.25">
      <c r="A14217" s="1" t="str">
        <f>"512380"</f>
        <v>512380</v>
      </c>
      <c r="B14217" s="2" t="str">
        <f>"LAVADOR BOTAS AÇO INOX 304 AUTOMATICO 01 ESCOVA ROTATIVA"</f>
        <v>LAVADOR BOTAS AÇO INOX 304 AUTOMATICO 01 ESCOVA ROTATIVA</v>
      </c>
      <c r="C14217" s="2" t="str">
        <f>"BR"</f>
        <v>BR</v>
      </c>
      <c r="D14217" s="7">
        <v>808</v>
      </c>
      <c r="E14217" s="3">
        <v>10</v>
      </c>
      <c r="F14217" s="3">
        <v>10</v>
      </c>
      <c r="G14217" t="s">
        <v>514</v>
      </c>
    </row>
    <row r="14218" spans="1:7" x14ac:dyDescent="0.25">
      <c r="A14218" s="1" t="str">
        <f>"522231"</f>
        <v>522231</v>
      </c>
      <c r="B14218" s="2" t="str">
        <f>"LAVADOR BOTAS AÇO INOX 304 AUTOMATICO 03 ESCOVA ROTATIVA"</f>
        <v>LAVADOR BOTAS AÇO INOX 304 AUTOMATICO 03 ESCOVA ROTATIVA</v>
      </c>
      <c r="C14218" s="2" t="str">
        <f>"BR"</f>
        <v>BR</v>
      </c>
      <c r="D14218" s="7">
        <v>808</v>
      </c>
      <c r="E14218" s="3">
        <v>10</v>
      </c>
      <c r="F14218" s="3">
        <v>10</v>
      </c>
      <c r="G14218" t="s">
        <v>512</v>
      </c>
    </row>
    <row r="14219" spans="1:7" x14ac:dyDescent="0.25">
      <c r="A14219" s="1" t="str">
        <f>"525330"</f>
        <v>525330</v>
      </c>
      <c r="B14219" s="2" t="str">
        <f>"LAVADOR DE BOTAS IND. 2 POSIÇÕES 380V TRIF. DOSADOR VENTURI"</f>
        <v>LAVADOR DE BOTAS IND. 2 POSIÇÕES 380V TRIF. DOSADOR VENTURI</v>
      </c>
      <c r="C14219" s="2" t="str">
        <f t="shared" ref="C14219:C14237" si="558">"UN"</f>
        <v>UN</v>
      </c>
      <c r="D14219" s="7">
        <v>99999</v>
      </c>
      <c r="E14219" s="3">
        <v>10</v>
      </c>
      <c r="F14219" s="3">
        <v>10</v>
      </c>
      <c r="G14219" t="s">
        <v>513</v>
      </c>
    </row>
    <row r="14220" spans="1:7" x14ac:dyDescent="0.25">
      <c r="A14220" s="1" t="str">
        <f>"516468"</f>
        <v>516468</v>
      </c>
      <c r="B14220" s="2" t="str">
        <f>"LAVADORA 6800 STOP TOTAL 220V"</f>
        <v>LAVADORA 6800 STOP TOTAL 220V</v>
      </c>
      <c r="C14220" s="2" t="str">
        <f t="shared" si="558"/>
        <v>UN</v>
      </c>
      <c r="D14220" s="7">
        <v>1000</v>
      </c>
      <c r="E14220" s="3">
        <v>13</v>
      </c>
      <c r="F14220" s="3">
        <v>13</v>
      </c>
      <c r="G14220" t="s">
        <v>514</v>
      </c>
    </row>
    <row r="14221" spans="1:7" x14ac:dyDescent="0.25">
      <c r="A14221" s="1" t="str">
        <f>"514992"</f>
        <v>514992</v>
      </c>
      <c r="B14221" s="2" t="str">
        <f>"LAVADORA ALTA PRESSAO"</f>
        <v>LAVADORA ALTA PRESSAO</v>
      </c>
      <c r="C14221" s="2" t="str">
        <f t="shared" si="558"/>
        <v>UN</v>
      </c>
      <c r="D14221" s="7">
        <v>1300</v>
      </c>
      <c r="E14221" s="3">
        <v>13</v>
      </c>
      <c r="F14221" s="3">
        <v>13</v>
      </c>
      <c r="G14221" t="s">
        <v>514</v>
      </c>
    </row>
    <row r="14222" spans="1:7" x14ac:dyDescent="0.25">
      <c r="A14222" s="1" t="str">
        <f>"526766"</f>
        <v>526766</v>
      </c>
      <c r="B14222" s="8" t="s">
        <v>482</v>
      </c>
      <c r="C14222" s="2" t="str">
        <f t="shared" si="558"/>
        <v>UN</v>
      </c>
      <c r="D14222" s="7">
        <v>400</v>
      </c>
      <c r="E14222" s="3">
        <v>11</v>
      </c>
      <c r="F14222" s="3">
        <v>11</v>
      </c>
      <c r="G14222" t="s">
        <v>514</v>
      </c>
    </row>
    <row r="14223" spans="1:7" x14ac:dyDescent="0.25">
      <c r="A14223" s="1" t="str">
        <f>"522256"</f>
        <v>522256</v>
      </c>
      <c r="B14223" s="2" t="str">
        <f>"LAVADORA ALTA PRESSÃO MOD.HD 6/15-4 220V MONO KARCHER"</f>
        <v>LAVADORA ALTA PRESSÃO MOD.HD 6/15-4 220V MONO KARCHER</v>
      </c>
      <c r="C14223" s="2" t="str">
        <f t="shared" si="558"/>
        <v>UN</v>
      </c>
      <c r="D14223" s="7">
        <v>1300</v>
      </c>
      <c r="E14223" s="3">
        <v>13</v>
      </c>
      <c r="F14223" s="3">
        <v>13</v>
      </c>
      <c r="G14223" t="s">
        <v>513</v>
      </c>
    </row>
    <row r="14224" spans="1:7" x14ac:dyDescent="0.25">
      <c r="A14224" s="1" t="str">
        <f>"526805"</f>
        <v>526805</v>
      </c>
      <c r="B14224" s="2" t="str">
        <f>"LAVADORA ALTA PRESSÃO WAP PROFISSIONAL 4100 - 1650/PSI 220V"</f>
        <v>LAVADORA ALTA PRESSÃO WAP PROFISSIONAL 4100 - 1650/PSI 220V</v>
      </c>
      <c r="C14224" s="2" t="str">
        <f t="shared" si="558"/>
        <v>UN</v>
      </c>
      <c r="D14224" s="7">
        <v>400</v>
      </c>
      <c r="E14224" s="3">
        <v>11</v>
      </c>
      <c r="F14224" s="3">
        <v>11</v>
      </c>
      <c r="G14224" t="s">
        <v>512</v>
      </c>
    </row>
    <row r="14225" spans="1:7" x14ac:dyDescent="0.25">
      <c r="A14225" s="1" t="str">
        <f>"518014"</f>
        <v>518014</v>
      </c>
      <c r="B14225" s="2" t="str">
        <f>"LAVADORA CHIAPERINI LAV-3000"</f>
        <v>LAVADORA CHIAPERINI LAV-3000</v>
      </c>
      <c r="C14225" s="2" t="str">
        <f t="shared" si="558"/>
        <v>UN</v>
      </c>
      <c r="D14225" s="7">
        <v>1000</v>
      </c>
      <c r="E14225" s="3">
        <v>13</v>
      </c>
      <c r="F14225" s="3">
        <v>13</v>
      </c>
      <c r="G14225" t="s">
        <v>513</v>
      </c>
    </row>
    <row r="14226" spans="1:7" x14ac:dyDescent="0.25">
      <c r="A14226" s="1" t="str">
        <f>"517160"</f>
        <v>517160</v>
      </c>
      <c r="B14226" s="2" t="str">
        <f>"LAVADORA J7000 220V MONO 60HZ"</f>
        <v>LAVADORA J7000 220V MONO 60HZ</v>
      </c>
      <c r="C14226" s="2" t="str">
        <f t="shared" si="558"/>
        <v>UN</v>
      </c>
      <c r="D14226" s="7">
        <v>813</v>
      </c>
      <c r="E14226" s="3">
        <v>13</v>
      </c>
      <c r="F14226" s="3">
        <v>13</v>
      </c>
      <c r="G14226" t="s">
        <v>514</v>
      </c>
    </row>
    <row r="14227" spans="1:7" x14ac:dyDescent="0.25">
      <c r="A14227" s="1" t="str">
        <f>"522255"</f>
        <v>522255</v>
      </c>
      <c r="B14227" s="2" t="str">
        <f>"LAVADORA/SECADORA MOD.B80W/R75 KARCHER"</f>
        <v>LAVADORA/SECADORA MOD.B80W/R75 KARCHER</v>
      </c>
      <c r="C14227" s="2" t="str">
        <f t="shared" si="558"/>
        <v>UN</v>
      </c>
      <c r="D14227" s="7">
        <v>1300</v>
      </c>
      <c r="E14227" s="3">
        <v>13</v>
      </c>
      <c r="F14227" s="3">
        <v>13</v>
      </c>
      <c r="G14227" t="s">
        <v>514</v>
      </c>
    </row>
    <row r="14228" spans="1:7" x14ac:dyDescent="0.25">
      <c r="A14228" s="1" t="str">
        <f>"522254"</f>
        <v>522254</v>
      </c>
      <c r="B14228" s="2" t="str">
        <f>"LAVADORA/SECADORA MOD.BD50/50C KARCHER"</f>
        <v>LAVADORA/SECADORA MOD.BD50/50C KARCHER</v>
      </c>
      <c r="C14228" s="2" t="str">
        <f t="shared" si="558"/>
        <v>UN</v>
      </c>
      <c r="D14228" s="7">
        <v>1300</v>
      </c>
      <c r="E14228" s="3">
        <v>13</v>
      </c>
      <c r="F14228" s="3">
        <v>13</v>
      </c>
      <c r="G14228" t="s">
        <v>514</v>
      </c>
    </row>
    <row r="14229" spans="1:7" x14ac:dyDescent="0.25">
      <c r="A14229" s="1" t="str">
        <f>"522253"</f>
        <v>522253</v>
      </c>
      <c r="B14229" s="2" t="str">
        <f>"LAVADORA/SECADORA MOD.BR35/12C KARCHER"</f>
        <v>LAVADORA/SECADORA MOD.BR35/12C KARCHER</v>
      </c>
      <c r="C14229" s="2" t="str">
        <f t="shared" si="558"/>
        <v>UN</v>
      </c>
      <c r="D14229" s="7">
        <v>1300</v>
      </c>
      <c r="E14229" s="3">
        <v>13</v>
      </c>
      <c r="F14229" s="3">
        <v>13</v>
      </c>
      <c r="G14229" t="s">
        <v>513</v>
      </c>
    </row>
    <row r="14230" spans="1:7" x14ac:dyDescent="0.25">
      <c r="A14230" s="1" t="str">
        <f>"513825"</f>
        <v>513825</v>
      </c>
      <c r="B14230" s="2" t="str">
        <f>"LAVAGEM COMPLETA"</f>
        <v>LAVAGEM COMPLETA</v>
      </c>
      <c r="C14230" s="2" t="str">
        <f t="shared" si="558"/>
        <v>UN</v>
      </c>
      <c r="D14230" s="7">
        <v>99999</v>
      </c>
      <c r="E14230" s="3">
        <v>99</v>
      </c>
      <c r="F14230" s="3">
        <v>99</v>
      </c>
      <c r="G14230" t="s">
        <v>513</v>
      </c>
    </row>
    <row r="14231" spans="1:7" x14ac:dyDescent="0.25">
      <c r="A14231" s="1" t="str">
        <f>"522757"</f>
        <v>522757</v>
      </c>
      <c r="B14231" s="2" t="str">
        <f>"LAVATORIO IZY 45X36 BRANCO DECA"</f>
        <v>LAVATORIO IZY 45X36 BRANCO DECA</v>
      </c>
      <c r="C14231" s="2" t="str">
        <f t="shared" si="558"/>
        <v>UN</v>
      </c>
      <c r="D14231" s="7">
        <v>917</v>
      </c>
      <c r="E14231" s="3">
        <v>10</v>
      </c>
      <c r="F14231" s="3">
        <v>10</v>
      </c>
      <c r="G14231" t="s">
        <v>513</v>
      </c>
    </row>
    <row r="14232" spans="1:7" x14ac:dyDescent="0.25">
      <c r="A14232" s="1" t="str">
        <f>"510298"</f>
        <v>510298</v>
      </c>
      <c r="B14232" s="2" t="str">
        <f>"LAVATORIO STYLUS BRANCO CELITE"</f>
        <v>LAVATORIO STYLUS BRANCO CELITE</v>
      </c>
      <c r="C14232" s="2" t="str">
        <f t="shared" si="558"/>
        <v>UN</v>
      </c>
      <c r="D14232" s="7">
        <v>803</v>
      </c>
      <c r="E14232" s="3">
        <v>10</v>
      </c>
      <c r="F14232" s="3">
        <v>10</v>
      </c>
      <c r="G14232" t="s">
        <v>512</v>
      </c>
    </row>
    <row r="14233" spans="1:7" x14ac:dyDescent="0.25">
      <c r="A14233" s="1" t="str">
        <f>"521454"</f>
        <v>521454</v>
      </c>
      <c r="B14233" s="8" t="s">
        <v>203</v>
      </c>
      <c r="C14233" s="2" t="str">
        <f t="shared" si="558"/>
        <v>UN</v>
      </c>
      <c r="D14233" s="7">
        <v>1500</v>
      </c>
      <c r="E14233" s="3">
        <v>13</v>
      </c>
      <c r="F14233" s="3">
        <v>13</v>
      </c>
      <c r="G14233" t="s">
        <v>513</v>
      </c>
    </row>
    <row r="14234" spans="1:7" x14ac:dyDescent="0.25">
      <c r="A14234" s="1" t="str">
        <f>"517888"</f>
        <v>517888</v>
      </c>
      <c r="B14234" s="2" t="str">
        <f>"LEA33.2 1/2"" 125FF PN9233E EPL MFL PTSUSS 517804"</f>
        <v>LEA33.2 1/2" 125FF PN9233E EPL MFL PTSUSS 517804</v>
      </c>
      <c r="C14234" s="2" t="str">
        <f t="shared" si="558"/>
        <v>UN</v>
      </c>
      <c r="D14234" s="7">
        <v>811</v>
      </c>
      <c r="E14234" s="3">
        <v>8</v>
      </c>
      <c r="F14234" s="3">
        <v>8</v>
      </c>
      <c r="G14234" t="s">
        <v>514</v>
      </c>
    </row>
    <row r="14235" spans="1:7" x14ac:dyDescent="0.25">
      <c r="A14235" s="1" t="str">
        <f>"518365"</f>
        <v>518365</v>
      </c>
      <c r="B14235" s="2" t="str">
        <f>"LEASING"</f>
        <v>LEASING</v>
      </c>
      <c r="C14235" s="2" t="str">
        <f t="shared" si="558"/>
        <v>UN</v>
      </c>
      <c r="D14235" s="7">
        <v>99999</v>
      </c>
      <c r="E14235" s="3">
        <v>99</v>
      </c>
      <c r="F14235" s="3">
        <v>99</v>
      </c>
      <c r="G14235" t="s">
        <v>515</v>
      </c>
    </row>
    <row r="14236" spans="1:7" x14ac:dyDescent="0.25">
      <c r="A14236" s="1" t="str">
        <f>"510940"</f>
        <v>510940</v>
      </c>
      <c r="B14236" s="2" t="str">
        <f>"LED CRISTAL"</f>
        <v>LED CRISTAL</v>
      </c>
      <c r="C14236" s="2" t="str">
        <f t="shared" si="558"/>
        <v>UN</v>
      </c>
      <c r="D14236" s="7">
        <v>402</v>
      </c>
      <c r="E14236" s="3">
        <v>4</v>
      </c>
      <c r="F14236" s="3">
        <v>4</v>
      </c>
      <c r="G14236" t="s">
        <v>512</v>
      </c>
    </row>
    <row r="14237" spans="1:7" x14ac:dyDescent="0.25">
      <c r="A14237" s="1" t="str">
        <f>"510873"</f>
        <v>510873</v>
      </c>
      <c r="B14237" s="2" t="str">
        <f>"LEITE CONDENSADO ITALAC 395GR"</f>
        <v>LEITE CONDENSADO ITALAC 395GR</v>
      </c>
      <c r="C14237" s="2" t="str">
        <f t="shared" si="558"/>
        <v>UN</v>
      </c>
      <c r="D14237" s="7">
        <v>401</v>
      </c>
      <c r="E14237" s="3">
        <v>4</v>
      </c>
      <c r="F14237" s="3">
        <v>4</v>
      </c>
      <c r="G14237" t="s">
        <v>516</v>
      </c>
    </row>
    <row r="14238" spans="1:7" x14ac:dyDescent="0.25">
      <c r="A14238" s="1" t="str">
        <f>"218"</f>
        <v>218</v>
      </c>
      <c r="B14238" s="2" t="str">
        <f>"LEITE CRU (VENDA)"</f>
        <v>LEITE CRU (VENDA)</v>
      </c>
      <c r="C14238" s="2" t="str">
        <f>"LT"</f>
        <v>LT</v>
      </c>
      <c r="D14238" s="7">
        <v>200</v>
      </c>
      <c r="E14238" s="3">
        <v>7</v>
      </c>
      <c r="F14238" s="3">
        <v>7</v>
      </c>
      <c r="G14238" t="s">
        <v>515</v>
      </c>
    </row>
    <row r="14239" spans="1:7" x14ac:dyDescent="0.25">
      <c r="A14239" s="1" t="str">
        <f>"226"</f>
        <v>226</v>
      </c>
      <c r="B14239" s="2" t="str">
        <f>"LEITE CRU RESFRIADO (KG)"</f>
        <v>LEITE CRU RESFRIADO (KG)</v>
      </c>
      <c r="C14239" s="2" t="str">
        <f>"KG"</f>
        <v>KG</v>
      </c>
      <c r="D14239" s="7">
        <v>200</v>
      </c>
      <c r="E14239" s="3">
        <v>2</v>
      </c>
      <c r="F14239" s="3">
        <v>2</v>
      </c>
      <c r="G14239" t="s">
        <v>514</v>
      </c>
    </row>
    <row r="14240" spans="1:7" x14ac:dyDescent="0.25">
      <c r="A14240" s="1" t="str">
        <f>"222"</f>
        <v>222</v>
      </c>
      <c r="B14240" s="2" t="str">
        <f>"LEITE CRU RESFRIADO (RECEPCAO)"</f>
        <v>LEITE CRU RESFRIADO (RECEPCAO)</v>
      </c>
      <c r="C14240" s="2" t="str">
        <f>"LT"</f>
        <v>LT</v>
      </c>
      <c r="D14240" s="7">
        <v>200</v>
      </c>
      <c r="E14240" s="3">
        <v>2</v>
      </c>
      <c r="F14240" s="3">
        <v>2</v>
      </c>
      <c r="G14240" t="s">
        <v>512</v>
      </c>
    </row>
    <row r="14241" spans="1:7" x14ac:dyDescent="0.25">
      <c r="A14241" s="1" t="str">
        <f>"518412"</f>
        <v>518412</v>
      </c>
      <c r="B14241" s="2" t="str">
        <f>"LEITE DE SOJA"</f>
        <v>LEITE DE SOJA</v>
      </c>
      <c r="C14241" s="2" t="str">
        <f>"UN"</f>
        <v>UN</v>
      </c>
      <c r="D14241" s="7">
        <v>99999</v>
      </c>
      <c r="E14241" s="3">
        <v>99</v>
      </c>
      <c r="F14241" s="3">
        <v>99</v>
      </c>
      <c r="G14241" t="s">
        <v>513</v>
      </c>
    </row>
    <row r="14242" spans="1:7" x14ac:dyDescent="0.25">
      <c r="A14242" s="1" t="str">
        <f>"240"</f>
        <v>240</v>
      </c>
      <c r="B14242" s="2" t="str">
        <f>"LEITE DESNATADO PRÉ BENEFICIADO"</f>
        <v>LEITE DESNATADO PRÉ BENEFICIADO</v>
      </c>
      <c r="C14242" s="2" t="str">
        <f>"KG"</f>
        <v>KG</v>
      </c>
      <c r="D14242" s="7">
        <v>200</v>
      </c>
      <c r="E14242" s="3">
        <v>2</v>
      </c>
      <c r="F14242" s="3">
        <v>2</v>
      </c>
      <c r="G14242" t="s">
        <v>514</v>
      </c>
    </row>
    <row r="14243" spans="1:7" x14ac:dyDescent="0.25">
      <c r="A14243" s="1" t="str">
        <f>"3701"</f>
        <v>3701</v>
      </c>
      <c r="B14243" s="2" t="str">
        <f>"LEITE DESNATADO UHT CAROLINA 1L"</f>
        <v>LEITE DESNATADO UHT CAROLINA 1L</v>
      </c>
      <c r="C14243" s="2" t="str">
        <f>"UN"</f>
        <v>UN</v>
      </c>
      <c r="D14243" s="7">
        <v>41</v>
      </c>
      <c r="E14243" s="3">
        <v>6</v>
      </c>
      <c r="F14243" s="3">
        <v>6</v>
      </c>
      <c r="G14243" t="s">
        <v>514</v>
      </c>
    </row>
    <row r="14244" spans="1:7" x14ac:dyDescent="0.25">
      <c r="A14244" s="1" t="str">
        <f>"781"</f>
        <v>781</v>
      </c>
      <c r="B14244" s="2" t="str">
        <f>"LEITE EM PO (INTEGRAL)"</f>
        <v>LEITE EM PO (INTEGRAL)</v>
      </c>
      <c r="C14244" s="2" t="str">
        <f>"KG"</f>
        <v>KG</v>
      </c>
      <c r="D14244" s="7">
        <v>200</v>
      </c>
      <c r="E14244" s="3">
        <v>2</v>
      </c>
      <c r="F14244" s="3">
        <v>2</v>
      </c>
      <c r="G14244" t="s">
        <v>512</v>
      </c>
    </row>
    <row r="14245" spans="1:7" x14ac:dyDescent="0.25">
      <c r="A14245" s="1" t="str">
        <f>"2480"</f>
        <v>2480</v>
      </c>
      <c r="B14245" s="2" t="str">
        <f>"LEITE EM PO DESNATADO"</f>
        <v>LEITE EM PO DESNATADO</v>
      </c>
      <c r="C14245" s="2" t="str">
        <f>"KG"</f>
        <v>KG</v>
      </c>
      <c r="D14245" s="7">
        <v>200</v>
      </c>
      <c r="E14245" s="3">
        <v>2</v>
      </c>
      <c r="F14245" s="3">
        <v>2</v>
      </c>
      <c r="G14245" t="s">
        <v>513</v>
      </c>
    </row>
    <row r="14246" spans="1:7" x14ac:dyDescent="0.25">
      <c r="A14246" s="1" t="str">
        <f>"2481"</f>
        <v>2481</v>
      </c>
      <c r="B14246" s="2" t="str">
        <f>"LEITE EM PO DESNATADO (TERCEIRIZADO)"</f>
        <v>LEITE EM PO DESNATADO (TERCEIRIZADO)</v>
      </c>
      <c r="C14246" s="2" t="str">
        <f>"KG"</f>
        <v>KG</v>
      </c>
      <c r="D14246" s="7">
        <v>200</v>
      </c>
      <c r="E14246" s="3">
        <v>2</v>
      </c>
      <c r="F14246" s="3">
        <v>2</v>
      </c>
      <c r="G14246" t="s">
        <v>514</v>
      </c>
    </row>
    <row r="14247" spans="1:7" x14ac:dyDescent="0.25">
      <c r="A14247" s="1" t="str">
        <f>"1474"</f>
        <v>1474</v>
      </c>
      <c r="B14247" s="2" t="str">
        <f>"LEITE FERM COOP PLUS C/6  480ML"</f>
        <v>LEITE FERM COOP PLUS C/6  480ML</v>
      </c>
      <c r="C14247" s="2" t="str">
        <f t="shared" ref="C14247:C14268" si="559">"UN"</f>
        <v>UN</v>
      </c>
      <c r="D14247" s="7">
        <v>29</v>
      </c>
      <c r="E14247" s="3">
        <v>6</v>
      </c>
      <c r="F14247" s="3">
        <v>6</v>
      </c>
      <c r="G14247" t="s">
        <v>514</v>
      </c>
    </row>
    <row r="14248" spans="1:7" x14ac:dyDescent="0.25">
      <c r="A14248" s="1" t="str">
        <f>"1205"</f>
        <v>1205</v>
      </c>
      <c r="B14248" s="2" t="str">
        <f>"LEITE FERM DESN E ADOCADO 560G (7X80G) CARRF"</f>
        <v>LEITE FERM DESN E ADOCADO 560G (7X80G) CARRF</v>
      </c>
      <c r="C14248" s="2" t="str">
        <f t="shared" si="559"/>
        <v>UN</v>
      </c>
      <c r="D14248" s="7">
        <v>29</v>
      </c>
      <c r="E14248" s="3">
        <v>6</v>
      </c>
      <c r="F14248" s="3">
        <v>6</v>
      </c>
      <c r="G14248" t="s">
        <v>514</v>
      </c>
    </row>
    <row r="14249" spans="1:7" x14ac:dyDescent="0.25">
      <c r="A14249" s="1" t="str">
        <f>"3575"</f>
        <v>3575</v>
      </c>
      <c r="B14249" s="2" t="str">
        <f>"LEITE FERM DESN E ADOCADO, SEM LACTOSE 6X75G"</f>
        <v>LEITE FERM DESN E ADOCADO, SEM LACTOSE 6X75G</v>
      </c>
      <c r="C14249" s="2" t="str">
        <f t="shared" si="559"/>
        <v>UN</v>
      </c>
      <c r="D14249" s="7">
        <v>43</v>
      </c>
      <c r="E14249" s="3">
        <v>6</v>
      </c>
      <c r="F14249" s="3">
        <v>6</v>
      </c>
      <c r="G14249" t="s">
        <v>513</v>
      </c>
    </row>
    <row r="14250" spans="1:7" x14ac:dyDescent="0.25">
      <c r="A14250" s="1" t="str">
        <f>"1491"</f>
        <v>1491</v>
      </c>
      <c r="B14250" s="2" t="str">
        <f>"LEITE FERM PARC DESN F VERM E CHIA BIO BALANCE 140G"</f>
        <v>LEITE FERM PARC DESN F VERM E CHIA BIO BALANCE 140G</v>
      </c>
      <c r="C14250" s="2" t="str">
        <f t="shared" si="559"/>
        <v>UN</v>
      </c>
      <c r="D14250" s="7">
        <v>44</v>
      </c>
      <c r="E14250" s="3">
        <v>6</v>
      </c>
      <c r="F14250" s="3">
        <v>6</v>
      </c>
      <c r="G14250" t="s">
        <v>512</v>
      </c>
    </row>
    <row r="14251" spans="1:7" x14ac:dyDescent="0.25">
      <c r="A14251" s="1" t="str">
        <f>"1490"</f>
        <v>1490</v>
      </c>
      <c r="B14251" s="2" t="str">
        <f>"LEITE FERM PARC DESN MOR E CHIA BIO BALANCE 140G"</f>
        <v>LEITE FERM PARC DESN MOR E CHIA BIO BALANCE 140G</v>
      </c>
      <c r="C14251" s="2" t="str">
        <f t="shared" si="559"/>
        <v>UN</v>
      </c>
      <c r="D14251" s="7">
        <v>44</v>
      </c>
      <c r="E14251" s="3">
        <v>6</v>
      </c>
      <c r="F14251" s="3">
        <v>6</v>
      </c>
      <c r="G14251" t="s">
        <v>513</v>
      </c>
    </row>
    <row r="14252" spans="1:7" x14ac:dyDescent="0.25">
      <c r="A14252" s="1" t="str">
        <f>"3552"</f>
        <v>3552</v>
      </c>
      <c r="B14252" s="2" t="str">
        <f>"LEITE FERMENT.BIO BALANCE AVEIA 170 G C/25UN"</f>
        <v>LEITE FERMENT.BIO BALANCE AVEIA 170 G C/25UN</v>
      </c>
      <c r="C14252" s="2" t="str">
        <f t="shared" si="559"/>
        <v>UN</v>
      </c>
      <c r="D14252" s="7">
        <v>10</v>
      </c>
      <c r="E14252" s="3">
        <v>6</v>
      </c>
      <c r="F14252" s="3">
        <v>6</v>
      </c>
      <c r="G14252" t="s">
        <v>514</v>
      </c>
    </row>
    <row r="14253" spans="1:7" x14ac:dyDescent="0.25">
      <c r="A14253" s="1" t="str">
        <f>"3553"</f>
        <v>3553</v>
      </c>
      <c r="B14253" s="2" t="str">
        <f>"LEITE FERMENT.BIO BALANCE AVEIA 900 G C/15UN"</f>
        <v>LEITE FERMENT.BIO BALANCE AVEIA 900 G C/15UN</v>
      </c>
      <c r="C14253" s="2" t="str">
        <f t="shared" si="559"/>
        <v>UN</v>
      </c>
      <c r="D14253" s="7">
        <v>16</v>
      </c>
      <c r="E14253" s="3">
        <v>6</v>
      </c>
      <c r="F14253" s="3">
        <v>6</v>
      </c>
      <c r="G14253" t="s">
        <v>514</v>
      </c>
    </row>
    <row r="14254" spans="1:7" x14ac:dyDescent="0.25">
      <c r="A14254" s="1" t="str">
        <f>"1696"</f>
        <v>1696</v>
      </c>
      <c r="B14254" s="2" t="str">
        <f>"LEITE FERMENTADO 540 G DIA"</f>
        <v>LEITE FERMENTADO 540 G DIA</v>
      </c>
      <c r="C14254" s="2" t="str">
        <f t="shared" si="559"/>
        <v>UN</v>
      </c>
      <c r="D14254" s="7">
        <v>19</v>
      </c>
      <c r="E14254" s="3">
        <v>6</v>
      </c>
      <c r="F14254" s="3">
        <v>6</v>
      </c>
      <c r="G14254" t="s">
        <v>514</v>
      </c>
    </row>
    <row r="14255" spans="1:7" x14ac:dyDescent="0.25">
      <c r="A14255" s="1" t="str">
        <f>"515561"</f>
        <v>515561</v>
      </c>
      <c r="B14255" s="2" t="str">
        <f>"LEITE FERMENTADO BATAVINHO"</f>
        <v>LEITE FERMENTADO BATAVINHO</v>
      </c>
      <c r="C14255" s="2" t="str">
        <f t="shared" si="559"/>
        <v>UN</v>
      </c>
      <c r="D14255" s="7">
        <v>401</v>
      </c>
      <c r="E14255" s="3">
        <v>4</v>
      </c>
      <c r="F14255" s="3">
        <v>4</v>
      </c>
      <c r="G14255" t="s">
        <v>513</v>
      </c>
    </row>
    <row r="14256" spans="1:7" x14ac:dyDescent="0.25">
      <c r="A14256" s="1" t="str">
        <f>"1652"</f>
        <v>1652</v>
      </c>
      <c r="B14256" s="2" t="str">
        <f>"LEITE FERMENTADO BAUNILHA GARRAFA CAROLINA 115G"</f>
        <v>LEITE FERMENTADO BAUNILHA GARRAFA CAROLINA 115G</v>
      </c>
      <c r="C14256" s="2" t="str">
        <f t="shared" si="559"/>
        <v>UN</v>
      </c>
      <c r="D14256" s="7">
        <v>49</v>
      </c>
      <c r="E14256" s="3">
        <v>6</v>
      </c>
      <c r="F14256" s="3">
        <v>6</v>
      </c>
      <c r="G14256" t="s">
        <v>513</v>
      </c>
    </row>
    <row r="14257" spans="1:7" x14ac:dyDescent="0.25">
      <c r="A14257" s="1" t="str">
        <f>"1654"</f>
        <v>1654</v>
      </c>
      <c r="B14257" s="2" t="str">
        <f>"LEITE FERMENTADO BAUNILHA GARRAFA CAROLINA 1250G"</f>
        <v>LEITE FERMENTADO BAUNILHA GARRAFA CAROLINA 1250G</v>
      </c>
      <c r="C14257" s="2" t="str">
        <f t="shared" si="559"/>
        <v>UN</v>
      </c>
      <c r="D14257" s="7">
        <v>51</v>
      </c>
      <c r="E14257" s="3">
        <v>6</v>
      </c>
      <c r="F14257" s="3">
        <v>6</v>
      </c>
      <c r="G14257" t="s">
        <v>513</v>
      </c>
    </row>
    <row r="14258" spans="1:7" x14ac:dyDescent="0.25">
      <c r="A14258" s="1" t="str">
        <f>"1651"</f>
        <v>1651</v>
      </c>
      <c r="B14258" s="2" t="str">
        <f>"LEITE FERMENTADO BAUNILHA GARRAFA CAROLINA 75G COM 6"</f>
        <v>LEITE FERMENTADO BAUNILHA GARRAFA CAROLINA 75G COM 6</v>
      </c>
      <c r="C14258" s="2" t="str">
        <f t="shared" si="559"/>
        <v>UN</v>
      </c>
      <c r="D14258" s="7">
        <v>43</v>
      </c>
      <c r="E14258" s="3">
        <v>6</v>
      </c>
      <c r="F14258" s="3">
        <v>6</v>
      </c>
      <c r="G14258" t="s">
        <v>512</v>
      </c>
    </row>
    <row r="14259" spans="1:7" x14ac:dyDescent="0.25">
      <c r="A14259" s="1" t="str">
        <f>"3559"</f>
        <v>3559</v>
      </c>
      <c r="B14259" s="2" t="str">
        <f>"LEITE FERMENTADO BIO BALANCE MOR/AMEIXA 540G - C/10"</f>
        <v>LEITE FERMENTADO BIO BALANCE MOR/AMEIXA 540G - C/10</v>
      </c>
      <c r="C14259" s="2" t="str">
        <f t="shared" si="559"/>
        <v>UN</v>
      </c>
      <c r="D14259" s="7">
        <v>19</v>
      </c>
      <c r="E14259" s="3">
        <v>6</v>
      </c>
      <c r="F14259" s="3">
        <v>6</v>
      </c>
      <c r="G14259" t="s">
        <v>513</v>
      </c>
    </row>
    <row r="14260" spans="1:7" x14ac:dyDescent="0.25">
      <c r="A14260" s="1" t="str">
        <f>"3558"</f>
        <v>3558</v>
      </c>
      <c r="B14260" s="2" t="str">
        <f>"LEITE FERMENTADO BIO BALANCE MOR/SALADA 540G C/10"</f>
        <v>LEITE FERMENTADO BIO BALANCE MOR/SALADA 540G C/10</v>
      </c>
      <c r="C14260" s="2" t="str">
        <f t="shared" si="559"/>
        <v>UN</v>
      </c>
      <c r="D14260" s="7">
        <v>19</v>
      </c>
      <c r="E14260" s="3">
        <v>6</v>
      </c>
      <c r="F14260" s="3">
        <v>6</v>
      </c>
      <c r="G14260" t="s">
        <v>514</v>
      </c>
    </row>
    <row r="14261" spans="1:7" x14ac:dyDescent="0.25">
      <c r="A14261" s="1" t="str">
        <f>"3557"</f>
        <v>3557</v>
      </c>
      <c r="B14261" s="2" t="str">
        <f>"LEITE FERMENTADO BIO BALANCE MORANGO 540G - C/10"</f>
        <v>LEITE FERMENTADO BIO BALANCE MORANGO 540G - C/10</v>
      </c>
      <c r="C14261" s="2" t="str">
        <f t="shared" si="559"/>
        <v>UN</v>
      </c>
      <c r="D14261" s="7">
        <v>19</v>
      </c>
      <c r="E14261" s="3">
        <v>6</v>
      </c>
      <c r="F14261" s="3">
        <v>6</v>
      </c>
      <c r="G14261" t="s">
        <v>515</v>
      </c>
    </row>
    <row r="14262" spans="1:7" x14ac:dyDescent="0.25">
      <c r="A14262" s="1" t="str">
        <f>"1653"</f>
        <v>1653</v>
      </c>
      <c r="B14262" s="2" t="str">
        <f>"LEITE FERMENTADO CAROLINA  850G"</f>
        <v>LEITE FERMENTADO CAROLINA  850G</v>
      </c>
      <c r="C14262" s="2" t="str">
        <f t="shared" si="559"/>
        <v>UN</v>
      </c>
      <c r="D14262" s="7">
        <v>15</v>
      </c>
      <c r="E14262" s="3">
        <v>6</v>
      </c>
      <c r="F14262" s="3">
        <v>6</v>
      </c>
      <c r="G14262" t="s">
        <v>512</v>
      </c>
    </row>
    <row r="14263" spans="1:7" x14ac:dyDescent="0.25">
      <c r="A14263" s="1" t="str">
        <f>"1650"</f>
        <v>1650</v>
      </c>
      <c r="B14263" s="2" t="str">
        <f>"LEITE FERMENTADO CAROLINA 3+3X80G"</f>
        <v>LEITE FERMENTADO CAROLINA 3+3X80G</v>
      </c>
      <c r="C14263" s="2" t="str">
        <f t="shared" si="559"/>
        <v>UN</v>
      </c>
      <c r="D14263" s="7">
        <v>29</v>
      </c>
      <c r="E14263" s="3">
        <v>6</v>
      </c>
      <c r="F14263" s="3">
        <v>6</v>
      </c>
      <c r="G14263" t="s">
        <v>516</v>
      </c>
    </row>
    <row r="14264" spans="1:7" x14ac:dyDescent="0.25">
      <c r="A14264" s="1" t="str">
        <f>"1551"</f>
        <v>1551</v>
      </c>
      <c r="B14264" s="2" t="str">
        <f>"LEITE FERMENTADO CARREFOUR 450G"</f>
        <v>LEITE FERMENTADO CARREFOUR 450G</v>
      </c>
      <c r="C14264" s="2" t="str">
        <f t="shared" si="559"/>
        <v>UN</v>
      </c>
      <c r="D14264" s="7">
        <v>43</v>
      </c>
      <c r="E14264" s="3">
        <v>6</v>
      </c>
      <c r="F14264" s="3">
        <v>6</v>
      </c>
      <c r="G14264" t="s">
        <v>515</v>
      </c>
    </row>
    <row r="14265" spans="1:7" x14ac:dyDescent="0.25">
      <c r="A14265" s="1" t="str">
        <f>"1553"</f>
        <v>1553</v>
      </c>
      <c r="B14265" s="2" t="str">
        <f>"LEITE FERMENTADO CARREFOUR 850G"</f>
        <v>LEITE FERMENTADO CARREFOUR 850G</v>
      </c>
      <c r="C14265" s="2" t="str">
        <f t="shared" si="559"/>
        <v>UN</v>
      </c>
      <c r="D14265" s="7">
        <v>15</v>
      </c>
      <c r="E14265" s="3">
        <v>6</v>
      </c>
      <c r="F14265" s="3">
        <v>6</v>
      </c>
      <c r="G14265" t="s">
        <v>514</v>
      </c>
    </row>
    <row r="14266" spans="1:7" x14ac:dyDescent="0.25">
      <c r="A14266" s="1" t="str">
        <f>"509471"</f>
        <v>509471</v>
      </c>
      <c r="B14266" s="2" t="str">
        <f>"LEITE FERMENTADO CHAMYTO"</f>
        <v>LEITE FERMENTADO CHAMYTO</v>
      </c>
      <c r="C14266" s="2" t="str">
        <f t="shared" si="559"/>
        <v>UN</v>
      </c>
      <c r="D14266" s="7">
        <v>401</v>
      </c>
      <c r="E14266" s="3">
        <v>4</v>
      </c>
      <c r="F14266" s="3">
        <v>4</v>
      </c>
      <c r="G14266" t="s">
        <v>512</v>
      </c>
    </row>
    <row r="14267" spans="1:7" x14ac:dyDescent="0.25">
      <c r="A14267" s="1" t="str">
        <f>"515560"</f>
        <v>515560</v>
      </c>
      <c r="B14267" s="2" t="str">
        <f>"LEITE FERMENTADO CHAMYTO"</f>
        <v>LEITE FERMENTADO CHAMYTO</v>
      </c>
      <c r="C14267" s="2" t="str">
        <f t="shared" si="559"/>
        <v>UN</v>
      </c>
      <c r="D14267" s="7">
        <v>401</v>
      </c>
      <c r="E14267" s="3">
        <v>4</v>
      </c>
      <c r="F14267" s="3">
        <v>4</v>
      </c>
      <c r="G14267" t="s">
        <v>513</v>
      </c>
    </row>
    <row r="14268" spans="1:7" x14ac:dyDescent="0.25">
      <c r="A14268" s="1" t="str">
        <f>"1472"</f>
        <v>1472</v>
      </c>
      <c r="B14268" s="2" t="str">
        <f>"LEITE FERMENTADO DESN ADOCADO COOP PLUS 80G"</f>
        <v>LEITE FERMENTADO DESN ADOCADO COOP PLUS 80G</v>
      </c>
      <c r="C14268" s="2" t="str">
        <f t="shared" si="559"/>
        <v>UN</v>
      </c>
      <c r="D14268" s="7">
        <v>29</v>
      </c>
      <c r="E14268" s="3">
        <v>6</v>
      </c>
      <c r="F14268" s="3">
        <v>6</v>
      </c>
      <c r="G14268" t="s">
        <v>514</v>
      </c>
    </row>
    <row r="14269" spans="1:7" x14ac:dyDescent="0.25">
      <c r="A14269" s="1" t="str">
        <f>"83"</f>
        <v>83</v>
      </c>
      <c r="B14269" s="2" t="str">
        <f>"LEITE FERMENTADO LACTOBACILUS - FRASCO"</f>
        <v>LEITE FERMENTADO LACTOBACILUS - FRASCO</v>
      </c>
      <c r="C14269" s="2" t="str">
        <f>"KG"</f>
        <v>KG</v>
      </c>
      <c r="D14269" s="7">
        <v>1900</v>
      </c>
      <c r="E14269" s="3">
        <v>7</v>
      </c>
      <c r="F14269" s="3">
        <v>7</v>
      </c>
      <c r="G14269" t="s">
        <v>514</v>
      </c>
    </row>
    <row r="14270" spans="1:7" x14ac:dyDescent="0.25">
      <c r="A14270" s="1" t="str">
        <f>"134"</f>
        <v>134</v>
      </c>
      <c r="B14270" s="2" t="str">
        <f>"LEITE FERMENTADO LACTOBACILUS SEM LACTOSE - FRASCO"</f>
        <v>LEITE FERMENTADO LACTOBACILUS SEM LACTOSE - FRASCO</v>
      </c>
      <c r="C14270" s="2" t="str">
        <f>"KG"</f>
        <v>KG</v>
      </c>
      <c r="D14270" s="7">
        <v>1900</v>
      </c>
      <c r="E14270" s="3">
        <v>7</v>
      </c>
      <c r="F14270" s="3">
        <v>7</v>
      </c>
      <c r="G14270" t="s">
        <v>512</v>
      </c>
    </row>
    <row r="14271" spans="1:7" x14ac:dyDescent="0.25">
      <c r="A14271" s="1" t="str">
        <f>"4490"</f>
        <v>4490</v>
      </c>
      <c r="B14271" s="2" t="str">
        <f>"LEITE FERMENTADO UNIBABY 115G"</f>
        <v>LEITE FERMENTADO UNIBABY 115G</v>
      </c>
      <c r="C14271" s="2" t="str">
        <f>"UN"</f>
        <v>UN</v>
      </c>
      <c r="D14271" s="7">
        <v>49</v>
      </c>
      <c r="E14271" s="3">
        <v>6</v>
      </c>
      <c r="F14271" s="3">
        <v>6</v>
      </c>
      <c r="G14271" t="s">
        <v>513</v>
      </c>
    </row>
    <row r="14272" spans="1:7" x14ac:dyDescent="0.25">
      <c r="A14272" s="1" t="str">
        <f>"509470"</f>
        <v>509470</v>
      </c>
      <c r="B14272" s="2" t="str">
        <f>"LEITE FERMENTADO YAKULT"</f>
        <v>LEITE FERMENTADO YAKULT</v>
      </c>
      <c r="C14272" s="2" t="str">
        <f>"UN"</f>
        <v>UN</v>
      </c>
      <c r="D14272" s="7">
        <v>401</v>
      </c>
      <c r="E14272" s="3">
        <v>4</v>
      </c>
      <c r="F14272" s="3">
        <v>4</v>
      </c>
      <c r="G14272" t="s">
        <v>514</v>
      </c>
    </row>
    <row r="14273" spans="1:7" x14ac:dyDescent="0.25">
      <c r="A14273" s="1" t="str">
        <f>"502"</f>
        <v>502</v>
      </c>
      <c r="B14273" s="2" t="str">
        <f>"LEITE FLUIDO A GRANEL DE USO INDUSTRIAL DESNATADO"</f>
        <v>LEITE FLUIDO A GRANEL DE USO INDUSTRIAL DESNATADO</v>
      </c>
      <c r="C14273" s="2" t="str">
        <f>"KG"</f>
        <v>KG</v>
      </c>
      <c r="D14273" s="7">
        <v>200</v>
      </c>
      <c r="E14273" s="3">
        <v>2</v>
      </c>
      <c r="F14273" s="3">
        <v>2</v>
      </c>
      <c r="G14273" t="s">
        <v>514</v>
      </c>
    </row>
    <row r="14274" spans="1:7" x14ac:dyDescent="0.25">
      <c r="A14274" s="1" t="str">
        <f>"2010"</f>
        <v>2010</v>
      </c>
      <c r="B14274" s="2" t="str">
        <f>"LEITE GELIFICADO SABOR BAUNILHA C/ CALDA CARAMELO 180G"</f>
        <v>LEITE GELIFICADO SABOR BAUNILHA C/ CALDA CARAMELO 180G</v>
      </c>
      <c r="C14274" s="2" t="str">
        <f>"UN"</f>
        <v>UN</v>
      </c>
      <c r="D14274" s="7">
        <v>3</v>
      </c>
      <c r="E14274" s="3">
        <v>6</v>
      </c>
      <c r="F14274" s="3">
        <v>6</v>
      </c>
      <c r="G14274" t="s">
        <v>514</v>
      </c>
    </row>
    <row r="14275" spans="1:7" x14ac:dyDescent="0.25">
      <c r="A14275" s="1" t="str">
        <f>"239"</f>
        <v>239</v>
      </c>
      <c r="B14275" s="2" t="str">
        <f>"LEITE IN NATURA DESNATADO(TRANSF.PROP.)"</f>
        <v>LEITE IN NATURA DESNATADO(TRANSF.PROP.)</v>
      </c>
      <c r="C14275" s="2" t="str">
        <f>"KG"</f>
        <v>KG</v>
      </c>
      <c r="D14275" s="7">
        <v>200</v>
      </c>
      <c r="E14275" s="3">
        <v>2</v>
      </c>
      <c r="F14275" s="3">
        <v>2</v>
      </c>
      <c r="G14275" t="s">
        <v>513</v>
      </c>
    </row>
    <row r="14276" spans="1:7" x14ac:dyDescent="0.25">
      <c r="A14276" s="1" t="str">
        <f>"523454"</f>
        <v>523454</v>
      </c>
      <c r="B14276" s="2" t="str">
        <f>"LEITE INTEGRAL 1L"</f>
        <v>LEITE INTEGRAL 1L</v>
      </c>
      <c r="C14276" s="2" t="str">
        <f>"UN"</f>
        <v>UN</v>
      </c>
      <c r="D14276" s="7">
        <v>99999</v>
      </c>
      <c r="E14276" s="3">
        <v>99</v>
      </c>
      <c r="F14276" s="3">
        <v>99</v>
      </c>
      <c r="G14276" t="s">
        <v>512</v>
      </c>
    </row>
    <row r="14277" spans="1:7" x14ac:dyDescent="0.25">
      <c r="A14277" s="1" t="str">
        <f>"3700"</f>
        <v>3700</v>
      </c>
      <c r="B14277" s="2" t="str">
        <f>"LEITE INTEGRAL CAROLINA 1L"</f>
        <v>LEITE INTEGRAL CAROLINA 1L</v>
      </c>
      <c r="C14277" s="2" t="str">
        <f>"UN"</f>
        <v>UN</v>
      </c>
      <c r="D14277" s="7">
        <v>41</v>
      </c>
      <c r="E14277" s="3">
        <v>6</v>
      </c>
      <c r="F14277" s="3">
        <v>6</v>
      </c>
      <c r="G14277" t="s">
        <v>513</v>
      </c>
    </row>
    <row r="14278" spans="1:7" x14ac:dyDescent="0.25">
      <c r="A14278" s="1" t="str">
        <f>"515636"</f>
        <v>515636</v>
      </c>
      <c r="B14278" s="2" t="str">
        <f>"LEITE INTEGRAL LATCO"</f>
        <v>LEITE INTEGRAL LATCO</v>
      </c>
      <c r="C14278" s="2" t="str">
        <f>"UN"</f>
        <v>UN</v>
      </c>
      <c r="D14278" s="7">
        <v>401</v>
      </c>
      <c r="E14278" s="3">
        <v>4</v>
      </c>
      <c r="F14278" s="3">
        <v>4</v>
      </c>
      <c r="G14278" t="s">
        <v>514</v>
      </c>
    </row>
    <row r="14279" spans="1:7" x14ac:dyDescent="0.25">
      <c r="A14279" s="1" t="str">
        <f>"220"</f>
        <v>220</v>
      </c>
      <c r="B14279" s="2" t="str">
        <f>"LEITE PADRONIZADO QUALA"</f>
        <v>LEITE PADRONIZADO QUALA</v>
      </c>
      <c r="C14279" s="2" t="str">
        <f>"LT"</f>
        <v>LT</v>
      </c>
      <c r="D14279" s="7">
        <v>200</v>
      </c>
      <c r="E14279" s="3">
        <v>2</v>
      </c>
      <c r="F14279" s="3">
        <v>2</v>
      </c>
      <c r="G14279" t="s">
        <v>514</v>
      </c>
    </row>
    <row r="14280" spans="1:7" x14ac:dyDescent="0.25">
      <c r="A14280" s="1" t="str">
        <f>"221"</f>
        <v>221</v>
      </c>
      <c r="B14280" s="2" t="str">
        <f>"LEITE PADRONIZADO RESFRIADO"</f>
        <v>LEITE PADRONIZADO RESFRIADO</v>
      </c>
      <c r="C14280" s="2" t="str">
        <f>"KG"</f>
        <v>KG</v>
      </c>
      <c r="D14280" s="7">
        <v>200</v>
      </c>
      <c r="E14280" s="3">
        <v>2</v>
      </c>
      <c r="F14280" s="3">
        <v>2</v>
      </c>
      <c r="G14280" t="s">
        <v>514</v>
      </c>
    </row>
    <row r="14281" spans="1:7" x14ac:dyDescent="0.25">
      <c r="A14281" s="1" t="str">
        <f>"219"</f>
        <v>219</v>
      </c>
      <c r="B14281" s="2" t="str">
        <f>"LEITE PASTEURIZADO PADRONIZADO REQ"</f>
        <v>LEITE PASTEURIZADO PADRONIZADO REQ</v>
      </c>
      <c r="C14281" s="2" t="str">
        <f>"KG"</f>
        <v>KG</v>
      </c>
      <c r="D14281" s="7">
        <v>200</v>
      </c>
      <c r="E14281" s="3">
        <v>2</v>
      </c>
      <c r="F14281" s="3">
        <v>2</v>
      </c>
      <c r="G14281" t="s">
        <v>513</v>
      </c>
    </row>
    <row r="14282" spans="1:7" x14ac:dyDescent="0.25">
      <c r="A14282" s="1" t="str">
        <f>"221B"</f>
        <v>221B</v>
      </c>
      <c r="B14282" s="2" t="str">
        <f>"LEITE PASTEURIZADO RESFRIADO (239)"</f>
        <v>LEITE PASTEURIZADO RESFRIADO (239)</v>
      </c>
      <c r="C14282" s="2" t="str">
        <f>"KG"</f>
        <v>KG</v>
      </c>
      <c r="D14282" s="7">
        <v>200</v>
      </c>
      <c r="E14282" s="3">
        <v>2</v>
      </c>
      <c r="F14282" s="3">
        <v>2</v>
      </c>
      <c r="G14282" t="s">
        <v>513</v>
      </c>
    </row>
    <row r="14283" spans="1:7" x14ac:dyDescent="0.25">
      <c r="A14283" s="1" t="str">
        <f>"519790"</f>
        <v>519790</v>
      </c>
      <c r="B14283" s="2" t="str">
        <f>"LEITE PASTEURIZADO SAQUINHO"</f>
        <v>LEITE PASTEURIZADO SAQUINHO</v>
      </c>
      <c r="C14283" s="2" t="str">
        <f>"UN"</f>
        <v>UN</v>
      </c>
      <c r="D14283" s="7">
        <v>99999</v>
      </c>
      <c r="E14283" s="3">
        <v>99</v>
      </c>
      <c r="F14283" s="3">
        <v>99</v>
      </c>
      <c r="G14283" t="s">
        <v>513</v>
      </c>
    </row>
    <row r="14284" spans="1:7" x14ac:dyDescent="0.25">
      <c r="A14284" s="1" t="str">
        <f>"224"</f>
        <v>224</v>
      </c>
      <c r="B14284" s="2" t="str">
        <f>"LEITE UHT ARBRALAT"</f>
        <v>LEITE UHT ARBRALAT</v>
      </c>
      <c r="C14284" s="2" t="str">
        <f>"LT"</f>
        <v>LT</v>
      </c>
      <c r="D14284" s="7">
        <v>200</v>
      </c>
      <c r="E14284" s="3">
        <v>3</v>
      </c>
      <c r="F14284" s="3">
        <v>3</v>
      </c>
      <c r="G14284" t="s">
        <v>512</v>
      </c>
    </row>
    <row r="14285" spans="1:7" x14ac:dyDescent="0.25">
      <c r="A14285" s="1" t="str">
        <f>"519451"</f>
        <v>519451</v>
      </c>
      <c r="B14285" s="2" t="str">
        <f>"LEITE UHT DESNATADO 1 LITRO"</f>
        <v>LEITE UHT DESNATADO 1 LITRO</v>
      </c>
      <c r="C14285" s="2" t="str">
        <f>"UN"</f>
        <v>UN</v>
      </c>
      <c r="D14285" s="7">
        <v>41</v>
      </c>
      <c r="E14285" s="3">
        <v>6</v>
      </c>
      <c r="F14285" s="3">
        <v>6</v>
      </c>
      <c r="G14285" t="s">
        <v>513</v>
      </c>
    </row>
    <row r="14286" spans="1:7" x14ac:dyDescent="0.25">
      <c r="A14286" s="1" t="str">
        <f>"519453"</f>
        <v>519453</v>
      </c>
      <c r="B14286" s="2" t="str">
        <f>"LEITE UHT DESNATADO 1 LITRO"</f>
        <v>LEITE UHT DESNATADO 1 LITRO</v>
      </c>
      <c r="C14286" s="2" t="str">
        <f>"LT"</f>
        <v>LT</v>
      </c>
      <c r="D14286" s="7">
        <v>200</v>
      </c>
      <c r="E14286" s="3">
        <v>4</v>
      </c>
      <c r="F14286" s="3">
        <v>4</v>
      </c>
      <c r="G14286" t="s">
        <v>514</v>
      </c>
    </row>
    <row r="14287" spans="1:7" x14ac:dyDescent="0.25">
      <c r="A14287" s="1" t="str">
        <f>"3501"</f>
        <v>3501</v>
      </c>
      <c r="B14287" s="2" t="str">
        <f>"LEITE UHT INTEGRAL 1 LITRO"</f>
        <v>LEITE UHT INTEGRAL 1 LITRO</v>
      </c>
      <c r="C14287" s="2" t="str">
        <f t="shared" ref="C14287:C14298" si="560">"UN"</f>
        <v>UN</v>
      </c>
      <c r="D14287" s="7">
        <v>41</v>
      </c>
      <c r="E14287" s="3">
        <v>6</v>
      </c>
      <c r="F14287" s="3">
        <v>6</v>
      </c>
      <c r="G14287" t="s">
        <v>515</v>
      </c>
    </row>
    <row r="14288" spans="1:7" x14ac:dyDescent="0.25">
      <c r="A14288" s="1" t="str">
        <f>"523547"</f>
        <v>523547</v>
      </c>
      <c r="B14288" s="2" t="str">
        <f>"LEITO ARAMADO INOX 30X30"</f>
        <v>LEITO ARAMADO INOX 30X30</v>
      </c>
      <c r="C14288" s="2" t="str">
        <f t="shared" si="560"/>
        <v>UN</v>
      </c>
      <c r="D14288" s="7">
        <v>811</v>
      </c>
      <c r="E14288" s="3">
        <v>8</v>
      </c>
      <c r="F14288" s="3">
        <v>8</v>
      </c>
      <c r="G14288" t="s">
        <v>512</v>
      </c>
    </row>
    <row r="14289" spans="1:7" x14ac:dyDescent="0.25">
      <c r="A14289" s="1" t="str">
        <f>"524634"</f>
        <v>524634</v>
      </c>
      <c r="B14289" s="2" t="str">
        <f>"LEITO ARAMADO INOX 50X50"</f>
        <v>LEITO ARAMADO INOX 50X50</v>
      </c>
      <c r="C14289" s="2" t="str">
        <f t="shared" si="560"/>
        <v>UN</v>
      </c>
      <c r="D14289" s="7">
        <v>811</v>
      </c>
      <c r="E14289" s="3">
        <v>10</v>
      </c>
      <c r="F14289" s="3">
        <v>10</v>
      </c>
      <c r="G14289" t="s">
        <v>516</v>
      </c>
    </row>
    <row r="14290" spans="1:7" x14ac:dyDescent="0.25">
      <c r="A14290" s="1" t="str">
        <f>"525005"</f>
        <v>525005</v>
      </c>
      <c r="B14290" s="2" t="str">
        <f>"LEITO ARAMADO INOX FIO 1/4 30MM X 30MM"</f>
        <v>LEITO ARAMADO INOX FIO 1/4 30MM X 30MM</v>
      </c>
      <c r="C14290" s="2" t="str">
        <f t="shared" si="560"/>
        <v>UN</v>
      </c>
      <c r="D14290" s="7">
        <v>811</v>
      </c>
      <c r="E14290" s="3">
        <v>10</v>
      </c>
      <c r="F14290" s="3">
        <v>10</v>
      </c>
      <c r="G14290" t="s">
        <v>515</v>
      </c>
    </row>
    <row r="14291" spans="1:7" x14ac:dyDescent="0.25">
      <c r="A14291" s="1" t="str">
        <f>"520995"</f>
        <v>520995</v>
      </c>
      <c r="B14291" s="2" t="str">
        <f>"LEITO ECON. 200MM L=3000MM"</f>
        <v>LEITO ECON. 200MM L=3000MM</v>
      </c>
      <c r="C14291" s="2" t="str">
        <f t="shared" si="560"/>
        <v>UN</v>
      </c>
      <c r="D14291" s="7">
        <v>811</v>
      </c>
      <c r="E14291" s="3">
        <v>8</v>
      </c>
      <c r="F14291" s="3">
        <v>8</v>
      </c>
      <c r="G14291" t="s">
        <v>514</v>
      </c>
    </row>
    <row r="14292" spans="1:7" x14ac:dyDescent="0.25">
      <c r="A14292" s="1" t="str">
        <f>"520991"</f>
        <v>520991</v>
      </c>
      <c r="B14292" s="2" t="str">
        <f>"LEITO ECON. 300MM L=3000MM"</f>
        <v>LEITO ECON. 300MM L=3000MM</v>
      </c>
      <c r="C14292" s="2" t="str">
        <f t="shared" si="560"/>
        <v>UN</v>
      </c>
      <c r="D14292" s="7">
        <v>811</v>
      </c>
      <c r="E14292" s="3">
        <v>8</v>
      </c>
      <c r="F14292" s="3">
        <v>8</v>
      </c>
      <c r="G14292" t="s">
        <v>512</v>
      </c>
    </row>
    <row r="14293" spans="1:7" x14ac:dyDescent="0.25">
      <c r="A14293" s="1" t="str">
        <f>"524588"</f>
        <v>524588</v>
      </c>
      <c r="B14293" s="2" t="str">
        <f>"LEITO ECON. 400MM L=3000MM"</f>
        <v>LEITO ECON. 400MM L=3000MM</v>
      </c>
      <c r="C14293" s="2" t="str">
        <f t="shared" si="560"/>
        <v>UN</v>
      </c>
      <c r="D14293" s="7">
        <v>811</v>
      </c>
      <c r="E14293" s="3">
        <v>10</v>
      </c>
      <c r="F14293" s="3">
        <v>10</v>
      </c>
      <c r="G14293" t="s">
        <v>513</v>
      </c>
    </row>
    <row r="14294" spans="1:7" x14ac:dyDescent="0.25">
      <c r="A14294" s="1" t="str">
        <f>"513044"</f>
        <v>513044</v>
      </c>
      <c r="B14294" s="2" t="str">
        <f>"LEITO LEVE GALVANIZADO ELETROLITICO 200MM"</f>
        <v>LEITO LEVE GALVANIZADO ELETROLITICO 200MM</v>
      </c>
      <c r="C14294" s="2" t="str">
        <f t="shared" si="560"/>
        <v>UN</v>
      </c>
      <c r="D14294" s="7">
        <v>811</v>
      </c>
      <c r="E14294" s="3">
        <v>8</v>
      </c>
      <c r="F14294" s="3">
        <v>8</v>
      </c>
      <c r="G14294" t="s">
        <v>514</v>
      </c>
    </row>
    <row r="14295" spans="1:7" x14ac:dyDescent="0.25">
      <c r="A14295" s="1" t="str">
        <f>"517544"</f>
        <v>517544</v>
      </c>
      <c r="B14295" s="2" t="str">
        <f>"LEITO TUBULAR 100X300MM INOX"</f>
        <v>LEITO TUBULAR 100X300MM INOX</v>
      </c>
      <c r="C14295" s="2" t="str">
        <f t="shared" si="560"/>
        <v>UN</v>
      </c>
      <c r="D14295" s="7">
        <v>811</v>
      </c>
      <c r="E14295" s="3">
        <v>8</v>
      </c>
      <c r="F14295" s="3">
        <v>8</v>
      </c>
      <c r="G14295" t="s">
        <v>514</v>
      </c>
    </row>
    <row r="14296" spans="1:7" x14ac:dyDescent="0.25">
      <c r="A14296" s="1" t="str">
        <f>"509798"</f>
        <v>509798</v>
      </c>
      <c r="B14296" s="2" t="str">
        <f>"LEITOR CODIGO BARRAS ELGIN"</f>
        <v>LEITOR CODIGO BARRAS ELGIN</v>
      </c>
      <c r="C14296" s="2" t="str">
        <f t="shared" si="560"/>
        <v>UN</v>
      </c>
      <c r="D14296" s="7">
        <v>600</v>
      </c>
      <c r="E14296" s="3">
        <v>8</v>
      </c>
      <c r="F14296" s="3">
        <v>8</v>
      </c>
      <c r="G14296" t="s">
        <v>512</v>
      </c>
    </row>
    <row r="14297" spans="1:7" x14ac:dyDescent="0.25">
      <c r="A14297" s="1" t="str">
        <f>"519425"</f>
        <v>519425</v>
      </c>
      <c r="B14297" s="2" t="str">
        <f>"LEITOR CODIGO BARRAS FEASSO 08"</f>
        <v>LEITOR CODIGO BARRAS FEASSO 08</v>
      </c>
      <c r="C14297" s="2" t="str">
        <f t="shared" si="560"/>
        <v>UN</v>
      </c>
      <c r="D14297" s="7">
        <v>600</v>
      </c>
      <c r="E14297" s="3">
        <v>8</v>
      </c>
      <c r="F14297" s="3">
        <v>8</v>
      </c>
      <c r="G14297" t="s">
        <v>513</v>
      </c>
    </row>
    <row r="14298" spans="1:7" x14ac:dyDescent="0.25">
      <c r="A14298" s="1" t="str">
        <f>"509278"</f>
        <v>509278</v>
      </c>
      <c r="B14298" s="2" t="str">
        <f>"LEITOR DE PROXIMIDADE ACURA AP09"</f>
        <v>LEITOR DE PROXIMIDADE ACURA AP09</v>
      </c>
      <c r="C14298" s="2" t="str">
        <f t="shared" si="560"/>
        <v>UN</v>
      </c>
      <c r="D14298" s="7">
        <v>402</v>
      </c>
      <c r="E14298" s="3">
        <v>4</v>
      </c>
      <c r="F14298" s="3">
        <v>4</v>
      </c>
      <c r="G14298" t="s">
        <v>514</v>
      </c>
    </row>
    <row r="14299" spans="1:7" x14ac:dyDescent="0.25">
      <c r="A14299" s="1" t="str">
        <f>"524249"</f>
        <v>524249</v>
      </c>
      <c r="B14299" s="2" t="str">
        <f>"LEITOR DE PROXIMIDADE PARA INNER"</f>
        <v>LEITOR DE PROXIMIDADE PARA INNER</v>
      </c>
      <c r="C14299" s="2" t="str">
        <f>"PC"</f>
        <v>PC</v>
      </c>
      <c r="D14299" s="7">
        <v>908</v>
      </c>
      <c r="E14299" s="3">
        <v>11</v>
      </c>
      <c r="F14299" s="3">
        <v>11</v>
      </c>
      <c r="G14299" t="s">
        <v>514</v>
      </c>
    </row>
    <row r="14300" spans="1:7" x14ac:dyDescent="0.25">
      <c r="A14300" s="1" t="str">
        <f>"526621"</f>
        <v>526621</v>
      </c>
      <c r="B14300" s="2" t="str">
        <f>"LEITOR DE SENSORES"</f>
        <v>LEITOR DE SENSORES</v>
      </c>
      <c r="C14300" s="2" t="str">
        <f t="shared" ref="C14300:C14311" si="561">"UN"</f>
        <v>UN</v>
      </c>
      <c r="D14300" s="7">
        <v>600</v>
      </c>
      <c r="E14300" s="3">
        <v>8</v>
      </c>
      <c r="F14300" s="3">
        <v>8</v>
      </c>
      <c r="G14300" t="s">
        <v>514</v>
      </c>
    </row>
    <row r="14301" spans="1:7" x14ac:dyDescent="0.25">
      <c r="A14301" s="1" t="str">
        <f>"523893"</f>
        <v>523893</v>
      </c>
      <c r="B14301" s="2" t="str">
        <f>"LEITOR DIAGNOSTICO RAPTOR"</f>
        <v>LEITOR DIAGNOSTICO RAPTOR</v>
      </c>
      <c r="C14301" s="2" t="str">
        <f t="shared" si="561"/>
        <v>UN</v>
      </c>
      <c r="D14301" s="7">
        <v>99999</v>
      </c>
      <c r="E14301" s="3">
        <v>99</v>
      </c>
      <c r="F14301" s="3">
        <v>99</v>
      </c>
      <c r="G14301" t="s">
        <v>513</v>
      </c>
    </row>
    <row r="14302" spans="1:7" x14ac:dyDescent="0.25">
      <c r="A14302" s="1" t="str">
        <f>"528090"</f>
        <v>528090</v>
      </c>
      <c r="B14302" s="2" t="str">
        <f>"LEITOR ELETRONICO CHARM"</f>
        <v>LEITOR ELETRONICO CHARM</v>
      </c>
      <c r="C14302" s="2" t="str">
        <f t="shared" si="561"/>
        <v>UN</v>
      </c>
      <c r="D14302" s="7">
        <v>406</v>
      </c>
      <c r="E14302" s="3">
        <v>13</v>
      </c>
      <c r="F14302" s="3">
        <v>13</v>
      </c>
      <c r="G14302" t="s">
        <v>512</v>
      </c>
    </row>
    <row r="14303" spans="1:7" x14ac:dyDescent="0.25">
      <c r="A14303" s="1" t="str">
        <f>"525373"</f>
        <v>525373</v>
      </c>
      <c r="B14303" s="2" t="str">
        <f>"LEITORA DE PETRIFILM 3M"</f>
        <v>LEITORA DE PETRIFILM 3M</v>
      </c>
      <c r="C14303" s="2" t="str">
        <f t="shared" si="561"/>
        <v>UN</v>
      </c>
      <c r="D14303" s="7">
        <v>99999</v>
      </c>
      <c r="E14303" s="3">
        <v>99</v>
      </c>
      <c r="F14303" s="3">
        <v>99</v>
      </c>
      <c r="G14303" t="s">
        <v>513</v>
      </c>
    </row>
    <row r="14304" spans="1:7" x14ac:dyDescent="0.25">
      <c r="A14304" s="1" t="str">
        <f>"524105"</f>
        <v>524105</v>
      </c>
      <c r="B14304" s="2" t="str">
        <f>"LEMBRANCINHA DE CHAVEIRO"</f>
        <v>LEMBRANCINHA DE CHAVEIRO</v>
      </c>
      <c r="C14304" s="2" t="str">
        <f t="shared" si="561"/>
        <v>UN</v>
      </c>
      <c r="D14304" s="7">
        <v>99999</v>
      </c>
      <c r="E14304" s="3">
        <v>99</v>
      </c>
      <c r="F14304" s="3">
        <v>99</v>
      </c>
      <c r="G14304" t="s">
        <v>514</v>
      </c>
    </row>
    <row r="14305" spans="1:7" x14ac:dyDescent="0.25">
      <c r="A14305" s="1" t="str">
        <f>"523707"</f>
        <v>523707</v>
      </c>
      <c r="B14305" s="2" t="str">
        <f>"LENÇO UMEDECIDO"</f>
        <v>LENÇO UMEDECIDO</v>
      </c>
      <c r="C14305" s="2" t="str">
        <f t="shared" si="561"/>
        <v>UN</v>
      </c>
      <c r="D14305" s="7">
        <v>99999</v>
      </c>
      <c r="E14305" s="3">
        <v>99</v>
      </c>
      <c r="F14305" s="3">
        <v>99</v>
      </c>
      <c r="G14305" t="s">
        <v>514</v>
      </c>
    </row>
    <row r="14306" spans="1:7" x14ac:dyDescent="0.25">
      <c r="A14306" s="1" t="str">
        <f>"517856"</f>
        <v>517856</v>
      </c>
      <c r="B14306" s="2" t="str">
        <f>"LENÇOL BORRACHA 1/2"""</f>
        <v>LENÇOL BORRACHA 1/2"</v>
      </c>
      <c r="C14306" s="2" t="str">
        <f t="shared" si="561"/>
        <v>UN</v>
      </c>
      <c r="D14306" s="7">
        <v>918</v>
      </c>
      <c r="E14306" s="3">
        <v>11</v>
      </c>
      <c r="F14306" s="3">
        <v>11</v>
      </c>
      <c r="G14306" t="s">
        <v>514</v>
      </c>
    </row>
    <row r="14307" spans="1:7" x14ac:dyDescent="0.25">
      <c r="A14307" s="1" t="str">
        <f>"512158"</f>
        <v>512158</v>
      </c>
      <c r="B14307" s="2" t="str">
        <f>"LENÇOL BORRACHA 1/8"""</f>
        <v>LENÇOL BORRACHA 1/8"</v>
      </c>
      <c r="C14307" s="2" t="str">
        <f t="shared" si="561"/>
        <v>UN</v>
      </c>
      <c r="D14307" s="7">
        <v>402</v>
      </c>
      <c r="E14307" s="3">
        <v>4</v>
      </c>
      <c r="F14307" s="3">
        <v>4</v>
      </c>
      <c r="G14307" t="s">
        <v>513</v>
      </c>
    </row>
    <row r="14308" spans="1:7" x14ac:dyDescent="0.25">
      <c r="A14308" s="1" t="str">
        <f>"522442"</f>
        <v>522442</v>
      </c>
      <c r="B14308" s="2" t="str">
        <f>"LENÇOL BORRACHA LISO C/1 TELA 1,20X6,4MM"</f>
        <v>LENÇOL BORRACHA LISO C/1 TELA 1,20X6,4MM</v>
      </c>
      <c r="C14308" s="2" t="str">
        <f t="shared" si="561"/>
        <v>UN</v>
      </c>
      <c r="D14308" s="7">
        <v>812</v>
      </c>
      <c r="E14308" s="3">
        <v>10</v>
      </c>
      <c r="F14308" s="3">
        <v>10</v>
      </c>
      <c r="G14308" t="s">
        <v>513</v>
      </c>
    </row>
    <row r="14309" spans="1:7" x14ac:dyDescent="0.25">
      <c r="A14309" s="1" t="str">
        <f>"512104"</f>
        <v>512104</v>
      </c>
      <c r="B14309" s="2" t="str">
        <f>"LENÇOL BORRACHA NBR 4,8MM X 1000MM"</f>
        <v>LENÇOL BORRACHA NBR 4,8MM X 1000MM</v>
      </c>
      <c r="C14309" s="2" t="str">
        <f t="shared" si="561"/>
        <v>UN</v>
      </c>
      <c r="D14309" s="7">
        <v>812</v>
      </c>
      <c r="E14309" s="3">
        <v>10</v>
      </c>
      <c r="F14309" s="3">
        <v>10</v>
      </c>
      <c r="G14309" t="s">
        <v>513</v>
      </c>
    </row>
    <row r="14310" spans="1:7" x14ac:dyDescent="0.25">
      <c r="A14310" s="1" t="str">
        <f>"524893"</f>
        <v>524893</v>
      </c>
      <c r="B14310" s="2" t="str">
        <f>"LENÇOL DE PAPEL 70 X 50M HNDESC"</f>
        <v>LENÇOL DE PAPEL 70 X 50M HNDESC</v>
      </c>
      <c r="C14310" s="2" t="str">
        <f t="shared" si="561"/>
        <v>UN</v>
      </c>
      <c r="D14310" s="7">
        <v>99999</v>
      </c>
      <c r="E14310" s="3">
        <v>99</v>
      </c>
      <c r="F14310" s="3">
        <v>99</v>
      </c>
      <c r="G14310" t="s">
        <v>512</v>
      </c>
    </row>
    <row r="14311" spans="1:7" x14ac:dyDescent="0.25">
      <c r="A14311" s="1" t="str">
        <f>"500722"</f>
        <v>500722</v>
      </c>
      <c r="B14311" s="2" t="str">
        <f>"LENCOL TEFLON HORIZONTAL MAQ SAQUINHO 70X640MM"</f>
        <v>LENCOL TEFLON HORIZONTAL MAQ SAQUINHO 70X640MM</v>
      </c>
      <c r="C14311" s="2" t="str">
        <f t="shared" si="561"/>
        <v>UN</v>
      </c>
      <c r="D14311" s="7">
        <v>918</v>
      </c>
      <c r="E14311" s="3">
        <v>11</v>
      </c>
      <c r="F14311" s="3">
        <v>11</v>
      </c>
      <c r="G14311" t="s">
        <v>513</v>
      </c>
    </row>
    <row r="14312" spans="1:7" x14ac:dyDescent="0.25">
      <c r="A14312" s="1" t="str">
        <f>"500721"</f>
        <v>500721</v>
      </c>
      <c r="B14312" s="2" t="str">
        <f>"LENCOL TEFLON VERTICAL MAQ SAQUINHO 300X640MM"</f>
        <v>LENCOL TEFLON VERTICAL MAQ SAQUINHO 300X640MM</v>
      </c>
      <c r="C14312" s="2" t="str">
        <f>"PC"</f>
        <v>PC</v>
      </c>
      <c r="D14312" s="7">
        <v>918</v>
      </c>
      <c r="E14312" s="3">
        <v>11</v>
      </c>
      <c r="F14312" s="3">
        <v>11</v>
      </c>
      <c r="G14312" t="s">
        <v>514</v>
      </c>
    </row>
    <row r="14313" spans="1:7" x14ac:dyDescent="0.25">
      <c r="A14313" s="1" t="str">
        <f>"503287"</f>
        <v>503287</v>
      </c>
      <c r="B14313" s="2" t="str">
        <f>"LENCOL TEFLONADA SOLDA INFERIOR"</f>
        <v>LENCOL TEFLONADA SOLDA INFERIOR</v>
      </c>
      <c r="C14313" s="2" t="str">
        <f>"UN"</f>
        <v>UN</v>
      </c>
      <c r="D14313" s="7">
        <v>918</v>
      </c>
      <c r="E14313" s="3">
        <v>11</v>
      </c>
      <c r="F14313" s="3">
        <v>11</v>
      </c>
      <c r="G14313" t="s">
        <v>515</v>
      </c>
    </row>
    <row r="14314" spans="1:7" x14ac:dyDescent="0.25">
      <c r="A14314" s="1" t="str">
        <f>"503286"</f>
        <v>503286</v>
      </c>
      <c r="B14314" s="2" t="str">
        <f>"LENCOL TEFLONADA SOLDA SUPERIOR"</f>
        <v>LENCOL TEFLONADA SOLDA SUPERIOR</v>
      </c>
      <c r="C14314" s="2" t="str">
        <f>"UN"</f>
        <v>UN</v>
      </c>
      <c r="D14314" s="7">
        <v>918</v>
      </c>
      <c r="E14314" s="3">
        <v>11</v>
      </c>
      <c r="F14314" s="3">
        <v>11</v>
      </c>
      <c r="G14314" t="s">
        <v>512</v>
      </c>
    </row>
    <row r="14315" spans="1:7" x14ac:dyDescent="0.25">
      <c r="A14315" s="1" t="str">
        <f>"310"</f>
        <v>310</v>
      </c>
      <c r="B14315" s="2" t="str">
        <f>"LENHAS"</f>
        <v>LENHAS</v>
      </c>
      <c r="C14315" s="2" t="str">
        <f>"MT"</f>
        <v>MT</v>
      </c>
      <c r="D14315" s="7">
        <v>304</v>
      </c>
      <c r="E14315" s="3">
        <v>3</v>
      </c>
      <c r="F14315" s="3">
        <v>3</v>
      </c>
      <c r="G14315" t="s">
        <v>516</v>
      </c>
    </row>
    <row r="14316" spans="1:7" x14ac:dyDescent="0.25">
      <c r="A14316" s="1" t="str">
        <f>"520875"</f>
        <v>520875</v>
      </c>
      <c r="B14316" s="2" t="str">
        <f>"LENOVO N2225 SAS/SATA HBA UPG RPWRADE SAS RAID DRIV"</f>
        <v>LENOVO N2225 SAS/SATA HBA UPG RPWRADE SAS RAID DRIV</v>
      </c>
      <c r="C14316" s="2" t="str">
        <f t="shared" ref="C14316:C14347" si="562">"UN"</f>
        <v>UN</v>
      </c>
      <c r="D14316" s="7">
        <v>401</v>
      </c>
      <c r="E14316" s="3">
        <v>4</v>
      </c>
      <c r="F14316" s="3">
        <v>4</v>
      </c>
      <c r="G14316" t="s">
        <v>515</v>
      </c>
    </row>
    <row r="14317" spans="1:7" x14ac:dyDescent="0.25">
      <c r="A14317" s="1" t="str">
        <f>"520873"</f>
        <v>520873</v>
      </c>
      <c r="B14317" s="2" t="str">
        <f>"LENOVO X 3550 M5 2,4GHZ 15 16/SSYSTERVER COMPUTER"</f>
        <v>LENOVO X 3550 M5 2,4GHZ 15 16/SSYSTERVER COMPUTER</v>
      </c>
      <c r="C14317" s="2" t="str">
        <f t="shared" si="562"/>
        <v>UN</v>
      </c>
      <c r="D14317" s="7">
        <v>401</v>
      </c>
      <c r="E14317" s="3">
        <v>4</v>
      </c>
      <c r="F14317" s="3">
        <v>4</v>
      </c>
      <c r="G14317" t="s">
        <v>514</v>
      </c>
    </row>
    <row r="14318" spans="1:7" x14ac:dyDescent="0.25">
      <c r="A14318" s="1" t="str">
        <f>"502561"</f>
        <v>502561</v>
      </c>
      <c r="B14318" s="2" t="str">
        <f>"LENTE"</f>
        <v>LENTE</v>
      </c>
      <c r="C14318" s="2" t="str">
        <f t="shared" si="562"/>
        <v>UN</v>
      </c>
      <c r="D14318" s="7">
        <v>704</v>
      </c>
      <c r="E14318" s="3">
        <v>9</v>
      </c>
      <c r="F14318" s="3">
        <v>9</v>
      </c>
      <c r="G14318" t="s">
        <v>512</v>
      </c>
    </row>
    <row r="14319" spans="1:7" x14ac:dyDescent="0.25">
      <c r="A14319" s="1" t="str">
        <f>"501882"</f>
        <v>501882</v>
      </c>
      <c r="B14319" s="2" t="str">
        <f>"LENTE APLICAÇAO"</f>
        <v>LENTE APLICAÇAO</v>
      </c>
      <c r="C14319" s="2" t="str">
        <f t="shared" si="562"/>
        <v>UN</v>
      </c>
      <c r="D14319" s="7">
        <v>704</v>
      </c>
      <c r="E14319" s="3">
        <v>9</v>
      </c>
      <c r="F14319" s="3">
        <v>9</v>
      </c>
      <c r="G14319" t="s">
        <v>513</v>
      </c>
    </row>
    <row r="14320" spans="1:7" x14ac:dyDescent="0.25">
      <c r="A14320" s="1" t="str">
        <f>"517166"</f>
        <v>517166</v>
      </c>
      <c r="B14320" s="2" t="str">
        <f>"LENTE AUTO IRIS VARIF. 3,5 - 8MM"</f>
        <v>LENTE AUTO IRIS VARIF. 3,5 - 8MM</v>
      </c>
      <c r="C14320" s="2" t="str">
        <f t="shared" si="562"/>
        <v>UN</v>
      </c>
      <c r="D14320" s="7">
        <v>811</v>
      </c>
      <c r="E14320" s="3">
        <v>8</v>
      </c>
      <c r="F14320" s="3">
        <v>8</v>
      </c>
      <c r="G14320" t="s">
        <v>514</v>
      </c>
    </row>
    <row r="14321" spans="1:7" x14ac:dyDescent="0.25">
      <c r="A14321" s="1" t="str">
        <f>"513759"</f>
        <v>513759</v>
      </c>
      <c r="B14321" s="2" t="str">
        <f>"LENTE LANTERNA"</f>
        <v>LENTE LANTERNA</v>
      </c>
      <c r="C14321" s="2" t="str">
        <f t="shared" si="562"/>
        <v>UN</v>
      </c>
      <c r="D14321" s="7">
        <v>99999</v>
      </c>
      <c r="E14321" s="3">
        <v>99</v>
      </c>
      <c r="F14321" s="3">
        <v>99</v>
      </c>
      <c r="G14321" t="s">
        <v>514</v>
      </c>
    </row>
    <row r="14322" spans="1:7" x14ac:dyDescent="0.25">
      <c r="A14322" s="1" t="str">
        <f>"513147"</f>
        <v>513147</v>
      </c>
      <c r="B14322" s="2" t="str">
        <f>"LENTE MASCARA SOLDA INCOLOR"</f>
        <v>LENTE MASCARA SOLDA INCOLOR</v>
      </c>
      <c r="C14322" s="2" t="str">
        <f t="shared" si="562"/>
        <v>UN</v>
      </c>
      <c r="D14322" s="7">
        <v>99999</v>
      </c>
      <c r="E14322" s="3">
        <v>99</v>
      </c>
      <c r="F14322" s="3">
        <v>99</v>
      </c>
      <c r="G14322" t="s">
        <v>512</v>
      </c>
    </row>
    <row r="14323" spans="1:7" x14ac:dyDescent="0.25">
      <c r="A14323" s="1" t="str">
        <f>"500601"</f>
        <v>500601</v>
      </c>
      <c r="B14323" s="2" t="str">
        <f>"LENTE MASCARA SOLDA Nº 10"</f>
        <v>LENTE MASCARA SOLDA Nº 10</v>
      </c>
      <c r="C14323" s="2" t="str">
        <f t="shared" si="562"/>
        <v>UN</v>
      </c>
      <c r="D14323" s="7">
        <v>402</v>
      </c>
      <c r="E14323" s="3">
        <v>4</v>
      </c>
      <c r="F14323" s="3">
        <v>4</v>
      </c>
      <c r="G14323" t="s">
        <v>513</v>
      </c>
    </row>
    <row r="14324" spans="1:7" x14ac:dyDescent="0.25">
      <c r="A14324" s="1" t="str">
        <f>"502109"</f>
        <v>502109</v>
      </c>
      <c r="B14324" s="2" t="str">
        <f>"LENTE MASCARA SOLDA Nº 12"</f>
        <v>LENTE MASCARA SOLDA Nº 12</v>
      </c>
      <c r="C14324" s="2" t="str">
        <f t="shared" si="562"/>
        <v>UN</v>
      </c>
      <c r="D14324" s="7">
        <v>402</v>
      </c>
      <c r="E14324" s="3">
        <v>4</v>
      </c>
      <c r="F14324" s="3">
        <v>4</v>
      </c>
      <c r="G14324" t="s">
        <v>514</v>
      </c>
    </row>
    <row r="14325" spans="1:7" x14ac:dyDescent="0.25">
      <c r="A14325" s="1" t="str">
        <f>"527114"</f>
        <v>527114</v>
      </c>
      <c r="B14325" s="2" t="str">
        <f>"LENTE MASCARA SOLDA Nº 14"</f>
        <v>LENTE MASCARA SOLDA Nº 14</v>
      </c>
      <c r="C14325" s="2" t="str">
        <f t="shared" si="562"/>
        <v>UN</v>
      </c>
      <c r="D14325" s="7">
        <v>402</v>
      </c>
      <c r="E14325" s="3">
        <v>4</v>
      </c>
      <c r="F14325" s="3">
        <v>4</v>
      </c>
      <c r="G14325" t="s">
        <v>514</v>
      </c>
    </row>
    <row r="14326" spans="1:7" x14ac:dyDescent="0.25">
      <c r="A14326" s="1" t="str">
        <f>"522486"</f>
        <v>522486</v>
      </c>
      <c r="B14326" s="2" t="str">
        <f>"LENTE MULTIFOCAL DE SEG. 3MM DE CENTRO"</f>
        <v>LENTE MULTIFOCAL DE SEG. 3MM DE CENTRO</v>
      </c>
      <c r="C14326" s="2" t="str">
        <f t="shared" si="562"/>
        <v>UN</v>
      </c>
      <c r="D14326" s="7">
        <v>402</v>
      </c>
      <c r="E14326" s="3">
        <v>4</v>
      </c>
      <c r="F14326" s="3">
        <v>4</v>
      </c>
      <c r="G14326" t="s">
        <v>514</v>
      </c>
    </row>
    <row r="14327" spans="1:7" x14ac:dyDescent="0.25">
      <c r="A14327" s="1" t="str">
        <f>"522073"</f>
        <v>522073</v>
      </c>
      <c r="B14327" s="2" t="str">
        <f>"LENTE P/ PORTA ETIQUETA 18,7X26,7 POLI. CRISTAL AUTO-EXTING"</f>
        <v>LENTE P/ PORTA ETIQUETA 18,7X26,7 POLI. CRISTAL AUTO-EXTING</v>
      </c>
      <c r="C14327" s="2" t="str">
        <f t="shared" si="562"/>
        <v>UN</v>
      </c>
      <c r="D14327" s="7">
        <v>99999</v>
      </c>
      <c r="E14327" s="3">
        <v>99</v>
      </c>
      <c r="F14327" s="3">
        <v>99</v>
      </c>
      <c r="G14327" t="s">
        <v>513</v>
      </c>
    </row>
    <row r="14328" spans="1:7" x14ac:dyDescent="0.25">
      <c r="A14328" s="1" t="str">
        <f>"527233"</f>
        <v>527233</v>
      </c>
      <c r="B14328" s="2" t="str">
        <f>"LENTE PROTETOR FACIAL V-GUARD 240 REF-311424"</f>
        <v>LENTE PROTETOR FACIAL V-GUARD 240 REF-311424</v>
      </c>
      <c r="C14328" s="2" t="str">
        <f t="shared" si="562"/>
        <v>UN</v>
      </c>
      <c r="D14328" s="7">
        <v>501</v>
      </c>
      <c r="E14328" s="3">
        <v>5</v>
      </c>
      <c r="F14328" s="3">
        <v>5</v>
      </c>
      <c r="G14328" t="s">
        <v>512</v>
      </c>
    </row>
    <row r="14329" spans="1:7" x14ac:dyDescent="0.25">
      <c r="A14329" s="1" t="str">
        <f>"509632"</f>
        <v>509632</v>
      </c>
      <c r="B14329" s="2" t="str">
        <f>"LENTE RN0164/VM"</f>
        <v>LENTE RN0164/VM</v>
      </c>
      <c r="C14329" s="2" t="str">
        <f t="shared" si="562"/>
        <v>UN</v>
      </c>
      <c r="D14329" s="7">
        <v>918</v>
      </c>
      <c r="E14329" s="3">
        <v>11</v>
      </c>
      <c r="F14329" s="3">
        <v>11</v>
      </c>
      <c r="G14329" t="s">
        <v>513</v>
      </c>
    </row>
    <row r="14330" spans="1:7" x14ac:dyDescent="0.25">
      <c r="A14330" s="1" t="str">
        <f>"501915"</f>
        <v>501915</v>
      </c>
      <c r="B14330" s="2" t="str">
        <f>"LENTE SETA DIANTEIRA"</f>
        <v>LENTE SETA DIANTEIRA</v>
      </c>
      <c r="C14330" s="2" t="str">
        <f t="shared" si="562"/>
        <v>UN</v>
      </c>
      <c r="D14330" s="7">
        <v>704</v>
      </c>
      <c r="E14330" s="3">
        <v>9</v>
      </c>
      <c r="F14330" s="3">
        <v>9</v>
      </c>
      <c r="G14330" t="s">
        <v>514</v>
      </c>
    </row>
    <row r="14331" spans="1:7" x14ac:dyDescent="0.25">
      <c r="A14331" s="1" t="str">
        <f>"517323"</f>
        <v>517323</v>
      </c>
      <c r="B14331" s="2" t="str">
        <f>"LENTE VERIFOCAL AUTO IRIS 2,8 - 12MM"</f>
        <v>LENTE VERIFOCAL AUTO IRIS 2,8 - 12MM</v>
      </c>
      <c r="C14331" s="2" t="str">
        <f t="shared" si="562"/>
        <v>UN</v>
      </c>
      <c r="D14331" s="7">
        <v>811</v>
      </c>
      <c r="E14331" s="3">
        <v>8</v>
      </c>
      <c r="F14331" s="3">
        <v>8</v>
      </c>
      <c r="G14331" t="s">
        <v>514</v>
      </c>
    </row>
    <row r="14332" spans="1:7" x14ac:dyDescent="0.25">
      <c r="A14332" s="1" t="str">
        <f>"516467"</f>
        <v>516467</v>
      </c>
      <c r="B14332" s="2" t="str">
        <f>"LEST EPS 40/980 25MM"</f>
        <v>LEST EPS 40/980 25MM</v>
      </c>
      <c r="C14332" s="2" t="str">
        <f t="shared" si="562"/>
        <v>UN</v>
      </c>
      <c r="D14332" s="7">
        <v>917</v>
      </c>
      <c r="E14332" s="3">
        <v>10</v>
      </c>
      <c r="F14332" s="3">
        <v>10</v>
      </c>
      <c r="G14332" t="s">
        <v>514</v>
      </c>
    </row>
    <row r="14333" spans="1:7" x14ac:dyDescent="0.25">
      <c r="A14333" s="1" t="str">
        <f>"517867"</f>
        <v>517867</v>
      </c>
      <c r="B14333" s="2" t="str">
        <f>"LHP COMPUTADOR PRO 3500 PR 110/220V HP COMPAQ"</f>
        <v>LHP COMPUTADOR PRO 3500 PR 110/220V HP COMPAQ</v>
      </c>
      <c r="C14333" s="2" t="str">
        <f t="shared" si="562"/>
        <v>UN</v>
      </c>
      <c r="D14333" s="7">
        <v>1500</v>
      </c>
      <c r="E14333" s="3">
        <v>4</v>
      </c>
      <c r="F14333" s="3">
        <v>4</v>
      </c>
      <c r="G14333" t="s">
        <v>513</v>
      </c>
    </row>
    <row r="14334" spans="1:7" x14ac:dyDescent="0.25">
      <c r="A14334" s="1" t="str">
        <f>"517868"</f>
        <v>517868</v>
      </c>
      <c r="B14334" s="2" t="str">
        <f>"LHP MONITOR L185X A1Z81AAAC4 PRETO 110V HP"</f>
        <v>LHP MONITOR L185X A1Z81AAAC4 PRETO 110V HP</v>
      </c>
      <c r="C14334" s="2" t="str">
        <f t="shared" si="562"/>
        <v>UN</v>
      </c>
      <c r="D14334" s="7">
        <v>1500</v>
      </c>
      <c r="E14334" s="3">
        <v>4</v>
      </c>
      <c r="F14334" s="3">
        <v>4</v>
      </c>
      <c r="G14334" t="s">
        <v>513</v>
      </c>
    </row>
    <row r="14335" spans="1:7" x14ac:dyDescent="0.25">
      <c r="A14335" s="1" t="str">
        <f>"520903"</f>
        <v>520903</v>
      </c>
      <c r="B14335" s="2" t="str">
        <f>"LIC. SW VMWARE VC PHERE 6 ESS. PLUS KIT FOR 3 HOSTS MAX 2 PR"</f>
        <v>LIC. SW VMWARE VC PHERE 6 ESS. PLUS KIT FOR 3 HOSTS MAX 2 PR</v>
      </c>
      <c r="C14335" s="2" t="str">
        <f t="shared" si="562"/>
        <v>UN</v>
      </c>
      <c r="D14335" s="7">
        <v>99999</v>
      </c>
      <c r="E14335" s="3">
        <v>99</v>
      </c>
      <c r="F14335" s="3">
        <v>99</v>
      </c>
      <c r="G14335" t="s">
        <v>513</v>
      </c>
    </row>
    <row r="14336" spans="1:7" x14ac:dyDescent="0.25">
      <c r="A14336" s="1" t="str">
        <f>"509314"</f>
        <v>509314</v>
      </c>
      <c r="B14336" s="2" t="str">
        <f>"LICENÇA ADICIONAL SW TOP PONTO 25 FUNC."</f>
        <v>LICENÇA ADICIONAL SW TOP PONTO 25 FUNC.</v>
      </c>
      <c r="C14336" s="2" t="str">
        <f t="shared" si="562"/>
        <v>UN</v>
      </c>
      <c r="D14336" s="7">
        <v>401</v>
      </c>
      <c r="E14336" s="3">
        <v>4</v>
      </c>
      <c r="F14336" s="3">
        <v>4</v>
      </c>
      <c r="G14336" t="s">
        <v>512</v>
      </c>
    </row>
    <row r="14337" spans="1:7" x14ac:dyDescent="0.25">
      <c r="A14337" s="1" t="str">
        <f>"521272"</f>
        <v>521272</v>
      </c>
      <c r="B14337" s="2" t="str">
        <f>"LICENÇA CDU FULL TOTVS TRAD"</f>
        <v>LICENÇA CDU FULL TOTVS TRAD</v>
      </c>
      <c r="C14337" s="2" t="str">
        <f t="shared" si="562"/>
        <v>UN</v>
      </c>
      <c r="D14337" s="7">
        <v>99999</v>
      </c>
      <c r="E14337" s="3">
        <v>99</v>
      </c>
      <c r="F14337" s="3">
        <v>99</v>
      </c>
      <c r="G14337" t="s">
        <v>513</v>
      </c>
    </row>
    <row r="14338" spans="1:7" x14ac:dyDescent="0.25">
      <c r="A14338" s="1" t="str">
        <f>"521588"</f>
        <v>521588</v>
      </c>
      <c r="B14338" s="2" t="str">
        <f>"LICENÇA DE USO - POOL FSENET"</f>
        <v>LICENÇA DE USO - POOL FSENET</v>
      </c>
      <c r="C14338" s="2" t="str">
        <f t="shared" si="562"/>
        <v>UN</v>
      </c>
      <c r="D14338" s="7">
        <v>99999</v>
      </c>
      <c r="E14338" s="3">
        <v>99</v>
      </c>
      <c r="F14338" s="3">
        <v>99</v>
      </c>
      <c r="G14338" t="s">
        <v>514</v>
      </c>
    </row>
    <row r="14339" spans="1:7" x14ac:dyDescent="0.25">
      <c r="A14339" s="1" t="str">
        <f>"521270"</f>
        <v>521270</v>
      </c>
      <c r="B14339" s="2" t="str">
        <f>"LICENÇA OPEDSTCRUSRMVL"</f>
        <v>LICENÇA OPEDSTCRUSRMVL</v>
      </c>
      <c r="C14339" s="2" t="str">
        <f t="shared" si="562"/>
        <v>UN</v>
      </c>
      <c r="D14339" s="7">
        <v>99999</v>
      </c>
      <c r="E14339" s="3">
        <v>99</v>
      </c>
      <c r="F14339" s="3">
        <v>99</v>
      </c>
      <c r="G14339" t="s">
        <v>515</v>
      </c>
    </row>
    <row r="14340" spans="1:7" x14ac:dyDescent="0.25">
      <c r="A14340" s="1" t="str">
        <f>"521271"</f>
        <v>521271</v>
      </c>
      <c r="B14340" s="2" t="str">
        <f>"LICENÇA PROG OPED STUDIO ND USR MNT"</f>
        <v>LICENÇA PROG OPED STUDIO ND USR MNT</v>
      </c>
      <c r="C14340" s="2" t="str">
        <f t="shared" si="562"/>
        <v>UN</v>
      </c>
      <c r="D14340" s="7">
        <v>99999</v>
      </c>
      <c r="E14340" s="3">
        <v>99</v>
      </c>
      <c r="F14340" s="3">
        <v>99</v>
      </c>
      <c r="G14340" t="s">
        <v>512</v>
      </c>
    </row>
    <row r="14341" spans="1:7" x14ac:dyDescent="0.25">
      <c r="A14341" s="1" t="str">
        <f>"521273"</f>
        <v>521273</v>
      </c>
      <c r="B14341" s="2" t="str">
        <f>"LICENÇA PROGRESS USER"</f>
        <v>LICENÇA PROGRESS USER</v>
      </c>
      <c r="C14341" s="2" t="str">
        <f t="shared" si="562"/>
        <v>UN</v>
      </c>
      <c r="D14341" s="7">
        <v>99999</v>
      </c>
      <c r="E14341" s="3">
        <v>99</v>
      </c>
      <c r="F14341" s="3">
        <v>99</v>
      </c>
      <c r="G14341" t="s">
        <v>516</v>
      </c>
    </row>
    <row r="14342" spans="1:7" x14ac:dyDescent="0.25">
      <c r="A14342" s="1" t="str">
        <f>"515673"</f>
        <v>515673</v>
      </c>
      <c r="B14342" s="2" t="str">
        <f>"LIGACAO REPARADORA"</f>
        <v>LIGACAO REPARADORA</v>
      </c>
      <c r="C14342" s="2" t="str">
        <f t="shared" si="562"/>
        <v>UN</v>
      </c>
      <c r="D14342" s="7">
        <v>917</v>
      </c>
      <c r="E14342" s="3">
        <v>4</v>
      </c>
      <c r="F14342" s="3">
        <v>4</v>
      </c>
      <c r="G14342" t="s">
        <v>515</v>
      </c>
    </row>
    <row r="14343" spans="1:7" x14ac:dyDescent="0.25">
      <c r="A14343" s="1" t="str">
        <f>"500671"</f>
        <v>500671</v>
      </c>
      <c r="B14343" s="2" t="str">
        <f>"LIMA KF MEIA CANA"</f>
        <v>LIMA KF MEIA CANA</v>
      </c>
      <c r="C14343" s="2" t="str">
        <f t="shared" si="562"/>
        <v>UN</v>
      </c>
      <c r="D14343" s="7">
        <v>402</v>
      </c>
      <c r="E14343" s="3">
        <v>4</v>
      </c>
      <c r="F14343" s="3">
        <v>4</v>
      </c>
      <c r="G14343" t="s">
        <v>514</v>
      </c>
    </row>
    <row r="14344" spans="1:7" x14ac:dyDescent="0.25">
      <c r="A14344" s="1" t="str">
        <f>"504317"</f>
        <v>504317</v>
      </c>
      <c r="B14344" s="2" t="str">
        <f>"LIMA KF REDONDA"</f>
        <v>LIMA KF REDONDA</v>
      </c>
      <c r="C14344" s="2" t="str">
        <f t="shared" si="562"/>
        <v>UN</v>
      </c>
      <c r="D14344" s="7">
        <v>402</v>
      </c>
      <c r="E14344" s="3">
        <v>4</v>
      </c>
      <c r="F14344" s="3">
        <v>4</v>
      </c>
      <c r="G14344" t="s">
        <v>512</v>
      </c>
    </row>
    <row r="14345" spans="1:7" x14ac:dyDescent="0.25">
      <c r="A14345" s="1" t="str">
        <f>"500145"</f>
        <v>500145</v>
      </c>
      <c r="B14345" s="2" t="str">
        <f>"LIMA KF RETANGULAR"</f>
        <v>LIMA KF RETANGULAR</v>
      </c>
      <c r="C14345" s="2" t="str">
        <f t="shared" si="562"/>
        <v>UN</v>
      </c>
      <c r="D14345" s="7">
        <v>402</v>
      </c>
      <c r="E14345" s="3">
        <v>4</v>
      </c>
      <c r="F14345" s="3">
        <v>4</v>
      </c>
      <c r="G14345" t="s">
        <v>513</v>
      </c>
    </row>
    <row r="14346" spans="1:7" x14ac:dyDescent="0.25">
      <c r="A14346" s="1" t="str">
        <f>"500653"</f>
        <v>500653</v>
      </c>
      <c r="B14346" s="2" t="str">
        <f>"LIMA KF TRIANGULO"</f>
        <v>LIMA KF TRIANGULO</v>
      </c>
      <c r="C14346" s="2" t="str">
        <f t="shared" si="562"/>
        <v>UN</v>
      </c>
      <c r="D14346" s="7">
        <v>402</v>
      </c>
      <c r="E14346" s="3">
        <v>4</v>
      </c>
      <c r="F14346" s="3">
        <v>4</v>
      </c>
      <c r="G14346" t="s">
        <v>514</v>
      </c>
    </row>
    <row r="14347" spans="1:7" x14ac:dyDescent="0.25">
      <c r="A14347" s="1" t="str">
        <f>"513511"</f>
        <v>513511</v>
      </c>
      <c r="B14347" s="2" t="str">
        <f>"LIMA ROTATIVA CILINDRICA 03 X 13MM"</f>
        <v>LIMA ROTATIVA CILINDRICA 03 X 13MM</v>
      </c>
      <c r="C14347" s="2" t="str">
        <f t="shared" si="562"/>
        <v>UN</v>
      </c>
      <c r="D14347" s="7">
        <v>920</v>
      </c>
      <c r="E14347" s="3">
        <v>4</v>
      </c>
      <c r="F14347" s="3">
        <v>4</v>
      </c>
      <c r="G14347" t="s">
        <v>514</v>
      </c>
    </row>
    <row r="14348" spans="1:7" x14ac:dyDescent="0.25">
      <c r="A14348" s="1" t="str">
        <f>"517638"</f>
        <v>517638</v>
      </c>
      <c r="B14348" s="2" t="str">
        <f>"LIMA ROTATIVA CILINDRICA 10 X 19MM"</f>
        <v>LIMA ROTATIVA CILINDRICA 10 X 19MM</v>
      </c>
      <c r="C14348" s="2" t="str">
        <f t="shared" ref="C14348:C14380" si="563">"UN"</f>
        <v>UN</v>
      </c>
      <c r="D14348" s="7">
        <v>920</v>
      </c>
      <c r="E14348" s="3">
        <v>4</v>
      </c>
      <c r="F14348" s="3">
        <v>4</v>
      </c>
      <c r="G14348" t="s">
        <v>512</v>
      </c>
    </row>
    <row r="14349" spans="1:7" x14ac:dyDescent="0.25">
      <c r="A14349" s="1" t="str">
        <f>"517636"</f>
        <v>517636</v>
      </c>
      <c r="B14349" s="2" t="str">
        <f>"LIMA ROTATIVA CILINDRICA 13 X 25MM"</f>
        <v>LIMA ROTATIVA CILINDRICA 13 X 25MM</v>
      </c>
      <c r="C14349" s="2" t="str">
        <f t="shared" si="563"/>
        <v>UN</v>
      </c>
      <c r="D14349" s="7">
        <v>920</v>
      </c>
      <c r="E14349" s="3">
        <v>4</v>
      </c>
      <c r="F14349" s="3">
        <v>4</v>
      </c>
      <c r="G14349" t="s">
        <v>513</v>
      </c>
    </row>
    <row r="14350" spans="1:7" x14ac:dyDescent="0.25">
      <c r="A14350" s="1" t="str">
        <f>"517637"</f>
        <v>517637</v>
      </c>
      <c r="B14350" s="2" t="str">
        <f>"LIMA ROTATIVA CILINDRICA 6 X 16MM"</f>
        <v>LIMA ROTATIVA CILINDRICA 6 X 16MM</v>
      </c>
      <c r="C14350" s="2" t="str">
        <f t="shared" si="563"/>
        <v>UN</v>
      </c>
      <c r="D14350" s="7">
        <v>920</v>
      </c>
      <c r="E14350" s="3">
        <v>4</v>
      </c>
      <c r="F14350" s="3">
        <v>4</v>
      </c>
      <c r="G14350" t="s">
        <v>514</v>
      </c>
    </row>
    <row r="14351" spans="1:7" x14ac:dyDescent="0.25">
      <c r="A14351" s="1" t="str">
        <f>"509292"</f>
        <v>509292</v>
      </c>
      <c r="B14351" s="2" t="str">
        <f>"LIMAO"</f>
        <v>LIMAO</v>
      </c>
      <c r="C14351" s="2" t="str">
        <f t="shared" si="563"/>
        <v>UN</v>
      </c>
      <c r="D14351" s="7">
        <v>402</v>
      </c>
      <c r="E14351" s="3">
        <v>4</v>
      </c>
      <c r="F14351" s="3">
        <v>4</v>
      </c>
      <c r="G14351" t="s">
        <v>514</v>
      </c>
    </row>
    <row r="14352" spans="1:7" x14ac:dyDescent="0.25">
      <c r="A14352" s="1" t="str">
        <f>"524366"</f>
        <v>524366</v>
      </c>
      <c r="B14352" s="2" t="str">
        <f>"LIMITADOR"</f>
        <v>LIMITADOR</v>
      </c>
      <c r="C14352" s="2" t="str">
        <f t="shared" si="563"/>
        <v>UN</v>
      </c>
      <c r="D14352" s="7">
        <v>704</v>
      </c>
      <c r="E14352" s="3">
        <v>9</v>
      </c>
      <c r="F14352" s="3">
        <v>9</v>
      </c>
      <c r="G14352" t="s">
        <v>514</v>
      </c>
    </row>
    <row r="14353" spans="1:7" x14ac:dyDescent="0.25">
      <c r="A14353" s="1" t="str">
        <f>"507124"</f>
        <v>507124</v>
      </c>
      <c r="B14353" s="2" t="str">
        <f>"LIMITADOR COD. 05.3120.021.70"</f>
        <v>LIMITADOR COD. 05.3120.021.70</v>
      </c>
      <c r="C14353" s="2" t="str">
        <f t="shared" si="563"/>
        <v>UN</v>
      </c>
      <c r="D14353" s="7">
        <v>918</v>
      </c>
      <c r="E14353" s="3">
        <v>11</v>
      </c>
      <c r="F14353" s="3">
        <v>11</v>
      </c>
      <c r="G14353" t="s">
        <v>513</v>
      </c>
    </row>
    <row r="14354" spans="1:7" x14ac:dyDescent="0.25">
      <c r="A14354" s="1" t="str">
        <f>"508936"</f>
        <v>508936</v>
      </c>
      <c r="B14354" s="2" t="str">
        <f>"LIMPA ALUMINIO"</f>
        <v>LIMPA ALUMINIO</v>
      </c>
      <c r="C14354" s="2" t="str">
        <f t="shared" si="563"/>
        <v>UN</v>
      </c>
      <c r="D14354" s="7">
        <v>402</v>
      </c>
      <c r="E14354" s="3">
        <v>4</v>
      </c>
      <c r="F14354" s="3">
        <v>4</v>
      </c>
      <c r="G14354" t="s">
        <v>512</v>
      </c>
    </row>
    <row r="14355" spans="1:7" x14ac:dyDescent="0.25">
      <c r="A14355" s="1" t="str">
        <f>"523818"</f>
        <v>523818</v>
      </c>
      <c r="B14355" s="2" t="str">
        <f>"LIMPA AR SUPER JET"</f>
        <v>LIMPA AR SUPER JET</v>
      </c>
      <c r="C14355" s="2" t="str">
        <f t="shared" si="563"/>
        <v>UN</v>
      </c>
      <c r="D14355" s="7">
        <v>99999</v>
      </c>
      <c r="E14355" s="3">
        <v>99</v>
      </c>
      <c r="F14355" s="3">
        <v>99</v>
      </c>
      <c r="G14355" t="s">
        <v>513</v>
      </c>
    </row>
    <row r="14356" spans="1:7" x14ac:dyDescent="0.25">
      <c r="A14356" s="1" t="str">
        <f>"513257"</f>
        <v>513257</v>
      </c>
      <c r="B14356" s="2" t="str">
        <f>"LIMPA BICO INJETOR"</f>
        <v>LIMPA BICO INJETOR</v>
      </c>
      <c r="C14356" s="2" t="str">
        <f t="shared" si="563"/>
        <v>UN</v>
      </c>
      <c r="D14356" s="7">
        <v>704</v>
      </c>
      <c r="E14356" s="3">
        <v>9</v>
      </c>
      <c r="F14356" s="3">
        <v>9</v>
      </c>
      <c r="G14356" t="s">
        <v>514</v>
      </c>
    </row>
    <row r="14357" spans="1:7" x14ac:dyDescent="0.25">
      <c r="A14357" s="1" t="str">
        <f>"526398"</f>
        <v>526398</v>
      </c>
      <c r="B14357" s="2" t="str">
        <f>"LIMPA CARPETE"</f>
        <v>LIMPA CARPETE</v>
      </c>
      <c r="C14357" s="2" t="str">
        <f t="shared" si="563"/>
        <v>UN</v>
      </c>
      <c r="D14357" s="7">
        <v>99999</v>
      </c>
      <c r="E14357" s="3">
        <v>99</v>
      </c>
      <c r="F14357" s="3">
        <v>99</v>
      </c>
      <c r="G14357" t="s">
        <v>514</v>
      </c>
    </row>
    <row r="14358" spans="1:7" x14ac:dyDescent="0.25">
      <c r="A14358" s="1" t="str">
        <f>"503875"</f>
        <v>503875</v>
      </c>
      <c r="B14358" s="2" t="str">
        <f>"LIMPA CONTATO 300ML"</f>
        <v>LIMPA CONTATO 300ML</v>
      </c>
      <c r="C14358" s="2" t="str">
        <f t="shared" si="563"/>
        <v>UN</v>
      </c>
      <c r="D14358" s="7">
        <v>402</v>
      </c>
      <c r="E14358" s="3">
        <v>4</v>
      </c>
      <c r="F14358" s="3">
        <v>4</v>
      </c>
      <c r="G14358" t="s">
        <v>514</v>
      </c>
    </row>
    <row r="14359" spans="1:7" x14ac:dyDescent="0.25">
      <c r="A14359" s="1" t="str">
        <f>"513256"</f>
        <v>513256</v>
      </c>
      <c r="B14359" s="2" t="str">
        <f>"LIMPA PARABRISA"</f>
        <v>LIMPA PARABRISA</v>
      </c>
      <c r="C14359" s="2" t="str">
        <f t="shared" si="563"/>
        <v>UN</v>
      </c>
      <c r="D14359" s="7">
        <v>704</v>
      </c>
      <c r="E14359" s="3">
        <v>9</v>
      </c>
      <c r="F14359" s="3">
        <v>9</v>
      </c>
      <c r="G14359" t="s">
        <v>513</v>
      </c>
    </row>
    <row r="14360" spans="1:7" x14ac:dyDescent="0.25">
      <c r="A14360" s="1" t="str">
        <f>"524911"</f>
        <v>524911</v>
      </c>
      <c r="B14360" s="2" t="str">
        <f>"LIMPA RADIADOR"</f>
        <v>LIMPA RADIADOR</v>
      </c>
      <c r="C14360" s="2" t="str">
        <f t="shared" si="563"/>
        <v>UN</v>
      </c>
      <c r="D14360" s="7">
        <v>819</v>
      </c>
      <c r="E14360" s="3">
        <v>4</v>
      </c>
      <c r="F14360" s="3">
        <v>4</v>
      </c>
      <c r="G14360" t="s">
        <v>513</v>
      </c>
    </row>
    <row r="14361" spans="1:7" x14ac:dyDescent="0.25">
      <c r="A14361" s="1" t="str">
        <f>"527867"</f>
        <v>527867</v>
      </c>
      <c r="B14361" s="2" t="str">
        <f>"LIMPA TBI"</f>
        <v>LIMPA TBI</v>
      </c>
      <c r="C14361" s="2" t="str">
        <f t="shared" si="563"/>
        <v>UN</v>
      </c>
      <c r="D14361" s="7">
        <v>704</v>
      </c>
      <c r="E14361" s="3">
        <v>9</v>
      </c>
      <c r="F14361" s="3">
        <v>9</v>
      </c>
      <c r="G14361" t="s">
        <v>513</v>
      </c>
    </row>
    <row r="14362" spans="1:7" x14ac:dyDescent="0.25">
      <c r="A14362" s="1" t="str">
        <f>"517671"</f>
        <v>517671</v>
      </c>
      <c r="B14362" s="2" t="str">
        <f>"LIMPA TUDO 500ML"</f>
        <v>LIMPA TUDO 500ML</v>
      </c>
      <c r="C14362" s="2" t="str">
        <f t="shared" si="563"/>
        <v>UN</v>
      </c>
      <c r="D14362" s="7">
        <v>402</v>
      </c>
      <c r="E14362" s="3">
        <v>4</v>
      </c>
      <c r="F14362" s="3">
        <v>4</v>
      </c>
      <c r="G14362" t="s">
        <v>512</v>
      </c>
    </row>
    <row r="14363" spans="1:7" x14ac:dyDescent="0.25">
      <c r="A14363" s="1" t="str">
        <f>"510906"</f>
        <v>510906</v>
      </c>
      <c r="B14363" s="2" t="str">
        <f>"LIMPA VIDROS"</f>
        <v>LIMPA VIDROS</v>
      </c>
      <c r="C14363" s="2" t="str">
        <f t="shared" si="563"/>
        <v>UN</v>
      </c>
      <c r="D14363" s="7">
        <v>410</v>
      </c>
      <c r="E14363" s="3">
        <v>4</v>
      </c>
      <c r="F14363" s="3">
        <v>4</v>
      </c>
      <c r="G14363" t="s">
        <v>513</v>
      </c>
    </row>
    <row r="14364" spans="1:7" x14ac:dyDescent="0.25">
      <c r="A14364" s="1" t="str">
        <f>"527236"</f>
        <v>527236</v>
      </c>
      <c r="B14364" s="2" t="str">
        <f>"LIMPADOR CONDENSADOR"</f>
        <v>LIMPADOR CONDENSADOR</v>
      </c>
      <c r="C14364" s="2" t="str">
        <f t="shared" si="563"/>
        <v>UN</v>
      </c>
      <c r="D14364" s="7">
        <v>704</v>
      </c>
      <c r="E14364" s="3">
        <v>9</v>
      </c>
      <c r="F14364" s="3">
        <v>9</v>
      </c>
      <c r="G14364" t="s">
        <v>514</v>
      </c>
    </row>
    <row r="14365" spans="1:7" x14ac:dyDescent="0.25">
      <c r="A14365" s="1" t="str">
        <f>"525084"</f>
        <v>525084</v>
      </c>
      <c r="B14365" s="2" t="str">
        <f>"LIMPADOR DE FREIOS"</f>
        <v>LIMPADOR DE FREIOS</v>
      </c>
      <c r="C14365" s="2" t="str">
        <f t="shared" si="563"/>
        <v>UN</v>
      </c>
      <c r="D14365" s="7">
        <v>704</v>
      </c>
      <c r="E14365" s="3">
        <v>9</v>
      </c>
      <c r="F14365" s="3">
        <v>9</v>
      </c>
      <c r="G14365" t="s">
        <v>515</v>
      </c>
    </row>
    <row r="14366" spans="1:7" x14ac:dyDescent="0.25">
      <c r="A14366" s="1" t="str">
        <f>"522795"</f>
        <v>522795</v>
      </c>
      <c r="B14366" s="2" t="str">
        <f>"LIMPADOR FILTROS"</f>
        <v>LIMPADOR FILTROS</v>
      </c>
      <c r="C14366" s="2" t="str">
        <f t="shared" si="563"/>
        <v>UN</v>
      </c>
      <c r="D14366" s="7">
        <v>704</v>
      </c>
      <c r="E14366" s="3">
        <v>9</v>
      </c>
      <c r="F14366" s="3">
        <v>9</v>
      </c>
      <c r="G14366" t="s">
        <v>512</v>
      </c>
    </row>
    <row r="14367" spans="1:7" x14ac:dyDescent="0.25">
      <c r="A14367" s="1" t="str">
        <f>"511391"</f>
        <v>511391</v>
      </c>
      <c r="B14367" s="2" t="str">
        <f>"LIMPADOR INDUSTRIAL WURTH 500ML"</f>
        <v>LIMPADOR INDUSTRIAL WURTH 500ML</v>
      </c>
      <c r="C14367" s="2" t="str">
        <f t="shared" si="563"/>
        <v>UN</v>
      </c>
      <c r="D14367" s="7">
        <v>812</v>
      </c>
      <c r="E14367" s="3">
        <v>10</v>
      </c>
      <c r="F14367" s="3">
        <v>10</v>
      </c>
      <c r="G14367" t="s">
        <v>516</v>
      </c>
    </row>
    <row r="14368" spans="1:7" x14ac:dyDescent="0.25">
      <c r="A14368" s="1" t="str">
        <f>"511397"</f>
        <v>511397</v>
      </c>
      <c r="B14368" s="2" t="str">
        <f>"LIMPADOR INDUSTRIAL WURTH 5L"</f>
        <v>LIMPADOR INDUSTRIAL WURTH 5L</v>
      </c>
      <c r="C14368" s="2" t="str">
        <f t="shared" si="563"/>
        <v>UN</v>
      </c>
      <c r="D14368" s="7">
        <v>918</v>
      </c>
      <c r="E14368" s="3">
        <v>4</v>
      </c>
      <c r="F14368" s="3">
        <v>4</v>
      </c>
      <c r="G14368" t="s">
        <v>515</v>
      </c>
    </row>
    <row r="14369" spans="1:7" x14ac:dyDescent="0.25">
      <c r="A14369" s="1" t="str">
        <f>"523159"</f>
        <v>523159</v>
      </c>
      <c r="B14369" s="2" t="str">
        <f>"LIMPADOR INTERIOR MOTOR"</f>
        <v>LIMPADOR INTERIOR MOTOR</v>
      </c>
      <c r="C14369" s="2" t="str">
        <f t="shared" si="563"/>
        <v>UN</v>
      </c>
      <c r="D14369" s="7">
        <v>704</v>
      </c>
      <c r="E14369" s="3">
        <v>9</v>
      </c>
      <c r="F14369" s="3">
        <v>9</v>
      </c>
      <c r="G14369" t="s">
        <v>514</v>
      </c>
    </row>
    <row r="14370" spans="1:7" x14ac:dyDescent="0.25">
      <c r="A14370" s="1" t="str">
        <f>"521618"</f>
        <v>521618</v>
      </c>
      <c r="B14370" s="2" t="str">
        <f>"LIMPADOR MULT. QUADRO BR SUPER PIT STOP LIMPEZA DIARIA 500ML"</f>
        <v>LIMPADOR MULT. QUADRO BR SUPER PIT STOP LIMPEZA DIARIA 500ML</v>
      </c>
      <c r="C14370" s="2" t="str">
        <f t="shared" si="563"/>
        <v>UN</v>
      </c>
      <c r="D14370" s="7">
        <v>99999</v>
      </c>
      <c r="E14370" s="3">
        <v>99</v>
      </c>
      <c r="F14370" s="3">
        <v>99</v>
      </c>
      <c r="G14370" t="s">
        <v>512</v>
      </c>
    </row>
    <row r="14371" spans="1:7" x14ac:dyDescent="0.25">
      <c r="A14371" s="1" t="str">
        <f>"518516"</f>
        <v>518516</v>
      </c>
      <c r="B14371" s="2" t="str">
        <f>"LIMPADOR MULTIUSO TRUCK 500ML"</f>
        <v>LIMPADOR MULTIUSO TRUCK 500ML</v>
      </c>
      <c r="C14371" s="2" t="str">
        <f t="shared" si="563"/>
        <v>UN</v>
      </c>
      <c r="D14371" s="7">
        <v>918</v>
      </c>
      <c r="E14371" s="3">
        <v>9</v>
      </c>
      <c r="F14371" s="3">
        <v>9</v>
      </c>
      <c r="G14371" t="s">
        <v>513</v>
      </c>
    </row>
    <row r="14372" spans="1:7" x14ac:dyDescent="0.25">
      <c r="A14372" s="1" t="str">
        <f>"522785"</f>
        <v>522785</v>
      </c>
      <c r="B14372" s="8" t="s">
        <v>331</v>
      </c>
      <c r="C14372" s="2" t="str">
        <f t="shared" si="563"/>
        <v>UN</v>
      </c>
      <c r="D14372" s="7">
        <v>1400</v>
      </c>
      <c r="E14372" s="3">
        <v>11</v>
      </c>
      <c r="F14372" s="3">
        <v>11</v>
      </c>
      <c r="G14372" t="s">
        <v>514</v>
      </c>
    </row>
    <row r="14373" spans="1:7" x14ac:dyDescent="0.25">
      <c r="A14373" s="1" t="str">
        <f>"522786"</f>
        <v>522786</v>
      </c>
      <c r="B14373" s="8" t="s">
        <v>332</v>
      </c>
      <c r="C14373" s="2" t="str">
        <f t="shared" si="563"/>
        <v>UN</v>
      </c>
      <c r="D14373" s="7">
        <v>1400</v>
      </c>
      <c r="E14373" s="3">
        <v>11</v>
      </c>
      <c r="F14373" s="3">
        <v>11</v>
      </c>
      <c r="G14373" t="s">
        <v>514</v>
      </c>
    </row>
    <row r="14374" spans="1:7" x14ac:dyDescent="0.25">
      <c r="A14374" s="1" t="str">
        <f>"504221"</f>
        <v>504221</v>
      </c>
      <c r="B14374" s="2" t="str">
        <f>"LINGUETA"</f>
        <v>LINGUETA</v>
      </c>
      <c r="C14374" s="2" t="str">
        <f t="shared" si="563"/>
        <v>UN</v>
      </c>
      <c r="D14374" s="7">
        <v>704</v>
      </c>
      <c r="E14374" s="3">
        <v>9</v>
      </c>
      <c r="F14374" s="3">
        <v>9</v>
      </c>
      <c r="G14374" t="s">
        <v>512</v>
      </c>
    </row>
    <row r="14375" spans="1:7" x14ac:dyDescent="0.25">
      <c r="A14375" s="1" t="str">
        <f>"514885"</f>
        <v>514885</v>
      </c>
      <c r="B14375" s="2" t="str">
        <f>"LINGUICA CALABRESA"</f>
        <v>LINGUICA CALABRESA</v>
      </c>
      <c r="C14375" s="2" t="str">
        <f t="shared" si="563"/>
        <v>UN</v>
      </c>
      <c r="D14375" s="7">
        <v>401</v>
      </c>
      <c r="E14375" s="3">
        <v>4</v>
      </c>
      <c r="F14375" s="3">
        <v>4</v>
      </c>
      <c r="G14375" t="s">
        <v>513</v>
      </c>
    </row>
    <row r="14376" spans="1:7" x14ac:dyDescent="0.25">
      <c r="A14376" s="1" t="str">
        <f>"514886"</f>
        <v>514886</v>
      </c>
      <c r="B14376" s="2" t="str">
        <f>"LINGUICA TOSCANA"</f>
        <v>LINGUICA TOSCANA</v>
      </c>
      <c r="C14376" s="2" t="str">
        <f t="shared" si="563"/>
        <v>UN</v>
      </c>
      <c r="D14376" s="7">
        <v>401</v>
      </c>
      <c r="E14376" s="3">
        <v>4</v>
      </c>
      <c r="F14376" s="3">
        <v>4</v>
      </c>
      <c r="G14376" t="s">
        <v>514</v>
      </c>
    </row>
    <row r="14377" spans="1:7" x14ac:dyDescent="0.25">
      <c r="A14377" s="1" t="str">
        <f>"524310"</f>
        <v>524310</v>
      </c>
      <c r="B14377" s="2" t="str">
        <f>"LINHA COMPLEMENTAR TARJETA LOGOTIPO PERSONALIZADO"</f>
        <v>LINHA COMPLEMENTAR TARJETA LOGOTIPO PERSONALIZADO</v>
      </c>
      <c r="C14377" s="2" t="str">
        <f t="shared" si="563"/>
        <v>UN</v>
      </c>
      <c r="D14377" s="7">
        <v>500</v>
      </c>
      <c r="E14377" s="3">
        <v>5</v>
      </c>
      <c r="F14377" s="3">
        <v>5</v>
      </c>
      <c r="G14377" t="s">
        <v>514</v>
      </c>
    </row>
    <row r="14378" spans="1:7" x14ac:dyDescent="0.25">
      <c r="A14378" s="1" t="str">
        <f>"514783"</f>
        <v>514783</v>
      </c>
      <c r="B14378" s="2" t="str">
        <f>"LINHA COSTURA"</f>
        <v>LINHA COSTURA</v>
      </c>
      <c r="C14378" s="2" t="str">
        <f t="shared" si="563"/>
        <v>UN</v>
      </c>
      <c r="D14378" s="7">
        <v>401</v>
      </c>
      <c r="E14378" s="3">
        <v>4</v>
      </c>
      <c r="F14378" s="3">
        <v>4</v>
      </c>
      <c r="G14378" t="s">
        <v>514</v>
      </c>
    </row>
    <row r="14379" spans="1:7" x14ac:dyDescent="0.25">
      <c r="A14379" s="1" t="str">
        <f>"525273"</f>
        <v>525273</v>
      </c>
      <c r="B14379" s="2" t="str">
        <f>"LINHA CROCHE"</f>
        <v>LINHA CROCHE</v>
      </c>
      <c r="C14379" s="2" t="str">
        <f t="shared" si="563"/>
        <v>UN</v>
      </c>
      <c r="D14379" s="7">
        <v>99999</v>
      </c>
      <c r="E14379" s="3">
        <v>99</v>
      </c>
      <c r="F14379" s="3">
        <v>99</v>
      </c>
      <c r="G14379" t="s">
        <v>513</v>
      </c>
    </row>
    <row r="14380" spans="1:7" x14ac:dyDescent="0.25">
      <c r="A14380" s="1" t="str">
        <f>"514332"</f>
        <v>514332</v>
      </c>
      <c r="B14380" s="2" t="str">
        <f>"LINHA DE PEDREIRO"</f>
        <v>LINHA DE PEDREIRO</v>
      </c>
      <c r="C14380" s="2" t="str">
        <f t="shared" si="563"/>
        <v>UN</v>
      </c>
      <c r="D14380" s="7">
        <v>919</v>
      </c>
      <c r="E14380" s="3">
        <v>4</v>
      </c>
      <c r="F14380" s="3">
        <v>4</v>
      </c>
      <c r="G14380" t="s">
        <v>512</v>
      </c>
    </row>
    <row r="14381" spans="1:7" x14ac:dyDescent="0.25">
      <c r="A14381" s="1" t="str">
        <f>"520907"</f>
        <v>520907</v>
      </c>
      <c r="B14381" s="2" t="str">
        <f>"LINHA DE REDE BOIA P/ PESCA"</f>
        <v>LINHA DE REDE BOIA P/ PESCA</v>
      </c>
      <c r="C14381" s="2" t="str">
        <f>"MT"</f>
        <v>MT</v>
      </c>
      <c r="D14381" s="7">
        <v>803</v>
      </c>
      <c r="E14381" s="3">
        <v>10</v>
      </c>
      <c r="F14381" s="3">
        <v>10</v>
      </c>
      <c r="G14381" t="s">
        <v>513</v>
      </c>
    </row>
    <row r="14382" spans="1:7" x14ac:dyDescent="0.25">
      <c r="A14382" s="1" t="str">
        <f>"524454"</f>
        <v>524454</v>
      </c>
      <c r="B14382" s="2" t="str">
        <f>"LINHA DE SUSTENÇÃO DO FORRO EM ISOPAINEL"</f>
        <v>LINHA DE SUSTENÇÃO DO FORRO EM ISOPAINEL</v>
      </c>
      <c r="C14382" s="2" t="str">
        <f>"PC"</f>
        <v>PC</v>
      </c>
      <c r="D14382" s="7">
        <v>806</v>
      </c>
      <c r="E14382" s="3">
        <v>10</v>
      </c>
      <c r="F14382" s="3">
        <v>10</v>
      </c>
      <c r="G14382" t="s">
        <v>514</v>
      </c>
    </row>
    <row r="14383" spans="1:7" x14ac:dyDescent="0.25">
      <c r="A14383" s="1" t="str">
        <f>"525421"</f>
        <v>525421</v>
      </c>
      <c r="B14383" s="2" t="str">
        <f>"LINHA DE VIDA HORIZONTAL"</f>
        <v>LINHA DE VIDA HORIZONTAL</v>
      </c>
      <c r="C14383" s="2" t="str">
        <f>"UN"</f>
        <v>UN</v>
      </c>
      <c r="D14383" s="7">
        <v>99999</v>
      </c>
      <c r="E14383" s="3">
        <v>99</v>
      </c>
      <c r="F14383" s="3">
        <v>99</v>
      </c>
      <c r="G14383" t="s">
        <v>514</v>
      </c>
    </row>
    <row r="14384" spans="1:7" x14ac:dyDescent="0.25">
      <c r="A14384" s="1" t="str">
        <f>"515526"</f>
        <v>515526</v>
      </c>
      <c r="B14384" s="2" t="str">
        <f>"LINHA PISO CAIXA BAIXA 4X4 FURO 3/4"</f>
        <v>LINHA PISO CAIXA BAIXA 4X4 FURO 3/4</v>
      </c>
      <c r="C14384" s="2" t="str">
        <f>"UN"</f>
        <v>UN</v>
      </c>
      <c r="D14384" s="7">
        <v>811</v>
      </c>
      <c r="E14384" s="3">
        <v>8</v>
      </c>
      <c r="F14384" s="3">
        <v>8</v>
      </c>
      <c r="G14384" t="s">
        <v>514</v>
      </c>
    </row>
    <row r="14385" spans="1:7" x14ac:dyDescent="0.25">
      <c r="A14385" s="1" t="str">
        <f>"527928"</f>
        <v>527928</v>
      </c>
      <c r="B14385" s="2" t="str">
        <f>"LINK - ANCORAGEM MOVEL - NS 20290"</f>
        <v>LINK - ANCORAGEM MOVEL - NS 20290</v>
      </c>
      <c r="C14385" s="2" t="str">
        <f>"UN"</f>
        <v>UN</v>
      </c>
      <c r="D14385" s="7">
        <v>917</v>
      </c>
      <c r="E14385" s="3">
        <v>10</v>
      </c>
      <c r="F14385" s="3">
        <v>10</v>
      </c>
      <c r="G14385" t="s">
        <v>513</v>
      </c>
    </row>
    <row r="14386" spans="1:7" x14ac:dyDescent="0.25">
      <c r="A14386" s="1" t="str">
        <f>"210"</f>
        <v>210</v>
      </c>
      <c r="B14386" s="2" t="str">
        <f>"LIQUID K BB 20L (20KG)  - ECOLAB"</f>
        <v>LIQUID K BB 20L (20KG)  - ECOLAB</v>
      </c>
      <c r="C14386" s="2" t="str">
        <f>"KG"</f>
        <v>KG</v>
      </c>
      <c r="D14386" s="7">
        <v>400</v>
      </c>
      <c r="E14386" s="3">
        <v>4</v>
      </c>
      <c r="F14386" s="3">
        <v>4</v>
      </c>
      <c r="G14386" t="s">
        <v>513</v>
      </c>
    </row>
    <row r="14387" spans="1:7" x14ac:dyDescent="0.25">
      <c r="A14387" s="1" t="str">
        <f>"510365"</f>
        <v>510365</v>
      </c>
      <c r="B14387" s="2" t="str">
        <f>"LIQUIDIFICADOR"</f>
        <v>LIQUIDIFICADOR</v>
      </c>
      <c r="C14387" s="2" t="str">
        <f>"UN"</f>
        <v>UN</v>
      </c>
      <c r="D14387" s="7">
        <v>402</v>
      </c>
      <c r="E14387" s="3">
        <v>4</v>
      </c>
      <c r="F14387" s="3">
        <v>4</v>
      </c>
      <c r="G14387" t="s">
        <v>513</v>
      </c>
    </row>
    <row r="14388" spans="1:7" x14ac:dyDescent="0.25">
      <c r="A14388" s="1" t="str">
        <f>"510835"</f>
        <v>510835</v>
      </c>
      <c r="B14388" s="2" t="str">
        <f>"LIQUIDIFICADOR WALITA R12034"</f>
        <v>LIQUIDIFICADOR WALITA R12034</v>
      </c>
      <c r="C14388" s="2" t="str">
        <f>"UN"</f>
        <v>UN</v>
      </c>
      <c r="D14388" s="7">
        <v>402</v>
      </c>
      <c r="E14388" s="3">
        <v>4</v>
      </c>
      <c r="F14388" s="3">
        <v>4</v>
      </c>
      <c r="G14388" t="s">
        <v>512</v>
      </c>
    </row>
    <row r="14389" spans="1:7" x14ac:dyDescent="0.25">
      <c r="A14389" s="1" t="str">
        <f>"510836"</f>
        <v>510836</v>
      </c>
      <c r="B14389" s="2" t="str">
        <f>"LIQUIDIFICADOR WALITA R12035"</f>
        <v>LIQUIDIFICADOR WALITA R12035</v>
      </c>
      <c r="C14389" s="2" t="str">
        <f>"UN"</f>
        <v>UN</v>
      </c>
      <c r="D14389" s="7">
        <v>402</v>
      </c>
      <c r="E14389" s="3">
        <v>4</v>
      </c>
      <c r="F14389" s="3">
        <v>4</v>
      </c>
      <c r="G14389" t="s">
        <v>513</v>
      </c>
    </row>
    <row r="14390" spans="1:7" x14ac:dyDescent="0.25">
      <c r="A14390" s="1" t="str">
        <f>"508387"</f>
        <v>508387</v>
      </c>
      <c r="B14390" s="2" t="str">
        <f>"LIQUIDO"</f>
        <v>LIQUIDO</v>
      </c>
      <c r="C14390" s="2" t="str">
        <f>"UN"</f>
        <v>UN</v>
      </c>
      <c r="D14390" s="7">
        <v>402</v>
      </c>
      <c r="E14390" s="3">
        <v>4</v>
      </c>
      <c r="F14390" s="3">
        <v>4</v>
      </c>
      <c r="G14390" t="s">
        <v>514</v>
      </c>
    </row>
    <row r="14391" spans="1:7" x14ac:dyDescent="0.25">
      <c r="A14391" s="1" t="str">
        <f>"527374"</f>
        <v>527374</v>
      </c>
      <c r="B14391" s="2" t="str">
        <f>"LIQUIDO ANTIEMBAÇANTE OCULOS MAVARO VERBEM 5 LITROS"</f>
        <v>LIQUIDO ANTIEMBAÇANTE OCULOS MAVARO VERBEM 5 LITROS</v>
      </c>
      <c r="C14391" s="2" t="str">
        <f>"UN"</f>
        <v>UN</v>
      </c>
      <c r="D14391" s="7">
        <v>99999</v>
      </c>
      <c r="E14391" s="3">
        <v>99</v>
      </c>
      <c r="F14391" s="3">
        <v>99</v>
      </c>
      <c r="G14391" t="s">
        <v>515</v>
      </c>
    </row>
    <row r="14392" spans="1:7" x14ac:dyDescent="0.25">
      <c r="A14392" s="1" t="str">
        <f>"508236"</f>
        <v>508236</v>
      </c>
      <c r="B14392" s="2" t="str">
        <f>"LIQUIDO ARREFECEDOR 2154245 4L CATERPILA"</f>
        <v>LIQUIDO ARREFECEDOR 2154245 4L CATERPILA</v>
      </c>
      <c r="C14392" s="2" t="str">
        <f>"LT"</f>
        <v>LT</v>
      </c>
      <c r="D14392" s="7">
        <v>702</v>
      </c>
      <c r="E14392" s="3">
        <v>9</v>
      </c>
      <c r="F14392" s="3">
        <v>9</v>
      </c>
      <c r="G14392" t="s">
        <v>512</v>
      </c>
    </row>
    <row r="14393" spans="1:7" x14ac:dyDescent="0.25">
      <c r="A14393" s="1" t="str">
        <f>"508545"</f>
        <v>508545</v>
      </c>
      <c r="B14393" s="2" t="str">
        <f>"LIQUIDO ARREFECIMENTO - 1L"</f>
        <v>LIQUIDO ARREFECIMENTO - 1L</v>
      </c>
      <c r="C14393" s="2" t="str">
        <f>"LT"</f>
        <v>LT</v>
      </c>
      <c r="D14393" s="7">
        <v>702</v>
      </c>
      <c r="E14393" s="3">
        <v>9</v>
      </c>
      <c r="F14393" s="3">
        <v>9</v>
      </c>
      <c r="G14393" t="s">
        <v>516</v>
      </c>
    </row>
    <row r="14394" spans="1:7" x14ac:dyDescent="0.25">
      <c r="A14394" s="1" t="str">
        <f>"521734"</f>
        <v>521734</v>
      </c>
      <c r="B14394" s="2" t="str">
        <f>"LIQUIDO P/ ZERAGEM S-6060 00509919"</f>
        <v>LIQUIDO P/ ZERAGEM S-6060 00509919</v>
      </c>
      <c r="C14394" s="2" t="str">
        <f t="shared" ref="C14394:C14425" si="564">"UN"</f>
        <v>UN</v>
      </c>
      <c r="D14394" s="7">
        <v>1300</v>
      </c>
      <c r="E14394" s="3">
        <v>13</v>
      </c>
      <c r="F14394" s="3">
        <v>13</v>
      </c>
      <c r="G14394" t="s">
        <v>515</v>
      </c>
    </row>
    <row r="14395" spans="1:7" x14ac:dyDescent="0.25">
      <c r="A14395" s="1" t="str">
        <f>"524244"</f>
        <v>524244</v>
      </c>
      <c r="B14395" s="2" t="str">
        <f>"LIQUIDO PENETRANTE PCG 53 200G VERM."</f>
        <v>LIQUIDO PENETRANTE PCG 53 200G VERM.</v>
      </c>
      <c r="C14395" s="2" t="str">
        <f t="shared" si="564"/>
        <v>UN</v>
      </c>
      <c r="D14395" s="7">
        <v>1300</v>
      </c>
      <c r="E14395" s="3">
        <v>13</v>
      </c>
      <c r="F14395" s="3">
        <v>13</v>
      </c>
      <c r="G14395" t="s">
        <v>514</v>
      </c>
    </row>
    <row r="14396" spans="1:7" x14ac:dyDescent="0.25">
      <c r="A14396" s="1" t="str">
        <f>"511944"</f>
        <v>511944</v>
      </c>
      <c r="B14396" s="2" t="str">
        <f>"LIQUIDO PRATA P/BARRAMENTO"</f>
        <v>LIQUIDO PRATA P/BARRAMENTO</v>
      </c>
      <c r="C14396" s="2" t="str">
        <f t="shared" si="564"/>
        <v>UN</v>
      </c>
      <c r="D14396" s="7">
        <v>600</v>
      </c>
      <c r="E14396" s="3">
        <v>8</v>
      </c>
      <c r="F14396" s="3">
        <v>8</v>
      </c>
      <c r="G14396" t="s">
        <v>512</v>
      </c>
    </row>
    <row r="14397" spans="1:7" x14ac:dyDescent="0.25">
      <c r="A14397" s="1" t="str">
        <f>"524245"</f>
        <v>524245</v>
      </c>
      <c r="B14397" s="2" t="str">
        <f>"LIQUIDO REVELADOR DE TRINCA"</f>
        <v>LIQUIDO REVELADOR DE TRINCA</v>
      </c>
      <c r="C14397" s="2" t="str">
        <f t="shared" si="564"/>
        <v>UN</v>
      </c>
      <c r="D14397" s="7">
        <v>1300</v>
      </c>
      <c r="E14397" s="3">
        <v>13</v>
      </c>
      <c r="F14397" s="3">
        <v>13</v>
      </c>
      <c r="G14397" t="s">
        <v>513</v>
      </c>
    </row>
    <row r="14398" spans="1:7" x14ac:dyDescent="0.25">
      <c r="A14398" s="1" t="str">
        <f>"522388"</f>
        <v>522388</v>
      </c>
      <c r="B14398" s="2" t="str">
        <f>"LIRA PARA MASSA DE REQUEIJÃO HORIZONTAL"</f>
        <v>LIRA PARA MASSA DE REQUEIJÃO HORIZONTAL</v>
      </c>
      <c r="C14398" s="2" t="str">
        <f t="shared" si="564"/>
        <v>UN</v>
      </c>
      <c r="D14398" s="7">
        <v>1300</v>
      </c>
      <c r="E14398" s="3">
        <v>11</v>
      </c>
      <c r="F14398" s="3">
        <v>11</v>
      </c>
      <c r="G14398" t="s">
        <v>514</v>
      </c>
    </row>
    <row r="14399" spans="1:7" x14ac:dyDescent="0.25">
      <c r="A14399" s="1" t="str">
        <f>"522387"</f>
        <v>522387</v>
      </c>
      <c r="B14399" s="2" t="str">
        <f>"LIRA PARA MASSA DE REQUEIJÃO VERTICAL"</f>
        <v>LIRA PARA MASSA DE REQUEIJÃO VERTICAL</v>
      </c>
      <c r="C14399" s="2" t="str">
        <f t="shared" si="564"/>
        <v>UN</v>
      </c>
      <c r="D14399" s="7">
        <v>1300</v>
      </c>
      <c r="E14399" s="3">
        <v>11</v>
      </c>
      <c r="F14399" s="3">
        <v>11</v>
      </c>
      <c r="G14399" t="s">
        <v>514</v>
      </c>
    </row>
    <row r="14400" spans="1:7" x14ac:dyDescent="0.25">
      <c r="A14400" s="1" t="str">
        <f>"526865"</f>
        <v>526865</v>
      </c>
      <c r="B14400" s="2" t="str">
        <f>"LISADOR DIP CX C/ 10 CPS"</f>
        <v>LISADOR DIP CX C/ 10 CPS</v>
      </c>
      <c r="C14400" s="2" t="str">
        <f t="shared" si="564"/>
        <v>UN</v>
      </c>
      <c r="D14400" s="7">
        <v>99999</v>
      </c>
      <c r="E14400" s="3">
        <v>99</v>
      </c>
      <c r="F14400" s="3">
        <v>99</v>
      </c>
      <c r="G14400" t="s">
        <v>512</v>
      </c>
    </row>
    <row r="14401" spans="1:7" x14ac:dyDescent="0.25">
      <c r="A14401" s="1" t="str">
        <f>"525370"</f>
        <v>525370</v>
      </c>
      <c r="B14401" s="2" t="str">
        <f>"LISTA DE INTENS COMERCIAIS INTERLIGAÇÃO"</f>
        <v>LISTA DE INTENS COMERCIAIS INTERLIGAÇÃO</v>
      </c>
      <c r="C14401" s="2" t="str">
        <f t="shared" si="564"/>
        <v>UN</v>
      </c>
      <c r="D14401" s="7">
        <v>99999</v>
      </c>
      <c r="E14401" s="3">
        <v>99</v>
      </c>
      <c r="F14401" s="3">
        <v>99</v>
      </c>
      <c r="G14401" t="s">
        <v>513</v>
      </c>
    </row>
    <row r="14402" spans="1:7" x14ac:dyDescent="0.25">
      <c r="A14402" s="1" t="str">
        <f>"514437"</f>
        <v>514437</v>
      </c>
      <c r="B14402" s="2" t="str">
        <f>"LISTELLI"</f>
        <v>LISTELLI</v>
      </c>
      <c r="C14402" s="2" t="str">
        <f t="shared" si="564"/>
        <v>UN</v>
      </c>
      <c r="D14402" s="7">
        <v>917</v>
      </c>
      <c r="E14402" s="3">
        <v>4</v>
      </c>
      <c r="F14402" s="3">
        <v>4</v>
      </c>
      <c r="G14402" t="s">
        <v>514</v>
      </c>
    </row>
    <row r="14403" spans="1:7" x14ac:dyDescent="0.25">
      <c r="A14403" s="1" t="str">
        <f>"511781"</f>
        <v>511781</v>
      </c>
      <c r="B14403" s="2" t="str">
        <f>"LITARGIRIO"</f>
        <v>LITARGIRIO</v>
      </c>
      <c r="C14403" s="2" t="str">
        <f t="shared" si="564"/>
        <v>UN</v>
      </c>
      <c r="D14403" s="7">
        <v>812</v>
      </c>
      <c r="E14403" s="3">
        <v>10</v>
      </c>
      <c r="F14403" s="3">
        <v>10</v>
      </c>
      <c r="G14403" t="s">
        <v>514</v>
      </c>
    </row>
    <row r="14404" spans="1:7" x14ac:dyDescent="0.25">
      <c r="A14404" s="1" t="str">
        <f>"517822"</f>
        <v>517822</v>
      </c>
      <c r="B14404" s="2" t="str">
        <f>"LITRO SPIRAX A 140"</f>
        <v>LITRO SPIRAX A 140</v>
      </c>
      <c r="C14404" s="2" t="str">
        <f t="shared" si="564"/>
        <v>UN</v>
      </c>
      <c r="D14404" s="7">
        <v>918</v>
      </c>
      <c r="E14404" s="3">
        <v>10</v>
      </c>
      <c r="F14404" s="3">
        <v>10</v>
      </c>
      <c r="G14404" t="s">
        <v>514</v>
      </c>
    </row>
    <row r="14405" spans="1:7" x14ac:dyDescent="0.25">
      <c r="A14405" s="1" t="str">
        <f>"518341"</f>
        <v>518341</v>
      </c>
      <c r="B14405" s="2" t="str">
        <f>"LIVRO - HIGIENE NA INDUSTRIA DE ALIMENTOS"</f>
        <v>LIVRO - HIGIENE NA INDUSTRIA DE ALIMENTOS</v>
      </c>
      <c r="C14405" s="2" t="str">
        <f t="shared" si="564"/>
        <v>UN</v>
      </c>
      <c r="D14405" s="7">
        <v>401</v>
      </c>
      <c r="E14405" s="3">
        <v>4</v>
      </c>
      <c r="F14405" s="3">
        <v>4</v>
      </c>
      <c r="G14405" t="s">
        <v>513</v>
      </c>
    </row>
    <row r="14406" spans="1:7" x14ac:dyDescent="0.25">
      <c r="A14406" s="1" t="str">
        <f>"514527"</f>
        <v>514527</v>
      </c>
      <c r="B14406" s="2" t="str">
        <f>"LIVRO ATA"</f>
        <v>LIVRO ATA</v>
      </c>
      <c r="C14406" s="2" t="str">
        <f t="shared" si="564"/>
        <v>UN</v>
      </c>
      <c r="D14406" s="7">
        <v>401</v>
      </c>
      <c r="E14406" s="3">
        <v>4</v>
      </c>
      <c r="F14406" s="3">
        <v>4</v>
      </c>
      <c r="G14406" t="s">
        <v>512</v>
      </c>
    </row>
    <row r="14407" spans="1:7" x14ac:dyDescent="0.25">
      <c r="A14407" s="1" t="str">
        <f>"515578"</f>
        <v>515578</v>
      </c>
      <c r="B14407" s="2" t="str">
        <f>"LIVRO INFANTIL"</f>
        <v>LIVRO INFANTIL</v>
      </c>
      <c r="C14407" s="2" t="str">
        <f t="shared" si="564"/>
        <v>UN</v>
      </c>
      <c r="D14407" s="7">
        <v>401</v>
      </c>
      <c r="E14407" s="3">
        <v>4</v>
      </c>
      <c r="F14407" s="3">
        <v>4</v>
      </c>
      <c r="G14407" t="s">
        <v>513</v>
      </c>
    </row>
    <row r="14408" spans="1:7" x14ac:dyDescent="0.25">
      <c r="A14408" s="1" t="str">
        <f>"513600"</f>
        <v>513600</v>
      </c>
      <c r="B14408" s="2" t="str">
        <f>"LIVRO INSPEÇÃO DO TRABALHO SÃO DOMINGOS"</f>
        <v>LIVRO INSPEÇÃO DO TRABALHO SÃO DOMINGOS</v>
      </c>
      <c r="C14408" s="2" t="str">
        <f t="shared" si="564"/>
        <v>UN</v>
      </c>
      <c r="D14408" s="7">
        <v>401</v>
      </c>
      <c r="E14408" s="3">
        <v>4</v>
      </c>
      <c r="F14408" s="3">
        <v>4</v>
      </c>
      <c r="G14408" t="s">
        <v>514</v>
      </c>
    </row>
    <row r="14409" spans="1:7" x14ac:dyDescent="0.25">
      <c r="A14409" s="1" t="str">
        <f>"519719"</f>
        <v>519719</v>
      </c>
      <c r="B14409" s="2" t="str">
        <f>"LIVRO PROTOCOLO"</f>
        <v>LIVRO PROTOCOLO</v>
      </c>
      <c r="C14409" s="2" t="str">
        <f t="shared" si="564"/>
        <v>UN</v>
      </c>
      <c r="D14409" s="7">
        <v>401</v>
      </c>
      <c r="E14409" s="3">
        <v>4</v>
      </c>
      <c r="F14409" s="3">
        <v>4</v>
      </c>
      <c r="G14409" t="s">
        <v>514</v>
      </c>
    </row>
    <row r="14410" spans="1:7" x14ac:dyDescent="0.25">
      <c r="A14410" s="1" t="str">
        <f>"519830"</f>
        <v>519830</v>
      </c>
      <c r="B14410" s="2" t="str">
        <f>"LIVROS TECNICOS ATC ON LINE"</f>
        <v>LIVROS TECNICOS ATC ON LINE</v>
      </c>
      <c r="C14410" s="2" t="str">
        <f t="shared" si="564"/>
        <v>UN</v>
      </c>
      <c r="D14410" s="7">
        <v>401</v>
      </c>
      <c r="E14410" s="3">
        <v>4</v>
      </c>
      <c r="F14410" s="3">
        <v>4</v>
      </c>
      <c r="G14410" t="s">
        <v>514</v>
      </c>
    </row>
    <row r="14411" spans="1:7" x14ac:dyDescent="0.25">
      <c r="A14411" s="1" t="str">
        <f>"519829"</f>
        <v>519829</v>
      </c>
      <c r="B14411" s="2" t="str">
        <f>"LIVROS TECNICOS SUBSTITUIÇÃO TRIBUTARIA"</f>
        <v>LIVROS TECNICOS SUBSTITUIÇÃO TRIBUTARIA</v>
      </c>
      <c r="C14411" s="2" t="str">
        <f t="shared" si="564"/>
        <v>UN</v>
      </c>
      <c r="D14411" s="7">
        <v>401</v>
      </c>
      <c r="E14411" s="3">
        <v>4</v>
      </c>
      <c r="F14411" s="3">
        <v>4</v>
      </c>
      <c r="G14411" t="s">
        <v>513</v>
      </c>
    </row>
    <row r="14412" spans="1:7" x14ac:dyDescent="0.25">
      <c r="A14412" s="1" t="str">
        <f>"510475"</f>
        <v>510475</v>
      </c>
      <c r="B14412" s="2" t="str">
        <f>"LIXA"</f>
        <v>LIXA</v>
      </c>
      <c r="C14412" s="2" t="str">
        <f t="shared" si="564"/>
        <v>UN</v>
      </c>
      <c r="D14412" s="7">
        <v>403</v>
      </c>
      <c r="E14412" s="3">
        <v>4</v>
      </c>
      <c r="F14412" s="3">
        <v>4</v>
      </c>
      <c r="G14412" t="s">
        <v>513</v>
      </c>
    </row>
    <row r="14413" spans="1:7" x14ac:dyDescent="0.25">
      <c r="A14413" s="1" t="str">
        <f>"518387"</f>
        <v>518387</v>
      </c>
      <c r="B14413" s="2" t="str">
        <f>"LIXA CINTA 75X533MM 100G"</f>
        <v>LIXA CINTA 75X533MM 100G</v>
      </c>
      <c r="C14413" s="2" t="str">
        <f t="shared" si="564"/>
        <v>UN</v>
      </c>
      <c r="D14413" s="7">
        <v>920</v>
      </c>
      <c r="E14413" s="3">
        <v>4</v>
      </c>
      <c r="F14413" s="3">
        <v>4</v>
      </c>
      <c r="G14413" t="s">
        <v>513</v>
      </c>
    </row>
    <row r="14414" spans="1:7" x14ac:dyDescent="0.25">
      <c r="A14414" s="1" t="str">
        <f>"518386"</f>
        <v>518386</v>
      </c>
      <c r="B14414" s="2" t="str">
        <f>"LIXA CINTA 75X533MM 150G"</f>
        <v>LIXA CINTA 75X533MM 150G</v>
      </c>
      <c r="C14414" s="2" t="str">
        <f t="shared" si="564"/>
        <v>UN</v>
      </c>
      <c r="D14414" s="7">
        <v>920</v>
      </c>
      <c r="E14414" s="3">
        <v>4</v>
      </c>
      <c r="F14414" s="3">
        <v>4</v>
      </c>
      <c r="G14414" t="s">
        <v>512</v>
      </c>
    </row>
    <row r="14415" spans="1:7" x14ac:dyDescent="0.25">
      <c r="A14415" s="1" t="str">
        <f>"519115"</f>
        <v>519115</v>
      </c>
      <c r="B14415" s="2" t="str">
        <f>"LIXA D'AGUA - 100"</f>
        <v>LIXA D'AGUA - 100</v>
      </c>
      <c r="C14415" s="2" t="str">
        <f t="shared" si="564"/>
        <v>UN</v>
      </c>
      <c r="D14415" s="7">
        <v>403</v>
      </c>
      <c r="E14415" s="3">
        <v>4</v>
      </c>
      <c r="F14415" s="3">
        <v>4</v>
      </c>
      <c r="G14415" t="s">
        <v>513</v>
      </c>
    </row>
    <row r="14416" spans="1:7" x14ac:dyDescent="0.25">
      <c r="A14416" s="1" t="str">
        <f>"518976"</f>
        <v>518976</v>
      </c>
      <c r="B14416" s="2" t="str">
        <f>"LIXA D'AGUA - 1200"</f>
        <v>LIXA D'AGUA - 1200</v>
      </c>
      <c r="C14416" s="2" t="str">
        <f t="shared" si="564"/>
        <v>UN</v>
      </c>
      <c r="D14416" s="7">
        <v>403</v>
      </c>
      <c r="E14416" s="3">
        <v>4</v>
      </c>
      <c r="F14416" s="3">
        <v>4</v>
      </c>
      <c r="G14416" t="s">
        <v>514</v>
      </c>
    </row>
    <row r="14417" spans="1:7" x14ac:dyDescent="0.25">
      <c r="A14417" s="1" t="str">
        <f>"523303"</f>
        <v>523303</v>
      </c>
      <c r="B14417" s="2" t="str">
        <f>"LIXA D'AGUA - 150"</f>
        <v>LIXA D'AGUA - 150</v>
      </c>
      <c r="C14417" s="2" t="str">
        <f t="shared" si="564"/>
        <v>UN</v>
      </c>
      <c r="D14417" s="7">
        <v>403</v>
      </c>
      <c r="E14417" s="3">
        <v>4</v>
      </c>
      <c r="F14417" s="3">
        <v>4</v>
      </c>
      <c r="G14417" t="s">
        <v>515</v>
      </c>
    </row>
    <row r="14418" spans="1:7" x14ac:dyDescent="0.25">
      <c r="A14418" s="1" t="str">
        <f>"500702"</f>
        <v>500702</v>
      </c>
      <c r="B14418" s="2" t="str">
        <f>"LIXA D'AGUA - 220"</f>
        <v>LIXA D'AGUA - 220</v>
      </c>
      <c r="C14418" s="2" t="str">
        <f t="shared" si="564"/>
        <v>UN</v>
      </c>
      <c r="D14418" s="7">
        <v>403</v>
      </c>
      <c r="E14418" s="3">
        <v>4</v>
      </c>
      <c r="F14418" s="3">
        <v>4</v>
      </c>
      <c r="G14418" t="s">
        <v>512</v>
      </c>
    </row>
    <row r="14419" spans="1:7" x14ac:dyDescent="0.25">
      <c r="A14419" s="1" t="str">
        <f>"518079"</f>
        <v>518079</v>
      </c>
      <c r="B14419" s="2" t="str">
        <f>"LIXA D'AGUA - 280"</f>
        <v>LIXA D'AGUA - 280</v>
      </c>
      <c r="C14419" s="2" t="str">
        <f t="shared" si="564"/>
        <v>UN</v>
      </c>
      <c r="D14419" s="7">
        <v>812</v>
      </c>
      <c r="E14419" s="3">
        <v>4</v>
      </c>
      <c r="F14419" s="3">
        <v>4</v>
      </c>
      <c r="G14419" t="s">
        <v>516</v>
      </c>
    </row>
    <row r="14420" spans="1:7" x14ac:dyDescent="0.25">
      <c r="A14420" s="1" t="str">
        <f>"519409"</f>
        <v>519409</v>
      </c>
      <c r="B14420" s="2" t="str">
        <f>"LIXA D'AGUA - 320"</f>
        <v>LIXA D'AGUA - 320</v>
      </c>
      <c r="C14420" s="2" t="str">
        <f t="shared" si="564"/>
        <v>UN</v>
      </c>
      <c r="D14420" s="7">
        <v>403</v>
      </c>
      <c r="E14420" s="3">
        <v>4</v>
      </c>
      <c r="F14420" s="3">
        <v>4</v>
      </c>
      <c r="G14420" t="s">
        <v>515</v>
      </c>
    </row>
    <row r="14421" spans="1:7" x14ac:dyDescent="0.25">
      <c r="A14421" s="1" t="str">
        <f>"500253"</f>
        <v>500253</v>
      </c>
      <c r="B14421" s="2" t="str">
        <f>"LIXA D'AGUA - 360"</f>
        <v>LIXA D'AGUA - 360</v>
      </c>
      <c r="C14421" s="2" t="str">
        <f t="shared" si="564"/>
        <v>UN</v>
      </c>
      <c r="D14421" s="7">
        <v>403</v>
      </c>
      <c r="E14421" s="3">
        <v>4</v>
      </c>
      <c r="F14421" s="3">
        <v>4</v>
      </c>
      <c r="G14421" t="s">
        <v>514</v>
      </c>
    </row>
    <row r="14422" spans="1:7" x14ac:dyDescent="0.25">
      <c r="A14422" s="1" t="str">
        <f>"500254"</f>
        <v>500254</v>
      </c>
      <c r="B14422" s="2" t="str">
        <f>"LIXA D'AGUA - 400"</f>
        <v>LIXA D'AGUA - 400</v>
      </c>
      <c r="C14422" s="2" t="str">
        <f t="shared" si="564"/>
        <v>UN</v>
      </c>
      <c r="D14422" s="7">
        <v>403</v>
      </c>
      <c r="E14422" s="3">
        <v>4</v>
      </c>
      <c r="F14422" s="3">
        <v>4</v>
      </c>
      <c r="G14422" t="s">
        <v>512</v>
      </c>
    </row>
    <row r="14423" spans="1:7" x14ac:dyDescent="0.25">
      <c r="A14423" s="1" t="str">
        <f>"524456"</f>
        <v>524456</v>
      </c>
      <c r="B14423" s="2" t="str">
        <f>"LIXA D'AGUA 120"</f>
        <v>LIXA D'AGUA 120</v>
      </c>
      <c r="C14423" s="2" t="str">
        <f t="shared" si="564"/>
        <v>UN</v>
      </c>
      <c r="D14423" s="7">
        <v>403</v>
      </c>
      <c r="E14423" s="3">
        <v>4</v>
      </c>
      <c r="F14423" s="3">
        <v>4</v>
      </c>
      <c r="G14423" t="s">
        <v>513</v>
      </c>
    </row>
    <row r="14424" spans="1:7" x14ac:dyDescent="0.25">
      <c r="A14424" s="1" t="str">
        <f>"507119"</f>
        <v>507119</v>
      </c>
      <c r="B14424" s="2" t="str">
        <f>"LIXA FERRO -  100"</f>
        <v>LIXA FERRO -  100</v>
      </c>
      <c r="C14424" s="2" t="str">
        <f t="shared" si="564"/>
        <v>UN</v>
      </c>
      <c r="D14424" s="7">
        <v>99999</v>
      </c>
      <c r="E14424" s="3">
        <v>10</v>
      </c>
      <c r="F14424" s="3">
        <v>10</v>
      </c>
      <c r="G14424" t="s">
        <v>514</v>
      </c>
    </row>
    <row r="14425" spans="1:7" x14ac:dyDescent="0.25">
      <c r="A14425" s="1" t="str">
        <f>"519823"</f>
        <v>519823</v>
      </c>
      <c r="B14425" s="2" t="str">
        <f>"LIXA FERRO -  150"</f>
        <v>LIXA FERRO -  150</v>
      </c>
      <c r="C14425" s="2" t="str">
        <f t="shared" si="564"/>
        <v>UN</v>
      </c>
      <c r="D14425" s="7">
        <v>99999</v>
      </c>
      <c r="E14425" s="3">
        <v>99</v>
      </c>
      <c r="F14425" s="3">
        <v>99</v>
      </c>
      <c r="G14425" t="s">
        <v>514</v>
      </c>
    </row>
    <row r="14426" spans="1:7" x14ac:dyDescent="0.25">
      <c r="A14426" s="1" t="str">
        <f>"500200"</f>
        <v>500200</v>
      </c>
      <c r="B14426" s="2" t="str">
        <f>"LIXA FERRO -  50"</f>
        <v>LIXA FERRO -  50</v>
      </c>
      <c r="C14426" s="2" t="str">
        <f t="shared" ref="C14426:C14448" si="565">"UN"</f>
        <v>UN</v>
      </c>
      <c r="D14426" s="7">
        <v>403</v>
      </c>
      <c r="E14426" s="3">
        <v>4</v>
      </c>
      <c r="F14426" s="3">
        <v>4</v>
      </c>
      <c r="G14426" t="s">
        <v>512</v>
      </c>
    </row>
    <row r="14427" spans="1:7" x14ac:dyDescent="0.25">
      <c r="A14427" s="1" t="str">
        <f>"500291"</f>
        <v>500291</v>
      </c>
      <c r="B14427" s="2" t="str">
        <f>"LIXA FERRO -  80"</f>
        <v>LIXA FERRO -  80</v>
      </c>
      <c r="C14427" s="2" t="str">
        <f t="shared" si="565"/>
        <v>UN</v>
      </c>
      <c r="D14427" s="7">
        <v>402</v>
      </c>
      <c r="E14427" s="3">
        <v>4</v>
      </c>
      <c r="F14427" s="3">
        <v>4</v>
      </c>
      <c r="G14427" t="s">
        <v>513</v>
      </c>
    </row>
    <row r="14428" spans="1:7" x14ac:dyDescent="0.25">
      <c r="A14428" s="1" t="str">
        <f>"527897"</f>
        <v>527897</v>
      </c>
      <c r="B14428" s="2" t="str">
        <f>"LIXA FERRO - 120"</f>
        <v>LIXA FERRO - 120</v>
      </c>
      <c r="C14428" s="2" t="str">
        <f t="shared" si="565"/>
        <v>UN</v>
      </c>
      <c r="D14428" s="7">
        <v>917</v>
      </c>
      <c r="E14428" s="3">
        <v>10</v>
      </c>
      <c r="F14428" s="3">
        <v>10</v>
      </c>
      <c r="G14428" t="s">
        <v>514</v>
      </c>
    </row>
    <row r="14429" spans="1:7" x14ac:dyDescent="0.25">
      <c r="A14429" s="1" t="str">
        <f>"500286"</f>
        <v>500286</v>
      </c>
      <c r="B14429" s="2" t="str">
        <f>"LIXA MASSA - 100"</f>
        <v>LIXA MASSA - 100</v>
      </c>
      <c r="C14429" s="2" t="str">
        <f t="shared" si="565"/>
        <v>UN</v>
      </c>
      <c r="D14429" s="7">
        <v>919</v>
      </c>
      <c r="E14429" s="3">
        <v>4</v>
      </c>
      <c r="F14429" s="3">
        <v>4</v>
      </c>
      <c r="G14429" t="s">
        <v>514</v>
      </c>
    </row>
    <row r="14430" spans="1:7" x14ac:dyDescent="0.25">
      <c r="A14430" s="1" t="str">
        <f>"500287"</f>
        <v>500287</v>
      </c>
      <c r="B14430" s="2" t="str">
        <f>"LIXA MASSA - 120"</f>
        <v>LIXA MASSA - 120</v>
      </c>
      <c r="C14430" s="2" t="str">
        <f t="shared" si="565"/>
        <v>UN</v>
      </c>
      <c r="D14430" s="7">
        <v>919</v>
      </c>
      <c r="E14430" s="3">
        <v>4</v>
      </c>
      <c r="F14430" s="3">
        <v>4</v>
      </c>
      <c r="G14430" t="s">
        <v>514</v>
      </c>
    </row>
    <row r="14431" spans="1:7" x14ac:dyDescent="0.25">
      <c r="A14431" s="1" t="str">
        <f>"516352"</f>
        <v>516352</v>
      </c>
      <c r="B14431" s="2" t="str">
        <f>"LIXA MASSA - 180"</f>
        <v>LIXA MASSA - 180</v>
      </c>
      <c r="C14431" s="2" t="str">
        <f t="shared" si="565"/>
        <v>UN</v>
      </c>
      <c r="D14431" s="7">
        <v>403</v>
      </c>
      <c r="E14431" s="3">
        <v>4</v>
      </c>
      <c r="F14431" s="3">
        <v>4</v>
      </c>
      <c r="G14431" t="s">
        <v>513</v>
      </c>
    </row>
    <row r="14432" spans="1:7" x14ac:dyDescent="0.25">
      <c r="A14432" s="1" t="str">
        <f>"516353"</f>
        <v>516353</v>
      </c>
      <c r="B14432" s="2" t="str">
        <f>"LIXA MASSA - 220"</f>
        <v>LIXA MASSA - 220</v>
      </c>
      <c r="C14432" s="2" t="str">
        <f t="shared" si="565"/>
        <v>UN</v>
      </c>
      <c r="D14432" s="7">
        <v>403</v>
      </c>
      <c r="E14432" s="3">
        <v>4</v>
      </c>
      <c r="F14432" s="3">
        <v>4</v>
      </c>
      <c r="G14432" t="s">
        <v>512</v>
      </c>
    </row>
    <row r="14433" spans="1:7" x14ac:dyDescent="0.25">
      <c r="A14433" s="1" t="str">
        <f>"500285"</f>
        <v>500285</v>
      </c>
      <c r="B14433" s="2" t="str">
        <f>"LIXA MASSA - 80"</f>
        <v>LIXA MASSA - 80</v>
      </c>
      <c r="C14433" s="2" t="str">
        <f t="shared" si="565"/>
        <v>UN</v>
      </c>
      <c r="D14433" s="7">
        <v>919</v>
      </c>
      <c r="E14433" s="3">
        <v>4</v>
      </c>
      <c r="F14433" s="3">
        <v>4</v>
      </c>
      <c r="G14433" t="s">
        <v>513</v>
      </c>
    </row>
    <row r="14434" spans="1:7" x14ac:dyDescent="0.25">
      <c r="A14434" s="1" t="str">
        <f>"501832"</f>
        <v>501832</v>
      </c>
      <c r="B14434" s="2" t="str">
        <f>"LIXA SCOTCH-BRITE VERMELHA"</f>
        <v>LIXA SCOTCH-BRITE VERMELHA</v>
      </c>
      <c r="C14434" s="2" t="str">
        <f t="shared" si="565"/>
        <v>UN</v>
      </c>
      <c r="D14434" s="7">
        <v>918</v>
      </c>
      <c r="E14434" s="3">
        <v>9</v>
      </c>
      <c r="F14434" s="3">
        <v>9</v>
      </c>
      <c r="G14434" t="s">
        <v>514</v>
      </c>
    </row>
    <row r="14435" spans="1:7" x14ac:dyDescent="0.25">
      <c r="A14435" s="1" t="str">
        <f>"518978"</f>
        <v>518978</v>
      </c>
      <c r="B14435" s="2" t="str">
        <f>"LIXA SECA - 220"</f>
        <v>LIXA SECA - 220</v>
      </c>
      <c r="C14435" s="2" t="str">
        <f t="shared" si="565"/>
        <v>UN</v>
      </c>
      <c r="D14435" s="7">
        <v>812</v>
      </c>
      <c r="E14435" s="3">
        <v>4</v>
      </c>
      <c r="F14435" s="3">
        <v>4</v>
      </c>
      <c r="G14435" t="s">
        <v>514</v>
      </c>
    </row>
    <row r="14436" spans="1:7" x14ac:dyDescent="0.25">
      <c r="A14436" s="1" t="str">
        <f>"518979"</f>
        <v>518979</v>
      </c>
      <c r="B14436" s="2" t="str">
        <f>"LIXA SECA - 320"</f>
        <v>LIXA SECA - 320</v>
      </c>
      <c r="C14436" s="2" t="str">
        <f t="shared" si="565"/>
        <v>UN</v>
      </c>
      <c r="D14436" s="7">
        <v>812</v>
      </c>
      <c r="E14436" s="3">
        <v>4</v>
      </c>
      <c r="F14436" s="3">
        <v>4</v>
      </c>
      <c r="G14436" t="s">
        <v>514</v>
      </c>
    </row>
    <row r="14437" spans="1:7" x14ac:dyDescent="0.25">
      <c r="A14437" s="1" t="str">
        <f>"518980"</f>
        <v>518980</v>
      </c>
      <c r="B14437" s="2" t="str">
        <f>"LIXA SECA - 80"</f>
        <v>LIXA SECA - 80</v>
      </c>
      <c r="C14437" s="2" t="str">
        <f t="shared" si="565"/>
        <v>UN</v>
      </c>
      <c r="D14437" s="7">
        <v>812</v>
      </c>
      <c r="E14437" s="3">
        <v>4</v>
      </c>
      <c r="F14437" s="3">
        <v>4</v>
      </c>
      <c r="G14437" t="s">
        <v>513</v>
      </c>
    </row>
    <row r="14438" spans="1:7" x14ac:dyDescent="0.25">
      <c r="A14438" s="1" t="str">
        <f>"515867"</f>
        <v>515867</v>
      </c>
      <c r="B14438" s="2" t="str">
        <f>"LIXADEIRA 4 1/2"" GA-4530"</f>
        <v>LIXADEIRA 4 1/2" GA-4530</v>
      </c>
      <c r="C14438" s="2" t="str">
        <f t="shared" si="565"/>
        <v>UN</v>
      </c>
      <c r="D14438" s="7">
        <v>99999</v>
      </c>
      <c r="E14438" s="3">
        <v>99</v>
      </c>
      <c r="F14438" s="3">
        <v>99</v>
      </c>
      <c r="G14438" t="s">
        <v>513</v>
      </c>
    </row>
    <row r="14439" spans="1:7" x14ac:dyDescent="0.25">
      <c r="A14439" s="1" t="str">
        <f>"508463"</f>
        <v>508463</v>
      </c>
      <c r="B14439" s="2" t="str">
        <f>"LIXADEIRA 7"" GA7020 - 220V"</f>
        <v>LIXADEIRA 7" GA7020 - 220V</v>
      </c>
      <c r="C14439" s="2" t="str">
        <f t="shared" si="565"/>
        <v>UN</v>
      </c>
      <c r="D14439" s="7">
        <v>1500</v>
      </c>
      <c r="E14439" s="3">
        <v>13</v>
      </c>
      <c r="F14439" s="3">
        <v>13</v>
      </c>
      <c r="G14439" t="s">
        <v>513</v>
      </c>
    </row>
    <row r="14440" spans="1:7" x14ac:dyDescent="0.25">
      <c r="A14440" s="1" t="str">
        <f>"517757"</f>
        <v>517757</v>
      </c>
      <c r="B14440" s="2" t="str">
        <f>"LIXADEIRA BOSH 220V"</f>
        <v>LIXADEIRA BOSH 220V</v>
      </c>
      <c r="C14440" s="2" t="str">
        <f t="shared" si="565"/>
        <v>UN</v>
      </c>
      <c r="D14440" s="7">
        <v>1300</v>
      </c>
      <c r="E14440" s="3">
        <v>13</v>
      </c>
      <c r="F14440" s="3">
        <v>13</v>
      </c>
      <c r="G14440" t="s">
        <v>512</v>
      </c>
    </row>
    <row r="14441" spans="1:7" x14ac:dyDescent="0.25">
      <c r="A14441" s="1" t="str">
        <f>"514427"</f>
        <v>514427</v>
      </c>
      <c r="B14441" s="2" t="str">
        <f>"LIXADEIRA ORBITAL DEWALT 127V D26441BR"</f>
        <v>LIXADEIRA ORBITAL DEWALT 127V D26441BR</v>
      </c>
      <c r="C14441" s="2" t="str">
        <f t="shared" si="565"/>
        <v>UN</v>
      </c>
      <c r="D14441" s="7">
        <v>1500</v>
      </c>
      <c r="E14441" s="3">
        <v>13</v>
      </c>
      <c r="F14441" s="3">
        <v>13</v>
      </c>
      <c r="G14441" t="s">
        <v>513</v>
      </c>
    </row>
    <row r="14442" spans="1:7" x14ac:dyDescent="0.25">
      <c r="A14442" s="1" t="str">
        <f>"521573"</f>
        <v>521573</v>
      </c>
      <c r="B14442" s="2" t="str">
        <f>"LIXADEIRA ORBITAL MAKITA BO 4556 200W 220V"</f>
        <v>LIXADEIRA ORBITAL MAKITA BO 4556 200W 220V</v>
      </c>
      <c r="C14442" s="2" t="str">
        <f t="shared" si="565"/>
        <v>UN</v>
      </c>
      <c r="D14442" s="7">
        <v>99999</v>
      </c>
      <c r="E14442" s="3">
        <v>99</v>
      </c>
      <c r="F14442" s="3">
        <v>99</v>
      </c>
      <c r="G14442" t="s">
        <v>514</v>
      </c>
    </row>
    <row r="14443" spans="1:7" x14ac:dyDescent="0.25">
      <c r="A14443" s="1" t="str">
        <f>"518273"</f>
        <v>518273</v>
      </c>
      <c r="B14443" s="2" t="str">
        <f>"LIXEIRA"</f>
        <v>LIXEIRA</v>
      </c>
      <c r="C14443" s="2" t="str">
        <f t="shared" si="565"/>
        <v>UN</v>
      </c>
      <c r="D14443" s="7">
        <v>401</v>
      </c>
      <c r="E14443" s="3">
        <v>4</v>
      </c>
      <c r="F14443" s="3">
        <v>4</v>
      </c>
      <c r="G14443" t="s">
        <v>515</v>
      </c>
    </row>
    <row r="14444" spans="1:7" x14ac:dyDescent="0.25">
      <c r="A14444" s="1" t="str">
        <f>"518191"</f>
        <v>518191</v>
      </c>
      <c r="B14444" s="2" t="str">
        <f>"LIXEIRA 100L C/ PEDAL - BRALIMPIA"</f>
        <v>LIXEIRA 100L C/ PEDAL - BRALIMPIA</v>
      </c>
      <c r="C14444" s="2" t="str">
        <f t="shared" si="565"/>
        <v>UN</v>
      </c>
      <c r="D14444" s="7">
        <v>400</v>
      </c>
      <c r="E14444" s="3">
        <v>4</v>
      </c>
      <c r="F14444" s="3">
        <v>4</v>
      </c>
      <c r="G14444" t="s">
        <v>512</v>
      </c>
    </row>
    <row r="14445" spans="1:7" x14ac:dyDescent="0.25">
      <c r="A14445" s="1" t="str">
        <f>"522104"</f>
        <v>522104</v>
      </c>
      <c r="B14445" s="2" t="str">
        <f>"LIXEIRA 10L C/ PEDAL FERRO"</f>
        <v>LIXEIRA 10L C/ PEDAL FERRO</v>
      </c>
      <c r="C14445" s="2" t="str">
        <f t="shared" si="565"/>
        <v>UN</v>
      </c>
      <c r="D14445" s="7">
        <v>400</v>
      </c>
      <c r="E14445" s="3">
        <v>4</v>
      </c>
      <c r="F14445" s="3">
        <v>4</v>
      </c>
      <c r="G14445" t="s">
        <v>516</v>
      </c>
    </row>
    <row r="14446" spans="1:7" x14ac:dyDescent="0.25">
      <c r="A14446" s="1" t="str">
        <f>"514163"</f>
        <v>514163</v>
      </c>
      <c r="B14446" s="2" t="str">
        <f>"LIXEIRA 20L C/ PEDAL FERRO"</f>
        <v>LIXEIRA 20L C/ PEDAL FERRO</v>
      </c>
      <c r="C14446" s="2" t="str">
        <f t="shared" si="565"/>
        <v>UN</v>
      </c>
      <c r="D14446" s="7">
        <v>400</v>
      </c>
      <c r="E14446" s="3">
        <v>4</v>
      </c>
      <c r="F14446" s="3">
        <v>4</v>
      </c>
      <c r="G14446" t="s">
        <v>515</v>
      </c>
    </row>
    <row r="14447" spans="1:7" x14ac:dyDescent="0.25">
      <c r="A14447" s="1" t="str">
        <f>"523021"</f>
        <v>523021</v>
      </c>
      <c r="B14447" s="2" t="str">
        <f>"LIXEIRA 20LT C/ PEDAL BRANCA"</f>
        <v>LIXEIRA 20LT C/ PEDAL BRANCA</v>
      </c>
      <c r="C14447" s="2" t="str">
        <f t="shared" si="565"/>
        <v>UN</v>
      </c>
      <c r="D14447" s="7">
        <v>400</v>
      </c>
      <c r="E14447" s="3">
        <v>4</v>
      </c>
      <c r="F14447" s="3">
        <v>4</v>
      </c>
      <c r="G14447" t="s">
        <v>514</v>
      </c>
    </row>
    <row r="14448" spans="1:7" x14ac:dyDescent="0.25">
      <c r="A14448" s="1" t="str">
        <f>"523046"</f>
        <v>523046</v>
      </c>
      <c r="B14448" s="2" t="str">
        <f>"LIXEIRA 25LT C/ PEDAL BRANCA"</f>
        <v>LIXEIRA 25LT C/ PEDAL BRANCA</v>
      </c>
      <c r="C14448" s="2" t="str">
        <f t="shared" si="565"/>
        <v>UN</v>
      </c>
      <c r="D14448" s="7">
        <v>400</v>
      </c>
      <c r="E14448" s="3">
        <v>4</v>
      </c>
      <c r="F14448" s="3">
        <v>4</v>
      </c>
      <c r="G14448" t="s">
        <v>512</v>
      </c>
    </row>
    <row r="14449" spans="1:7" x14ac:dyDescent="0.25">
      <c r="A14449" s="1" t="str">
        <f>"6783"</f>
        <v>6783</v>
      </c>
      <c r="B14449" s="2" t="str">
        <f>"LIXEIRA 30L C/PEDAL E TAMPA DE FERRO"</f>
        <v>LIXEIRA 30L C/PEDAL E TAMPA DE FERRO</v>
      </c>
      <c r="C14449" s="2" t="str">
        <f>"PC"</f>
        <v>PC</v>
      </c>
      <c r="D14449" s="7">
        <v>400</v>
      </c>
      <c r="E14449" s="3">
        <v>4</v>
      </c>
      <c r="F14449" s="3">
        <v>4</v>
      </c>
      <c r="G14449" t="s">
        <v>513</v>
      </c>
    </row>
    <row r="14450" spans="1:7" x14ac:dyDescent="0.25">
      <c r="A14450" s="1" t="str">
        <f>"523022"</f>
        <v>523022</v>
      </c>
      <c r="B14450" s="2" t="str">
        <f>"LIXEIRA 30LT C/ PEDAL BRANCA"</f>
        <v>LIXEIRA 30LT C/ PEDAL BRANCA</v>
      </c>
      <c r="C14450" s="2" t="str">
        <f>"UN"</f>
        <v>UN</v>
      </c>
      <c r="D14450" s="7">
        <v>400</v>
      </c>
      <c r="E14450" s="3">
        <v>4</v>
      </c>
      <c r="F14450" s="3">
        <v>4</v>
      </c>
      <c r="G14450" t="s">
        <v>514</v>
      </c>
    </row>
    <row r="14451" spans="1:7" x14ac:dyDescent="0.25">
      <c r="A14451" s="1" t="str">
        <f>"514150"</f>
        <v>514150</v>
      </c>
      <c r="B14451" s="2" t="str">
        <f>"LIXEIRA 35 LITROS COM TAMPA"</f>
        <v>LIXEIRA 35 LITROS COM TAMPA</v>
      </c>
      <c r="C14451" s="2" t="str">
        <f>"UN"</f>
        <v>UN</v>
      </c>
      <c r="D14451" s="7">
        <v>400</v>
      </c>
      <c r="E14451" s="3">
        <v>4</v>
      </c>
      <c r="F14451" s="3">
        <v>4</v>
      </c>
      <c r="G14451" t="s">
        <v>514</v>
      </c>
    </row>
    <row r="14452" spans="1:7" x14ac:dyDescent="0.25">
      <c r="A14452" s="1" t="str">
        <f>"3052"</f>
        <v>3052</v>
      </c>
      <c r="B14452" s="2" t="str">
        <f>"LIXEIRA 50L C/ PEDAL BRANCA"</f>
        <v>LIXEIRA 50L C/ PEDAL BRANCA</v>
      </c>
      <c r="C14452" s="2" t="str">
        <f>"PC"</f>
        <v>PC</v>
      </c>
      <c r="D14452" s="7">
        <v>400</v>
      </c>
      <c r="E14452" s="3">
        <v>4</v>
      </c>
      <c r="F14452" s="3">
        <v>4</v>
      </c>
      <c r="G14452" t="s">
        <v>512</v>
      </c>
    </row>
    <row r="14453" spans="1:7" x14ac:dyDescent="0.25">
      <c r="A14453" s="1" t="str">
        <f>"6249"</f>
        <v>6249</v>
      </c>
      <c r="B14453" s="2" t="str">
        <f>"LIXEIRA 60L C/ PEDAL - BRALIMPIA"</f>
        <v>LIXEIRA 60L C/ PEDAL - BRALIMPIA</v>
      </c>
      <c r="C14453" s="2" t="str">
        <f>"UN"</f>
        <v>UN</v>
      </c>
      <c r="D14453" s="7">
        <v>400</v>
      </c>
      <c r="E14453" s="3">
        <v>4</v>
      </c>
      <c r="F14453" s="3">
        <v>4</v>
      </c>
      <c r="G14453" t="s">
        <v>513</v>
      </c>
    </row>
    <row r="14454" spans="1:7" x14ac:dyDescent="0.25">
      <c r="A14454" s="1" t="str">
        <f>"3053"</f>
        <v>3053</v>
      </c>
      <c r="B14454" s="2" t="str">
        <f>"LIXEIRA C/ TAMPA VAI-VEM 105L VERDE"</f>
        <v>LIXEIRA C/ TAMPA VAI-VEM 105L VERDE</v>
      </c>
      <c r="C14454" s="2" t="str">
        <f>"UN"</f>
        <v>UN</v>
      </c>
      <c r="D14454" s="7">
        <v>400</v>
      </c>
      <c r="E14454" s="3">
        <v>4</v>
      </c>
      <c r="F14454" s="3">
        <v>4</v>
      </c>
      <c r="G14454" t="s">
        <v>514</v>
      </c>
    </row>
    <row r="14455" spans="1:7" x14ac:dyDescent="0.25">
      <c r="A14455" s="1" t="str">
        <f>"516011"</f>
        <v>516011</v>
      </c>
      <c r="B14455" s="2" t="str">
        <f>"LIXEIRA COLETA SELETIVA CONJUGADA 50 LITROS 4 BALDES"</f>
        <v>LIXEIRA COLETA SELETIVA CONJUGADA 50 LITROS 4 BALDES</v>
      </c>
      <c r="C14455" s="2" t="str">
        <f>"UN"</f>
        <v>UN</v>
      </c>
      <c r="D14455" s="7">
        <v>400</v>
      </c>
      <c r="E14455" s="3">
        <v>3</v>
      </c>
      <c r="F14455" s="3">
        <v>3</v>
      </c>
      <c r="G14455" t="s">
        <v>514</v>
      </c>
    </row>
    <row r="14456" spans="1:7" x14ac:dyDescent="0.25">
      <c r="A14456" s="1" t="str">
        <f>"6608"</f>
        <v>6608</v>
      </c>
      <c r="B14456" s="2" t="str">
        <f>"LIXEIRA COPO USADO 1 TUBO AGUA"</f>
        <v>LIXEIRA COPO USADO 1 TUBO AGUA</v>
      </c>
      <c r="C14456" s="2" t="str">
        <f>"UN"</f>
        <v>UN</v>
      </c>
      <c r="D14456" s="7">
        <v>400</v>
      </c>
      <c r="E14456" s="3">
        <v>4</v>
      </c>
      <c r="F14456" s="3">
        <v>4</v>
      </c>
      <c r="G14456" t="s">
        <v>514</v>
      </c>
    </row>
    <row r="14457" spans="1:7" x14ac:dyDescent="0.25">
      <c r="A14457" s="1" t="str">
        <f>"517720"</f>
        <v>517720</v>
      </c>
      <c r="B14457" s="2" t="str">
        <f>"LIXEIRA PLASTICO MEDIA C/ TRAVA"</f>
        <v>LIXEIRA PLASTICO MEDIA C/ TRAVA</v>
      </c>
      <c r="C14457" s="2" t="str">
        <f>"UN"</f>
        <v>UN</v>
      </c>
      <c r="D14457" s="7">
        <v>400</v>
      </c>
      <c r="E14457" s="3">
        <v>4</v>
      </c>
      <c r="F14457" s="3">
        <v>4</v>
      </c>
      <c r="G14457" t="s">
        <v>513</v>
      </c>
    </row>
    <row r="14458" spans="1:7" x14ac:dyDescent="0.25">
      <c r="A14458" s="1" t="str">
        <f>"6701"</f>
        <v>6701</v>
      </c>
      <c r="B14458" s="2" t="str">
        <f>"LIZOSINA G - 500GR"</f>
        <v>LIZOSINA G - 500GR</v>
      </c>
      <c r="C14458" s="2" t="str">
        <f>"KG"</f>
        <v>KG</v>
      </c>
      <c r="D14458" s="7">
        <v>209</v>
      </c>
      <c r="E14458" s="3">
        <v>2</v>
      </c>
      <c r="F14458" s="3">
        <v>2</v>
      </c>
      <c r="G14458" t="s">
        <v>512</v>
      </c>
    </row>
    <row r="14459" spans="1:7" x14ac:dyDescent="0.25">
      <c r="A14459" s="1" t="str">
        <f>"527642"</f>
        <v>527642</v>
      </c>
      <c r="B14459" s="2" t="str">
        <f>"LK-01 CHAPINHA EM L DO HOMOGENIZADOR"</f>
        <v>LK-01 CHAPINHA EM L DO HOMOGENIZADOR</v>
      </c>
      <c r="C14459" s="2" t="str">
        <f t="shared" ref="C14459:C14487" si="566">"UN"</f>
        <v>UN</v>
      </c>
      <c r="D14459" s="7">
        <v>99999</v>
      </c>
      <c r="E14459" s="3">
        <v>99</v>
      </c>
      <c r="F14459" s="3">
        <v>99</v>
      </c>
      <c r="G14459" t="s">
        <v>513</v>
      </c>
    </row>
    <row r="14460" spans="1:7" x14ac:dyDescent="0.25">
      <c r="A14460" s="1" t="str">
        <f>"527643"</f>
        <v>527643</v>
      </c>
      <c r="B14460" s="2" t="str">
        <f>"LK-47 SUPORTE DA SONDA COM PARAFUSO"</f>
        <v>LK-47 SUPORTE DA SONDA COM PARAFUSO</v>
      </c>
      <c r="C14460" s="2" t="str">
        <f t="shared" si="566"/>
        <v>UN</v>
      </c>
      <c r="D14460" s="7">
        <v>99999</v>
      </c>
      <c r="E14460" s="3">
        <v>99</v>
      </c>
      <c r="F14460" s="3">
        <v>99</v>
      </c>
      <c r="G14460" t="s">
        <v>514</v>
      </c>
    </row>
    <row r="14461" spans="1:7" x14ac:dyDescent="0.25">
      <c r="A14461" s="1" t="str">
        <f>"527644"</f>
        <v>527644</v>
      </c>
      <c r="B14461" s="2" t="str">
        <f>"LK-72 ISOLADOR DA TAMPA DA CANECA"</f>
        <v>LK-72 ISOLADOR DA TAMPA DA CANECA</v>
      </c>
      <c r="C14461" s="2" t="str">
        <f t="shared" si="566"/>
        <v>UN</v>
      </c>
      <c r="D14461" s="7">
        <v>99999</v>
      </c>
      <c r="E14461" s="3">
        <v>99</v>
      </c>
      <c r="F14461" s="3">
        <v>99</v>
      </c>
      <c r="G14461" t="s">
        <v>514</v>
      </c>
    </row>
    <row r="14462" spans="1:7" x14ac:dyDescent="0.25">
      <c r="A14462" s="1" t="str">
        <f>"518434"</f>
        <v>518434</v>
      </c>
      <c r="B14462" s="2" t="str">
        <f>"LNB BANDA KU"</f>
        <v>LNB BANDA KU</v>
      </c>
      <c r="C14462" s="2" t="str">
        <f t="shared" si="566"/>
        <v>UN</v>
      </c>
      <c r="D14462" s="7">
        <v>811</v>
      </c>
      <c r="E14462" s="3">
        <v>8</v>
      </c>
      <c r="F14462" s="3">
        <v>8</v>
      </c>
      <c r="G14462" t="s">
        <v>514</v>
      </c>
    </row>
    <row r="14463" spans="1:7" x14ac:dyDescent="0.25">
      <c r="A14463" s="1" t="str">
        <f>"513820"</f>
        <v>513820</v>
      </c>
      <c r="B14463" s="2" t="str">
        <f>"LOCAÇÃO DE BENS"</f>
        <v>LOCAÇÃO DE BENS</v>
      </c>
      <c r="C14463" s="2" t="str">
        <f t="shared" si="566"/>
        <v>UN</v>
      </c>
      <c r="D14463" s="7">
        <v>99999</v>
      </c>
      <c r="E14463" s="3">
        <v>99</v>
      </c>
      <c r="F14463" s="3">
        <v>99</v>
      </c>
      <c r="G14463" t="s">
        <v>513</v>
      </c>
    </row>
    <row r="14464" spans="1:7" x14ac:dyDescent="0.25">
      <c r="A14464" s="1" t="str">
        <f>"511203"</f>
        <v>511203</v>
      </c>
      <c r="B14464" s="2" t="str">
        <f>"LOCKING PIN COD. 20461"</f>
        <v>LOCKING PIN COD. 20461</v>
      </c>
      <c r="C14464" s="2" t="str">
        <f t="shared" si="566"/>
        <v>UN</v>
      </c>
      <c r="D14464" s="7">
        <v>918</v>
      </c>
      <c r="E14464" s="3">
        <v>11</v>
      </c>
      <c r="F14464" s="3">
        <v>11</v>
      </c>
      <c r="G14464" t="s">
        <v>513</v>
      </c>
    </row>
    <row r="14465" spans="1:7" x14ac:dyDescent="0.25">
      <c r="A14465" s="1" t="str">
        <f>"511222"</f>
        <v>511222</v>
      </c>
      <c r="B14465" s="2" t="str">
        <f>"LOCKING PIN COD. 22001"</f>
        <v>LOCKING PIN COD. 22001</v>
      </c>
      <c r="C14465" s="2" t="str">
        <f t="shared" si="566"/>
        <v>UN</v>
      </c>
      <c r="D14465" s="7">
        <v>918</v>
      </c>
      <c r="E14465" s="3">
        <v>11</v>
      </c>
      <c r="F14465" s="3">
        <v>11</v>
      </c>
      <c r="G14465" t="s">
        <v>513</v>
      </c>
    </row>
    <row r="14466" spans="1:7" x14ac:dyDescent="0.25">
      <c r="A14466" s="1" t="str">
        <f>"511220"</f>
        <v>511220</v>
      </c>
      <c r="B14466" s="2" t="str">
        <f>"LOCKING PIN COD. 220312"</f>
        <v>LOCKING PIN COD. 220312</v>
      </c>
      <c r="C14466" s="2" t="str">
        <f t="shared" si="566"/>
        <v>UN</v>
      </c>
      <c r="D14466" s="7">
        <v>918</v>
      </c>
      <c r="E14466" s="3">
        <v>11</v>
      </c>
      <c r="F14466" s="3">
        <v>11</v>
      </c>
      <c r="G14466" t="s">
        <v>512</v>
      </c>
    </row>
    <row r="14467" spans="1:7" x14ac:dyDescent="0.25">
      <c r="A14467" s="1" t="str">
        <f>"511191"</f>
        <v>511191</v>
      </c>
      <c r="B14467" s="2" t="str">
        <f>"LOCKING RING COD. 20043"</f>
        <v>LOCKING RING COD. 20043</v>
      </c>
      <c r="C14467" s="2" t="str">
        <f t="shared" si="566"/>
        <v>UN</v>
      </c>
      <c r="D14467" s="7">
        <v>918</v>
      </c>
      <c r="E14467" s="3">
        <v>11</v>
      </c>
      <c r="F14467" s="3">
        <v>11</v>
      </c>
      <c r="G14467" t="s">
        <v>513</v>
      </c>
    </row>
    <row r="14468" spans="1:7" x14ac:dyDescent="0.25">
      <c r="A14468" s="1" t="str">
        <f>"511217"</f>
        <v>511217</v>
      </c>
      <c r="B14468" s="2" t="str">
        <f>"LOCKING RING COD. 20642"</f>
        <v>LOCKING RING COD. 20642</v>
      </c>
      <c r="C14468" s="2" t="str">
        <f t="shared" si="566"/>
        <v>UN</v>
      </c>
      <c r="D14468" s="7">
        <v>918</v>
      </c>
      <c r="E14468" s="3">
        <v>11</v>
      </c>
      <c r="F14468" s="3">
        <v>11</v>
      </c>
      <c r="G14468" t="s">
        <v>514</v>
      </c>
    </row>
    <row r="14469" spans="1:7" x14ac:dyDescent="0.25">
      <c r="A14469" s="1" t="str">
        <f>"511224"</f>
        <v>511224</v>
      </c>
      <c r="B14469" s="2" t="str">
        <f>"LOCKING RING COD. 228129"</f>
        <v>LOCKING RING COD. 228129</v>
      </c>
      <c r="C14469" s="2" t="str">
        <f t="shared" si="566"/>
        <v>UN</v>
      </c>
      <c r="D14469" s="7">
        <v>918</v>
      </c>
      <c r="E14469" s="3">
        <v>11</v>
      </c>
      <c r="F14469" s="3">
        <v>11</v>
      </c>
      <c r="G14469" t="s">
        <v>515</v>
      </c>
    </row>
    <row r="14470" spans="1:7" x14ac:dyDescent="0.25">
      <c r="A14470" s="1" t="str">
        <f>"517510"</f>
        <v>517510</v>
      </c>
      <c r="B14470" s="2" t="str">
        <f>"LOGO 12/24VDC RC6ED1052-1MD00-0BA5"</f>
        <v>LOGO 12/24VDC RC6ED1052-1MD00-0BA5</v>
      </c>
      <c r="C14470" s="2" t="str">
        <f t="shared" si="566"/>
        <v>UN</v>
      </c>
      <c r="D14470" s="7">
        <v>811</v>
      </c>
      <c r="E14470" s="3">
        <v>8</v>
      </c>
      <c r="F14470" s="3">
        <v>8</v>
      </c>
      <c r="G14470" t="s">
        <v>512</v>
      </c>
    </row>
    <row r="14471" spans="1:7" x14ac:dyDescent="0.25">
      <c r="A14471" s="1" t="str">
        <f>"517507"</f>
        <v>517507</v>
      </c>
      <c r="B14471" s="2" t="str">
        <f>"LOGO 230RC 66ED1052-1FB00-0BA5"</f>
        <v>LOGO 230RC 66ED1052-1FB00-0BA5</v>
      </c>
      <c r="C14471" s="2" t="str">
        <f t="shared" si="566"/>
        <v>UN</v>
      </c>
      <c r="D14471" s="7">
        <v>811</v>
      </c>
      <c r="E14471" s="3">
        <v>8</v>
      </c>
      <c r="F14471" s="3">
        <v>8</v>
      </c>
      <c r="G14471" t="s">
        <v>516</v>
      </c>
    </row>
    <row r="14472" spans="1:7" x14ac:dyDescent="0.25">
      <c r="A14472" s="1" t="str">
        <f>"517509"</f>
        <v>517509</v>
      </c>
      <c r="B14472" s="2" t="str">
        <f>"LOGO 230RC 66ED1052-1FB00-0BA50"</f>
        <v>LOGO 230RC 66ED1052-1FB00-0BA50</v>
      </c>
      <c r="C14472" s="2" t="str">
        <f t="shared" si="566"/>
        <v>UN</v>
      </c>
      <c r="D14472" s="7">
        <v>811</v>
      </c>
      <c r="E14472" s="3">
        <v>8</v>
      </c>
      <c r="F14472" s="3">
        <v>8</v>
      </c>
      <c r="G14472" t="s">
        <v>515</v>
      </c>
    </row>
    <row r="14473" spans="1:7" x14ac:dyDescent="0.25">
      <c r="A14473" s="1" t="str">
        <f>"520540"</f>
        <v>520540</v>
      </c>
      <c r="B14473" s="2" t="str">
        <f>"LOGO CPU 24VDC"</f>
        <v>LOGO CPU 24VDC</v>
      </c>
      <c r="C14473" s="2" t="str">
        <f t="shared" si="566"/>
        <v>UN</v>
      </c>
      <c r="D14473" s="7">
        <v>811</v>
      </c>
      <c r="E14473" s="3">
        <v>8</v>
      </c>
      <c r="F14473" s="3">
        <v>8</v>
      </c>
      <c r="G14473" t="s">
        <v>514</v>
      </c>
    </row>
    <row r="14474" spans="1:7" x14ac:dyDescent="0.25">
      <c r="A14474" s="1" t="str">
        <f>"527292"</f>
        <v>527292</v>
      </c>
      <c r="B14474" s="2" t="str">
        <f>"LOGO MODULO EXP DM8 12/24R P/LOGO 8 - SIEMENS"</f>
        <v>LOGO MODULO EXP DM8 12/24R P/LOGO 8 - SIEMENS</v>
      </c>
      <c r="C14474" s="2" t="str">
        <f t="shared" si="566"/>
        <v>UN</v>
      </c>
      <c r="D14474" s="7">
        <v>811</v>
      </c>
      <c r="E14474" s="3">
        <v>11</v>
      </c>
      <c r="F14474" s="3">
        <v>11</v>
      </c>
      <c r="G14474" t="s">
        <v>512</v>
      </c>
    </row>
    <row r="14475" spans="1:7" x14ac:dyDescent="0.25">
      <c r="A14475" s="1" t="str">
        <f>"520526"</f>
        <v>520526</v>
      </c>
      <c r="B14475" s="2" t="str">
        <f>"LOGO SIEMENS 6ED1 055-4MH00-0BA0"</f>
        <v>LOGO SIEMENS 6ED1 055-4MH00-0BA0</v>
      </c>
      <c r="C14475" s="2" t="str">
        <f t="shared" si="566"/>
        <v>UN</v>
      </c>
      <c r="D14475" s="7">
        <v>811</v>
      </c>
      <c r="E14475" s="3">
        <v>8</v>
      </c>
      <c r="F14475" s="3">
        <v>8</v>
      </c>
      <c r="G14475" t="s">
        <v>513</v>
      </c>
    </row>
    <row r="14476" spans="1:7" x14ac:dyDescent="0.25">
      <c r="A14476" s="1" t="str">
        <f>"516556"</f>
        <v>516556</v>
      </c>
      <c r="B14476" s="2" t="str">
        <f>"LOGO TD C/ CABO P/ PORTA DE PAINEL 220V"</f>
        <v>LOGO TD C/ CABO P/ PORTA DE PAINEL 220V</v>
      </c>
      <c r="C14476" s="2" t="str">
        <f t="shared" si="566"/>
        <v>UN</v>
      </c>
      <c r="D14476" s="7">
        <v>811</v>
      </c>
      <c r="E14476" s="3">
        <v>8</v>
      </c>
      <c r="F14476" s="3">
        <v>8</v>
      </c>
      <c r="G14476" t="s">
        <v>514</v>
      </c>
    </row>
    <row r="14477" spans="1:7" x14ac:dyDescent="0.25">
      <c r="A14477" s="1" t="str">
        <f>"505283"</f>
        <v>505283</v>
      </c>
      <c r="B14477" s="2" t="str">
        <f>"LOGO TD C/ CABO P/ PORTA DE PAINEL 24V"</f>
        <v>LOGO TD C/ CABO P/ PORTA DE PAINEL 24V</v>
      </c>
      <c r="C14477" s="2" t="str">
        <f t="shared" si="566"/>
        <v>UN</v>
      </c>
      <c r="D14477" s="7">
        <v>811</v>
      </c>
      <c r="E14477" s="3">
        <v>8</v>
      </c>
      <c r="F14477" s="3">
        <v>8</v>
      </c>
      <c r="G14477" t="s">
        <v>514</v>
      </c>
    </row>
    <row r="14478" spans="1:7" x14ac:dyDescent="0.25">
      <c r="A14478" s="1" t="str">
        <f>"505103"</f>
        <v>505103</v>
      </c>
      <c r="B14478" s="2" t="str">
        <f>"LOGOTIPO SERAC ESTEIRAS"</f>
        <v>LOGOTIPO SERAC ESTEIRAS</v>
      </c>
      <c r="C14478" s="2" t="str">
        <f t="shared" si="566"/>
        <v>UN</v>
      </c>
      <c r="D14478" s="7">
        <v>918</v>
      </c>
      <c r="E14478" s="3">
        <v>11</v>
      </c>
      <c r="F14478" s="3">
        <v>11</v>
      </c>
      <c r="G14478" t="s">
        <v>512</v>
      </c>
    </row>
    <row r="14479" spans="1:7" x14ac:dyDescent="0.25">
      <c r="A14479" s="1" t="str">
        <f>"527143"</f>
        <v>527143</v>
      </c>
      <c r="B14479" s="2" t="str">
        <f>"LONA CARRETEIRO 3 X 3 MT"</f>
        <v>LONA CARRETEIRO 3 X 3 MT</v>
      </c>
      <c r="C14479" s="2" t="str">
        <f t="shared" si="566"/>
        <v>UN</v>
      </c>
      <c r="D14479" s="7">
        <v>919</v>
      </c>
      <c r="E14479" s="3">
        <v>10</v>
      </c>
      <c r="F14479" s="3">
        <v>10</v>
      </c>
      <c r="G14479" t="s">
        <v>513</v>
      </c>
    </row>
    <row r="14480" spans="1:7" x14ac:dyDescent="0.25">
      <c r="A14480" s="1" t="str">
        <f>"505282"</f>
        <v>505282</v>
      </c>
      <c r="B14480" s="2" t="str">
        <f>"LONA CARRETEIRO 4 X 3 MT"</f>
        <v>LONA CARRETEIRO 4 X 3 MT</v>
      </c>
      <c r="C14480" s="2" t="str">
        <f t="shared" si="566"/>
        <v>UN</v>
      </c>
      <c r="D14480" s="7">
        <v>919</v>
      </c>
      <c r="E14480" s="3">
        <v>10</v>
      </c>
      <c r="F14480" s="3">
        <v>10</v>
      </c>
      <c r="G14480" t="s">
        <v>514</v>
      </c>
    </row>
    <row r="14481" spans="1:7" x14ac:dyDescent="0.25">
      <c r="A14481" s="1" t="str">
        <f>"519253"</f>
        <v>519253</v>
      </c>
      <c r="B14481" s="2" t="str">
        <f>"LONA CARRETEIRO AMARELA 12 X 8 MT"</f>
        <v>LONA CARRETEIRO AMARELA 12 X 8 MT</v>
      </c>
      <c r="C14481" s="2" t="str">
        <f t="shared" si="566"/>
        <v>UN</v>
      </c>
      <c r="D14481" s="7">
        <v>919</v>
      </c>
      <c r="E14481" s="3">
        <v>10</v>
      </c>
      <c r="F14481" s="3">
        <v>10</v>
      </c>
      <c r="G14481" t="s">
        <v>514</v>
      </c>
    </row>
    <row r="14482" spans="1:7" x14ac:dyDescent="0.25">
      <c r="A14482" s="1" t="str">
        <f>"519735"</f>
        <v>519735</v>
      </c>
      <c r="B14482" s="2" t="str">
        <f>"LONA COM IMRESSÃO DIGITAL"</f>
        <v>LONA COM IMRESSÃO DIGITAL</v>
      </c>
      <c r="C14482" s="2" t="str">
        <f t="shared" si="566"/>
        <v>UN</v>
      </c>
      <c r="D14482" s="7">
        <v>99999</v>
      </c>
      <c r="E14482" s="3">
        <v>99</v>
      </c>
      <c r="F14482" s="3">
        <v>99</v>
      </c>
      <c r="G14482" t="s">
        <v>514</v>
      </c>
    </row>
    <row r="14483" spans="1:7" x14ac:dyDescent="0.25">
      <c r="A14483" s="1" t="str">
        <f>"504562"</f>
        <v>504562</v>
      </c>
      <c r="B14483" s="2" t="str">
        <f>"LONA DE FREIO 136(DIANTEIRA VW.12140)"</f>
        <v>LONA DE FREIO 136(DIANTEIRA VW.12140)</v>
      </c>
      <c r="C14483" s="2" t="str">
        <f t="shared" si="566"/>
        <v>UN</v>
      </c>
      <c r="D14483" s="7">
        <v>704</v>
      </c>
      <c r="E14483" s="3">
        <v>9</v>
      </c>
      <c r="F14483" s="3">
        <v>9</v>
      </c>
      <c r="G14483" t="s">
        <v>513</v>
      </c>
    </row>
    <row r="14484" spans="1:7" x14ac:dyDescent="0.25">
      <c r="A14484" s="1" t="str">
        <f>"504561"</f>
        <v>504561</v>
      </c>
      <c r="B14484" s="2" t="str">
        <f>"LONA DE FREIO 223(DIANT.CARGO E VW)"</f>
        <v>LONA DE FREIO 223(DIANT.CARGO E VW)</v>
      </c>
      <c r="C14484" s="2" t="str">
        <f t="shared" si="566"/>
        <v>UN</v>
      </c>
      <c r="D14484" s="7">
        <v>704</v>
      </c>
      <c r="E14484" s="3">
        <v>9</v>
      </c>
      <c r="F14484" s="3">
        <v>9</v>
      </c>
      <c r="G14484" t="s">
        <v>512</v>
      </c>
    </row>
    <row r="14485" spans="1:7" x14ac:dyDescent="0.25">
      <c r="A14485" s="1" t="str">
        <f>"504800"</f>
        <v>504800</v>
      </c>
      <c r="B14485" s="2" t="str">
        <f>"LONA DE FREIO 664 XL(CAVALO VOLVO/IVECO)"</f>
        <v>LONA DE FREIO 664 XL(CAVALO VOLVO/IVECO)</v>
      </c>
      <c r="C14485" s="2" t="str">
        <f t="shared" si="566"/>
        <v>UN</v>
      </c>
      <c r="D14485" s="7">
        <v>704</v>
      </c>
      <c r="E14485" s="3">
        <v>9</v>
      </c>
      <c r="F14485" s="3">
        <v>9</v>
      </c>
      <c r="G14485" t="s">
        <v>513</v>
      </c>
    </row>
    <row r="14486" spans="1:7" x14ac:dyDescent="0.25">
      <c r="A14486" s="1" t="str">
        <f>"504485"</f>
        <v>504485</v>
      </c>
      <c r="B14486" s="2" t="str">
        <f>"LONA DE FREIO ADT-1984 (DESNATADEIRA)"</f>
        <v>LONA DE FREIO ADT-1984 (DESNATADEIRA)</v>
      </c>
      <c r="C14486" s="2" t="str">
        <f t="shared" si="566"/>
        <v>UN</v>
      </c>
      <c r="D14486" s="7">
        <v>918</v>
      </c>
      <c r="E14486" s="3">
        <v>11</v>
      </c>
      <c r="F14486" s="3">
        <v>11</v>
      </c>
      <c r="G14486" t="s">
        <v>514</v>
      </c>
    </row>
    <row r="14487" spans="1:7" x14ac:dyDescent="0.25">
      <c r="A14487" s="1" t="str">
        <f>"504564"</f>
        <v>504564</v>
      </c>
      <c r="B14487" s="2" t="str">
        <f>"LONA DE FREIO CA-32(CARRETA VOLVO)"</f>
        <v>LONA DE FREIO CA-32(CARRETA VOLVO)</v>
      </c>
      <c r="C14487" s="2" t="str">
        <f t="shared" si="566"/>
        <v>UN</v>
      </c>
      <c r="D14487" s="7">
        <v>704</v>
      </c>
      <c r="E14487" s="3">
        <v>9</v>
      </c>
      <c r="F14487" s="3">
        <v>9</v>
      </c>
      <c r="G14487" t="s">
        <v>514</v>
      </c>
    </row>
    <row r="14488" spans="1:7" x14ac:dyDescent="0.25">
      <c r="A14488" s="1" t="str">
        <f>"509370"</f>
        <v>509370</v>
      </c>
      <c r="B14488" s="2" t="str">
        <f>"LONA DE FREIO IVECO 68138190"</f>
        <v>LONA DE FREIO IVECO 68138190</v>
      </c>
      <c r="C14488" s="2" t="str">
        <f>"JG"</f>
        <v>JG</v>
      </c>
      <c r="D14488" s="7">
        <v>918</v>
      </c>
      <c r="E14488" s="3">
        <v>11</v>
      </c>
      <c r="F14488" s="3">
        <v>11</v>
      </c>
      <c r="G14488" t="s">
        <v>514</v>
      </c>
    </row>
    <row r="14489" spans="1:7" x14ac:dyDescent="0.25">
      <c r="A14489" s="1" t="str">
        <f>"504565"</f>
        <v>504565</v>
      </c>
      <c r="B14489" s="2" t="str">
        <f>"LONA DE FREIO L.157 (TRUCK/1722)"</f>
        <v>LONA DE FREIO L.157 (TRUCK/1722)</v>
      </c>
      <c r="C14489" s="2" t="str">
        <f>"UN"</f>
        <v>UN</v>
      </c>
      <c r="D14489" s="7">
        <v>704</v>
      </c>
      <c r="E14489" s="3">
        <v>9</v>
      </c>
      <c r="F14489" s="3">
        <v>9</v>
      </c>
      <c r="G14489" t="s">
        <v>513</v>
      </c>
    </row>
    <row r="14490" spans="1:7" x14ac:dyDescent="0.25">
      <c r="A14490" s="1" t="str">
        <f>"505129"</f>
        <v>505129</v>
      </c>
      <c r="B14490" s="2" t="str">
        <f>"LONA DE FREIO L.157-A-NA FF (IVECO)"</f>
        <v>LONA DE FREIO L.157-A-NA FF (IVECO)</v>
      </c>
      <c r="C14490" s="2" t="str">
        <f>"UN"</f>
        <v>UN</v>
      </c>
      <c r="D14490" s="7">
        <v>704</v>
      </c>
      <c r="E14490" s="3">
        <v>9</v>
      </c>
      <c r="F14490" s="3">
        <v>9</v>
      </c>
      <c r="G14490" t="s">
        <v>513</v>
      </c>
    </row>
    <row r="14491" spans="1:7" x14ac:dyDescent="0.25">
      <c r="A14491" s="1" t="str">
        <f>"504711"</f>
        <v>504711</v>
      </c>
      <c r="B14491" s="2" t="str">
        <f>"LONA DE FREIO L.175"</f>
        <v>LONA DE FREIO L.175</v>
      </c>
      <c r="C14491" s="2" t="str">
        <f>"UN"</f>
        <v>UN</v>
      </c>
      <c r="D14491" s="7">
        <v>704</v>
      </c>
      <c r="E14491" s="3">
        <v>9</v>
      </c>
      <c r="F14491" s="3">
        <v>9</v>
      </c>
      <c r="G14491" t="s">
        <v>513</v>
      </c>
    </row>
    <row r="14492" spans="1:7" x14ac:dyDescent="0.25">
      <c r="A14492" s="1" t="str">
        <f>"504563"</f>
        <v>504563</v>
      </c>
      <c r="B14492" s="2" t="str">
        <f>"LONA DE FREIO L.219"</f>
        <v>LONA DE FREIO L.219</v>
      </c>
      <c r="C14492" s="2" t="str">
        <f>"UN"</f>
        <v>UN</v>
      </c>
      <c r="D14492" s="7">
        <v>704</v>
      </c>
      <c r="E14492" s="3">
        <v>9</v>
      </c>
      <c r="F14492" s="3">
        <v>9</v>
      </c>
      <c r="G14492" t="s">
        <v>512</v>
      </c>
    </row>
    <row r="14493" spans="1:7" x14ac:dyDescent="0.25">
      <c r="A14493" s="1" t="str">
        <f>"504649"</f>
        <v>504649</v>
      </c>
      <c r="B14493" s="2" t="str">
        <f>"LONA DE FREIO L.222"</f>
        <v>LONA DE FREIO L.222</v>
      </c>
      <c r="C14493" s="2" t="str">
        <f>"UN"</f>
        <v>UN</v>
      </c>
      <c r="D14493" s="7">
        <v>704</v>
      </c>
      <c r="E14493" s="3">
        <v>9</v>
      </c>
      <c r="F14493" s="3">
        <v>9</v>
      </c>
      <c r="G14493" t="s">
        <v>513</v>
      </c>
    </row>
    <row r="14494" spans="1:7" x14ac:dyDescent="0.25">
      <c r="A14494" s="1" t="str">
        <f>"500057"</f>
        <v>500057</v>
      </c>
      <c r="B14494" s="2" t="str">
        <f>"LONA DE FREIO L157 (TROCK/1722)"</f>
        <v>LONA DE FREIO L157 (TROCK/1722)</v>
      </c>
      <c r="C14494" s="2" t="str">
        <f>"PC"</f>
        <v>PC</v>
      </c>
      <c r="D14494" s="7">
        <v>704</v>
      </c>
      <c r="E14494" s="3">
        <v>9</v>
      </c>
      <c r="F14494" s="3">
        <v>9</v>
      </c>
      <c r="G14494" t="s">
        <v>514</v>
      </c>
    </row>
    <row r="14495" spans="1:7" x14ac:dyDescent="0.25">
      <c r="A14495" s="1" t="str">
        <f>"504560"</f>
        <v>504560</v>
      </c>
      <c r="B14495" s="2" t="str">
        <f>"LONA DE FREIO L224(TRACAO FORD CARGO)"</f>
        <v>LONA DE FREIO L224(TRACAO FORD CARGO)</v>
      </c>
      <c r="C14495" s="2" t="str">
        <f>"UN"</f>
        <v>UN</v>
      </c>
      <c r="D14495" s="7">
        <v>704</v>
      </c>
      <c r="E14495" s="3">
        <v>9</v>
      </c>
      <c r="F14495" s="3">
        <v>9</v>
      </c>
      <c r="G14495" t="s">
        <v>515</v>
      </c>
    </row>
    <row r="14496" spans="1:7" x14ac:dyDescent="0.25">
      <c r="A14496" s="1" t="str">
        <f>"500058"</f>
        <v>500058</v>
      </c>
      <c r="B14496" s="2" t="str">
        <f>"LONA DE FREIO L638 (CARRETA VOLVO/IVECO)"</f>
        <v>LONA DE FREIO L638 (CARRETA VOLVO/IVECO)</v>
      </c>
      <c r="C14496" s="2" t="str">
        <f>"PC"</f>
        <v>PC</v>
      </c>
      <c r="D14496" s="7">
        <v>704</v>
      </c>
      <c r="E14496" s="3">
        <v>9</v>
      </c>
      <c r="F14496" s="3">
        <v>9</v>
      </c>
      <c r="G14496" t="s">
        <v>512</v>
      </c>
    </row>
    <row r="14497" spans="1:7" x14ac:dyDescent="0.25">
      <c r="A14497" s="1" t="str">
        <f>"504582"</f>
        <v>504582</v>
      </c>
      <c r="B14497" s="2" t="str">
        <f>"LONA DE FREIO L638 (CARRETA VOLVO/IVECO)"</f>
        <v>LONA DE FREIO L638 (CARRETA VOLVO/IVECO)</v>
      </c>
      <c r="C14497" s="2" t="str">
        <f t="shared" ref="C14497:C14511" si="567">"UN"</f>
        <v>UN</v>
      </c>
      <c r="D14497" s="7">
        <v>704</v>
      </c>
      <c r="E14497" s="3">
        <v>9</v>
      </c>
      <c r="F14497" s="3">
        <v>9</v>
      </c>
      <c r="G14497" t="s">
        <v>516</v>
      </c>
    </row>
    <row r="14498" spans="1:7" x14ac:dyDescent="0.25">
      <c r="A14498" s="1" t="str">
        <f>"504695"</f>
        <v>504695</v>
      </c>
      <c r="B14498" s="2" t="str">
        <f>"LONA DE FREIO TH-166"</f>
        <v>LONA DE FREIO TH-166</v>
      </c>
      <c r="C14498" s="2" t="str">
        <f t="shared" si="567"/>
        <v>UN</v>
      </c>
      <c r="D14498" s="7">
        <v>704</v>
      </c>
      <c r="E14498" s="3">
        <v>9</v>
      </c>
      <c r="F14498" s="3">
        <v>9</v>
      </c>
      <c r="G14498" t="s">
        <v>515</v>
      </c>
    </row>
    <row r="14499" spans="1:7" x14ac:dyDescent="0.25">
      <c r="A14499" s="1" t="str">
        <f>"502904"</f>
        <v>502904</v>
      </c>
      <c r="B14499" s="2" t="str">
        <f>"LONA DE FREIO-ADT-1984"</f>
        <v>LONA DE FREIO-ADT-1984</v>
      </c>
      <c r="C14499" s="2" t="str">
        <f t="shared" si="567"/>
        <v>UN</v>
      </c>
      <c r="D14499" s="7">
        <v>703</v>
      </c>
      <c r="E14499" s="3">
        <v>9</v>
      </c>
      <c r="F14499" s="3">
        <v>9</v>
      </c>
      <c r="G14499" t="s">
        <v>514</v>
      </c>
    </row>
    <row r="14500" spans="1:7" x14ac:dyDescent="0.25">
      <c r="A14500" s="1" t="str">
        <f>"513824"</f>
        <v>513824</v>
      </c>
      <c r="B14500" s="2" t="str">
        <f>"LONA DE FRICÇAO"</f>
        <v>LONA DE FRICÇAO</v>
      </c>
      <c r="C14500" s="2" t="str">
        <f t="shared" si="567"/>
        <v>UN</v>
      </c>
      <c r="D14500" s="7">
        <v>99999</v>
      </c>
      <c r="E14500" s="3">
        <v>11</v>
      </c>
      <c r="F14500" s="3">
        <v>11</v>
      </c>
      <c r="G14500" t="s">
        <v>512</v>
      </c>
    </row>
    <row r="14501" spans="1:7" x14ac:dyDescent="0.25">
      <c r="A14501" s="1" t="str">
        <f>"500490"</f>
        <v>500490</v>
      </c>
      <c r="B14501" s="2" t="str">
        <f>"LONA DO FREIO DT MB 184"</f>
        <v>LONA DO FREIO DT MB 184</v>
      </c>
      <c r="C14501" s="2" t="str">
        <f t="shared" si="567"/>
        <v>UN</v>
      </c>
      <c r="D14501" s="7">
        <v>704</v>
      </c>
      <c r="E14501" s="3">
        <v>9</v>
      </c>
      <c r="F14501" s="3">
        <v>9</v>
      </c>
      <c r="G14501" t="s">
        <v>513</v>
      </c>
    </row>
    <row r="14502" spans="1:7" x14ac:dyDescent="0.25">
      <c r="A14502" s="1" t="str">
        <f>"501527"</f>
        <v>501527</v>
      </c>
      <c r="B14502" s="2" t="str">
        <f>"LONA DO FREIO TRAZ FORD VWC"</f>
        <v>LONA DO FREIO TRAZ FORD VWC</v>
      </c>
      <c r="C14502" s="2" t="str">
        <f t="shared" si="567"/>
        <v>UN</v>
      </c>
      <c r="D14502" s="7">
        <v>704</v>
      </c>
      <c r="E14502" s="3">
        <v>9</v>
      </c>
      <c r="F14502" s="3">
        <v>9</v>
      </c>
      <c r="G14502" t="s">
        <v>514</v>
      </c>
    </row>
    <row r="14503" spans="1:7" x14ac:dyDescent="0.25">
      <c r="A14503" s="1" t="str">
        <f>"515372"</f>
        <v>515372</v>
      </c>
      <c r="B14503" s="2" t="str">
        <f>"LONA FREIO"</f>
        <v>LONA FREIO</v>
      </c>
      <c r="C14503" s="2" t="str">
        <f t="shared" si="567"/>
        <v>UN</v>
      </c>
      <c r="D14503" s="7">
        <v>704</v>
      </c>
      <c r="E14503" s="3">
        <v>9</v>
      </c>
      <c r="F14503" s="3">
        <v>9</v>
      </c>
      <c r="G14503" t="s">
        <v>514</v>
      </c>
    </row>
    <row r="14504" spans="1:7" x14ac:dyDescent="0.25">
      <c r="A14504" s="1" t="str">
        <f>"527176"</f>
        <v>527176</v>
      </c>
      <c r="B14504" s="2" t="str">
        <f>"LONA PLASTICA  - LADO BRANCO/PRETO"</f>
        <v>LONA PLASTICA  - LADO BRANCO/PRETO</v>
      </c>
      <c r="C14504" s="2" t="str">
        <f t="shared" si="567"/>
        <v>UN</v>
      </c>
      <c r="D14504" s="7">
        <v>919</v>
      </c>
      <c r="E14504" s="3">
        <v>10</v>
      </c>
      <c r="F14504" s="3">
        <v>10</v>
      </c>
      <c r="G14504" t="s">
        <v>512</v>
      </c>
    </row>
    <row r="14505" spans="1:7" x14ac:dyDescent="0.25">
      <c r="A14505" s="1" t="str">
        <f>"514335"</f>
        <v>514335</v>
      </c>
      <c r="B14505" s="2" t="str">
        <f>"LONA PLASTICA 150 MICRAS"</f>
        <v>LONA PLASTICA 150 MICRAS</v>
      </c>
      <c r="C14505" s="2" t="str">
        <f t="shared" si="567"/>
        <v>UN</v>
      </c>
      <c r="D14505" s="7">
        <v>803</v>
      </c>
      <c r="E14505" s="3">
        <v>10</v>
      </c>
      <c r="F14505" s="3">
        <v>10</v>
      </c>
      <c r="G14505" t="s">
        <v>513</v>
      </c>
    </row>
    <row r="14506" spans="1:7" x14ac:dyDescent="0.25">
      <c r="A14506" s="1" t="str">
        <f>"513826"</f>
        <v>513826</v>
      </c>
      <c r="B14506" s="2" t="str">
        <f>"LONA PLASTICA 200 MICRAS"</f>
        <v>LONA PLASTICA 200 MICRAS</v>
      </c>
      <c r="C14506" s="2" t="str">
        <f t="shared" si="567"/>
        <v>UN</v>
      </c>
      <c r="D14506" s="7">
        <v>99999</v>
      </c>
      <c r="E14506" s="3">
        <v>10</v>
      </c>
      <c r="F14506" s="3">
        <v>10</v>
      </c>
      <c r="G14506" t="s">
        <v>514</v>
      </c>
    </row>
    <row r="14507" spans="1:7" x14ac:dyDescent="0.25">
      <c r="A14507" s="1" t="str">
        <f>"505268"</f>
        <v>505268</v>
      </c>
      <c r="B14507" s="2" t="str">
        <f>"LONA TRANCADA 1/4 X 2.1/2"</f>
        <v>LONA TRANCADA 1/4 X 2.1/2</v>
      </c>
      <c r="C14507" s="2" t="str">
        <f t="shared" si="567"/>
        <v>UN</v>
      </c>
      <c r="D14507" s="7">
        <v>918</v>
      </c>
      <c r="E14507" s="3">
        <v>11</v>
      </c>
      <c r="F14507" s="3">
        <v>11</v>
      </c>
      <c r="G14507" t="s">
        <v>514</v>
      </c>
    </row>
    <row r="14508" spans="1:7" x14ac:dyDescent="0.25">
      <c r="A14508" s="1" t="str">
        <f>"512542"</f>
        <v>512542</v>
      </c>
      <c r="B14508" s="2" t="str">
        <f>"LONA TRANCADA 5/16 X 2 1/2"""</f>
        <v>LONA TRANCADA 5/16 X 2 1/2"</v>
      </c>
      <c r="C14508" s="2" t="str">
        <f t="shared" si="567"/>
        <v>UN</v>
      </c>
      <c r="D14508" s="7">
        <v>918</v>
      </c>
      <c r="E14508" s="3">
        <v>11</v>
      </c>
      <c r="F14508" s="3">
        <v>11</v>
      </c>
      <c r="G14508" t="s">
        <v>514</v>
      </c>
    </row>
    <row r="14509" spans="1:7" x14ac:dyDescent="0.25">
      <c r="A14509" s="1" t="str">
        <f>"515371"</f>
        <v>515371</v>
      </c>
      <c r="B14509" s="2" t="str">
        <f>"LONGARINA 3 LUGARES"</f>
        <v>LONGARINA 3 LUGARES</v>
      </c>
      <c r="C14509" s="2" t="str">
        <f t="shared" si="567"/>
        <v>UN</v>
      </c>
      <c r="D14509" s="7">
        <v>401</v>
      </c>
      <c r="E14509" s="3">
        <v>4</v>
      </c>
      <c r="F14509" s="3">
        <v>4</v>
      </c>
      <c r="G14509" t="s">
        <v>513</v>
      </c>
    </row>
    <row r="14510" spans="1:7" x14ac:dyDescent="0.25">
      <c r="A14510" s="1" t="str">
        <f>"527927"</f>
        <v>527927</v>
      </c>
      <c r="B14510" s="2" t="str">
        <f>"LOOP CRIMPAVEL - ABSORVEDOR PARA LINHA DE VIDA"</f>
        <v>LOOP CRIMPAVEL - ABSORVEDOR PARA LINHA DE VIDA</v>
      </c>
      <c r="C14510" s="2" t="str">
        <f t="shared" si="567"/>
        <v>UN</v>
      </c>
      <c r="D14510" s="7">
        <v>917</v>
      </c>
      <c r="E14510" s="3">
        <v>10</v>
      </c>
      <c r="F14510" s="3">
        <v>10</v>
      </c>
      <c r="G14510" t="s">
        <v>512</v>
      </c>
    </row>
    <row r="14511" spans="1:7" x14ac:dyDescent="0.25">
      <c r="A14511" s="1" t="str">
        <f>"522102"</f>
        <v>522102</v>
      </c>
      <c r="B14511" s="2" t="str">
        <f>"LORATAMED 10MG C/ 12 COMP"</f>
        <v>LORATAMED 10MG C/ 12 COMP</v>
      </c>
      <c r="C14511" s="2" t="str">
        <f t="shared" si="567"/>
        <v>UN</v>
      </c>
      <c r="D14511" s="7">
        <v>401</v>
      </c>
      <c r="E14511" s="3">
        <v>4</v>
      </c>
      <c r="F14511" s="3">
        <v>4</v>
      </c>
      <c r="G14511" t="s">
        <v>513</v>
      </c>
    </row>
    <row r="14512" spans="1:7" x14ac:dyDescent="0.25">
      <c r="A14512" s="1" t="str">
        <f>"508033"</f>
        <v>508033</v>
      </c>
      <c r="B14512" s="2" t="str">
        <f>"LOTES EM BORRACHAS ESTRIADAS 01 A 99"</f>
        <v>LOTES EM BORRACHAS ESTRIADAS 01 A 99</v>
      </c>
      <c r="C14512" s="2" t="str">
        <f>"PC"</f>
        <v>PC</v>
      </c>
      <c r="D14512" s="7">
        <v>907</v>
      </c>
      <c r="E14512" s="3">
        <v>11</v>
      </c>
      <c r="F14512" s="3">
        <v>11</v>
      </c>
      <c r="G14512" t="s">
        <v>514</v>
      </c>
    </row>
    <row r="14513" spans="1:7" x14ac:dyDescent="0.25">
      <c r="A14513" s="1" t="str">
        <f>"514394"</f>
        <v>514394</v>
      </c>
      <c r="B14513" s="2" t="str">
        <f>"LOUSA MAGICA"</f>
        <v>LOUSA MAGICA</v>
      </c>
      <c r="C14513" s="2" t="str">
        <f t="shared" ref="C14513:C14522" si="568">"UN"</f>
        <v>UN</v>
      </c>
      <c r="D14513" s="7">
        <v>401</v>
      </c>
      <c r="E14513" s="3">
        <v>4</v>
      </c>
      <c r="F14513" s="3">
        <v>4</v>
      </c>
      <c r="G14513" t="s">
        <v>514</v>
      </c>
    </row>
    <row r="14514" spans="1:7" x14ac:dyDescent="0.25">
      <c r="A14514" s="1" t="str">
        <f>"1504"</f>
        <v>1504</v>
      </c>
      <c r="B14514" s="2" t="str">
        <f>"LT.FERMENT.C/P.AMEIXA VIVER+FIBR.160G"</f>
        <v>LT.FERMENT.C/P.AMEIXA VIVER+FIBR.160G</v>
      </c>
      <c r="C14514" s="2" t="str">
        <f t="shared" si="568"/>
        <v>UN</v>
      </c>
      <c r="D14514" s="7">
        <v>9</v>
      </c>
      <c r="E14514" s="3">
        <v>6</v>
      </c>
      <c r="F14514" s="3">
        <v>6</v>
      </c>
      <c r="G14514" t="s">
        <v>514</v>
      </c>
    </row>
    <row r="14515" spans="1:7" x14ac:dyDescent="0.25">
      <c r="A14515" s="1" t="str">
        <f>"1502"</f>
        <v>1502</v>
      </c>
      <c r="B14515" s="2" t="str">
        <f>"LT.FERMENT.C/P.AMEIXA VIVER+FIBR.BJ.400G"</f>
        <v>LT.FERMENT.C/P.AMEIXA VIVER+FIBR.BJ.400G</v>
      </c>
      <c r="C14515" s="2" t="str">
        <f t="shared" si="568"/>
        <v>UN</v>
      </c>
      <c r="D14515" s="7">
        <v>20</v>
      </c>
      <c r="E14515" s="3">
        <v>6</v>
      </c>
      <c r="F14515" s="3">
        <v>6</v>
      </c>
      <c r="G14515" t="s">
        <v>513</v>
      </c>
    </row>
    <row r="14516" spans="1:7" x14ac:dyDescent="0.25">
      <c r="A14516" s="1" t="str">
        <f>"1503"</f>
        <v>1503</v>
      </c>
      <c r="B14516" s="2" t="str">
        <f>"LT.FERMENT.C/P.MORAN. VIVER+FIBR.BJ.400G"</f>
        <v>LT.FERMENT.C/P.MORAN. VIVER+FIBR.BJ.400G</v>
      </c>
      <c r="C14516" s="2" t="str">
        <f t="shared" si="568"/>
        <v>UN</v>
      </c>
      <c r="D14516" s="7">
        <v>20</v>
      </c>
      <c r="E14516" s="3">
        <v>6</v>
      </c>
      <c r="F14516" s="3">
        <v>6</v>
      </c>
      <c r="G14516" t="s">
        <v>513</v>
      </c>
    </row>
    <row r="14517" spans="1:7" x14ac:dyDescent="0.25">
      <c r="A14517" s="1" t="str">
        <f>"1505"</f>
        <v>1505</v>
      </c>
      <c r="B14517" s="2" t="str">
        <f>"LT.FERMENT.C/P.MORANGO VIVER+FIBR.160G"</f>
        <v>LT.FERMENT.C/P.MORANGO VIVER+FIBR.160G</v>
      </c>
      <c r="C14517" s="2" t="str">
        <f t="shared" si="568"/>
        <v>UN</v>
      </c>
      <c r="D14517" s="7">
        <v>9</v>
      </c>
      <c r="E14517" s="3">
        <v>6</v>
      </c>
      <c r="F14517" s="3">
        <v>6</v>
      </c>
      <c r="G14517" t="s">
        <v>513</v>
      </c>
    </row>
    <row r="14518" spans="1:7" x14ac:dyDescent="0.25">
      <c r="A14518" s="1" t="str">
        <f>"511312"</f>
        <v>511312</v>
      </c>
      <c r="B14518" s="2" t="str">
        <f>"LU ARTICULAÇAO ESFERICA"</f>
        <v>LU ARTICULAÇAO ESFERICA</v>
      </c>
      <c r="C14518" s="2" t="str">
        <f t="shared" si="568"/>
        <v>UN</v>
      </c>
      <c r="D14518" s="7">
        <v>704</v>
      </c>
      <c r="E14518" s="3">
        <v>9</v>
      </c>
      <c r="F14518" s="3">
        <v>9</v>
      </c>
      <c r="G14518" t="s">
        <v>512</v>
      </c>
    </row>
    <row r="14519" spans="1:7" x14ac:dyDescent="0.25">
      <c r="A14519" s="1" t="str">
        <f>"514995"</f>
        <v>514995</v>
      </c>
      <c r="B14519" s="2" t="str">
        <f>"LU CILINDRO ACIONAMENTO"</f>
        <v>LU CILINDRO ACIONAMENTO</v>
      </c>
      <c r="C14519" s="2" t="str">
        <f t="shared" si="568"/>
        <v>UN</v>
      </c>
      <c r="D14519" s="7">
        <v>704</v>
      </c>
      <c r="E14519" s="3">
        <v>9</v>
      </c>
      <c r="F14519" s="3">
        <v>9</v>
      </c>
      <c r="G14519" t="s">
        <v>513</v>
      </c>
    </row>
    <row r="14520" spans="1:7" x14ac:dyDescent="0.25">
      <c r="A14520" s="1" t="str">
        <f>"514107"</f>
        <v>514107</v>
      </c>
      <c r="B14520" s="2" t="str">
        <f>"LU INTERRUPTOR DE PRESSAO"</f>
        <v>LU INTERRUPTOR DE PRESSAO</v>
      </c>
      <c r="C14520" s="2" t="str">
        <f t="shared" si="568"/>
        <v>UN</v>
      </c>
      <c r="D14520" s="7">
        <v>704</v>
      </c>
      <c r="E14520" s="3">
        <v>9</v>
      </c>
      <c r="F14520" s="3">
        <v>9</v>
      </c>
      <c r="G14520" t="s">
        <v>514</v>
      </c>
    </row>
    <row r="14521" spans="1:7" x14ac:dyDescent="0.25">
      <c r="A14521" s="1" t="str">
        <f>"513956"</f>
        <v>513956</v>
      </c>
      <c r="B14521" s="2" t="str">
        <f>"LU MANGUEIRA"</f>
        <v>LU MANGUEIRA</v>
      </c>
      <c r="C14521" s="2" t="str">
        <f t="shared" si="568"/>
        <v>UN</v>
      </c>
      <c r="D14521" s="7">
        <v>99999</v>
      </c>
      <c r="E14521" s="3">
        <v>99</v>
      </c>
      <c r="F14521" s="3">
        <v>99</v>
      </c>
      <c r="G14521" t="s">
        <v>515</v>
      </c>
    </row>
    <row r="14522" spans="1:7" x14ac:dyDescent="0.25">
      <c r="A14522" s="1" t="str">
        <f>"514100"</f>
        <v>514100</v>
      </c>
      <c r="B14522" s="2" t="str">
        <f>"LU REFORCO DA EMBREAGEM"</f>
        <v>LU REFORCO DA EMBREAGEM</v>
      </c>
      <c r="C14522" s="2" t="str">
        <f t="shared" si="568"/>
        <v>UN</v>
      </c>
      <c r="D14522" s="7">
        <v>704</v>
      </c>
      <c r="E14522" s="3">
        <v>9</v>
      </c>
      <c r="F14522" s="3">
        <v>9</v>
      </c>
      <c r="G14522" t="s">
        <v>512</v>
      </c>
    </row>
    <row r="14523" spans="1:7" x14ac:dyDescent="0.25">
      <c r="A14523" s="1" t="str">
        <f>"511738"</f>
        <v>511738</v>
      </c>
      <c r="B14523" s="2" t="str">
        <f>"LUBR. TUTELA ZC90Y 1L EMPILHADEIRA MIT"</f>
        <v>LUBR. TUTELA ZC90Y 1L EMPILHADEIRA MIT</v>
      </c>
      <c r="C14523" s="2" t="str">
        <f>"GL"</f>
        <v>GL</v>
      </c>
      <c r="D14523" s="7">
        <v>903</v>
      </c>
      <c r="E14523" s="3">
        <v>11</v>
      </c>
      <c r="F14523" s="3">
        <v>11</v>
      </c>
      <c r="G14523" t="s">
        <v>516</v>
      </c>
    </row>
    <row r="14524" spans="1:7" x14ac:dyDescent="0.25">
      <c r="A14524" s="1" t="str">
        <f>"509239"</f>
        <v>509239</v>
      </c>
      <c r="B14524" s="2" t="str">
        <f>"LUBREFIL FESTO FRC-1/4-D-12-5M-MICRO-H"</f>
        <v>LUBREFIL FESTO FRC-1/4-D-12-5M-MICRO-H</v>
      </c>
      <c r="C14524" s="2" t="str">
        <f>"UN"</f>
        <v>UN</v>
      </c>
      <c r="D14524" s="7">
        <v>913</v>
      </c>
      <c r="E14524" s="3">
        <v>11</v>
      </c>
      <c r="F14524" s="3">
        <v>11</v>
      </c>
      <c r="G14524" t="s">
        <v>515</v>
      </c>
    </row>
    <row r="14525" spans="1:7" x14ac:dyDescent="0.25">
      <c r="A14525" s="1" t="str">
        <f>"517077"</f>
        <v>517077</v>
      </c>
      <c r="B14525" s="2" t="str">
        <f>"LUBREFIL FESTO FRC-1/4-D-5M-MINI"</f>
        <v>LUBREFIL FESTO FRC-1/4-D-5M-MINI</v>
      </c>
      <c r="C14525" s="2" t="str">
        <f>"UN"</f>
        <v>UN</v>
      </c>
      <c r="D14525" s="7">
        <v>913</v>
      </c>
      <c r="E14525" s="3">
        <v>11</v>
      </c>
      <c r="F14525" s="3">
        <v>11</v>
      </c>
      <c r="G14525" t="s">
        <v>514</v>
      </c>
    </row>
    <row r="14526" spans="1:7" x14ac:dyDescent="0.25">
      <c r="A14526" s="1" t="str">
        <f>"509243"</f>
        <v>509243</v>
      </c>
      <c r="B14526" s="2" t="str">
        <f>"LUBREFIL FESTO LFMA-3/4-D-MAXI-DA-A"</f>
        <v>LUBREFIL FESTO LFMA-3/4-D-MAXI-DA-A</v>
      </c>
      <c r="C14526" s="2" t="str">
        <f>"UN"</f>
        <v>UN</v>
      </c>
      <c r="D14526" s="7">
        <v>913</v>
      </c>
      <c r="E14526" s="3">
        <v>11</v>
      </c>
      <c r="F14526" s="3">
        <v>11</v>
      </c>
      <c r="G14526" t="s">
        <v>512</v>
      </c>
    </row>
    <row r="14527" spans="1:7" x14ac:dyDescent="0.25">
      <c r="A14527" s="1" t="str">
        <f>"511528"</f>
        <v>511528</v>
      </c>
      <c r="B14527" s="2" t="str">
        <f>"LUBRIFICAÇAO"</f>
        <v>LUBRIFICAÇAO</v>
      </c>
      <c r="C14527" s="2" t="str">
        <f>"LT"</f>
        <v>LT</v>
      </c>
      <c r="D14527" s="7">
        <v>702</v>
      </c>
      <c r="E14527" s="3">
        <v>9</v>
      </c>
      <c r="F14527" s="3">
        <v>9</v>
      </c>
      <c r="G14527" t="s">
        <v>513</v>
      </c>
    </row>
    <row r="14528" spans="1:7" x14ac:dyDescent="0.25">
      <c r="A14528" s="1" t="str">
        <f>"511113"</f>
        <v>511113</v>
      </c>
      <c r="B14528" s="2" t="str">
        <f>"LUBRIFICANTE"</f>
        <v>LUBRIFICANTE</v>
      </c>
      <c r="C14528" s="2" t="str">
        <f>"GL"</f>
        <v>GL</v>
      </c>
      <c r="D14528" s="7">
        <v>903</v>
      </c>
      <c r="E14528" s="3">
        <v>11</v>
      </c>
      <c r="F14528" s="3">
        <v>11</v>
      </c>
      <c r="G14528" t="s">
        <v>514</v>
      </c>
    </row>
    <row r="14529" spans="1:7" x14ac:dyDescent="0.25">
      <c r="A14529" s="1" t="str">
        <f>"504508"</f>
        <v>504508</v>
      </c>
      <c r="B14529" s="2" t="str">
        <f>"LUBRIFICANTE 500ML STIHL 8017H OLEO 2TP"</f>
        <v>LUBRIFICANTE 500ML STIHL 8017H OLEO 2TP</v>
      </c>
      <c r="C14529" s="2" t="str">
        <f>"UN"</f>
        <v>UN</v>
      </c>
      <c r="D14529" s="7">
        <v>918</v>
      </c>
      <c r="E14529" s="3">
        <v>11</v>
      </c>
      <c r="F14529" s="3">
        <v>11</v>
      </c>
      <c r="G14529" t="s">
        <v>514</v>
      </c>
    </row>
    <row r="14530" spans="1:7" x14ac:dyDescent="0.25">
      <c r="A14530" s="1" t="str">
        <f>"513006"</f>
        <v>513006</v>
      </c>
      <c r="B14530" s="2" t="str">
        <f>"LUBRIFICANTE 68 SHELL TELLUS"</f>
        <v>LUBRIFICANTE 68 SHELL TELLUS</v>
      </c>
      <c r="C14530" s="2" t="str">
        <f>"UN"</f>
        <v>UN</v>
      </c>
      <c r="D14530" s="7">
        <v>914</v>
      </c>
      <c r="E14530" s="3">
        <v>11</v>
      </c>
      <c r="F14530" s="3">
        <v>11</v>
      </c>
      <c r="G14530" t="s">
        <v>512</v>
      </c>
    </row>
    <row r="14531" spans="1:7" x14ac:dyDescent="0.25">
      <c r="A14531" s="1" t="str">
        <f>"522230"</f>
        <v>522230</v>
      </c>
      <c r="B14531" s="8" t="s">
        <v>283</v>
      </c>
      <c r="C14531" s="2" t="str">
        <f>"GL"</f>
        <v>GL</v>
      </c>
      <c r="D14531" s="7">
        <v>903</v>
      </c>
      <c r="E14531" s="3">
        <v>11</v>
      </c>
      <c r="F14531" s="3">
        <v>11</v>
      </c>
      <c r="G14531" t="s">
        <v>513</v>
      </c>
    </row>
    <row r="14532" spans="1:7" x14ac:dyDescent="0.25">
      <c r="A14532" s="1" t="str">
        <f>"501275"</f>
        <v>501275</v>
      </c>
      <c r="B14532" s="2" t="str">
        <f>"LUBRIFICANTE LMS220 (P/ RAMOS ALIM.)"</f>
        <v>LUBRIFICANTE LMS220 (P/ RAMOS ALIM.)</v>
      </c>
      <c r="C14532" s="2" t="str">
        <f>"UN"</f>
        <v>UN</v>
      </c>
      <c r="D14532" s="7">
        <v>402</v>
      </c>
      <c r="E14532" s="3">
        <v>4</v>
      </c>
      <c r="F14532" s="3">
        <v>4</v>
      </c>
      <c r="G14532" t="s">
        <v>514</v>
      </c>
    </row>
    <row r="14533" spans="1:7" x14ac:dyDescent="0.25">
      <c r="A14533" s="1" t="str">
        <f>"511975"</f>
        <v>511975</v>
      </c>
      <c r="B14533" s="2" t="str">
        <f>"LUBRIFICANTE MOTOR DIESEL"</f>
        <v>LUBRIFICANTE MOTOR DIESEL</v>
      </c>
      <c r="C14533" s="2" t="str">
        <f>"LT"</f>
        <v>LT</v>
      </c>
      <c r="D14533" s="7">
        <v>702</v>
      </c>
      <c r="E14533" s="3">
        <v>9</v>
      </c>
      <c r="F14533" s="3">
        <v>9</v>
      </c>
      <c r="G14533" t="s">
        <v>514</v>
      </c>
    </row>
    <row r="14534" spans="1:7" x14ac:dyDescent="0.25">
      <c r="A14534" s="1" t="str">
        <f>"521902"</f>
        <v>521902</v>
      </c>
      <c r="B14534" s="8" t="s">
        <v>245</v>
      </c>
      <c r="C14534" s="2" t="str">
        <f>"GL"</f>
        <v>GL</v>
      </c>
      <c r="D14534" s="7">
        <v>903</v>
      </c>
      <c r="E14534" s="3">
        <v>11</v>
      </c>
      <c r="F14534" s="3">
        <v>11</v>
      </c>
      <c r="G14534" t="s">
        <v>514</v>
      </c>
    </row>
    <row r="14535" spans="1:7" x14ac:dyDescent="0.25">
      <c r="A14535" s="1" t="str">
        <f>"521903"</f>
        <v>521903</v>
      </c>
      <c r="B14535" s="8" t="s">
        <v>246</v>
      </c>
      <c r="C14535" s="2" t="str">
        <f>"GL"</f>
        <v>GL</v>
      </c>
      <c r="D14535" s="7">
        <v>903</v>
      </c>
      <c r="E14535" s="3">
        <v>11</v>
      </c>
      <c r="F14535" s="3">
        <v>11</v>
      </c>
      <c r="G14535" t="s">
        <v>513</v>
      </c>
    </row>
    <row r="14536" spans="1:7" x14ac:dyDescent="0.25">
      <c r="A14536" s="1" t="str">
        <f>"514869"</f>
        <v>514869</v>
      </c>
      <c r="B14536" s="2" t="str">
        <f>"LUGOL"</f>
        <v>LUGOL</v>
      </c>
      <c r="C14536" s="2" t="str">
        <f t="shared" ref="C14536:C14567" si="569">"UN"</f>
        <v>UN</v>
      </c>
      <c r="D14536" s="7">
        <v>406</v>
      </c>
      <c r="E14536" s="3">
        <v>4</v>
      </c>
      <c r="F14536" s="3">
        <v>4</v>
      </c>
      <c r="G14536" t="s">
        <v>512</v>
      </c>
    </row>
    <row r="14537" spans="1:7" x14ac:dyDescent="0.25">
      <c r="A14537" s="1" t="str">
        <f>"514771"</f>
        <v>514771</v>
      </c>
      <c r="B14537" s="2" t="str">
        <f>"LUM ESPETO PAR 38"</f>
        <v>LUM ESPETO PAR 38</v>
      </c>
      <c r="C14537" s="2" t="str">
        <f t="shared" si="569"/>
        <v>UN</v>
      </c>
      <c r="D14537" s="7">
        <v>900</v>
      </c>
      <c r="E14537" s="3">
        <v>8</v>
      </c>
      <c r="F14537" s="3">
        <v>8</v>
      </c>
      <c r="G14537" t="s">
        <v>513</v>
      </c>
    </row>
    <row r="14538" spans="1:7" x14ac:dyDescent="0.25">
      <c r="A14538" s="1" t="str">
        <f>"526622"</f>
        <v>526622</v>
      </c>
      <c r="B14538" s="2" t="str">
        <f>"LUMIN EMERG LED 2 FAROIS 2200 LUMENS C/BAT SELADA"</f>
        <v>LUMIN EMERG LED 2 FAROIS 2200 LUMENS C/BAT SELADA</v>
      </c>
      <c r="C14538" s="2" t="str">
        <f t="shared" si="569"/>
        <v>UN</v>
      </c>
      <c r="D14538" s="7">
        <v>600</v>
      </c>
      <c r="E14538" s="3">
        <v>8</v>
      </c>
      <c r="F14538" s="3">
        <v>8</v>
      </c>
      <c r="G14538" t="s">
        <v>514</v>
      </c>
    </row>
    <row r="14539" spans="1:7" x14ac:dyDescent="0.25">
      <c r="A14539" s="1" t="str">
        <f>"511583"</f>
        <v>511583</v>
      </c>
      <c r="B14539" s="2" t="str">
        <f>"LUMIN.WETZEL 450 300W E-25/3E40 03110380"</f>
        <v>LUMIN.WETZEL 450 300W E-25/3E40 03110380</v>
      </c>
      <c r="C14539" s="2" t="str">
        <f t="shared" si="569"/>
        <v>UN</v>
      </c>
      <c r="D14539" s="7">
        <v>601</v>
      </c>
      <c r="E14539" s="3">
        <v>8</v>
      </c>
      <c r="F14539" s="3">
        <v>8</v>
      </c>
      <c r="G14539" t="s">
        <v>514</v>
      </c>
    </row>
    <row r="14540" spans="1:7" x14ac:dyDescent="0.25">
      <c r="A14540" s="1" t="str">
        <f>"509301"</f>
        <v>509301</v>
      </c>
      <c r="B14540" s="2" t="str">
        <f>"LUMINARI 1X20W - C/ PROTEÇÃO"</f>
        <v>LUMINARI 1X20W - C/ PROTEÇÃO</v>
      </c>
      <c r="C14540" s="2" t="str">
        <f t="shared" si="569"/>
        <v>UN</v>
      </c>
      <c r="D14540" s="7">
        <v>601</v>
      </c>
      <c r="E14540" s="3">
        <v>8</v>
      </c>
      <c r="F14540" s="3">
        <v>8</v>
      </c>
      <c r="G14540" t="s">
        <v>514</v>
      </c>
    </row>
    <row r="14541" spans="1:7" x14ac:dyDescent="0.25">
      <c r="A14541" s="1" t="str">
        <f>"514905"</f>
        <v>514905</v>
      </c>
      <c r="B14541" s="2" t="str">
        <f>"LUMINARIA 1 X 40W C/ PROTEÇÃO"</f>
        <v>LUMINARIA 1 X 40W C/ PROTEÇÃO</v>
      </c>
      <c r="C14541" s="2" t="str">
        <f t="shared" si="569"/>
        <v>UN</v>
      </c>
      <c r="D14541" s="7">
        <v>601</v>
      </c>
      <c r="E14541" s="3">
        <v>8</v>
      </c>
      <c r="F14541" s="3">
        <v>8</v>
      </c>
      <c r="G14541" t="s">
        <v>513</v>
      </c>
    </row>
    <row r="14542" spans="1:7" x14ac:dyDescent="0.25">
      <c r="A14542" s="1" t="str">
        <f>"518334"</f>
        <v>518334</v>
      </c>
      <c r="B14542" s="2" t="str">
        <f>"LUMINARIA 4X40W BRANCA"</f>
        <v>LUMINARIA 4X40W BRANCA</v>
      </c>
      <c r="C14542" s="2" t="str">
        <f t="shared" si="569"/>
        <v>UN</v>
      </c>
      <c r="D14542" s="7">
        <v>811</v>
      </c>
      <c r="E14542" s="3">
        <v>8</v>
      </c>
      <c r="F14542" s="3">
        <v>8</v>
      </c>
      <c r="G14542" t="s">
        <v>513</v>
      </c>
    </row>
    <row r="14543" spans="1:7" x14ac:dyDescent="0.25">
      <c r="A14543" s="1" t="str">
        <f>"515781"</f>
        <v>515781</v>
      </c>
      <c r="B14543" s="2" t="str">
        <f>"LUMINARIA ABALUX 2X32/36/40 SOBREPOR A02"</f>
        <v>LUMINARIA ABALUX 2X32/36/40 SOBREPOR A02</v>
      </c>
      <c r="C14543" s="2" t="str">
        <f t="shared" si="569"/>
        <v>UN</v>
      </c>
      <c r="D14543" s="7">
        <v>600</v>
      </c>
      <c r="E14543" s="3">
        <v>8</v>
      </c>
      <c r="F14543" s="3">
        <v>8</v>
      </c>
      <c r="G14543" t="s">
        <v>513</v>
      </c>
    </row>
    <row r="14544" spans="1:7" x14ac:dyDescent="0.25">
      <c r="A14544" s="1" t="str">
        <f>"501016"</f>
        <v>501016</v>
      </c>
      <c r="B14544" s="2" t="str">
        <f>"LUMINARIA BLIND. FLUOR COD.FSC 2X40W"</f>
        <v>LUMINARIA BLIND. FLUOR COD.FSC 2X40W</v>
      </c>
      <c r="C14544" s="2" t="str">
        <f t="shared" si="569"/>
        <v>UN</v>
      </c>
      <c r="D14544" s="7">
        <v>601</v>
      </c>
      <c r="E14544" s="3">
        <v>8</v>
      </c>
      <c r="F14544" s="3">
        <v>8</v>
      </c>
      <c r="G14544" t="s">
        <v>512</v>
      </c>
    </row>
    <row r="14545" spans="1:7" x14ac:dyDescent="0.25">
      <c r="A14545" s="1" t="str">
        <f>"500844"</f>
        <v>500844</v>
      </c>
      <c r="B14545" s="2" t="str">
        <f>"LUMINARIA BLIND. TATUZINHO LAMP INCAND"</f>
        <v>LUMINARIA BLIND. TATUZINHO LAMP INCAND</v>
      </c>
      <c r="C14545" s="2" t="str">
        <f t="shared" si="569"/>
        <v>UN</v>
      </c>
      <c r="D14545" s="7">
        <v>601</v>
      </c>
      <c r="E14545" s="3">
        <v>8</v>
      </c>
      <c r="F14545" s="3">
        <v>8</v>
      </c>
      <c r="G14545" t="s">
        <v>513</v>
      </c>
    </row>
    <row r="14546" spans="1:7" x14ac:dyDescent="0.25">
      <c r="A14546" s="1" t="str">
        <f>"518065"</f>
        <v>518065</v>
      </c>
      <c r="B14546" s="2" t="str">
        <f>"LUMINARIA BLINDADA 2 X20W HERMETRICA"</f>
        <v>LUMINARIA BLINDADA 2 X20W HERMETRICA</v>
      </c>
      <c r="C14546" s="2" t="str">
        <f t="shared" si="569"/>
        <v>UN</v>
      </c>
      <c r="D14546" s="7">
        <v>811</v>
      </c>
      <c r="E14546" s="3">
        <v>8</v>
      </c>
      <c r="F14546" s="3">
        <v>8</v>
      </c>
      <c r="G14546" t="s">
        <v>514</v>
      </c>
    </row>
    <row r="14547" spans="1:7" x14ac:dyDescent="0.25">
      <c r="A14547" s="1" t="str">
        <f>"503802"</f>
        <v>503802</v>
      </c>
      <c r="B14547" s="2" t="str">
        <f>"LUMINARIA BLINDADA 2X40W"</f>
        <v>LUMINARIA BLINDADA 2X40W</v>
      </c>
      <c r="C14547" s="2" t="str">
        <f t="shared" si="569"/>
        <v>UN</v>
      </c>
      <c r="D14547" s="7">
        <v>601</v>
      </c>
      <c r="E14547" s="3">
        <v>8</v>
      </c>
      <c r="F14547" s="3">
        <v>8</v>
      </c>
      <c r="G14547" t="s">
        <v>515</v>
      </c>
    </row>
    <row r="14548" spans="1:7" x14ac:dyDescent="0.25">
      <c r="A14548" s="1" t="str">
        <f>"502037"</f>
        <v>502037</v>
      </c>
      <c r="B14548" s="2" t="str">
        <f>"LUMINARIA BLINDADA SALMERAO 2X20W 60CM"</f>
        <v>LUMINARIA BLINDADA SALMERAO 2X20W 60CM</v>
      </c>
      <c r="C14548" s="2" t="str">
        <f t="shared" si="569"/>
        <v>UN</v>
      </c>
      <c r="D14548" s="7">
        <v>601</v>
      </c>
      <c r="E14548" s="3">
        <v>8</v>
      </c>
      <c r="F14548" s="3">
        <v>8</v>
      </c>
      <c r="G14548" t="s">
        <v>512</v>
      </c>
    </row>
    <row r="14549" spans="1:7" x14ac:dyDescent="0.25">
      <c r="A14549" s="1" t="str">
        <f>"505566"</f>
        <v>505566</v>
      </c>
      <c r="B14549" s="2" t="str">
        <f>"LUMINARIA COMP.VAPOR SODIO 400W RETANG."</f>
        <v>LUMINARIA COMP.VAPOR SODIO 400W RETANG.</v>
      </c>
      <c r="C14549" s="2" t="str">
        <f t="shared" si="569"/>
        <v>UN</v>
      </c>
      <c r="D14549" s="7">
        <v>601</v>
      </c>
      <c r="E14549" s="3">
        <v>8</v>
      </c>
      <c r="F14549" s="3">
        <v>8</v>
      </c>
      <c r="G14549" t="s">
        <v>516</v>
      </c>
    </row>
    <row r="14550" spans="1:7" x14ac:dyDescent="0.25">
      <c r="A14550" s="1" t="str">
        <f>"527126"</f>
        <v>527126</v>
      </c>
      <c r="B14550" s="2" t="str">
        <f>"LUMINARIA DAMP-PROOF LED 58W/6500K BIV - OSRAM"</f>
        <v>LUMINARIA DAMP-PROOF LED 58W/6500K BIV - OSRAM</v>
      </c>
      <c r="C14550" s="2" t="str">
        <f t="shared" si="569"/>
        <v>UN</v>
      </c>
      <c r="D14550" s="7">
        <v>601</v>
      </c>
      <c r="E14550" s="3">
        <v>8</v>
      </c>
      <c r="F14550" s="3">
        <v>8</v>
      </c>
      <c r="G14550" t="s">
        <v>515</v>
      </c>
    </row>
    <row r="14551" spans="1:7" x14ac:dyDescent="0.25">
      <c r="A14551" s="1" t="str">
        <f>"508200"</f>
        <v>508200</v>
      </c>
      <c r="B14551" s="2" t="str">
        <f>"LUMINARIA DE ESTANQUE LABS 2X110W - 220V"</f>
        <v>LUMINARIA DE ESTANQUE LABS 2X110W - 220V</v>
      </c>
      <c r="C14551" s="2" t="str">
        <f t="shared" si="569"/>
        <v>UN</v>
      </c>
      <c r="D14551" s="7">
        <v>812</v>
      </c>
      <c r="E14551" s="3">
        <v>10</v>
      </c>
      <c r="F14551" s="3">
        <v>10</v>
      </c>
      <c r="G14551" t="s">
        <v>514</v>
      </c>
    </row>
    <row r="14552" spans="1:7" x14ac:dyDescent="0.25">
      <c r="A14552" s="1" t="str">
        <f>"526623"</f>
        <v>526623</v>
      </c>
      <c r="B14552" s="2" t="str">
        <f>"LUMINARIA DE LED HIGBAY 150W 6500K BV 90G"</f>
        <v>LUMINARIA DE LED HIGBAY 150W 6500K BV 90G</v>
      </c>
      <c r="C14552" s="2" t="str">
        <f t="shared" si="569"/>
        <v>UN</v>
      </c>
      <c r="D14552" s="7">
        <v>601</v>
      </c>
      <c r="E14552" s="3">
        <v>8</v>
      </c>
      <c r="F14552" s="3">
        <v>8</v>
      </c>
      <c r="G14552" t="s">
        <v>512</v>
      </c>
    </row>
    <row r="14553" spans="1:7" x14ac:dyDescent="0.25">
      <c r="A14553" s="1" t="str">
        <f>"520598"</f>
        <v>520598</v>
      </c>
      <c r="B14553" s="2" t="str">
        <f>"LUMINARIA DE LED INDUSTRIAL 150W"</f>
        <v>LUMINARIA DE LED INDUSTRIAL 150W</v>
      </c>
      <c r="C14553" s="2" t="str">
        <f t="shared" si="569"/>
        <v>UN</v>
      </c>
      <c r="D14553" s="7">
        <v>601</v>
      </c>
      <c r="E14553" s="3">
        <v>8</v>
      </c>
      <c r="F14553" s="3">
        <v>8</v>
      </c>
      <c r="G14553" t="s">
        <v>513</v>
      </c>
    </row>
    <row r="14554" spans="1:7" x14ac:dyDescent="0.25">
      <c r="A14554" s="1" t="str">
        <f>"519857"</f>
        <v>519857</v>
      </c>
      <c r="B14554" s="2" t="str">
        <f>"LUMINARIA DE LED INDUSTRIAL 200W"</f>
        <v>LUMINARIA DE LED INDUSTRIAL 200W</v>
      </c>
      <c r="C14554" s="2" t="str">
        <f t="shared" si="569"/>
        <v>UN</v>
      </c>
      <c r="D14554" s="7">
        <v>811</v>
      </c>
      <c r="E14554" s="3">
        <v>8</v>
      </c>
      <c r="F14554" s="3">
        <v>8</v>
      </c>
      <c r="G14554" t="s">
        <v>514</v>
      </c>
    </row>
    <row r="14555" spans="1:7" x14ac:dyDescent="0.25">
      <c r="A14555" s="1" t="str">
        <f>"525335"</f>
        <v>525335</v>
      </c>
      <c r="B14555" s="2" t="str">
        <f>"LUMINÁRIA DE SOBREPOR 4 X 40W ECP-F203260"</f>
        <v>LUMINÁRIA DE SOBREPOR 4 X 40W ECP-F203260</v>
      </c>
      <c r="C14555" s="2" t="str">
        <f t="shared" si="569"/>
        <v>UN</v>
      </c>
      <c r="D14555" s="7">
        <v>811</v>
      </c>
      <c r="E14555" s="3">
        <v>10</v>
      </c>
      <c r="F14555" s="3">
        <v>10</v>
      </c>
      <c r="G14555" t="s">
        <v>514</v>
      </c>
    </row>
    <row r="14556" spans="1:7" x14ac:dyDescent="0.25">
      <c r="A14556" s="1" t="str">
        <f>"526529"</f>
        <v>526529</v>
      </c>
      <c r="B14556" s="2" t="str">
        <f>"LUMINARIA DE SOBREPOR LFM 4X40W"</f>
        <v>LUMINARIA DE SOBREPOR LFM 4X40W</v>
      </c>
      <c r="C14556" s="2" t="str">
        <f t="shared" si="569"/>
        <v>UN</v>
      </c>
      <c r="D14556" s="7">
        <v>811</v>
      </c>
      <c r="E14556" s="3">
        <v>11</v>
      </c>
      <c r="F14556" s="3">
        <v>11</v>
      </c>
      <c r="G14556" t="s">
        <v>512</v>
      </c>
    </row>
    <row r="14557" spans="1:7" x14ac:dyDescent="0.25">
      <c r="A14557" s="1" t="str">
        <f>"517994"</f>
        <v>517994</v>
      </c>
      <c r="B14557" s="2" t="str">
        <f>"LUMINARIA ECP 2X40W SOBR. A02/F203250"</f>
        <v>LUMINARIA ECP 2X40W SOBR. A02/F203250</v>
      </c>
      <c r="C14557" s="2" t="str">
        <f t="shared" si="569"/>
        <v>UN</v>
      </c>
      <c r="D14557" s="7">
        <v>811</v>
      </c>
      <c r="E14557" s="3">
        <v>8</v>
      </c>
      <c r="F14557" s="3">
        <v>8</v>
      </c>
      <c r="G14557" t="s">
        <v>513</v>
      </c>
    </row>
    <row r="14558" spans="1:7" x14ac:dyDescent="0.25">
      <c r="A14558" s="1" t="str">
        <f>"519564"</f>
        <v>519564</v>
      </c>
      <c r="B14558" s="2" t="str">
        <f>"LUMINARIA EMERGENCIA BIV 2 FAROIS 44LEDS 4W 1200LM"</f>
        <v>LUMINARIA EMERGENCIA BIV 2 FAROIS 44LEDS 4W 1200LM</v>
      </c>
      <c r="C14558" s="2" t="str">
        <f t="shared" si="569"/>
        <v>UN</v>
      </c>
      <c r="D14558" s="7">
        <v>811</v>
      </c>
      <c r="E14558" s="3">
        <v>8</v>
      </c>
      <c r="F14558" s="3">
        <v>8</v>
      </c>
      <c r="G14558" t="s">
        <v>514</v>
      </c>
    </row>
    <row r="14559" spans="1:7" x14ac:dyDescent="0.25">
      <c r="A14559" s="1" t="str">
        <f>"519563"</f>
        <v>519563</v>
      </c>
      <c r="B14559" s="2" t="str">
        <f>"LUMINARIA EMERGENCIA BI-VOLT 30 LED 2W SEGURIMAX"</f>
        <v>LUMINARIA EMERGENCIA BI-VOLT 30 LED 2W SEGURIMAX</v>
      </c>
      <c r="C14559" s="2" t="str">
        <f t="shared" si="569"/>
        <v>UN</v>
      </c>
      <c r="D14559" s="7">
        <v>811</v>
      </c>
      <c r="E14559" s="3">
        <v>8</v>
      </c>
      <c r="F14559" s="3">
        <v>8</v>
      </c>
      <c r="G14559" t="s">
        <v>514</v>
      </c>
    </row>
    <row r="14560" spans="1:7" x14ac:dyDescent="0.25">
      <c r="A14560" s="1" t="str">
        <f>"506083"</f>
        <v>506083</v>
      </c>
      <c r="B14560" s="2" t="str">
        <f>"LUMINARIA ESTANQUES ESL 2X32/40W"</f>
        <v>LUMINARIA ESTANQUES ESL 2X32/40W</v>
      </c>
      <c r="C14560" s="2" t="str">
        <f t="shared" si="569"/>
        <v>UN</v>
      </c>
      <c r="D14560" s="7">
        <v>601</v>
      </c>
      <c r="E14560" s="3">
        <v>8</v>
      </c>
      <c r="F14560" s="3">
        <v>8</v>
      </c>
      <c r="G14560" t="s">
        <v>514</v>
      </c>
    </row>
    <row r="14561" spans="1:7" x14ac:dyDescent="0.25">
      <c r="A14561" s="1" t="str">
        <f>"503040"</f>
        <v>503040</v>
      </c>
      <c r="B14561" s="2" t="str">
        <f>"LUMINARIA FLUORESCENTE 2X20W COMPLETO"</f>
        <v>LUMINARIA FLUORESCENTE 2X20W COMPLETO</v>
      </c>
      <c r="C14561" s="2" t="str">
        <f t="shared" si="569"/>
        <v>UN</v>
      </c>
      <c r="D14561" s="7">
        <v>601</v>
      </c>
      <c r="E14561" s="3">
        <v>8</v>
      </c>
      <c r="F14561" s="3">
        <v>8</v>
      </c>
      <c r="G14561" t="s">
        <v>513</v>
      </c>
    </row>
    <row r="14562" spans="1:7" x14ac:dyDescent="0.25">
      <c r="A14562" s="1" t="str">
        <f>"522443"</f>
        <v>522443</v>
      </c>
      <c r="B14562" s="2" t="str">
        <f>"LUMINARIA HERMETICA 2x32/54W"</f>
        <v>LUMINARIA HERMETICA 2x32/54W</v>
      </c>
      <c r="C14562" s="2" t="str">
        <f t="shared" si="569"/>
        <v>UN</v>
      </c>
      <c r="D14562" s="7">
        <v>811</v>
      </c>
      <c r="E14562" s="3">
        <v>10</v>
      </c>
      <c r="F14562" s="3">
        <v>10</v>
      </c>
      <c r="G14562" t="s">
        <v>512</v>
      </c>
    </row>
    <row r="14563" spans="1:7" x14ac:dyDescent="0.25">
      <c r="A14563" s="1" t="str">
        <f>"523354"</f>
        <v>523354</v>
      </c>
      <c r="B14563" s="2" t="str">
        <f>"LUMINARIA HERMETICA IND 2X28 A 54W G5G13 LI20000"</f>
        <v>LUMINARIA HERMETICA IND 2X28 A 54W G5G13 LI20000</v>
      </c>
      <c r="C14563" s="2" t="str">
        <f t="shared" si="569"/>
        <v>UN</v>
      </c>
      <c r="D14563" s="7">
        <v>601</v>
      </c>
      <c r="E14563" s="3">
        <v>8</v>
      </c>
      <c r="F14563" s="3">
        <v>8</v>
      </c>
      <c r="G14563" t="s">
        <v>513</v>
      </c>
    </row>
    <row r="14564" spans="1:7" x14ac:dyDescent="0.25">
      <c r="A14564" s="1" t="str">
        <f>"525071"</f>
        <v>525071</v>
      </c>
      <c r="B14564" s="2" t="str">
        <f>"LUMINARIA HERMETICA IP65 2X120MM"</f>
        <v>LUMINARIA HERMETICA IP65 2X120MM</v>
      </c>
      <c r="C14564" s="2" t="str">
        <f t="shared" si="569"/>
        <v>UN</v>
      </c>
      <c r="D14564" s="7">
        <v>601</v>
      </c>
      <c r="E14564" s="3">
        <v>8</v>
      </c>
      <c r="F14564" s="3">
        <v>8</v>
      </c>
      <c r="G14564" t="s">
        <v>514</v>
      </c>
    </row>
    <row r="14565" spans="1:7" x14ac:dyDescent="0.25">
      <c r="A14565" s="1" t="str">
        <f>"510166"</f>
        <v>510166</v>
      </c>
      <c r="B14565" s="2" t="str">
        <f>"LUMINARIA HO 2X110W C/ PROTEÇAO"</f>
        <v>LUMINARIA HO 2X110W C/ PROTEÇAO</v>
      </c>
      <c r="C14565" s="2" t="str">
        <f t="shared" si="569"/>
        <v>UN</v>
      </c>
      <c r="D14565" s="7">
        <v>601</v>
      </c>
      <c r="E14565" s="3">
        <v>8</v>
      </c>
      <c r="F14565" s="3">
        <v>8</v>
      </c>
      <c r="G14565" t="s">
        <v>514</v>
      </c>
    </row>
    <row r="14566" spans="1:7" x14ac:dyDescent="0.25">
      <c r="A14566" s="1" t="str">
        <f>"523191"</f>
        <v>523191</v>
      </c>
      <c r="B14566" s="8" t="s">
        <v>364</v>
      </c>
      <c r="C14566" s="2" t="str">
        <f t="shared" si="569"/>
        <v>UN</v>
      </c>
      <c r="D14566" s="7">
        <v>811</v>
      </c>
      <c r="E14566" s="3">
        <v>10</v>
      </c>
      <c r="F14566" s="3">
        <v>10</v>
      </c>
      <c r="G14566" t="s">
        <v>514</v>
      </c>
    </row>
    <row r="14567" spans="1:7" x14ac:dyDescent="0.25">
      <c r="A14567" s="1" t="str">
        <f>"524235"</f>
        <v>524235</v>
      </c>
      <c r="B14567" s="2" t="str">
        <f>"LUMINARIA INDUS. HERMETICA 2 LAMPS BASE G13 LI20000"</f>
        <v>LUMINARIA INDUS. HERMETICA 2 LAMPS BASE G13 LI20000</v>
      </c>
      <c r="C14567" s="2" t="str">
        <f t="shared" si="569"/>
        <v>UN</v>
      </c>
      <c r="D14567" s="7">
        <v>601</v>
      </c>
      <c r="E14567" s="3">
        <v>8</v>
      </c>
      <c r="F14567" s="3">
        <v>8</v>
      </c>
      <c r="G14567" t="s">
        <v>513</v>
      </c>
    </row>
    <row r="14568" spans="1:7" x14ac:dyDescent="0.25">
      <c r="A14568" s="1" t="str">
        <f>"519377"</f>
        <v>519377</v>
      </c>
      <c r="B14568" s="2" t="str">
        <f>"LUMINARIA MF012 E-27 26W 21,5CM METAL TECNICA"</f>
        <v>LUMINARIA MF012 E-27 26W 21,5CM METAL TECNICA</v>
      </c>
      <c r="C14568" s="2" t="str">
        <f t="shared" ref="C14568:C14599" si="570">"UN"</f>
        <v>UN</v>
      </c>
      <c r="D14568" s="7">
        <v>601</v>
      </c>
      <c r="E14568" s="3">
        <v>8</v>
      </c>
      <c r="F14568" s="3">
        <v>8</v>
      </c>
      <c r="G14568" t="s">
        <v>513</v>
      </c>
    </row>
    <row r="14569" spans="1:7" x14ac:dyDescent="0.25">
      <c r="A14569" s="1" t="str">
        <f>"509448"</f>
        <v>509448</v>
      </c>
      <c r="B14569" s="2" t="str">
        <f>"LUMINARIA MODELO A-07 2X40 - BRANCA"</f>
        <v>LUMINARIA MODELO A-07 2X40 - BRANCA</v>
      </c>
      <c r="C14569" s="2" t="str">
        <f t="shared" si="570"/>
        <v>UN</v>
      </c>
      <c r="D14569" s="7">
        <v>601</v>
      </c>
      <c r="E14569" s="3">
        <v>8</v>
      </c>
      <c r="F14569" s="3">
        <v>8</v>
      </c>
      <c r="G14569" t="s">
        <v>513</v>
      </c>
    </row>
    <row r="14570" spans="1:7" x14ac:dyDescent="0.25">
      <c r="A14570" s="1" t="str">
        <f>"527386"</f>
        <v>527386</v>
      </c>
      <c r="B14570" s="2" t="str">
        <f>"LUMINARIA PARA PAINEL NEX LUX R-41B4-LED26"</f>
        <v>LUMINARIA PARA PAINEL NEX LUX R-41B4-LED26</v>
      </c>
      <c r="C14570" s="2" t="str">
        <f t="shared" si="570"/>
        <v>UN</v>
      </c>
      <c r="D14570" s="7">
        <v>811</v>
      </c>
      <c r="E14570" s="3">
        <v>11</v>
      </c>
      <c r="F14570" s="3">
        <v>11</v>
      </c>
      <c r="G14570" t="s">
        <v>512</v>
      </c>
    </row>
    <row r="14571" spans="1:7" x14ac:dyDescent="0.25">
      <c r="A14571" s="1" t="str">
        <f>"524518"</f>
        <v>524518</v>
      </c>
      <c r="B14571" s="2" t="str">
        <f>"LUMINÁRIA SLIM 60CM BRILIA"</f>
        <v>LUMINÁRIA SLIM 60CM BRILIA</v>
      </c>
      <c r="C14571" s="2" t="str">
        <f t="shared" si="570"/>
        <v>UN</v>
      </c>
      <c r="D14571" s="7">
        <v>811</v>
      </c>
      <c r="E14571" s="3">
        <v>10</v>
      </c>
      <c r="F14571" s="3">
        <v>10</v>
      </c>
      <c r="G14571" t="s">
        <v>513</v>
      </c>
    </row>
    <row r="14572" spans="1:7" x14ac:dyDescent="0.25">
      <c r="A14572" s="1" t="str">
        <f>"500585"</f>
        <v>500585</v>
      </c>
      <c r="B14572" s="2" t="str">
        <f>"LUMINARIA SOBREPOR 2X20W ALTA REFLATANCIA"</f>
        <v>LUMINARIA SOBREPOR 2X20W ALTA REFLATANCIA</v>
      </c>
      <c r="C14572" s="2" t="str">
        <f t="shared" si="570"/>
        <v>UN</v>
      </c>
      <c r="D14572" s="7">
        <v>601</v>
      </c>
      <c r="E14572" s="3">
        <v>8</v>
      </c>
      <c r="F14572" s="3">
        <v>8</v>
      </c>
      <c r="G14572" t="s">
        <v>514</v>
      </c>
    </row>
    <row r="14573" spans="1:7" x14ac:dyDescent="0.25">
      <c r="A14573" s="1" t="str">
        <f>"509752"</f>
        <v>509752</v>
      </c>
      <c r="B14573" s="2" t="str">
        <f>"LUMINARIA SOBREPOR 2X40 ALTA REFLETANCIA"</f>
        <v>LUMINARIA SOBREPOR 2X40 ALTA REFLETANCIA</v>
      </c>
      <c r="C14573" s="2" t="str">
        <f t="shared" si="570"/>
        <v>UN</v>
      </c>
      <c r="D14573" s="7">
        <v>601</v>
      </c>
      <c r="E14573" s="3">
        <v>8</v>
      </c>
      <c r="F14573" s="3">
        <v>8</v>
      </c>
      <c r="G14573" t="s">
        <v>515</v>
      </c>
    </row>
    <row r="14574" spans="1:7" x14ac:dyDescent="0.25">
      <c r="A14574" s="1" t="str">
        <f>"525424"</f>
        <v>525424</v>
      </c>
      <c r="B14574" s="2" t="str">
        <f>"LUMINÁRIA SOBREPOR A02/ 2 X 40W ECP-F203250"</f>
        <v>LUMINÁRIA SOBREPOR A02/ 2 X 40W ECP-F203250</v>
      </c>
      <c r="C14574" s="2" t="str">
        <f t="shared" si="570"/>
        <v>UN</v>
      </c>
      <c r="D14574" s="7">
        <v>811</v>
      </c>
      <c r="E14574" s="3">
        <v>10</v>
      </c>
      <c r="F14574" s="3">
        <v>10</v>
      </c>
      <c r="G14574" t="s">
        <v>512</v>
      </c>
    </row>
    <row r="14575" spans="1:7" x14ac:dyDescent="0.25">
      <c r="A14575" s="1" t="str">
        <f>"519806"</f>
        <v>519806</v>
      </c>
      <c r="B14575" s="2" t="str">
        <f>"LUMINARIA TARTARUGA PRETA"</f>
        <v>LUMINARIA TARTARUGA PRETA</v>
      </c>
      <c r="C14575" s="2" t="str">
        <f t="shared" si="570"/>
        <v>UN</v>
      </c>
      <c r="D14575" s="7">
        <v>811</v>
      </c>
      <c r="E14575" s="3">
        <v>8</v>
      </c>
      <c r="F14575" s="3">
        <v>8</v>
      </c>
      <c r="G14575" t="s">
        <v>516</v>
      </c>
    </row>
    <row r="14576" spans="1:7" x14ac:dyDescent="0.25">
      <c r="A14576" s="1" t="str">
        <f>"509409"</f>
        <v>509409</v>
      </c>
      <c r="B14576" s="2" t="str">
        <f>"LUMINARIA TUBULAR 1X40W - BRANCA"</f>
        <v>LUMINARIA TUBULAR 1X40W - BRANCA</v>
      </c>
      <c r="C14576" s="2" t="str">
        <f t="shared" si="570"/>
        <v>UN</v>
      </c>
      <c r="D14576" s="7">
        <v>601</v>
      </c>
      <c r="E14576" s="3">
        <v>8</v>
      </c>
      <c r="F14576" s="3">
        <v>8</v>
      </c>
      <c r="G14576" t="s">
        <v>515</v>
      </c>
    </row>
    <row r="14577" spans="1:7" x14ac:dyDescent="0.25">
      <c r="A14577" s="1" t="str">
        <f>"509302"</f>
        <v>509302</v>
      </c>
      <c r="B14577" s="2" t="str">
        <f>"LUMINARIA TUBULAR 2X20W - BRANCA"</f>
        <v>LUMINARIA TUBULAR 2X20W - BRANCA</v>
      </c>
      <c r="C14577" s="2" t="str">
        <f t="shared" si="570"/>
        <v>UN</v>
      </c>
      <c r="D14577" s="7">
        <v>601</v>
      </c>
      <c r="E14577" s="3">
        <v>8</v>
      </c>
      <c r="F14577" s="3">
        <v>8</v>
      </c>
      <c r="G14577" t="s">
        <v>514</v>
      </c>
    </row>
    <row r="14578" spans="1:7" x14ac:dyDescent="0.25">
      <c r="A14578" s="1" t="str">
        <f>"509405"</f>
        <v>509405</v>
      </c>
      <c r="B14578" s="2" t="str">
        <f>"LUMINARIA TUBULAR 2X40W - BRANCA"</f>
        <v>LUMINARIA TUBULAR 2X40W - BRANCA</v>
      </c>
      <c r="C14578" s="2" t="str">
        <f t="shared" si="570"/>
        <v>UN</v>
      </c>
      <c r="D14578" s="7">
        <v>601</v>
      </c>
      <c r="E14578" s="3">
        <v>8</v>
      </c>
      <c r="F14578" s="3">
        <v>8</v>
      </c>
      <c r="G14578" t="s">
        <v>512</v>
      </c>
    </row>
    <row r="14579" spans="1:7" x14ac:dyDescent="0.25">
      <c r="A14579" s="1" t="str">
        <f>"525306"</f>
        <v>525306</v>
      </c>
      <c r="B14579" s="2" t="str">
        <f>"LUMINARIAS CRW L788 ? L7881DN170 1 X LED 28W"</f>
        <v>LUMINARIAS CRW L788 ? L7881DN170 1 X LED 28W</v>
      </c>
      <c r="C14579" s="2" t="str">
        <f t="shared" si="570"/>
        <v>UN</v>
      </c>
      <c r="D14579" s="7">
        <v>811</v>
      </c>
      <c r="E14579" s="3">
        <v>10</v>
      </c>
      <c r="F14579" s="3">
        <v>10</v>
      </c>
      <c r="G14579" t="s">
        <v>513</v>
      </c>
    </row>
    <row r="14580" spans="1:7" x14ac:dyDescent="0.25">
      <c r="A14580" s="1" t="str">
        <f>"522393"</f>
        <v>522393</v>
      </c>
      <c r="B14580" s="2" t="str">
        <f>"LUMINOMETRO 3M CLEAN TRACE NG"</f>
        <v>LUMINOMETRO 3M CLEAN TRACE NG</v>
      </c>
      <c r="C14580" s="2" t="str">
        <f t="shared" si="570"/>
        <v>UN</v>
      </c>
      <c r="D14580" s="7">
        <v>1500</v>
      </c>
      <c r="E14580" s="3">
        <v>13</v>
      </c>
      <c r="F14580" s="3">
        <v>13</v>
      </c>
      <c r="G14580" t="s">
        <v>514</v>
      </c>
    </row>
    <row r="14581" spans="1:7" x14ac:dyDescent="0.25">
      <c r="A14581" s="1" t="str">
        <f>"528043"</f>
        <v>528043</v>
      </c>
      <c r="B14581" s="2" t="str">
        <f>"LUMINOMETRO ENSURE TOUCH"</f>
        <v>LUMINOMETRO ENSURE TOUCH</v>
      </c>
      <c r="C14581" s="2" t="str">
        <f t="shared" si="570"/>
        <v>UN</v>
      </c>
      <c r="D14581" s="7">
        <v>406</v>
      </c>
      <c r="E14581" s="3">
        <v>13</v>
      </c>
      <c r="F14581" s="3">
        <v>13</v>
      </c>
      <c r="G14581" t="s">
        <v>514</v>
      </c>
    </row>
    <row r="14582" spans="1:7" x14ac:dyDescent="0.25">
      <c r="A14582" s="1" t="str">
        <f>"513887"</f>
        <v>513887</v>
      </c>
      <c r="B14582" s="2" t="str">
        <f>"LUMINOSO LEDS ALUMINIO 55CM 12/24V"</f>
        <v>LUMINOSO LEDS ALUMINIO 55CM 12/24V</v>
      </c>
      <c r="C14582" s="2" t="str">
        <f t="shared" si="570"/>
        <v>UN</v>
      </c>
      <c r="D14582" s="7">
        <v>99999</v>
      </c>
      <c r="E14582" s="3">
        <v>99</v>
      </c>
      <c r="F14582" s="3">
        <v>99</v>
      </c>
      <c r="G14582" t="s">
        <v>512</v>
      </c>
    </row>
    <row r="14583" spans="1:7" x14ac:dyDescent="0.25">
      <c r="A14583" s="1" t="str">
        <f>"505288"</f>
        <v>505288</v>
      </c>
      <c r="B14583" s="2" t="str">
        <f>"LUPA CABO CROMD. 30C 10X"</f>
        <v>LUPA CABO CROMD. 30C 10X</v>
      </c>
      <c r="C14583" s="2" t="str">
        <f t="shared" si="570"/>
        <v>UN</v>
      </c>
      <c r="D14583" s="7">
        <v>920</v>
      </c>
      <c r="E14583" s="3">
        <v>11</v>
      </c>
      <c r="F14583" s="3">
        <v>11</v>
      </c>
      <c r="G14583" t="s">
        <v>513</v>
      </c>
    </row>
    <row r="14584" spans="1:7" x14ac:dyDescent="0.25">
      <c r="A14584" s="1" t="str">
        <f>"514531"</f>
        <v>514531</v>
      </c>
      <c r="B14584" s="2" t="str">
        <f>"LUSTRA MOVEIS"</f>
        <v>LUSTRA MOVEIS</v>
      </c>
      <c r="C14584" s="2" t="str">
        <f t="shared" si="570"/>
        <v>UN</v>
      </c>
      <c r="D14584" s="7">
        <v>401</v>
      </c>
      <c r="E14584" s="3">
        <v>4</v>
      </c>
      <c r="F14584" s="3">
        <v>4</v>
      </c>
      <c r="G14584" t="s">
        <v>514</v>
      </c>
    </row>
    <row r="14585" spans="1:7" x14ac:dyDescent="0.25">
      <c r="A14585" s="1" t="str">
        <f>"514233"</f>
        <v>514233</v>
      </c>
      <c r="B14585" s="2" t="str">
        <f>"LUVA"</f>
        <v>LUVA</v>
      </c>
      <c r="C14585" s="2" t="str">
        <f t="shared" si="570"/>
        <v>UN</v>
      </c>
      <c r="D14585" s="7">
        <v>704</v>
      </c>
      <c r="E14585" s="3">
        <v>9</v>
      </c>
      <c r="F14585" s="3">
        <v>9</v>
      </c>
      <c r="G14585" t="s">
        <v>514</v>
      </c>
    </row>
    <row r="14586" spans="1:7" x14ac:dyDescent="0.25">
      <c r="A14586" s="1" t="str">
        <f>"525853"</f>
        <v>525853</v>
      </c>
      <c r="B14586" s="2" t="str">
        <f>"LUVA"</f>
        <v>LUVA</v>
      </c>
      <c r="C14586" s="2" t="str">
        <f t="shared" si="570"/>
        <v>UN</v>
      </c>
      <c r="D14586" s="7">
        <v>704</v>
      </c>
      <c r="E14586" s="3">
        <v>9</v>
      </c>
      <c r="F14586" s="3">
        <v>9</v>
      </c>
      <c r="G14586" t="s">
        <v>514</v>
      </c>
    </row>
    <row r="14587" spans="1:7" x14ac:dyDescent="0.25">
      <c r="A14587" s="1" t="str">
        <f>"513110"</f>
        <v>513110</v>
      </c>
      <c r="B14587" s="2" t="str">
        <f>"LUVA 7/8"""</f>
        <v>LUVA 7/8"</v>
      </c>
      <c r="C14587" s="2" t="str">
        <f t="shared" si="570"/>
        <v>UN</v>
      </c>
      <c r="D14587" s="7">
        <v>916</v>
      </c>
      <c r="E14587" s="3">
        <v>11</v>
      </c>
      <c r="F14587" s="3">
        <v>11</v>
      </c>
      <c r="G14587" t="s">
        <v>513</v>
      </c>
    </row>
    <row r="14588" spans="1:7" x14ac:dyDescent="0.25">
      <c r="A14588" s="1" t="str">
        <f>"519878"</f>
        <v>519878</v>
      </c>
      <c r="B14588" s="2" t="str">
        <f>"LUVA AÇO INOX MAQUINA ROTULADEIRA"</f>
        <v>LUVA AÇO INOX MAQUINA ROTULADEIRA</v>
      </c>
      <c r="C14588" s="2" t="str">
        <f t="shared" si="570"/>
        <v>UN</v>
      </c>
      <c r="D14588" s="7">
        <v>918</v>
      </c>
      <c r="E14588" s="3">
        <v>11</v>
      </c>
      <c r="F14588" s="3">
        <v>11</v>
      </c>
      <c r="G14588" t="s">
        <v>512</v>
      </c>
    </row>
    <row r="14589" spans="1:7" x14ac:dyDescent="0.25">
      <c r="A14589" s="1" t="str">
        <f>"3452"</f>
        <v>3452</v>
      </c>
      <c r="B14589" s="2" t="str">
        <f>"LUVA ALTA TENSAO 20 KV"</f>
        <v>LUVA ALTA TENSAO 20 KV</v>
      </c>
      <c r="C14589" s="2" t="str">
        <f t="shared" si="570"/>
        <v>UN</v>
      </c>
      <c r="D14589" s="7">
        <v>501</v>
      </c>
      <c r="E14589" s="3">
        <v>5</v>
      </c>
      <c r="F14589" s="3">
        <v>5</v>
      </c>
      <c r="G14589" t="s">
        <v>513</v>
      </c>
    </row>
    <row r="14590" spans="1:7" x14ac:dyDescent="0.25">
      <c r="A14590" s="1" t="str">
        <f>"516492"</f>
        <v>516492</v>
      </c>
      <c r="B14590" s="2" t="str">
        <f>"LUVA ALUMINIO BOLSA/BOLSA 1 1/2"""</f>
        <v>LUVA ALUMINIO BOLSA/BOLSA 1 1/2"</v>
      </c>
      <c r="C14590" s="2" t="str">
        <f t="shared" si="570"/>
        <v>UN</v>
      </c>
      <c r="D14590" s="7">
        <v>811</v>
      </c>
      <c r="E14590" s="3">
        <v>8</v>
      </c>
      <c r="F14590" s="3">
        <v>8</v>
      </c>
      <c r="G14590" t="s">
        <v>514</v>
      </c>
    </row>
    <row r="14591" spans="1:7" x14ac:dyDescent="0.25">
      <c r="A14591" s="1" t="str">
        <f>"511361"</f>
        <v>511361</v>
      </c>
      <c r="B14591" s="2" t="str">
        <f>"LUVA ALUMINIO BOLSA/ROSCA 1 1/2"""</f>
        <v>LUVA ALUMINIO BOLSA/ROSCA 1 1/2"</v>
      </c>
      <c r="C14591" s="2" t="str">
        <f t="shared" si="570"/>
        <v>UN</v>
      </c>
      <c r="D14591" s="7">
        <v>601</v>
      </c>
      <c r="E14591" s="3">
        <v>8</v>
      </c>
      <c r="F14591" s="3">
        <v>8</v>
      </c>
      <c r="G14591" t="s">
        <v>514</v>
      </c>
    </row>
    <row r="14592" spans="1:7" x14ac:dyDescent="0.25">
      <c r="A14592" s="1" t="str">
        <f>"511360"</f>
        <v>511360</v>
      </c>
      <c r="B14592" s="2" t="str">
        <f>"LUVA ALUMINIO BOLSA/ROSCA 1"""</f>
        <v>LUVA ALUMINIO BOLSA/ROSCA 1"</v>
      </c>
      <c r="C14592" s="2" t="str">
        <f t="shared" si="570"/>
        <v>UN</v>
      </c>
      <c r="D14592" s="7">
        <v>601</v>
      </c>
      <c r="E14592" s="3">
        <v>8</v>
      </c>
      <c r="F14592" s="3">
        <v>8</v>
      </c>
      <c r="G14592" t="s">
        <v>514</v>
      </c>
    </row>
    <row r="14593" spans="1:7" x14ac:dyDescent="0.25">
      <c r="A14593" s="1" t="str">
        <f>"511362"</f>
        <v>511362</v>
      </c>
      <c r="B14593" s="2" t="str">
        <f>"LUVA ALUMINIO BOLSA/ROSCA 2"""</f>
        <v>LUVA ALUMINIO BOLSA/ROSCA 2"</v>
      </c>
      <c r="C14593" s="2" t="str">
        <f t="shared" si="570"/>
        <v>UN</v>
      </c>
      <c r="D14593" s="7">
        <v>601</v>
      </c>
      <c r="E14593" s="3">
        <v>8</v>
      </c>
      <c r="F14593" s="3">
        <v>8</v>
      </c>
      <c r="G14593" t="s">
        <v>513</v>
      </c>
    </row>
    <row r="14594" spans="1:7" x14ac:dyDescent="0.25">
      <c r="A14594" s="1" t="str">
        <f>"511363"</f>
        <v>511363</v>
      </c>
      <c r="B14594" s="2" t="str">
        <f>"LUVA ALUMINIO BOLSA/ROSCA 3"""</f>
        <v>LUVA ALUMINIO BOLSA/ROSCA 3"</v>
      </c>
      <c r="C14594" s="2" t="str">
        <f t="shared" si="570"/>
        <v>UN</v>
      </c>
      <c r="D14594" s="7">
        <v>601</v>
      </c>
      <c r="E14594" s="3">
        <v>8</v>
      </c>
      <c r="F14594" s="3">
        <v>8</v>
      </c>
      <c r="G14594" t="s">
        <v>513</v>
      </c>
    </row>
    <row r="14595" spans="1:7" x14ac:dyDescent="0.25">
      <c r="A14595" s="1" t="str">
        <f>"511359"</f>
        <v>511359</v>
      </c>
      <c r="B14595" s="2" t="str">
        <f>"LUVA ALUMINIO BOLSA/ROSCA 3/4"""</f>
        <v>LUVA ALUMINIO BOLSA/ROSCA 3/4"</v>
      </c>
      <c r="C14595" s="2" t="str">
        <f t="shared" si="570"/>
        <v>UN</v>
      </c>
      <c r="D14595" s="7">
        <v>601</v>
      </c>
      <c r="E14595" s="3">
        <v>8</v>
      </c>
      <c r="F14595" s="3">
        <v>8</v>
      </c>
      <c r="G14595" t="s">
        <v>513</v>
      </c>
    </row>
    <row r="14596" spans="1:7" x14ac:dyDescent="0.25">
      <c r="A14596" s="1" t="str">
        <f>"525450"</f>
        <v>525450</v>
      </c>
      <c r="B14596" s="2" t="str">
        <f>"LUVA ALUMINIO BOLSA/ROSCA 4 CS-201/55 WETZEL"</f>
        <v>LUVA ALUMINIO BOLSA/ROSCA 4 CS-201/55 WETZEL</v>
      </c>
      <c r="C14596" s="2" t="str">
        <f t="shared" si="570"/>
        <v>UN</v>
      </c>
      <c r="D14596" s="7">
        <v>811</v>
      </c>
      <c r="E14596" s="3">
        <v>10</v>
      </c>
      <c r="F14596" s="3">
        <v>10</v>
      </c>
      <c r="G14596" t="s">
        <v>512</v>
      </c>
    </row>
    <row r="14597" spans="1:7" x14ac:dyDescent="0.25">
      <c r="A14597" s="1" t="str">
        <f>"509886"</f>
        <v>509886</v>
      </c>
      <c r="B14597" s="2" t="str">
        <f>"LUVA ALUMINIO S/ ROSCA 1"""</f>
        <v>LUVA ALUMINIO S/ ROSCA 1"</v>
      </c>
      <c r="C14597" s="2" t="str">
        <f t="shared" si="570"/>
        <v>UN</v>
      </c>
      <c r="D14597" s="7">
        <v>601</v>
      </c>
      <c r="E14597" s="3">
        <v>8</v>
      </c>
      <c r="F14597" s="3">
        <v>8</v>
      </c>
      <c r="G14597" t="s">
        <v>513</v>
      </c>
    </row>
    <row r="14598" spans="1:7" x14ac:dyDescent="0.25">
      <c r="A14598" s="1" t="str">
        <f>"507696"</f>
        <v>507696</v>
      </c>
      <c r="B14598" s="2" t="str">
        <f>"LUVA ALUMINIO S/ ROSCA 3/4"""</f>
        <v>LUVA ALUMINIO S/ ROSCA 3/4"</v>
      </c>
      <c r="C14598" s="2" t="str">
        <f t="shared" si="570"/>
        <v>UN</v>
      </c>
      <c r="D14598" s="7">
        <v>601</v>
      </c>
      <c r="E14598" s="3">
        <v>8</v>
      </c>
      <c r="F14598" s="3">
        <v>8</v>
      </c>
      <c r="G14598" t="s">
        <v>514</v>
      </c>
    </row>
    <row r="14599" spans="1:7" x14ac:dyDescent="0.25">
      <c r="A14599" s="1" t="str">
        <f>"509788"</f>
        <v>509788</v>
      </c>
      <c r="B14599" s="2" t="str">
        <f>"LUVA ALUMINIO S/ ROSCA 4"""</f>
        <v>LUVA ALUMINIO S/ ROSCA 4"</v>
      </c>
      <c r="C14599" s="2" t="str">
        <f t="shared" si="570"/>
        <v>UN</v>
      </c>
      <c r="D14599" s="7">
        <v>917</v>
      </c>
      <c r="E14599" s="3">
        <v>11</v>
      </c>
      <c r="F14599" s="3">
        <v>11</v>
      </c>
      <c r="G14599" t="s">
        <v>515</v>
      </c>
    </row>
    <row r="14600" spans="1:7" x14ac:dyDescent="0.25">
      <c r="A14600" s="1" t="str">
        <f>"525449"</f>
        <v>525449</v>
      </c>
      <c r="B14600" s="2" t="str">
        <f>"LUVA ALUMINIO S/ROSCA 4 LS-201/55 001100110 WETZEL"</f>
        <v>LUVA ALUMINIO S/ROSCA 4 LS-201/55 001100110 WETZEL</v>
      </c>
      <c r="C14600" s="2" t="str">
        <f t="shared" ref="C14600:C14605" si="571">"UN"</f>
        <v>UN</v>
      </c>
      <c r="D14600" s="7">
        <v>811</v>
      </c>
      <c r="E14600" s="3">
        <v>10</v>
      </c>
      <c r="F14600" s="3">
        <v>10</v>
      </c>
      <c r="G14600" t="s">
        <v>512</v>
      </c>
    </row>
    <row r="14601" spans="1:7" x14ac:dyDescent="0.25">
      <c r="A14601" s="1" t="str">
        <f>"526335"</f>
        <v>526335</v>
      </c>
      <c r="B14601" s="2" t="str">
        <f>"LUVA ANTICORTE ANSEEL HYFLEX CA17601 TAM. G"</f>
        <v>LUVA ANTICORTE ANSEEL HYFLEX CA17601 TAM. G</v>
      </c>
      <c r="C14601" s="2" t="str">
        <f t="shared" si="571"/>
        <v>UN</v>
      </c>
      <c r="D14601" s="7">
        <v>501</v>
      </c>
      <c r="E14601" s="3">
        <v>5</v>
      </c>
      <c r="F14601" s="3">
        <v>5</v>
      </c>
      <c r="G14601" t="s">
        <v>516</v>
      </c>
    </row>
    <row r="14602" spans="1:7" x14ac:dyDescent="0.25">
      <c r="A14602" s="1" t="str">
        <f>"526336"</f>
        <v>526336</v>
      </c>
      <c r="B14602" s="2" t="str">
        <f>"LUVA ANTICORTE ANSEEL HYFLEX CA17601 TAM. GG"</f>
        <v>LUVA ANTICORTE ANSEEL HYFLEX CA17601 TAM. GG</v>
      </c>
      <c r="C14602" s="2" t="str">
        <f t="shared" si="571"/>
        <v>UN</v>
      </c>
      <c r="D14602" s="7">
        <v>501</v>
      </c>
      <c r="E14602" s="3">
        <v>5</v>
      </c>
      <c r="F14602" s="3">
        <v>5</v>
      </c>
      <c r="G14602" t="s">
        <v>515</v>
      </c>
    </row>
    <row r="14603" spans="1:7" x14ac:dyDescent="0.25">
      <c r="A14603" s="1" t="str">
        <f>"526334"</f>
        <v>526334</v>
      </c>
      <c r="B14603" s="2" t="str">
        <f>"LUVA ANTICORTE ANSEEL HYFLEX CA17601 TAM. M"</f>
        <v>LUVA ANTICORTE ANSEEL HYFLEX CA17601 TAM. M</v>
      </c>
      <c r="C14603" s="2" t="str">
        <f t="shared" si="571"/>
        <v>UN</v>
      </c>
      <c r="D14603" s="7">
        <v>501</v>
      </c>
      <c r="E14603" s="3">
        <v>5</v>
      </c>
      <c r="F14603" s="3">
        <v>5</v>
      </c>
      <c r="G14603" t="s">
        <v>514</v>
      </c>
    </row>
    <row r="14604" spans="1:7" x14ac:dyDescent="0.25">
      <c r="A14604" s="1" t="str">
        <f>"526333"</f>
        <v>526333</v>
      </c>
      <c r="B14604" s="2" t="str">
        <f>"LUVA ANTICORTE ANSEEL HYFLEX CA17601 TAM. P"</f>
        <v>LUVA ANTICORTE ANSEEL HYFLEX CA17601 TAM. P</v>
      </c>
      <c r="C14604" s="2" t="str">
        <f t="shared" si="571"/>
        <v>UN</v>
      </c>
      <c r="D14604" s="7">
        <v>501</v>
      </c>
      <c r="E14604" s="3">
        <v>5</v>
      </c>
      <c r="F14604" s="3">
        <v>5</v>
      </c>
      <c r="G14604" t="s">
        <v>512</v>
      </c>
    </row>
    <row r="14605" spans="1:7" x14ac:dyDescent="0.25">
      <c r="A14605" s="1" t="str">
        <f>"523786"</f>
        <v>523786</v>
      </c>
      <c r="B14605" s="2" t="str">
        <f>"LUVA ANTICORTE POLIETILENO A.D. PU 4542B CA-8083 TAM. G"</f>
        <v>LUVA ANTICORTE POLIETILENO A.D. PU 4542B CA-8083 TAM. G</v>
      </c>
      <c r="C14605" s="2" t="str">
        <f t="shared" si="571"/>
        <v>UN</v>
      </c>
      <c r="D14605" s="7">
        <v>501</v>
      </c>
      <c r="E14605" s="3">
        <v>5</v>
      </c>
      <c r="F14605" s="3">
        <v>5</v>
      </c>
      <c r="G14605" t="s">
        <v>513</v>
      </c>
    </row>
    <row r="14606" spans="1:7" x14ac:dyDescent="0.25">
      <c r="A14606" s="1" t="str">
        <f>"527410"</f>
        <v>527410</v>
      </c>
      <c r="B14606" s="2" t="str">
        <f>"LUVA ANTICORTE POLIETILENO A.D. PU 4542B CA-8083 TAM. G"</f>
        <v>LUVA ANTICORTE POLIETILENO A.D. PU 4542B CA-8083 TAM. G</v>
      </c>
      <c r="C14606" s="2" t="str">
        <f>"PR"</f>
        <v>PR</v>
      </c>
      <c r="D14606" s="7">
        <v>501</v>
      </c>
      <c r="E14606" s="3">
        <v>5</v>
      </c>
      <c r="F14606" s="3">
        <v>5</v>
      </c>
      <c r="G14606" t="s">
        <v>514</v>
      </c>
    </row>
    <row r="14607" spans="1:7" x14ac:dyDescent="0.25">
      <c r="A14607" s="1" t="str">
        <f>"523785"</f>
        <v>523785</v>
      </c>
      <c r="B14607" s="2" t="str">
        <f>"LUVA ANTICORTE POLIETILENO A.D. PU 4542B CA-8083 TAM. M"</f>
        <v>LUVA ANTICORTE POLIETILENO A.D. PU 4542B CA-8083 TAM. M</v>
      </c>
      <c r="C14607" s="2" t="str">
        <f>"UN"</f>
        <v>UN</v>
      </c>
      <c r="D14607" s="7">
        <v>501</v>
      </c>
      <c r="E14607" s="3">
        <v>5</v>
      </c>
      <c r="F14607" s="3">
        <v>5</v>
      </c>
      <c r="G14607" t="s">
        <v>514</v>
      </c>
    </row>
    <row r="14608" spans="1:7" x14ac:dyDescent="0.25">
      <c r="A14608" s="1" t="str">
        <f>"527409"</f>
        <v>527409</v>
      </c>
      <c r="B14608" s="2" t="str">
        <f>"LUVA ANTICORTE POLIETILENO A.D. PU 4542B CA-8083 TAM. M"</f>
        <v>LUVA ANTICORTE POLIETILENO A.D. PU 4542B CA-8083 TAM. M</v>
      </c>
      <c r="C14608" s="2" t="str">
        <f>"PR"</f>
        <v>PR</v>
      </c>
      <c r="D14608" s="7">
        <v>501</v>
      </c>
      <c r="E14608" s="3">
        <v>5</v>
      </c>
      <c r="F14608" s="3">
        <v>5</v>
      </c>
      <c r="G14608" t="s">
        <v>512</v>
      </c>
    </row>
    <row r="14609" spans="1:7" x14ac:dyDescent="0.25">
      <c r="A14609" s="1" t="str">
        <f>"526255"</f>
        <v>526255</v>
      </c>
      <c r="B14609" s="2" t="str">
        <f>"LUVA ANTICORTE POLIETILENO A.D. PU 4542B CA-8083 TAM. P"</f>
        <v>LUVA ANTICORTE POLIETILENO A.D. PU 4542B CA-8083 TAM. P</v>
      </c>
      <c r="C14609" s="2" t="str">
        <f>"UN"</f>
        <v>UN</v>
      </c>
      <c r="D14609" s="7">
        <v>501</v>
      </c>
      <c r="E14609" s="3">
        <v>5</v>
      </c>
      <c r="F14609" s="3">
        <v>5</v>
      </c>
      <c r="G14609" t="s">
        <v>513</v>
      </c>
    </row>
    <row r="14610" spans="1:7" x14ac:dyDescent="0.25">
      <c r="A14610" s="1" t="str">
        <f>"527408"</f>
        <v>527408</v>
      </c>
      <c r="B14610" s="2" t="str">
        <f>"LUVA ANTICORTE POLIETILENO A.D. PU 4542B CA-8083 TAM. P"</f>
        <v>LUVA ANTICORTE POLIETILENO A.D. PU 4542B CA-8083 TAM. P</v>
      </c>
      <c r="C14610" s="2" t="str">
        <f>"PR"</f>
        <v>PR</v>
      </c>
      <c r="D14610" s="7">
        <v>501</v>
      </c>
      <c r="E14610" s="3">
        <v>5</v>
      </c>
      <c r="F14610" s="3">
        <v>5</v>
      </c>
      <c r="G14610" t="s">
        <v>514</v>
      </c>
    </row>
    <row r="14611" spans="1:7" x14ac:dyDescent="0.25">
      <c r="A14611" s="1" t="str">
        <f>"526256"</f>
        <v>526256</v>
      </c>
      <c r="B14611" s="2" t="str">
        <f>"LUVA ANTICORTE POLIETILENO A.D. PU 4542B CA-8083 TAM. XG"</f>
        <v>LUVA ANTICORTE POLIETILENO A.D. PU 4542B CA-8083 TAM. XG</v>
      </c>
      <c r="C14611" s="2" t="str">
        <f>"UN"</f>
        <v>UN</v>
      </c>
      <c r="D14611" s="7">
        <v>501</v>
      </c>
      <c r="E14611" s="3">
        <v>5</v>
      </c>
      <c r="F14611" s="3">
        <v>5</v>
      </c>
      <c r="G14611" t="s">
        <v>514</v>
      </c>
    </row>
    <row r="14612" spans="1:7" x14ac:dyDescent="0.25">
      <c r="A14612" s="1" t="str">
        <f>"527411"</f>
        <v>527411</v>
      </c>
      <c r="B14612" s="2" t="str">
        <f>"LUVA ANTICORTE POLIETILENO A.D. PU 4542B CA-8083 TAM. XG"</f>
        <v>LUVA ANTICORTE POLIETILENO A.D. PU 4542B CA-8083 TAM. XG</v>
      </c>
      <c r="C14612" s="2" t="str">
        <f>"PR"</f>
        <v>PR</v>
      </c>
      <c r="D14612" s="7">
        <v>501</v>
      </c>
      <c r="E14612" s="3">
        <v>5</v>
      </c>
      <c r="F14612" s="3">
        <v>5</v>
      </c>
      <c r="G14612" t="s">
        <v>514</v>
      </c>
    </row>
    <row r="14613" spans="1:7" x14ac:dyDescent="0.25">
      <c r="A14613" s="1" t="str">
        <f>"519961"</f>
        <v>519961</v>
      </c>
      <c r="B14613" s="2" t="str">
        <f>"LUVA AQUATERM 15MM - PVC"</f>
        <v>LUVA AQUATERM 15MM - PVC</v>
      </c>
      <c r="C14613" s="2" t="str">
        <f>"UN"</f>
        <v>UN</v>
      </c>
      <c r="D14613" s="7">
        <v>808</v>
      </c>
      <c r="E14613" s="3">
        <v>10</v>
      </c>
      <c r="F14613" s="3">
        <v>10</v>
      </c>
      <c r="G14613" t="s">
        <v>513</v>
      </c>
    </row>
    <row r="14614" spans="1:7" x14ac:dyDescent="0.25">
      <c r="A14614" s="1" t="str">
        <f>"517885"</f>
        <v>517885</v>
      </c>
      <c r="B14614" s="2" t="str">
        <f>"LUVA AZUL 25MM X 1/2"""</f>
        <v>LUVA AZUL 25MM X 1/2"</v>
      </c>
      <c r="C14614" s="2" t="str">
        <f>"PC"</f>
        <v>PC</v>
      </c>
      <c r="D14614" s="7">
        <v>808</v>
      </c>
      <c r="E14614" s="3">
        <v>10</v>
      </c>
      <c r="F14614" s="3">
        <v>10</v>
      </c>
      <c r="G14614" t="s">
        <v>512</v>
      </c>
    </row>
    <row r="14615" spans="1:7" x14ac:dyDescent="0.25">
      <c r="A14615" s="1" t="str">
        <f>"513803"</f>
        <v>513803</v>
      </c>
      <c r="B14615" s="2" t="str">
        <f>"LUVA AZUL 25MM X 3/4"""</f>
        <v>LUVA AZUL 25MM X 3/4"</v>
      </c>
      <c r="C14615" s="2" t="str">
        <f t="shared" ref="C14615:C14647" si="572">"UN"</f>
        <v>UN</v>
      </c>
      <c r="D14615" s="7">
        <v>704</v>
      </c>
      <c r="E14615" s="3">
        <v>9</v>
      </c>
      <c r="F14615" s="3">
        <v>9</v>
      </c>
      <c r="G14615" t="s">
        <v>513</v>
      </c>
    </row>
    <row r="14616" spans="1:7" x14ac:dyDescent="0.25">
      <c r="A14616" s="1" t="str">
        <f>"518482"</f>
        <v>518482</v>
      </c>
      <c r="B14616" s="2" t="str">
        <f>"LUVA BANHO PU NYLON FLEXTACTIL - BRANCA DANNY CA29014 TAM G"</f>
        <v>LUVA BANHO PU NYLON FLEXTACTIL - BRANCA DANNY CA29014 TAM G</v>
      </c>
      <c r="C14616" s="2" t="str">
        <f t="shared" si="572"/>
        <v>UN</v>
      </c>
      <c r="D14616" s="7">
        <v>501</v>
      </c>
      <c r="E14616" s="3">
        <v>5</v>
      </c>
      <c r="F14616" s="3">
        <v>5</v>
      </c>
      <c r="G14616" t="s">
        <v>514</v>
      </c>
    </row>
    <row r="14617" spans="1:7" x14ac:dyDescent="0.25">
      <c r="A14617" s="1" t="str">
        <f>"525607"</f>
        <v>525607</v>
      </c>
      <c r="B14617" s="2" t="str">
        <f>"LUVA BANHO PU NYLON FLEXTACTIL - BRANCA DANNY CA29014 TAM GG"</f>
        <v>LUVA BANHO PU NYLON FLEXTACTIL - BRANCA DANNY CA29014 TAM GG</v>
      </c>
      <c r="C14617" s="2" t="str">
        <f t="shared" si="572"/>
        <v>UN</v>
      </c>
      <c r="D14617" s="7">
        <v>501</v>
      </c>
      <c r="E14617" s="3">
        <v>5</v>
      </c>
      <c r="F14617" s="3">
        <v>5</v>
      </c>
      <c r="G14617" t="s">
        <v>514</v>
      </c>
    </row>
    <row r="14618" spans="1:7" x14ac:dyDescent="0.25">
      <c r="A14618" s="1" t="str">
        <f>"518481"</f>
        <v>518481</v>
      </c>
      <c r="B14618" s="2" t="str">
        <f>"LUVA BANHO PU NYLON FLEXTACTIL - BRANCA DANNY CA29014 TAM M"</f>
        <v>LUVA BANHO PU NYLON FLEXTACTIL - BRANCA DANNY CA29014 TAM M</v>
      </c>
      <c r="C14618" s="2" t="str">
        <f t="shared" si="572"/>
        <v>UN</v>
      </c>
      <c r="D14618" s="7">
        <v>501</v>
      </c>
      <c r="E14618" s="3">
        <v>5</v>
      </c>
      <c r="F14618" s="3">
        <v>5</v>
      </c>
      <c r="G14618" t="s">
        <v>514</v>
      </c>
    </row>
    <row r="14619" spans="1:7" x14ac:dyDescent="0.25">
      <c r="A14619" s="1" t="str">
        <f>"518480"</f>
        <v>518480</v>
      </c>
      <c r="B14619" s="2" t="str">
        <f>"LUVA BANHO PU NYLON FLEXTACTIL - BRANCA DANNY CA29014 TAM P"</f>
        <v>LUVA BANHO PU NYLON FLEXTACTIL - BRANCA DANNY CA29014 TAM P</v>
      </c>
      <c r="C14619" s="2" t="str">
        <f t="shared" si="572"/>
        <v>UN</v>
      </c>
      <c r="D14619" s="7">
        <v>501</v>
      </c>
      <c r="E14619" s="3">
        <v>5</v>
      </c>
      <c r="F14619" s="3">
        <v>5</v>
      </c>
      <c r="G14619" t="s">
        <v>513</v>
      </c>
    </row>
    <row r="14620" spans="1:7" x14ac:dyDescent="0.25">
      <c r="A14620" s="1" t="str">
        <f>"525610"</f>
        <v>525610</v>
      </c>
      <c r="B14620" s="2" t="str">
        <f>"LUVA BANHO PU NYLON FLEXTACTIL - PRETA DANNY CA29014 TAM G"</f>
        <v>LUVA BANHO PU NYLON FLEXTACTIL - PRETA DANNY CA29014 TAM G</v>
      </c>
      <c r="C14620" s="2" t="str">
        <f t="shared" si="572"/>
        <v>UN</v>
      </c>
      <c r="D14620" s="7">
        <v>501</v>
      </c>
      <c r="E14620" s="3">
        <v>5</v>
      </c>
      <c r="F14620" s="3">
        <v>5</v>
      </c>
      <c r="G14620" t="s">
        <v>513</v>
      </c>
    </row>
    <row r="14621" spans="1:7" x14ac:dyDescent="0.25">
      <c r="A14621" s="1" t="str">
        <f>"525611"</f>
        <v>525611</v>
      </c>
      <c r="B14621" s="2" t="str">
        <f>"LUVA BANHO PU NYLON FLEXTACTIL - PRETA DANNY CA29014 TAM GG"</f>
        <v>LUVA BANHO PU NYLON FLEXTACTIL - PRETA DANNY CA29014 TAM GG</v>
      </c>
      <c r="C14621" s="2" t="str">
        <f t="shared" si="572"/>
        <v>UN</v>
      </c>
      <c r="D14621" s="7">
        <v>501</v>
      </c>
      <c r="E14621" s="3">
        <v>5</v>
      </c>
      <c r="F14621" s="3">
        <v>5</v>
      </c>
      <c r="G14621" t="s">
        <v>513</v>
      </c>
    </row>
    <row r="14622" spans="1:7" x14ac:dyDescent="0.25">
      <c r="A14622" s="1" t="str">
        <f>"525609"</f>
        <v>525609</v>
      </c>
      <c r="B14622" s="2" t="str">
        <f>"LUVA BANHO PU NYLON FLEXTACTIL - PRETA DANNY CA29014 TAM M"</f>
        <v>LUVA BANHO PU NYLON FLEXTACTIL - PRETA DANNY CA29014 TAM M</v>
      </c>
      <c r="C14622" s="2" t="str">
        <f t="shared" si="572"/>
        <v>UN</v>
      </c>
      <c r="D14622" s="7">
        <v>501</v>
      </c>
      <c r="E14622" s="3">
        <v>5</v>
      </c>
      <c r="F14622" s="3">
        <v>5</v>
      </c>
      <c r="G14622" t="s">
        <v>512</v>
      </c>
    </row>
    <row r="14623" spans="1:7" x14ac:dyDescent="0.25">
      <c r="A14623" s="1" t="str">
        <f>"525608"</f>
        <v>525608</v>
      </c>
      <c r="B14623" s="2" t="str">
        <f>"LUVA BANHO PU NYLON FLEXTACTIL - PRETA DANNY CA29014 TAM P"</f>
        <v>LUVA BANHO PU NYLON FLEXTACTIL - PRETA DANNY CA29014 TAM P</v>
      </c>
      <c r="C14623" s="2" t="str">
        <f t="shared" si="572"/>
        <v>UN</v>
      </c>
      <c r="D14623" s="7">
        <v>501</v>
      </c>
      <c r="E14623" s="3">
        <v>5</v>
      </c>
      <c r="F14623" s="3">
        <v>5</v>
      </c>
      <c r="G14623" t="s">
        <v>513</v>
      </c>
    </row>
    <row r="14624" spans="1:7" x14ac:dyDescent="0.25">
      <c r="A14624" s="1" t="str">
        <f>"519959"</f>
        <v>519959</v>
      </c>
      <c r="B14624" s="2" t="str">
        <f>"LUVA C/ ROSCA BRANCO 1""X1//4 - PVC"</f>
        <v>LUVA C/ ROSCA BRANCO 1"X1//4 - PVC</v>
      </c>
      <c r="C14624" s="2" t="str">
        <f t="shared" si="572"/>
        <v>UN</v>
      </c>
      <c r="D14624" s="7">
        <v>808</v>
      </c>
      <c r="E14624" s="3">
        <v>10</v>
      </c>
      <c r="F14624" s="3">
        <v>10</v>
      </c>
      <c r="G14624" t="s">
        <v>514</v>
      </c>
    </row>
    <row r="14625" spans="1:7" x14ac:dyDescent="0.25">
      <c r="A14625" s="1" t="str">
        <f>"520334"</f>
        <v>520334</v>
      </c>
      <c r="B14625" s="2" t="str">
        <f>"LUVA C/ ROSCA BRANCO 2""1/2 - PVC"</f>
        <v>LUVA C/ ROSCA BRANCO 2"1/2 - PVC</v>
      </c>
      <c r="C14625" s="2" t="str">
        <f t="shared" si="572"/>
        <v>UN</v>
      </c>
      <c r="D14625" s="7">
        <v>808</v>
      </c>
      <c r="E14625" s="3">
        <v>10</v>
      </c>
      <c r="F14625" s="3">
        <v>10</v>
      </c>
      <c r="G14625" t="s">
        <v>515</v>
      </c>
    </row>
    <row r="14626" spans="1:7" x14ac:dyDescent="0.25">
      <c r="A14626" s="1" t="str">
        <f>"520333"</f>
        <v>520333</v>
      </c>
      <c r="B14626" s="2" t="str">
        <f>"LUVA C/ ROSCA BRANCO 3"" - PVC"</f>
        <v>LUVA C/ ROSCA BRANCO 3" - PVC</v>
      </c>
      <c r="C14626" s="2" t="str">
        <f t="shared" si="572"/>
        <v>UN</v>
      </c>
      <c r="D14626" s="7">
        <v>808</v>
      </c>
      <c r="E14626" s="3">
        <v>10</v>
      </c>
      <c r="F14626" s="3">
        <v>10</v>
      </c>
      <c r="G14626" t="s">
        <v>512</v>
      </c>
    </row>
    <row r="14627" spans="1:7" x14ac:dyDescent="0.25">
      <c r="A14627" s="1" t="str">
        <f>"519143"</f>
        <v>519143</v>
      </c>
      <c r="B14627" s="2" t="str">
        <f>"LUVA CARDAN"</f>
        <v>LUVA CARDAN</v>
      </c>
      <c r="C14627" s="2" t="str">
        <f t="shared" si="572"/>
        <v>UN</v>
      </c>
      <c r="D14627" s="7">
        <v>704</v>
      </c>
      <c r="E14627" s="3">
        <v>9</v>
      </c>
      <c r="F14627" s="3">
        <v>9</v>
      </c>
      <c r="G14627" t="s">
        <v>516</v>
      </c>
    </row>
    <row r="14628" spans="1:7" x14ac:dyDescent="0.25">
      <c r="A14628" s="1" t="str">
        <f>"524295"</f>
        <v>524295</v>
      </c>
      <c r="B14628" s="2" t="str">
        <f>"LUVA COBERTURA L42VR30 CONFORTO TAMANHO G CA-8989"</f>
        <v>LUVA COBERTURA L42VR30 CONFORTO TAMANHO G CA-8989</v>
      </c>
      <c r="C14628" s="2" t="str">
        <f t="shared" si="572"/>
        <v>UN</v>
      </c>
      <c r="D14628" s="7">
        <v>501</v>
      </c>
      <c r="E14628" s="3">
        <v>4</v>
      </c>
      <c r="F14628" s="3">
        <v>4</v>
      </c>
      <c r="G14628" t="s">
        <v>515</v>
      </c>
    </row>
    <row r="14629" spans="1:7" x14ac:dyDescent="0.25">
      <c r="A14629" s="1" t="str">
        <f>"524296"</f>
        <v>524296</v>
      </c>
      <c r="B14629" s="2" t="str">
        <f>"LUVA COBERTURA L42VR30 CONFORTO TAMANHO GG CA-8989"</f>
        <v>LUVA COBERTURA L42VR30 CONFORTO TAMANHO GG CA-8989</v>
      </c>
      <c r="C14629" s="2" t="str">
        <f t="shared" si="572"/>
        <v>UN</v>
      </c>
      <c r="D14629" s="7">
        <v>501</v>
      </c>
      <c r="E14629" s="3">
        <v>4</v>
      </c>
      <c r="F14629" s="3">
        <v>4</v>
      </c>
      <c r="G14629" t="s">
        <v>514</v>
      </c>
    </row>
    <row r="14630" spans="1:7" x14ac:dyDescent="0.25">
      <c r="A14630" s="1" t="str">
        <f>"520135"</f>
        <v>520135</v>
      </c>
      <c r="B14630" s="2" t="str">
        <f>"LUVA COMPRESSAO 10MM"</f>
        <v>LUVA COMPRESSAO 10MM</v>
      </c>
      <c r="C14630" s="2" t="str">
        <f t="shared" si="572"/>
        <v>UN</v>
      </c>
      <c r="D14630" s="7">
        <v>99999</v>
      </c>
      <c r="E14630" s="3">
        <v>10</v>
      </c>
      <c r="F14630" s="3">
        <v>10</v>
      </c>
      <c r="G14630" t="s">
        <v>512</v>
      </c>
    </row>
    <row r="14631" spans="1:7" x14ac:dyDescent="0.25">
      <c r="A14631" s="1" t="str">
        <f>"520142"</f>
        <v>520142</v>
      </c>
      <c r="B14631" s="2" t="str">
        <f>"LUVA COMPRESSAO 120MM"</f>
        <v>LUVA COMPRESSAO 120MM</v>
      </c>
      <c r="C14631" s="2" t="str">
        <f t="shared" si="572"/>
        <v>UN</v>
      </c>
      <c r="D14631" s="7">
        <v>99999</v>
      </c>
      <c r="E14631" s="3">
        <v>10</v>
      </c>
      <c r="F14631" s="3">
        <v>10</v>
      </c>
      <c r="G14631" t="s">
        <v>513</v>
      </c>
    </row>
    <row r="14632" spans="1:7" x14ac:dyDescent="0.25">
      <c r="A14632" s="1" t="str">
        <f>"515853"</f>
        <v>515853</v>
      </c>
      <c r="B14632" s="2" t="str">
        <f>"LUVA COMPRESSAO 150MM"</f>
        <v>LUVA COMPRESSAO 150MM</v>
      </c>
      <c r="C14632" s="2" t="str">
        <f t="shared" si="572"/>
        <v>UN</v>
      </c>
      <c r="D14632" s="7">
        <v>99999</v>
      </c>
      <c r="E14632" s="3">
        <v>10</v>
      </c>
      <c r="F14632" s="3">
        <v>10</v>
      </c>
      <c r="G14632" t="s">
        <v>514</v>
      </c>
    </row>
    <row r="14633" spans="1:7" x14ac:dyDescent="0.25">
      <c r="A14633" s="1" t="str">
        <f>"520136"</f>
        <v>520136</v>
      </c>
      <c r="B14633" s="2" t="str">
        <f>"LUVA COMPRESSAO 16MM"</f>
        <v>LUVA COMPRESSAO 16MM</v>
      </c>
      <c r="C14633" s="2" t="str">
        <f t="shared" si="572"/>
        <v>UN</v>
      </c>
      <c r="D14633" s="7">
        <v>99999</v>
      </c>
      <c r="E14633" s="3">
        <v>10</v>
      </c>
      <c r="F14633" s="3">
        <v>10</v>
      </c>
      <c r="G14633" t="s">
        <v>514</v>
      </c>
    </row>
    <row r="14634" spans="1:7" x14ac:dyDescent="0.25">
      <c r="A14634" s="1" t="str">
        <f>"520143"</f>
        <v>520143</v>
      </c>
      <c r="B14634" s="2" t="str">
        <f>"LUVA COMPRESSAO 185MM"</f>
        <v>LUVA COMPRESSAO 185MM</v>
      </c>
      <c r="C14634" s="2" t="str">
        <f t="shared" si="572"/>
        <v>UN</v>
      </c>
      <c r="D14634" s="7">
        <v>99999</v>
      </c>
      <c r="E14634" s="3">
        <v>10</v>
      </c>
      <c r="F14634" s="3">
        <v>10</v>
      </c>
      <c r="G14634" t="s">
        <v>512</v>
      </c>
    </row>
    <row r="14635" spans="1:7" x14ac:dyDescent="0.25">
      <c r="A14635" s="1" t="str">
        <f>"520144"</f>
        <v>520144</v>
      </c>
      <c r="B14635" s="2" t="str">
        <f>"LUVA COMPRESSAO 240MM"</f>
        <v>LUVA COMPRESSAO 240MM</v>
      </c>
      <c r="C14635" s="2" t="str">
        <f t="shared" si="572"/>
        <v>UN</v>
      </c>
      <c r="D14635" s="7">
        <v>99999</v>
      </c>
      <c r="E14635" s="3">
        <v>10</v>
      </c>
      <c r="F14635" s="3">
        <v>10</v>
      </c>
      <c r="G14635" t="s">
        <v>513</v>
      </c>
    </row>
    <row r="14636" spans="1:7" x14ac:dyDescent="0.25">
      <c r="A14636" s="1" t="str">
        <f>"516308"</f>
        <v>516308</v>
      </c>
      <c r="B14636" s="2" t="str">
        <f>"LUVA COMPRESSÃO 240MM"</f>
        <v>LUVA COMPRESSÃO 240MM</v>
      </c>
      <c r="C14636" s="2" t="str">
        <f t="shared" si="572"/>
        <v>UN</v>
      </c>
      <c r="D14636" s="7">
        <v>600</v>
      </c>
      <c r="E14636" s="3">
        <v>8</v>
      </c>
      <c r="F14636" s="3">
        <v>8</v>
      </c>
      <c r="G14636" t="s">
        <v>514</v>
      </c>
    </row>
    <row r="14637" spans="1:7" x14ac:dyDescent="0.25">
      <c r="A14637" s="1" t="str">
        <f>"520137"</f>
        <v>520137</v>
      </c>
      <c r="B14637" s="2" t="str">
        <f>"LUVA COMPRESSAO 25MM"</f>
        <v>LUVA COMPRESSAO 25MM</v>
      </c>
      <c r="C14637" s="2" t="str">
        <f t="shared" si="572"/>
        <v>UN</v>
      </c>
      <c r="D14637" s="7">
        <v>99999</v>
      </c>
      <c r="E14637" s="3">
        <v>10</v>
      </c>
      <c r="F14637" s="3">
        <v>10</v>
      </c>
      <c r="G14637" t="s">
        <v>514</v>
      </c>
    </row>
    <row r="14638" spans="1:7" x14ac:dyDescent="0.25">
      <c r="A14638" s="1" t="str">
        <f>"520138"</f>
        <v>520138</v>
      </c>
      <c r="B14638" s="2" t="str">
        <f>"LUVA COMPRESSAO 35MM"</f>
        <v>LUVA COMPRESSAO 35MM</v>
      </c>
      <c r="C14638" s="2" t="str">
        <f t="shared" si="572"/>
        <v>UN</v>
      </c>
      <c r="D14638" s="7">
        <v>99999</v>
      </c>
      <c r="E14638" s="3">
        <v>10</v>
      </c>
      <c r="F14638" s="3">
        <v>10</v>
      </c>
      <c r="G14638" t="s">
        <v>514</v>
      </c>
    </row>
    <row r="14639" spans="1:7" x14ac:dyDescent="0.25">
      <c r="A14639" s="1" t="str">
        <f>"520139"</f>
        <v>520139</v>
      </c>
      <c r="B14639" s="2" t="str">
        <f>"LUVA COMPRESSAO 50MM"</f>
        <v>LUVA COMPRESSAO 50MM</v>
      </c>
      <c r="C14639" s="2" t="str">
        <f t="shared" si="572"/>
        <v>UN</v>
      </c>
      <c r="D14639" s="7">
        <v>99999</v>
      </c>
      <c r="E14639" s="3">
        <v>10</v>
      </c>
      <c r="F14639" s="3">
        <v>10</v>
      </c>
      <c r="G14639" t="s">
        <v>513</v>
      </c>
    </row>
    <row r="14640" spans="1:7" x14ac:dyDescent="0.25">
      <c r="A14640" s="1" t="str">
        <f>"520134"</f>
        <v>520134</v>
      </c>
      <c r="B14640" s="2" t="str">
        <f>"LUVA COMPRESSAO 6MM"</f>
        <v>LUVA COMPRESSAO 6MM</v>
      </c>
      <c r="C14640" s="2" t="str">
        <f t="shared" si="572"/>
        <v>UN</v>
      </c>
      <c r="D14640" s="7">
        <v>99999</v>
      </c>
      <c r="E14640" s="3">
        <v>10</v>
      </c>
      <c r="F14640" s="3">
        <v>10</v>
      </c>
      <c r="G14640" t="s">
        <v>512</v>
      </c>
    </row>
    <row r="14641" spans="1:7" x14ac:dyDescent="0.25">
      <c r="A14641" s="1" t="str">
        <f>"520140"</f>
        <v>520140</v>
      </c>
      <c r="B14641" s="2" t="str">
        <f>"LUVA COMPRESSAO 70MM"</f>
        <v>LUVA COMPRESSAO 70MM</v>
      </c>
      <c r="C14641" s="2" t="str">
        <f t="shared" si="572"/>
        <v>UN</v>
      </c>
      <c r="D14641" s="7">
        <v>99999</v>
      </c>
      <c r="E14641" s="3">
        <v>10</v>
      </c>
      <c r="F14641" s="3">
        <v>10</v>
      </c>
      <c r="G14641" t="s">
        <v>513</v>
      </c>
    </row>
    <row r="14642" spans="1:7" x14ac:dyDescent="0.25">
      <c r="A14642" s="1" t="str">
        <f>"520141"</f>
        <v>520141</v>
      </c>
      <c r="B14642" s="2" t="str">
        <f>"LUVA COMPRESSAO 95MM"</f>
        <v>LUVA COMPRESSAO 95MM</v>
      </c>
      <c r="C14642" s="2" t="str">
        <f t="shared" si="572"/>
        <v>UN</v>
      </c>
      <c r="D14642" s="7">
        <v>99999</v>
      </c>
      <c r="E14642" s="3">
        <v>10</v>
      </c>
      <c r="F14642" s="3">
        <v>10</v>
      </c>
      <c r="G14642" t="s">
        <v>514</v>
      </c>
    </row>
    <row r="14643" spans="1:7" x14ac:dyDescent="0.25">
      <c r="A14643" s="1" t="str">
        <f>"522068"</f>
        <v>522068</v>
      </c>
      <c r="B14643" s="2" t="str">
        <f>"LUVA DANNY MAXIFORM"</f>
        <v>LUVA DANNY MAXIFORM</v>
      </c>
      <c r="C14643" s="2" t="str">
        <f t="shared" si="572"/>
        <v>UN</v>
      </c>
      <c r="D14643" s="7">
        <v>501</v>
      </c>
      <c r="E14643" s="3">
        <v>4</v>
      </c>
      <c r="F14643" s="3">
        <v>4</v>
      </c>
      <c r="G14643" t="s">
        <v>514</v>
      </c>
    </row>
    <row r="14644" spans="1:7" x14ac:dyDescent="0.25">
      <c r="A14644" s="1" t="str">
        <f>"6242"</f>
        <v>6242</v>
      </c>
      <c r="B14644" s="2" t="str">
        <f>"LUVA DE AMIANTO PARA ALTA TEMPERATURA"</f>
        <v>LUVA DE AMIANTO PARA ALTA TEMPERATURA</v>
      </c>
      <c r="C14644" s="2" t="str">
        <f t="shared" si="572"/>
        <v>UN</v>
      </c>
      <c r="D14644" s="7">
        <v>501</v>
      </c>
      <c r="E14644" s="3">
        <v>5</v>
      </c>
      <c r="F14644" s="3">
        <v>5</v>
      </c>
      <c r="G14644" t="s">
        <v>514</v>
      </c>
    </row>
    <row r="14645" spans="1:7" x14ac:dyDescent="0.25">
      <c r="A14645" s="1" t="str">
        <f>"524821"</f>
        <v>524821</v>
      </c>
      <c r="B14645" s="2" t="str">
        <f>"LUVA DE EMENDA PVC MARROM 85MM"</f>
        <v>LUVA DE EMENDA PVC MARROM 85MM</v>
      </c>
      <c r="C14645" s="2" t="str">
        <f t="shared" si="572"/>
        <v>UN</v>
      </c>
      <c r="D14645" s="7">
        <v>808</v>
      </c>
      <c r="E14645" s="3">
        <v>10</v>
      </c>
      <c r="F14645" s="3">
        <v>10</v>
      </c>
      <c r="G14645" t="s">
        <v>513</v>
      </c>
    </row>
    <row r="14646" spans="1:7" x14ac:dyDescent="0.25">
      <c r="A14646" s="1" t="str">
        <f>"527767"</f>
        <v>527767</v>
      </c>
      <c r="B14646" s="2" t="str">
        <f>"LUVA DE INOX"</f>
        <v>LUVA DE INOX</v>
      </c>
      <c r="C14646" s="2" t="str">
        <f t="shared" si="572"/>
        <v>UN</v>
      </c>
      <c r="D14646" s="7">
        <v>807</v>
      </c>
      <c r="E14646" s="3">
        <v>10</v>
      </c>
      <c r="F14646" s="3">
        <v>10</v>
      </c>
      <c r="G14646" t="s">
        <v>513</v>
      </c>
    </row>
    <row r="14647" spans="1:7" x14ac:dyDescent="0.25">
      <c r="A14647" s="1" t="str">
        <f>"514828"</f>
        <v>514828</v>
      </c>
      <c r="B14647" s="2" t="str">
        <f>"LUVA DE PROTEÇAO"</f>
        <v>LUVA DE PROTEÇAO</v>
      </c>
      <c r="C14647" s="2" t="str">
        <f t="shared" si="572"/>
        <v>UN</v>
      </c>
      <c r="D14647" s="7">
        <v>402</v>
      </c>
      <c r="E14647" s="3">
        <v>4</v>
      </c>
      <c r="F14647" s="3">
        <v>4</v>
      </c>
      <c r="G14647" t="s">
        <v>513</v>
      </c>
    </row>
    <row r="14648" spans="1:7" x14ac:dyDescent="0.25">
      <c r="A14648" s="1" t="str">
        <f>"526959"</f>
        <v>526959</v>
      </c>
      <c r="B14648" s="2" t="str">
        <f>"LUVA DE REDUÇÃO 3/4 (ROSCA) PARA 1/2 (COLA) PVC"</f>
        <v>LUVA DE REDUÇÃO 3/4 (ROSCA) PARA 1/2 (COLA) PVC</v>
      </c>
      <c r="C14648" s="2" t="str">
        <f>"BR"</f>
        <v>BR</v>
      </c>
      <c r="D14648" s="7">
        <v>808</v>
      </c>
      <c r="E14648" s="3">
        <v>10</v>
      </c>
      <c r="F14648" s="3">
        <v>10</v>
      </c>
      <c r="G14648" t="s">
        <v>512</v>
      </c>
    </row>
    <row r="14649" spans="1:7" x14ac:dyDescent="0.25">
      <c r="A14649" s="1" t="str">
        <f>"513538"</f>
        <v>513538</v>
      </c>
      <c r="B14649" s="2" t="str">
        <f>"LUVA DE REDUCAO GALVANIZADA 4 X 3"</f>
        <v>LUVA DE REDUCAO GALVANIZADA 4 X 3</v>
      </c>
      <c r="C14649" s="2" t="str">
        <f>"BR"</f>
        <v>BR</v>
      </c>
      <c r="D14649" s="7">
        <v>808</v>
      </c>
      <c r="E14649" s="3">
        <v>10</v>
      </c>
      <c r="F14649" s="3">
        <v>10</v>
      </c>
      <c r="G14649" t="s">
        <v>513</v>
      </c>
    </row>
    <row r="14650" spans="1:7" x14ac:dyDescent="0.25">
      <c r="A14650" s="1" t="str">
        <f>"522504"</f>
        <v>522504</v>
      </c>
      <c r="B14650" s="2" t="str">
        <f>"LUVA DE REDUÇÃO PVC MARRON 85 X 75MM"</f>
        <v>LUVA DE REDUÇÃO PVC MARRON 85 X 75MM</v>
      </c>
      <c r="C14650" s="2" t="str">
        <f>"UN"</f>
        <v>UN</v>
      </c>
      <c r="D14650" s="7">
        <v>807</v>
      </c>
      <c r="E14650" s="3">
        <v>10</v>
      </c>
      <c r="F14650" s="3">
        <v>10</v>
      </c>
      <c r="G14650" t="s">
        <v>514</v>
      </c>
    </row>
    <row r="14651" spans="1:7" x14ac:dyDescent="0.25">
      <c r="A14651" s="1" t="str">
        <f>"520924"</f>
        <v>520924</v>
      </c>
      <c r="B14651" s="2" t="str">
        <f>"LUVA DE VAQUETA DE COBERTURA"</f>
        <v>LUVA DE VAQUETA DE COBERTURA</v>
      </c>
      <c r="C14651" s="2" t="str">
        <f>"UN"</f>
        <v>UN</v>
      </c>
      <c r="D14651" s="7">
        <v>501</v>
      </c>
      <c r="E14651" s="3">
        <v>5</v>
      </c>
      <c r="F14651" s="3">
        <v>5</v>
      </c>
      <c r="G14651" t="s">
        <v>515</v>
      </c>
    </row>
    <row r="14652" spans="1:7" x14ac:dyDescent="0.25">
      <c r="A14652" s="1" t="str">
        <f>"6165"</f>
        <v>6165</v>
      </c>
      <c r="B14652" s="2" t="str">
        <f>"LUVA DE VAQUETA PUNHO 7CM TAM 10 CA-15061/16072"</f>
        <v>LUVA DE VAQUETA PUNHO 7CM TAM 10 CA-15061/16072</v>
      </c>
      <c r="C14652" s="2" t="str">
        <f>"UN"</f>
        <v>UN</v>
      </c>
      <c r="D14652" s="7">
        <v>501</v>
      </c>
      <c r="E14652" s="3">
        <v>5</v>
      </c>
      <c r="F14652" s="3">
        <v>5</v>
      </c>
      <c r="G14652" t="s">
        <v>512</v>
      </c>
    </row>
    <row r="14653" spans="1:7" x14ac:dyDescent="0.25">
      <c r="A14653" s="1" t="str">
        <f>"524057"</f>
        <v>524057</v>
      </c>
      <c r="B14653" s="2" t="str">
        <f>"LUVA DESCARTÁVEL RESINA VINILICA AMBIDESTRA"</f>
        <v>LUVA DESCARTÁVEL RESINA VINILICA AMBIDESTRA</v>
      </c>
      <c r="C14653" s="2" t="str">
        <f>"UN"</f>
        <v>UN</v>
      </c>
      <c r="D14653" s="7">
        <v>502</v>
      </c>
      <c r="E14653" s="3">
        <v>5</v>
      </c>
      <c r="F14653" s="3">
        <v>5</v>
      </c>
      <c r="G14653" t="s">
        <v>516</v>
      </c>
    </row>
    <row r="14654" spans="1:7" x14ac:dyDescent="0.25">
      <c r="A14654" s="1" t="str">
        <f>"523446"</f>
        <v>523446</v>
      </c>
      <c r="B14654" s="2" t="str">
        <f>"LUVA ESGOTO 100MM DE CORRER"</f>
        <v>LUVA ESGOTO 100MM DE CORRER</v>
      </c>
      <c r="C14654" s="2" t="str">
        <f>"PÇ"</f>
        <v>PÇ</v>
      </c>
      <c r="D14654" s="7">
        <v>809</v>
      </c>
      <c r="E14654" s="3">
        <v>10</v>
      </c>
      <c r="F14654" s="3">
        <v>10</v>
      </c>
      <c r="G14654" t="s">
        <v>515</v>
      </c>
    </row>
    <row r="14655" spans="1:7" x14ac:dyDescent="0.25">
      <c r="A14655" s="1" t="str">
        <f>"513409"</f>
        <v>513409</v>
      </c>
      <c r="B14655" s="2" t="str">
        <f>"LUVA ESGOTO 100MM X 100MM"</f>
        <v>LUVA ESGOTO 100MM X 100MM</v>
      </c>
      <c r="C14655" s="2" t="str">
        <f>"UN"</f>
        <v>UN</v>
      </c>
      <c r="D14655" s="7">
        <v>809</v>
      </c>
      <c r="E14655" s="3">
        <v>10</v>
      </c>
      <c r="F14655" s="3">
        <v>10</v>
      </c>
      <c r="G14655" t="s">
        <v>514</v>
      </c>
    </row>
    <row r="14656" spans="1:7" x14ac:dyDescent="0.25">
      <c r="A14656" s="1" t="str">
        <f>"518607"</f>
        <v>518607</v>
      </c>
      <c r="B14656" s="2" t="str">
        <f>"LUVA ESGOTO 100MM X 75MM"</f>
        <v>LUVA ESGOTO 100MM X 75MM</v>
      </c>
      <c r="C14656" s="2" t="str">
        <f>"UN"</f>
        <v>UN</v>
      </c>
      <c r="D14656" s="7">
        <v>809</v>
      </c>
      <c r="E14656" s="3">
        <v>10</v>
      </c>
      <c r="F14656" s="3">
        <v>10</v>
      </c>
      <c r="G14656" t="s">
        <v>512</v>
      </c>
    </row>
    <row r="14657" spans="1:7" x14ac:dyDescent="0.25">
      <c r="A14657" s="1" t="str">
        <f>"519881"</f>
        <v>519881</v>
      </c>
      <c r="B14657" s="2" t="str">
        <f>"LUVA ESGOTO 150MM COM ANEL"</f>
        <v>LUVA ESGOTO 150MM COM ANEL</v>
      </c>
      <c r="C14657" s="2" t="str">
        <f>"PÇ"</f>
        <v>PÇ</v>
      </c>
      <c r="D14657" s="7">
        <v>809</v>
      </c>
      <c r="E14657" s="3">
        <v>10</v>
      </c>
      <c r="F14657" s="3">
        <v>10</v>
      </c>
      <c r="G14657" t="s">
        <v>513</v>
      </c>
    </row>
    <row r="14658" spans="1:7" x14ac:dyDescent="0.25">
      <c r="A14658" s="1" t="str">
        <f>"522317"</f>
        <v>522317</v>
      </c>
      <c r="B14658" s="2" t="str">
        <f>"LUVA ESGOTO 150MM DE CORRER"</f>
        <v>LUVA ESGOTO 150MM DE CORRER</v>
      </c>
      <c r="C14658" s="2" t="str">
        <f>"PÇ"</f>
        <v>PÇ</v>
      </c>
      <c r="D14658" s="7">
        <v>809</v>
      </c>
      <c r="E14658" s="3">
        <v>10</v>
      </c>
      <c r="F14658" s="3">
        <v>10</v>
      </c>
      <c r="G14658" t="s">
        <v>514</v>
      </c>
    </row>
    <row r="14659" spans="1:7" x14ac:dyDescent="0.25">
      <c r="A14659" s="1" t="str">
        <f>"513410"</f>
        <v>513410</v>
      </c>
      <c r="B14659" s="2" t="str">
        <f>"LUVA ESGOTO 150MM X 100MM"</f>
        <v>LUVA ESGOTO 150MM X 100MM</v>
      </c>
      <c r="C14659" s="2" t="str">
        <f>"UN"</f>
        <v>UN</v>
      </c>
      <c r="D14659" s="7">
        <v>809</v>
      </c>
      <c r="E14659" s="3">
        <v>10</v>
      </c>
      <c r="F14659" s="3">
        <v>10</v>
      </c>
      <c r="G14659" t="s">
        <v>514</v>
      </c>
    </row>
    <row r="14660" spans="1:7" x14ac:dyDescent="0.25">
      <c r="A14660" s="1" t="str">
        <f>"518402"</f>
        <v>518402</v>
      </c>
      <c r="B14660" s="2" t="str">
        <f>"LUVA ESGOTO 50MM"</f>
        <v>LUVA ESGOTO 50MM</v>
      </c>
      <c r="C14660" s="2" t="str">
        <f>"PÇ"</f>
        <v>PÇ</v>
      </c>
      <c r="D14660" s="7">
        <v>809</v>
      </c>
      <c r="E14660" s="3">
        <v>10</v>
      </c>
      <c r="F14660" s="3">
        <v>10</v>
      </c>
      <c r="G14660" t="s">
        <v>512</v>
      </c>
    </row>
    <row r="14661" spans="1:7" x14ac:dyDescent="0.25">
      <c r="A14661" s="1" t="str">
        <f>"518608"</f>
        <v>518608</v>
      </c>
      <c r="B14661" s="2" t="str">
        <f>"LUVA ESGOTO 75MM"</f>
        <v>LUVA ESGOTO 75MM</v>
      </c>
      <c r="C14661" s="2" t="str">
        <f>"PÇ"</f>
        <v>PÇ</v>
      </c>
      <c r="D14661" s="7">
        <v>809</v>
      </c>
      <c r="E14661" s="3">
        <v>10</v>
      </c>
      <c r="F14661" s="3">
        <v>10</v>
      </c>
      <c r="G14661" t="s">
        <v>513</v>
      </c>
    </row>
    <row r="14662" spans="1:7" x14ac:dyDescent="0.25">
      <c r="A14662" s="1" t="str">
        <f>"514343"</f>
        <v>514343</v>
      </c>
      <c r="B14662" s="2" t="str">
        <f>"LUVA ESGOTO REDUCAO 200 X 150MM"</f>
        <v>LUVA ESGOTO REDUCAO 200 X 150MM</v>
      </c>
      <c r="C14662" s="2" t="str">
        <f>"UN"</f>
        <v>UN</v>
      </c>
      <c r="D14662" s="7">
        <v>917</v>
      </c>
      <c r="E14662" s="3">
        <v>10</v>
      </c>
      <c r="F14662" s="3">
        <v>10</v>
      </c>
      <c r="G14662" t="s">
        <v>514</v>
      </c>
    </row>
    <row r="14663" spans="1:7" x14ac:dyDescent="0.25">
      <c r="A14663" s="1" t="str">
        <f>"501296"</f>
        <v>501296</v>
      </c>
      <c r="B14663" s="2" t="str">
        <f>"LUVA F.G 1 1/2"""</f>
        <v>LUVA F.G 1 1/2"</v>
      </c>
      <c r="C14663" s="2" t="str">
        <f t="shared" ref="C14663:C14669" si="573">"BR"</f>
        <v>BR</v>
      </c>
      <c r="D14663" s="7">
        <v>808</v>
      </c>
      <c r="E14663" s="3">
        <v>10</v>
      </c>
      <c r="F14663" s="3">
        <v>10</v>
      </c>
      <c r="G14663" t="s">
        <v>514</v>
      </c>
    </row>
    <row r="14664" spans="1:7" x14ac:dyDescent="0.25">
      <c r="A14664" s="1" t="str">
        <f>"503588"</f>
        <v>503588</v>
      </c>
      <c r="B14664" s="2" t="str">
        <f>"LUVA F.G 1"""</f>
        <v>LUVA F.G 1"</v>
      </c>
      <c r="C14664" s="2" t="str">
        <f t="shared" si="573"/>
        <v>BR</v>
      </c>
      <c r="D14664" s="7">
        <v>808</v>
      </c>
      <c r="E14664" s="3">
        <v>10</v>
      </c>
      <c r="F14664" s="3">
        <v>10</v>
      </c>
      <c r="G14664" t="s">
        <v>514</v>
      </c>
    </row>
    <row r="14665" spans="1:7" x14ac:dyDescent="0.25">
      <c r="A14665" s="1" t="str">
        <f>"503546"</f>
        <v>503546</v>
      </c>
      <c r="B14665" s="2" t="str">
        <f>"LUVA F.G 1/2"""</f>
        <v>LUVA F.G 1/2"</v>
      </c>
      <c r="C14665" s="2" t="str">
        <f t="shared" si="573"/>
        <v>BR</v>
      </c>
      <c r="D14665" s="7">
        <v>808</v>
      </c>
      <c r="E14665" s="3">
        <v>10</v>
      </c>
      <c r="F14665" s="3">
        <v>10</v>
      </c>
      <c r="G14665" t="s">
        <v>513</v>
      </c>
    </row>
    <row r="14666" spans="1:7" x14ac:dyDescent="0.25">
      <c r="A14666" s="1" t="str">
        <f>"503345"</f>
        <v>503345</v>
      </c>
      <c r="B14666" s="2" t="str">
        <f>"LUVA F.G 1/4"""</f>
        <v>LUVA F.G 1/4"</v>
      </c>
      <c r="C14666" s="2" t="str">
        <f t="shared" si="573"/>
        <v>BR</v>
      </c>
      <c r="D14666" s="7">
        <v>808</v>
      </c>
      <c r="E14666" s="3">
        <v>10</v>
      </c>
      <c r="F14666" s="3">
        <v>10</v>
      </c>
      <c r="G14666" t="s">
        <v>512</v>
      </c>
    </row>
    <row r="14667" spans="1:7" x14ac:dyDescent="0.25">
      <c r="A14667" s="1" t="str">
        <f>"504387"</f>
        <v>504387</v>
      </c>
      <c r="B14667" s="2" t="str">
        <f>"LUVA F.G 2"""</f>
        <v>LUVA F.G 2"</v>
      </c>
      <c r="C14667" s="2" t="str">
        <f t="shared" si="573"/>
        <v>BR</v>
      </c>
      <c r="D14667" s="7">
        <v>808</v>
      </c>
      <c r="E14667" s="3">
        <v>10</v>
      </c>
      <c r="F14667" s="3">
        <v>10</v>
      </c>
      <c r="G14667" t="s">
        <v>513</v>
      </c>
    </row>
    <row r="14668" spans="1:7" x14ac:dyDescent="0.25">
      <c r="A14668" s="1" t="str">
        <f>"502227"</f>
        <v>502227</v>
      </c>
      <c r="B14668" s="2" t="str">
        <f>"LUVA F.G 3/4"""</f>
        <v>LUVA F.G 3/4"</v>
      </c>
      <c r="C14668" s="2" t="str">
        <f t="shared" si="573"/>
        <v>BR</v>
      </c>
      <c r="D14668" s="7">
        <v>808</v>
      </c>
      <c r="E14668" s="3">
        <v>10</v>
      </c>
      <c r="F14668" s="3">
        <v>10</v>
      </c>
      <c r="G14668" t="s">
        <v>514</v>
      </c>
    </row>
    <row r="14669" spans="1:7" x14ac:dyDescent="0.25">
      <c r="A14669" s="1" t="str">
        <f>"503346"</f>
        <v>503346</v>
      </c>
      <c r="B14669" s="2" t="str">
        <f>"LUVA F.G 3/8"""</f>
        <v>LUVA F.G 3/8"</v>
      </c>
      <c r="C14669" s="2" t="str">
        <f t="shared" si="573"/>
        <v>BR</v>
      </c>
      <c r="D14669" s="7">
        <v>808</v>
      </c>
      <c r="E14669" s="3">
        <v>10</v>
      </c>
      <c r="F14669" s="3">
        <v>10</v>
      </c>
      <c r="G14669" t="s">
        <v>514</v>
      </c>
    </row>
    <row r="14670" spans="1:7" x14ac:dyDescent="0.25">
      <c r="A14670" s="1" t="str">
        <f>"512345"</f>
        <v>512345</v>
      </c>
      <c r="B14670" s="2" t="str">
        <f>"LUVA GALVANIZADA 1"""</f>
        <v>LUVA GALVANIZADA 1"</v>
      </c>
      <c r="C14670" s="2" t="str">
        <f>"UN"</f>
        <v>UN</v>
      </c>
      <c r="D14670" s="7">
        <v>601</v>
      </c>
      <c r="E14670" s="3">
        <v>8</v>
      </c>
      <c r="F14670" s="3">
        <v>8</v>
      </c>
      <c r="G14670" t="s">
        <v>514</v>
      </c>
    </row>
    <row r="14671" spans="1:7" x14ac:dyDescent="0.25">
      <c r="A14671" s="1" t="str">
        <f>"512976"</f>
        <v>512976</v>
      </c>
      <c r="B14671" s="2" t="str">
        <f>"LUVA GALVANIZADA 1"""</f>
        <v>LUVA GALVANIZADA 1"</v>
      </c>
      <c r="C14671" s="2" t="str">
        <f>"UN"</f>
        <v>UN</v>
      </c>
      <c r="D14671" s="7">
        <v>918</v>
      </c>
      <c r="E14671" s="3">
        <v>11</v>
      </c>
      <c r="F14671" s="3">
        <v>11</v>
      </c>
      <c r="G14671" t="s">
        <v>513</v>
      </c>
    </row>
    <row r="14672" spans="1:7" x14ac:dyDescent="0.25">
      <c r="A14672" s="1" t="str">
        <f>"513548"</f>
        <v>513548</v>
      </c>
      <c r="B14672" s="2" t="str">
        <f>"LUVA GALVANIZADA 3"""</f>
        <v>LUVA GALVANIZADA 3"</v>
      </c>
      <c r="C14672" s="2" t="str">
        <f>"BR"</f>
        <v>BR</v>
      </c>
      <c r="D14672" s="7">
        <v>808</v>
      </c>
      <c r="E14672" s="3">
        <v>10</v>
      </c>
      <c r="F14672" s="3">
        <v>10</v>
      </c>
      <c r="G14672" t="s">
        <v>513</v>
      </c>
    </row>
    <row r="14673" spans="1:7" x14ac:dyDescent="0.25">
      <c r="A14673" s="1" t="str">
        <f>"513543"</f>
        <v>513543</v>
      </c>
      <c r="B14673" s="2" t="str">
        <f>"LUVA GALVANIZADA 4"""</f>
        <v>LUVA GALVANIZADA 4"</v>
      </c>
      <c r="C14673" s="2" t="str">
        <f>"BR"</f>
        <v>BR</v>
      </c>
      <c r="D14673" s="7">
        <v>808</v>
      </c>
      <c r="E14673" s="3">
        <v>10</v>
      </c>
      <c r="F14673" s="3">
        <v>10</v>
      </c>
      <c r="G14673" t="s">
        <v>513</v>
      </c>
    </row>
    <row r="14674" spans="1:7" x14ac:dyDescent="0.25">
      <c r="A14674" s="1" t="str">
        <f>"6219"</f>
        <v>6219</v>
      </c>
      <c r="B14674" s="2" t="str">
        <f>"LUVA GRAFATEX FIBRA ARAMIDA 204C ALT.TEM"</f>
        <v>LUVA GRAFATEX FIBRA ARAMIDA 204C ALT.TEM</v>
      </c>
      <c r="C14674" s="2" t="str">
        <f>"UN"</f>
        <v>UN</v>
      </c>
      <c r="D14674" s="7">
        <v>501</v>
      </c>
      <c r="E14674" s="3">
        <v>5</v>
      </c>
      <c r="F14674" s="3">
        <v>5</v>
      </c>
      <c r="G14674" t="s">
        <v>512</v>
      </c>
    </row>
    <row r="14675" spans="1:7" x14ac:dyDescent="0.25">
      <c r="A14675" s="1" t="str">
        <f>"513777"</f>
        <v>513777</v>
      </c>
      <c r="B14675" s="2" t="str">
        <f>"LUVA INOX 1/2"" BSP P/ ABRAÇADEIRA"</f>
        <v>LUVA INOX 1/2" BSP P/ ABRAÇADEIRA</v>
      </c>
      <c r="C14675" s="2" t="str">
        <f>"UN"</f>
        <v>UN</v>
      </c>
      <c r="D14675" s="7">
        <v>807</v>
      </c>
      <c r="E14675" s="3">
        <v>10</v>
      </c>
      <c r="F14675" s="3">
        <v>10</v>
      </c>
      <c r="G14675" t="s">
        <v>513</v>
      </c>
    </row>
    <row r="14676" spans="1:7" x14ac:dyDescent="0.25">
      <c r="A14676" s="1" t="str">
        <f>"527596"</f>
        <v>527596</v>
      </c>
      <c r="B14676" s="2" t="str">
        <f>"LUVA ISOLANTE BAIXA TENSÃO"</f>
        <v>LUVA ISOLANTE BAIXA TENSÃO</v>
      </c>
      <c r="C14676" s="2" t="str">
        <f>"UN"</f>
        <v>UN</v>
      </c>
      <c r="D14676" s="7">
        <v>501</v>
      </c>
      <c r="E14676" s="3">
        <v>5</v>
      </c>
      <c r="F14676" s="3">
        <v>5</v>
      </c>
      <c r="G14676" t="s">
        <v>514</v>
      </c>
    </row>
    <row r="14677" spans="1:7" x14ac:dyDescent="0.25">
      <c r="A14677" s="1" t="str">
        <f>"521695"</f>
        <v>521695</v>
      </c>
      <c r="B14677" s="2" t="str">
        <f>"LUVA K 25"</f>
        <v>LUVA K 25</v>
      </c>
      <c r="C14677" s="2" t="str">
        <f>"UN"</f>
        <v>UN</v>
      </c>
      <c r="D14677" s="7">
        <v>99999</v>
      </c>
      <c r="E14677" s="3">
        <v>99</v>
      </c>
      <c r="F14677" s="3">
        <v>99</v>
      </c>
      <c r="G14677" t="s">
        <v>515</v>
      </c>
    </row>
    <row r="14678" spans="1:7" x14ac:dyDescent="0.25">
      <c r="A14678" s="1" t="str">
        <f>"1029"</f>
        <v>1029</v>
      </c>
      <c r="B14678" s="2" t="str">
        <f>"LUVA LA BRANCA TERMA VOLK CA17924"</f>
        <v>LUVA LA BRANCA TERMA VOLK CA17924</v>
      </c>
      <c r="C14678" s="2" t="str">
        <f>"PR"</f>
        <v>PR</v>
      </c>
      <c r="D14678" s="7">
        <v>500</v>
      </c>
      <c r="E14678" s="3">
        <v>5</v>
      </c>
      <c r="F14678" s="3">
        <v>5</v>
      </c>
      <c r="G14678" t="s">
        <v>512</v>
      </c>
    </row>
    <row r="14679" spans="1:7" x14ac:dyDescent="0.25">
      <c r="A14679" s="1" t="str">
        <f>"513414"</f>
        <v>513414</v>
      </c>
      <c r="B14679" s="2" t="str">
        <f>"LUVA LATAO 25 X 1/2"</f>
        <v>LUVA LATAO 25 X 1/2</v>
      </c>
      <c r="C14679" s="2" t="str">
        <f t="shared" ref="C14679:C14712" si="574">"UN"</f>
        <v>UN</v>
      </c>
      <c r="D14679" s="7">
        <v>803</v>
      </c>
      <c r="E14679" s="3">
        <v>4</v>
      </c>
      <c r="F14679" s="3">
        <v>4</v>
      </c>
      <c r="G14679" t="s">
        <v>516</v>
      </c>
    </row>
    <row r="14680" spans="1:7" x14ac:dyDescent="0.25">
      <c r="A14680" s="1" t="str">
        <f>"6788"</f>
        <v>6788</v>
      </c>
      <c r="B14680" s="2" t="str">
        <f>"LUVA LATEX LARANJA"</f>
        <v>LUVA LATEX LARANJA</v>
      </c>
      <c r="C14680" s="2" t="str">
        <f t="shared" si="574"/>
        <v>UN</v>
      </c>
      <c r="D14680" s="7">
        <v>502</v>
      </c>
      <c r="E14680" s="3">
        <v>5</v>
      </c>
      <c r="F14680" s="3">
        <v>5</v>
      </c>
      <c r="G14680" t="s">
        <v>515</v>
      </c>
    </row>
    <row r="14681" spans="1:7" x14ac:dyDescent="0.25">
      <c r="A14681" s="1" t="str">
        <f>"526303"</f>
        <v>526303</v>
      </c>
      <c r="B14681" s="2" t="str">
        <f>"LUVA MALHA 4 FIOS FIBRA ARAMIDA KEVLAR REST CORTE TAM G"</f>
        <v>LUVA MALHA 4 FIOS FIBRA ARAMIDA KEVLAR REST CORTE TAM G</v>
      </c>
      <c r="C14681" s="2" t="str">
        <f t="shared" si="574"/>
        <v>UN</v>
      </c>
      <c r="D14681" s="7">
        <v>501</v>
      </c>
      <c r="E14681" s="3">
        <v>5</v>
      </c>
      <c r="F14681" s="3">
        <v>5</v>
      </c>
      <c r="G14681" t="s">
        <v>514</v>
      </c>
    </row>
    <row r="14682" spans="1:7" x14ac:dyDescent="0.25">
      <c r="A14682" s="1" t="str">
        <f>"526302"</f>
        <v>526302</v>
      </c>
      <c r="B14682" s="2" t="str">
        <f>"LUVA MALHA 4 FIOS FIBRA ARAMIDA KEVLAR REST CORTE TAM M"</f>
        <v>LUVA MALHA 4 FIOS FIBRA ARAMIDA KEVLAR REST CORTE TAM M</v>
      </c>
      <c r="C14682" s="2" t="str">
        <f t="shared" si="574"/>
        <v>UN</v>
      </c>
      <c r="D14682" s="7">
        <v>501</v>
      </c>
      <c r="E14682" s="3">
        <v>5</v>
      </c>
      <c r="F14682" s="3">
        <v>5</v>
      </c>
      <c r="G14682" t="s">
        <v>512</v>
      </c>
    </row>
    <row r="14683" spans="1:7" x14ac:dyDescent="0.25">
      <c r="A14683" s="1" t="str">
        <f>"522813"</f>
        <v>522813</v>
      </c>
      <c r="B14683" s="2" t="str">
        <f>"LUVA MALHA AÇO 05 DEDOS TIRA PLAST. REG. PUNHO 15CM CA-6257"</f>
        <v>LUVA MALHA AÇO 05 DEDOS TIRA PLAST. REG. PUNHO 15CM CA-6257</v>
      </c>
      <c r="C14683" s="2" t="str">
        <f t="shared" si="574"/>
        <v>UN</v>
      </c>
      <c r="D14683" s="7">
        <v>501</v>
      </c>
      <c r="E14683" s="3">
        <v>5</v>
      </c>
      <c r="F14683" s="3">
        <v>5</v>
      </c>
      <c r="G14683" t="s">
        <v>513</v>
      </c>
    </row>
    <row r="14684" spans="1:7" x14ac:dyDescent="0.25">
      <c r="A14684" s="1" t="str">
        <f>"523873"</f>
        <v>523873</v>
      </c>
      <c r="B14684" s="2" t="str">
        <f>"LUVA MALHA ALGODÃO KALIPSO CA-15915/11127"</f>
        <v>LUVA MALHA ALGODÃO KALIPSO CA-15915/11127</v>
      </c>
      <c r="C14684" s="2" t="str">
        <f t="shared" si="574"/>
        <v>UN</v>
      </c>
      <c r="D14684" s="7">
        <v>502</v>
      </c>
      <c r="E14684" s="3">
        <v>5</v>
      </c>
      <c r="F14684" s="3">
        <v>5</v>
      </c>
      <c r="G14684" t="s">
        <v>514</v>
      </c>
    </row>
    <row r="14685" spans="1:7" x14ac:dyDescent="0.25">
      <c r="A14685" s="1" t="str">
        <f>"524083"</f>
        <v>524083</v>
      </c>
      <c r="B14685" s="2" t="str">
        <f>"LUVA MODELO DA36104 NITRIFLEX LONGA DANNY CA12254 TAM G45CM"</f>
        <v>LUVA MODELO DA36104 NITRIFLEX LONGA DANNY CA12254 TAM G45CM</v>
      </c>
      <c r="C14685" s="2" t="str">
        <f t="shared" si="574"/>
        <v>UN</v>
      </c>
      <c r="D14685" s="7">
        <v>501</v>
      </c>
      <c r="E14685" s="3">
        <v>5</v>
      </c>
      <c r="F14685" s="3">
        <v>5</v>
      </c>
      <c r="G14685" t="s">
        <v>514</v>
      </c>
    </row>
    <row r="14686" spans="1:7" x14ac:dyDescent="0.25">
      <c r="A14686" s="1" t="str">
        <f>"524082"</f>
        <v>524082</v>
      </c>
      <c r="B14686" s="2" t="str">
        <f>"LUVA MODELO DA36104 NITRIFLEX LONGA DANNY CA-12254 TAM M"</f>
        <v>LUVA MODELO DA36104 NITRIFLEX LONGA DANNY CA-12254 TAM M</v>
      </c>
      <c r="C14686" s="2" t="str">
        <f t="shared" si="574"/>
        <v>UN</v>
      </c>
      <c r="D14686" s="7">
        <v>501</v>
      </c>
      <c r="E14686" s="3">
        <v>5</v>
      </c>
      <c r="F14686" s="3">
        <v>5</v>
      </c>
      <c r="G14686" t="s">
        <v>512</v>
      </c>
    </row>
    <row r="14687" spans="1:7" x14ac:dyDescent="0.25">
      <c r="A14687" s="1" t="str">
        <f>"524084"</f>
        <v>524084</v>
      </c>
      <c r="B14687" s="2" t="str">
        <f>"LUVA MODELO DA36104 NITRIFLEX LONGA DANNY CA12254 TAM XG45CM"</f>
        <v>LUVA MODELO DA36104 NITRIFLEX LONGA DANNY CA12254 TAM XG45CM</v>
      </c>
      <c r="C14687" s="2" t="str">
        <f t="shared" si="574"/>
        <v>UN</v>
      </c>
      <c r="D14687" s="7">
        <v>501</v>
      </c>
      <c r="E14687" s="3">
        <v>5</v>
      </c>
      <c r="F14687" s="3">
        <v>5</v>
      </c>
      <c r="G14687" t="s">
        <v>513</v>
      </c>
    </row>
    <row r="14688" spans="1:7" x14ac:dyDescent="0.25">
      <c r="A14688" s="1" t="str">
        <f>"523872"</f>
        <v>523872</v>
      </c>
      <c r="B14688" s="2" t="str">
        <f>"LUVA NITRILICA DANNY - CA-8083"</f>
        <v>LUVA NITRILICA DANNY - CA-8083</v>
      </c>
      <c r="C14688" s="2" t="str">
        <f t="shared" si="574"/>
        <v>UN</v>
      </c>
      <c r="D14688" s="7">
        <v>502</v>
      </c>
      <c r="E14688" s="3">
        <v>5</v>
      </c>
      <c r="F14688" s="3">
        <v>5</v>
      </c>
      <c r="G14688" t="s">
        <v>514</v>
      </c>
    </row>
    <row r="14689" spans="1:7" x14ac:dyDescent="0.25">
      <c r="A14689" s="1" t="str">
        <f>"524096"</f>
        <v>524096</v>
      </c>
      <c r="B14689" s="2" t="str">
        <f>"LUVA NITRILICA NITRASOLV DANNY 0,30 S/ FORRO CA-25313 TAM GG"</f>
        <v>LUVA NITRILICA NITRASOLV DANNY 0,30 S/ FORRO CA-25313 TAM GG</v>
      </c>
      <c r="C14689" s="2" t="str">
        <f t="shared" si="574"/>
        <v>UN</v>
      </c>
      <c r="D14689" s="7">
        <v>502</v>
      </c>
      <c r="E14689" s="3">
        <v>5</v>
      </c>
      <c r="F14689" s="3">
        <v>5</v>
      </c>
      <c r="G14689" t="s">
        <v>514</v>
      </c>
    </row>
    <row r="14690" spans="1:7" x14ac:dyDescent="0.25">
      <c r="A14690" s="1" t="str">
        <f>"524095"</f>
        <v>524095</v>
      </c>
      <c r="B14690" s="2" t="str">
        <f>"LUVA NITRILICA NITRASOLV DANNY 0,30 S/ FORRO CA-25313 TAM. G"</f>
        <v>LUVA NITRILICA NITRASOLV DANNY 0,30 S/ FORRO CA-25313 TAM. G</v>
      </c>
      <c r="C14690" s="2" t="str">
        <f t="shared" si="574"/>
        <v>UN</v>
      </c>
      <c r="D14690" s="7">
        <v>502</v>
      </c>
      <c r="E14690" s="3">
        <v>5</v>
      </c>
      <c r="F14690" s="3">
        <v>5</v>
      </c>
      <c r="G14690" t="s">
        <v>514</v>
      </c>
    </row>
    <row r="14691" spans="1:7" x14ac:dyDescent="0.25">
      <c r="A14691" s="1" t="str">
        <f>"524094"</f>
        <v>524094</v>
      </c>
      <c r="B14691" s="2" t="str">
        <f>"LUVA NITRILICA NITRASOLV DANNY 0,30 S/ FORRO CA-25313 TAM. M"</f>
        <v>LUVA NITRILICA NITRASOLV DANNY 0,30 S/ FORRO CA-25313 TAM. M</v>
      </c>
      <c r="C14691" s="2" t="str">
        <f t="shared" si="574"/>
        <v>UN</v>
      </c>
      <c r="D14691" s="7">
        <v>502</v>
      </c>
      <c r="E14691" s="3">
        <v>5</v>
      </c>
      <c r="F14691" s="3">
        <v>5</v>
      </c>
      <c r="G14691" t="s">
        <v>513</v>
      </c>
    </row>
    <row r="14692" spans="1:7" x14ac:dyDescent="0.25">
      <c r="A14692" s="1" t="str">
        <f>"527971"</f>
        <v>527971</v>
      </c>
      <c r="B14692" s="2" t="str">
        <f>"LUVA NITRILICA NITRASOLV DANNY 0,30 S/ FORRO CA-25313 TAM. P"</f>
        <v>LUVA NITRILICA NITRASOLV DANNY 0,30 S/ FORRO CA-25313 TAM. P</v>
      </c>
      <c r="C14692" s="2" t="str">
        <f t="shared" si="574"/>
        <v>UN</v>
      </c>
      <c r="D14692" s="7">
        <v>502</v>
      </c>
      <c r="E14692" s="3">
        <v>5</v>
      </c>
      <c r="F14692" s="3">
        <v>5</v>
      </c>
      <c r="G14692" t="s">
        <v>512</v>
      </c>
    </row>
    <row r="14693" spans="1:7" x14ac:dyDescent="0.25">
      <c r="A14693" s="1" t="str">
        <f>"3460"</f>
        <v>3460</v>
      </c>
      <c r="B14693" s="2" t="str">
        <f>"LUVA NITRILICA SENSIVOLK PLUS TAMANHO EG CA-17129"</f>
        <v>LUVA NITRILICA SENSIVOLK PLUS TAMANHO EG CA-17129</v>
      </c>
      <c r="C14693" s="2" t="str">
        <f t="shared" si="574"/>
        <v>UN</v>
      </c>
      <c r="D14693" s="7">
        <v>502</v>
      </c>
      <c r="E14693" s="3">
        <v>5</v>
      </c>
      <c r="F14693" s="3">
        <v>5</v>
      </c>
      <c r="G14693" t="s">
        <v>513</v>
      </c>
    </row>
    <row r="14694" spans="1:7" x14ac:dyDescent="0.25">
      <c r="A14694" s="1" t="str">
        <f>"527567"</f>
        <v>527567</v>
      </c>
      <c r="B14694" s="2" t="str">
        <f>"LUVA NITRÍLICA SUPERMAX IGNITE, CA 41843 - TAM. G"</f>
        <v>LUVA NITRÍLICA SUPERMAX IGNITE, CA 41843 - TAM. G</v>
      </c>
      <c r="C14694" s="2" t="str">
        <f t="shared" si="574"/>
        <v>UN</v>
      </c>
      <c r="D14694" s="7">
        <v>502</v>
      </c>
      <c r="E14694" s="3">
        <v>5</v>
      </c>
      <c r="F14694" s="3">
        <v>5</v>
      </c>
      <c r="G14694" t="s">
        <v>514</v>
      </c>
    </row>
    <row r="14695" spans="1:7" x14ac:dyDescent="0.25">
      <c r="A14695" s="1" t="str">
        <f>"527568"</f>
        <v>527568</v>
      </c>
      <c r="B14695" s="2" t="str">
        <f>"LUVA NITRÍLICA SUPERMAX IGNITE, CA 41843 - TAM. GG"</f>
        <v>LUVA NITRÍLICA SUPERMAX IGNITE, CA 41843 - TAM. GG</v>
      </c>
      <c r="C14695" s="2" t="str">
        <f t="shared" si="574"/>
        <v>UN</v>
      </c>
      <c r="D14695" s="7">
        <v>502</v>
      </c>
      <c r="E14695" s="3">
        <v>5</v>
      </c>
      <c r="F14695" s="3">
        <v>5</v>
      </c>
      <c r="G14695" t="s">
        <v>514</v>
      </c>
    </row>
    <row r="14696" spans="1:7" x14ac:dyDescent="0.25">
      <c r="A14696" s="1" t="str">
        <f>"527566"</f>
        <v>527566</v>
      </c>
      <c r="B14696" s="2" t="str">
        <f>"LUVA NITRÍLICA SUPERMAX IGNITE, CA 41843 - TAM. M"</f>
        <v>LUVA NITRÍLICA SUPERMAX IGNITE, CA 41843 - TAM. M</v>
      </c>
      <c r="C14696" s="2" t="str">
        <f t="shared" si="574"/>
        <v>UN</v>
      </c>
      <c r="D14696" s="7">
        <v>502</v>
      </c>
      <c r="E14696" s="3">
        <v>5</v>
      </c>
      <c r="F14696" s="3">
        <v>5</v>
      </c>
      <c r="G14696" t="s">
        <v>514</v>
      </c>
    </row>
    <row r="14697" spans="1:7" x14ac:dyDescent="0.25">
      <c r="A14697" s="1" t="str">
        <f>"3177"</f>
        <v>3177</v>
      </c>
      <c r="B14697" s="2" t="str">
        <f>"LUVA NITRILICA VOLK - G CA-16314"</f>
        <v>LUVA NITRILICA VOLK - G CA-16314</v>
      </c>
      <c r="C14697" s="2" t="str">
        <f t="shared" si="574"/>
        <v>UN</v>
      </c>
      <c r="D14697" s="7">
        <v>502</v>
      </c>
      <c r="E14697" s="3">
        <v>5</v>
      </c>
      <c r="F14697" s="3">
        <v>5</v>
      </c>
      <c r="G14697" t="s">
        <v>513</v>
      </c>
    </row>
    <row r="14698" spans="1:7" x14ac:dyDescent="0.25">
      <c r="A14698" s="1" t="str">
        <f>"3178"</f>
        <v>3178</v>
      </c>
      <c r="B14698" s="2" t="str">
        <f>"LUVA NITRILICA VOLK - GG CA-16314"</f>
        <v>LUVA NITRILICA VOLK - GG CA-16314</v>
      </c>
      <c r="C14698" s="2" t="str">
        <f t="shared" si="574"/>
        <v>UN</v>
      </c>
      <c r="D14698" s="7">
        <v>502</v>
      </c>
      <c r="E14698" s="3">
        <v>5</v>
      </c>
      <c r="F14698" s="3">
        <v>5</v>
      </c>
      <c r="G14698" t="s">
        <v>513</v>
      </c>
    </row>
    <row r="14699" spans="1:7" x14ac:dyDescent="0.25">
      <c r="A14699" s="1" t="str">
        <f>"520703"</f>
        <v>520703</v>
      </c>
      <c r="B14699" s="2" t="str">
        <f>"LUVA NITRILICA VOLK - M CA-16314"</f>
        <v>LUVA NITRILICA VOLK - M CA-16314</v>
      </c>
      <c r="C14699" s="2" t="str">
        <f t="shared" si="574"/>
        <v>UN</v>
      </c>
      <c r="D14699" s="7">
        <v>502</v>
      </c>
      <c r="E14699" s="3">
        <v>5</v>
      </c>
      <c r="F14699" s="3">
        <v>5</v>
      </c>
      <c r="G14699" t="s">
        <v>513</v>
      </c>
    </row>
    <row r="14700" spans="1:7" x14ac:dyDescent="0.25">
      <c r="A14700" s="1" t="str">
        <f>"526301"</f>
        <v>526301</v>
      </c>
      <c r="B14700" s="2" t="str">
        <f>"LUVA P/ CORTE SUPER SAFETY SS1007-N CA-32039 TAM G"</f>
        <v>LUVA P/ CORTE SUPER SAFETY SS1007-N CA-32039 TAM G</v>
      </c>
      <c r="C14700" s="2" t="str">
        <f t="shared" si="574"/>
        <v>UN</v>
      </c>
      <c r="D14700" s="7">
        <v>501</v>
      </c>
      <c r="E14700" s="3">
        <v>5</v>
      </c>
      <c r="F14700" s="3">
        <v>5</v>
      </c>
      <c r="G14700" t="s">
        <v>512</v>
      </c>
    </row>
    <row r="14701" spans="1:7" x14ac:dyDescent="0.25">
      <c r="A14701" s="1" t="str">
        <f>"526300"</f>
        <v>526300</v>
      </c>
      <c r="B14701" s="2" t="str">
        <f>"LUVA P/ CORTE SUPER SAFETY SS1007-N CA-32039 TAM M"</f>
        <v>LUVA P/ CORTE SUPER SAFETY SS1007-N CA-32039 TAM M</v>
      </c>
      <c r="C14701" s="2" t="str">
        <f t="shared" si="574"/>
        <v>UN</v>
      </c>
      <c r="D14701" s="7">
        <v>501</v>
      </c>
      <c r="E14701" s="3">
        <v>5</v>
      </c>
      <c r="F14701" s="3">
        <v>5</v>
      </c>
      <c r="G14701" t="s">
        <v>513</v>
      </c>
    </row>
    <row r="14702" spans="1:7" x14ac:dyDescent="0.25">
      <c r="A14702" s="1" t="str">
        <f>"523196"</f>
        <v>523196</v>
      </c>
      <c r="B14702" s="2" t="str">
        <f>"LUVA P/ ELETRODUTO GALVANIZADO A FOGO 3/4"</f>
        <v>LUVA P/ ELETRODUTO GALVANIZADO A FOGO 3/4</v>
      </c>
      <c r="C14702" s="2" t="str">
        <f t="shared" si="574"/>
        <v>UN</v>
      </c>
      <c r="D14702" s="7">
        <v>811</v>
      </c>
      <c r="E14702" s="3">
        <v>10</v>
      </c>
      <c r="F14702" s="3">
        <v>10</v>
      </c>
      <c r="G14702" t="s">
        <v>514</v>
      </c>
    </row>
    <row r="14703" spans="1:7" x14ac:dyDescent="0.25">
      <c r="A14703" s="1" t="str">
        <f>"509841"</f>
        <v>509841</v>
      </c>
      <c r="B14703" s="2" t="str">
        <f>"LUVA P/ ELETRODUTO PVC 1 1/2"" - PRETO"</f>
        <v>LUVA P/ ELETRODUTO PVC 1 1/2" - PRETO</v>
      </c>
      <c r="C14703" s="2" t="str">
        <f t="shared" si="574"/>
        <v>UN</v>
      </c>
      <c r="D14703" s="7">
        <v>601</v>
      </c>
      <c r="E14703" s="3">
        <v>8</v>
      </c>
      <c r="F14703" s="3">
        <v>8</v>
      </c>
      <c r="G14703" t="s">
        <v>515</v>
      </c>
    </row>
    <row r="14704" spans="1:7" x14ac:dyDescent="0.25">
      <c r="A14704" s="1" t="str">
        <f>"506963"</f>
        <v>506963</v>
      </c>
      <c r="B14704" s="2" t="str">
        <f>"LUVA P/ ELETRODUTO PVC 1""   - CINZA"</f>
        <v>LUVA P/ ELETRODUTO PVC 1"   - CINZA</v>
      </c>
      <c r="C14704" s="2" t="str">
        <f t="shared" si="574"/>
        <v>UN</v>
      </c>
      <c r="D14704" s="7">
        <v>917</v>
      </c>
      <c r="E14704" s="3">
        <v>11</v>
      </c>
      <c r="F14704" s="3">
        <v>11</v>
      </c>
      <c r="G14704" t="s">
        <v>512</v>
      </c>
    </row>
    <row r="14705" spans="1:7" x14ac:dyDescent="0.25">
      <c r="A14705" s="1" t="str">
        <f>"509426"</f>
        <v>509426</v>
      </c>
      <c r="B14705" s="2" t="str">
        <f>"LUVA P/ ELETRODUTO PVC 1/2"" - CINZA"</f>
        <v>LUVA P/ ELETRODUTO PVC 1/2" - CINZA</v>
      </c>
      <c r="C14705" s="2" t="str">
        <f t="shared" si="574"/>
        <v>UN</v>
      </c>
      <c r="D14705" s="7">
        <v>601</v>
      </c>
      <c r="E14705" s="3">
        <v>8</v>
      </c>
      <c r="F14705" s="3">
        <v>8</v>
      </c>
      <c r="G14705" t="s">
        <v>516</v>
      </c>
    </row>
    <row r="14706" spans="1:7" x14ac:dyDescent="0.25">
      <c r="A14706" s="1" t="str">
        <f>"510984"</f>
        <v>510984</v>
      </c>
      <c r="B14706" s="2" t="str">
        <f>"LUVA P/ ELETRODUTO PVC 2 1/2"""</f>
        <v>LUVA P/ ELETRODUTO PVC 2 1/2"</v>
      </c>
      <c r="C14706" s="2" t="str">
        <f t="shared" si="574"/>
        <v>UN</v>
      </c>
      <c r="D14706" s="7">
        <v>601</v>
      </c>
      <c r="E14706" s="3">
        <v>8</v>
      </c>
      <c r="F14706" s="3">
        <v>8</v>
      </c>
      <c r="G14706" t="s">
        <v>515</v>
      </c>
    </row>
    <row r="14707" spans="1:7" x14ac:dyDescent="0.25">
      <c r="A14707" s="1" t="str">
        <f>"506969"</f>
        <v>506969</v>
      </c>
      <c r="B14707" s="2" t="str">
        <f>"LUVA P/ ELETRODUTO PVC 2"""</f>
        <v>LUVA P/ ELETRODUTO PVC 2"</v>
      </c>
      <c r="C14707" s="2" t="str">
        <f t="shared" si="574"/>
        <v>UN</v>
      </c>
      <c r="D14707" s="7">
        <v>917</v>
      </c>
      <c r="E14707" s="3">
        <v>11</v>
      </c>
      <c r="F14707" s="3">
        <v>11</v>
      </c>
      <c r="G14707" t="s">
        <v>514</v>
      </c>
    </row>
    <row r="14708" spans="1:7" x14ac:dyDescent="0.25">
      <c r="A14708" s="1" t="str">
        <f>"510855"</f>
        <v>510855</v>
      </c>
      <c r="B14708" s="2" t="str">
        <f>"LUVA P/ ELETRODUTO PVC 3"""</f>
        <v>LUVA P/ ELETRODUTO PVC 3"</v>
      </c>
      <c r="C14708" s="2" t="str">
        <f t="shared" si="574"/>
        <v>UN</v>
      </c>
      <c r="D14708" s="7">
        <v>601</v>
      </c>
      <c r="E14708" s="3">
        <v>8</v>
      </c>
      <c r="F14708" s="3">
        <v>8</v>
      </c>
      <c r="G14708" t="s">
        <v>512</v>
      </c>
    </row>
    <row r="14709" spans="1:7" x14ac:dyDescent="0.25">
      <c r="A14709" s="1" t="str">
        <f>"509889"</f>
        <v>509889</v>
      </c>
      <c r="B14709" s="2" t="str">
        <f>"LUVA P/ ELETRODUTO PVC 3/4"" - CINZA"</f>
        <v>LUVA P/ ELETRODUTO PVC 3/4" - CINZA</v>
      </c>
      <c r="C14709" s="2" t="str">
        <f t="shared" si="574"/>
        <v>UN</v>
      </c>
      <c r="D14709" s="7">
        <v>601</v>
      </c>
      <c r="E14709" s="3">
        <v>8</v>
      </c>
      <c r="F14709" s="3">
        <v>8</v>
      </c>
      <c r="G14709" t="s">
        <v>513</v>
      </c>
    </row>
    <row r="14710" spans="1:7" x14ac:dyDescent="0.25">
      <c r="A14710" s="1" t="str">
        <f>"510394"</f>
        <v>510394</v>
      </c>
      <c r="B14710" s="2" t="str">
        <f>"LUVA P/ ELETRODUTO PVC 4"""</f>
        <v>LUVA P/ ELETRODUTO PVC 4"</v>
      </c>
      <c r="C14710" s="2" t="str">
        <f t="shared" si="574"/>
        <v>UN</v>
      </c>
      <c r="D14710" s="7">
        <v>601</v>
      </c>
      <c r="E14710" s="3">
        <v>8</v>
      </c>
      <c r="F14710" s="3">
        <v>8</v>
      </c>
      <c r="G14710" t="s">
        <v>514</v>
      </c>
    </row>
    <row r="14711" spans="1:7" x14ac:dyDescent="0.25">
      <c r="A14711" s="1" t="str">
        <f>"512985"</f>
        <v>512985</v>
      </c>
      <c r="B14711" s="2" t="str">
        <f>"LUVA P/ MANOBRA ALTA TENSÃO 17000V CA 29773"</f>
        <v>LUVA P/ MANOBRA ALTA TENSÃO 17000V CA 29773</v>
      </c>
      <c r="C14711" s="2" t="str">
        <f t="shared" si="574"/>
        <v>UN</v>
      </c>
      <c r="D14711" s="7">
        <v>501</v>
      </c>
      <c r="E14711" s="3">
        <v>5</v>
      </c>
      <c r="F14711" s="3">
        <v>5</v>
      </c>
      <c r="G14711" t="s">
        <v>514</v>
      </c>
    </row>
    <row r="14712" spans="1:7" x14ac:dyDescent="0.25">
      <c r="A14712" s="1" t="str">
        <f>"524058"</f>
        <v>524058</v>
      </c>
      <c r="B14712" s="2" t="str">
        <f>"LUVA PRETA BANHO PU VOLK CA-30916"</f>
        <v>LUVA PRETA BANHO PU VOLK CA-30916</v>
      </c>
      <c r="C14712" s="2" t="str">
        <f t="shared" si="574"/>
        <v>UN</v>
      </c>
      <c r="D14712" s="7">
        <v>501</v>
      </c>
      <c r="E14712" s="3">
        <v>5</v>
      </c>
      <c r="F14712" s="3">
        <v>5</v>
      </c>
      <c r="G14712" t="s">
        <v>512</v>
      </c>
    </row>
    <row r="14713" spans="1:7" x14ac:dyDescent="0.25">
      <c r="A14713" s="1" t="str">
        <f>"2148"</f>
        <v>2148</v>
      </c>
      <c r="B14713" s="2" t="str">
        <f>"LUVA PROCEDIMENTO LATEX TAMANHO G"</f>
        <v>LUVA PROCEDIMENTO LATEX TAMANHO G</v>
      </c>
      <c r="C14713" s="2" t="str">
        <f>"CX"</f>
        <v>CX</v>
      </c>
      <c r="D14713" s="7">
        <v>502</v>
      </c>
      <c r="E14713" s="3">
        <v>5</v>
      </c>
      <c r="F14713" s="3">
        <v>5</v>
      </c>
      <c r="G14713" t="s">
        <v>513</v>
      </c>
    </row>
    <row r="14714" spans="1:7" x14ac:dyDescent="0.25">
      <c r="A14714" s="1" t="str">
        <f>"2149"</f>
        <v>2149</v>
      </c>
      <c r="B14714" s="2" t="str">
        <f>"LUVA PROCEDIMENTO LATEX TAMANHO GG"</f>
        <v>LUVA PROCEDIMENTO LATEX TAMANHO GG</v>
      </c>
      <c r="C14714" s="2" t="str">
        <f>"CX"</f>
        <v>CX</v>
      </c>
      <c r="D14714" s="7">
        <v>502</v>
      </c>
      <c r="E14714" s="3">
        <v>5</v>
      </c>
      <c r="F14714" s="3">
        <v>5</v>
      </c>
      <c r="G14714" t="s">
        <v>514</v>
      </c>
    </row>
    <row r="14715" spans="1:7" x14ac:dyDescent="0.25">
      <c r="A14715" s="1" t="str">
        <f>"2151"</f>
        <v>2151</v>
      </c>
      <c r="B14715" s="2" t="str">
        <f>"LUVA PROCEDIMENTO LATEX TAMANHO M"</f>
        <v>LUVA PROCEDIMENTO LATEX TAMANHO M</v>
      </c>
      <c r="C14715" s="2" t="str">
        <f>"CX"</f>
        <v>CX</v>
      </c>
      <c r="D14715" s="7">
        <v>502</v>
      </c>
      <c r="E14715" s="3">
        <v>5</v>
      </c>
      <c r="F14715" s="3">
        <v>5</v>
      </c>
      <c r="G14715" t="s">
        <v>514</v>
      </c>
    </row>
    <row r="14716" spans="1:7" x14ac:dyDescent="0.25">
      <c r="A14716" s="1" t="str">
        <f>"2150"</f>
        <v>2150</v>
      </c>
      <c r="B14716" s="2" t="str">
        <f>"LUVA PROCEDIMENTO LATEX TAMANHO P"</f>
        <v>LUVA PROCEDIMENTO LATEX TAMANHO P</v>
      </c>
      <c r="C14716" s="2" t="str">
        <f>"CX"</f>
        <v>CX</v>
      </c>
      <c r="D14716" s="7">
        <v>502</v>
      </c>
      <c r="E14716" s="3">
        <v>5</v>
      </c>
      <c r="F14716" s="3">
        <v>5</v>
      </c>
      <c r="G14716" t="s">
        <v>514</v>
      </c>
    </row>
    <row r="14717" spans="1:7" x14ac:dyDescent="0.25">
      <c r="A14717" s="1" t="str">
        <f>"3459"</f>
        <v>3459</v>
      </c>
      <c r="B14717" s="2" t="str">
        <f>"LUVA PROCEDIMENTO NITRILICA TAMANHO EG CA-35633"</f>
        <v>LUVA PROCEDIMENTO NITRILICA TAMANHO EG CA-35633</v>
      </c>
      <c r="C14717" s="2" t="str">
        <f>"UN"</f>
        <v>UN</v>
      </c>
      <c r="D14717" s="7">
        <v>502</v>
      </c>
      <c r="E14717" s="3">
        <v>5</v>
      </c>
      <c r="F14717" s="3">
        <v>5</v>
      </c>
      <c r="G14717" t="s">
        <v>513</v>
      </c>
    </row>
    <row r="14718" spans="1:7" x14ac:dyDescent="0.25">
      <c r="A14718" s="1" t="str">
        <f>"3451"</f>
        <v>3451</v>
      </c>
      <c r="B14718" s="2" t="str">
        <f>"LUVA PROCEDIMENTO NITRILICA TAMANHO G CA-35633"</f>
        <v>LUVA PROCEDIMENTO NITRILICA TAMANHO G CA-35633</v>
      </c>
      <c r="C14718" s="2" t="str">
        <f>"UN"</f>
        <v>UN</v>
      </c>
      <c r="D14718" s="7">
        <v>502</v>
      </c>
      <c r="E14718" s="3">
        <v>5</v>
      </c>
      <c r="F14718" s="3">
        <v>5</v>
      </c>
      <c r="G14718" t="s">
        <v>512</v>
      </c>
    </row>
    <row r="14719" spans="1:7" x14ac:dyDescent="0.25">
      <c r="A14719" s="1" t="str">
        <f>"2147"</f>
        <v>2147</v>
      </c>
      <c r="B14719" s="2" t="str">
        <f>"LUVA PROCEDIMENTO NITRILICA TAMANHO M CA-35633"</f>
        <v>LUVA PROCEDIMENTO NITRILICA TAMANHO M CA-35633</v>
      </c>
      <c r="C14719" s="2" t="str">
        <f>"CX"</f>
        <v>CX</v>
      </c>
      <c r="D14719" s="7">
        <v>502</v>
      </c>
      <c r="E14719" s="3">
        <v>5</v>
      </c>
      <c r="F14719" s="3">
        <v>5</v>
      </c>
      <c r="G14719" t="s">
        <v>513</v>
      </c>
    </row>
    <row r="14720" spans="1:7" x14ac:dyDescent="0.25">
      <c r="A14720" s="1" t="str">
        <f>"6101"</f>
        <v>6101</v>
      </c>
      <c r="B14720" s="2" t="str">
        <f>"LUVA PROCEDIMENTO NITRILICA TAMANHO P CA-35633"</f>
        <v>LUVA PROCEDIMENTO NITRILICA TAMANHO P CA-35633</v>
      </c>
      <c r="C14720" s="2" t="str">
        <f>"UN"</f>
        <v>UN</v>
      </c>
      <c r="D14720" s="7">
        <v>502</v>
      </c>
      <c r="E14720" s="3">
        <v>5</v>
      </c>
      <c r="F14720" s="3">
        <v>5</v>
      </c>
      <c r="G14720" t="s">
        <v>514</v>
      </c>
    </row>
    <row r="14721" spans="1:7" x14ac:dyDescent="0.25">
      <c r="A14721" s="1" t="str">
        <f>"523987"</f>
        <v>523987</v>
      </c>
      <c r="B14721" s="2" t="str">
        <f>"LUVA PROCEDIMENTO VINIL TAMANHO M CA-21088"</f>
        <v>LUVA PROCEDIMENTO VINIL TAMANHO M CA-21088</v>
      </c>
      <c r="C14721" s="2" t="str">
        <f>"CX"</f>
        <v>CX</v>
      </c>
      <c r="D14721" s="7">
        <v>502</v>
      </c>
      <c r="E14721" s="3">
        <v>5</v>
      </c>
      <c r="F14721" s="3">
        <v>5</v>
      </c>
      <c r="G14721" t="s">
        <v>514</v>
      </c>
    </row>
    <row r="14722" spans="1:7" x14ac:dyDescent="0.25">
      <c r="A14722" s="1" t="str">
        <f>"521694"</f>
        <v>521694</v>
      </c>
      <c r="B14722" s="2" t="str">
        <f>"LUVA PROMAT 780"</f>
        <v>LUVA PROMAT 780</v>
      </c>
      <c r="C14722" s="2" t="str">
        <f t="shared" ref="C14722:C14728" si="575">"UN"</f>
        <v>UN</v>
      </c>
      <c r="D14722" s="7">
        <v>99999</v>
      </c>
      <c r="E14722" s="3">
        <v>99</v>
      </c>
      <c r="F14722" s="3">
        <v>99</v>
      </c>
      <c r="G14722" t="s">
        <v>514</v>
      </c>
    </row>
    <row r="14723" spans="1:7" x14ac:dyDescent="0.25">
      <c r="A14723" s="1" t="str">
        <f>"6168"</f>
        <v>6168</v>
      </c>
      <c r="B14723" s="2" t="str">
        <f>"LUVA PROT. CONTRA AGENTES MECÂNICOS/QUÍMICOS VOLK CA-25280"</f>
        <v>LUVA PROT. CONTRA AGENTES MECÂNICOS/QUÍMICOS VOLK CA-25280</v>
      </c>
      <c r="C14723" s="2" t="str">
        <f t="shared" si="575"/>
        <v>UN</v>
      </c>
      <c r="D14723" s="7">
        <v>501</v>
      </c>
      <c r="E14723" s="3">
        <v>5</v>
      </c>
      <c r="F14723" s="3">
        <v>5</v>
      </c>
      <c r="G14723" t="s">
        <v>513</v>
      </c>
    </row>
    <row r="14724" spans="1:7" x14ac:dyDescent="0.25">
      <c r="A14724" s="1" t="str">
        <f>"522301"</f>
        <v>522301</v>
      </c>
      <c r="B14724" s="2" t="str">
        <f>"LUVA PROTEÇÃO CONTRA AGENTES MECÂNICOS CA-11127"</f>
        <v>LUVA PROTEÇÃO CONTRA AGENTES MECÂNICOS CA-11127</v>
      </c>
      <c r="C14724" s="2" t="str">
        <f t="shared" si="575"/>
        <v>UN</v>
      </c>
      <c r="D14724" s="7">
        <v>99999</v>
      </c>
      <c r="E14724" s="3">
        <v>99</v>
      </c>
      <c r="F14724" s="3">
        <v>99</v>
      </c>
      <c r="G14724" t="s">
        <v>513</v>
      </c>
    </row>
    <row r="14725" spans="1:7" x14ac:dyDescent="0.25">
      <c r="A14725" s="1" t="str">
        <f>"512969"</f>
        <v>512969</v>
      </c>
      <c r="B14725" s="2" t="str">
        <f>"LUVA PROTETORA EIXO 65315 INOX"</f>
        <v>LUVA PROTETORA EIXO 65315 INOX</v>
      </c>
      <c r="C14725" s="2" t="str">
        <f t="shared" si="575"/>
        <v>UN</v>
      </c>
      <c r="D14725" s="7">
        <v>918</v>
      </c>
      <c r="E14725" s="3">
        <v>11</v>
      </c>
      <c r="F14725" s="3">
        <v>11</v>
      </c>
      <c r="G14725" t="s">
        <v>513</v>
      </c>
    </row>
    <row r="14726" spans="1:7" x14ac:dyDescent="0.25">
      <c r="A14726" s="1" t="str">
        <f>"519910"</f>
        <v>519910</v>
      </c>
      <c r="B14726" s="2" t="str">
        <f>"LUVA PVC 40MM BRANCA"</f>
        <v>LUVA PVC 40MM BRANCA</v>
      </c>
      <c r="C14726" s="2" t="str">
        <f t="shared" si="575"/>
        <v>UN</v>
      </c>
      <c r="D14726" s="7">
        <v>808</v>
      </c>
      <c r="E14726" s="3">
        <v>10</v>
      </c>
      <c r="F14726" s="3">
        <v>10</v>
      </c>
      <c r="G14726" t="s">
        <v>512</v>
      </c>
    </row>
    <row r="14727" spans="1:7" x14ac:dyDescent="0.25">
      <c r="A14727" s="1" t="str">
        <f>"518355"</f>
        <v>518355</v>
      </c>
      <c r="B14727" s="2" t="str">
        <f>"LUVA PVC BRANCO ROSCA 1/2"</f>
        <v>LUVA PVC BRANCO ROSCA 1/2</v>
      </c>
      <c r="C14727" s="2" t="str">
        <f t="shared" si="575"/>
        <v>UN</v>
      </c>
      <c r="D14727" s="7">
        <v>912</v>
      </c>
      <c r="E14727" s="3">
        <v>10</v>
      </c>
      <c r="F14727" s="3">
        <v>10</v>
      </c>
      <c r="G14727" t="s">
        <v>513</v>
      </c>
    </row>
    <row r="14728" spans="1:7" x14ac:dyDescent="0.25">
      <c r="A14728" s="1" t="str">
        <f>"520566"</f>
        <v>520566</v>
      </c>
      <c r="B14728" s="2" t="str">
        <f>"LUVA PVC BRANCO ROSCA 2"""</f>
        <v>LUVA PVC BRANCO ROSCA 2"</v>
      </c>
      <c r="C14728" s="2" t="str">
        <f t="shared" si="575"/>
        <v>UN</v>
      </c>
      <c r="D14728" s="7">
        <v>912</v>
      </c>
      <c r="E14728" s="3">
        <v>10</v>
      </c>
      <c r="F14728" s="3">
        <v>10</v>
      </c>
      <c r="G14728" t="s">
        <v>514</v>
      </c>
    </row>
    <row r="14729" spans="1:7" x14ac:dyDescent="0.25">
      <c r="A14729" s="1" t="str">
        <f>"513130"</f>
        <v>513130</v>
      </c>
      <c r="B14729" s="2" t="str">
        <f>"LUVA PVC BRANCO ROSCA 3/4"""</f>
        <v>LUVA PVC BRANCO ROSCA 3/4"</v>
      </c>
      <c r="C14729" s="2" t="str">
        <f>"BR"</f>
        <v>BR</v>
      </c>
      <c r="D14729" s="7">
        <v>808</v>
      </c>
      <c r="E14729" s="3">
        <v>10</v>
      </c>
      <c r="F14729" s="3">
        <v>10</v>
      </c>
      <c r="G14729" t="s">
        <v>515</v>
      </c>
    </row>
    <row r="14730" spans="1:7" x14ac:dyDescent="0.25">
      <c r="A14730" s="1" t="str">
        <f>"522071"</f>
        <v>522071</v>
      </c>
      <c r="B14730" s="2" t="str">
        <f>"LUVA PVC FLEXIVEL CRISTAL P/ ETQ 9X40 FIX POR ABRÇ T18R"</f>
        <v>LUVA PVC FLEXIVEL CRISTAL P/ ETQ 9X40 FIX POR ABRÇ T18R</v>
      </c>
      <c r="C14730" s="2" t="str">
        <f>"UN"</f>
        <v>UN</v>
      </c>
      <c r="D14730" s="7">
        <v>809</v>
      </c>
      <c r="E14730" s="3">
        <v>10</v>
      </c>
      <c r="F14730" s="3">
        <v>10</v>
      </c>
      <c r="G14730" t="s">
        <v>512</v>
      </c>
    </row>
    <row r="14731" spans="1:7" x14ac:dyDescent="0.25">
      <c r="A14731" s="1" t="str">
        <f>"524432"</f>
        <v>524432</v>
      </c>
      <c r="B14731" s="2" t="str">
        <f>"LUVA PVC MARROM 75MM"</f>
        <v>LUVA PVC MARROM 75MM</v>
      </c>
      <c r="C14731" s="2" t="str">
        <f>"PÇ"</f>
        <v>PÇ</v>
      </c>
      <c r="D14731" s="7">
        <v>809</v>
      </c>
      <c r="E14731" s="3">
        <v>10</v>
      </c>
      <c r="F14731" s="3">
        <v>10</v>
      </c>
      <c r="G14731" t="s">
        <v>516</v>
      </c>
    </row>
    <row r="14732" spans="1:7" x14ac:dyDescent="0.25">
      <c r="A14732" s="1" t="str">
        <f>"519906"</f>
        <v>519906</v>
      </c>
      <c r="B14732" s="2" t="str">
        <f>"LUVA PVC MARROM 85MM"</f>
        <v>LUVA PVC MARROM 85MM</v>
      </c>
      <c r="C14732" s="2" t="str">
        <f>"UN"</f>
        <v>UN</v>
      </c>
      <c r="D14732" s="7">
        <v>808</v>
      </c>
      <c r="E14732" s="3">
        <v>10</v>
      </c>
      <c r="F14732" s="3">
        <v>10</v>
      </c>
      <c r="G14732" t="s">
        <v>515</v>
      </c>
    </row>
    <row r="14733" spans="1:7" x14ac:dyDescent="0.25">
      <c r="A14733" s="1" t="str">
        <f>"523480"</f>
        <v>523480</v>
      </c>
      <c r="B14733" s="2" t="str">
        <f>"LUVA PVC MARROM 85MM DE CORRER"</f>
        <v>LUVA PVC MARROM 85MM DE CORRER</v>
      </c>
      <c r="C14733" s="2" t="str">
        <f>"UN"</f>
        <v>UN</v>
      </c>
      <c r="D14733" s="7">
        <v>808</v>
      </c>
      <c r="E14733" s="3">
        <v>10</v>
      </c>
      <c r="F14733" s="3">
        <v>10</v>
      </c>
      <c r="G14733" t="s">
        <v>514</v>
      </c>
    </row>
    <row r="14734" spans="1:7" x14ac:dyDescent="0.25">
      <c r="A14734" s="1" t="str">
        <f>"519330"</f>
        <v>519330</v>
      </c>
      <c r="B14734" s="2" t="str">
        <f>"LUVA PVC MARRON 1 1/4"""</f>
        <v>LUVA PVC MARRON 1 1/4"</v>
      </c>
      <c r="C14734" s="2" t="str">
        <f t="shared" ref="C14734:C14740" si="576">"BR"</f>
        <v>BR</v>
      </c>
      <c r="D14734" s="7">
        <v>808</v>
      </c>
      <c r="E14734" s="3">
        <v>10</v>
      </c>
      <c r="F14734" s="3">
        <v>10</v>
      </c>
      <c r="G14734" t="s">
        <v>512</v>
      </c>
    </row>
    <row r="14735" spans="1:7" x14ac:dyDescent="0.25">
      <c r="A14735" s="1" t="str">
        <f>"502347"</f>
        <v>502347</v>
      </c>
      <c r="B14735" s="2" t="str">
        <f>"LUVA PVC MARRON 1"""</f>
        <v>LUVA PVC MARRON 1"</v>
      </c>
      <c r="C14735" s="2" t="str">
        <f t="shared" si="576"/>
        <v>BR</v>
      </c>
      <c r="D14735" s="7">
        <v>808</v>
      </c>
      <c r="E14735" s="3">
        <v>10</v>
      </c>
      <c r="F14735" s="3">
        <v>10</v>
      </c>
      <c r="G14735" t="s">
        <v>513</v>
      </c>
    </row>
    <row r="14736" spans="1:7" x14ac:dyDescent="0.25">
      <c r="A14736" s="1" t="str">
        <f>"500343"</f>
        <v>500343</v>
      </c>
      <c r="B14736" s="2" t="str">
        <f>"LUVA PVC MARRON 1/2"""</f>
        <v>LUVA PVC MARRON 1/2"</v>
      </c>
      <c r="C14736" s="2" t="str">
        <f t="shared" si="576"/>
        <v>BR</v>
      </c>
      <c r="D14736" s="7">
        <v>808</v>
      </c>
      <c r="E14736" s="3">
        <v>10</v>
      </c>
      <c r="F14736" s="3">
        <v>10</v>
      </c>
      <c r="G14736" t="s">
        <v>514</v>
      </c>
    </row>
    <row r="14737" spans="1:7" x14ac:dyDescent="0.25">
      <c r="A14737" s="1" t="str">
        <f>"500344"</f>
        <v>500344</v>
      </c>
      <c r="B14737" s="2" t="str">
        <f>"LUVA PVC MARRON 3/4"""</f>
        <v>LUVA PVC MARRON 3/4"</v>
      </c>
      <c r="C14737" s="2" t="str">
        <f t="shared" si="576"/>
        <v>BR</v>
      </c>
      <c r="D14737" s="7">
        <v>808</v>
      </c>
      <c r="E14737" s="3">
        <v>10</v>
      </c>
      <c r="F14737" s="3">
        <v>10</v>
      </c>
      <c r="G14737" t="s">
        <v>514</v>
      </c>
    </row>
    <row r="14738" spans="1:7" x14ac:dyDescent="0.25">
      <c r="A14738" s="1" t="str">
        <f>"526658"</f>
        <v>526658</v>
      </c>
      <c r="B14738" s="2" t="str">
        <f>"LUVA PVC MARRON 40 MM"</f>
        <v>LUVA PVC MARRON 40 MM</v>
      </c>
      <c r="C14738" s="2" t="str">
        <f t="shared" si="576"/>
        <v>BR</v>
      </c>
      <c r="D14738" s="7">
        <v>809</v>
      </c>
      <c r="E14738" s="3">
        <v>10</v>
      </c>
      <c r="F14738" s="3">
        <v>10</v>
      </c>
      <c r="G14738" t="s">
        <v>512</v>
      </c>
    </row>
    <row r="14739" spans="1:7" x14ac:dyDescent="0.25">
      <c r="A14739" s="1" t="str">
        <f>"500461"</f>
        <v>500461</v>
      </c>
      <c r="B14739" s="2" t="str">
        <f>"LUVA PVC MARRON 50MM"</f>
        <v>LUVA PVC MARRON 50MM</v>
      </c>
      <c r="C14739" s="2" t="str">
        <f t="shared" si="576"/>
        <v>BR</v>
      </c>
      <c r="D14739" s="7">
        <v>808</v>
      </c>
      <c r="E14739" s="3">
        <v>10</v>
      </c>
      <c r="F14739" s="3">
        <v>10</v>
      </c>
      <c r="G14739" t="s">
        <v>513</v>
      </c>
    </row>
    <row r="14740" spans="1:7" x14ac:dyDescent="0.25">
      <c r="A14740" s="1" t="str">
        <f>"524440"</f>
        <v>524440</v>
      </c>
      <c r="B14740" s="2" t="str">
        <f>"LUVA PVC MARRON 50MM CORRER"</f>
        <v>LUVA PVC MARRON 50MM CORRER</v>
      </c>
      <c r="C14740" s="2" t="str">
        <f t="shared" si="576"/>
        <v>BR</v>
      </c>
      <c r="D14740" s="7">
        <v>809</v>
      </c>
      <c r="E14740" s="3">
        <v>4</v>
      </c>
      <c r="F14740" s="3">
        <v>4</v>
      </c>
      <c r="G14740" t="s">
        <v>514</v>
      </c>
    </row>
    <row r="14741" spans="1:7" x14ac:dyDescent="0.25">
      <c r="A14741" s="1" t="str">
        <f>"510809"</f>
        <v>510809</v>
      </c>
      <c r="B14741" s="2" t="str">
        <f>"LUVA PVC MARRON 60MM"</f>
        <v>LUVA PVC MARRON 60MM</v>
      </c>
      <c r="C14741" s="2" t="str">
        <f>"UN"</f>
        <v>UN</v>
      </c>
      <c r="D14741" s="7">
        <v>917</v>
      </c>
      <c r="E14741" s="3">
        <v>11</v>
      </c>
      <c r="F14741" s="3">
        <v>11</v>
      </c>
      <c r="G14741" t="s">
        <v>514</v>
      </c>
    </row>
    <row r="14742" spans="1:7" x14ac:dyDescent="0.25">
      <c r="A14742" s="1" t="str">
        <f>"527550"</f>
        <v>527550</v>
      </c>
      <c r="B14742" s="2" t="str">
        <f>"LUVA PVC MARRON 60MM ROSCA / ROSCA"</f>
        <v>LUVA PVC MARRON 60MM ROSCA / ROSCA</v>
      </c>
      <c r="C14742" s="2" t="str">
        <f>"UN"</f>
        <v>UN</v>
      </c>
      <c r="D14742" s="7">
        <v>917</v>
      </c>
      <c r="E14742" s="3">
        <v>11</v>
      </c>
      <c r="F14742" s="3">
        <v>11</v>
      </c>
      <c r="G14742" t="s">
        <v>514</v>
      </c>
    </row>
    <row r="14743" spans="1:7" x14ac:dyDescent="0.25">
      <c r="A14743" s="1" t="str">
        <f>"524654"</f>
        <v>524654</v>
      </c>
      <c r="B14743" s="2" t="str">
        <f>"LUVA PVC MARRON 75MM"</f>
        <v>LUVA PVC MARRON 75MM</v>
      </c>
      <c r="C14743" s="2" t="str">
        <f>"UN"</f>
        <v>UN</v>
      </c>
      <c r="D14743" s="7">
        <v>807</v>
      </c>
      <c r="E14743" s="3">
        <v>10</v>
      </c>
      <c r="F14743" s="3">
        <v>10</v>
      </c>
      <c r="G14743" t="s">
        <v>513</v>
      </c>
    </row>
    <row r="14744" spans="1:7" x14ac:dyDescent="0.25">
      <c r="A14744" s="1" t="str">
        <f>"512423"</f>
        <v>512423</v>
      </c>
      <c r="B14744" s="2" t="str">
        <f>"LUVA PVC MARRON COLA/ROSCA 1 X 1/2"""</f>
        <v>LUVA PVC MARRON COLA/ROSCA 1 X 1/2"</v>
      </c>
      <c r="C14744" s="2" t="str">
        <f>"BR"</f>
        <v>BR</v>
      </c>
      <c r="D14744" s="7">
        <v>808</v>
      </c>
      <c r="E14744" s="3">
        <v>10</v>
      </c>
      <c r="F14744" s="3">
        <v>10</v>
      </c>
      <c r="G14744" t="s">
        <v>512</v>
      </c>
    </row>
    <row r="14745" spans="1:7" x14ac:dyDescent="0.25">
      <c r="A14745" s="1" t="str">
        <f>"507630"</f>
        <v>507630</v>
      </c>
      <c r="B14745" s="2" t="str">
        <f>"LUVA PVC MARRON COLA/ROSCA 1"""</f>
        <v>LUVA PVC MARRON COLA/ROSCA 1"</v>
      </c>
      <c r="C14745" s="2" t="str">
        <f>"BR"</f>
        <v>BR</v>
      </c>
      <c r="D14745" s="7">
        <v>808</v>
      </c>
      <c r="E14745" s="3">
        <v>10</v>
      </c>
      <c r="F14745" s="3">
        <v>10</v>
      </c>
      <c r="G14745" t="s">
        <v>513</v>
      </c>
    </row>
    <row r="14746" spans="1:7" x14ac:dyDescent="0.25">
      <c r="A14746" s="1" t="str">
        <f>"511388"</f>
        <v>511388</v>
      </c>
      <c r="B14746" s="2" t="str">
        <f>"LUVA PVC MARRON COLA/ROSCA 1/2"""</f>
        <v>LUVA PVC MARRON COLA/ROSCA 1/2"</v>
      </c>
      <c r="C14746" s="2" t="str">
        <f>"BR"</f>
        <v>BR</v>
      </c>
      <c r="D14746" s="7">
        <v>808</v>
      </c>
      <c r="E14746" s="3">
        <v>10</v>
      </c>
      <c r="F14746" s="3">
        <v>10</v>
      </c>
      <c r="G14746" t="s">
        <v>514</v>
      </c>
    </row>
    <row r="14747" spans="1:7" x14ac:dyDescent="0.25">
      <c r="A14747" s="1" t="str">
        <f>"511387"</f>
        <v>511387</v>
      </c>
      <c r="B14747" s="2" t="str">
        <f>"LUVA PVC MARRON COLA/ROSCA 3/4"""</f>
        <v>LUVA PVC MARRON COLA/ROSCA 3/4"</v>
      </c>
      <c r="C14747" s="2" t="str">
        <f>"BR"</f>
        <v>BR</v>
      </c>
      <c r="D14747" s="7">
        <v>808</v>
      </c>
      <c r="E14747" s="3">
        <v>10</v>
      </c>
      <c r="F14747" s="3">
        <v>10</v>
      </c>
      <c r="G14747" t="s">
        <v>514</v>
      </c>
    </row>
    <row r="14748" spans="1:7" x14ac:dyDescent="0.25">
      <c r="A14748" s="1" t="str">
        <f>"520519"</f>
        <v>520519</v>
      </c>
      <c r="B14748" s="2" t="str">
        <f>"LUVA PVC MARRON MISTA 50MM X 1'1/2"</f>
        <v>LUVA PVC MARRON MISTA 50MM X 1'1/2</v>
      </c>
      <c r="C14748" s="2" t="str">
        <f>"UN"</f>
        <v>UN</v>
      </c>
      <c r="D14748" s="7">
        <v>808</v>
      </c>
      <c r="E14748" s="3">
        <v>10</v>
      </c>
      <c r="F14748" s="3">
        <v>10</v>
      </c>
      <c r="G14748" t="s">
        <v>514</v>
      </c>
    </row>
    <row r="14749" spans="1:7" x14ac:dyDescent="0.25">
      <c r="A14749" s="1" t="str">
        <f>"521937"</f>
        <v>521937</v>
      </c>
      <c r="B14749" s="2" t="str">
        <f>"LUVA PVC SERIE R C/ DN 100MM"</f>
        <v>LUVA PVC SERIE R C/ DN 100MM</v>
      </c>
      <c r="C14749" s="2" t="str">
        <f>"BR"</f>
        <v>BR</v>
      </c>
      <c r="D14749" s="7">
        <v>809</v>
      </c>
      <c r="E14749" s="3">
        <v>10</v>
      </c>
      <c r="F14749" s="3">
        <v>10</v>
      </c>
      <c r="G14749" t="s">
        <v>513</v>
      </c>
    </row>
    <row r="14750" spans="1:7" x14ac:dyDescent="0.25">
      <c r="A14750" s="1" t="str">
        <f>"522080"</f>
        <v>522080</v>
      </c>
      <c r="B14750" s="2" t="str">
        <f>"LUVA PVC SERIE R C/ DN 100MM (DE CORRER)"</f>
        <v>LUVA PVC SERIE R C/ DN 100MM (DE CORRER)</v>
      </c>
      <c r="C14750" s="2" t="str">
        <f>"BR"</f>
        <v>BR</v>
      </c>
      <c r="D14750" s="7">
        <v>809</v>
      </c>
      <c r="E14750" s="3">
        <v>10</v>
      </c>
      <c r="F14750" s="3">
        <v>10</v>
      </c>
      <c r="G14750" t="s">
        <v>513</v>
      </c>
    </row>
    <row r="14751" spans="1:7" x14ac:dyDescent="0.25">
      <c r="A14751" s="1" t="str">
        <f>"521938"</f>
        <v>521938</v>
      </c>
      <c r="B14751" s="2" t="str">
        <f>"LUVA PVC SERIE R C/ DN 150MM"</f>
        <v>LUVA PVC SERIE R C/ DN 150MM</v>
      </c>
      <c r="C14751" s="2" t="str">
        <f>"BR"</f>
        <v>BR</v>
      </c>
      <c r="D14751" s="7">
        <v>809</v>
      </c>
      <c r="E14751" s="3">
        <v>10</v>
      </c>
      <c r="F14751" s="3">
        <v>10</v>
      </c>
      <c r="G14751" t="s">
        <v>513</v>
      </c>
    </row>
    <row r="14752" spans="1:7" x14ac:dyDescent="0.25">
      <c r="A14752" s="1" t="str">
        <f>"522083"</f>
        <v>522083</v>
      </c>
      <c r="B14752" s="2" t="str">
        <f>"LUVA PVC SERIE R C/ DN 150MM (DE CORRER)"</f>
        <v>LUVA PVC SERIE R C/ DN 150MM (DE CORRER)</v>
      </c>
      <c r="C14752" s="2" t="str">
        <f>"BR"</f>
        <v>BR</v>
      </c>
      <c r="D14752" s="7">
        <v>809</v>
      </c>
      <c r="E14752" s="3">
        <v>10</v>
      </c>
      <c r="F14752" s="3">
        <v>10</v>
      </c>
      <c r="G14752" t="s">
        <v>512</v>
      </c>
    </row>
    <row r="14753" spans="1:7" x14ac:dyDescent="0.25">
      <c r="A14753" s="1" t="str">
        <f>"522077"</f>
        <v>522077</v>
      </c>
      <c r="B14753" s="2" t="str">
        <f>"LUVA PVC SERIE R C/ DN 50MM"</f>
        <v>LUVA PVC SERIE R C/ DN 50MM</v>
      </c>
      <c r="C14753" s="2" t="str">
        <f>"BR"</f>
        <v>BR</v>
      </c>
      <c r="D14753" s="7">
        <v>809</v>
      </c>
      <c r="E14753" s="3">
        <v>10</v>
      </c>
      <c r="F14753" s="3">
        <v>10</v>
      </c>
      <c r="G14753" t="s">
        <v>513</v>
      </c>
    </row>
    <row r="14754" spans="1:7" x14ac:dyDescent="0.25">
      <c r="A14754" s="1" t="str">
        <f>"509177"</f>
        <v>509177</v>
      </c>
      <c r="B14754" s="2" t="str">
        <f>"LUVA QUIMICA WURTH 200GR"</f>
        <v>LUVA QUIMICA WURTH 200GR</v>
      </c>
      <c r="C14754" s="2" t="str">
        <f>"UN"</f>
        <v>UN</v>
      </c>
      <c r="D14754" s="7">
        <v>920</v>
      </c>
      <c r="E14754" s="3">
        <v>11</v>
      </c>
      <c r="F14754" s="3">
        <v>11</v>
      </c>
      <c r="G14754" t="s">
        <v>514</v>
      </c>
    </row>
    <row r="14755" spans="1:7" x14ac:dyDescent="0.25">
      <c r="A14755" s="1" t="str">
        <f>"6358"</f>
        <v>6358</v>
      </c>
      <c r="B14755" s="2" t="str">
        <f>"LUVA RASPA PUNHO 7CM CA 8048/5188"</f>
        <v>LUVA RASPA PUNHO 7CM CA 8048/5188</v>
      </c>
      <c r="C14755" s="2" t="str">
        <f>"PR"</f>
        <v>PR</v>
      </c>
      <c r="D14755" s="7">
        <v>501</v>
      </c>
      <c r="E14755" s="3">
        <v>5</v>
      </c>
      <c r="F14755" s="3">
        <v>5</v>
      </c>
      <c r="G14755" t="s">
        <v>515</v>
      </c>
    </row>
    <row r="14756" spans="1:7" x14ac:dyDescent="0.25">
      <c r="A14756" s="1" t="str">
        <f>"510102"</f>
        <v>510102</v>
      </c>
      <c r="B14756" s="2" t="str">
        <f>"LUVA RED F.G   1 X 3/4"""</f>
        <v>LUVA RED F.G   1 X 3/4"</v>
      </c>
      <c r="C14756" s="2" t="str">
        <f>"UN"</f>
        <v>UN</v>
      </c>
      <c r="D14756" s="7">
        <v>912</v>
      </c>
      <c r="E14756" s="3">
        <v>11</v>
      </c>
      <c r="F14756" s="3">
        <v>11</v>
      </c>
      <c r="G14756" t="s">
        <v>512</v>
      </c>
    </row>
    <row r="14757" spans="1:7" x14ac:dyDescent="0.25">
      <c r="A14757" s="1" t="str">
        <f>"501313"</f>
        <v>501313</v>
      </c>
      <c r="B14757" s="2" t="str">
        <f>"LUVA RED F.G 1/2 X 3/8"""</f>
        <v>LUVA RED F.G 1/2 X 3/8"</v>
      </c>
      <c r="C14757" s="2" t="str">
        <f t="shared" ref="C14757:C14763" si="577">"BR"</f>
        <v>BR</v>
      </c>
      <c r="D14757" s="7">
        <v>808</v>
      </c>
      <c r="E14757" s="3">
        <v>10</v>
      </c>
      <c r="F14757" s="3">
        <v>10</v>
      </c>
      <c r="G14757" t="s">
        <v>516</v>
      </c>
    </row>
    <row r="14758" spans="1:7" x14ac:dyDescent="0.25">
      <c r="A14758" s="1" t="str">
        <f>"504083"</f>
        <v>504083</v>
      </c>
      <c r="B14758" s="2" t="str">
        <f>"LUVA RED F.G 2 X 1 1/2"""</f>
        <v>LUVA RED F.G 2 X 1 1/2"</v>
      </c>
      <c r="C14758" s="2" t="str">
        <f t="shared" si="577"/>
        <v>BR</v>
      </c>
      <c r="D14758" s="7">
        <v>808</v>
      </c>
      <c r="E14758" s="3">
        <v>10</v>
      </c>
      <c r="F14758" s="3">
        <v>10</v>
      </c>
      <c r="G14758" t="s">
        <v>515</v>
      </c>
    </row>
    <row r="14759" spans="1:7" x14ac:dyDescent="0.25">
      <c r="A14759" s="1" t="str">
        <f>"500176"</f>
        <v>500176</v>
      </c>
      <c r="B14759" s="2" t="str">
        <f>"LUVA RED F.G 3/4 X 1/2"""</f>
        <v>LUVA RED F.G 3/4 X 1/2"</v>
      </c>
      <c r="C14759" s="2" t="str">
        <f t="shared" si="577"/>
        <v>BR</v>
      </c>
      <c r="D14759" s="7">
        <v>808</v>
      </c>
      <c r="E14759" s="3">
        <v>10</v>
      </c>
      <c r="F14759" s="3">
        <v>10</v>
      </c>
      <c r="G14759" t="s">
        <v>514</v>
      </c>
    </row>
    <row r="14760" spans="1:7" x14ac:dyDescent="0.25">
      <c r="A14760" s="1" t="str">
        <f>"527793"</f>
        <v>527793</v>
      </c>
      <c r="B14760" s="2" t="str">
        <f>"LUVA REDUCAO GALVANIZADA 1.1/2 x 1"</f>
        <v>LUVA REDUCAO GALVANIZADA 1.1/2 x 1</v>
      </c>
      <c r="C14760" s="2" t="str">
        <f t="shared" si="577"/>
        <v>BR</v>
      </c>
      <c r="D14760" s="7">
        <v>808</v>
      </c>
      <c r="E14760" s="3">
        <v>10</v>
      </c>
      <c r="F14760" s="3">
        <v>10</v>
      </c>
      <c r="G14760" t="s">
        <v>512</v>
      </c>
    </row>
    <row r="14761" spans="1:7" x14ac:dyDescent="0.25">
      <c r="A14761" s="1" t="str">
        <f>"513546"</f>
        <v>513546</v>
      </c>
      <c r="B14761" s="2" t="str">
        <f>"LUVA REDUCAO GALVANIZADA 3 X 2.1/2"</f>
        <v>LUVA REDUCAO GALVANIZADA 3 X 2.1/2</v>
      </c>
      <c r="C14761" s="2" t="str">
        <f t="shared" si="577"/>
        <v>BR</v>
      </c>
      <c r="D14761" s="7">
        <v>808</v>
      </c>
      <c r="E14761" s="3">
        <v>10</v>
      </c>
      <c r="F14761" s="3">
        <v>10</v>
      </c>
      <c r="G14761" t="s">
        <v>513</v>
      </c>
    </row>
    <row r="14762" spans="1:7" x14ac:dyDescent="0.25">
      <c r="A14762" s="1" t="str">
        <f>"527834"</f>
        <v>527834</v>
      </c>
      <c r="B14762" s="2" t="str">
        <f>"LUVA REDUCAO PVC MARROM 25x20"</f>
        <v>LUVA REDUCAO PVC MARROM 25x20</v>
      </c>
      <c r="C14762" s="2" t="str">
        <f t="shared" si="577"/>
        <v>BR</v>
      </c>
      <c r="D14762" s="7">
        <v>808</v>
      </c>
      <c r="E14762" s="3">
        <v>10</v>
      </c>
      <c r="F14762" s="3">
        <v>10</v>
      </c>
      <c r="G14762" t="s">
        <v>514</v>
      </c>
    </row>
    <row r="14763" spans="1:7" x14ac:dyDescent="0.25">
      <c r="A14763" s="1" t="str">
        <f>"527833"</f>
        <v>527833</v>
      </c>
      <c r="B14763" s="2" t="str">
        <f>"LUVA REDUCAO PVC MARROM 60x50"</f>
        <v>LUVA REDUCAO PVC MARROM 60x50</v>
      </c>
      <c r="C14763" s="2" t="str">
        <f t="shared" si="577"/>
        <v>BR</v>
      </c>
      <c r="D14763" s="7">
        <v>808</v>
      </c>
      <c r="E14763" s="3">
        <v>10</v>
      </c>
      <c r="F14763" s="3">
        <v>10</v>
      </c>
      <c r="G14763" t="s">
        <v>514</v>
      </c>
    </row>
    <row r="14764" spans="1:7" x14ac:dyDescent="0.25">
      <c r="A14764" s="1" t="str">
        <f>"523483"</f>
        <v>523483</v>
      </c>
      <c r="B14764" s="2" t="str">
        <f>"LUVA SEG. ISOL. BORR. NAT. PT 2,5KV TP-II CL00 ORION CA-2178"</f>
        <v>LUVA SEG. ISOL. BORR. NAT. PT 2,5KV TP-II CL00 ORION CA-2178</v>
      </c>
      <c r="C14764" s="2" t="str">
        <f>"UN"</f>
        <v>UN</v>
      </c>
      <c r="D14764" s="7">
        <v>501</v>
      </c>
      <c r="E14764" s="3">
        <v>5</v>
      </c>
      <c r="F14764" s="3">
        <v>5</v>
      </c>
      <c r="G14764" t="s">
        <v>512</v>
      </c>
    </row>
    <row r="14765" spans="1:7" x14ac:dyDescent="0.25">
      <c r="A14765" s="1" t="str">
        <f>"524071"</f>
        <v>524071</v>
      </c>
      <c r="B14765" s="2" t="str">
        <f>"LUVA SEGURANÇA (HOMOLOGAÇÃO)"</f>
        <v>LUVA SEGURANÇA (HOMOLOGAÇÃO)</v>
      </c>
      <c r="C14765" s="2" t="str">
        <f>"UN"</f>
        <v>UN</v>
      </c>
      <c r="D14765" s="7">
        <v>501</v>
      </c>
      <c r="E14765" s="3">
        <v>5</v>
      </c>
      <c r="F14765" s="3">
        <v>5</v>
      </c>
      <c r="G14765" t="s">
        <v>513</v>
      </c>
    </row>
    <row r="14766" spans="1:7" x14ac:dyDescent="0.25">
      <c r="A14766" s="1" t="str">
        <f>"523871"</f>
        <v>523871</v>
      </c>
      <c r="B14766" s="2" t="str">
        <f>"LUVA SEGURANÇA RASPA FENA CANO 15CM CA-8048"</f>
        <v>LUVA SEGURANÇA RASPA FENA CANO 15CM CA-8048</v>
      </c>
      <c r="C14766" s="2" t="str">
        <f>"UN"</f>
        <v>UN</v>
      </c>
      <c r="D14766" s="7">
        <v>501</v>
      </c>
      <c r="E14766" s="3">
        <v>5</v>
      </c>
      <c r="F14766" s="3">
        <v>5</v>
      </c>
      <c r="G14766" t="s">
        <v>514</v>
      </c>
    </row>
    <row r="14767" spans="1:7" x14ac:dyDescent="0.25">
      <c r="A14767" s="1" t="str">
        <f>"1914"</f>
        <v>1914</v>
      </c>
      <c r="B14767" s="2" t="str">
        <f>"LUVA SEGURANÇA RASPA FENA CANO 20CM CA-8048"</f>
        <v>LUVA SEGURANÇA RASPA FENA CANO 20CM CA-8048</v>
      </c>
      <c r="C14767" s="2" t="str">
        <f>"PR"</f>
        <v>PR</v>
      </c>
      <c r="D14767" s="7">
        <v>501</v>
      </c>
      <c r="E14767" s="3">
        <v>5</v>
      </c>
      <c r="F14767" s="3">
        <v>5</v>
      </c>
      <c r="G14767" t="s">
        <v>514</v>
      </c>
    </row>
    <row r="14768" spans="1:7" x14ac:dyDescent="0.25">
      <c r="A14768" s="1" t="str">
        <f>"523485"</f>
        <v>523485</v>
      </c>
      <c r="B14768" s="2" t="str">
        <f>"LUVA SEGURANÇA VAQUETA MARCA ZANEL CA-16072 CANO 20CM"</f>
        <v>LUVA SEGURANÇA VAQUETA MARCA ZANEL CA-16072 CANO 20CM</v>
      </c>
      <c r="C14768" s="2" t="str">
        <f t="shared" ref="C14768:C14789" si="578">"UN"</f>
        <v>UN</v>
      </c>
      <c r="D14768" s="7">
        <v>501</v>
      </c>
      <c r="E14768" s="3">
        <v>5</v>
      </c>
      <c r="F14768" s="3">
        <v>5</v>
      </c>
      <c r="G14768" t="s">
        <v>514</v>
      </c>
    </row>
    <row r="14769" spans="1:7" x14ac:dyDescent="0.25">
      <c r="A14769" s="1" t="str">
        <f>"523870"</f>
        <v>523870</v>
      </c>
      <c r="B14769" s="2" t="str">
        <f>"LUVA SEGURANÇA VAQUETA ZANEL CANO 20CM TAM 09 CA-16072"</f>
        <v>LUVA SEGURANÇA VAQUETA ZANEL CANO 20CM TAM 09 CA-16072</v>
      </c>
      <c r="C14769" s="2" t="str">
        <f t="shared" si="578"/>
        <v>UN</v>
      </c>
      <c r="D14769" s="7">
        <v>501</v>
      </c>
      <c r="E14769" s="3">
        <v>5</v>
      </c>
      <c r="F14769" s="3">
        <v>5</v>
      </c>
      <c r="G14769" t="s">
        <v>513</v>
      </c>
    </row>
    <row r="14770" spans="1:7" x14ac:dyDescent="0.25">
      <c r="A14770" s="1" t="str">
        <f>"521703"</f>
        <v>521703</v>
      </c>
      <c r="B14770" s="2" t="str">
        <f>"LUVA SLTZ 9X 40 PVC CRISTAL FLEX"</f>
        <v>LUVA SLTZ 9X 40 PVC CRISTAL FLEX</v>
      </c>
      <c r="C14770" s="2" t="str">
        <f t="shared" si="578"/>
        <v>UN</v>
      </c>
      <c r="D14770" s="7">
        <v>811</v>
      </c>
      <c r="E14770" s="3">
        <v>10</v>
      </c>
      <c r="F14770" s="3">
        <v>10</v>
      </c>
      <c r="G14770" t="s">
        <v>512</v>
      </c>
    </row>
    <row r="14771" spans="1:7" x14ac:dyDescent="0.25">
      <c r="A14771" s="1" t="str">
        <f>"1801"</f>
        <v>1801</v>
      </c>
      <c r="B14771" s="2" t="str">
        <f>"LUVA TERMICA AZUL EM NYLON MAICOL CA-10978"</f>
        <v>LUVA TERMICA AZUL EM NYLON MAICOL CA-10978</v>
      </c>
      <c r="C14771" s="2" t="str">
        <f t="shared" si="578"/>
        <v>UN</v>
      </c>
      <c r="D14771" s="7">
        <v>501</v>
      </c>
      <c r="E14771" s="3">
        <v>5</v>
      </c>
      <c r="F14771" s="3">
        <v>5</v>
      </c>
      <c r="G14771" t="s">
        <v>513</v>
      </c>
    </row>
    <row r="14772" spans="1:7" x14ac:dyDescent="0.25">
      <c r="A14772" s="1" t="str">
        <f>"523726"</f>
        <v>523726</v>
      </c>
      <c r="B14772" s="2" t="str">
        <f>"LUVA TERMICA KEVILA CANO LONGO CA-6407"</f>
        <v>LUVA TERMICA KEVILA CANO LONGO CA-6407</v>
      </c>
      <c r="C14772" s="2" t="str">
        <f t="shared" si="578"/>
        <v>UN</v>
      </c>
      <c r="D14772" s="7">
        <v>502</v>
      </c>
      <c r="E14772" s="3">
        <v>5</v>
      </c>
      <c r="F14772" s="3">
        <v>5</v>
      </c>
      <c r="G14772" t="s">
        <v>514</v>
      </c>
    </row>
    <row r="14773" spans="1:7" x14ac:dyDescent="0.25">
      <c r="A14773" s="1" t="str">
        <f>"520757"</f>
        <v>520757</v>
      </c>
      <c r="B14773" s="2" t="str">
        <f>"LUVA TERMICA LARANJA"</f>
        <v>LUVA TERMICA LARANJA</v>
      </c>
      <c r="C14773" s="2" t="str">
        <f t="shared" si="578"/>
        <v>UN</v>
      </c>
      <c r="D14773" s="7">
        <v>501</v>
      </c>
      <c r="E14773" s="3">
        <v>4</v>
      </c>
      <c r="F14773" s="3">
        <v>4</v>
      </c>
      <c r="G14773" t="s">
        <v>514</v>
      </c>
    </row>
    <row r="14774" spans="1:7" x14ac:dyDescent="0.25">
      <c r="A14774" s="1" t="str">
        <f>"519665"</f>
        <v>519665</v>
      </c>
      <c r="B14774" s="2" t="str">
        <f>"LUVA TERMICA VOLK CA-17924"</f>
        <v>LUVA TERMICA VOLK CA-17924</v>
      </c>
      <c r="C14774" s="2" t="str">
        <f t="shared" si="578"/>
        <v>UN</v>
      </c>
      <c r="D14774" s="7">
        <v>501</v>
      </c>
      <c r="E14774" s="3">
        <v>4</v>
      </c>
      <c r="F14774" s="3">
        <v>4</v>
      </c>
      <c r="G14774" t="s">
        <v>514</v>
      </c>
    </row>
    <row r="14775" spans="1:7" x14ac:dyDescent="0.25">
      <c r="A14775" s="1" t="str">
        <f>"527588"</f>
        <v>527588</v>
      </c>
      <c r="B14775" s="2" t="str">
        <f>"LUVA THERMO MARK P/ FIO 0,22A0,5MM COMPRI.15MM DIAM1,3A2,1"</f>
        <v>LUVA THERMO MARK P/ FIO 0,22A0,5MM COMPRI.15MM DIAM1,3A2,1</v>
      </c>
      <c r="C14775" s="2" t="str">
        <f t="shared" si="578"/>
        <v>UN</v>
      </c>
      <c r="D14775" s="7">
        <v>600</v>
      </c>
      <c r="E14775" s="3">
        <v>8</v>
      </c>
      <c r="F14775" s="3">
        <v>8</v>
      </c>
      <c r="G14775" t="s">
        <v>513</v>
      </c>
    </row>
    <row r="14776" spans="1:7" x14ac:dyDescent="0.25">
      <c r="A14776" s="1" t="str">
        <f>"527586"</f>
        <v>527586</v>
      </c>
      <c r="B14776" s="2" t="str">
        <f>"LUVA THERMO MARK P/ FIO0,75 A 1,5MM COMPRI.15MM DIAM 2,3A2,9"</f>
        <v>LUVA THERMO MARK P/ FIO0,75 A 1,5MM COMPRI.15MM DIAM 2,3A2,9</v>
      </c>
      <c r="C14776" s="2" t="str">
        <f t="shared" si="578"/>
        <v>UN</v>
      </c>
      <c r="D14776" s="7">
        <v>600</v>
      </c>
      <c r="E14776" s="3">
        <v>8</v>
      </c>
      <c r="F14776" s="3">
        <v>8</v>
      </c>
      <c r="G14776" t="s">
        <v>513</v>
      </c>
    </row>
    <row r="14777" spans="1:7" x14ac:dyDescent="0.25">
      <c r="A14777" s="1" t="str">
        <f>"527587"</f>
        <v>527587</v>
      </c>
      <c r="B14777" s="2" t="str">
        <f>"LUVA THERMO MARK P/ FIO2,5 A 6,0MM COMPRI.15MM DIAM3,4 A 4,5"</f>
        <v>LUVA THERMO MARK P/ FIO2,5 A 6,0MM COMPRI.15MM DIAM3,4 A 4,5</v>
      </c>
      <c r="C14777" s="2" t="str">
        <f t="shared" si="578"/>
        <v>UN</v>
      </c>
      <c r="D14777" s="7">
        <v>600</v>
      </c>
      <c r="E14777" s="3">
        <v>8</v>
      </c>
      <c r="F14777" s="3">
        <v>8</v>
      </c>
      <c r="G14777" t="s">
        <v>513</v>
      </c>
    </row>
    <row r="14778" spans="1:7" x14ac:dyDescent="0.25">
      <c r="A14778" s="1" t="str">
        <f>"521601"</f>
        <v>521601</v>
      </c>
      <c r="B14778" s="2" t="str">
        <f>"LUVA TRANSPARENTE P/ FIOS EFZ 0,75 A 1,5 MM"</f>
        <v>LUVA TRANSPARENTE P/ FIOS EFZ 0,75 A 1,5 MM</v>
      </c>
      <c r="C14778" s="2" t="str">
        <f t="shared" si="578"/>
        <v>UN</v>
      </c>
      <c r="D14778" s="7">
        <v>811</v>
      </c>
      <c r="E14778" s="3">
        <v>13</v>
      </c>
      <c r="F14778" s="3">
        <v>13</v>
      </c>
      <c r="G14778" t="s">
        <v>512</v>
      </c>
    </row>
    <row r="14779" spans="1:7" x14ac:dyDescent="0.25">
      <c r="A14779" s="1" t="str">
        <f>"521603"</f>
        <v>521603</v>
      </c>
      <c r="B14779" s="2" t="str">
        <f>"LUVA TRANSPARENTE P/ FIOS EFZ 10 A 16 MM"</f>
        <v>LUVA TRANSPARENTE P/ FIOS EFZ 10 A 16 MM</v>
      </c>
      <c r="C14779" s="2" t="str">
        <f t="shared" si="578"/>
        <v>UN</v>
      </c>
      <c r="D14779" s="7">
        <v>811</v>
      </c>
      <c r="E14779" s="3">
        <v>13</v>
      </c>
      <c r="F14779" s="3">
        <v>13</v>
      </c>
      <c r="G14779" t="s">
        <v>513</v>
      </c>
    </row>
    <row r="14780" spans="1:7" x14ac:dyDescent="0.25">
      <c r="A14780" s="1" t="str">
        <f>"521602"</f>
        <v>521602</v>
      </c>
      <c r="B14780" s="2" t="str">
        <f>"LUVA TRANSPARENTE P/ FIOS EFZ 2,5 A 6,0 MM"</f>
        <v>LUVA TRANSPARENTE P/ FIOS EFZ 2,5 A 6,0 MM</v>
      </c>
      <c r="C14780" s="2" t="str">
        <f t="shared" si="578"/>
        <v>UN</v>
      </c>
      <c r="D14780" s="7">
        <v>811</v>
      </c>
      <c r="E14780" s="3">
        <v>13</v>
      </c>
      <c r="F14780" s="3">
        <v>13</v>
      </c>
      <c r="G14780" t="s">
        <v>514</v>
      </c>
    </row>
    <row r="14781" spans="1:7" x14ac:dyDescent="0.25">
      <c r="A14781" s="1" t="str">
        <f>"524076"</f>
        <v>524076</v>
      </c>
      <c r="B14781" s="2" t="str">
        <f>"LUVA TRICOTADA PIGMENTADAVOLK CA-30521"</f>
        <v>LUVA TRICOTADA PIGMENTADAVOLK CA-30521</v>
      </c>
      <c r="C14781" s="2" t="str">
        <f t="shared" si="578"/>
        <v>UN</v>
      </c>
      <c r="D14781" s="7">
        <v>501</v>
      </c>
      <c r="E14781" s="3">
        <v>5</v>
      </c>
      <c r="F14781" s="3">
        <v>5</v>
      </c>
      <c r="G14781" t="s">
        <v>515</v>
      </c>
    </row>
    <row r="14782" spans="1:7" x14ac:dyDescent="0.25">
      <c r="A14782" s="1" t="str">
        <f>"AG 61161000"</f>
        <v>AG 61161000</v>
      </c>
      <c r="B14782" s="2" t="str">
        <f>"LUVA VICSA NITRIFLAT PRETA"</f>
        <v>LUVA VICSA NITRIFLAT PRETA</v>
      </c>
      <c r="C14782" s="2" t="str">
        <f t="shared" si="578"/>
        <v>UN</v>
      </c>
      <c r="D14782" s="7">
        <v>501</v>
      </c>
      <c r="E14782" s="3">
        <v>5</v>
      </c>
      <c r="F14782" s="3">
        <v>5</v>
      </c>
      <c r="G14782" t="s">
        <v>512</v>
      </c>
    </row>
    <row r="14783" spans="1:7" x14ac:dyDescent="0.25">
      <c r="A14783" s="1" t="str">
        <f>"129"</f>
        <v>129</v>
      </c>
      <c r="B14783" s="2" t="str">
        <f>"LUVAS DE LATEX COM FORRO AMARELA"</f>
        <v>LUVAS DE LATEX COM FORRO AMARELA</v>
      </c>
      <c r="C14783" s="2" t="str">
        <f t="shared" si="578"/>
        <v>UN</v>
      </c>
      <c r="D14783" s="7">
        <v>501</v>
      </c>
      <c r="E14783" s="3">
        <v>5</v>
      </c>
      <c r="F14783" s="3">
        <v>5</v>
      </c>
      <c r="G14783" t="s">
        <v>516</v>
      </c>
    </row>
    <row r="14784" spans="1:7" x14ac:dyDescent="0.25">
      <c r="A14784" s="1" t="str">
        <f>"520650"</f>
        <v>520650</v>
      </c>
      <c r="B14784" s="2" t="str">
        <f>"LUXIMETRO MINIPA MLM-1011"</f>
        <v>LUXIMETRO MINIPA MLM-1011</v>
      </c>
      <c r="C14784" s="2" t="str">
        <f t="shared" si="578"/>
        <v>UN</v>
      </c>
      <c r="D14784" s="7">
        <v>99999</v>
      </c>
      <c r="E14784" s="3">
        <v>99</v>
      </c>
      <c r="F14784" s="3">
        <v>99</v>
      </c>
      <c r="G14784" t="s">
        <v>515</v>
      </c>
    </row>
    <row r="14785" spans="1:7" x14ac:dyDescent="0.25">
      <c r="A14785" s="1" t="str">
        <f>"514063"</f>
        <v>514063</v>
      </c>
      <c r="B14785" s="2" t="str">
        <f>"LUZ"</f>
        <v>LUZ</v>
      </c>
      <c r="C14785" s="2" t="str">
        <f t="shared" si="578"/>
        <v>UN</v>
      </c>
      <c r="D14785" s="7">
        <v>704</v>
      </c>
      <c r="E14785" s="3">
        <v>9</v>
      </c>
      <c r="F14785" s="3">
        <v>9</v>
      </c>
      <c r="G14785" t="s">
        <v>514</v>
      </c>
    </row>
    <row r="14786" spans="1:7" x14ac:dyDescent="0.25">
      <c r="A14786" s="1" t="str">
        <f>"518115"</f>
        <v>518115</v>
      </c>
      <c r="B14786" s="2" t="str">
        <f>"LUZ DA LUA BOLSA"</f>
        <v>LUZ DA LUA BOLSA</v>
      </c>
      <c r="C14786" s="2" t="str">
        <f t="shared" si="578"/>
        <v>UN</v>
      </c>
      <c r="D14786" s="7">
        <v>500</v>
      </c>
      <c r="E14786" s="3">
        <v>4</v>
      </c>
      <c r="F14786" s="3">
        <v>4</v>
      </c>
      <c r="G14786" t="s">
        <v>512</v>
      </c>
    </row>
    <row r="14787" spans="1:7" x14ac:dyDescent="0.25">
      <c r="A14787" s="1" t="str">
        <f>"503094"</f>
        <v>503094</v>
      </c>
      <c r="B14787" s="2" t="str">
        <f>"LUZ DE EMERGENCIA COMPLETA PORTATIL"</f>
        <v>LUZ DE EMERGENCIA COMPLETA PORTATIL</v>
      </c>
      <c r="C14787" s="2" t="str">
        <f t="shared" si="578"/>
        <v>UN</v>
      </c>
      <c r="D14787" s="7">
        <v>601</v>
      </c>
      <c r="E14787" s="3">
        <v>8</v>
      </c>
      <c r="F14787" s="3">
        <v>8</v>
      </c>
      <c r="G14787" t="s">
        <v>513</v>
      </c>
    </row>
    <row r="14788" spans="1:7" x14ac:dyDescent="0.25">
      <c r="A14788" s="1" t="str">
        <f>"515632"</f>
        <v>515632</v>
      </c>
      <c r="B14788" s="2" t="str">
        <f>"LUZ INDICADORA DE DIRECAO (SETA)"</f>
        <v>LUZ INDICADORA DE DIRECAO (SETA)</v>
      </c>
      <c r="C14788" s="2" t="str">
        <f t="shared" si="578"/>
        <v>UN</v>
      </c>
      <c r="D14788" s="7">
        <v>704</v>
      </c>
      <c r="E14788" s="3">
        <v>9</v>
      </c>
      <c r="F14788" s="3">
        <v>9</v>
      </c>
      <c r="G14788" t="s">
        <v>514</v>
      </c>
    </row>
    <row r="14789" spans="1:7" x14ac:dyDescent="0.25">
      <c r="A14789" s="1" t="str">
        <f>"505526"</f>
        <v>505526</v>
      </c>
      <c r="B14789" s="2" t="str">
        <f>"LUZ SINALIZACAO RT23 ENTRADA/SAIDA VEICU"</f>
        <v>LUZ SINALIZACAO RT23 ENTRADA/SAIDA VEICU</v>
      </c>
      <c r="C14789" s="2" t="str">
        <f t="shared" si="578"/>
        <v>UN</v>
      </c>
      <c r="D14789" s="7">
        <v>601</v>
      </c>
      <c r="E14789" s="3">
        <v>8</v>
      </c>
      <c r="F14789" s="3">
        <v>8</v>
      </c>
      <c r="G14789" t="s">
        <v>514</v>
      </c>
    </row>
    <row r="14790" spans="1:7" x14ac:dyDescent="0.25">
      <c r="A14790" s="1" t="str">
        <f>"511647"</f>
        <v>511647</v>
      </c>
      <c r="B14790" s="2" t="str">
        <f>"LWD 500 DIESEL 500ML"</f>
        <v>LWD 500 DIESEL 500ML</v>
      </c>
      <c r="C14790" s="2" t="str">
        <f>"LT"</f>
        <v>LT</v>
      </c>
      <c r="D14790" s="7">
        <v>702</v>
      </c>
      <c r="E14790" s="3">
        <v>9</v>
      </c>
      <c r="F14790" s="3">
        <v>9</v>
      </c>
      <c r="G14790" t="s">
        <v>512</v>
      </c>
    </row>
    <row r="14791" spans="1:7" x14ac:dyDescent="0.25">
      <c r="A14791" s="1" t="str">
        <f>"520678"</f>
        <v>520678</v>
      </c>
      <c r="B14791" s="2" t="str">
        <f>"M17 AGAR 500GR"</f>
        <v>M17 AGAR 500GR</v>
      </c>
      <c r="C14791" s="2" t="str">
        <f t="shared" ref="C14791:C14822" si="579">"UN"</f>
        <v>UN</v>
      </c>
      <c r="D14791" s="7">
        <v>406</v>
      </c>
      <c r="E14791" s="3">
        <v>4</v>
      </c>
      <c r="F14791" s="3">
        <v>4</v>
      </c>
      <c r="G14791" t="s">
        <v>513</v>
      </c>
    </row>
    <row r="14792" spans="1:7" x14ac:dyDescent="0.25">
      <c r="A14792" s="1" t="str">
        <f>"527068"</f>
        <v>527068</v>
      </c>
      <c r="B14792" s="2" t="str">
        <f>"MA871 REFRATOMETRO DIGITAL (0 ~ 85% BRIX)"</f>
        <v>MA871 REFRATOMETRO DIGITAL (0 ~ 85% BRIX)</v>
      </c>
      <c r="C14792" s="2" t="str">
        <f t="shared" si="579"/>
        <v>UN</v>
      </c>
      <c r="D14792" s="7">
        <v>1500</v>
      </c>
      <c r="E14792" s="3">
        <v>13</v>
      </c>
      <c r="F14792" s="3">
        <v>13</v>
      </c>
      <c r="G14792" t="s">
        <v>514</v>
      </c>
    </row>
    <row r="14793" spans="1:7" x14ac:dyDescent="0.25">
      <c r="A14793" s="1" t="str">
        <f>"515209"</f>
        <v>515209</v>
      </c>
      <c r="B14793" s="2" t="str">
        <f>"MACA"</f>
        <v>MACA</v>
      </c>
      <c r="C14793" s="2" t="str">
        <f t="shared" si="579"/>
        <v>UN</v>
      </c>
      <c r="D14793" s="7">
        <v>401</v>
      </c>
      <c r="E14793" s="3">
        <v>4</v>
      </c>
      <c r="F14793" s="3">
        <v>4</v>
      </c>
      <c r="G14793" t="s">
        <v>514</v>
      </c>
    </row>
    <row r="14794" spans="1:7" x14ac:dyDescent="0.25">
      <c r="A14794" s="1" t="str">
        <f>"515702"</f>
        <v>515702</v>
      </c>
      <c r="B14794" s="2" t="str">
        <f>"MAÇA ARGENTINA"</f>
        <v>MAÇA ARGENTINA</v>
      </c>
      <c r="C14794" s="2" t="str">
        <f t="shared" si="579"/>
        <v>UN</v>
      </c>
      <c r="D14794" s="7">
        <v>401</v>
      </c>
      <c r="E14794" s="3">
        <v>4</v>
      </c>
      <c r="F14794" s="3">
        <v>4</v>
      </c>
      <c r="G14794" t="s">
        <v>514</v>
      </c>
    </row>
    <row r="14795" spans="1:7" x14ac:dyDescent="0.25">
      <c r="A14795" s="1" t="str">
        <f>"527204"</f>
        <v>527204</v>
      </c>
      <c r="B14795" s="2" t="str">
        <f>"MACA RESGATE ENVELOPE SKED W1 STR 22"</f>
        <v>MACA RESGATE ENVELOPE SKED W1 STR 22</v>
      </c>
      <c r="C14795" s="2" t="str">
        <f t="shared" si="579"/>
        <v>UN</v>
      </c>
      <c r="D14795" s="7">
        <v>501</v>
      </c>
      <c r="E14795" s="3">
        <v>5</v>
      </c>
      <c r="F14795" s="3">
        <v>5</v>
      </c>
      <c r="G14795" t="s">
        <v>513</v>
      </c>
    </row>
    <row r="14796" spans="1:7" x14ac:dyDescent="0.25">
      <c r="A14796" s="1" t="str">
        <f>"522061"</f>
        <v>522061</v>
      </c>
      <c r="B14796" s="2" t="str">
        <f>"MACACÃO AZUL MARINHO M/C BOLSO FRONTAL L/E TAMANHO M"</f>
        <v>MACACÃO AZUL MARINHO M/C BOLSO FRONTAL L/E TAMANHO M</v>
      </c>
      <c r="C14796" s="2" t="str">
        <f t="shared" si="579"/>
        <v>UN</v>
      </c>
      <c r="D14796" s="7">
        <v>500</v>
      </c>
      <c r="E14796" s="3">
        <v>5</v>
      </c>
      <c r="F14796" s="3">
        <v>5</v>
      </c>
      <c r="G14796" t="s">
        <v>512</v>
      </c>
    </row>
    <row r="14797" spans="1:7" x14ac:dyDescent="0.25">
      <c r="A14797" s="1" t="str">
        <f>"522062"</f>
        <v>522062</v>
      </c>
      <c r="B14797" s="2" t="str">
        <f>"MACACÃO AZUL MARINHO M/C BOLSO FRONTAL L/E TAMANHO P"</f>
        <v>MACACÃO AZUL MARINHO M/C BOLSO FRONTAL L/E TAMANHO P</v>
      </c>
      <c r="C14797" s="2" t="str">
        <f t="shared" si="579"/>
        <v>UN</v>
      </c>
      <c r="D14797" s="7">
        <v>500</v>
      </c>
      <c r="E14797" s="3">
        <v>5</v>
      </c>
      <c r="F14797" s="3">
        <v>5</v>
      </c>
      <c r="G14797" t="s">
        <v>513</v>
      </c>
    </row>
    <row r="14798" spans="1:7" x14ac:dyDescent="0.25">
      <c r="A14798" s="1" t="str">
        <f>"526807"</f>
        <v>526807</v>
      </c>
      <c r="B14798" s="2" t="str">
        <f>"MACACÃO AZUL MARINHO M/C BOLSO FRONTAL L/E TAMANHO PP"</f>
        <v>MACACÃO AZUL MARINHO M/C BOLSO FRONTAL L/E TAMANHO PP</v>
      </c>
      <c r="C14798" s="2" t="str">
        <f t="shared" si="579"/>
        <v>UN</v>
      </c>
      <c r="D14798" s="7">
        <v>99999</v>
      </c>
      <c r="E14798" s="3">
        <v>99</v>
      </c>
      <c r="F14798" s="3">
        <v>99</v>
      </c>
      <c r="G14798" t="s">
        <v>514</v>
      </c>
    </row>
    <row r="14799" spans="1:7" x14ac:dyDescent="0.25">
      <c r="A14799" s="1" t="str">
        <f>"523016"</f>
        <v>523016</v>
      </c>
      <c r="B14799" s="2" t="str">
        <f>"MACACÃO AZUL MARINHO M/C BOLSO FRONTAL L/E TAMANHO XGG"</f>
        <v>MACACÃO AZUL MARINHO M/C BOLSO FRONTAL L/E TAMANHO XGG</v>
      </c>
      <c r="C14799" s="2" t="str">
        <f t="shared" si="579"/>
        <v>UN</v>
      </c>
      <c r="D14799" s="7">
        <v>500</v>
      </c>
      <c r="E14799" s="3">
        <v>5</v>
      </c>
      <c r="F14799" s="3">
        <v>5</v>
      </c>
      <c r="G14799" t="s">
        <v>514</v>
      </c>
    </row>
    <row r="14800" spans="1:7" x14ac:dyDescent="0.25">
      <c r="A14800" s="1" t="str">
        <f>"525996"</f>
        <v>525996</v>
      </c>
      <c r="B14800" s="2" t="str">
        <f>"MACACÃO COMPLETO PARA APICULTOR"</f>
        <v>MACACÃO COMPLETO PARA APICULTOR</v>
      </c>
      <c r="C14800" s="2" t="str">
        <f t="shared" si="579"/>
        <v>UN</v>
      </c>
      <c r="D14800" s="7">
        <v>99999</v>
      </c>
      <c r="E14800" s="3">
        <v>99</v>
      </c>
      <c r="F14800" s="3">
        <v>99</v>
      </c>
      <c r="G14800" t="s">
        <v>514</v>
      </c>
    </row>
    <row r="14801" spans="1:7" x14ac:dyDescent="0.25">
      <c r="A14801" s="1" t="str">
        <f>"524112"</f>
        <v>524112</v>
      </c>
      <c r="B14801" s="2" t="str">
        <f>"MACACÃO SEGURANÇA (HOMOLOGAÇÃO)"</f>
        <v>MACACÃO SEGURANÇA (HOMOLOGAÇÃO)</v>
      </c>
      <c r="C14801" s="2" t="str">
        <f t="shared" si="579"/>
        <v>UN</v>
      </c>
      <c r="D14801" s="7">
        <v>501</v>
      </c>
      <c r="E14801" s="3">
        <v>5</v>
      </c>
      <c r="F14801" s="3">
        <v>5</v>
      </c>
      <c r="G14801" t="s">
        <v>513</v>
      </c>
    </row>
    <row r="14802" spans="1:7" x14ac:dyDescent="0.25">
      <c r="A14802" s="1" t="str">
        <f>"522793"</f>
        <v>522793</v>
      </c>
      <c r="B14802" s="2" t="str">
        <f>"MACACAO TIFLEX  BRANCO CA20662 TAMANHO XG"</f>
        <v>MACACAO TIFLEX  BRANCO CA20662 TAMANHO XG</v>
      </c>
      <c r="C14802" s="2" t="str">
        <f t="shared" si="579"/>
        <v>UN</v>
      </c>
      <c r="D14802" s="7">
        <v>501</v>
      </c>
      <c r="E14802" s="3">
        <v>5</v>
      </c>
      <c r="F14802" s="3">
        <v>5</v>
      </c>
      <c r="G14802" t="s">
        <v>513</v>
      </c>
    </row>
    <row r="14803" spans="1:7" x14ac:dyDescent="0.25">
      <c r="A14803" s="1" t="str">
        <f>"522378"</f>
        <v>522378</v>
      </c>
      <c r="B14803" s="2" t="str">
        <f>"MACACÃO TIPO SANEAMENTO"</f>
        <v>MACACÃO TIPO SANEAMENTO</v>
      </c>
      <c r="C14803" s="2" t="str">
        <f t="shared" si="579"/>
        <v>UN</v>
      </c>
      <c r="D14803" s="7">
        <v>501</v>
      </c>
      <c r="E14803" s="3">
        <v>5</v>
      </c>
      <c r="F14803" s="3">
        <v>5</v>
      </c>
      <c r="G14803" t="s">
        <v>513</v>
      </c>
    </row>
    <row r="14804" spans="1:7" x14ac:dyDescent="0.25">
      <c r="A14804" s="1" t="str">
        <f>"514464"</f>
        <v>514464</v>
      </c>
      <c r="B14804" s="2" t="str">
        <f>"MACACAO TYCHEM AMARELO CA-20662"</f>
        <v>MACACAO TYCHEM AMARELO CA-20662</v>
      </c>
      <c r="C14804" s="2" t="str">
        <f t="shared" si="579"/>
        <v>UN</v>
      </c>
      <c r="D14804" s="7">
        <v>501</v>
      </c>
      <c r="E14804" s="3">
        <v>5</v>
      </c>
      <c r="F14804" s="3">
        <v>5</v>
      </c>
      <c r="G14804" t="s">
        <v>512</v>
      </c>
    </row>
    <row r="14805" spans="1:7" x14ac:dyDescent="0.25">
      <c r="A14805" s="1" t="str">
        <f>"527415"</f>
        <v>527415</v>
      </c>
      <c r="B14805" s="2" t="str">
        <f>"MACACAO TYCHEM CA-35752 TAM. XG"</f>
        <v>MACACAO TYCHEM CA-35752 TAM. XG</v>
      </c>
      <c r="C14805" s="2" t="str">
        <f t="shared" si="579"/>
        <v>UN</v>
      </c>
      <c r="D14805" s="7">
        <v>501</v>
      </c>
      <c r="E14805" s="3">
        <v>5</v>
      </c>
      <c r="F14805" s="3">
        <v>5</v>
      </c>
      <c r="G14805" t="s">
        <v>513</v>
      </c>
    </row>
    <row r="14806" spans="1:7" x14ac:dyDescent="0.25">
      <c r="A14806" s="1" t="str">
        <f>"523981"</f>
        <v>523981</v>
      </c>
      <c r="B14806" s="2" t="str">
        <f>"MACACAO TYCHEM CA-38647 DUPONT TAMANHO LG"</f>
        <v>MACACAO TYCHEM CA-38647 DUPONT TAMANHO LG</v>
      </c>
      <c r="C14806" s="2" t="str">
        <f t="shared" si="579"/>
        <v>UN</v>
      </c>
      <c r="D14806" s="7">
        <v>501</v>
      </c>
      <c r="E14806" s="3">
        <v>5</v>
      </c>
      <c r="F14806" s="3">
        <v>5</v>
      </c>
      <c r="G14806" t="s">
        <v>514</v>
      </c>
    </row>
    <row r="14807" spans="1:7" x14ac:dyDescent="0.25">
      <c r="A14807" s="1" t="str">
        <f>"522791"</f>
        <v>522791</v>
      </c>
      <c r="B14807" s="2" t="str">
        <f>"MACACAO TYCHEM QC CA-38647 TAMANHO G"</f>
        <v>MACACAO TYCHEM QC CA-38647 TAMANHO G</v>
      </c>
      <c r="C14807" s="2" t="str">
        <f t="shared" si="579"/>
        <v>UN</v>
      </c>
      <c r="D14807" s="7">
        <v>501</v>
      </c>
      <c r="E14807" s="3">
        <v>5</v>
      </c>
      <c r="F14807" s="3">
        <v>5</v>
      </c>
      <c r="G14807" t="s">
        <v>515</v>
      </c>
    </row>
    <row r="14808" spans="1:7" x14ac:dyDescent="0.25">
      <c r="A14808" s="1" t="str">
        <f>"522459"</f>
        <v>522459</v>
      </c>
      <c r="B14808" s="2" t="str">
        <f>"MACACÃO TYVEC BRANCO CA-34152"</f>
        <v>MACACÃO TYVEC BRANCO CA-34152</v>
      </c>
      <c r="C14808" s="2" t="str">
        <f t="shared" si="579"/>
        <v>UN</v>
      </c>
      <c r="D14808" s="7">
        <v>501</v>
      </c>
      <c r="E14808" s="3">
        <v>4</v>
      </c>
      <c r="F14808" s="3">
        <v>4</v>
      </c>
      <c r="G14808" t="s">
        <v>512</v>
      </c>
    </row>
    <row r="14809" spans="1:7" x14ac:dyDescent="0.25">
      <c r="A14809" s="1" t="str">
        <f>"522460"</f>
        <v>522460</v>
      </c>
      <c r="B14809" s="2" t="str">
        <f>"MACACÃO TYVEC SL SL127T CA-34802 GG"</f>
        <v>MACACÃO TYVEC SL SL127T CA-34802 GG</v>
      </c>
      <c r="C14809" s="2" t="str">
        <f t="shared" si="579"/>
        <v>UN</v>
      </c>
      <c r="D14809" s="7">
        <v>501</v>
      </c>
      <c r="E14809" s="3">
        <v>4</v>
      </c>
      <c r="F14809" s="3">
        <v>4</v>
      </c>
      <c r="G14809" t="s">
        <v>516</v>
      </c>
    </row>
    <row r="14810" spans="1:7" x14ac:dyDescent="0.25">
      <c r="A14810" s="1" t="str">
        <f>"522458"</f>
        <v>522458</v>
      </c>
      <c r="B14810" s="2" t="str">
        <f>"MACACÃO TYVEC TYCHF5S TAM L/G CA-34187"</f>
        <v>MACACÃO TYVEC TYCHF5S TAM L/G CA-34187</v>
      </c>
      <c r="C14810" s="2" t="str">
        <f t="shared" si="579"/>
        <v>UN</v>
      </c>
      <c r="D14810" s="7">
        <v>501</v>
      </c>
      <c r="E14810" s="3">
        <v>4</v>
      </c>
      <c r="F14810" s="3">
        <v>4</v>
      </c>
      <c r="G14810" t="s">
        <v>515</v>
      </c>
    </row>
    <row r="14811" spans="1:7" x14ac:dyDescent="0.25">
      <c r="A14811" s="1" t="str">
        <f>"523868"</f>
        <v>523868</v>
      </c>
      <c r="B14811" s="2" t="str">
        <f>"MACACÃO TYVEC TYCHF5S TAM XL/XG CA-34187"</f>
        <v>MACACÃO TYVEC TYCHF5S TAM XL/XG CA-34187</v>
      </c>
      <c r="C14811" s="2" t="str">
        <f t="shared" si="579"/>
        <v>UN</v>
      </c>
      <c r="D14811" s="7">
        <v>501</v>
      </c>
      <c r="E14811" s="3">
        <v>4</v>
      </c>
      <c r="F14811" s="3">
        <v>4</v>
      </c>
      <c r="G14811" t="s">
        <v>514</v>
      </c>
    </row>
    <row r="14812" spans="1:7" x14ac:dyDescent="0.25">
      <c r="A14812" s="1" t="str">
        <f>"515041"</f>
        <v>515041</v>
      </c>
      <c r="B14812" s="2" t="str">
        <f>"MACACO HIDRAULICO"</f>
        <v>MACACO HIDRAULICO</v>
      </c>
      <c r="C14812" s="2" t="str">
        <f t="shared" si="579"/>
        <v>UN</v>
      </c>
      <c r="D14812" s="7">
        <v>704</v>
      </c>
      <c r="E14812" s="3">
        <v>9</v>
      </c>
      <c r="F14812" s="3">
        <v>9</v>
      </c>
      <c r="G14812" t="s">
        <v>512</v>
      </c>
    </row>
    <row r="14813" spans="1:7" x14ac:dyDescent="0.25">
      <c r="A14813" s="1" t="str">
        <f>"524830"</f>
        <v>524830</v>
      </c>
      <c r="B14813" s="2" t="str">
        <f>"MACACO JOELHO"</f>
        <v>MACACO JOELHO</v>
      </c>
      <c r="C14813" s="2" t="str">
        <f t="shared" si="579"/>
        <v>UN</v>
      </c>
      <c r="D14813" s="7">
        <v>704</v>
      </c>
      <c r="E14813" s="3">
        <v>9</v>
      </c>
      <c r="F14813" s="3">
        <v>9</v>
      </c>
      <c r="G14813" t="s">
        <v>513</v>
      </c>
    </row>
    <row r="14814" spans="1:7" x14ac:dyDescent="0.25">
      <c r="A14814" s="1" t="str">
        <f>"525195"</f>
        <v>525195</v>
      </c>
      <c r="B14814" s="2" t="str">
        <f>"MACANETA C/ CHAVE PRETO LISO BRIL RAL 9005 EIXO 75MM"</f>
        <v>MACANETA C/ CHAVE PRETO LISO BRIL RAL 9005 EIXO 75MM</v>
      </c>
      <c r="C14814" s="2" t="str">
        <f t="shared" si="579"/>
        <v>UN</v>
      </c>
      <c r="D14814" s="7">
        <v>917</v>
      </c>
      <c r="E14814" s="3">
        <v>10</v>
      </c>
      <c r="F14814" s="3">
        <v>10</v>
      </c>
      <c r="G14814" t="s">
        <v>514</v>
      </c>
    </row>
    <row r="14815" spans="1:7" x14ac:dyDescent="0.25">
      <c r="A14815" s="1" t="str">
        <f>"501819"</f>
        <v>501819</v>
      </c>
      <c r="B14815" s="2" t="str">
        <f>"MACANETA DO VIDRO 12.140H"</f>
        <v>MACANETA DO VIDRO 12.140H</v>
      </c>
      <c r="C14815" s="2" t="str">
        <f t="shared" si="579"/>
        <v>UN</v>
      </c>
      <c r="D14815" s="7">
        <v>704</v>
      </c>
      <c r="E14815" s="3">
        <v>9</v>
      </c>
      <c r="F14815" s="3">
        <v>9</v>
      </c>
      <c r="G14815" t="s">
        <v>514</v>
      </c>
    </row>
    <row r="14816" spans="1:7" x14ac:dyDescent="0.25">
      <c r="A14816" s="1" t="str">
        <f>"501738"</f>
        <v>501738</v>
      </c>
      <c r="B14816" s="2" t="str">
        <f>"MAÇANETA EXT PORTA"</f>
        <v>MAÇANETA EXT PORTA</v>
      </c>
      <c r="C14816" s="2" t="str">
        <f t="shared" si="579"/>
        <v>UN</v>
      </c>
      <c r="D14816" s="7">
        <v>704</v>
      </c>
      <c r="E14816" s="3">
        <v>9</v>
      </c>
      <c r="F14816" s="3">
        <v>9</v>
      </c>
      <c r="G14816" t="s">
        <v>512</v>
      </c>
    </row>
    <row r="14817" spans="1:7" x14ac:dyDescent="0.25">
      <c r="A14817" s="1" t="str">
        <f>"505241"</f>
        <v>505241</v>
      </c>
      <c r="B14817" s="2" t="str">
        <f>"MACANETA PORTA"</f>
        <v>MACANETA PORTA</v>
      </c>
      <c r="C14817" s="2" t="str">
        <f t="shared" si="579"/>
        <v>UN</v>
      </c>
      <c r="D14817" s="7">
        <v>704</v>
      </c>
      <c r="E14817" s="3">
        <v>9</v>
      </c>
      <c r="F14817" s="3">
        <v>9</v>
      </c>
      <c r="G14817" t="s">
        <v>513</v>
      </c>
    </row>
    <row r="14818" spans="1:7" x14ac:dyDescent="0.25">
      <c r="A14818" s="1" t="str">
        <f>"501782"</f>
        <v>501782</v>
      </c>
      <c r="B14818" s="2" t="str">
        <f>"MAÇANETA VIDRO LE"</f>
        <v>MAÇANETA VIDRO LE</v>
      </c>
      <c r="C14818" s="2" t="str">
        <f t="shared" si="579"/>
        <v>UN</v>
      </c>
      <c r="D14818" s="7">
        <v>704</v>
      </c>
      <c r="E14818" s="3">
        <v>9</v>
      </c>
      <c r="F14818" s="3">
        <v>9</v>
      </c>
      <c r="G14818" t="s">
        <v>514</v>
      </c>
    </row>
    <row r="14819" spans="1:7" x14ac:dyDescent="0.25">
      <c r="A14819" s="1" t="str">
        <f>"503030"</f>
        <v>503030</v>
      </c>
      <c r="B14819" s="2" t="str">
        <f>"MACARICO CONVENCIONAL REF.0111974"</f>
        <v>MACARICO CONVENCIONAL REF.0111974</v>
      </c>
      <c r="C14819" s="2" t="str">
        <f t="shared" si="579"/>
        <v>UN</v>
      </c>
      <c r="D14819" s="7">
        <v>402</v>
      </c>
      <c r="E14819" s="3">
        <v>4</v>
      </c>
      <c r="F14819" s="3">
        <v>4</v>
      </c>
      <c r="G14819" t="s">
        <v>514</v>
      </c>
    </row>
    <row r="14820" spans="1:7" x14ac:dyDescent="0.25">
      <c r="A14820" s="1" t="str">
        <f>"511806"</f>
        <v>511806</v>
      </c>
      <c r="B14820" s="2" t="str">
        <f>"MAÇARICO CORTE 531 SM"</f>
        <v>MAÇARICO CORTE 531 SM</v>
      </c>
      <c r="C14820" s="2" t="str">
        <f t="shared" si="579"/>
        <v>UN</v>
      </c>
      <c r="D14820" s="7">
        <v>402</v>
      </c>
      <c r="E14820" s="3">
        <v>4</v>
      </c>
      <c r="F14820" s="3">
        <v>4</v>
      </c>
      <c r="G14820" t="s">
        <v>514</v>
      </c>
    </row>
    <row r="14821" spans="1:7" x14ac:dyDescent="0.25">
      <c r="A14821" s="1" t="str">
        <f>"511137"</f>
        <v>511137</v>
      </c>
      <c r="B14821" s="2" t="str">
        <f>"MAÇARICO P/ SOLDA TS4000"</f>
        <v>MAÇARICO P/ SOLDA TS4000</v>
      </c>
      <c r="C14821" s="2" t="str">
        <f t="shared" si="579"/>
        <v>UN</v>
      </c>
      <c r="D14821" s="7">
        <v>402</v>
      </c>
      <c r="E14821" s="3">
        <v>4</v>
      </c>
      <c r="F14821" s="3">
        <v>4</v>
      </c>
      <c r="G14821" t="s">
        <v>513</v>
      </c>
    </row>
    <row r="14822" spans="1:7" x14ac:dyDescent="0.25">
      <c r="A14822" s="1" t="str">
        <f>"523421"</f>
        <v>523421</v>
      </c>
      <c r="B14822" s="2" t="str">
        <f>"MACARRÃO"</f>
        <v>MACARRÃO</v>
      </c>
      <c r="C14822" s="2" t="str">
        <f t="shared" si="579"/>
        <v>UN</v>
      </c>
      <c r="D14822" s="7">
        <v>402</v>
      </c>
      <c r="E14822" s="3">
        <v>4</v>
      </c>
      <c r="F14822" s="3">
        <v>4</v>
      </c>
      <c r="G14822" t="s">
        <v>512</v>
      </c>
    </row>
    <row r="14823" spans="1:7" x14ac:dyDescent="0.25">
      <c r="A14823" s="1" t="str">
        <f>"510901"</f>
        <v>510901</v>
      </c>
      <c r="B14823" s="2" t="str">
        <f>"MACARRAO ORSI FURADINHO"</f>
        <v>MACARRAO ORSI FURADINHO</v>
      </c>
      <c r="C14823" s="2" t="str">
        <f t="shared" ref="C14823:C14856" si="580">"UN"</f>
        <v>UN</v>
      </c>
      <c r="D14823" s="7">
        <v>401</v>
      </c>
      <c r="E14823" s="3">
        <v>4</v>
      </c>
      <c r="F14823" s="3">
        <v>4</v>
      </c>
      <c r="G14823" t="s">
        <v>513</v>
      </c>
    </row>
    <row r="14824" spans="1:7" x14ac:dyDescent="0.25">
      <c r="A14824" s="1" t="str">
        <f>"512284"</f>
        <v>512284</v>
      </c>
      <c r="B14824" s="2" t="str">
        <f>"MACHO 1/2 X 12"</f>
        <v>MACHO 1/2 X 12</v>
      </c>
      <c r="C14824" s="2" t="str">
        <f t="shared" si="580"/>
        <v>UN</v>
      </c>
      <c r="D14824" s="7">
        <v>402</v>
      </c>
      <c r="E14824" s="3">
        <v>4</v>
      </c>
      <c r="F14824" s="3">
        <v>4</v>
      </c>
      <c r="G14824" t="s">
        <v>514</v>
      </c>
    </row>
    <row r="14825" spans="1:7" x14ac:dyDescent="0.25">
      <c r="A14825" s="1" t="str">
        <f>"508327"</f>
        <v>508327</v>
      </c>
      <c r="B14825" s="2" t="str">
        <f>"MACHO 1/2 X 13"</f>
        <v>MACHO 1/2 X 13</v>
      </c>
      <c r="C14825" s="2" t="str">
        <f t="shared" si="580"/>
        <v>UN</v>
      </c>
      <c r="D14825" s="7">
        <v>402</v>
      </c>
      <c r="E14825" s="3">
        <v>4</v>
      </c>
      <c r="F14825" s="3">
        <v>4</v>
      </c>
      <c r="G14825" t="s">
        <v>514</v>
      </c>
    </row>
    <row r="14826" spans="1:7" x14ac:dyDescent="0.25">
      <c r="A14826" s="1" t="str">
        <f>"505458"</f>
        <v>505458</v>
      </c>
      <c r="B14826" s="2" t="str">
        <f>"MACHO 1/4 X 20"</f>
        <v>MACHO 1/4 X 20</v>
      </c>
      <c r="C14826" s="2" t="str">
        <f t="shared" si="580"/>
        <v>UN</v>
      </c>
      <c r="D14826" s="7">
        <v>402</v>
      </c>
      <c r="E14826" s="3">
        <v>4</v>
      </c>
      <c r="F14826" s="3">
        <v>4</v>
      </c>
      <c r="G14826" t="s">
        <v>514</v>
      </c>
    </row>
    <row r="14827" spans="1:7" x14ac:dyDescent="0.25">
      <c r="A14827" s="1" t="str">
        <f>"517434"</f>
        <v>517434</v>
      </c>
      <c r="B14827" s="2" t="str">
        <f>"MACHO 1/4X20"</f>
        <v>MACHO 1/4X20</v>
      </c>
      <c r="C14827" s="2" t="str">
        <f t="shared" si="580"/>
        <v>UN</v>
      </c>
      <c r="D14827" s="7">
        <v>920</v>
      </c>
      <c r="E14827" s="3">
        <v>4</v>
      </c>
      <c r="F14827" s="3">
        <v>4</v>
      </c>
      <c r="G14827" t="s">
        <v>513</v>
      </c>
    </row>
    <row r="14828" spans="1:7" x14ac:dyDescent="0.25">
      <c r="A14828" s="1" t="str">
        <f>"504511"</f>
        <v>504511</v>
      </c>
      <c r="B14828" s="2" t="str">
        <f>"MACHO 1/8"""</f>
        <v>MACHO 1/8"</v>
      </c>
      <c r="C14828" s="2" t="str">
        <f t="shared" si="580"/>
        <v>UN</v>
      </c>
      <c r="D14828" s="7">
        <v>402</v>
      </c>
      <c r="E14828" s="3">
        <v>4</v>
      </c>
      <c r="F14828" s="3">
        <v>4</v>
      </c>
      <c r="G14828" t="s">
        <v>513</v>
      </c>
    </row>
    <row r="14829" spans="1:7" x14ac:dyDescent="0.25">
      <c r="A14829" s="1" t="str">
        <f>"503769"</f>
        <v>503769</v>
      </c>
      <c r="B14829" s="2" t="str">
        <f>"MACHO 3/16"""</f>
        <v>MACHO 3/16"</v>
      </c>
      <c r="C14829" s="2" t="str">
        <f t="shared" si="580"/>
        <v>UN</v>
      </c>
      <c r="D14829" s="7">
        <v>402</v>
      </c>
      <c r="E14829" s="3">
        <v>4</v>
      </c>
      <c r="F14829" s="3">
        <v>4</v>
      </c>
      <c r="G14829" t="s">
        <v>513</v>
      </c>
    </row>
    <row r="14830" spans="1:7" x14ac:dyDescent="0.25">
      <c r="A14830" s="1" t="str">
        <f>"508326"</f>
        <v>508326</v>
      </c>
      <c r="B14830" s="2" t="str">
        <f>"MACHO 3/8"""</f>
        <v>MACHO 3/8"</v>
      </c>
      <c r="C14830" s="2" t="str">
        <f t="shared" si="580"/>
        <v>UN</v>
      </c>
      <c r="D14830" s="7">
        <v>402</v>
      </c>
      <c r="E14830" s="3">
        <v>4</v>
      </c>
      <c r="F14830" s="3">
        <v>4</v>
      </c>
      <c r="G14830" t="s">
        <v>512</v>
      </c>
    </row>
    <row r="14831" spans="1:7" x14ac:dyDescent="0.25">
      <c r="A14831" s="1" t="str">
        <f>"512283"</f>
        <v>512283</v>
      </c>
      <c r="B14831" s="2" t="str">
        <f>"MACHO 5/16"""</f>
        <v>MACHO 5/16"</v>
      </c>
      <c r="C14831" s="2" t="str">
        <f t="shared" si="580"/>
        <v>UN</v>
      </c>
      <c r="D14831" s="7">
        <v>402</v>
      </c>
      <c r="E14831" s="3">
        <v>4</v>
      </c>
      <c r="F14831" s="3">
        <v>4</v>
      </c>
      <c r="G14831" t="s">
        <v>513</v>
      </c>
    </row>
    <row r="14832" spans="1:7" x14ac:dyDescent="0.25">
      <c r="A14832" s="1" t="str">
        <f>"521505"</f>
        <v>521505</v>
      </c>
      <c r="B14832" s="2" t="str">
        <f>"MACHO ADAP. DIN X TC 304/L TUBO 4"""</f>
        <v>MACHO ADAP. DIN X TC 304/L TUBO 4"</v>
      </c>
      <c r="C14832" s="2" t="str">
        <f t="shared" si="580"/>
        <v>UN</v>
      </c>
      <c r="D14832" s="7">
        <v>915</v>
      </c>
      <c r="E14832" s="3">
        <v>3</v>
      </c>
      <c r="F14832" s="3">
        <v>3</v>
      </c>
      <c r="G14832" t="s">
        <v>514</v>
      </c>
    </row>
    <row r="14833" spans="1:7" x14ac:dyDescent="0.25">
      <c r="A14833" s="1" t="str">
        <f>"521507"</f>
        <v>521507</v>
      </c>
      <c r="B14833" s="2" t="str">
        <f>"MACHO ADAPT. DIN X TC 304/L 3"" - Tubo 4"""</f>
        <v>MACHO ADAPT. DIN X TC 304/L 3" - Tubo 4"</v>
      </c>
      <c r="C14833" s="2" t="str">
        <f t="shared" si="580"/>
        <v>UN</v>
      </c>
      <c r="D14833" s="7">
        <v>807</v>
      </c>
      <c r="E14833" s="3">
        <v>10</v>
      </c>
      <c r="F14833" s="3">
        <v>10</v>
      </c>
      <c r="G14833" t="s">
        <v>515</v>
      </c>
    </row>
    <row r="14834" spans="1:7" x14ac:dyDescent="0.25">
      <c r="A14834" s="1" t="str">
        <f>"516101"</f>
        <v>516101</v>
      </c>
      <c r="B14834" s="2" t="str">
        <f>"MACHO BSP 2PÇ 1"" OSG"</f>
        <v>MACHO BSP 2PÇ 1" OSG</v>
      </c>
      <c r="C14834" s="2" t="str">
        <f t="shared" si="580"/>
        <v>UN</v>
      </c>
      <c r="D14834" s="7">
        <v>402</v>
      </c>
      <c r="E14834" s="3">
        <v>4</v>
      </c>
      <c r="F14834" s="3">
        <v>4</v>
      </c>
      <c r="G14834" t="s">
        <v>512</v>
      </c>
    </row>
    <row r="14835" spans="1:7" x14ac:dyDescent="0.25">
      <c r="A14835" s="1" t="str">
        <f>"512366"</f>
        <v>512366</v>
      </c>
      <c r="B14835" s="2" t="str">
        <f>"MACHO CORTE DIAMETRO 28MM"</f>
        <v>MACHO CORTE DIAMETRO 28MM</v>
      </c>
      <c r="C14835" s="2" t="str">
        <f t="shared" si="580"/>
        <v>UN</v>
      </c>
      <c r="D14835" s="7">
        <v>920</v>
      </c>
      <c r="E14835" s="3">
        <v>11</v>
      </c>
      <c r="F14835" s="3">
        <v>11</v>
      </c>
      <c r="G14835" t="s">
        <v>516</v>
      </c>
    </row>
    <row r="14836" spans="1:7" x14ac:dyDescent="0.25">
      <c r="A14836" s="1" t="str">
        <f>"517612"</f>
        <v>517612</v>
      </c>
      <c r="B14836" s="2" t="str">
        <f>"MACHO FERM001"</f>
        <v>MACHO FERM001</v>
      </c>
      <c r="C14836" s="2" t="str">
        <f t="shared" si="580"/>
        <v>UN</v>
      </c>
      <c r="D14836" s="7">
        <v>918</v>
      </c>
      <c r="E14836" s="3">
        <v>11</v>
      </c>
      <c r="F14836" s="3">
        <v>11</v>
      </c>
      <c r="G14836" t="s">
        <v>515</v>
      </c>
    </row>
    <row r="14837" spans="1:7" x14ac:dyDescent="0.25">
      <c r="A14837" s="1" t="str">
        <f>"512367"</f>
        <v>512367</v>
      </c>
      <c r="B14837" s="2" t="str">
        <f>"MACHO FORMADOR DIAMETRO 28MM"</f>
        <v>MACHO FORMADOR DIAMETRO 28MM</v>
      </c>
      <c r="C14837" s="2" t="str">
        <f t="shared" si="580"/>
        <v>UN</v>
      </c>
      <c r="D14837" s="7">
        <v>920</v>
      </c>
      <c r="E14837" s="3">
        <v>11</v>
      </c>
      <c r="F14837" s="3">
        <v>11</v>
      </c>
      <c r="G14837" t="s">
        <v>514</v>
      </c>
    </row>
    <row r="14838" spans="1:7" x14ac:dyDescent="0.25">
      <c r="A14838" s="1" t="str">
        <f>"512279"</f>
        <v>512279</v>
      </c>
      <c r="B14838" s="2" t="str">
        <f>"MACHO M05 X 0.7"</f>
        <v>MACHO M05 X 0.7</v>
      </c>
      <c r="C14838" s="2" t="str">
        <f t="shared" si="580"/>
        <v>UN</v>
      </c>
      <c r="D14838" s="7">
        <v>402</v>
      </c>
      <c r="E14838" s="3">
        <v>4</v>
      </c>
      <c r="F14838" s="3">
        <v>4</v>
      </c>
      <c r="G14838" t="s">
        <v>512</v>
      </c>
    </row>
    <row r="14839" spans="1:7" x14ac:dyDescent="0.25">
      <c r="A14839" s="1" t="str">
        <f>"502612"</f>
        <v>502612</v>
      </c>
      <c r="B14839" s="2" t="str">
        <f>"MACHO M05 X 1"</f>
        <v>MACHO M05 X 1</v>
      </c>
      <c r="C14839" s="2" t="str">
        <f t="shared" si="580"/>
        <v>UN</v>
      </c>
      <c r="D14839" s="7">
        <v>402</v>
      </c>
      <c r="E14839" s="3">
        <v>4</v>
      </c>
      <c r="F14839" s="3">
        <v>4</v>
      </c>
      <c r="G14839" t="s">
        <v>513</v>
      </c>
    </row>
    <row r="14840" spans="1:7" x14ac:dyDescent="0.25">
      <c r="A14840" s="1" t="str">
        <f>"509105"</f>
        <v>509105</v>
      </c>
      <c r="B14840" s="2" t="str">
        <f>"MACHO M05 X 1,25"</f>
        <v>MACHO M05 X 1,25</v>
      </c>
      <c r="C14840" s="2" t="str">
        <f t="shared" si="580"/>
        <v>UN</v>
      </c>
      <c r="D14840" s="7">
        <v>920</v>
      </c>
      <c r="E14840" s="3">
        <v>11</v>
      </c>
      <c r="F14840" s="3">
        <v>11</v>
      </c>
      <c r="G14840" t="s">
        <v>514</v>
      </c>
    </row>
    <row r="14841" spans="1:7" x14ac:dyDescent="0.25">
      <c r="A14841" s="1" t="str">
        <f>"501761"</f>
        <v>501761</v>
      </c>
      <c r="B14841" s="2" t="str">
        <f>"MACHO M06 P/ ROSCA POSTIÇA"</f>
        <v>MACHO M06 P/ ROSCA POSTIÇA</v>
      </c>
      <c r="C14841" s="2" t="str">
        <f t="shared" si="580"/>
        <v>UN</v>
      </c>
      <c r="D14841" s="7">
        <v>402</v>
      </c>
      <c r="E14841" s="3">
        <v>4</v>
      </c>
      <c r="F14841" s="3">
        <v>4</v>
      </c>
      <c r="G14841" t="s">
        <v>514</v>
      </c>
    </row>
    <row r="14842" spans="1:7" x14ac:dyDescent="0.25">
      <c r="A14842" s="1" t="str">
        <f>"508328"</f>
        <v>508328</v>
      </c>
      <c r="B14842" s="2" t="str">
        <f>"MACHO M06 X 1"</f>
        <v>MACHO M06 X 1</v>
      </c>
      <c r="C14842" s="2" t="str">
        <f t="shared" si="580"/>
        <v>UN</v>
      </c>
      <c r="D14842" s="7">
        <v>402</v>
      </c>
      <c r="E14842" s="3">
        <v>4</v>
      </c>
      <c r="F14842" s="3">
        <v>4</v>
      </c>
      <c r="G14842" t="s">
        <v>512</v>
      </c>
    </row>
    <row r="14843" spans="1:7" x14ac:dyDescent="0.25">
      <c r="A14843" s="1" t="str">
        <f>"507915"</f>
        <v>507915</v>
      </c>
      <c r="B14843" s="2" t="str">
        <f>"MACHO M06 X 1,25"</f>
        <v>MACHO M06 X 1,25</v>
      </c>
      <c r="C14843" s="2" t="str">
        <f t="shared" si="580"/>
        <v>UN</v>
      </c>
      <c r="D14843" s="7">
        <v>402</v>
      </c>
      <c r="E14843" s="3">
        <v>4</v>
      </c>
      <c r="F14843" s="3">
        <v>4</v>
      </c>
      <c r="G14843" t="s">
        <v>513</v>
      </c>
    </row>
    <row r="14844" spans="1:7" x14ac:dyDescent="0.25">
      <c r="A14844" s="1" t="str">
        <f>"503639"</f>
        <v>503639</v>
      </c>
      <c r="B14844" s="2" t="str">
        <f>"MACHO M08 P/ ROSCA POSTIÇA"</f>
        <v>MACHO M08 P/ ROSCA POSTIÇA</v>
      </c>
      <c r="C14844" s="2" t="str">
        <f t="shared" si="580"/>
        <v>UN</v>
      </c>
      <c r="D14844" s="7">
        <v>402</v>
      </c>
      <c r="E14844" s="3">
        <v>4</v>
      </c>
      <c r="F14844" s="3">
        <v>4</v>
      </c>
      <c r="G14844" t="s">
        <v>514</v>
      </c>
    </row>
    <row r="14845" spans="1:7" x14ac:dyDescent="0.25">
      <c r="A14845" s="1" t="str">
        <f>"505217"</f>
        <v>505217</v>
      </c>
      <c r="B14845" s="2" t="str">
        <f>"MACHO M08 X 1"</f>
        <v>MACHO M08 X 1</v>
      </c>
      <c r="C14845" s="2" t="str">
        <f t="shared" si="580"/>
        <v>UN</v>
      </c>
      <c r="D14845" s="7">
        <v>817</v>
      </c>
      <c r="E14845" s="3">
        <v>10</v>
      </c>
      <c r="F14845" s="3">
        <v>10</v>
      </c>
      <c r="G14845" t="s">
        <v>514</v>
      </c>
    </row>
    <row r="14846" spans="1:7" x14ac:dyDescent="0.25">
      <c r="A14846" s="1" t="str">
        <f>"508405"</f>
        <v>508405</v>
      </c>
      <c r="B14846" s="2" t="str">
        <f>"MACHO M08 X 1,25"</f>
        <v>MACHO M08 X 1,25</v>
      </c>
      <c r="C14846" s="2" t="str">
        <f t="shared" si="580"/>
        <v>UN</v>
      </c>
      <c r="D14846" s="7">
        <v>402</v>
      </c>
      <c r="E14846" s="3">
        <v>4</v>
      </c>
      <c r="F14846" s="3">
        <v>4</v>
      </c>
      <c r="G14846" t="s">
        <v>514</v>
      </c>
    </row>
    <row r="14847" spans="1:7" x14ac:dyDescent="0.25">
      <c r="A14847" s="1" t="str">
        <f>"508329"</f>
        <v>508329</v>
      </c>
      <c r="B14847" s="2" t="str">
        <f>"MACHO M10 P/ ROSCA POSTIÇA"</f>
        <v>MACHO M10 P/ ROSCA POSTIÇA</v>
      </c>
      <c r="C14847" s="2" t="str">
        <f t="shared" si="580"/>
        <v>UN</v>
      </c>
      <c r="D14847" s="7">
        <v>402</v>
      </c>
      <c r="E14847" s="3">
        <v>4</v>
      </c>
      <c r="F14847" s="3">
        <v>4</v>
      </c>
      <c r="G14847" t="s">
        <v>513</v>
      </c>
    </row>
    <row r="14848" spans="1:7" x14ac:dyDescent="0.25">
      <c r="A14848" s="1" t="str">
        <f>"507916"</f>
        <v>507916</v>
      </c>
      <c r="B14848" s="2" t="str">
        <f>"MACHO M10 X 1"</f>
        <v>MACHO M10 X 1</v>
      </c>
      <c r="C14848" s="2" t="str">
        <f t="shared" si="580"/>
        <v>UN</v>
      </c>
      <c r="D14848" s="7">
        <v>402</v>
      </c>
      <c r="E14848" s="3">
        <v>4</v>
      </c>
      <c r="F14848" s="3">
        <v>4</v>
      </c>
      <c r="G14848" t="s">
        <v>512</v>
      </c>
    </row>
    <row r="14849" spans="1:7" x14ac:dyDescent="0.25">
      <c r="A14849" s="1" t="str">
        <f>"505078"</f>
        <v>505078</v>
      </c>
      <c r="B14849" s="2" t="str">
        <f>"MACHO M10 X 1,25"</f>
        <v>MACHO M10 X 1,25</v>
      </c>
      <c r="C14849" s="2" t="str">
        <f t="shared" si="580"/>
        <v>UN</v>
      </c>
      <c r="D14849" s="7">
        <v>402</v>
      </c>
      <c r="E14849" s="3">
        <v>4</v>
      </c>
      <c r="F14849" s="3">
        <v>4</v>
      </c>
      <c r="G14849" t="s">
        <v>513</v>
      </c>
    </row>
    <row r="14850" spans="1:7" x14ac:dyDescent="0.25">
      <c r="A14850" s="1" t="str">
        <f>"512281"</f>
        <v>512281</v>
      </c>
      <c r="B14850" s="2" t="str">
        <f>"MACHO M10 X 1.5"</f>
        <v>MACHO M10 X 1.5</v>
      </c>
      <c r="C14850" s="2" t="str">
        <f t="shared" si="580"/>
        <v>UN</v>
      </c>
      <c r="D14850" s="7">
        <v>402</v>
      </c>
      <c r="E14850" s="3">
        <v>4</v>
      </c>
      <c r="F14850" s="3">
        <v>4</v>
      </c>
      <c r="G14850" t="s">
        <v>514</v>
      </c>
    </row>
    <row r="14851" spans="1:7" x14ac:dyDescent="0.25">
      <c r="A14851" s="1" t="str">
        <f>"512282"</f>
        <v>512282</v>
      </c>
      <c r="B14851" s="2" t="str">
        <f>"MACHO M12 X 1.75"</f>
        <v>MACHO M12 X 1.75</v>
      </c>
      <c r="C14851" s="2" t="str">
        <f t="shared" si="580"/>
        <v>UN</v>
      </c>
      <c r="D14851" s="7">
        <v>402</v>
      </c>
      <c r="E14851" s="3">
        <v>4</v>
      </c>
      <c r="F14851" s="3">
        <v>4</v>
      </c>
      <c r="G14851" t="s">
        <v>514</v>
      </c>
    </row>
    <row r="14852" spans="1:7" x14ac:dyDescent="0.25">
      <c r="A14852" s="1" t="str">
        <f>"512280"</f>
        <v>512280</v>
      </c>
      <c r="B14852" s="2" t="str">
        <f>"MACHO M5 X 0.75"</f>
        <v>MACHO M5 X 0.75</v>
      </c>
      <c r="C14852" s="2" t="str">
        <f t="shared" si="580"/>
        <v>UN</v>
      </c>
      <c r="D14852" s="7">
        <v>402</v>
      </c>
      <c r="E14852" s="3">
        <v>4</v>
      </c>
      <c r="F14852" s="3">
        <v>4</v>
      </c>
      <c r="G14852" t="s">
        <v>514</v>
      </c>
    </row>
    <row r="14853" spans="1:7" x14ac:dyDescent="0.25">
      <c r="A14853" s="1" t="str">
        <f>"526699"</f>
        <v>526699</v>
      </c>
      <c r="B14853" s="2" t="str">
        <f>"MACHO Nº 12"</f>
        <v>MACHO Nº 12</v>
      </c>
      <c r="C14853" s="2" t="str">
        <f t="shared" si="580"/>
        <v>UN</v>
      </c>
      <c r="D14853" s="7">
        <v>402</v>
      </c>
      <c r="E14853" s="3">
        <v>4</v>
      </c>
      <c r="F14853" s="3">
        <v>4</v>
      </c>
      <c r="G14853" t="s">
        <v>513</v>
      </c>
    </row>
    <row r="14854" spans="1:7" x14ac:dyDescent="0.25">
      <c r="A14854" s="1" t="str">
        <f>"526697"</f>
        <v>526697</v>
      </c>
      <c r="B14854" s="2" t="str">
        <f>"MACHO Nº 16"</f>
        <v>MACHO Nº 16</v>
      </c>
      <c r="C14854" s="2" t="str">
        <f t="shared" si="580"/>
        <v>UN</v>
      </c>
      <c r="D14854" s="7">
        <v>402</v>
      </c>
      <c r="E14854" s="3">
        <v>4</v>
      </c>
      <c r="F14854" s="3">
        <v>4</v>
      </c>
      <c r="G14854" t="s">
        <v>513</v>
      </c>
    </row>
    <row r="14855" spans="1:7" x14ac:dyDescent="0.25">
      <c r="A14855" s="1" t="str">
        <f>"526698"</f>
        <v>526698</v>
      </c>
      <c r="B14855" s="2" t="str">
        <f>"MACHO Nº 17"</f>
        <v>MACHO Nº 17</v>
      </c>
      <c r="C14855" s="2" t="str">
        <f t="shared" si="580"/>
        <v>UN</v>
      </c>
      <c r="D14855" s="7">
        <v>402</v>
      </c>
      <c r="E14855" s="3">
        <v>4</v>
      </c>
      <c r="F14855" s="3">
        <v>4</v>
      </c>
      <c r="G14855" t="s">
        <v>513</v>
      </c>
    </row>
    <row r="14856" spans="1:7" x14ac:dyDescent="0.25">
      <c r="A14856" s="1" t="str">
        <f>"526700"</f>
        <v>526700</v>
      </c>
      <c r="B14856" s="2" t="str">
        <f>"MACHO Nº 45"</f>
        <v>MACHO Nº 45</v>
      </c>
      <c r="C14856" s="2" t="str">
        <f t="shared" si="580"/>
        <v>UN</v>
      </c>
      <c r="D14856" s="7">
        <v>402</v>
      </c>
      <c r="E14856" s="3">
        <v>4</v>
      </c>
      <c r="F14856" s="3">
        <v>4</v>
      </c>
      <c r="G14856" t="s">
        <v>512</v>
      </c>
    </row>
    <row r="14857" spans="1:7" x14ac:dyDescent="0.25">
      <c r="A14857" s="1" t="str">
        <f>"520321"</f>
        <v>520321</v>
      </c>
      <c r="B14857" s="2" t="str">
        <f>"MACHO RJT 304 1"""</f>
        <v>MACHO RJT 304 1"</v>
      </c>
      <c r="C14857" s="2" t="str">
        <f>"BR"</f>
        <v>BR</v>
      </c>
      <c r="D14857" s="7">
        <v>807</v>
      </c>
      <c r="E14857" s="3">
        <v>10</v>
      </c>
      <c r="F14857" s="3">
        <v>10</v>
      </c>
      <c r="G14857" t="s">
        <v>513</v>
      </c>
    </row>
    <row r="14858" spans="1:7" x14ac:dyDescent="0.25">
      <c r="A14858" s="1" t="str">
        <f>"520322"</f>
        <v>520322</v>
      </c>
      <c r="B14858" s="2" t="str">
        <f>"MACHO RJT 304 1""1/2"</f>
        <v>MACHO RJT 304 1"1/2</v>
      </c>
      <c r="C14858" s="2" t="str">
        <f>"BR"</f>
        <v>BR</v>
      </c>
      <c r="D14858" s="7">
        <v>807</v>
      </c>
      <c r="E14858" s="3">
        <v>10</v>
      </c>
      <c r="F14858" s="3">
        <v>10</v>
      </c>
      <c r="G14858" t="s">
        <v>514</v>
      </c>
    </row>
    <row r="14859" spans="1:7" x14ac:dyDescent="0.25">
      <c r="A14859" s="1" t="str">
        <f>"520323"</f>
        <v>520323</v>
      </c>
      <c r="B14859" s="2" t="str">
        <f>"MACHO RJT 304 2"""</f>
        <v>MACHO RJT 304 2"</v>
      </c>
      <c r="C14859" s="2" t="str">
        <f>"BR"</f>
        <v>BR</v>
      </c>
      <c r="D14859" s="7">
        <v>807</v>
      </c>
      <c r="E14859" s="3">
        <v>10</v>
      </c>
      <c r="F14859" s="3">
        <v>10</v>
      </c>
      <c r="G14859" t="s">
        <v>515</v>
      </c>
    </row>
    <row r="14860" spans="1:7" x14ac:dyDescent="0.25">
      <c r="A14860" s="1" t="str">
        <f>"520324"</f>
        <v>520324</v>
      </c>
      <c r="B14860" s="2" t="str">
        <f>"MACHO RJT 304 2""1/2"</f>
        <v>MACHO RJT 304 2"1/2</v>
      </c>
      <c r="C14860" s="2" t="str">
        <f>"BR"</f>
        <v>BR</v>
      </c>
      <c r="D14860" s="7">
        <v>807</v>
      </c>
      <c r="E14860" s="3">
        <v>10</v>
      </c>
      <c r="F14860" s="3">
        <v>10</v>
      </c>
      <c r="G14860" t="s">
        <v>512</v>
      </c>
    </row>
    <row r="14861" spans="1:7" x14ac:dyDescent="0.25">
      <c r="A14861" s="1" t="str">
        <f>"514823"</f>
        <v>514823</v>
      </c>
      <c r="B14861" s="2" t="str">
        <f>"MACHO RJT 304 3"""</f>
        <v>MACHO RJT 304 3"</v>
      </c>
      <c r="C14861" s="2" t="str">
        <f>"UN"</f>
        <v>UN</v>
      </c>
      <c r="D14861" s="7">
        <v>915</v>
      </c>
      <c r="E14861" s="3">
        <v>10</v>
      </c>
      <c r="F14861" s="3">
        <v>10</v>
      </c>
      <c r="G14861" t="s">
        <v>516</v>
      </c>
    </row>
    <row r="14862" spans="1:7" x14ac:dyDescent="0.25">
      <c r="A14862" s="1" t="str">
        <f>"502703"</f>
        <v>502703</v>
      </c>
      <c r="B14862" s="2" t="str">
        <f>"MACHO SMS 1"""</f>
        <v>MACHO SMS 1"</v>
      </c>
      <c r="C14862" s="2" t="str">
        <f>"BR"</f>
        <v>BR</v>
      </c>
      <c r="D14862" s="7">
        <v>807</v>
      </c>
      <c r="E14862" s="3">
        <v>10</v>
      </c>
      <c r="F14862" s="3">
        <v>10</v>
      </c>
      <c r="G14862" t="s">
        <v>515</v>
      </c>
    </row>
    <row r="14863" spans="1:7" x14ac:dyDescent="0.25">
      <c r="A14863" s="1" t="str">
        <f>"503401"</f>
        <v>503401</v>
      </c>
      <c r="B14863" s="2" t="str">
        <f>"MACHO SMS 1""1/2"</f>
        <v>MACHO SMS 1"1/2</v>
      </c>
      <c r="C14863" s="2" t="str">
        <f>"UN"</f>
        <v>UN</v>
      </c>
      <c r="D14863" s="7">
        <v>402</v>
      </c>
      <c r="E14863" s="3">
        <v>4</v>
      </c>
      <c r="F14863" s="3">
        <v>4</v>
      </c>
      <c r="G14863" t="s">
        <v>514</v>
      </c>
    </row>
    <row r="14864" spans="1:7" x14ac:dyDescent="0.25">
      <c r="A14864" s="1" t="str">
        <f>"502173"</f>
        <v>502173</v>
      </c>
      <c r="B14864" s="2" t="str">
        <f>"MACHO SMS 2"""</f>
        <v>MACHO SMS 2"</v>
      </c>
      <c r="C14864" s="2" t="str">
        <f>"UN"</f>
        <v>UN</v>
      </c>
      <c r="D14864" s="7">
        <v>402</v>
      </c>
      <c r="E14864" s="3">
        <v>4</v>
      </c>
      <c r="F14864" s="3">
        <v>4</v>
      </c>
      <c r="G14864" t="s">
        <v>512</v>
      </c>
    </row>
    <row r="14865" spans="1:7" x14ac:dyDescent="0.25">
      <c r="A14865" s="1" t="str">
        <f>"502107"</f>
        <v>502107</v>
      </c>
      <c r="B14865" s="2" t="str">
        <f>"MACHO SMS 2""1/2"</f>
        <v>MACHO SMS 2"1/2</v>
      </c>
      <c r="C14865" s="2" t="str">
        <f>"BR"</f>
        <v>BR</v>
      </c>
      <c r="D14865" s="7">
        <v>807</v>
      </c>
      <c r="E14865" s="3">
        <v>10</v>
      </c>
      <c r="F14865" s="3">
        <v>10</v>
      </c>
      <c r="G14865" t="s">
        <v>513</v>
      </c>
    </row>
    <row r="14866" spans="1:7" x14ac:dyDescent="0.25">
      <c r="A14866" s="1" t="str">
        <f>"509719"</f>
        <v>509719</v>
      </c>
      <c r="B14866" s="2" t="str">
        <f>"MACHO SMS 304 3"""</f>
        <v>MACHO SMS 304 3"</v>
      </c>
      <c r="C14866" s="2" t="str">
        <f>"UN"</f>
        <v>UN</v>
      </c>
      <c r="D14866" s="7">
        <v>915</v>
      </c>
      <c r="E14866" s="3">
        <v>11</v>
      </c>
      <c r="F14866" s="3">
        <v>11</v>
      </c>
      <c r="G14866" t="s">
        <v>514</v>
      </c>
    </row>
    <row r="14867" spans="1:7" x14ac:dyDescent="0.25">
      <c r="A14867" s="1" t="str">
        <f>"504883"</f>
        <v>504883</v>
      </c>
      <c r="B14867" s="2" t="str">
        <f>"MACHO SMS 4"""</f>
        <v>MACHO SMS 4"</v>
      </c>
      <c r="C14867" s="2" t="str">
        <f>"BR"</f>
        <v>BR</v>
      </c>
      <c r="D14867" s="7">
        <v>807</v>
      </c>
      <c r="E14867" s="3">
        <v>10</v>
      </c>
      <c r="F14867" s="3">
        <v>10</v>
      </c>
      <c r="G14867" t="s">
        <v>514</v>
      </c>
    </row>
    <row r="14868" spans="1:7" x14ac:dyDescent="0.25">
      <c r="A14868" s="1" t="str">
        <f>"511965"</f>
        <v>511965</v>
      </c>
      <c r="B14868" s="2" t="str">
        <f>"MACHO SMS 6"""</f>
        <v>MACHO SMS 6"</v>
      </c>
      <c r="C14868" s="2" t="str">
        <f>"PC"</f>
        <v>PC</v>
      </c>
      <c r="D14868" s="7">
        <v>807</v>
      </c>
      <c r="E14868" s="3">
        <v>10</v>
      </c>
      <c r="F14868" s="3">
        <v>10</v>
      </c>
      <c r="G14868" t="s">
        <v>512</v>
      </c>
    </row>
    <row r="14869" spans="1:7" x14ac:dyDescent="0.25">
      <c r="A14869" s="1" t="str">
        <f>"502226"</f>
        <v>502226</v>
      </c>
      <c r="B14869" s="8" t="s">
        <v>15</v>
      </c>
      <c r="C14869" s="2" t="str">
        <f t="shared" ref="C14869:C14874" si="581">"UN"</f>
        <v>UN</v>
      </c>
      <c r="D14869" s="7">
        <v>704</v>
      </c>
      <c r="E14869" s="3">
        <v>9</v>
      </c>
      <c r="F14869" s="3">
        <v>9</v>
      </c>
      <c r="G14869" t="s">
        <v>513</v>
      </c>
    </row>
    <row r="14870" spans="1:7" x14ac:dyDescent="0.25">
      <c r="A14870" s="1" t="str">
        <f>"519339"</f>
        <v>519339</v>
      </c>
      <c r="B14870" s="2" t="str">
        <f>"MADEGRAN-40 1KG"</f>
        <v>MADEGRAN-40 1KG</v>
      </c>
      <c r="C14870" s="2" t="str">
        <f t="shared" si="581"/>
        <v>UN</v>
      </c>
      <c r="D14870" s="7">
        <v>812</v>
      </c>
      <c r="E14870" s="3">
        <v>4</v>
      </c>
      <c r="F14870" s="3">
        <v>4</v>
      </c>
      <c r="G14870" t="s">
        <v>514</v>
      </c>
    </row>
    <row r="14871" spans="1:7" x14ac:dyDescent="0.25">
      <c r="A14871" s="1" t="str">
        <f>"514443"</f>
        <v>514443</v>
      </c>
      <c r="B14871" s="2" t="str">
        <f>"MADEIRA ASSENTO"</f>
        <v>MADEIRA ASSENTO</v>
      </c>
      <c r="C14871" s="2" t="str">
        <f t="shared" si="581"/>
        <v>UN</v>
      </c>
      <c r="D14871" s="7">
        <v>401</v>
      </c>
      <c r="E14871" s="3">
        <v>4</v>
      </c>
      <c r="F14871" s="3">
        <v>4</v>
      </c>
      <c r="G14871" t="s">
        <v>514</v>
      </c>
    </row>
    <row r="14872" spans="1:7" x14ac:dyDescent="0.25">
      <c r="A14872" s="1" t="str">
        <f>"514444"</f>
        <v>514444</v>
      </c>
      <c r="B14872" s="2" t="str">
        <f>"MADEIRA ENCOSTO"</f>
        <v>MADEIRA ENCOSTO</v>
      </c>
      <c r="C14872" s="2" t="str">
        <f t="shared" si="581"/>
        <v>UN</v>
      </c>
      <c r="D14872" s="7">
        <v>401</v>
      </c>
      <c r="E14872" s="3">
        <v>4</v>
      </c>
      <c r="F14872" s="3">
        <v>4</v>
      </c>
      <c r="G14872" t="s">
        <v>514</v>
      </c>
    </row>
    <row r="14873" spans="1:7" x14ac:dyDescent="0.25">
      <c r="A14873" s="1" t="str">
        <f>"511005"</f>
        <v>511005</v>
      </c>
      <c r="B14873" s="2" t="str">
        <f>"MADEIRA ENCOSTO PRESIDENTE"</f>
        <v>MADEIRA ENCOSTO PRESIDENTE</v>
      </c>
      <c r="C14873" s="2" t="str">
        <f t="shared" si="581"/>
        <v>UN</v>
      </c>
      <c r="D14873" s="7">
        <v>401</v>
      </c>
      <c r="E14873" s="3">
        <v>4</v>
      </c>
      <c r="F14873" s="3">
        <v>4</v>
      </c>
      <c r="G14873" t="s">
        <v>513</v>
      </c>
    </row>
    <row r="14874" spans="1:7" x14ac:dyDescent="0.25">
      <c r="A14874" s="1" t="str">
        <f>"514454"</f>
        <v>514454</v>
      </c>
      <c r="B14874" s="2" t="str">
        <f>"MADEIRA SERRADA"</f>
        <v>MADEIRA SERRADA</v>
      </c>
      <c r="C14874" s="2" t="str">
        <f t="shared" si="581"/>
        <v>UN</v>
      </c>
      <c r="D14874" s="7">
        <v>917</v>
      </c>
      <c r="E14874" s="3">
        <v>10</v>
      </c>
      <c r="F14874" s="3">
        <v>10</v>
      </c>
      <c r="G14874" t="s">
        <v>512</v>
      </c>
    </row>
    <row r="14875" spans="1:7" x14ac:dyDescent="0.25">
      <c r="A14875" s="1" t="str">
        <f>"521789"</f>
        <v>521789</v>
      </c>
      <c r="B14875" s="2" t="str">
        <f>"MADERITE 12 MM"</f>
        <v>MADERITE 12 MM</v>
      </c>
      <c r="C14875" s="2" t="str">
        <f>"MT"</f>
        <v>MT</v>
      </c>
      <c r="D14875" s="7">
        <v>917</v>
      </c>
      <c r="E14875" s="3">
        <v>10</v>
      </c>
      <c r="F14875" s="3">
        <v>10</v>
      </c>
      <c r="G14875" t="s">
        <v>513</v>
      </c>
    </row>
    <row r="14876" spans="1:7" x14ac:dyDescent="0.25">
      <c r="A14876" s="1" t="str">
        <f>"523227"</f>
        <v>523227</v>
      </c>
      <c r="B14876" s="2" t="str">
        <f>"MADERITE 18 MM"</f>
        <v>MADERITE 18 MM</v>
      </c>
      <c r="C14876" s="2" t="str">
        <f>"MT"</f>
        <v>MT</v>
      </c>
      <c r="D14876" s="7">
        <v>917</v>
      </c>
      <c r="E14876" s="3">
        <v>10</v>
      </c>
      <c r="F14876" s="3">
        <v>10</v>
      </c>
      <c r="G14876" t="s">
        <v>514</v>
      </c>
    </row>
    <row r="14877" spans="1:7" x14ac:dyDescent="0.25">
      <c r="A14877" s="1" t="str">
        <f>"522937"</f>
        <v>522937</v>
      </c>
      <c r="B14877" s="2" t="str">
        <f>"MADERITE 9MM"</f>
        <v>MADERITE 9MM</v>
      </c>
      <c r="C14877" s="2" t="str">
        <f t="shared" ref="C14877:C14887" si="582">"UN"</f>
        <v>UN</v>
      </c>
      <c r="D14877" s="7">
        <v>917</v>
      </c>
      <c r="E14877" s="3">
        <v>4</v>
      </c>
      <c r="F14877" s="3">
        <v>4</v>
      </c>
      <c r="G14877" t="s">
        <v>514</v>
      </c>
    </row>
    <row r="14878" spans="1:7" x14ac:dyDescent="0.25">
      <c r="A14878" s="1" t="str">
        <f>"517084"</f>
        <v>517084</v>
      </c>
      <c r="B14878" s="2" t="str">
        <f>"MADERITE 9MM 1,10 X 2,20"</f>
        <v>MADERITE 9MM 1,10 X 2,20</v>
      </c>
      <c r="C14878" s="2" t="str">
        <f t="shared" si="582"/>
        <v>UN</v>
      </c>
      <c r="D14878" s="7">
        <v>917</v>
      </c>
      <c r="E14878" s="3">
        <v>10</v>
      </c>
      <c r="F14878" s="3">
        <v>10</v>
      </c>
      <c r="G14878" t="s">
        <v>514</v>
      </c>
    </row>
    <row r="14879" spans="1:7" x14ac:dyDescent="0.25">
      <c r="A14879" s="1" t="str">
        <f>"525051"</f>
        <v>525051</v>
      </c>
      <c r="B14879" s="2" t="str">
        <f>"MADERITE LAMINADA PRETO 2.20MT X 2.10MT"</f>
        <v>MADERITE LAMINADA PRETO 2.20MT X 2.10MT</v>
      </c>
      <c r="C14879" s="2" t="str">
        <f t="shared" si="582"/>
        <v>UN</v>
      </c>
      <c r="D14879" s="7">
        <v>803</v>
      </c>
      <c r="E14879" s="3">
        <v>4</v>
      </c>
      <c r="F14879" s="3">
        <v>4</v>
      </c>
      <c r="G14879" t="s">
        <v>513</v>
      </c>
    </row>
    <row r="14880" spans="1:7" x14ac:dyDescent="0.25">
      <c r="A14880" s="1" t="str">
        <f>"504626"</f>
        <v>504626</v>
      </c>
      <c r="B14880" s="2" t="str">
        <f>"MAGAZINE PARA COPOS DE REQUEIJAO"</f>
        <v>MAGAZINE PARA COPOS DE REQUEIJAO</v>
      </c>
      <c r="C14880" s="2" t="str">
        <f t="shared" si="582"/>
        <v>UN</v>
      </c>
      <c r="D14880" s="7">
        <v>918</v>
      </c>
      <c r="E14880" s="3">
        <v>11</v>
      </c>
      <c r="F14880" s="3">
        <v>11</v>
      </c>
      <c r="G14880" t="s">
        <v>513</v>
      </c>
    </row>
    <row r="14881" spans="1:7" x14ac:dyDescent="0.25">
      <c r="A14881" s="1" t="str">
        <f>"514753"</f>
        <v>514753</v>
      </c>
      <c r="B14881" s="2" t="str">
        <f>"MAIONESE MARIA"</f>
        <v>MAIONESE MARIA</v>
      </c>
      <c r="C14881" s="2" t="str">
        <f t="shared" si="582"/>
        <v>UN</v>
      </c>
      <c r="D14881" s="7">
        <v>401</v>
      </c>
      <c r="E14881" s="3">
        <v>4</v>
      </c>
      <c r="F14881" s="3">
        <v>4</v>
      </c>
      <c r="G14881" t="s">
        <v>513</v>
      </c>
    </row>
    <row r="14882" spans="1:7" x14ac:dyDescent="0.25">
      <c r="A14882" s="1" t="str">
        <f>"518361"</f>
        <v>518361</v>
      </c>
      <c r="B14882" s="2" t="str">
        <f>"MAISCOR LATEX BRANCO FIB. 16LT"</f>
        <v>MAISCOR LATEX BRANCO FIB. 16LT</v>
      </c>
      <c r="C14882" s="2" t="str">
        <f t="shared" si="582"/>
        <v>UN</v>
      </c>
      <c r="D14882" s="7">
        <v>804</v>
      </c>
      <c r="E14882" s="3">
        <v>10</v>
      </c>
      <c r="F14882" s="3">
        <v>10</v>
      </c>
      <c r="G14882" t="s">
        <v>512</v>
      </c>
    </row>
    <row r="14883" spans="1:7" x14ac:dyDescent="0.25">
      <c r="A14883" s="1" t="str">
        <f>"513579"</f>
        <v>513579</v>
      </c>
      <c r="B14883" s="2" t="str">
        <f>"MALA SACO PLASTICO TRANSPARENTE"</f>
        <v>MALA SACO PLASTICO TRANSPARENTE</v>
      </c>
      <c r="C14883" s="2" t="str">
        <f t="shared" si="582"/>
        <v>UN</v>
      </c>
      <c r="D14883" s="7">
        <v>99999</v>
      </c>
      <c r="E14883" s="3">
        <v>99</v>
      </c>
      <c r="F14883" s="3">
        <v>99</v>
      </c>
      <c r="G14883" t="s">
        <v>513</v>
      </c>
    </row>
    <row r="14884" spans="1:7" x14ac:dyDescent="0.25">
      <c r="A14884" s="1" t="str">
        <f>"515739"</f>
        <v>515739</v>
      </c>
      <c r="B14884" s="2" t="str">
        <f>"MALEATO DE TIMOLOL 0,5 COL"</f>
        <v>MALEATO DE TIMOLOL 0,5 COL</v>
      </c>
      <c r="C14884" s="2" t="str">
        <f t="shared" si="582"/>
        <v>UN</v>
      </c>
      <c r="D14884" s="7">
        <v>401</v>
      </c>
      <c r="E14884" s="3">
        <v>4</v>
      </c>
      <c r="F14884" s="3">
        <v>4</v>
      </c>
      <c r="G14884" t="s">
        <v>514</v>
      </c>
    </row>
    <row r="14885" spans="1:7" x14ac:dyDescent="0.25">
      <c r="A14885" s="1" t="str">
        <f>"527207"</f>
        <v>527207</v>
      </c>
      <c r="B14885" s="2" t="str">
        <f>"MALETA CARRYING CASE FRX DESFRIBRILADOR PHILIPS"</f>
        <v>MALETA CARRYING CASE FRX DESFRIBRILADOR PHILIPS</v>
      </c>
      <c r="C14885" s="2" t="str">
        <f t="shared" si="582"/>
        <v>UN</v>
      </c>
      <c r="D14885" s="7">
        <v>1500</v>
      </c>
      <c r="E14885" s="3">
        <v>11</v>
      </c>
      <c r="F14885" s="3">
        <v>11</v>
      </c>
      <c r="G14885" t="s">
        <v>515</v>
      </c>
    </row>
    <row r="14886" spans="1:7" x14ac:dyDescent="0.25">
      <c r="A14886" s="1" t="str">
        <f>"517917"</f>
        <v>517917</v>
      </c>
      <c r="B14886" s="2" t="str">
        <f>"MALETA MOD. MA 810 DIMENSÃO 318X229X155MM"</f>
        <v>MALETA MOD. MA 810 DIMENSÃO 318X229X155MM</v>
      </c>
      <c r="C14886" s="2" t="str">
        <f t="shared" si="582"/>
        <v>UN</v>
      </c>
      <c r="D14886" s="7">
        <v>817</v>
      </c>
      <c r="E14886" s="3">
        <v>13</v>
      </c>
      <c r="F14886" s="3">
        <v>13</v>
      </c>
      <c r="G14886" t="s">
        <v>512</v>
      </c>
    </row>
    <row r="14887" spans="1:7" x14ac:dyDescent="0.25">
      <c r="A14887" s="1" t="str">
        <f>"526198"</f>
        <v>526198</v>
      </c>
      <c r="B14887" s="2" t="str">
        <f>"MALETA MOD.MA-800 DIMENSAO 460X335X155MM"</f>
        <v>MALETA MOD.MA-800 DIMENSAO 460X335X155MM</v>
      </c>
      <c r="C14887" s="2" t="str">
        <f t="shared" si="582"/>
        <v>UN</v>
      </c>
      <c r="D14887" s="7">
        <v>811</v>
      </c>
      <c r="E14887" s="3">
        <v>10</v>
      </c>
      <c r="F14887" s="3">
        <v>10</v>
      </c>
      <c r="G14887" t="s">
        <v>516</v>
      </c>
    </row>
    <row r="14888" spans="1:7" x14ac:dyDescent="0.25">
      <c r="A14888" s="1" t="str">
        <f>"527230"</f>
        <v>527230</v>
      </c>
      <c r="B14888" s="2" t="str">
        <f>"MALETA P/ COLETOR DE AR TESTE BAB BET"</f>
        <v>MALETA P/ COLETOR DE AR TESTE BAB BET</v>
      </c>
      <c r="C14888" s="2" t="str">
        <f>"PC"</f>
        <v>PC</v>
      </c>
      <c r="D14888" s="7">
        <v>99999</v>
      </c>
      <c r="E14888" s="3">
        <v>99</v>
      </c>
      <c r="F14888" s="3">
        <v>99</v>
      </c>
      <c r="G14888" t="s">
        <v>515</v>
      </c>
    </row>
    <row r="14889" spans="1:7" x14ac:dyDescent="0.25">
      <c r="A14889" s="1" t="str">
        <f>"521040"</f>
        <v>521040</v>
      </c>
      <c r="B14889" s="2" t="str">
        <f>"MALETA P/ MEDICAMENTOS"</f>
        <v>MALETA P/ MEDICAMENTOS</v>
      </c>
      <c r="C14889" s="2" t="str">
        <f t="shared" ref="C14889:C14898" si="583">"UN"</f>
        <v>UN</v>
      </c>
      <c r="D14889" s="7">
        <v>99999</v>
      </c>
      <c r="E14889" s="3">
        <v>99</v>
      </c>
      <c r="F14889" s="3">
        <v>99</v>
      </c>
      <c r="G14889" t="s">
        <v>514</v>
      </c>
    </row>
    <row r="14890" spans="1:7" x14ac:dyDescent="0.25">
      <c r="A14890" s="1" t="str">
        <f>"511653"</f>
        <v>511653</v>
      </c>
      <c r="B14890" s="2" t="str">
        <f>"MALHA"</f>
        <v>MALHA</v>
      </c>
      <c r="C14890" s="2" t="str">
        <f t="shared" si="583"/>
        <v>UN</v>
      </c>
      <c r="D14890" s="7">
        <v>704</v>
      </c>
      <c r="E14890" s="3">
        <v>9</v>
      </c>
      <c r="F14890" s="3">
        <v>9</v>
      </c>
      <c r="G14890" t="s">
        <v>512</v>
      </c>
    </row>
    <row r="14891" spans="1:7" x14ac:dyDescent="0.25">
      <c r="A14891" s="1" t="str">
        <f>"526353"</f>
        <v>526353</v>
      </c>
      <c r="B14891" s="2" t="str">
        <f>"MALHA CINTO SEGURANÇA C/ 3 MT"</f>
        <v>MALHA CINTO SEGURANÇA C/ 3 MT</v>
      </c>
      <c r="C14891" s="2" t="str">
        <f t="shared" si="583"/>
        <v>UN</v>
      </c>
      <c r="D14891" s="7">
        <v>99999</v>
      </c>
      <c r="E14891" s="3">
        <v>99</v>
      </c>
      <c r="F14891" s="3">
        <v>99</v>
      </c>
      <c r="G14891" t="s">
        <v>513</v>
      </c>
    </row>
    <row r="14892" spans="1:7" x14ac:dyDescent="0.25">
      <c r="A14892" s="1" t="str">
        <f>"517660"</f>
        <v>517660</v>
      </c>
      <c r="B14892" s="2" t="str">
        <f>"MALHA COSTURADA 1KG"</f>
        <v>MALHA COSTURADA 1KG</v>
      </c>
      <c r="C14892" s="2" t="str">
        <f t="shared" si="583"/>
        <v>UN</v>
      </c>
      <c r="D14892" s="7">
        <v>803</v>
      </c>
      <c r="E14892" s="3">
        <v>10</v>
      </c>
      <c r="F14892" s="3">
        <v>10</v>
      </c>
      <c r="G14892" t="s">
        <v>514</v>
      </c>
    </row>
    <row r="14893" spans="1:7" x14ac:dyDescent="0.25">
      <c r="A14893" s="1" t="str">
        <f>"502627"</f>
        <v>502627</v>
      </c>
      <c r="B14893" s="2" t="str">
        <f>"MALHA DE AÇO PARA ALAMBRADO FIO 10MM"</f>
        <v>MALHA DE AÇO PARA ALAMBRADO FIO 10MM</v>
      </c>
      <c r="C14893" s="2" t="str">
        <f t="shared" si="583"/>
        <v>UN</v>
      </c>
      <c r="D14893" s="7">
        <v>403</v>
      </c>
      <c r="E14893" s="3">
        <v>4</v>
      </c>
      <c r="F14893" s="3">
        <v>4</v>
      </c>
      <c r="G14893" t="s">
        <v>514</v>
      </c>
    </row>
    <row r="14894" spans="1:7" x14ac:dyDescent="0.25">
      <c r="A14894" s="1" t="str">
        <f>"526148"</f>
        <v>526148</v>
      </c>
      <c r="B14894" s="2" t="str">
        <f>"MALHA DE FERRO FIO 3.4 20 X 20 2X3 MTS"</f>
        <v>MALHA DE FERRO FIO 3.4 20 X 20 2X3 MTS</v>
      </c>
      <c r="C14894" s="2" t="str">
        <f t="shared" si="583"/>
        <v>UN</v>
      </c>
      <c r="D14894" s="7">
        <v>403</v>
      </c>
      <c r="E14894" s="3">
        <v>4</v>
      </c>
      <c r="F14894" s="3">
        <v>4</v>
      </c>
      <c r="G14894" t="s">
        <v>512</v>
      </c>
    </row>
    <row r="14895" spans="1:7" x14ac:dyDescent="0.25">
      <c r="A14895" s="1" t="str">
        <f>"517411"</f>
        <v>517411</v>
      </c>
      <c r="B14895" s="2" t="str">
        <f>"MALHA DE FERRO FIO 3.4 20X20 2X3 MTS"</f>
        <v>MALHA DE FERRO FIO 3.4 20X20 2X3 MTS</v>
      </c>
      <c r="C14895" s="2" t="str">
        <f t="shared" si="583"/>
        <v>UN</v>
      </c>
      <c r="D14895" s="7">
        <v>917</v>
      </c>
      <c r="E14895" s="3">
        <v>10</v>
      </c>
      <c r="F14895" s="3">
        <v>10</v>
      </c>
      <c r="G14895" t="s">
        <v>513</v>
      </c>
    </row>
    <row r="14896" spans="1:7" x14ac:dyDescent="0.25">
      <c r="A14896" s="1" t="str">
        <f>"502447"</f>
        <v>502447</v>
      </c>
      <c r="B14896" s="2" t="str">
        <f>"MALHA DE FERRO FIO 4.2 10X10 2X3 MTS"</f>
        <v>MALHA DE FERRO FIO 4.2 10X10 2X3 MTS</v>
      </c>
      <c r="C14896" s="2" t="str">
        <f t="shared" si="583"/>
        <v>UN</v>
      </c>
      <c r="D14896" s="7">
        <v>403</v>
      </c>
      <c r="E14896" s="3">
        <v>4</v>
      </c>
      <c r="F14896" s="3">
        <v>4</v>
      </c>
      <c r="G14896" t="s">
        <v>514</v>
      </c>
    </row>
    <row r="14897" spans="1:7" x14ac:dyDescent="0.25">
      <c r="A14897" s="1" t="str">
        <f>"502194"</f>
        <v>502194</v>
      </c>
      <c r="B14897" s="2" t="str">
        <f>"MALHA DE FERRO FIO 4.2 15X15CM 2X3 MTS"</f>
        <v>MALHA DE FERRO FIO 4.2 15X15CM 2X3 MTS</v>
      </c>
      <c r="C14897" s="2" t="str">
        <f t="shared" si="583"/>
        <v>UN</v>
      </c>
      <c r="D14897" s="7">
        <v>403</v>
      </c>
      <c r="E14897" s="3">
        <v>4</v>
      </c>
      <c r="F14897" s="3">
        <v>4</v>
      </c>
      <c r="G14897" t="s">
        <v>514</v>
      </c>
    </row>
    <row r="14898" spans="1:7" x14ac:dyDescent="0.25">
      <c r="A14898" s="1" t="str">
        <f>"506036"</f>
        <v>506036</v>
      </c>
      <c r="B14898" s="2" t="str">
        <f>"MALHA F. GLOBOLAT MOD SIST MED.L.E.PLAT"</f>
        <v>MALHA F. GLOBOLAT MOD SIST MED.L.E.PLAT</v>
      </c>
      <c r="C14898" s="2" t="str">
        <f t="shared" si="583"/>
        <v>UN</v>
      </c>
      <c r="D14898" s="7">
        <v>915</v>
      </c>
      <c r="E14898" s="3">
        <v>11</v>
      </c>
      <c r="F14898" s="3">
        <v>11</v>
      </c>
      <c r="G14898" t="s">
        <v>514</v>
      </c>
    </row>
    <row r="14899" spans="1:7" x14ac:dyDescent="0.25">
      <c r="A14899" s="1" t="str">
        <f>"504517"</f>
        <v>504517</v>
      </c>
      <c r="B14899" s="2" t="str">
        <f>"MALHA P/ FILTRO F-1200 M100"</f>
        <v>MALHA P/ FILTRO F-1200 M100</v>
      </c>
      <c r="C14899" s="2" t="str">
        <f>"BR"</f>
        <v>BR</v>
      </c>
      <c r="D14899" s="7">
        <v>807</v>
      </c>
      <c r="E14899" s="3">
        <v>10</v>
      </c>
      <c r="F14899" s="3">
        <v>10</v>
      </c>
      <c r="G14899" t="s">
        <v>513</v>
      </c>
    </row>
    <row r="14900" spans="1:7" x14ac:dyDescent="0.25">
      <c r="A14900" s="1" t="str">
        <f>"504518"</f>
        <v>504518</v>
      </c>
      <c r="B14900" s="2" t="str">
        <f>"MALHA P/ FILTRO F-1200 M50 308U 316"</f>
        <v>MALHA P/ FILTRO F-1200 M50 308U 316</v>
      </c>
      <c r="C14900" s="2" t="str">
        <f>"BR"</f>
        <v>BR</v>
      </c>
      <c r="D14900" s="7">
        <v>807</v>
      </c>
      <c r="E14900" s="3">
        <v>10</v>
      </c>
      <c r="F14900" s="3">
        <v>10</v>
      </c>
      <c r="G14900" t="s">
        <v>512</v>
      </c>
    </row>
    <row r="14901" spans="1:7" x14ac:dyDescent="0.25">
      <c r="A14901" s="1" t="str">
        <f>"516510"</f>
        <v>516510</v>
      </c>
      <c r="B14901" s="2" t="str">
        <f>"MALHA P/ FILTRO F-1500  FURO 1MM"</f>
        <v>MALHA P/ FILTRO F-1500  FURO 1MM</v>
      </c>
      <c r="C14901" s="2" t="str">
        <f>"UN"</f>
        <v>UN</v>
      </c>
      <c r="D14901" s="7">
        <v>915</v>
      </c>
      <c r="E14901" s="3">
        <v>10</v>
      </c>
      <c r="F14901" s="3">
        <v>10</v>
      </c>
      <c r="G14901" t="s">
        <v>513</v>
      </c>
    </row>
    <row r="14902" spans="1:7" x14ac:dyDescent="0.25">
      <c r="A14902" s="1" t="str">
        <f>"504515"</f>
        <v>504515</v>
      </c>
      <c r="B14902" s="2" t="str">
        <f>"MALHA P/ FILTRO F-1500 M100 154U 304"</f>
        <v>MALHA P/ FILTRO F-1500 M100 154U 304</v>
      </c>
      <c r="C14902" s="2" t="str">
        <f>"BR"</f>
        <v>BR</v>
      </c>
      <c r="D14902" s="7">
        <v>807</v>
      </c>
      <c r="E14902" s="3">
        <v>10</v>
      </c>
      <c r="F14902" s="3">
        <v>10</v>
      </c>
      <c r="G14902" t="s">
        <v>514</v>
      </c>
    </row>
    <row r="14903" spans="1:7" x14ac:dyDescent="0.25">
      <c r="A14903" s="1" t="str">
        <f>"504514"</f>
        <v>504514</v>
      </c>
      <c r="B14903" s="2" t="str">
        <f>"MALHA P/ FILTRO F-1500 M80 192U 304"</f>
        <v>MALHA P/ FILTRO F-1500 M80 192U 304</v>
      </c>
      <c r="C14903" s="2" t="str">
        <f>"BR"</f>
        <v>BR</v>
      </c>
      <c r="D14903" s="7">
        <v>807</v>
      </c>
      <c r="E14903" s="3">
        <v>10</v>
      </c>
      <c r="F14903" s="3">
        <v>10</v>
      </c>
      <c r="G14903" t="s">
        <v>514</v>
      </c>
    </row>
    <row r="14904" spans="1:7" x14ac:dyDescent="0.25">
      <c r="A14904" s="1" t="str">
        <f>"510582"</f>
        <v>510582</v>
      </c>
      <c r="B14904" s="2" t="str">
        <f>"MALHA P/ FILTRO F-600 FURO 4MM"</f>
        <v>MALHA P/ FILTRO F-600 FURO 4MM</v>
      </c>
      <c r="C14904" s="2" t="str">
        <f>"UN"</f>
        <v>UN</v>
      </c>
      <c r="D14904" s="7">
        <v>915</v>
      </c>
      <c r="E14904" s="3">
        <v>11</v>
      </c>
      <c r="F14904" s="3">
        <v>11</v>
      </c>
      <c r="G14904" t="s">
        <v>514</v>
      </c>
    </row>
    <row r="14905" spans="1:7" x14ac:dyDescent="0.25">
      <c r="A14905" s="1" t="str">
        <f>"502035"</f>
        <v>502035</v>
      </c>
      <c r="B14905" s="2" t="str">
        <f>"MALHA P/ FILTRO F-600 M100"</f>
        <v>MALHA P/ FILTRO F-600 M100</v>
      </c>
      <c r="C14905" s="2" t="str">
        <f>"BR"</f>
        <v>BR</v>
      </c>
      <c r="D14905" s="7">
        <v>807</v>
      </c>
      <c r="E14905" s="3">
        <v>10</v>
      </c>
      <c r="F14905" s="3">
        <v>10</v>
      </c>
      <c r="G14905" t="s">
        <v>513</v>
      </c>
    </row>
    <row r="14906" spans="1:7" x14ac:dyDescent="0.25">
      <c r="A14906" s="1" t="str">
        <f>"504519"</f>
        <v>504519</v>
      </c>
      <c r="B14906" s="2" t="str">
        <f>"MALHA P/ FILTRO F-600 M50"</f>
        <v>MALHA P/ FILTRO F-600 M50</v>
      </c>
      <c r="C14906" s="2" t="str">
        <f>"BR"</f>
        <v>BR</v>
      </c>
      <c r="D14906" s="7">
        <v>807</v>
      </c>
      <c r="E14906" s="3">
        <v>10</v>
      </c>
      <c r="F14906" s="3">
        <v>10</v>
      </c>
      <c r="G14906" t="s">
        <v>513</v>
      </c>
    </row>
    <row r="14907" spans="1:7" x14ac:dyDescent="0.25">
      <c r="A14907" s="1" t="str">
        <f>"504512"</f>
        <v>504512</v>
      </c>
      <c r="B14907" s="2" t="str">
        <f>"MALHA P/ FILTRO F-600 M80"</f>
        <v>MALHA P/ FILTRO F-600 M80</v>
      </c>
      <c r="C14907" s="2" t="str">
        <f>"BR"</f>
        <v>BR</v>
      </c>
      <c r="D14907" s="7">
        <v>807</v>
      </c>
      <c r="E14907" s="3">
        <v>10</v>
      </c>
      <c r="F14907" s="3">
        <v>10</v>
      </c>
      <c r="G14907" t="s">
        <v>513</v>
      </c>
    </row>
    <row r="14908" spans="1:7" x14ac:dyDescent="0.25">
      <c r="A14908" s="1" t="str">
        <f>"527252"</f>
        <v>527252</v>
      </c>
      <c r="B14908" s="2" t="str">
        <f>"MALHA POP"</f>
        <v>MALHA POP</v>
      </c>
      <c r="C14908" s="2" t="str">
        <f>"BR"</f>
        <v>BR</v>
      </c>
      <c r="D14908" s="7">
        <v>808</v>
      </c>
      <c r="E14908" s="3">
        <v>10</v>
      </c>
      <c r="F14908" s="3">
        <v>10</v>
      </c>
      <c r="G14908" t="s">
        <v>512</v>
      </c>
    </row>
    <row r="14909" spans="1:7" x14ac:dyDescent="0.25">
      <c r="A14909" s="1" t="str">
        <f>"524462"</f>
        <v>524462</v>
      </c>
      <c r="B14909" s="2" t="str">
        <f>"MALOTE 29,5X18CM EM NYLON PRETO CALCA 63 GOODIE"</f>
        <v>MALOTE 29,5X18CM EM NYLON PRETO CALCA 63 GOODIE</v>
      </c>
      <c r="C14909" s="2" t="str">
        <f t="shared" ref="C14909:C14930" si="584">"UN"</f>
        <v>UN</v>
      </c>
      <c r="D14909" s="7">
        <v>99999</v>
      </c>
      <c r="E14909" s="3">
        <v>99</v>
      </c>
      <c r="F14909" s="3">
        <v>99</v>
      </c>
      <c r="G14909" t="s">
        <v>513</v>
      </c>
    </row>
    <row r="14910" spans="1:7" x14ac:dyDescent="0.25">
      <c r="A14910" s="1" t="str">
        <f>"515446"</f>
        <v>515446</v>
      </c>
      <c r="B14910" s="2" t="str">
        <f>"MAMAO PAPAIA"</f>
        <v>MAMAO PAPAIA</v>
      </c>
      <c r="C14910" s="2" t="str">
        <f t="shared" si="584"/>
        <v>UN</v>
      </c>
      <c r="D14910" s="7">
        <v>401</v>
      </c>
      <c r="E14910" s="3">
        <v>4</v>
      </c>
      <c r="F14910" s="3">
        <v>4</v>
      </c>
      <c r="G14910" t="s">
        <v>514</v>
      </c>
    </row>
    <row r="14911" spans="1:7" x14ac:dyDescent="0.25">
      <c r="A14911" s="1" t="str">
        <f>"514889"</f>
        <v>514889</v>
      </c>
      <c r="B14911" s="2" t="str">
        <f>"MAMINHA"</f>
        <v>MAMINHA</v>
      </c>
      <c r="C14911" s="2" t="str">
        <f t="shared" si="584"/>
        <v>UN</v>
      </c>
      <c r="D14911" s="7">
        <v>401</v>
      </c>
      <c r="E14911" s="3">
        <v>4</v>
      </c>
      <c r="F14911" s="3">
        <v>4</v>
      </c>
      <c r="G14911" t="s">
        <v>515</v>
      </c>
    </row>
    <row r="14912" spans="1:7" x14ac:dyDescent="0.25">
      <c r="A14912" s="1" t="str">
        <f>"508944"</f>
        <v>508944</v>
      </c>
      <c r="B14912" s="2" t="str">
        <f>"MANCAL"</f>
        <v>MANCAL</v>
      </c>
      <c r="C14912" s="2" t="str">
        <f t="shared" si="584"/>
        <v>UN</v>
      </c>
      <c r="D14912" s="7">
        <v>918</v>
      </c>
      <c r="E14912" s="3">
        <v>11</v>
      </c>
      <c r="F14912" s="3">
        <v>11</v>
      </c>
      <c r="G14912" t="s">
        <v>512</v>
      </c>
    </row>
    <row r="14913" spans="1:7" x14ac:dyDescent="0.25">
      <c r="A14913" s="1" t="str">
        <f>"504982"</f>
        <v>504982</v>
      </c>
      <c r="B14913" s="2" t="str">
        <f>"MANCAL CINTA POLIESTER"</f>
        <v>MANCAL CINTA POLIESTER</v>
      </c>
      <c r="C14913" s="2" t="str">
        <f t="shared" si="584"/>
        <v>UN</v>
      </c>
      <c r="D14913" s="7">
        <v>704</v>
      </c>
      <c r="E14913" s="3">
        <v>9</v>
      </c>
      <c r="F14913" s="3">
        <v>9</v>
      </c>
      <c r="G14913" t="s">
        <v>516</v>
      </c>
    </row>
    <row r="14914" spans="1:7" x14ac:dyDescent="0.25">
      <c r="A14914" s="1" t="str">
        <f>"522535"</f>
        <v>522535</v>
      </c>
      <c r="B14914" s="8" t="s">
        <v>311</v>
      </c>
      <c r="C14914" s="2" t="str">
        <f t="shared" si="584"/>
        <v>UN</v>
      </c>
      <c r="D14914" s="7">
        <v>918</v>
      </c>
      <c r="E14914" s="3">
        <v>11</v>
      </c>
      <c r="F14914" s="3">
        <v>11</v>
      </c>
      <c r="G14914" t="s">
        <v>515</v>
      </c>
    </row>
    <row r="14915" spans="1:7" x14ac:dyDescent="0.25">
      <c r="A14915" s="1" t="str">
        <f>"509476"</f>
        <v>509476</v>
      </c>
      <c r="B14915" s="2" t="str">
        <f>"MANCAL DO DATADOR  - DINIEPER PETIT"</f>
        <v>MANCAL DO DATADOR  - DINIEPER PETIT</v>
      </c>
      <c r="C14915" s="2" t="str">
        <f t="shared" si="584"/>
        <v>UN</v>
      </c>
      <c r="D14915" s="7">
        <v>918</v>
      </c>
      <c r="E14915" s="3">
        <v>11</v>
      </c>
      <c r="F14915" s="3">
        <v>11</v>
      </c>
      <c r="G14915" t="s">
        <v>514</v>
      </c>
    </row>
    <row r="14916" spans="1:7" x14ac:dyDescent="0.25">
      <c r="A14916" s="1" t="str">
        <f>"508303"</f>
        <v>508303</v>
      </c>
      <c r="B14916" s="2" t="str">
        <f>"MANCAL DOBRADIÇA LATERAL INOX F.G"</f>
        <v>MANCAL DOBRADIÇA LATERAL INOX F.G</v>
      </c>
      <c r="C14916" s="2" t="str">
        <f t="shared" si="584"/>
        <v>UN</v>
      </c>
      <c r="D14916" s="7">
        <v>704</v>
      </c>
      <c r="E14916" s="3">
        <v>9</v>
      </c>
      <c r="F14916" s="3">
        <v>9</v>
      </c>
      <c r="G14916" t="s">
        <v>512</v>
      </c>
    </row>
    <row r="14917" spans="1:7" x14ac:dyDescent="0.25">
      <c r="A14917" s="1" t="str">
        <f>"509365"</f>
        <v>509365</v>
      </c>
      <c r="B14917" s="2" t="str">
        <f>"MANCAL ENCOSTO A STD (290"</f>
        <v>MANCAL ENCOSTO A STD (290</v>
      </c>
      <c r="C14917" s="2" t="str">
        <f t="shared" si="584"/>
        <v>UN</v>
      </c>
      <c r="D14917" s="7">
        <v>918</v>
      </c>
      <c r="E14917" s="3">
        <v>11</v>
      </c>
      <c r="F14917" s="3">
        <v>11</v>
      </c>
      <c r="G14917" t="s">
        <v>513</v>
      </c>
    </row>
    <row r="14918" spans="1:7" x14ac:dyDescent="0.25">
      <c r="A14918" s="1" t="str">
        <f>"502850"</f>
        <v>502850</v>
      </c>
      <c r="B14918" s="2" t="str">
        <f>"MANCAL EXT. SUP. BALANÇA MARINGA"</f>
        <v>MANCAL EXT. SUP. BALANÇA MARINGA</v>
      </c>
      <c r="C14918" s="2" t="str">
        <f t="shared" si="584"/>
        <v>UN</v>
      </c>
      <c r="D14918" s="7">
        <v>704</v>
      </c>
      <c r="E14918" s="3">
        <v>9</v>
      </c>
      <c r="F14918" s="3">
        <v>9</v>
      </c>
      <c r="G14918" t="s">
        <v>514</v>
      </c>
    </row>
    <row r="14919" spans="1:7" x14ac:dyDescent="0.25">
      <c r="A14919" s="1" t="str">
        <f>"505975"</f>
        <v>505975</v>
      </c>
      <c r="B14919" s="2" t="str">
        <f>"MANCAL EXTERNO PINO BALANCIN NOMA"</f>
        <v>MANCAL EXTERNO PINO BALANCIN NOMA</v>
      </c>
      <c r="C14919" s="2" t="str">
        <f t="shared" si="584"/>
        <v>UN</v>
      </c>
      <c r="D14919" s="7">
        <v>704</v>
      </c>
      <c r="E14919" s="3">
        <v>9</v>
      </c>
      <c r="F14919" s="3">
        <v>9</v>
      </c>
      <c r="G14919" t="s">
        <v>514</v>
      </c>
    </row>
    <row r="14920" spans="1:7" x14ac:dyDescent="0.25">
      <c r="A14920" s="1" t="str">
        <f>"505402"</f>
        <v>505402</v>
      </c>
      <c r="B14920" s="2" t="str">
        <f>"MANCAL EXTERNO PINO RODOV."</f>
        <v>MANCAL EXTERNO PINO RODOV.</v>
      </c>
      <c r="C14920" s="2" t="str">
        <f t="shared" si="584"/>
        <v>UN</v>
      </c>
      <c r="D14920" s="7">
        <v>704</v>
      </c>
      <c r="E14920" s="3">
        <v>9</v>
      </c>
      <c r="F14920" s="3">
        <v>9</v>
      </c>
      <c r="G14920" t="s">
        <v>512</v>
      </c>
    </row>
    <row r="14921" spans="1:7" x14ac:dyDescent="0.25">
      <c r="A14921" s="1" t="str">
        <f>"512461"</f>
        <v>512461</v>
      </c>
      <c r="B14921" s="2" t="str">
        <f>"MANCAL F204"</f>
        <v>MANCAL F204</v>
      </c>
      <c r="C14921" s="2" t="str">
        <f t="shared" si="584"/>
        <v>UN</v>
      </c>
      <c r="D14921" s="7">
        <v>918</v>
      </c>
      <c r="E14921" s="3">
        <v>11</v>
      </c>
      <c r="F14921" s="3">
        <v>11</v>
      </c>
      <c r="G14921" t="s">
        <v>513</v>
      </c>
    </row>
    <row r="14922" spans="1:7" x14ac:dyDescent="0.25">
      <c r="A14922" s="1" t="str">
        <f>"505074"</f>
        <v>505074</v>
      </c>
      <c r="B14922" s="2" t="str">
        <f>"MANCAL F205"</f>
        <v>MANCAL F205</v>
      </c>
      <c r="C14922" s="2" t="str">
        <f t="shared" si="584"/>
        <v>UN</v>
      </c>
      <c r="D14922" s="7">
        <v>918</v>
      </c>
      <c r="E14922" s="3">
        <v>11</v>
      </c>
      <c r="F14922" s="3">
        <v>11</v>
      </c>
      <c r="G14922" t="s">
        <v>514</v>
      </c>
    </row>
    <row r="14923" spans="1:7" x14ac:dyDescent="0.25">
      <c r="A14923" s="1" t="str">
        <f>"512710"</f>
        <v>512710</v>
      </c>
      <c r="B14923" s="2" t="str">
        <f>"MANCAL F205"</f>
        <v>MANCAL F205</v>
      </c>
      <c r="C14923" s="2" t="str">
        <f t="shared" si="584"/>
        <v>UN</v>
      </c>
      <c r="D14923" s="7">
        <v>918</v>
      </c>
      <c r="E14923" s="3">
        <v>11</v>
      </c>
      <c r="F14923" s="3">
        <v>11</v>
      </c>
      <c r="G14923" t="s">
        <v>514</v>
      </c>
    </row>
    <row r="14924" spans="1:7" x14ac:dyDescent="0.25">
      <c r="A14924" s="1" t="str">
        <f>"517426"</f>
        <v>517426</v>
      </c>
      <c r="B14924" s="2" t="str">
        <f>"MANCAL F206"</f>
        <v>MANCAL F206</v>
      </c>
      <c r="C14924" s="2" t="str">
        <f t="shared" si="584"/>
        <v>UN</v>
      </c>
      <c r="D14924" s="7">
        <v>918</v>
      </c>
      <c r="E14924" s="3">
        <v>11</v>
      </c>
      <c r="F14924" s="3">
        <v>11</v>
      </c>
      <c r="G14924" t="s">
        <v>514</v>
      </c>
    </row>
    <row r="14925" spans="1:7" x14ac:dyDescent="0.25">
      <c r="A14925" s="1" t="str">
        <f>"505850"</f>
        <v>505850</v>
      </c>
      <c r="B14925" s="2" t="str">
        <f>"MANCAL INTERNO PINO BALANCIN NOMA"</f>
        <v>MANCAL INTERNO PINO BALANCIN NOMA</v>
      </c>
      <c r="C14925" s="2" t="str">
        <f t="shared" si="584"/>
        <v>UN</v>
      </c>
      <c r="D14925" s="7">
        <v>704</v>
      </c>
      <c r="E14925" s="3">
        <v>9</v>
      </c>
      <c r="F14925" s="3">
        <v>9</v>
      </c>
      <c r="G14925" t="s">
        <v>513</v>
      </c>
    </row>
    <row r="14926" spans="1:7" x14ac:dyDescent="0.25">
      <c r="A14926" s="1" t="str">
        <f>"527243"</f>
        <v>527243</v>
      </c>
      <c r="B14926" s="8" t="s">
        <v>493</v>
      </c>
      <c r="C14926" s="2" t="str">
        <f t="shared" si="584"/>
        <v>UN</v>
      </c>
      <c r="D14926" s="7">
        <v>918</v>
      </c>
      <c r="E14926" s="3">
        <v>11</v>
      </c>
      <c r="F14926" s="3">
        <v>11</v>
      </c>
      <c r="G14926" t="s">
        <v>512</v>
      </c>
    </row>
    <row r="14927" spans="1:7" x14ac:dyDescent="0.25">
      <c r="A14927" s="1" t="str">
        <f>"511404"</f>
        <v>511404</v>
      </c>
      <c r="B14927" s="2" t="str">
        <f>"MANCAL P/ ALAVANCA COM TRAVA"</f>
        <v>MANCAL P/ ALAVANCA COM TRAVA</v>
      </c>
      <c r="C14927" s="2" t="str">
        <f t="shared" si="584"/>
        <v>UN</v>
      </c>
      <c r="D14927" s="7">
        <v>704</v>
      </c>
      <c r="E14927" s="3">
        <v>9</v>
      </c>
      <c r="F14927" s="3">
        <v>9</v>
      </c>
      <c r="G14927" t="s">
        <v>513</v>
      </c>
    </row>
    <row r="14928" spans="1:7" x14ac:dyDescent="0.25">
      <c r="A14928" s="1" t="str">
        <f>"525444"</f>
        <v>525444</v>
      </c>
      <c r="B14928" s="2" t="str">
        <f>"MANCAL P206"</f>
        <v>MANCAL P206</v>
      </c>
      <c r="C14928" s="2" t="str">
        <f t="shared" si="584"/>
        <v>UN</v>
      </c>
      <c r="D14928" s="7">
        <v>812</v>
      </c>
      <c r="E14928" s="3">
        <v>11</v>
      </c>
      <c r="F14928" s="3">
        <v>11</v>
      </c>
      <c r="G14928" t="s">
        <v>514</v>
      </c>
    </row>
    <row r="14929" spans="1:7" x14ac:dyDescent="0.25">
      <c r="A14929" s="1" t="str">
        <f>"501827"</f>
        <v>501827</v>
      </c>
      <c r="B14929" s="2" t="str">
        <f>"MANCAL PINO 50"</f>
        <v>MANCAL PINO 50</v>
      </c>
      <c r="C14929" s="2" t="str">
        <f t="shared" si="584"/>
        <v>UN</v>
      </c>
      <c r="D14929" s="7">
        <v>704</v>
      </c>
      <c r="E14929" s="3">
        <v>9</v>
      </c>
      <c r="F14929" s="3">
        <v>9</v>
      </c>
      <c r="G14929" t="s">
        <v>514</v>
      </c>
    </row>
    <row r="14930" spans="1:7" x14ac:dyDescent="0.25">
      <c r="A14930" s="1" t="str">
        <f>"527052"</f>
        <v>527052</v>
      </c>
      <c r="B14930" s="2" t="str">
        <f>"MANCAL PLASTICO BRANCO DF 30MM UFC 206 S/RETENTOR"</f>
        <v>MANCAL PLASTICO BRANCO DF 30MM UFC 206 S/RETENTOR</v>
      </c>
      <c r="C14930" s="2" t="str">
        <f t="shared" si="584"/>
        <v>UN</v>
      </c>
      <c r="D14930" s="7">
        <v>918</v>
      </c>
      <c r="E14930" s="3">
        <v>11</v>
      </c>
      <c r="F14930" s="3">
        <v>11</v>
      </c>
      <c r="G14930" t="s">
        <v>514</v>
      </c>
    </row>
    <row r="14931" spans="1:7" x14ac:dyDescent="0.25">
      <c r="A14931" s="1" t="str">
        <f>"522036"</f>
        <v>522036</v>
      </c>
      <c r="B14931" s="8" t="s">
        <v>279</v>
      </c>
      <c r="C14931" s="2" t="str">
        <f>"PÇ"</f>
        <v>PÇ</v>
      </c>
      <c r="D14931" s="7">
        <v>918</v>
      </c>
      <c r="E14931" s="3">
        <v>11</v>
      </c>
      <c r="F14931" s="3">
        <v>11</v>
      </c>
      <c r="G14931" t="s">
        <v>513</v>
      </c>
    </row>
    <row r="14932" spans="1:7" x14ac:dyDescent="0.25">
      <c r="A14932" s="1" t="str">
        <f>"509364"</f>
        <v>509364</v>
      </c>
      <c r="B14932" s="2" t="str">
        <f>"MANCAL PRINCIPAL A 0,5MM"</f>
        <v>MANCAL PRINCIPAL A 0,5MM</v>
      </c>
      <c r="C14932" s="2" t="str">
        <f t="shared" ref="C14932:C14963" si="585">"UN"</f>
        <v>UN</v>
      </c>
      <c r="D14932" s="7">
        <v>918</v>
      </c>
      <c r="E14932" s="3">
        <v>11</v>
      </c>
      <c r="F14932" s="3">
        <v>11</v>
      </c>
      <c r="G14932" t="s">
        <v>513</v>
      </c>
    </row>
    <row r="14933" spans="1:7" x14ac:dyDescent="0.25">
      <c r="A14933" s="1" t="str">
        <f>"507812"</f>
        <v>507812</v>
      </c>
      <c r="B14933" s="2" t="str">
        <f>"MANCAL PRINCIPAL A STD (12)"</f>
        <v>MANCAL PRINCIPAL A STD (12)</v>
      </c>
      <c r="C14933" s="2" t="str">
        <f t="shared" si="585"/>
        <v>UN</v>
      </c>
      <c r="D14933" s="7">
        <v>918</v>
      </c>
      <c r="E14933" s="3">
        <v>11</v>
      </c>
      <c r="F14933" s="3">
        <v>11</v>
      </c>
      <c r="G14933" t="s">
        <v>513</v>
      </c>
    </row>
    <row r="14934" spans="1:7" x14ac:dyDescent="0.25">
      <c r="A14934" s="1" t="str">
        <f>"517420"</f>
        <v>517420</v>
      </c>
      <c r="B14934" s="2" t="str">
        <f>"MANCAL QUADRADO BR DF 25MM C/4 FUROS 5072CI"</f>
        <v>MANCAL QUADRADO BR DF 25MM C/4 FUROS 5072CI</v>
      </c>
      <c r="C14934" s="2" t="str">
        <f t="shared" si="585"/>
        <v>UN</v>
      </c>
      <c r="D14934" s="7">
        <v>918</v>
      </c>
      <c r="E14934" s="3">
        <v>11</v>
      </c>
      <c r="F14934" s="3">
        <v>11</v>
      </c>
      <c r="G14934" t="s">
        <v>512</v>
      </c>
    </row>
    <row r="14935" spans="1:7" x14ac:dyDescent="0.25">
      <c r="A14935" s="1" t="str">
        <f>"526994"</f>
        <v>526994</v>
      </c>
      <c r="B14935" s="2" t="str">
        <f>"MANCAL QUADRADO BRANCO DF 30MM C/4 FUFOR TAMPA E ROLAMENTO"</f>
        <v>MANCAL QUADRADO BRANCO DF 30MM C/4 FUFOR TAMPA E ROLAMENTO</v>
      </c>
      <c r="C14935" s="2" t="str">
        <f t="shared" si="585"/>
        <v>UN</v>
      </c>
      <c r="D14935" s="7">
        <v>918</v>
      </c>
      <c r="E14935" s="3">
        <v>11</v>
      </c>
      <c r="F14935" s="3">
        <v>11</v>
      </c>
      <c r="G14935" t="s">
        <v>513</v>
      </c>
    </row>
    <row r="14936" spans="1:7" x14ac:dyDescent="0.25">
      <c r="A14936" s="1" t="str">
        <f>"512513"</f>
        <v>512513</v>
      </c>
      <c r="B14936" s="2" t="str">
        <f>"MANCAL SMC 100-1MM"</f>
        <v>MANCAL SMC 100-1MM</v>
      </c>
      <c r="C14936" s="2" t="str">
        <f t="shared" si="585"/>
        <v>UN</v>
      </c>
      <c r="D14936" s="7">
        <v>918</v>
      </c>
      <c r="E14936" s="3">
        <v>11</v>
      </c>
      <c r="F14936" s="3">
        <v>11</v>
      </c>
      <c r="G14936" t="s">
        <v>514</v>
      </c>
    </row>
    <row r="14937" spans="1:7" x14ac:dyDescent="0.25">
      <c r="A14937" s="1" t="str">
        <f>"510033"</f>
        <v>510033</v>
      </c>
      <c r="B14937" s="2" t="str">
        <f>"MANCAL SMC 65/CMO 0,5MM"</f>
        <v>MANCAL SMC 65/CMO 0,5MM</v>
      </c>
      <c r="C14937" s="2" t="str">
        <f t="shared" si="585"/>
        <v>UN</v>
      </c>
      <c r="D14937" s="7">
        <v>918</v>
      </c>
      <c r="E14937" s="3">
        <v>11</v>
      </c>
      <c r="F14937" s="3">
        <v>11</v>
      </c>
      <c r="G14937" t="s">
        <v>515</v>
      </c>
    </row>
    <row r="14938" spans="1:7" x14ac:dyDescent="0.25">
      <c r="A14938" s="1" t="str">
        <f>"519273"</f>
        <v>519273</v>
      </c>
      <c r="B14938" s="2" t="str">
        <f>"MANCAL SMC 65/CMO 1MM"</f>
        <v>MANCAL SMC 65/CMO 1MM</v>
      </c>
      <c r="C14938" s="2" t="str">
        <f t="shared" si="585"/>
        <v>UN</v>
      </c>
      <c r="D14938" s="7">
        <v>918</v>
      </c>
      <c r="E14938" s="3">
        <v>11</v>
      </c>
      <c r="F14938" s="3">
        <v>11</v>
      </c>
      <c r="G14938" t="s">
        <v>512</v>
      </c>
    </row>
    <row r="14939" spans="1:7" x14ac:dyDescent="0.25">
      <c r="A14939" s="1" t="str">
        <f>"514715"</f>
        <v>514715</v>
      </c>
      <c r="B14939" s="2" t="str">
        <f>"MANCAL STD - 100"</f>
        <v>MANCAL STD - 100</v>
      </c>
      <c r="C14939" s="2" t="str">
        <f t="shared" si="585"/>
        <v>UN</v>
      </c>
      <c r="D14939" s="7">
        <v>901</v>
      </c>
      <c r="E14939" s="3">
        <v>11</v>
      </c>
      <c r="F14939" s="3">
        <v>11</v>
      </c>
      <c r="G14939" t="s">
        <v>516</v>
      </c>
    </row>
    <row r="14940" spans="1:7" x14ac:dyDescent="0.25">
      <c r="A14940" s="1" t="str">
        <f>"504985"</f>
        <v>504985</v>
      </c>
      <c r="B14940" s="2" t="str">
        <f>"MANCAL SUP AMORTECEDOR SUSP"</f>
        <v>MANCAL SUP AMORTECEDOR SUSP</v>
      </c>
      <c r="C14940" s="2" t="str">
        <f t="shared" si="585"/>
        <v>UN</v>
      </c>
      <c r="D14940" s="7">
        <v>704</v>
      </c>
      <c r="E14940" s="3">
        <v>9</v>
      </c>
      <c r="F14940" s="3">
        <v>9</v>
      </c>
      <c r="G14940" t="s">
        <v>515</v>
      </c>
    </row>
    <row r="14941" spans="1:7" x14ac:dyDescent="0.25">
      <c r="A14941" s="1" t="str">
        <f>"524849"</f>
        <v>524849</v>
      </c>
      <c r="B14941" s="2" t="str">
        <f>"MANCAL SY 50 TF (COM ROLAMENTO)"</f>
        <v>MANCAL SY 50 TF (COM ROLAMENTO)</v>
      </c>
      <c r="C14941" s="2" t="str">
        <f t="shared" si="585"/>
        <v>UN</v>
      </c>
      <c r="D14941" s="7">
        <v>918</v>
      </c>
      <c r="E14941" s="3">
        <v>10</v>
      </c>
      <c r="F14941" s="3">
        <v>10</v>
      </c>
      <c r="G14941" t="s">
        <v>514</v>
      </c>
    </row>
    <row r="14942" spans="1:7" x14ac:dyDescent="0.25">
      <c r="A14942" s="1" t="str">
        <f>"508022"</f>
        <v>508022</v>
      </c>
      <c r="B14942" s="2" t="str">
        <f>"MANCAL VIRABREQUIM"</f>
        <v>MANCAL VIRABREQUIM</v>
      </c>
      <c r="C14942" s="2" t="str">
        <f t="shared" si="585"/>
        <v>UN</v>
      </c>
      <c r="D14942" s="7">
        <v>704</v>
      </c>
      <c r="E14942" s="3">
        <v>9</v>
      </c>
      <c r="F14942" s="3">
        <v>9</v>
      </c>
      <c r="G14942" t="s">
        <v>512</v>
      </c>
    </row>
    <row r="14943" spans="1:7" x14ac:dyDescent="0.25">
      <c r="A14943" s="1" t="str">
        <f>"505970"</f>
        <v>505970</v>
      </c>
      <c r="B14943" s="2" t="str">
        <f>"MANCHAO RADIAL 20"</f>
        <v>MANCHAO RADIAL 20</v>
      </c>
      <c r="C14943" s="2" t="str">
        <f t="shared" si="585"/>
        <v>UN</v>
      </c>
      <c r="D14943" s="7">
        <v>704</v>
      </c>
      <c r="E14943" s="3">
        <v>9</v>
      </c>
      <c r="F14943" s="3">
        <v>9</v>
      </c>
      <c r="G14943" t="s">
        <v>513</v>
      </c>
    </row>
    <row r="14944" spans="1:7" x14ac:dyDescent="0.25">
      <c r="A14944" s="1" t="str">
        <f>"505655"</f>
        <v>505655</v>
      </c>
      <c r="B14944" s="2" t="str">
        <f>"MANCHAO RADIAL 44"</f>
        <v>MANCHAO RADIAL 44</v>
      </c>
      <c r="C14944" s="2" t="str">
        <f t="shared" si="585"/>
        <v>UN</v>
      </c>
      <c r="D14944" s="7">
        <v>704</v>
      </c>
      <c r="E14944" s="3">
        <v>9</v>
      </c>
      <c r="F14944" s="3">
        <v>9</v>
      </c>
      <c r="G14944" t="s">
        <v>514</v>
      </c>
    </row>
    <row r="14945" spans="1:7" x14ac:dyDescent="0.25">
      <c r="A14945" s="1" t="str">
        <f>"514526"</f>
        <v>514526</v>
      </c>
      <c r="B14945" s="2" t="str">
        <f>"MANDRIL 1/2"</f>
        <v>MANDRIL 1/2</v>
      </c>
      <c r="C14945" s="2" t="str">
        <f t="shared" si="585"/>
        <v>UN</v>
      </c>
      <c r="D14945" s="7">
        <v>403</v>
      </c>
      <c r="E14945" s="3">
        <v>8</v>
      </c>
      <c r="F14945" s="3">
        <v>8</v>
      </c>
      <c r="G14945" t="s">
        <v>514</v>
      </c>
    </row>
    <row r="14946" spans="1:7" x14ac:dyDescent="0.25">
      <c r="A14946" s="1" t="str">
        <f>"505594"</f>
        <v>505594</v>
      </c>
      <c r="B14946" s="2" t="str">
        <f>"MANDRIL 13L R-1/2"</f>
        <v>MANDRIL 13L R-1/2</v>
      </c>
      <c r="C14946" s="2" t="str">
        <f t="shared" si="585"/>
        <v>UN</v>
      </c>
      <c r="D14946" s="7">
        <v>402</v>
      </c>
      <c r="E14946" s="3">
        <v>4</v>
      </c>
      <c r="F14946" s="3">
        <v>4</v>
      </c>
      <c r="G14946" t="s">
        <v>512</v>
      </c>
    </row>
    <row r="14947" spans="1:7" x14ac:dyDescent="0.25">
      <c r="A14947" s="1" t="str">
        <f>"505597"</f>
        <v>505597</v>
      </c>
      <c r="B14947" s="2" t="str">
        <f>"MANDRIL 16L B-18 5/8"</f>
        <v>MANDRIL 16L B-18 5/8</v>
      </c>
      <c r="C14947" s="2" t="str">
        <f t="shared" si="585"/>
        <v>UN</v>
      </c>
      <c r="D14947" s="7">
        <v>402</v>
      </c>
      <c r="E14947" s="3">
        <v>4</v>
      </c>
      <c r="F14947" s="3">
        <v>4</v>
      </c>
      <c r="G14947" t="s">
        <v>513</v>
      </c>
    </row>
    <row r="14948" spans="1:7" x14ac:dyDescent="0.25">
      <c r="A14948" s="1" t="str">
        <f>"510330"</f>
        <v>510330</v>
      </c>
      <c r="B14948" s="2" t="str">
        <f>"MANDRIL 3/4 - FURADEIRA BANCADA"</f>
        <v>MANDRIL 3/4 - FURADEIRA BANCADA</v>
      </c>
      <c r="C14948" s="2" t="str">
        <f t="shared" si="585"/>
        <v>UN</v>
      </c>
      <c r="D14948" s="7">
        <v>402</v>
      </c>
      <c r="E14948" s="3">
        <v>4</v>
      </c>
      <c r="F14948" s="3">
        <v>4</v>
      </c>
      <c r="G14948" t="s">
        <v>514</v>
      </c>
    </row>
    <row r="14949" spans="1:7" x14ac:dyDescent="0.25">
      <c r="A14949" s="1" t="str">
        <f>"511425"</f>
        <v>511425</v>
      </c>
      <c r="B14949" s="2" t="str">
        <f>"MANDRIL 5/8-16MM CONICO B-18 ROHM"</f>
        <v>MANDRIL 5/8-16MM CONICO B-18 ROHM</v>
      </c>
      <c r="C14949" s="2" t="str">
        <f t="shared" si="585"/>
        <v>UN</v>
      </c>
      <c r="D14949" s="7">
        <v>920</v>
      </c>
      <c r="E14949" s="3">
        <v>11</v>
      </c>
      <c r="F14949" s="3">
        <v>11</v>
      </c>
      <c r="G14949" t="s">
        <v>514</v>
      </c>
    </row>
    <row r="14950" spans="1:7" x14ac:dyDescent="0.25">
      <c r="A14950" s="1" t="str">
        <f>"525107"</f>
        <v>525107</v>
      </c>
      <c r="B14950" s="2" t="str">
        <f>"MANDRIL DE APERTO RAPIDO"</f>
        <v>MANDRIL DE APERTO RAPIDO</v>
      </c>
      <c r="C14950" s="2" t="str">
        <f t="shared" si="585"/>
        <v>UN</v>
      </c>
      <c r="D14950" s="7">
        <v>99999</v>
      </c>
      <c r="E14950" s="3">
        <v>99</v>
      </c>
      <c r="F14950" s="3">
        <v>99</v>
      </c>
      <c r="G14950" t="s">
        <v>514</v>
      </c>
    </row>
    <row r="14951" spans="1:7" x14ac:dyDescent="0.25">
      <c r="A14951" s="1" t="str">
        <f>"519879"</f>
        <v>519879</v>
      </c>
      <c r="B14951" s="2" t="str">
        <f>"MANDRIL ROSQUEADEIRA"</f>
        <v>MANDRIL ROSQUEADEIRA</v>
      </c>
      <c r="C14951" s="2" t="str">
        <f t="shared" si="585"/>
        <v>UN</v>
      </c>
      <c r="D14951" s="7">
        <v>918</v>
      </c>
      <c r="E14951" s="3">
        <v>11</v>
      </c>
      <c r="F14951" s="3">
        <v>11</v>
      </c>
      <c r="G14951" t="s">
        <v>513</v>
      </c>
    </row>
    <row r="14952" spans="1:7" x14ac:dyDescent="0.25">
      <c r="A14952" s="1" t="str">
        <f>"513261"</f>
        <v>513261</v>
      </c>
      <c r="B14952" s="2" t="str">
        <f>"MANEQUIM MASCULINO"</f>
        <v>MANEQUIM MASCULINO</v>
      </c>
      <c r="C14952" s="2" t="str">
        <f t="shared" si="585"/>
        <v>UN</v>
      </c>
      <c r="D14952" s="7">
        <v>99999</v>
      </c>
      <c r="E14952" s="3">
        <v>99</v>
      </c>
      <c r="F14952" s="3">
        <v>99</v>
      </c>
      <c r="G14952" t="s">
        <v>512</v>
      </c>
    </row>
    <row r="14953" spans="1:7" x14ac:dyDescent="0.25">
      <c r="A14953" s="1" t="str">
        <f>"0810400057"</f>
        <v>0810400057</v>
      </c>
      <c r="B14953" s="2" t="str">
        <f>"MANG 0,25M R2AT 3/8  01 T. 8030 08-06 / 01 T. 8075 06-06 02"</f>
        <v>MANG 0,25M R2AT 3/8  01 T. 8030 08-06 / 01 T. 8075 06-06 02</v>
      </c>
      <c r="C14953" s="2" t="str">
        <f t="shared" si="585"/>
        <v>UN</v>
      </c>
      <c r="D14953" s="7">
        <v>810</v>
      </c>
      <c r="E14953" s="3">
        <v>11</v>
      </c>
      <c r="F14953" s="3">
        <v>11</v>
      </c>
      <c r="G14953" t="s">
        <v>513</v>
      </c>
    </row>
    <row r="14954" spans="1:7" x14ac:dyDescent="0.25">
      <c r="A14954" s="1" t="str">
        <f>"0810400049"</f>
        <v>0810400049</v>
      </c>
      <c r="B14954" s="2" t="str">
        <f>"MANG 0,30M R2AT 3/8 01 T. 8030 08-06 / 01 T. 8085 06-06"</f>
        <v>MANG 0,30M R2AT 3/8 01 T. 8030 08-06 / 01 T. 8085 06-06</v>
      </c>
      <c r="C14954" s="2" t="str">
        <f t="shared" si="585"/>
        <v>UN</v>
      </c>
      <c r="D14954" s="7">
        <v>810</v>
      </c>
      <c r="E14954" s="3">
        <v>11</v>
      </c>
      <c r="F14954" s="3">
        <v>11</v>
      </c>
      <c r="G14954" t="s">
        <v>514</v>
      </c>
    </row>
    <row r="14955" spans="1:7" x14ac:dyDescent="0.25">
      <c r="A14955" s="1" t="str">
        <f>"0810400050"</f>
        <v>0810400050</v>
      </c>
      <c r="B14955" s="2" t="str">
        <f>"MANG 0,35M R2AT 3/4 02 T. 8030 12-12"</f>
        <v>MANG 0,35M R2AT 3/4 02 T. 8030 12-12</v>
      </c>
      <c r="C14955" s="2" t="str">
        <f t="shared" si="585"/>
        <v>UN</v>
      </c>
      <c r="D14955" s="7">
        <v>810</v>
      </c>
      <c r="E14955" s="3">
        <v>11</v>
      </c>
      <c r="F14955" s="3">
        <v>11</v>
      </c>
      <c r="G14955" t="s">
        <v>514</v>
      </c>
    </row>
    <row r="14956" spans="1:7" x14ac:dyDescent="0.25">
      <c r="A14956" s="1" t="str">
        <f>"0810400056"</f>
        <v>0810400056</v>
      </c>
      <c r="B14956" s="2" t="str">
        <f>"MANG 0,35M R2AT 3/8  02 T. 8030 06-06 02"</f>
        <v>MANG 0,35M R2AT 3/8  02 T. 8030 06-06 02</v>
      </c>
      <c r="C14956" s="2" t="str">
        <f t="shared" si="585"/>
        <v>UN</v>
      </c>
      <c r="D14956" s="7">
        <v>810</v>
      </c>
      <c r="E14956" s="3">
        <v>11</v>
      </c>
      <c r="F14956" s="3">
        <v>11</v>
      </c>
      <c r="G14956" t="s">
        <v>514</v>
      </c>
    </row>
    <row r="14957" spans="1:7" x14ac:dyDescent="0.25">
      <c r="A14957" s="1" t="str">
        <f>"0810400048"</f>
        <v>0810400048</v>
      </c>
      <c r="B14957" s="2" t="str">
        <f>"MANG 0,40M R12 1"" 01 T. 8015 36-25-16 / 01 T. 8180 16-16 02"</f>
        <v>MANG 0,40M R12 1" 01 T. 8015 36-25-16 / 01 T. 8180 16-16 02</v>
      </c>
      <c r="C14957" s="2" t="str">
        <f t="shared" si="585"/>
        <v>UN</v>
      </c>
      <c r="D14957" s="7">
        <v>810</v>
      </c>
      <c r="E14957" s="3">
        <v>11</v>
      </c>
      <c r="F14957" s="3">
        <v>11</v>
      </c>
      <c r="G14957" t="s">
        <v>513</v>
      </c>
    </row>
    <row r="14958" spans="1:7" x14ac:dyDescent="0.25">
      <c r="A14958" s="1" t="str">
        <f>"0810400058"</f>
        <v>0810400058</v>
      </c>
      <c r="B14958" s="2" t="str">
        <f>"MANG 0,45M R2AT 1/2  02 T. 8015 22-15-08"</f>
        <v>MANG 0,45M R2AT 1/2  02 T. 8015 22-15-08</v>
      </c>
      <c r="C14958" s="2" t="str">
        <f t="shared" si="585"/>
        <v>UN</v>
      </c>
      <c r="D14958" s="7">
        <v>810</v>
      </c>
      <c r="E14958" s="3">
        <v>11</v>
      </c>
      <c r="F14958" s="3">
        <v>11</v>
      </c>
      <c r="G14958" t="s">
        <v>513</v>
      </c>
    </row>
    <row r="14959" spans="1:7" x14ac:dyDescent="0.25">
      <c r="A14959" s="1" t="str">
        <f>"0810400041"</f>
        <v>0810400041</v>
      </c>
      <c r="B14959" s="2" t="str">
        <f>"MANG 0,45M R2AT 3/8  02 T. 8030 06-06-02"</f>
        <v>MANG 0,45M R2AT 3/8  02 T. 8030 06-06-02</v>
      </c>
      <c r="C14959" s="2" t="str">
        <f t="shared" si="585"/>
        <v>UN</v>
      </c>
      <c r="D14959" s="7">
        <v>810</v>
      </c>
      <c r="E14959" s="3">
        <v>11</v>
      </c>
      <c r="F14959" s="3">
        <v>11</v>
      </c>
      <c r="G14959" t="s">
        <v>513</v>
      </c>
    </row>
    <row r="14960" spans="1:7" x14ac:dyDescent="0.25">
      <c r="A14960" s="1" t="str">
        <f>"0810400044"</f>
        <v>0810400044</v>
      </c>
      <c r="B14960" s="2" t="str">
        <f>"MANG 0,55M R2AT 1/2 01 T. 8050 08-08 / 01 T. 8080 22-15-08 0"</f>
        <v>MANG 0,55M R2AT 1/2 01 T. 8050 08-08 / 01 T. 8080 22-15-08 0</v>
      </c>
      <c r="C14960" s="2" t="str">
        <f t="shared" si="585"/>
        <v>UN</v>
      </c>
      <c r="D14960" s="7">
        <v>810</v>
      </c>
      <c r="E14960" s="3">
        <v>11</v>
      </c>
      <c r="F14960" s="3">
        <v>11</v>
      </c>
      <c r="G14960" t="s">
        <v>512</v>
      </c>
    </row>
    <row r="14961" spans="1:7" x14ac:dyDescent="0.25">
      <c r="A14961" s="1" t="str">
        <f>"0810400055"</f>
        <v>0810400055</v>
      </c>
      <c r="B14961" s="2" t="str">
        <f>"MANG 0,60M R2AT 1/4 01 T. 8010 02-04 / 01 T. 8030 05-04 02"</f>
        <v>MANG 0,60M R2AT 1/4 01 T. 8010 02-04 / 01 T. 8030 05-04 02</v>
      </c>
      <c r="C14961" s="2" t="str">
        <f t="shared" si="585"/>
        <v>UN</v>
      </c>
      <c r="D14961" s="7">
        <v>810</v>
      </c>
      <c r="E14961" s="3">
        <v>11</v>
      </c>
      <c r="F14961" s="3">
        <v>11</v>
      </c>
      <c r="G14961" t="s">
        <v>513</v>
      </c>
    </row>
    <row r="14962" spans="1:7" x14ac:dyDescent="0.25">
      <c r="A14962" s="1" t="str">
        <f>"0810400037"</f>
        <v>0810400037</v>
      </c>
      <c r="B14962" s="2" t="str">
        <f>"MANG 0,60M R2AT 3/8  02 T. 8030 06-06-02 / 8070 00-06"</f>
        <v>MANG 0,60M R2AT 3/8  02 T. 8030 06-06-02 / 8070 00-06</v>
      </c>
      <c r="C14962" s="2" t="str">
        <f t="shared" si="585"/>
        <v>UN</v>
      </c>
      <c r="D14962" s="7">
        <v>810</v>
      </c>
      <c r="E14962" s="3">
        <v>11</v>
      </c>
      <c r="F14962" s="3">
        <v>11</v>
      </c>
      <c r="G14962" t="s">
        <v>514</v>
      </c>
    </row>
    <row r="14963" spans="1:7" x14ac:dyDescent="0.25">
      <c r="A14963" s="1" t="str">
        <f>"0810400043"</f>
        <v>0810400043</v>
      </c>
      <c r="B14963" s="2" t="str">
        <f>"MANG 0,60M R2AT 3/8  02 T. 8090 18-12-06-02"</f>
        <v>MANG 0,60M R2AT 3/8  02 T. 8090 18-12-06-02</v>
      </c>
      <c r="C14963" s="2" t="str">
        <f t="shared" si="585"/>
        <v>UN</v>
      </c>
      <c r="D14963" s="7">
        <v>810</v>
      </c>
      <c r="E14963" s="3">
        <v>11</v>
      </c>
      <c r="F14963" s="3">
        <v>11</v>
      </c>
      <c r="G14963" t="s">
        <v>515</v>
      </c>
    </row>
    <row r="14964" spans="1:7" x14ac:dyDescent="0.25">
      <c r="A14964" s="1" t="str">
        <f>"0810400005"</f>
        <v>0810400005</v>
      </c>
      <c r="B14964" s="2" t="str">
        <f>"MANG 0,65M R2AT 1/4  01 T. 8030 04-04 01 T.8010 02-04"</f>
        <v>MANG 0,65M R2AT 1/4  01 T. 8030 04-04 01 T.8010 02-04</v>
      </c>
      <c r="C14964" s="2" t="str">
        <f t="shared" ref="C14964:C14995" si="586">"UN"</f>
        <v>UN</v>
      </c>
      <c r="D14964" s="7">
        <v>810</v>
      </c>
      <c r="E14964" s="3">
        <v>11</v>
      </c>
      <c r="F14964" s="3">
        <v>11</v>
      </c>
      <c r="G14964" t="s">
        <v>512</v>
      </c>
    </row>
    <row r="14965" spans="1:7" x14ac:dyDescent="0.25">
      <c r="A14965" s="1" t="str">
        <f>"0810400053"</f>
        <v>0810400053</v>
      </c>
      <c r="B14965" s="2" t="str">
        <f>"MANG 0,70M R2AT 1/4  01 T. 8015 16-10-04 / 01 T. 8090 16-10-"</f>
        <v>MANG 0,70M R2AT 1/4  01 T. 8015 16-10-04 / 01 T. 8090 16-10-</v>
      </c>
      <c r="C14965" s="2" t="str">
        <f t="shared" si="586"/>
        <v>UN</v>
      </c>
      <c r="D14965" s="7">
        <v>810</v>
      </c>
      <c r="E14965" s="3">
        <v>11</v>
      </c>
      <c r="F14965" s="3">
        <v>11</v>
      </c>
      <c r="G14965" t="s">
        <v>516</v>
      </c>
    </row>
    <row r="14966" spans="1:7" x14ac:dyDescent="0.25">
      <c r="A14966" s="1" t="str">
        <f>"0810400051"</f>
        <v>0810400051</v>
      </c>
      <c r="B14966" s="2" t="str">
        <f>"MANG 0,70M R2AT 1/4  02 T. 8015 14-08-04"</f>
        <v>MANG 0,70M R2AT 1/4  02 T. 8015 14-08-04</v>
      </c>
      <c r="C14966" s="2" t="str">
        <f t="shared" si="586"/>
        <v>UN</v>
      </c>
      <c r="D14966" s="7">
        <v>810</v>
      </c>
      <c r="E14966" s="3">
        <v>11</v>
      </c>
      <c r="F14966" s="3">
        <v>11</v>
      </c>
      <c r="G14966" t="s">
        <v>515</v>
      </c>
    </row>
    <row r="14967" spans="1:7" x14ac:dyDescent="0.25">
      <c r="A14967" s="1" t="str">
        <f>"0810400052"</f>
        <v>0810400052</v>
      </c>
      <c r="B14967" s="2" t="str">
        <f>"MANG 0,70M R2AT 1/4  02 T. 8090 14-08-04"</f>
        <v>MANG 0,70M R2AT 1/4  02 T. 8090 14-08-04</v>
      </c>
      <c r="C14967" s="2" t="str">
        <f t="shared" si="586"/>
        <v>UN</v>
      </c>
      <c r="D14967" s="7">
        <v>810</v>
      </c>
      <c r="E14967" s="3">
        <v>11</v>
      </c>
      <c r="F14967" s="3">
        <v>11</v>
      </c>
      <c r="G14967" t="s">
        <v>514</v>
      </c>
    </row>
    <row r="14968" spans="1:7" x14ac:dyDescent="0.25">
      <c r="A14968" s="1" t="str">
        <f>"0810400038"</f>
        <v>0810400038</v>
      </c>
      <c r="B14968" s="2" t="str">
        <f>"MANG 0,70M R2AT 3/8  01 T. 8165 06-06 / 01 T. 8175 08-06-02"</f>
        <v>MANG 0,70M R2AT 3/8  01 T. 8165 06-06 / 01 T. 8175 08-06-02</v>
      </c>
      <c r="C14968" s="2" t="str">
        <f t="shared" si="586"/>
        <v>UN</v>
      </c>
      <c r="D14968" s="7">
        <v>810</v>
      </c>
      <c r="E14968" s="3">
        <v>11</v>
      </c>
      <c r="F14968" s="3">
        <v>11</v>
      </c>
      <c r="G14968" t="s">
        <v>512</v>
      </c>
    </row>
    <row r="14969" spans="1:7" x14ac:dyDescent="0.25">
      <c r="A14969" s="1" t="str">
        <f>"0810400036"</f>
        <v>0810400036</v>
      </c>
      <c r="B14969" s="2" t="str">
        <f>"MANG 0,75M R2AT 1/4  02 T. 8015 16-10-04 / 8070 00-04"</f>
        <v>MANG 0,75M R2AT 1/4  02 T. 8015 16-10-04 / 8070 00-04</v>
      </c>
      <c r="C14969" s="2" t="str">
        <f t="shared" si="586"/>
        <v>UN</v>
      </c>
      <c r="D14969" s="7">
        <v>810</v>
      </c>
      <c r="E14969" s="3">
        <v>11</v>
      </c>
      <c r="F14969" s="3">
        <v>11</v>
      </c>
      <c r="G14969" t="s">
        <v>513</v>
      </c>
    </row>
    <row r="14970" spans="1:7" x14ac:dyDescent="0.25">
      <c r="A14970" s="1" t="str">
        <f>"0810400046"</f>
        <v>0810400046</v>
      </c>
      <c r="B14970" s="2" t="str">
        <f>"MANG 0,75M R2AT 3/8  01 T. 8010 06-06 / 01 T. 8080 18-12-06"</f>
        <v>MANG 0,75M R2AT 3/8  01 T. 8010 06-06 / 01 T. 8080 18-12-06</v>
      </c>
      <c r="C14970" s="2" t="str">
        <f t="shared" si="586"/>
        <v>UN</v>
      </c>
      <c r="D14970" s="7">
        <v>810</v>
      </c>
      <c r="E14970" s="3">
        <v>11</v>
      </c>
      <c r="F14970" s="3">
        <v>11</v>
      </c>
      <c r="G14970" t="s">
        <v>514</v>
      </c>
    </row>
    <row r="14971" spans="1:7" x14ac:dyDescent="0.25">
      <c r="A14971" s="1" t="str">
        <f>"0810400039"</f>
        <v>0810400039</v>
      </c>
      <c r="B14971" s="2" t="str">
        <f>"MANG 0,90M R2AT 3/4  02 T. 8090 30-20-12"</f>
        <v>MANG 0,90M R2AT 3/4  02 T. 8090 30-20-12</v>
      </c>
      <c r="C14971" s="2" t="str">
        <f t="shared" si="586"/>
        <v>UN</v>
      </c>
      <c r="D14971" s="7">
        <v>810</v>
      </c>
      <c r="E14971" s="3">
        <v>11</v>
      </c>
      <c r="F14971" s="3">
        <v>11</v>
      </c>
      <c r="G14971" t="s">
        <v>514</v>
      </c>
    </row>
    <row r="14972" spans="1:7" x14ac:dyDescent="0.25">
      <c r="A14972" s="1" t="str">
        <f>"0810400032"</f>
        <v>0810400032</v>
      </c>
      <c r="B14972" s="2" t="str">
        <f>"MANG 0,90M R2AT 5/8 02 T. 8090 30-20-10"</f>
        <v>MANG 0,90M R2AT 5/8 02 T. 8090 30-20-10</v>
      </c>
      <c r="C14972" s="2" t="str">
        <f t="shared" si="586"/>
        <v>UN</v>
      </c>
      <c r="D14972" s="7">
        <v>810</v>
      </c>
      <c r="E14972" s="3">
        <v>11</v>
      </c>
      <c r="F14972" s="3">
        <v>11</v>
      </c>
      <c r="G14972" t="s">
        <v>512</v>
      </c>
    </row>
    <row r="14973" spans="1:7" x14ac:dyDescent="0.25">
      <c r="A14973" s="1" t="str">
        <f>"0810400033"</f>
        <v>0810400033</v>
      </c>
      <c r="B14973" s="2" t="str">
        <f>"MANG 0,95M R2AT 1""1/8  01 T. 8145 38-16 / 01 T. 8155 38-16"</f>
        <v>MANG 0,95M R2AT 1"1/8  01 T. 8145 38-16 / 01 T. 8155 38-16</v>
      </c>
      <c r="C14973" s="2" t="str">
        <f t="shared" si="586"/>
        <v>UN</v>
      </c>
      <c r="D14973" s="7">
        <v>810</v>
      </c>
      <c r="E14973" s="3">
        <v>11</v>
      </c>
      <c r="F14973" s="3">
        <v>11</v>
      </c>
      <c r="G14973" t="s">
        <v>513</v>
      </c>
    </row>
    <row r="14974" spans="1:7" x14ac:dyDescent="0.25">
      <c r="A14974" s="1" t="str">
        <f>"0810400054"</f>
        <v>0810400054</v>
      </c>
      <c r="B14974" s="2" t="str">
        <f>"MANG 1,00M R2AT 1/4  01 T. 8010 04-04 / 01 T. 810 05-04"</f>
        <v>MANG 1,00M R2AT 1/4  01 T. 8010 04-04 / 01 T. 810 05-04</v>
      </c>
      <c r="C14974" s="2" t="str">
        <f t="shared" si="586"/>
        <v>UN</v>
      </c>
      <c r="D14974" s="7">
        <v>810</v>
      </c>
      <c r="E14974" s="3">
        <v>11</v>
      </c>
      <c r="F14974" s="3">
        <v>11</v>
      </c>
      <c r="G14974" t="s">
        <v>514</v>
      </c>
    </row>
    <row r="14975" spans="1:7" x14ac:dyDescent="0.25">
      <c r="A14975" s="1" t="str">
        <f>"0810400026"</f>
        <v>0810400026</v>
      </c>
      <c r="B14975" s="2" t="str">
        <f>"MANG 1,05M R2AT 3/4  01 T. 8050 12-12 / 01 T. 8115 12-12"</f>
        <v>MANG 1,05M R2AT 3/4  01 T. 8050 12-12 / 01 T. 8115 12-12</v>
      </c>
      <c r="C14975" s="2" t="str">
        <f t="shared" si="586"/>
        <v>UN</v>
      </c>
      <c r="D14975" s="7">
        <v>810</v>
      </c>
      <c r="E14975" s="3">
        <v>11</v>
      </c>
      <c r="F14975" s="3">
        <v>11</v>
      </c>
      <c r="G14975" t="s">
        <v>514</v>
      </c>
    </row>
    <row r="14976" spans="1:7" x14ac:dyDescent="0.25">
      <c r="A14976" s="1" t="str">
        <f>"0810400045"</f>
        <v>0810400045</v>
      </c>
      <c r="B14976" s="2" t="str">
        <f>"MANG 1,05M R2AT 3/8  02 T. 8090 16-10-06 02"</f>
        <v>MANG 1,05M R2AT 3/8  02 T. 8090 16-10-06 02</v>
      </c>
      <c r="C14976" s="2" t="str">
        <f t="shared" si="586"/>
        <v>UN</v>
      </c>
      <c r="D14976" s="7">
        <v>810</v>
      </c>
      <c r="E14976" s="3">
        <v>11</v>
      </c>
      <c r="F14976" s="3">
        <v>11</v>
      </c>
      <c r="G14976" t="s">
        <v>514</v>
      </c>
    </row>
    <row r="14977" spans="1:7" x14ac:dyDescent="0.25">
      <c r="A14977" s="1" t="str">
        <f>"0810400047"</f>
        <v>0810400047</v>
      </c>
      <c r="B14977" s="2" t="str">
        <f>"MANG 1,10M R2AT 3/8  01 T. 8010 06-06 / 01 T. 8080 18-12-06"</f>
        <v>MANG 1,10M R2AT 3/8  01 T. 8010 06-06 / 01 T. 8080 18-12-06</v>
      </c>
      <c r="C14977" s="2" t="str">
        <f t="shared" si="586"/>
        <v>UN</v>
      </c>
      <c r="D14977" s="7">
        <v>810</v>
      </c>
      <c r="E14977" s="3">
        <v>11</v>
      </c>
      <c r="F14977" s="3">
        <v>11</v>
      </c>
      <c r="G14977" t="s">
        <v>513</v>
      </c>
    </row>
    <row r="14978" spans="1:7" x14ac:dyDescent="0.25">
      <c r="A14978" s="1" t="str">
        <f>"0810400040"</f>
        <v>0810400040</v>
      </c>
      <c r="B14978" s="2" t="str">
        <f>"MANG 1,10M R2AT 3/8  01 T. 8165 06-06 / 01 T. 8175 08-06-02"</f>
        <v>MANG 1,10M R2AT 3/8  01 T. 8165 06-06 / 01 T. 8175 08-06-02</v>
      </c>
      <c r="C14978" s="2" t="str">
        <f t="shared" si="586"/>
        <v>UN</v>
      </c>
      <c r="D14978" s="7">
        <v>810</v>
      </c>
      <c r="E14978" s="3">
        <v>11</v>
      </c>
      <c r="F14978" s="3">
        <v>11</v>
      </c>
      <c r="G14978" t="s">
        <v>512</v>
      </c>
    </row>
    <row r="14979" spans="1:7" x14ac:dyDescent="0.25">
      <c r="A14979" s="1" t="str">
        <f>"0810400034"</f>
        <v>0810400034</v>
      </c>
      <c r="B14979" s="2" t="str">
        <f>"MANG 1,15M R2AT 1""1/8  01 T. 8145 38-16 / 01 T. 8155 38-16"</f>
        <v>MANG 1,15M R2AT 1"1/8  01 T. 8145 38-16 / 01 T. 8155 38-16</v>
      </c>
      <c r="C14979" s="2" t="str">
        <f t="shared" si="586"/>
        <v>UN</v>
      </c>
      <c r="D14979" s="7">
        <v>810</v>
      </c>
      <c r="E14979" s="3">
        <v>11</v>
      </c>
      <c r="F14979" s="3">
        <v>11</v>
      </c>
      <c r="G14979" t="s">
        <v>513</v>
      </c>
    </row>
    <row r="14980" spans="1:7" x14ac:dyDescent="0.25">
      <c r="A14980" s="1" t="str">
        <f>"0810400021"</f>
        <v>0810400021</v>
      </c>
      <c r="B14980" s="2" t="str">
        <f>"MANG 1,20M R2AT 3/8  02 T. 8090 16-10-06"</f>
        <v>MANG 1,20M R2AT 3/8  02 T. 8090 16-10-06</v>
      </c>
      <c r="C14980" s="2" t="str">
        <f t="shared" si="586"/>
        <v>UN</v>
      </c>
      <c r="D14980" s="7">
        <v>810</v>
      </c>
      <c r="E14980" s="3">
        <v>11</v>
      </c>
      <c r="F14980" s="3">
        <v>11</v>
      </c>
      <c r="G14980" t="s">
        <v>514</v>
      </c>
    </row>
    <row r="14981" spans="1:7" x14ac:dyDescent="0.25">
      <c r="A14981" s="1" t="str">
        <f>"0810400061"</f>
        <v>0810400061</v>
      </c>
      <c r="B14981" s="2" t="str">
        <f>"MANG 1,25M R2AT 1/4  02 T. 8015 14-08-04"</f>
        <v>MANG 1,25M R2AT 1/4  02 T. 8015 14-08-04</v>
      </c>
      <c r="C14981" s="2" t="str">
        <f t="shared" si="586"/>
        <v>UN</v>
      </c>
      <c r="D14981" s="7">
        <v>810</v>
      </c>
      <c r="E14981" s="3">
        <v>11</v>
      </c>
      <c r="F14981" s="3">
        <v>11</v>
      </c>
      <c r="G14981" t="s">
        <v>514</v>
      </c>
    </row>
    <row r="14982" spans="1:7" x14ac:dyDescent="0.25">
      <c r="A14982" s="1" t="str">
        <f>"0810400069"</f>
        <v>0810400069</v>
      </c>
      <c r="B14982" s="2" t="str">
        <f>"MANG 1,35M R2AT 1/2  01 T. 8030 06-08 / 01 T. 8030 08-08"</f>
        <v>MANG 1,35M R2AT 1/2  01 T. 8030 06-08 / 01 T. 8030 08-08</v>
      </c>
      <c r="C14982" s="2" t="str">
        <f t="shared" si="586"/>
        <v>UN</v>
      </c>
      <c r="D14982" s="7">
        <v>810</v>
      </c>
      <c r="E14982" s="3">
        <v>11</v>
      </c>
      <c r="F14982" s="3">
        <v>11</v>
      </c>
      <c r="G14982" t="s">
        <v>514</v>
      </c>
    </row>
    <row r="14983" spans="1:7" x14ac:dyDescent="0.25">
      <c r="A14983" s="1" t="str">
        <f>"0810400060"</f>
        <v>0810400060</v>
      </c>
      <c r="B14983" s="2" t="str">
        <f>"MANG 1,35M R2AT 3/8  01 T. 8030 06-06 / 01 T. 8030 08-06"</f>
        <v>MANG 1,35M R2AT 3/8  01 T. 8030 06-06 / 01 T. 8030 08-06</v>
      </c>
      <c r="C14983" s="2" t="str">
        <f t="shared" si="586"/>
        <v>UN</v>
      </c>
      <c r="D14983" s="7">
        <v>810</v>
      </c>
      <c r="E14983" s="3">
        <v>11</v>
      </c>
      <c r="F14983" s="3">
        <v>11</v>
      </c>
      <c r="G14983" t="s">
        <v>513</v>
      </c>
    </row>
    <row r="14984" spans="1:7" x14ac:dyDescent="0.25">
      <c r="A14984" s="1" t="str">
        <f>"0810400030"</f>
        <v>0810400030</v>
      </c>
      <c r="B14984" s="2" t="str">
        <f>"MANG 1,40M R2AT 3/4  01 T. 8090 34-25-12  / 01 T. 8050 12-12"</f>
        <v>MANG 1,40M R2AT 3/4  01 T. 8090 34-25-12  / 01 T. 8050 12-12</v>
      </c>
      <c r="C14984" s="2" t="str">
        <f t="shared" si="586"/>
        <v>UN</v>
      </c>
      <c r="D14984" s="7">
        <v>810</v>
      </c>
      <c r="E14984" s="3">
        <v>11</v>
      </c>
      <c r="F14984" s="3">
        <v>11</v>
      </c>
      <c r="G14984" t="s">
        <v>513</v>
      </c>
    </row>
    <row r="14985" spans="1:7" x14ac:dyDescent="0.25">
      <c r="A14985" s="1" t="str">
        <f>"0810400059"</f>
        <v>0810400059</v>
      </c>
      <c r="B14985" s="2" t="str">
        <f>"MANG 1,50M R1AT 3/8  02 T. 8040 06-06"</f>
        <v>MANG 1,50M R1AT 3/8  02 T. 8040 06-06</v>
      </c>
      <c r="C14985" s="2" t="str">
        <f t="shared" si="586"/>
        <v>UN</v>
      </c>
      <c r="D14985" s="7">
        <v>810</v>
      </c>
      <c r="E14985" s="3">
        <v>11</v>
      </c>
      <c r="F14985" s="3">
        <v>11</v>
      </c>
      <c r="G14985" t="s">
        <v>513</v>
      </c>
    </row>
    <row r="14986" spans="1:7" x14ac:dyDescent="0.25">
      <c r="A14986" s="1" t="str">
        <f>"0810400031"</f>
        <v>0810400031</v>
      </c>
      <c r="B14986" s="2" t="str">
        <f>"MANG 1,50M R2AT 3/4  01 T. 8050 10-12 / 01 T. 8050 12-12"</f>
        <v>MANG 1,50M R2AT 3/4  01 T. 8050 10-12 / 01 T. 8050 12-12</v>
      </c>
      <c r="C14986" s="2" t="str">
        <f t="shared" si="586"/>
        <v>UN</v>
      </c>
      <c r="D14986" s="7">
        <v>810</v>
      </c>
      <c r="E14986" s="3">
        <v>11</v>
      </c>
      <c r="F14986" s="3">
        <v>11</v>
      </c>
      <c r="G14986" t="s">
        <v>512</v>
      </c>
    </row>
    <row r="14987" spans="1:7" x14ac:dyDescent="0.25">
      <c r="A14987" s="1" t="str">
        <f>"0810400042"</f>
        <v>0810400042</v>
      </c>
      <c r="B14987" s="2" t="str">
        <f>"MANG 1,50M R2AT 3/8  02 T. 8030 07-06-02"</f>
        <v>MANG 1,50M R2AT 3/8  02 T. 8030 07-06-02</v>
      </c>
      <c r="C14987" s="2" t="str">
        <f t="shared" si="586"/>
        <v>UN</v>
      </c>
      <c r="D14987" s="7">
        <v>810</v>
      </c>
      <c r="E14987" s="3">
        <v>11</v>
      </c>
      <c r="F14987" s="3">
        <v>11</v>
      </c>
      <c r="G14987" t="s">
        <v>513</v>
      </c>
    </row>
    <row r="14988" spans="1:7" x14ac:dyDescent="0.25">
      <c r="A14988" s="1" t="str">
        <f>"0810400028"</f>
        <v>0810400028</v>
      </c>
      <c r="B14988" s="2" t="str">
        <f>"MANG 1,60M R2AT 1/2  01 T. 8030 08-08 / 01 T. 8050 08-08"</f>
        <v>MANG 1,60M R2AT 1/2  01 T. 8030 08-08 / 01 T. 8050 08-08</v>
      </c>
      <c r="C14988" s="2" t="str">
        <f t="shared" si="586"/>
        <v>UN</v>
      </c>
      <c r="D14988" s="7">
        <v>810</v>
      </c>
      <c r="E14988" s="3">
        <v>11</v>
      </c>
      <c r="F14988" s="3">
        <v>11</v>
      </c>
      <c r="G14988" t="s">
        <v>514</v>
      </c>
    </row>
    <row r="14989" spans="1:7" x14ac:dyDescent="0.25">
      <c r="A14989" s="1" t="str">
        <f>"0810400020"</f>
        <v>0810400020</v>
      </c>
      <c r="B14989" s="2" t="str">
        <f>"MANG 1,65M R2AT 1/2  01 T. 8090 24-16-08 / 01 T. 8015 24-16-"</f>
        <v>MANG 1,65M R2AT 1/2  01 T. 8090 24-16-08 / 01 T. 8015 24-16-</v>
      </c>
      <c r="C14989" s="2" t="str">
        <f t="shared" si="586"/>
        <v>UN</v>
      </c>
      <c r="D14989" s="7">
        <v>810</v>
      </c>
      <c r="E14989" s="3">
        <v>11</v>
      </c>
      <c r="F14989" s="3">
        <v>11</v>
      </c>
      <c r="G14989" t="s">
        <v>515</v>
      </c>
    </row>
    <row r="14990" spans="1:7" x14ac:dyDescent="0.25">
      <c r="A14990" s="1" t="str">
        <f>"0810400062"</f>
        <v>0810400062</v>
      </c>
      <c r="B14990" s="2" t="str">
        <f>"MANG 1,70M R2AT 1/4  02 T. 8015 14-08-04"</f>
        <v>MANG 1,70M R2AT 1/4  02 T. 8015 14-08-04</v>
      </c>
      <c r="C14990" s="2" t="str">
        <f t="shared" si="586"/>
        <v>UN</v>
      </c>
      <c r="D14990" s="7">
        <v>810</v>
      </c>
      <c r="E14990" s="3">
        <v>11</v>
      </c>
      <c r="F14990" s="3">
        <v>11</v>
      </c>
      <c r="G14990" t="s">
        <v>512</v>
      </c>
    </row>
    <row r="14991" spans="1:7" x14ac:dyDescent="0.25">
      <c r="A14991" s="1" t="str">
        <f>"0810400029"</f>
        <v>0810400029</v>
      </c>
      <c r="B14991" s="2" t="str">
        <f>"MANG 1,75M R2AT 3/4  01 T. 8090 30-20-12  / 01 T. 8015 30-20"</f>
        <v>MANG 1,75M R2AT 3/4  01 T. 8090 30-20-12  / 01 T. 8015 30-20</v>
      </c>
      <c r="C14991" s="2" t="str">
        <f t="shared" si="586"/>
        <v>UN</v>
      </c>
      <c r="D14991" s="7">
        <v>810</v>
      </c>
      <c r="E14991" s="3">
        <v>11</v>
      </c>
      <c r="F14991" s="3">
        <v>11</v>
      </c>
      <c r="G14991" t="s">
        <v>516</v>
      </c>
    </row>
    <row r="14992" spans="1:7" x14ac:dyDescent="0.25">
      <c r="A14992" s="1" t="str">
        <f>"0810400012"</f>
        <v>0810400012</v>
      </c>
      <c r="B14992" s="2" t="str">
        <f>"MANG 1,90M R2AT 1/2  02 T. 8030 08-08"</f>
        <v>MANG 1,90M R2AT 1/2  02 T. 8030 08-08</v>
      </c>
      <c r="C14992" s="2" t="str">
        <f t="shared" si="586"/>
        <v>UN</v>
      </c>
      <c r="D14992" s="7">
        <v>810</v>
      </c>
      <c r="E14992" s="3">
        <v>11</v>
      </c>
      <c r="F14992" s="3">
        <v>11</v>
      </c>
      <c r="G14992" t="s">
        <v>515</v>
      </c>
    </row>
    <row r="14993" spans="1:7" x14ac:dyDescent="0.25">
      <c r="A14993" s="1" t="str">
        <f>"0810400006"</f>
        <v>0810400006</v>
      </c>
      <c r="B14993" s="2" t="str">
        <f>"MANG 1,90M R2AT 1/4  02 T. 8090 12-06-04"</f>
        <v>MANG 1,90M R2AT 1/4  02 T. 8090 12-06-04</v>
      </c>
      <c r="C14993" s="2" t="str">
        <f t="shared" si="586"/>
        <v>UN</v>
      </c>
      <c r="D14993" s="7">
        <v>810</v>
      </c>
      <c r="E14993" s="3">
        <v>11</v>
      </c>
      <c r="F14993" s="3">
        <v>11</v>
      </c>
      <c r="G14993" t="s">
        <v>514</v>
      </c>
    </row>
    <row r="14994" spans="1:7" x14ac:dyDescent="0.25">
      <c r="A14994" s="1" t="str">
        <f>"0810400019"</f>
        <v>0810400019</v>
      </c>
      <c r="B14994" s="2" t="str">
        <f>"MANG 1,90M R2AT 3/4  02 T. 8015 30-20-12"</f>
        <v>MANG 1,90M R2AT 3/4  02 T. 8015 30-20-12</v>
      </c>
      <c r="C14994" s="2" t="str">
        <f t="shared" si="586"/>
        <v>UN</v>
      </c>
      <c r="D14994" s="7">
        <v>810</v>
      </c>
      <c r="E14994" s="3">
        <v>11</v>
      </c>
      <c r="F14994" s="3">
        <v>11</v>
      </c>
      <c r="G14994" t="s">
        <v>512</v>
      </c>
    </row>
    <row r="14995" spans="1:7" x14ac:dyDescent="0.25">
      <c r="A14995" s="1" t="str">
        <f>"0810400027"</f>
        <v>0810400027</v>
      </c>
      <c r="B14995" s="2" t="str">
        <f>"MANG 1,95M R2AT 1/2  01 T. 8090 24-16-04 / 01 T. 815 24-16-0"</f>
        <v>MANG 1,95M R2AT 1/2  01 T. 8090 24-16-04 / 01 T. 815 24-16-0</v>
      </c>
      <c r="C14995" s="2" t="str">
        <f t="shared" si="586"/>
        <v>UN</v>
      </c>
      <c r="D14995" s="7">
        <v>810</v>
      </c>
      <c r="E14995" s="3">
        <v>11</v>
      </c>
      <c r="F14995" s="3">
        <v>11</v>
      </c>
      <c r="G14995" t="s">
        <v>513</v>
      </c>
    </row>
    <row r="14996" spans="1:7" x14ac:dyDescent="0.25">
      <c r="A14996" s="1" t="str">
        <f>"0810400003"</f>
        <v>0810400003</v>
      </c>
      <c r="B14996" s="2" t="str">
        <f>"MANG 10,00M R2AT 3/8  02 T. 1006 / 02 T. 1009"</f>
        <v>MANG 10,00M R2AT 3/8  02 T. 1006 / 02 T. 1009</v>
      </c>
      <c r="C14996" s="2" t="str">
        <f t="shared" ref="C14996:C15021" si="587">"UN"</f>
        <v>UN</v>
      </c>
      <c r="D14996" s="7">
        <v>810</v>
      </c>
      <c r="E14996" s="3">
        <v>11</v>
      </c>
      <c r="F14996" s="3">
        <v>11</v>
      </c>
      <c r="G14996" t="s">
        <v>514</v>
      </c>
    </row>
    <row r="14997" spans="1:7" x14ac:dyDescent="0.25">
      <c r="A14997" s="1" t="str">
        <f>"0810400007"</f>
        <v>0810400007</v>
      </c>
      <c r="B14997" s="2" t="str">
        <f>"MANG 2,00M R2AT 3/8  01 T.8030 07-06 01 T.8030 08-06"</f>
        <v>MANG 2,00M R2AT 3/8  01 T.8030 07-06 01 T.8030 08-06</v>
      </c>
      <c r="C14997" s="2" t="str">
        <f t="shared" si="587"/>
        <v>UN</v>
      </c>
      <c r="D14997" s="7">
        <v>810</v>
      </c>
      <c r="E14997" s="3">
        <v>11</v>
      </c>
      <c r="F14997" s="3">
        <v>11</v>
      </c>
      <c r="G14997" t="s">
        <v>514</v>
      </c>
    </row>
    <row r="14998" spans="1:7" x14ac:dyDescent="0.25">
      <c r="A14998" s="1" t="str">
        <f>"0810400022"</f>
        <v>0810400022</v>
      </c>
      <c r="B14998" s="2" t="str">
        <f>"MANG 2,05M R2AT 1/4  02 T. 8030 06-04"</f>
        <v>MANG 2,05M R2AT 1/4  02 T. 8030 06-04</v>
      </c>
      <c r="C14998" s="2" t="str">
        <f t="shared" si="587"/>
        <v>UN</v>
      </c>
      <c r="D14998" s="7">
        <v>810</v>
      </c>
      <c r="E14998" s="3">
        <v>11</v>
      </c>
      <c r="F14998" s="3">
        <v>11</v>
      </c>
      <c r="G14998" t="s">
        <v>512</v>
      </c>
    </row>
    <row r="14999" spans="1:7" x14ac:dyDescent="0.25">
      <c r="A14999" s="1" t="str">
        <f>"0810400064"</f>
        <v>0810400064</v>
      </c>
      <c r="B14999" s="2" t="str">
        <f>"MANG 2,10M R2AT 1/4  01 T. 8030 06-04 / 01 T. 8050 06-04"</f>
        <v>MANG 2,10M R2AT 1/4  01 T. 8030 06-04 / 01 T. 8050 06-04</v>
      </c>
      <c r="C14999" s="2" t="str">
        <f t="shared" si="587"/>
        <v>UN</v>
      </c>
      <c r="D14999" s="7">
        <v>810</v>
      </c>
      <c r="E14999" s="3">
        <v>11</v>
      </c>
      <c r="F14999" s="3">
        <v>11</v>
      </c>
      <c r="G14999" t="s">
        <v>513</v>
      </c>
    </row>
    <row r="15000" spans="1:7" x14ac:dyDescent="0.25">
      <c r="A15000" s="1" t="str">
        <f>"0810400018"</f>
        <v>0810400018</v>
      </c>
      <c r="B15000" s="2" t="str">
        <f>"MANG 2,10M R2AT 3/4  02 T. 8015 30-20-12"</f>
        <v>MANG 2,10M R2AT 3/4  02 T. 8015 30-20-12</v>
      </c>
      <c r="C15000" s="2" t="str">
        <f t="shared" si="587"/>
        <v>UN</v>
      </c>
      <c r="D15000" s="7">
        <v>810</v>
      </c>
      <c r="E15000" s="3">
        <v>11</v>
      </c>
      <c r="F15000" s="3">
        <v>11</v>
      </c>
      <c r="G15000" t="s">
        <v>514</v>
      </c>
    </row>
    <row r="15001" spans="1:7" x14ac:dyDescent="0.25">
      <c r="A15001" s="1" t="str">
        <f>"0810400009"</f>
        <v>0810400009</v>
      </c>
      <c r="B15001" s="2" t="str">
        <f>"MANG 2,10M R2AT 3/4 01 T.8015 30-20-12 01 T.8015 30-20-12"</f>
        <v>MANG 2,10M R2AT 3/4 01 T.8015 30-20-12 01 T.8015 30-20-12</v>
      </c>
      <c r="C15001" s="2" t="str">
        <f t="shared" si="587"/>
        <v>UN</v>
      </c>
      <c r="D15001" s="7">
        <v>810</v>
      </c>
      <c r="E15001" s="3">
        <v>11</v>
      </c>
      <c r="F15001" s="3">
        <v>11</v>
      </c>
      <c r="G15001" t="s">
        <v>514</v>
      </c>
    </row>
    <row r="15002" spans="1:7" x14ac:dyDescent="0.25">
      <c r="A15002" s="1" t="str">
        <f>"0810400014"</f>
        <v>0810400014</v>
      </c>
      <c r="B15002" s="2" t="str">
        <f>"MANG 2,15M R2AT 3/4  02 T. 8015 30-20-12"</f>
        <v>MANG 2,15M R2AT 3/4  02 T. 8015 30-20-12</v>
      </c>
      <c r="C15002" s="2" t="str">
        <f t="shared" si="587"/>
        <v>UN</v>
      </c>
      <c r="D15002" s="7">
        <v>810</v>
      </c>
      <c r="E15002" s="3">
        <v>11</v>
      </c>
      <c r="F15002" s="3">
        <v>11</v>
      </c>
      <c r="G15002" t="s">
        <v>514</v>
      </c>
    </row>
    <row r="15003" spans="1:7" x14ac:dyDescent="0.25">
      <c r="A15003" s="1" t="str">
        <f>"0810400016"</f>
        <v>0810400016</v>
      </c>
      <c r="B15003" s="2" t="str">
        <f>"MANG 2,15M. R2AT 1/2 02 T. 8030 10-08"</f>
        <v>MANG 2,15M. R2AT 1/2 02 T. 8030 10-08</v>
      </c>
      <c r="C15003" s="2" t="str">
        <f t="shared" si="587"/>
        <v>UN</v>
      </c>
      <c r="D15003" s="7">
        <v>810</v>
      </c>
      <c r="E15003" s="3">
        <v>11</v>
      </c>
      <c r="F15003" s="3">
        <v>11</v>
      </c>
      <c r="G15003" t="s">
        <v>513</v>
      </c>
    </row>
    <row r="15004" spans="1:7" x14ac:dyDescent="0.25">
      <c r="A15004" s="1" t="str">
        <f>"0810400068"</f>
        <v>0810400068</v>
      </c>
      <c r="B15004" s="2" t="str">
        <f>"MANG 2,30M R2AT 1/2 - 02 T. 8030 08-08"</f>
        <v>MANG 2,30M R2AT 1/2 - 02 T. 8030 08-08</v>
      </c>
      <c r="C15004" s="2" t="str">
        <f t="shared" si="587"/>
        <v>UN</v>
      </c>
      <c r="D15004" s="7">
        <v>810</v>
      </c>
      <c r="E15004" s="3">
        <v>11</v>
      </c>
      <c r="F15004" s="3">
        <v>11</v>
      </c>
      <c r="G15004" t="s">
        <v>512</v>
      </c>
    </row>
    <row r="15005" spans="1:7" x14ac:dyDescent="0.25">
      <c r="A15005" s="1" t="str">
        <f>"0810400010"</f>
        <v>0810400010</v>
      </c>
      <c r="B15005" s="2" t="str">
        <f>"MANG 2,30M R2AT 3/4  01 T. 8090 30-22-12 / 01 T. 8015 30-22-"</f>
        <v>MANG 2,30M R2AT 3/4  01 T. 8090 30-22-12 / 01 T. 8015 30-22-</v>
      </c>
      <c r="C15005" s="2" t="str">
        <f t="shared" si="587"/>
        <v>UN</v>
      </c>
      <c r="D15005" s="7">
        <v>810</v>
      </c>
      <c r="E15005" s="3">
        <v>11</v>
      </c>
      <c r="F15005" s="3">
        <v>11</v>
      </c>
      <c r="G15005" t="s">
        <v>513</v>
      </c>
    </row>
    <row r="15006" spans="1:7" x14ac:dyDescent="0.25">
      <c r="A15006" s="1" t="str">
        <f>"0810400066"</f>
        <v>0810400066</v>
      </c>
      <c r="B15006" s="2" t="str">
        <f>"MANG 2,50M R2AT 1/4  02 T. 8075 04-04"</f>
        <v>MANG 2,50M R2AT 1/4  02 T. 8075 04-04</v>
      </c>
      <c r="C15006" s="2" t="str">
        <f t="shared" si="587"/>
        <v>UN</v>
      </c>
      <c r="D15006" s="7">
        <v>810</v>
      </c>
      <c r="E15006" s="3">
        <v>11</v>
      </c>
      <c r="F15006" s="3">
        <v>11</v>
      </c>
      <c r="G15006" t="s">
        <v>514</v>
      </c>
    </row>
    <row r="15007" spans="1:7" x14ac:dyDescent="0.25">
      <c r="A15007" s="1" t="str">
        <f>"0810400024"</f>
        <v>0810400024</v>
      </c>
      <c r="B15007" s="2" t="str">
        <f>"MANG 2,70M R2AT 1/2  02 T. 8030 08-08"</f>
        <v>MANG 2,70M R2AT 1/2  02 T. 8030 08-08</v>
      </c>
      <c r="C15007" s="2" t="str">
        <f t="shared" si="587"/>
        <v>UN</v>
      </c>
      <c r="D15007" s="7">
        <v>810</v>
      </c>
      <c r="E15007" s="3">
        <v>11</v>
      </c>
      <c r="F15007" s="3">
        <v>11</v>
      </c>
      <c r="G15007" t="s">
        <v>514</v>
      </c>
    </row>
    <row r="15008" spans="1:7" x14ac:dyDescent="0.25">
      <c r="A15008" s="1" t="str">
        <f>"0810400067"</f>
        <v>0810400067</v>
      </c>
      <c r="B15008" s="2" t="str">
        <f>"MANG 2,75M R2AT 3/8 - 01 T. 8030 08-06 / 01 T. 8050 06-06"</f>
        <v>MANG 2,75M R2AT 3/8 - 01 T. 8030 08-06 / 01 T. 8050 06-06</v>
      </c>
      <c r="C15008" s="2" t="str">
        <f t="shared" si="587"/>
        <v>UN</v>
      </c>
      <c r="D15008" s="7">
        <v>810</v>
      </c>
      <c r="E15008" s="3">
        <v>11</v>
      </c>
      <c r="F15008" s="3">
        <v>11</v>
      </c>
      <c r="G15008" t="s">
        <v>514</v>
      </c>
    </row>
    <row r="15009" spans="1:7" x14ac:dyDescent="0.25">
      <c r="A15009" s="1" t="str">
        <f>"0810400035"</f>
        <v>0810400035</v>
      </c>
      <c r="B15009" s="2" t="str">
        <f>"MANG 2,80 M R2AT 3/8  01 T. 8030 08-06 / 01 T. 8050 06-06"</f>
        <v>MANG 2,80 M R2AT 3/8  01 T. 8030 08-06 / 01 T. 8050 06-06</v>
      </c>
      <c r="C15009" s="2" t="str">
        <f t="shared" si="587"/>
        <v>UN</v>
      </c>
      <c r="D15009" s="7">
        <v>810</v>
      </c>
      <c r="E15009" s="3">
        <v>11</v>
      </c>
      <c r="F15009" s="3">
        <v>11</v>
      </c>
      <c r="G15009" t="s">
        <v>513</v>
      </c>
    </row>
    <row r="15010" spans="1:7" x14ac:dyDescent="0.25">
      <c r="A15010" s="1" t="str">
        <f>"0810400025"</f>
        <v>0810400025</v>
      </c>
      <c r="B15010" s="2" t="str">
        <f>"MANG 2,80M R2AT 1/4  02 T. 8030 06-04"</f>
        <v>MANG 2,80M R2AT 1/4  02 T. 8030 06-04</v>
      </c>
      <c r="C15010" s="2" t="str">
        <f t="shared" si="587"/>
        <v>UN</v>
      </c>
      <c r="D15010" s="7">
        <v>810</v>
      </c>
      <c r="E15010" s="3">
        <v>11</v>
      </c>
      <c r="F15010" s="3">
        <v>11</v>
      </c>
      <c r="G15010" t="s">
        <v>513</v>
      </c>
    </row>
    <row r="15011" spans="1:7" x14ac:dyDescent="0.25">
      <c r="A15011" s="1" t="str">
        <f>"0810400004"</f>
        <v>0810400004</v>
      </c>
      <c r="B15011" s="2" t="str">
        <f>"MANG 3,00M R2AT 1/4  01 T 8030 05-04 01 T. 8075 04-04"</f>
        <v>MANG 3,00M R2AT 1/4  01 T 8030 05-04 01 T. 8075 04-04</v>
      </c>
      <c r="C15011" s="2" t="str">
        <f t="shared" si="587"/>
        <v>UN</v>
      </c>
      <c r="D15011" s="7">
        <v>810</v>
      </c>
      <c r="E15011" s="3">
        <v>11</v>
      </c>
      <c r="F15011" s="3">
        <v>11</v>
      </c>
      <c r="G15011" t="s">
        <v>513</v>
      </c>
    </row>
    <row r="15012" spans="1:7" x14ac:dyDescent="0.25">
      <c r="A15012" s="1" t="str">
        <f>"0810400065"</f>
        <v>0810400065</v>
      </c>
      <c r="B15012" s="2" t="str">
        <f>"MANG 3,00M R2AT 1/4  02 T. 8030 06-04"</f>
        <v>MANG 3,00M R2AT 1/4  02 T. 8030 06-04</v>
      </c>
      <c r="C15012" s="2" t="str">
        <f t="shared" si="587"/>
        <v>UN</v>
      </c>
      <c r="D15012" s="7">
        <v>810</v>
      </c>
      <c r="E15012" s="3">
        <v>11</v>
      </c>
      <c r="F15012" s="3">
        <v>11</v>
      </c>
      <c r="G15012" t="s">
        <v>512</v>
      </c>
    </row>
    <row r="15013" spans="1:7" x14ac:dyDescent="0.25">
      <c r="A15013" s="1" t="str">
        <f>"0810400063"</f>
        <v>0810400063</v>
      </c>
      <c r="B15013" s="2" t="str">
        <f>"MANG 3,10M R2AT 1/4  01 T. 8010 06-04 / 01 T. 8075 04-04"</f>
        <v>MANG 3,10M R2AT 1/4  01 T. 8010 06-04 / 01 T. 8075 04-04</v>
      </c>
      <c r="C15013" s="2" t="str">
        <f t="shared" si="587"/>
        <v>UN</v>
      </c>
      <c r="D15013" s="7">
        <v>810</v>
      </c>
      <c r="E15013" s="3">
        <v>11</v>
      </c>
      <c r="F15013" s="3">
        <v>11</v>
      </c>
      <c r="G15013" t="s">
        <v>513</v>
      </c>
    </row>
    <row r="15014" spans="1:7" x14ac:dyDescent="0.25">
      <c r="A15014" s="1" t="str">
        <f>"0810400013"</f>
        <v>0810400013</v>
      </c>
      <c r="B15014" s="2" t="str">
        <f>"MANG 3,50M R2AT 5/8  02 T. 8015 24-16-10"</f>
        <v>MANG 3,50M R2AT 5/8  02 T. 8015 24-16-10</v>
      </c>
      <c r="C15014" s="2" t="str">
        <f t="shared" si="587"/>
        <v>UN</v>
      </c>
      <c r="D15014" s="7">
        <v>810</v>
      </c>
      <c r="E15014" s="3">
        <v>11</v>
      </c>
      <c r="F15014" s="3">
        <v>11</v>
      </c>
      <c r="G15014" t="s">
        <v>514</v>
      </c>
    </row>
    <row r="15015" spans="1:7" x14ac:dyDescent="0.25">
      <c r="A15015" s="1" t="str">
        <f>"0810400002"</f>
        <v>0810400002</v>
      </c>
      <c r="B15015" s="2" t="str">
        <f>"MANG 32,00M R2AT 1/4  02 T. 1005 / 02 T. 1009"</f>
        <v>MANG 32,00M R2AT 1/4  02 T. 1005 / 02 T. 1009</v>
      </c>
      <c r="C15015" s="2" t="str">
        <f t="shared" si="587"/>
        <v>UN</v>
      </c>
      <c r="D15015" s="7">
        <v>810</v>
      </c>
      <c r="E15015" s="3">
        <v>11</v>
      </c>
      <c r="F15015" s="3">
        <v>11</v>
      </c>
      <c r="G15015" t="s">
        <v>515</v>
      </c>
    </row>
    <row r="15016" spans="1:7" x14ac:dyDescent="0.25">
      <c r="A15016" s="1" t="str">
        <f>"0810400001"</f>
        <v>0810400001</v>
      </c>
      <c r="B15016" s="2" t="str">
        <f>"MANG 32,00M R2AT 3/8  02 T. 1006 / 02 T. 1009"</f>
        <v>MANG 32,00M R2AT 3/8  02 T. 1006 / 02 T. 1009</v>
      </c>
      <c r="C15016" s="2" t="str">
        <f t="shared" si="587"/>
        <v>UN</v>
      </c>
      <c r="D15016" s="7">
        <v>810</v>
      </c>
      <c r="E15016" s="3">
        <v>11</v>
      </c>
      <c r="F15016" s="3">
        <v>11</v>
      </c>
      <c r="G15016" t="s">
        <v>512</v>
      </c>
    </row>
    <row r="15017" spans="1:7" x14ac:dyDescent="0.25">
      <c r="A15017" s="1" t="str">
        <f>"0810400011"</f>
        <v>0810400011</v>
      </c>
      <c r="B15017" s="2" t="str">
        <f>"MANG 4,00M R2AT 1/2  01 T. 8030 101-08 / 01 T. 8050 10-08"</f>
        <v>MANG 4,00M R2AT 1/2  01 T. 8030 101-08 / 01 T. 8050 10-08</v>
      </c>
      <c r="C15017" s="2" t="str">
        <f t="shared" si="587"/>
        <v>UN</v>
      </c>
      <c r="D15017" s="7">
        <v>810</v>
      </c>
      <c r="E15017" s="3">
        <v>11</v>
      </c>
      <c r="F15017" s="3">
        <v>11</v>
      </c>
      <c r="G15017" t="s">
        <v>516</v>
      </c>
    </row>
    <row r="15018" spans="1:7" x14ac:dyDescent="0.25">
      <c r="A15018" s="1" t="str">
        <f>"0810400015"</f>
        <v>0810400015</v>
      </c>
      <c r="B15018" s="2" t="str">
        <f>"MANG 4,20M R2AT 1/2 01 T. 8030 10-08 / 01 T. 805 10-08"</f>
        <v>MANG 4,20M R2AT 1/2 01 T. 8030 10-08 / 01 T. 805 10-08</v>
      </c>
      <c r="C15018" s="2" t="str">
        <f t="shared" si="587"/>
        <v>UN</v>
      </c>
      <c r="D15018" s="7">
        <v>810</v>
      </c>
      <c r="E15018" s="3">
        <v>11</v>
      </c>
      <c r="F15018" s="3">
        <v>11</v>
      </c>
      <c r="G15018" t="s">
        <v>515</v>
      </c>
    </row>
    <row r="15019" spans="1:7" x14ac:dyDescent="0.25">
      <c r="A15019" s="1" t="str">
        <f>"0810400017"</f>
        <v>0810400017</v>
      </c>
      <c r="B15019" s="2" t="str">
        <f>"MANG 4,40M R2AT 1/2  01 T.  8030 10-08 / 01 T. 8050 10-08"</f>
        <v>MANG 4,40M R2AT 1/2  01 T.  8030 10-08 / 01 T. 8050 10-08</v>
      </c>
      <c r="C15019" s="2" t="str">
        <f t="shared" si="587"/>
        <v>UN</v>
      </c>
      <c r="D15019" s="7">
        <v>810</v>
      </c>
      <c r="E15019" s="3">
        <v>11</v>
      </c>
      <c r="F15019" s="3">
        <v>11</v>
      </c>
      <c r="G15019" t="s">
        <v>514</v>
      </c>
    </row>
    <row r="15020" spans="1:7" x14ac:dyDescent="0.25">
      <c r="A15020" s="1" t="str">
        <f>"0810400023"</f>
        <v>0810400023</v>
      </c>
      <c r="B15020" s="2" t="str">
        <f>"MANG 6,00M R2AT 1/4  02 T. 8030 06-04"</f>
        <v>MANG 6,00M R2AT 1/4  02 T. 8030 06-04</v>
      </c>
      <c r="C15020" s="2" t="str">
        <f t="shared" si="587"/>
        <v>UN</v>
      </c>
      <c r="D15020" s="7">
        <v>810</v>
      </c>
      <c r="E15020" s="3">
        <v>11</v>
      </c>
      <c r="F15020" s="3">
        <v>11</v>
      </c>
      <c r="G15020" t="s">
        <v>512</v>
      </c>
    </row>
    <row r="15021" spans="1:7" x14ac:dyDescent="0.25">
      <c r="A15021" s="1" t="str">
        <f>"0810400008"</f>
        <v>0810400008</v>
      </c>
      <c r="B15021" s="2" t="str">
        <f>"MANG 8,00M R2AT 3/8 01 T.8030 08-06  01 T.8010 08-06"</f>
        <v>MANG 8,00M R2AT 3/8 01 T.8030 08-06  01 T.8010 08-06</v>
      </c>
      <c r="C15021" s="2" t="str">
        <f t="shared" si="587"/>
        <v>UN</v>
      </c>
      <c r="D15021" s="7">
        <v>810</v>
      </c>
      <c r="E15021" s="3">
        <v>11</v>
      </c>
      <c r="F15021" s="3">
        <v>11</v>
      </c>
      <c r="G15021" t="s">
        <v>513</v>
      </c>
    </row>
    <row r="15022" spans="1:7" x14ac:dyDescent="0.25">
      <c r="A15022" s="1" t="str">
        <f>"527043"</f>
        <v>527043</v>
      </c>
      <c r="B15022" s="2" t="str">
        <f>"MANG. SANITARIA FDA 3/4"" X1100MM PNT 1 E PNT 2 FEMEA 1"" SMS"</f>
        <v>MANG. SANITARIA FDA 3/4" X1100MM PNT 1 E PNT 2 FEMEA 1" SMS</v>
      </c>
      <c r="C15022" s="2" t="str">
        <f>"MT"</f>
        <v>MT</v>
      </c>
      <c r="D15022" s="7">
        <v>810</v>
      </c>
      <c r="E15022" s="3">
        <v>10</v>
      </c>
      <c r="F15022" s="3">
        <v>10</v>
      </c>
      <c r="G15022" t="s">
        <v>514</v>
      </c>
    </row>
    <row r="15023" spans="1:7" x14ac:dyDescent="0.25">
      <c r="A15023" s="1" t="str">
        <f>"527044"</f>
        <v>527044</v>
      </c>
      <c r="B15023" s="2" t="str">
        <f>"MANG. SANITARIA FDA 3/4"" X1100MM PNT 1 E PNT 2 FEMEA 1"" SMS"</f>
        <v>MANG. SANITARIA FDA 3/4" X1100MM PNT 1 E PNT 2 FEMEA 1" SMS</v>
      </c>
      <c r="C15023" s="2" t="str">
        <f>"MT"</f>
        <v>MT</v>
      </c>
      <c r="D15023" s="7">
        <v>810</v>
      </c>
      <c r="E15023" s="3">
        <v>10</v>
      </c>
      <c r="F15023" s="3">
        <v>10</v>
      </c>
      <c r="G15023" t="s">
        <v>514</v>
      </c>
    </row>
    <row r="15024" spans="1:7" x14ac:dyDescent="0.25">
      <c r="A15024" s="1" t="str">
        <f>"527042"</f>
        <v>527042</v>
      </c>
      <c r="B15024" s="2" t="str">
        <f>"MANG. SANITARIA FDA 3/4"" X1200MM PNT 1 E PNT 2 FEMEA 1"" SMS"</f>
        <v>MANG. SANITARIA FDA 3/4" X1200MM PNT 1 E PNT 2 FEMEA 1" SMS</v>
      </c>
      <c r="C15024" s="2" t="str">
        <f>"MT"</f>
        <v>MT</v>
      </c>
      <c r="D15024" s="7">
        <v>810</v>
      </c>
      <c r="E15024" s="3">
        <v>10</v>
      </c>
      <c r="F15024" s="3">
        <v>10</v>
      </c>
      <c r="G15024" t="s">
        <v>512</v>
      </c>
    </row>
    <row r="15025" spans="1:7" x14ac:dyDescent="0.25">
      <c r="A15025" s="1" t="str">
        <f>"527041"</f>
        <v>527041</v>
      </c>
      <c r="B15025" s="2" t="str">
        <f>"MANG. SANITARIA FDA 3/4"" X1300MM PNT 1 E PNT 2 FEMEA 1"" SMS"</f>
        <v>MANG. SANITARIA FDA 3/4" X1300MM PNT 1 E PNT 2 FEMEA 1" SMS</v>
      </c>
      <c r="C15025" s="2" t="str">
        <f>"MT"</f>
        <v>MT</v>
      </c>
      <c r="D15025" s="7">
        <v>810</v>
      </c>
      <c r="E15025" s="3">
        <v>10</v>
      </c>
      <c r="F15025" s="3">
        <v>10</v>
      </c>
      <c r="G15025" t="s">
        <v>513</v>
      </c>
    </row>
    <row r="15026" spans="1:7" x14ac:dyDescent="0.25">
      <c r="A15026" s="1" t="str">
        <f>"526331"</f>
        <v>526331</v>
      </c>
      <c r="B15026" s="2" t="str">
        <f>"MANG. SANITARIA TRELLEBORG 1.1/2"" X 11M TERM RETO RJT/SMS 2"""</f>
        <v>MANG. SANITARIA TRELLEBORG 1.1/2" X 11M TERM RETO RJT/SMS 2"</v>
      </c>
      <c r="C15026" s="2" t="str">
        <f t="shared" ref="C15026:C15033" si="588">"PÇ"</f>
        <v>PÇ</v>
      </c>
      <c r="D15026" s="7">
        <v>810</v>
      </c>
      <c r="E15026" s="3">
        <v>10</v>
      </c>
      <c r="F15026" s="3">
        <v>10</v>
      </c>
      <c r="G15026" t="s">
        <v>514</v>
      </c>
    </row>
    <row r="15027" spans="1:7" x14ac:dyDescent="0.25">
      <c r="A15027" s="1" t="str">
        <f>"526311"</f>
        <v>526311</v>
      </c>
      <c r="B15027" s="2" t="str">
        <f>"MANG. SANITARIA TRELLEBORG 1.1/2"" X 13M TERM CURVA/RETO RJT"</f>
        <v>MANG. SANITARIA TRELLEBORG 1.1/2" X 13M TERM CURVA/RETO RJT</v>
      </c>
      <c r="C15027" s="2" t="str">
        <f t="shared" si="588"/>
        <v>PÇ</v>
      </c>
      <c r="D15027" s="7">
        <v>810</v>
      </c>
      <c r="E15027" s="3">
        <v>10</v>
      </c>
      <c r="F15027" s="3">
        <v>10</v>
      </c>
      <c r="G15027" t="s">
        <v>514</v>
      </c>
    </row>
    <row r="15028" spans="1:7" x14ac:dyDescent="0.25">
      <c r="A15028" s="1" t="str">
        <f>"526310"</f>
        <v>526310</v>
      </c>
      <c r="B15028" s="2" t="str">
        <f>"MANG. SANITARIA TRELLEBORG 2"" X 0,35M TERM. RETO RJT"</f>
        <v>MANG. SANITARIA TRELLEBORG 2" X 0,35M TERM. RETO RJT</v>
      </c>
      <c r="C15028" s="2" t="str">
        <f t="shared" si="588"/>
        <v>PÇ</v>
      </c>
      <c r="D15028" s="7">
        <v>810</v>
      </c>
      <c r="E15028" s="3">
        <v>10</v>
      </c>
      <c r="F15028" s="3">
        <v>10</v>
      </c>
      <c r="G15028" t="s">
        <v>514</v>
      </c>
    </row>
    <row r="15029" spans="1:7" x14ac:dyDescent="0.25">
      <c r="A15029" s="1" t="str">
        <f>"526332"</f>
        <v>526332</v>
      </c>
      <c r="B15029" s="2" t="str">
        <f>"MANG. SANITARIA TRELLEBORG 2"" X 0,6M TERM. CURVA/RETO RJT"</f>
        <v>MANG. SANITARIA TRELLEBORG 2" X 0,6M TERM. CURVA/RETO RJT</v>
      </c>
      <c r="C15029" s="2" t="str">
        <f t="shared" si="588"/>
        <v>PÇ</v>
      </c>
      <c r="D15029" s="7">
        <v>810</v>
      </c>
      <c r="E15029" s="3">
        <v>10</v>
      </c>
      <c r="F15029" s="3">
        <v>10</v>
      </c>
      <c r="G15029" t="s">
        <v>513</v>
      </c>
    </row>
    <row r="15030" spans="1:7" x14ac:dyDescent="0.25">
      <c r="A15030" s="1" t="str">
        <f>"526312"</f>
        <v>526312</v>
      </c>
      <c r="B15030" s="2" t="str">
        <f>"MANG. SANITARIA TRELLEBORG 2"" X 1,5M TERM CURVA/RETO RJT"</f>
        <v>MANG. SANITARIA TRELLEBORG 2" X 1,5M TERM CURVA/RETO RJT</v>
      </c>
      <c r="C15030" s="2" t="str">
        <f t="shared" si="588"/>
        <v>PÇ</v>
      </c>
      <c r="D15030" s="7">
        <v>810</v>
      </c>
      <c r="E15030" s="3">
        <v>10</v>
      </c>
      <c r="F15030" s="3">
        <v>10</v>
      </c>
      <c r="G15030" t="s">
        <v>512</v>
      </c>
    </row>
    <row r="15031" spans="1:7" x14ac:dyDescent="0.25">
      <c r="A15031" s="1" t="str">
        <f>"526329"</f>
        <v>526329</v>
      </c>
      <c r="B15031" s="2" t="str">
        <f>"MANG. SANITARIA TRELLEBORG 2"" X 13M TERM CURVA/RETO RJT"</f>
        <v>MANG. SANITARIA TRELLEBORG 2" X 13M TERM CURVA/RETO RJT</v>
      </c>
      <c r="C15031" s="2" t="str">
        <f t="shared" si="588"/>
        <v>PÇ</v>
      </c>
      <c r="D15031" s="7">
        <v>810</v>
      </c>
      <c r="E15031" s="3">
        <v>10</v>
      </c>
      <c r="F15031" s="3">
        <v>10</v>
      </c>
      <c r="G15031" t="s">
        <v>513</v>
      </c>
    </row>
    <row r="15032" spans="1:7" x14ac:dyDescent="0.25">
      <c r="A15032" s="1" t="str">
        <f>"526309"</f>
        <v>526309</v>
      </c>
      <c r="B15032" s="2" t="str">
        <f>"MANG. SANITARIA TRELLEBORG 2"" X 20M TERM. CURVA E RETO RJT"</f>
        <v>MANG. SANITARIA TRELLEBORG 2" X 20M TERM. CURVA E RETO RJT</v>
      </c>
      <c r="C15032" s="2" t="str">
        <f t="shared" si="588"/>
        <v>PÇ</v>
      </c>
      <c r="D15032" s="7">
        <v>810</v>
      </c>
      <c r="E15032" s="3">
        <v>10</v>
      </c>
      <c r="F15032" s="3">
        <v>10</v>
      </c>
      <c r="G15032" t="s">
        <v>514</v>
      </c>
    </row>
    <row r="15033" spans="1:7" x14ac:dyDescent="0.25">
      <c r="A15033" s="1" t="str">
        <f>"526330"</f>
        <v>526330</v>
      </c>
      <c r="B15033" s="2" t="str">
        <f>"MANG. SANITARIA TRELLEBORG 2"" X 2M TERM CURVA/RETO RJT"</f>
        <v>MANG. SANITARIA TRELLEBORG 2" X 2M TERM CURVA/RETO RJT</v>
      </c>
      <c r="C15033" s="2" t="str">
        <f t="shared" si="588"/>
        <v>PÇ</v>
      </c>
      <c r="D15033" s="7">
        <v>810</v>
      </c>
      <c r="E15033" s="3">
        <v>10</v>
      </c>
      <c r="F15033" s="3">
        <v>10</v>
      </c>
      <c r="G15033" t="s">
        <v>514</v>
      </c>
    </row>
    <row r="15034" spans="1:7" x14ac:dyDescent="0.25">
      <c r="A15034" s="1" t="str">
        <f>"528116"</f>
        <v>528116</v>
      </c>
      <c r="B15034" s="2" t="str">
        <f>"MANGA"</f>
        <v>MANGA</v>
      </c>
      <c r="C15034" s="2" t="str">
        <f t="shared" ref="C15034:C15041" si="589">"UN"</f>
        <v>UN</v>
      </c>
      <c r="D15034" s="7">
        <v>401</v>
      </c>
      <c r="E15034" s="3">
        <v>4</v>
      </c>
      <c r="F15034" s="3">
        <v>4</v>
      </c>
      <c r="G15034" t="s">
        <v>514</v>
      </c>
    </row>
    <row r="15035" spans="1:7" x14ac:dyDescent="0.25">
      <c r="A15035" s="1" t="str">
        <f>"6345"</f>
        <v>6345</v>
      </c>
      <c r="B15035" s="2" t="str">
        <f>"MANGA 22X55 XF 65 AZUL MAN16"</f>
        <v>MANGA 22X55 XF 65 AZUL MAN16</v>
      </c>
      <c r="C15035" s="2" t="str">
        <f t="shared" si="589"/>
        <v>UN</v>
      </c>
      <c r="D15035" s="7">
        <v>501</v>
      </c>
      <c r="E15035" s="3">
        <v>5</v>
      </c>
      <c r="F15035" s="3">
        <v>5</v>
      </c>
      <c r="G15035" t="s">
        <v>513</v>
      </c>
    </row>
    <row r="15036" spans="1:7" x14ac:dyDescent="0.25">
      <c r="A15036" s="1" t="str">
        <f>"515188"</f>
        <v>515188</v>
      </c>
      <c r="B15036" s="2" t="str">
        <f>"MANGA DO EIXO"</f>
        <v>MANGA DO EIXO</v>
      </c>
      <c r="C15036" s="2" t="str">
        <f t="shared" si="589"/>
        <v>UN</v>
      </c>
      <c r="D15036" s="7">
        <v>704</v>
      </c>
      <c r="E15036" s="3">
        <v>9</v>
      </c>
      <c r="F15036" s="3">
        <v>9</v>
      </c>
      <c r="G15036" t="s">
        <v>513</v>
      </c>
    </row>
    <row r="15037" spans="1:7" x14ac:dyDescent="0.25">
      <c r="A15037" s="1" t="str">
        <f>"524258"</f>
        <v>524258</v>
      </c>
      <c r="B15037" s="2" t="str">
        <f>"MANGA POLIETILENO (HOMOLOGAÇÃO)"</f>
        <v>MANGA POLIETILENO (HOMOLOGAÇÃO)</v>
      </c>
      <c r="C15037" s="2" t="str">
        <f t="shared" si="589"/>
        <v>UN</v>
      </c>
      <c r="D15037" s="7">
        <v>501</v>
      </c>
      <c r="E15037" s="3">
        <v>5</v>
      </c>
      <c r="F15037" s="3">
        <v>5</v>
      </c>
      <c r="G15037" t="s">
        <v>513</v>
      </c>
    </row>
    <row r="15038" spans="1:7" x14ac:dyDescent="0.25">
      <c r="A15038" s="1" t="str">
        <f>"513660"</f>
        <v>513660</v>
      </c>
      <c r="B15038" s="2" t="str">
        <f>"MANGOTE PLASTICO COR AZUL"</f>
        <v>MANGOTE PLASTICO COR AZUL</v>
      </c>
      <c r="C15038" s="2" t="str">
        <f t="shared" si="589"/>
        <v>UN</v>
      </c>
      <c r="D15038" s="7">
        <v>502</v>
      </c>
      <c r="E15038" s="3">
        <v>4</v>
      </c>
      <c r="F15038" s="3">
        <v>4</v>
      </c>
      <c r="G15038" t="s">
        <v>512</v>
      </c>
    </row>
    <row r="15039" spans="1:7" x14ac:dyDescent="0.25">
      <c r="A15039" s="1" t="str">
        <f>"6035"</f>
        <v>6035</v>
      </c>
      <c r="B15039" s="2" t="str">
        <f>"MANGOTE RASPA FENA CA-10972"</f>
        <v>MANGOTE RASPA FENA CA-10972</v>
      </c>
      <c r="C15039" s="2" t="str">
        <f t="shared" si="589"/>
        <v>UN</v>
      </c>
      <c r="D15039" s="7">
        <v>501</v>
      </c>
      <c r="E15039" s="3">
        <v>5</v>
      </c>
      <c r="F15039" s="3">
        <v>5</v>
      </c>
      <c r="G15039" t="s">
        <v>513</v>
      </c>
    </row>
    <row r="15040" spans="1:7" x14ac:dyDescent="0.25">
      <c r="A15040" s="1" t="str">
        <f>"526320"</f>
        <v>526320</v>
      </c>
      <c r="B15040" s="2" t="str">
        <f>"MANGOTE TNT BRANCO"</f>
        <v>MANGOTE TNT BRANCO</v>
      </c>
      <c r="C15040" s="2" t="str">
        <f t="shared" si="589"/>
        <v>UN</v>
      </c>
      <c r="D15040" s="7">
        <v>502</v>
      </c>
      <c r="E15040" s="3">
        <v>4</v>
      </c>
      <c r="F15040" s="3">
        <v>4</v>
      </c>
      <c r="G15040" t="s">
        <v>514</v>
      </c>
    </row>
    <row r="15041" spans="1:7" x14ac:dyDescent="0.25">
      <c r="A15041" s="1" t="str">
        <f>"513958"</f>
        <v>513958</v>
      </c>
      <c r="B15041" s="2" t="str">
        <f>"MANGUEIRA"</f>
        <v>MANGUEIRA</v>
      </c>
      <c r="C15041" s="2" t="str">
        <f t="shared" si="589"/>
        <v>UN</v>
      </c>
      <c r="D15041" s="7">
        <v>704</v>
      </c>
      <c r="E15041" s="3">
        <v>9</v>
      </c>
      <c r="F15041" s="3">
        <v>9</v>
      </c>
      <c r="G15041" t="s">
        <v>515</v>
      </c>
    </row>
    <row r="15042" spans="1:7" x14ac:dyDescent="0.25">
      <c r="A15042" s="1" t="str">
        <f>"524404"</f>
        <v>524404</v>
      </c>
      <c r="B15042" s="2" t="str">
        <f>"MANGUEIRA 1/4 - 1TRAMA C/ CONEXÔES (VAP)"</f>
        <v>MANGUEIRA 1/4 - 1TRAMA C/ CONEXÔES (VAP)</v>
      </c>
      <c r="C15042" s="2" t="str">
        <f>"MT"</f>
        <v>MT</v>
      </c>
      <c r="D15042" s="7">
        <v>810</v>
      </c>
      <c r="E15042" s="3">
        <v>10</v>
      </c>
      <c r="F15042" s="3">
        <v>10</v>
      </c>
      <c r="G15042" t="s">
        <v>512</v>
      </c>
    </row>
    <row r="15043" spans="1:7" x14ac:dyDescent="0.25">
      <c r="A15043" s="1" t="str">
        <f>"521867"</f>
        <v>521867</v>
      </c>
      <c r="B15043" s="2" t="str">
        <f>"MANGUEIRA 2"" ATOXICA ALIKLER NP 1"" SMS 03 METROS"</f>
        <v>MANGUEIRA 2" ATOXICA ALIKLER NP 1" SMS 03 METROS</v>
      </c>
      <c r="C15043" s="2" t="str">
        <f>"PC"</f>
        <v>PC</v>
      </c>
      <c r="D15043" s="7">
        <v>810</v>
      </c>
      <c r="E15043" s="3">
        <v>10</v>
      </c>
      <c r="F15043" s="3">
        <v>10</v>
      </c>
      <c r="G15043" t="s">
        <v>516</v>
      </c>
    </row>
    <row r="15044" spans="1:7" x14ac:dyDescent="0.25">
      <c r="A15044" s="1" t="str">
        <f>"521866"</f>
        <v>521866</v>
      </c>
      <c r="B15044" s="2" t="str">
        <f>"MANGUEIRA 2"" ATOXICA ALIKLER NP 1"" SMS 04 METROS"</f>
        <v>MANGUEIRA 2" ATOXICA ALIKLER NP 1" SMS 04 METROS</v>
      </c>
      <c r="C15044" s="2" t="str">
        <f>"PC"</f>
        <v>PC</v>
      </c>
      <c r="D15044" s="7">
        <v>810</v>
      </c>
      <c r="E15044" s="3">
        <v>10</v>
      </c>
      <c r="F15044" s="3">
        <v>10</v>
      </c>
      <c r="G15044" t="s">
        <v>515</v>
      </c>
    </row>
    <row r="15045" spans="1:7" x14ac:dyDescent="0.25">
      <c r="A15045" s="1" t="str">
        <f>"521869"</f>
        <v>521869</v>
      </c>
      <c r="B15045" s="2" t="str">
        <f>"MANGUEIRA 2"" ATOXICA ALIKLER NP 2 1/2"" SMS 04 METROS"</f>
        <v>MANGUEIRA 2" ATOXICA ALIKLER NP 2 1/2" SMS 04 METROS</v>
      </c>
      <c r="C15045" s="2" t="str">
        <f>"PC"</f>
        <v>PC</v>
      </c>
      <c r="D15045" s="7">
        <v>810</v>
      </c>
      <c r="E15045" s="3">
        <v>10</v>
      </c>
      <c r="F15045" s="3">
        <v>10</v>
      </c>
      <c r="G15045" t="s">
        <v>514</v>
      </c>
    </row>
    <row r="15046" spans="1:7" x14ac:dyDescent="0.25">
      <c r="A15046" s="1" t="str">
        <f>"521868"</f>
        <v>521868</v>
      </c>
      <c r="B15046" s="2" t="str">
        <f>"MANGUEIRA 2"" ATOXICA ALIKLER NP 2 1/2"" SMS 06 METROS"</f>
        <v>MANGUEIRA 2" ATOXICA ALIKLER NP 2 1/2" SMS 06 METROS</v>
      </c>
      <c r="C15046" s="2" t="str">
        <f>"PC"</f>
        <v>PC</v>
      </c>
      <c r="D15046" s="7">
        <v>810</v>
      </c>
      <c r="E15046" s="3">
        <v>10</v>
      </c>
      <c r="F15046" s="3">
        <v>10</v>
      </c>
      <c r="G15046" t="s">
        <v>512</v>
      </c>
    </row>
    <row r="15047" spans="1:7" x14ac:dyDescent="0.25">
      <c r="A15047" s="1" t="str">
        <f>"521870"</f>
        <v>521870</v>
      </c>
      <c r="B15047" s="2" t="str">
        <f>"MANGUEIRA 2"" ATOXICA ALIKLER NP 2"" SMS 05 METROS"</f>
        <v>MANGUEIRA 2" ATOXICA ALIKLER NP 2" SMS 05 METROS</v>
      </c>
      <c r="C15047" s="2" t="str">
        <f>"PC"</f>
        <v>PC</v>
      </c>
      <c r="D15047" s="7">
        <v>810</v>
      </c>
      <c r="E15047" s="3">
        <v>10</v>
      </c>
      <c r="F15047" s="3">
        <v>10</v>
      </c>
      <c r="G15047" t="s">
        <v>513</v>
      </c>
    </row>
    <row r="15048" spans="1:7" x14ac:dyDescent="0.25">
      <c r="A15048" s="1" t="str">
        <f>"526318"</f>
        <v>526318</v>
      </c>
      <c r="B15048" s="2" t="str">
        <f>"MANGUEIRA 5/8 X 20MT 250PSI/40G"</f>
        <v>MANGUEIRA 5/8 X 20MT 250PSI/40G</v>
      </c>
      <c r="C15048" s="2" t="str">
        <f>"UN"</f>
        <v>UN</v>
      </c>
      <c r="D15048" s="7">
        <v>400</v>
      </c>
      <c r="E15048" s="3">
        <v>4</v>
      </c>
      <c r="F15048" s="3">
        <v>4</v>
      </c>
      <c r="G15048" t="s">
        <v>514</v>
      </c>
    </row>
    <row r="15049" spans="1:7" x14ac:dyDescent="0.25">
      <c r="A15049" s="1" t="str">
        <f>"523500"</f>
        <v>523500</v>
      </c>
      <c r="B15049" s="2" t="str">
        <f>"MANGUEIRA 50M (CÓD. 045050)"</f>
        <v>MANGUEIRA 50M (CÓD. 045050)</v>
      </c>
      <c r="C15049" s="2" t="str">
        <f>"UN"</f>
        <v>UN</v>
      </c>
      <c r="D15049" s="7">
        <v>400</v>
      </c>
      <c r="E15049" s="3">
        <v>4</v>
      </c>
      <c r="F15049" s="3">
        <v>4</v>
      </c>
      <c r="G15049" t="s">
        <v>514</v>
      </c>
    </row>
    <row r="15050" spans="1:7" x14ac:dyDescent="0.25">
      <c r="A15050" s="1" t="str">
        <f>"506018"</f>
        <v>506018</v>
      </c>
      <c r="B15050" s="2" t="str">
        <f>"MANGUEIRA AGUA/VAPOR 3/4 130º AZUL"</f>
        <v>MANGUEIRA AGUA/VAPOR 3/4 130º AZUL</v>
      </c>
      <c r="C15050" s="2" t="str">
        <f>"MT"</f>
        <v>MT</v>
      </c>
      <c r="D15050" s="7">
        <v>810</v>
      </c>
      <c r="E15050" s="3">
        <v>10</v>
      </c>
      <c r="F15050" s="3">
        <v>10</v>
      </c>
      <c r="G15050" t="s">
        <v>512</v>
      </c>
    </row>
    <row r="15051" spans="1:7" x14ac:dyDescent="0.25">
      <c r="A15051" s="1" t="str">
        <f>"522742"</f>
        <v>522742</v>
      </c>
      <c r="B15051" s="2" t="str">
        <f>"MANGUEIRA ALISPIR 1"" X MF SMS 1"" X NP SMS 90° X 1010"</f>
        <v>MANGUEIRA ALISPIR 1" X MF SMS 1" X NP SMS 90° X 1010</v>
      </c>
      <c r="C15051" s="2" t="str">
        <f t="shared" ref="C15051:C15061" si="590">"UN"</f>
        <v>UN</v>
      </c>
      <c r="D15051" s="7">
        <v>810</v>
      </c>
      <c r="E15051" s="3">
        <v>10</v>
      </c>
      <c r="F15051" s="3">
        <v>10</v>
      </c>
      <c r="G15051" t="s">
        <v>513</v>
      </c>
    </row>
    <row r="15052" spans="1:7" x14ac:dyDescent="0.25">
      <c r="A15052" s="1" t="str">
        <f>"522737"</f>
        <v>522737</v>
      </c>
      <c r="B15052" s="2" t="str">
        <f>"MANGUEIRA ALISPIR 1"" X MF SMS 1"" X NP SMS 90° X 1020"</f>
        <v>MANGUEIRA ALISPIR 1" X MF SMS 1" X NP SMS 90° X 1020</v>
      </c>
      <c r="C15052" s="2" t="str">
        <f t="shared" si="590"/>
        <v>UN</v>
      </c>
      <c r="D15052" s="7">
        <v>810</v>
      </c>
      <c r="E15052" s="3">
        <v>10</v>
      </c>
      <c r="F15052" s="3">
        <v>10</v>
      </c>
      <c r="G15052" t="s">
        <v>514</v>
      </c>
    </row>
    <row r="15053" spans="1:7" x14ac:dyDescent="0.25">
      <c r="A15053" s="1" t="str">
        <f>"522743"</f>
        <v>522743</v>
      </c>
      <c r="B15053" s="2" t="str">
        <f>"MANGUEIRA ALISPIR 1"" X MF SMS 1"" X NP SMS 90° X 1050"</f>
        <v>MANGUEIRA ALISPIR 1" X MF SMS 1" X NP SMS 90° X 1050</v>
      </c>
      <c r="C15053" s="2" t="str">
        <f t="shared" si="590"/>
        <v>UN</v>
      </c>
      <c r="D15053" s="7">
        <v>810</v>
      </c>
      <c r="E15053" s="3">
        <v>10</v>
      </c>
      <c r="F15053" s="3">
        <v>10</v>
      </c>
      <c r="G15053" t="s">
        <v>514</v>
      </c>
    </row>
    <row r="15054" spans="1:7" x14ac:dyDescent="0.25">
      <c r="A15054" s="1" t="str">
        <f>"522738"</f>
        <v>522738</v>
      </c>
      <c r="B15054" s="2" t="str">
        <f>"MANGUEIRA ALISPIR 1"" X MF SMS 1"" X NP SMS 90° X 1070"</f>
        <v>MANGUEIRA ALISPIR 1" X MF SMS 1" X NP SMS 90° X 1070</v>
      </c>
      <c r="C15054" s="2" t="str">
        <f t="shared" si="590"/>
        <v>UN</v>
      </c>
      <c r="D15054" s="7">
        <v>810</v>
      </c>
      <c r="E15054" s="3">
        <v>10</v>
      </c>
      <c r="F15054" s="3">
        <v>10</v>
      </c>
      <c r="G15054" t="s">
        <v>514</v>
      </c>
    </row>
    <row r="15055" spans="1:7" x14ac:dyDescent="0.25">
      <c r="A15055" s="1" t="str">
        <f>"522739"</f>
        <v>522739</v>
      </c>
      <c r="B15055" s="2" t="str">
        <f>"MANGUEIRA ALISPIR 1"" X MF SMS 1"" X NP SMS 90° X 1110"</f>
        <v>MANGUEIRA ALISPIR 1" X MF SMS 1" X NP SMS 90° X 1110</v>
      </c>
      <c r="C15055" s="2" t="str">
        <f t="shared" si="590"/>
        <v>UN</v>
      </c>
      <c r="D15055" s="7">
        <v>810</v>
      </c>
      <c r="E15055" s="3">
        <v>10</v>
      </c>
      <c r="F15055" s="3">
        <v>10</v>
      </c>
      <c r="G15055" t="s">
        <v>513</v>
      </c>
    </row>
    <row r="15056" spans="1:7" x14ac:dyDescent="0.25">
      <c r="A15056" s="1" t="str">
        <f>"522735"</f>
        <v>522735</v>
      </c>
      <c r="B15056" s="2" t="str">
        <f>"MANGUEIRA ALISPIR 1"" X MF SMS 1"" X NP SMS 90° X 1120"</f>
        <v>MANGUEIRA ALISPIR 1" X MF SMS 1" X NP SMS 90° X 1120</v>
      </c>
      <c r="C15056" s="2" t="str">
        <f t="shared" si="590"/>
        <v>UN</v>
      </c>
      <c r="D15056" s="7">
        <v>810</v>
      </c>
      <c r="E15056" s="3">
        <v>10</v>
      </c>
      <c r="F15056" s="3">
        <v>10</v>
      </c>
      <c r="G15056" t="s">
        <v>512</v>
      </c>
    </row>
    <row r="15057" spans="1:7" x14ac:dyDescent="0.25">
      <c r="A15057" s="1" t="str">
        <f>"522741"</f>
        <v>522741</v>
      </c>
      <c r="B15057" s="2" t="str">
        <f>"MANGUEIRA ALISPIR 1"" X MF SMS 1"" X NP SMS 90° X 1140"</f>
        <v>MANGUEIRA ALISPIR 1" X MF SMS 1" X NP SMS 90° X 1140</v>
      </c>
      <c r="C15057" s="2" t="str">
        <f t="shared" si="590"/>
        <v>UN</v>
      </c>
      <c r="D15057" s="7">
        <v>810</v>
      </c>
      <c r="E15057" s="3">
        <v>10</v>
      </c>
      <c r="F15057" s="3">
        <v>10</v>
      </c>
      <c r="G15057" t="s">
        <v>513</v>
      </c>
    </row>
    <row r="15058" spans="1:7" x14ac:dyDescent="0.25">
      <c r="A15058" s="1" t="str">
        <f>"522740"</f>
        <v>522740</v>
      </c>
      <c r="B15058" s="2" t="str">
        <f>"MANGUEIRA ALISPIR 1"" X MF SMS 1"" X NP SMS 90° X 1160"</f>
        <v>MANGUEIRA ALISPIR 1" X MF SMS 1" X NP SMS 90° X 1160</v>
      </c>
      <c r="C15058" s="2" t="str">
        <f t="shared" si="590"/>
        <v>UN</v>
      </c>
      <c r="D15058" s="7">
        <v>810</v>
      </c>
      <c r="E15058" s="3">
        <v>10</v>
      </c>
      <c r="F15058" s="3">
        <v>10</v>
      </c>
      <c r="G15058" t="s">
        <v>514</v>
      </c>
    </row>
    <row r="15059" spans="1:7" x14ac:dyDescent="0.25">
      <c r="A15059" s="1" t="str">
        <f>"522736"</f>
        <v>522736</v>
      </c>
      <c r="B15059" s="2" t="str">
        <f>"MANGUEIRA ALISPIR 1"" X MF SMS 1"" X NP SMS 90° X 950"</f>
        <v>MANGUEIRA ALISPIR 1" X MF SMS 1" X NP SMS 90° X 950</v>
      </c>
      <c r="C15059" s="2" t="str">
        <f t="shared" si="590"/>
        <v>UN</v>
      </c>
      <c r="D15059" s="7">
        <v>810</v>
      </c>
      <c r="E15059" s="3">
        <v>10</v>
      </c>
      <c r="F15059" s="3">
        <v>10</v>
      </c>
      <c r="G15059" t="s">
        <v>514</v>
      </c>
    </row>
    <row r="15060" spans="1:7" x14ac:dyDescent="0.25">
      <c r="A15060" s="1" t="str">
        <f>"522744"</f>
        <v>522744</v>
      </c>
      <c r="B15060" s="2" t="str">
        <f>"MANGUEIRA ALISPIR 1"" X MF SMS 1"" X NP SMS 90° X 960"</f>
        <v>MANGUEIRA ALISPIR 1" X MF SMS 1" X NP SMS 90° X 960</v>
      </c>
      <c r="C15060" s="2" t="str">
        <f t="shared" si="590"/>
        <v>UN</v>
      </c>
      <c r="D15060" s="7">
        <v>810</v>
      </c>
      <c r="E15060" s="3">
        <v>10</v>
      </c>
      <c r="F15060" s="3">
        <v>10</v>
      </c>
      <c r="G15060" t="s">
        <v>514</v>
      </c>
    </row>
    <row r="15061" spans="1:7" x14ac:dyDescent="0.25">
      <c r="A15061" s="1" t="str">
        <f>"509196"</f>
        <v>509196</v>
      </c>
      <c r="B15061" s="2" t="str">
        <f>"MANGUEIRA AR COMPRIMIDO 1"""</f>
        <v>MANGUEIRA AR COMPRIMIDO 1"</v>
      </c>
      <c r="C15061" s="2" t="str">
        <f t="shared" si="590"/>
        <v>UN</v>
      </c>
      <c r="D15061" s="7">
        <v>402</v>
      </c>
      <c r="E15061" s="3">
        <v>4</v>
      </c>
      <c r="F15061" s="3">
        <v>4</v>
      </c>
      <c r="G15061" t="s">
        <v>513</v>
      </c>
    </row>
    <row r="15062" spans="1:7" x14ac:dyDescent="0.25">
      <c r="A15062" s="1" t="str">
        <f>"502776"</f>
        <v>502776</v>
      </c>
      <c r="B15062" s="2" t="str">
        <f>"MANGUEIRA AR COMPRIMIDO 1/2"""</f>
        <v>MANGUEIRA AR COMPRIMIDO 1/2"</v>
      </c>
      <c r="C15062" s="2" t="str">
        <f t="shared" ref="C15062:C15070" si="591">"MT"</f>
        <v>MT</v>
      </c>
      <c r="D15062" s="7">
        <v>810</v>
      </c>
      <c r="E15062" s="3">
        <v>10</v>
      </c>
      <c r="F15062" s="3">
        <v>10</v>
      </c>
      <c r="G15062" t="s">
        <v>513</v>
      </c>
    </row>
    <row r="15063" spans="1:7" x14ac:dyDescent="0.25">
      <c r="A15063" s="1" t="str">
        <f>"508897"</f>
        <v>508897</v>
      </c>
      <c r="B15063" s="2" t="str">
        <f>"MANGUEIRA AR COMPRIMIDO 1/4"""</f>
        <v>MANGUEIRA AR COMPRIMIDO 1/4"</v>
      </c>
      <c r="C15063" s="2" t="str">
        <f t="shared" si="591"/>
        <v>MT</v>
      </c>
      <c r="D15063" s="7">
        <v>810</v>
      </c>
      <c r="E15063" s="3">
        <v>10</v>
      </c>
      <c r="F15063" s="3">
        <v>10</v>
      </c>
      <c r="G15063" t="s">
        <v>513</v>
      </c>
    </row>
    <row r="15064" spans="1:7" x14ac:dyDescent="0.25">
      <c r="A15064" s="1" t="str">
        <f>"502775"</f>
        <v>502775</v>
      </c>
      <c r="B15064" s="2" t="str">
        <f>"MANGUEIRA AR COMPRIMIDO 3/4"""</f>
        <v>MANGUEIRA AR COMPRIMIDO 3/4"</v>
      </c>
      <c r="C15064" s="2" t="str">
        <f t="shared" si="591"/>
        <v>MT</v>
      </c>
      <c r="D15064" s="7">
        <v>810</v>
      </c>
      <c r="E15064" s="3">
        <v>10</v>
      </c>
      <c r="F15064" s="3">
        <v>10</v>
      </c>
      <c r="G15064" t="s">
        <v>512</v>
      </c>
    </row>
    <row r="15065" spans="1:7" x14ac:dyDescent="0.25">
      <c r="A15065" s="1" t="str">
        <f>"502464"</f>
        <v>502464</v>
      </c>
      <c r="B15065" s="2" t="str">
        <f>"MANGUEIRA AR COMPRIMIDO 3/8"""</f>
        <v>MANGUEIRA AR COMPRIMIDO 3/8"</v>
      </c>
      <c r="C15065" s="2" t="str">
        <f t="shared" si="591"/>
        <v>MT</v>
      </c>
      <c r="D15065" s="7">
        <v>810</v>
      </c>
      <c r="E15065" s="3">
        <v>10</v>
      </c>
      <c r="F15065" s="3">
        <v>10</v>
      </c>
      <c r="G15065" t="s">
        <v>513</v>
      </c>
    </row>
    <row r="15066" spans="1:7" x14ac:dyDescent="0.25">
      <c r="A15066" s="1" t="str">
        <f>"505079"</f>
        <v>505079</v>
      </c>
      <c r="B15066" s="2" t="str">
        <f>"MANGUEIRA AR COMPRIMIDO 5/16"""</f>
        <v>MANGUEIRA AR COMPRIMIDO 5/16"</v>
      </c>
      <c r="C15066" s="2" t="str">
        <f t="shared" si="591"/>
        <v>MT</v>
      </c>
      <c r="D15066" s="7">
        <v>810</v>
      </c>
      <c r="E15066" s="3">
        <v>10</v>
      </c>
      <c r="F15066" s="3">
        <v>10</v>
      </c>
      <c r="G15066" t="s">
        <v>514</v>
      </c>
    </row>
    <row r="15067" spans="1:7" x14ac:dyDescent="0.25">
      <c r="A15067" s="1" t="str">
        <f>"518969"</f>
        <v>518969</v>
      </c>
      <c r="B15067" s="2" t="str">
        <f>"MANGUEIRA ATOX.ALIK. 300MM NP SMS 2 1/2"""</f>
        <v>MANGUEIRA ATOX.ALIK. 300MM NP SMS 2 1/2"</v>
      </c>
      <c r="C15067" s="2" t="str">
        <f t="shared" si="591"/>
        <v>MT</v>
      </c>
      <c r="D15067" s="7">
        <v>810</v>
      </c>
      <c r="E15067" s="3">
        <v>10</v>
      </c>
      <c r="F15067" s="3">
        <v>10</v>
      </c>
      <c r="G15067" t="s">
        <v>515</v>
      </c>
    </row>
    <row r="15068" spans="1:7" x14ac:dyDescent="0.25">
      <c r="A15068" s="1" t="str">
        <f>"518968"</f>
        <v>518968</v>
      </c>
      <c r="B15068" s="2" t="str">
        <f>"MANGUEIRA ATOX.ALIK. 300MM NP SMS 2"""</f>
        <v>MANGUEIRA ATOX.ALIK. 300MM NP SMS 2"</v>
      </c>
      <c r="C15068" s="2" t="str">
        <f t="shared" si="591"/>
        <v>MT</v>
      </c>
      <c r="D15068" s="7">
        <v>810</v>
      </c>
      <c r="E15068" s="3">
        <v>10</v>
      </c>
      <c r="F15068" s="3">
        <v>10</v>
      </c>
      <c r="G15068" t="s">
        <v>512</v>
      </c>
    </row>
    <row r="15069" spans="1:7" x14ac:dyDescent="0.25">
      <c r="A15069" s="1" t="str">
        <f>"519248"</f>
        <v>519248</v>
      </c>
      <c r="B15069" s="2" t="str">
        <f>"MANGUEIRA ATOX.ALIK. 320MM NP SMS 2"""</f>
        <v>MANGUEIRA ATOX.ALIK. 320MM NP SMS 2"</v>
      </c>
      <c r="C15069" s="2" t="str">
        <f t="shared" si="591"/>
        <v>MT</v>
      </c>
      <c r="D15069" s="7">
        <v>810</v>
      </c>
      <c r="E15069" s="3">
        <v>10</v>
      </c>
      <c r="F15069" s="3">
        <v>10</v>
      </c>
      <c r="G15069" t="s">
        <v>516</v>
      </c>
    </row>
    <row r="15070" spans="1:7" x14ac:dyDescent="0.25">
      <c r="A15070" s="1" t="str">
        <f>"518966"</f>
        <v>518966</v>
      </c>
      <c r="B15070" s="2" t="str">
        <f>"MANGUEIRA ATOX.ALIK. 400MM NP SMS 2"""</f>
        <v>MANGUEIRA ATOX.ALIK. 400MM NP SMS 2"</v>
      </c>
      <c r="C15070" s="2" t="str">
        <f t="shared" si="591"/>
        <v>MT</v>
      </c>
      <c r="D15070" s="7">
        <v>810</v>
      </c>
      <c r="E15070" s="3">
        <v>10</v>
      </c>
      <c r="F15070" s="3">
        <v>10</v>
      </c>
      <c r="G15070" t="s">
        <v>515</v>
      </c>
    </row>
    <row r="15071" spans="1:7" x14ac:dyDescent="0.25">
      <c r="A15071" s="1" t="str">
        <f>"516545"</f>
        <v>516545</v>
      </c>
      <c r="B15071" s="2" t="str">
        <f>"MANGUEIRA ATOX.ALIK. 400MM TC 2"""</f>
        <v>MANGUEIRA ATOX.ALIK. 400MM TC 2"</v>
      </c>
      <c r="C15071" s="2" t="str">
        <f>"PÇ"</f>
        <v>PÇ</v>
      </c>
      <c r="D15071" s="7">
        <v>810</v>
      </c>
      <c r="E15071" s="3">
        <v>10</v>
      </c>
      <c r="F15071" s="3">
        <v>10</v>
      </c>
      <c r="G15071" t="s">
        <v>514</v>
      </c>
    </row>
    <row r="15072" spans="1:7" x14ac:dyDescent="0.25">
      <c r="A15072" s="1" t="str">
        <f>"518967"</f>
        <v>518967</v>
      </c>
      <c r="B15072" s="2" t="str">
        <f>"MANGUEIRA ATOX.ALIK. 450MM NP SMS 2"""</f>
        <v>MANGUEIRA ATOX.ALIK. 450MM NP SMS 2"</v>
      </c>
      <c r="C15072" s="2" t="str">
        <f>"MT"</f>
        <v>MT</v>
      </c>
      <c r="D15072" s="7">
        <v>810</v>
      </c>
      <c r="E15072" s="3">
        <v>10</v>
      </c>
      <c r="F15072" s="3">
        <v>10</v>
      </c>
      <c r="G15072" t="s">
        <v>512</v>
      </c>
    </row>
    <row r="15073" spans="1:7" x14ac:dyDescent="0.25">
      <c r="A15073" s="1" t="str">
        <f>"511915"</f>
        <v>511915</v>
      </c>
      <c r="B15073" s="2" t="str">
        <f>"MANGUEIRA ATOX.ALIK. 500MM NP SMS 2 1/2"""</f>
        <v>MANGUEIRA ATOX.ALIK. 500MM NP SMS 2 1/2"</v>
      </c>
      <c r="C15073" s="2" t="str">
        <f>"MT"</f>
        <v>MT</v>
      </c>
      <c r="D15073" s="7">
        <v>810</v>
      </c>
      <c r="E15073" s="3">
        <v>10</v>
      </c>
      <c r="F15073" s="3">
        <v>10</v>
      </c>
      <c r="G15073" t="s">
        <v>513</v>
      </c>
    </row>
    <row r="15074" spans="1:7" x14ac:dyDescent="0.25">
      <c r="A15074" s="1" t="str">
        <f>"511914"</f>
        <v>511914</v>
      </c>
      <c r="B15074" s="2" t="str">
        <f>"MANGUEIRA ATOX.ALIK. 500MM NP SMS 2"""</f>
        <v>MANGUEIRA ATOX.ALIK. 500MM NP SMS 2"</v>
      </c>
      <c r="C15074" s="2" t="str">
        <f>"MT"</f>
        <v>MT</v>
      </c>
      <c r="D15074" s="7">
        <v>810</v>
      </c>
      <c r="E15074" s="3">
        <v>10</v>
      </c>
      <c r="F15074" s="3">
        <v>10</v>
      </c>
      <c r="G15074" t="s">
        <v>514</v>
      </c>
    </row>
    <row r="15075" spans="1:7" x14ac:dyDescent="0.25">
      <c r="A15075" s="1" t="str">
        <f>"510978"</f>
        <v>510978</v>
      </c>
      <c r="B15075" s="2" t="str">
        <f>"MANGUEIRA ATOX.ALIK. 500MM NP SMS 3"""</f>
        <v>MANGUEIRA ATOX.ALIK. 500MM NP SMS 3"</v>
      </c>
      <c r="C15075" s="2" t="str">
        <f>"UN"</f>
        <v>UN</v>
      </c>
      <c r="D15075" s="7">
        <v>915</v>
      </c>
      <c r="E15075" s="3">
        <v>11</v>
      </c>
      <c r="F15075" s="3">
        <v>11</v>
      </c>
      <c r="G15075" t="s">
        <v>514</v>
      </c>
    </row>
    <row r="15076" spans="1:7" x14ac:dyDescent="0.25">
      <c r="A15076" s="1" t="str">
        <f>"516546"</f>
        <v>516546</v>
      </c>
      <c r="B15076" s="2" t="str">
        <f>"MANGUEIRA ATOX.ALIK. 500MM TC 2 1/2"""</f>
        <v>MANGUEIRA ATOX.ALIK. 500MM TC 2 1/2"</v>
      </c>
      <c r="C15076" s="2" t="str">
        <f>"PÇ"</f>
        <v>PÇ</v>
      </c>
      <c r="D15076" s="7">
        <v>810</v>
      </c>
      <c r="E15076" s="3">
        <v>10</v>
      </c>
      <c r="F15076" s="3">
        <v>10</v>
      </c>
      <c r="G15076" t="s">
        <v>512</v>
      </c>
    </row>
    <row r="15077" spans="1:7" x14ac:dyDescent="0.25">
      <c r="A15077" s="1" t="str">
        <f>"516849"</f>
        <v>516849</v>
      </c>
      <c r="B15077" s="2" t="str">
        <f>"MANGUEIRA ATOX.ALIK. 500MM TC 2"""</f>
        <v>MANGUEIRA ATOX.ALIK. 500MM TC 2"</v>
      </c>
      <c r="C15077" s="2" t="str">
        <f>"PÇ"</f>
        <v>PÇ</v>
      </c>
      <c r="D15077" s="7">
        <v>810</v>
      </c>
      <c r="E15077" s="3">
        <v>10</v>
      </c>
      <c r="F15077" s="3">
        <v>10</v>
      </c>
      <c r="G15077" t="s">
        <v>513</v>
      </c>
    </row>
    <row r="15078" spans="1:7" x14ac:dyDescent="0.25">
      <c r="A15078" s="1" t="str">
        <f>"516848"</f>
        <v>516848</v>
      </c>
      <c r="B15078" s="2" t="str">
        <f>"MANGUEIRA ATOX.ALIK. 500MM TC 3"""</f>
        <v>MANGUEIRA ATOX.ALIK. 500MM TC 3"</v>
      </c>
      <c r="C15078" s="2" t="str">
        <f>"PÇ"</f>
        <v>PÇ</v>
      </c>
      <c r="D15078" s="7">
        <v>810</v>
      </c>
      <c r="E15078" s="3">
        <v>10</v>
      </c>
      <c r="F15078" s="3">
        <v>10</v>
      </c>
      <c r="G15078" t="s">
        <v>514</v>
      </c>
    </row>
    <row r="15079" spans="1:7" x14ac:dyDescent="0.25">
      <c r="A15079" s="1" t="str">
        <f>"520435"</f>
        <v>520435</v>
      </c>
      <c r="B15079" s="2" t="str">
        <f>"MANGUEIRA ATOXICA ALIKLER 1 1/2 C/ARAME  2"" NP SMS 6 METROS"</f>
        <v>MANGUEIRA ATOXICA ALIKLER 1 1/2 C/ARAME  2" NP SMS 6 METROS</v>
      </c>
      <c r="C15079" s="2" t="str">
        <f>"MT"</f>
        <v>MT</v>
      </c>
      <c r="D15079" s="7">
        <v>810</v>
      </c>
      <c r="E15079" s="3">
        <v>10</v>
      </c>
      <c r="F15079" s="3">
        <v>10</v>
      </c>
      <c r="G15079" t="s">
        <v>514</v>
      </c>
    </row>
    <row r="15080" spans="1:7" x14ac:dyDescent="0.25">
      <c r="A15080" s="1" t="str">
        <f>"527698"</f>
        <v>527698</v>
      </c>
      <c r="B15080" s="2" t="str">
        <f>"MANGUEIRA ATOXICA ALIKLER 1 1/2"" 13 METROS"</f>
        <v>MANGUEIRA ATOXICA ALIKLER 1 1/2" 13 METROS</v>
      </c>
      <c r="C15080" s="2" t="str">
        <f>"MT"</f>
        <v>MT</v>
      </c>
      <c r="D15080" s="7">
        <v>810</v>
      </c>
      <c r="E15080" s="3">
        <v>10</v>
      </c>
      <c r="F15080" s="3">
        <v>10</v>
      </c>
      <c r="G15080" t="s">
        <v>514</v>
      </c>
    </row>
    <row r="15081" spans="1:7" x14ac:dyDescent="0.25">
      <c r="A15081" s="1" t="str">
        <f>"526413"</f>
        <v>526413</v>
      </c>
      <c r="B15081" s="2" t="str">
        <f>"MANGUEIRA ATOXICA ALIKLER 1 1/2"" 15 METROS"</f>
        <v>MANGUEIRA ATOXICA ALIKLER 1 1/2" 15 METROS</v>
      </c>
      <c r="C15081" s="2" t="str">
        <f>"PÇ"</f>
        <v>PÇ</v>
      </c>
      <c r="D15081" s="7">
        <v>810</v>
      </c>
      <c r="E15081" s="3">
        <v>10</v>
      </c>
      <c r="F15081" s="3">
        <v>10</v>
      </c>
      <c r="G15081" t="s">
        <v>513</v>
      </c>
    </row>
    <row r="15082" spans="1:7" x14ac:dyDescent="0.25">
      <c r="A15082" s="1" t="str">
        <f>"527699"</f>
        <v>527699</v>
      </c>
      <c r="B15082" s="2" t="str">
        <f>"MANGUEIRA ATOXICA ALIKLER 1 1/2"" 15 METROS"</f>
        <v>MANGUEIRA ATOXICA ALIKLER 1 1/2" 15 METROS</v>
      </c>
      <c r="C15082" s="2" t="str">
        <f>"MT"</f>
        <v>MT</v>
      </c>
      <c r="D15082" s="7">
        <v>810</v>
      </c>
      <c r="E15082" s="3">
        <v>10</v>
      </c>
      <c r="F15082" s="3">
        <v>10</v>
      </c>
      <c r="G15082" t="s">
        <v>512</v>
      </c>
    </row>
    <row r="15083" spans="1:7" x14ac:dyDescent="0.25">
      <c r="A15083" s="1" t="str">
        <f>"523125"</f>
        <v>523125</v>
      </c>
      <c r="B15083" s="2" t="str">
        <f>"MANGUEIRA ATOXICA ALIKLER 1 1/2"" NP 2"" SMS 12MT + ANEL PROTE"</f>
        <v>MANGUEIRA ATOXICA ALIKLER 1 1/2" NP 2" SMS 12MT + ANEL PROTE</v>
      </c>
      <c r="C15083" s="2" t="str">
        <f>"PC"</f>
        <v>PC</v>
      </c>
      <c r="D15083" s="7">
        <v>810</v>
      </c>
      <c r="E15083" s="3">
        <v>10</v>
      </c>
      <c r="F15083" s="3">
        <v>10</v>
      </c>
      <c r="G15083" t="s">
        <v>513</v>
      </c>
    </row>
    <row r="15084" spans="1:7" x14ac:dyDescent="0.25">
      <c r="A15084" s="1" t="str">
        <f>"526409"</f>
        <v>526409</v>
      </c>
      <c r="B15084" s="2" t="str">
        <f>"MANGUEIRA ATOXICA ALIKLER 1 1/2"" NP SMS 2"" 12 METROS"</f>
        <v>MANGUEIRA ATOXICA ALIKLER 1 1/2" NP SMS 2" 12 METROS</v>
      </c>
      <c r="C15084" s="2" t="str">
        <f>"PÇ"</f>
        <v>PÇ</v>
      </c>
      <c r="D15084" s="7">
        <v>810</v>
      </c>
      <c r="E15084" s="3">
        <v>10</v>
      </c>
      <c r="F15084" s="3">
        <v>10</v>
      </c>
      <c r="G15084" t="s">
        <v>514</v>
      </c>
    </row>
    <row r="15085" spans="1:7" x14ac:dyDescent="0.25">
      <c r="A15085" s="1" t="str">
        <f>"524647"</f>
        <v>524647</v>
      </c>
      <c r="B15085" s="2" t="str">
        <f>"MANGUEIRA ATOXICA ALIKLER 1""1/2 NP SMS 1"" 1 METRO"</f>
        <v>MANGUEIRA ATOXICA ALIKLER 1"1/2 NP SMS 1" 1 METRO</v>
      </c>
      <c r="C15085" s="2" t="str">
        <f>"MT"</f>
        <v>MT</v>
      </c>
      <c r="D15085" s="7">
        <v>810</v>
      </c>
      <c r="E15085" s="3">
        <v>10</v>
      </c>
      <c r="F15085" s="3">
        <v>10</v>
      </c>
      <c r="G15085" t="s">
        <v>514</v>
      </c>
    </row>
    <row r="15086" spans="1:7" x14ac:dyDescent="0.25">
      <c r="A15086" s="1" t="str">
        <f>"512122"</f>
        <v>512122</v>
      </c>
      <c r="B15086" s="2" t="str">
        <f>"MANGUEIRA ATOXICA ALIKLER 1""1/2 NP SMS 12MT + ANEL PROTEÇÃO"</f>
        <v>MANGUEIRA ATOXICA ALIKLER 1"1/2 NP SMS 12MT + ANEL PROTEÇÃO</v>
      </c>
      <c r="C15086" s="2" t="str">
        <f>"MT"</f>
        <v>MT</v>
      </c>
      <c r="D15086" s="7">
        <v>810</v>
      </c>
      <c r="E15086" s="3">
        <v>10</v>
      </c>
      <c r="F15086" s="3">
        <v>10</v>
      </c>
      <c r="G15086" t="s">
        <v>514</v>
      </c>
    </row>
    <row r="15087" spans="1:7" x14ac:dyDescent="0.25">
      <c r="A15087" s="1" t="str">
        <f>"519379"</f>
        <v>519379</v>
      </c>
      <c r="B15087" s="2" t="str">
        <f>"MANGUEIRA ATOXICA ALIKLER 1""1/2 NP SMS 2"" 1 METRO"</f>
        <v>MANGUEIRA ATOXICA ALIKLER 1"1/2 NP SMS 2" 1 METRO</v>
      </c>
      <c r="C15087" s="2" t="str">
        <f>"MT"</f>
        <v>MT</v>
      </c>
      <c r="D15087" s="7">
        <v>810</v>
      </c>
      <c r="E15087" s="3">
        <v>10</v>
      </c>
      <c r="F15087" s="3">
        <v>10</v>
      </c>
      <c r="G15087" t="s">
        <v>513</v>
      </c>
    </row>
    <row r="15088" spans="1:7" x14ac:dyDescent="0.25">
      <c r="A15088" s="1" t="str">
        <f>"519169"</f>
        <v>519169</v>
      </c>
      <c r="B15088" s="2" t="str">
        <f>"MANGUEIRA ATOXICA ALIKLER 2 1/2"" NP SMS 10 METROS"</f>
        <v>MANGUEIRA ATOXICA ALIKLER 2 1/2" NP SMS 10 METROS</v>
      </c>
      <c r="C15088" s="2" t="str">
        <f>"MT"</f>
        <v>MT</v>
      </c>
      <c r="D15088" s="7">
        <v>810</v>
      </c>
      <c r="E15088" s="3">
        <v>10</v>
      </c>
      <c r="F15088" s="3">
        <v>10</v>
      </c>
      <c r="G15088" t="s">
        <v>513</v>
      </c>
    </row>
    <row r="15089" spans="1:7" x14ac:dyDescent="0.25">
      <c r="A15089" s="1" t="str">
        <f>"526412"</f>
        <v>526412</v>
      </c>
      <c r="B15089" s="2" t="str">
        <f>"MANGUEIRA ATOXICA ALIKLER 2"" 17 METROS"</f>
        <v>MANGUEIRA ATOXICA ALIKLER 2" 17 METROS</v>
      </c>
      <c r="C15089" s="2" t="str">
        <f>"PÇ"</f>
        <v>PÇ</v>
      </c>
      <c r="D15089" s="7">
        <v>810</v>
      </c>
      <c r="E15089" s="3">
        <v>10</v>
      </c>
      <c r="F15089" s="3">
        <v>10</v>
      </c>
      <c r="G15089" t="s">
        <v>513</v>
      </c>
    </row>
    <row r="15090" spans="1:7" x14ac:dyDescent="0.25">
      <c r="A15090" s="1" t="str">
        <f>"527700"</f>
        <v>527700</v>
      </c>
      <c r="B15090" s="2" t="str">
        <f>"MANGUEIRA ATOXICA ALIKLER 2"" 20 METROS"</f>
        <v>MANGUEIRA ATOXICA ALIKLER 2" 20 METROS</v>
      </c>
      <c r="C15090" s="2" t="str">
        <f>"MT"</f>
        <v>MT</v>
      </c>
      <c r="D15090" s="7">
        <v>810</v>
      </c>
      <c r="E15090" s="3">
        <v>10</v>
      </c>
      <c r="F15090" s="3">
        <v>10</v>
      </c>
      <c r="G15090" t="s">
        <v>512</v>
      </c>
    </row>
    <row r="15091" spans="1:7" x14ac:dyDescent="0.25">
      <c r="A15091" s="1" t="str">
        <f>"527987"</f>
        <v>527987</v>
      </c>
      <c r="B15091" s="2" t="str">
        <f>"MANGUEIRA ATOXICA ALIKLER 2"" NP SMS 2"" 1 METRO"</f>
        <v>MANGUEIRA ATOXICA ALIKLER 2" NP SMS 2" 1 METRO</v>
      </c>
      <c r="C15091" s="2" t="str">
        <f>"PÇ"</f>
        <v>PÇ</v>
      </c>
      <c r="D15091" s="7">
        <v>810</v>
      </c>
      <c r="E15091" s="3">
        <v>10</v>
      </c>
      <c r="F15091" s="3">
        <v>10</v>
      </c>
      <c r="G15091" t="s">
        <v>513</v>
      </c>
    </row>
    <row r="15092" spans="1:7" x14ac:dyDescent="0.25">
      <c r="A15092" s="1" t="str">
        <f>"519078"</f>
        <v>519078</v>
      </c>
      <c r="B15092" s="2" t="str">
        <f>"MANGUEIRA ATOXICA ALIKLER 2"" NP SMS 2"" 12 METROS"</f>
        <v>MANGUEIRA ATOXICA ALIKLER 2" NP SMS 2" 12 METROS</v>
      </c>
      <c r="C15092" s="2" t="str">
        <f>"MT"</f>
        <v>MT</v>
      </c>
      <c r="D15092" s="7">
        <v>810</v>
      </c>
      <c r="E15092" s="3">
        <v>10</v>
      </c>
      <c r="F15092" s="3">
        <v>10</v>
      </c>
      <c r="G15092" t="s">
        <v>514</v>
      </c>
    </row>
    <row r="15093" spans="1:7" x14ac:dyDescent="0.25">
      <c r="A15093" s="1" t="str">
        <f>"506383"</f>
        <v>506383</v>
      </c>
      <c r="B15093" s="2" t="str">
        <f>"MANGUEIRA ATOXICA ALIKLER 2"" NP SMS 2"" 15 METROS"</f>
        <v>MANGUEIRA ATOXICA ALIKLER 2" NP SMS 2" 15 METROS</v>
      </c>
      <c r="C15093" s="2" t="str">
        <f>"MT"</f>
        <v>MT</v>
      </c>
      <c r="D15093" s="7">
        <v>810</v>
      </c>
      <c r="E15093" s="3">
        <v>10</v>
      </c>
      <c r="F15093" s="3">
        <v>10</v>
      </c>
      <c r="G15093" t="s">
        <v>515</v>
      </c>
    </row>
    <row r="15094" spans="1:7" x14ac:dyDescent="0.25">
      <c r="A15094" s="1" t="str">
        <f>"527985"</f>
        <v>527985</v>
      </c>
      <c r="B15094" s="2" t="str">
        <f>"MANGUEIRA ATOXICA ALIKLER 2"" NP SMS 2"" 2 METROS"</f>
        <v>MANGUEIRA ATOXICA ALIKLER 2" NP SMS 2" 2 METROS</v>
      </c>
      <c r="C15094" s="2" t="str">
        <f t="shared" ref="C15094:C15100" si="592">"PÇ"</f>
        <v>PÇ</v>
      </c>
      <c r="D15094" s="7">
        <v>810</v>
      </c>
      <c r="E15094" s="3">
        <v>10</v>
      </c>
      <c r="F15094" s="3">
        <v>10</v>
      </c>
      <c r="G15094" t="s">
        <v>512</v>
      </c>
    </row>
    <row r="15095" spans="1:7" x14ac:dyDescent="0.25">
      <c r="A15095" s="1" t="str">
        <f>"527986"</f>
        <v>527986</v>
      </c>
      <c r="B15095" s="2" t="str">
        <f>"MANGUEIRA ATOXICA ALIKLER 2"" NP SMS 2"" 3 METROS"</f>
        <v>MANGUEIRA ATOXICA ALIKLER 2" NP SMS 2" 3 METROS</v>
      </c>
      <c r="C15095" s="2" t="str">
        <f t="shared" si="592"/>
        <v>PÇ</v>
      </c>
      <c r="D15095" s="7">
        <v>810</v>
      </c>
      <c r="E15095" s="3">
        <v>10</v>
      </c>
      <c r="F15095" s="3">
        <v>10</v>
      </c>
      <c r="G15095" t="s">
        <v>516</v>
      </c>
    </row>
    <row r="15096" spans="1:7" x14ac:dyDescent="0.25">
      <c r="A15096" s="1" t="str">
        <f>"526411"</f>
        <v>526411</v>
      </c>
      <c r="B15096" s="2" t="str">
        <f>"MANGUEIRA ATOXICA ALIKLER 2"" NP SMS 2"" 4 METROS"</f>
        <v>MANGUEIRA ATOXICA ALIKLER 2" NP SMS 2" 4 METROS</v>
      </c>
      <c r="C15096" s="2" t="str">
        <f t="shared" si="592"/>
        <v>PÇ</v>
      </c>
      <c r="D15096" s="7">
        <v>810</v>
      </c>
      <c r="E15096" s="3">
        <v>10</v>
      </c>
      <c r="F15096" s="3">
        <v>10</v>
      </c>
      <c r="G15096" t="s">
        <v>515</v>
      </c>
    </row>
    <row r="15097" spans="1:7" x14ac:dyDescent="0.25">
      <c r="A15097" s="1" t="str">
        <f>"526410"</f>
        <v>526410</v>
      </c>
      <c r="B15097" s="2" t="str">
        <f>"MANGUEIRA ATOXICA ALIKLER 2"" NP SMS 2"" 6 METROS"</f>
        <v>MANGUEIRA ATOXICA ALIKLER 2" NP SMS 2" 6 METROS</v>
      </c>
      <c r="C15097" s="2" t="str">
        <f t="shared" si="592"/>
        <v>PÇ</v>
      </c>
      <c r="D15097" s="7">
        <v>810</v>
      </c>
      <c r="E15097" s="3">
        <v>10</v>
      </c>
      <c r="F15097" s="3">
        <v>10</v>
      </c>
      <c r="G15097" t="s">
        <v>514</v>
      </c>
    </row>
    <row r="15098" spans="1:7" x14ac:dyDescent="0.25">
      <c r="A15098" s="1" t="str">
        <f>"516127"</f>
        <v>516127</v>
      </c>
      <c r="B15098" s="2" t="str">
        <f>"MANGUEIRA ATOXICA ALIKLER 2"" NP SMS 300MM"</f>
        <v>MANGUEIRA ATOXICA ALIKLER 2" NP SMS 300MM</v>
      </c>
      <c r="C15098" s="2" t="str">
        <f t="shared" si="592"/>
        <v>PÇ</v>
      </c>
      <c r="D15098" s="7">
        <v>810</v>
      </c>
      <c r="E15098" s="3">
        <v>10</v>
      </c>
      <c r="F15098" s="3">
        <v>10</v>
      </c>
      <c r="G15098" t="s">
        <v>512</v>
      </c>
    </row>
    <row r="15099" spans="1:7" x14ac:dyDescent="0.25">
      <c r="A15099" s="1" t="str">
        <f>"519723"</f>
        <v>519723</v>
      </c>
      <c r="B15099" s="2" t="str">
        <f>"MANGUEIRA ATOXICA ALIKLER 2"" NP SMS 430MM"</f>
        <v>MANGUEIRA ATOXICA ALIKLER 2" NP SMS 430MM</v>
      </c>
      <c r="C15099" s="2" t="str">
        <f t="shared" si="592"/>
        <v>PÇ</v>
      </c>
      <c r="D15099" s="7">
        <v>810</v>
      </c>
      <c r="E15099" s="3">
        <v>10</v>
      </c>
      <c r="F15099" s="3">
        <v>10</v>
      </c>
      <c r="G15099" t="s">
        <v>513</v>
      </c>
    </row>
    <row r="15100" spans="1:7" x14ac:dyDescent="0.25">
      <c r="A15100" s="1" t="str">
        <f>"519380"</f>
        <v>519380</v>
      </c>
      <c r="B15100" s="2" t="str">
        <f>"MANGUEIRA ATOXICA ALIKLER 2"" NP SMS 500MM"</f>
        <v>MANGUEIRA ATOXICA ALIKLER 2" NP SMS 500MM</v>
      </c>
      <c r="C15100" s="2" t="str">
        <f t="shared" si="592"/>
        <v>PÇ</v>
      </c>
      <c r="D15100" s="7">
        <v>810</v>
      </c>
      <c r="E15100" s="3">
        <v>10</v>
      </c>
      <c r="F15100" s="3">
        <v>10</v>
      </c>
      <c r="G15100" t="s">
        <v>514</v>
      </c>
    </row>
    <row r="15101" spans="1:7" x14ac:dyDescent="0.25">
      <c r="A15101" s="1" t="str">
        <f>"506384"</f>
        <v>506384</v>
      </c>
      <c r="B15101" s="2" t="str">
        <f>"MANGUEIRA ATOXICA ALIKLER 2""1/2NP SMS 2L"</f>
        <v>MANGUEIRA ATOXICA ALIKLER 2"1/2NP SMS 2L</v>
      </c>
      <c r="C15101" s="2" t="str">
        <f>"MT"</f>
        <v>MT</v>
      </c>
      <c r="D15101" s="7">
        <v>810</v>
      </c>
      <c r="E15101" s="3">
        <v>10</v>
      </c>
      <c r="F15101" s="3">
        <v>10</v>
      </c>
      <c r="G15101" t="s">
        <v>514</v>
      </c>
    </row>
    <row r="15102" spans="1:7" x14ac:dyDescent="0.25">
      <c r="A15102" s="1" t="str">
        <f>"527872"</f>
        <v>527872</v>
      </c>
      <c r="B15102" s="2" t="str">
        <f>"MANGUEIRA ATOXICA ALIKLER 4"" NP SMS 4"" 0,5 METRO"</f>
        <v>MANGUEIRA ATOXICA ALIKLER 4" NP SMS 4" 0,5 METRO</v>
      </c>
      <c r="C15102" s="2" t="str">
        <f>"MT"</f>
        <v>MT</v>
      </c>
      <c r="D15102" s="7">
        <v>810</v>
      </c>
      <c r="E15102" s="3">
        <v>10</v>
      </c>
      <c r="F15102" s="3">
        <v>10</v>
      </c>
      <c r="G15102" t="s">
        <v>512</v>
      </c>
    </row>
    <row r="15103" spans="1:7" x14ac:dyDescent="0.25">
      <c r="A15103" s="1" t="str">
        <f>"527873"</f>
        <v>527873</v>
      </c>
      <c r="B15103" s="2" t="str">
        <f>"MANGUEIRA ATOXICA ALIKLER 4"" NP SMS 4"" 1,30 METRO"</f>
        <v>MANGUEIRA ATOXICA ALIKLER 4" NP SMS 4" 1,30 METRO</v>
      </c>
      <c r="C15103" s="2" t="str">
        <f>"MT"</f>
        <v>MT</v>
      </c>
      <c r="D15103" s="7">
        <v>810</v>
      </c>
      <c r="E15103" s="3">
        <v>10</v>
      </c>
      <c r="F15103" s="3">
        <v>10</v>
      </c>
      <c r="G15103" t="s">
        <v>513</v>
      </c>
    </row>
    <row r="15104" spans="1:7" x14ac:dyDescent="0.25">
      <c r="A15104" s="1" t="str">
        <f>"516477"</f>
        <v>516477</v>
      </c>
      <c r="B15104" s="2" t="str">
        <f>"MANGUEIRA ATOXICA ALIKLER AZ 2"" NP SMS 01MT S/ ANEL PROTEÇÃO"</f>
        <v>MANGUEIRA ATOXICA ALIKLER AZ 2" NP SMS 01MT S/ ANEL PROTEÇÃO</v>
      </c>
      <c r="C15104" s="2" t="str">
        <f>"UN"</f>
        <v>UN</v>
      </c>
      <c r="D15104" s="7">
        <v>915</v>
      </c>
      <c r="E15104" s="3">
        <v>10</v>
      </c>
      <c r="F15104" s="3">
        <v>10</v>
      </c>
      <c r="G15104" t="s">
        <v>514</v>
      </c>
    </row>
    <row r="15105" spans="1:7" x14ac:dyDescent="0.25">
      <c r="A15105" s="1" t="str">
        <f>"516202"</f>
        <v>516202</v>
      </c>
      <c r="B15105" s="2" t="str">
        <f>"MANGUEIRA ATOXICA ALIKLER AZ 2"" NP SMS 02MT + ANEL PROTEÇÃO"</f>
        <v>MANGUEIRA ATOXICA ALIKLER AZ 2" NP SMS 02MT + ANEL PROTEÇÃO</v>
      </c>
      <c r="C15105" s="2" t="str">
        <f>"MT"</f>
        <v>MT</v>
      </c>
      <c r="D15105" s="7">
        <v>810</v>
      </c>
      <c r="E15105" s="3">
        <v>10</v>
      </c>
      <c r="F15105" s="3">
        <v>10</v>
      </c>
      <c r="G15105" t="s">
        <v>514</v>
      </c>
    </row>
    <row r="15106" spans="1:7" x14ac:dyDescent="0.25">
      <c r="A15106" s="1" t="str">
        <f>"516203"</f>
        <v>516203</v>
      </c>
      <c r="B15106" s="2" t="str">
        <f>"MANGUEIRA ATOXICA ALIKLER AZ 2"" NP SMS 03MT + ANEL PRETEÇÃO"</f>
        <v>MANGUEIRA ATOXICA ALIKLER AZ 2" NP SMS 03MT + ANEL PRETEÇÃO</v>
      </c>
      <c r="C15106" s="2" t="str">
        <f>"MT"</f>
        <v>MT</v>
      </c>
      <c r="D15106" s="7">
        <v>810</v>
      </c>
      <c r="E15106" s="3">
        <v>10</v>
      </c>
      <c r="F15106" s="3">
        <v>10</v>
      </c>
      <c r="G15106" t="s">
        <v>514</v>
      </c>
    </row>
    <row r="15107" spans="1:7" x14ac:dyDescent="0.25">
      <c r="A15107" s="1" t="str">
        <f>"516254"</f>
        <v>516254</v>
      </c>
      <c r="B15107" s="2" t="str">
        <f>"MANGUEIRA ATOXICA ALIKLER AZ 2"" NP SMS 04MT + ANEL PROTEÇÃO"</f>
        <v>MANGUEIRA ATOXICA ALIKLER AZ 2" NP SMS 04MT + ANEL PROTEÇÃO</v>
      </c>
      <c r="C15107" s="2" t="str">
        <f>"PC"</f>
        <v>PC</v>
      </c>
      <c r="D15107" s="7">
        <v>810</v>
      </c>
      <c r="E15107" s="3">
        <v>10</v>
      </c>
      <c r="F15107" s="3">
        <v>10</v>
      </c>
      <c r="G15107" t="s">
        <v>513</v>
      </c>
    </row>
    <row r="15108" spans="1:7" x14ac:dyDescent="0.25">
      <c r="A15108" s="1" t="str">
        <f>"516253"</f>
        <v>516253</v>
      </c>
      <c r="B15108" s="2" t="str">
        <f>"MANGUEIRA ATOXICA ALIKLER AZ 2"" NP SMS 06MT + ANEL PROTEÇÃO"</f>
        <v>MANGUEIRA ATOXICA ALIKLER AZ 2" NP SMS 06MT + ANEL PROTEÇÃO</v>
      </c>
      <c r="C15108" s="2" t="str">
        <f>"PC"</f>
        <v>PC</v>
      </c>
      <c r="D15108" s="7">
        <v>810</v>
      </c>
      <c r="E15108" s="3">
        <v>10</v>
      </c>
      <c r="F15108" s="3">
        <v>10</v>
      </c>
      <c r="G15108" t="s">
        <v>512</v>
      </c>
    </row>
    <row r="15109" spans="1:7" x14ac:dyDescent="0.25">
      <c r="A15109" s="1" t="str">
        <f>"517205"</f>
        <v>517205</v>
      </c>
      <c r="B15109" s="2" t="str">
        <f>"MANGUEIRA ATOXICA ALIKLER AZ 2"" NP SMS 10MT + ANEL PROTEÇÃO"</f>
        <v>MANGUEIRA ATOXICA ALIKLER AZ 2" NP SMS 10MT + ANEL PROTEÇÃO</v>
      </c>
      <c r="C15109" s="2" t="str">
        <f t="shared" ref="C15109:C15115" si="593">"UN"</f>
        <v>UN</v>
      </c>
      <c r="D15109" s="7">
        <v>915</v>
      </c>
      <c r="E15109" s="3">
        <v>10</v>
      </c>
      <c r="F15109" s="3">
        <v>10</v>
      </c>
      <c r="G15109" t="s">
        <v>513</v>
      </c>
    </row>
    <row r="15110" spans="1:7" x14ac:dyDescent="0.25">
      <c r="A15110" s="1" t="str">
        <f>"521379"</f>
        <v>521379</v>
      </c>
      <c r="B15110" s="2" t="str">
        <f>"MANGUEIRA ATOXICA ALIKLER AZ 2"" NP SMS 12MT + ANEL PROTEÇÃO"</f>
        <v>MANGUEIRA ATOXICA ALIKLER AZ 2" NP SMS 12MT + ANEL PROTEÇÃO</v>
      </c>
      <c r="C15110" s="2" t="str">
        <f t="shared" si="593"/>
        <v>UN</v>
      </c>
      <c r="D15110" s="7">
        <v>915</v>
      </c>
      <c r="E15110" s="3">
        <v>10</v>
      </c>
      <c r="F15110" s="3">
        <v>10</v>
      </c>
      <c r="G15110" t="s">
        <v>514</v>
      </c>
    </row>
    <row r="15111" spans="1:7" x14ac:dyDescent="0.25">
      <c r="A15111" s="1" t="str">
        <f>"522298"</f>
        <v>522298</v>
      </c>
      <c r="B15111" s="2" t="str">
        <f>"MANGUEIRA ATOXICA CITERDIAL 1"" NP SMS MACHO 2 METROS"</f>
        <v>MANGUEIRA ATOXICA CITERDIAL 1" NP SMS MACHO 2 METROS</v>
      </c>
      <c r="C15111" s="2" t="str">
        <f t="shared" si="593"/>
        <v>UN</v>
      </c>
      <c r="D15111" s="7">
        <v>810</v>
      </c>
      <c r="E15111" s="3">
        <v>10</v>
      </c>
      <c r="F15111" s="3">
        <v>10</v>
      </c>
      <c r="G15111" t="s">
        <v>514</v>
      </c>
    </row>
    <row r="15112" spans="1:7" x14ac:dyDescent="0.25">
      <c r="A15112" s="1" t="str">
        <f>"522299"</f>
        <v>522299</v>
      </c>
      <c r="B15112" s="2" t="str">
        <f>"MANGUEIRA ATOXICA CITERDIAL 1"" NP SMS MACHO 3 METROS"</f>
        <v>MANGUEIRA ATOXICA CITERDIAL 1" NP SMS MACHO 3 METROS</v>
      </c>
      <c r="C15112" s="2" t="str">
        <f t="shared" si="593"/>
        <v>UN</v>
      </c>
      <c r="D15112" s="7">
        <v>810</v>
      </c>
      <c r="E15112" s="3">
        <v>10</v>
      </c>
      <c r="F15112" s="3">
        <v>10</v>
      </c>
      <c r="G15112" t="s">
        <v>514</v>
      </c>
    </row>
    <row r="15113" spans="1:7" x14ac:dyDescent="0.25">
      <c r="A15113" s="1" t="str">
        <f>"522300"</f>
        <v>522300</v>
      </c>
      <c r="B15113" s="2" t="str">
        <f>"MANGUEIRA ATOXICA CITERDIAL 1"" NP SMS MACHO 4 METROS"</f>
        <v>MANGUEIRA ATOXICA CITERDIAL 1" NP SMS MACHO 4 METROS</v>
      </c>
      <c r="C15113" s="2" t="str">
        <f t="shared" si="593"/>
        <v>UN</v>
      </c>
      <c r="D15113" s="7">
        <v>810</v>
      </c>
      <c r="E15113" s="3">
        <v>10</v>
      </c>
      <c r="F15113" s="3">
        <v>10</v>
      </c>
      <c r="G15113" t="s">
        <v>513</v>
      </c>
    </row>
    <row r="15114" spans="1:7" x14ac:dyDescent="0.25">
      <c r="A15114" s="1" t="str">
        <f>"509019"</f>
        <v>509019</v>
      </c>
      <c r="B15114" s="2" t="str">
        <f>"MANGUEIRA ATOXICA ESPIRAFLEX 1 1/4"""</f>
        <v>MANGUEIRA ATOXICA ESPIRAFLEX 1 1/4"</v>
      </c>
      <c r="C15114" s="2" t="str">
        <f t="shared" si="593"/>
        <v>UN</v>
      </c>
      <c r="D15114" s="7">
        <v>910</v>
      </c>
      <c r="E15114" s="3">
        <v>10</v>
      </c>
      <c r="F15114" s="3">
        <v>10</v>
      </c>
      <c r="G15114" t="s">
        <v>513</v>
      </c>
    </row>
    <row r="15115" spans="1:7" x14ac:dyDescent="0.25">
      <c r="A15115" s="1" t="str">
        <f>"511805"</f>
        <v>511805</v>
      </c>
      <c r="B15115" s="2" t="str">
        <f>"MANGUEIRA ATOXICA ESPIRAFLEX 1"""</f>
        <v>MANGUEIRA ATOXICA ESPIRAFLEX 1"</v>
      </c>
      <c r="C15115" s="2" t="str">
        <f t="shared" si="593"/>
        <v>UN</v>
      </c>
      <c r="D15115" s="7">
        <v>915</v>
      </c>
      <c r="E15115" s="3">
        <v>11</v>
      </c>
      <c r="F15115" s="3">
        <v>11</v>
      </c>
      <c r="G15115" t="s">
        <v>513</v>
      </c>
    </row>
    <row r="15116" spans="1:7" x14ac:dyDescent="0.25">
      <c r="A15116" s="1" t="str">
        <f>"502063"</f>
        <v>502063</v>
      </c>
      <c r="B15116" s="2" t="str">
        <f>"MANGUEIRA ATOXICA ESPIRAFLEX 1""1/2"</f>
        <v>MANGUEIRA ATOXICA ESPIRAFLEX 1"1/2</v>
      </c>
      <c r="C15116" s="2" t="str">
        <f>"MT"</f>
        <v>MT</v>
      </c>
      <c r="D15116" s="7">
        <v>810</v>
      </c>
      <c r="E15116" s="3">
        <v>10</v>
      </c>
      <c r="F15116" s="3">
        <v>10</v>
      </c>
      <c r="G15116" t="s">
        <v>512</v>
      </c>
    </row>
    <row r="15117" spans="1:7" x14ac:dyDescent="0.25">
      <c r="A15117" s="1" t="str">
        <f>"527733"</f>
        <v>527733</v>
      </c>
      <c r="B15117" s="2" t="str">
        <f>"MANGUEIRA ATOXICA ESPIRAFLEX 2 1/2"""</f>
        <v>MANGUEIRA ATOXICA ESPIRAFLEX 2 1/2"</v>
      </c>
      <c r="C15117" s="2" t="str">
        <f>"MT"</f>
        <v>MT</v>
      </c>
      <c r="D15117" s="7">
        <v>810</v>
      </c>
      <c r="E15117" s="3">
        <v>10</v>
      </c>
      <c r="F15117" s="3">
        <v>10</v>
      </c>
      <c r="G15117" t="s">
        <v>513</v>
      </c>
    </row>
    <row r="15118" spans="1:7" x14ac:dyDescent="0.25">
      <c r="A15118" s="1" t="str">
        <f>"502054"</f>
        <v>502054</v>
      </c>
      <c r="B15118" s="2" t="str">
        <f>"MANGUEIRA ATOXICA ESPIRAFLEX 2"""</f>
        <v>MANGUEIRA ATOXICA ESPIRAFLEX 2"</v>
      </c>
      <c r="C15118" s="2" t="str">
        <f>"MT"</f>
        <v>MT</v>
      </c>
      <c r="D15118" s="7">
        <v>810</v>
      </c>
      <c r="E15118" s="3">
        <v>10</v>
      </c>
      <c r="F15118" s="3">
        <v>10</v>
      </c>
      <c r="G15118" t="s">
        <v>514</v>
      </c>
    </row>
    <row r="15119" spans="1:7" x14ac:dyDescent="0.25">
      <c r="A15119" s="1" t="str">
        <f>"523967"</f>
        <v>523967</v>
      </c>
      <c r="B15119" s="2" t="str">
        <f>"MANGUEIRA ATOXICA ESPIRAFLEX 3"""</f>
        <v>MANGUEIRA ATOXICA ESPIRAFLEX 3"</v>
      </c>
      <c r="C15119" s="2" t="str">
        <f>"MT"</f>
        <v>MT</v>
      </c>
      <c r="D15119" s="7">
        <v>810</v>
      </c>
      <c r="E15119" s="3">
        <v>10</v>
      </c>
      <c r="F15119" s="3">
        <v>10</v>
      </c>
      <c r="G15119" t="s">
        <v>515</v>
      </c>
    </row>
    <row r="15120" spans="1:7" x14ac:dyDescent="0.25">
      <c r="A15120" s="1" t="str">
        <f>"526920"</f>
        <v>526920</v>
      </c>
      <c r="B15120" s="2" t="str">
        <f>"MANGUEIRA ATOXICA ESPIRAFLEX 4"""</f>
        <v>MANGUEIRA ATOXICA ESPIRAFLEX 4"</v>
      </c>
      <c r="C15120" s="2" t="str">
        <f>"MT"</f>
        <v>MT</v>
      </c>
      <c r="D15120" s="7">
        <v>810</v>
      </c>
      <c r="E15120" s="3">
        <v>10</v>
      </c>
      <c r="F15120" s="3">
        <v>10</v>
      </c>
      <c r="G15120" t="s">
        <v>512</v>
      </c>
    </row>
    <row r="15121" spans="1:7" x14ac:dyDescent="0.25">
      <c r="A15121" s="1" t="str">
        <f>"516480"</f>
        <v>516480</v>
      </c>
      <c r="B15121" s="2" t="str">
        <f>"MANGUEIRA ATOXICA ST HOSE FOOD NP SMS 2"" 01 METRO"</f>
        <v>MANGUEIRA ATOXICA ST HOSE FOOD NP SMS 2" 01 METRO</v>
      </c>
      <c r="C15121" s="2" t="str">
        <f>"PÇ"</f>
        <v>PÇ</v>
      </c>
      <c r="D15121" s="7">
        <v>810</v>
      </c>
      <c r="E15121" s="3">
        <v>10</v>
      </c>
      <c r="F15121" s="3">
        <v>10</v>
      </c>
      <c r="G15121" t="s">
        <v>516</v>
      </c>
    </row>
    <row r="15122" spans="1:7" x14ac:dyDescent="0.25">
      <c r="A15122" s="1" t="str">
        <f>"516481"</f>
        <v>516481</v>
      </c>
      <c r="B15122" s="2" t="str">
        <f>"MANGUEIRA ATOXICA ST HOSE FOOD NP SMS 2"" 02 METROS"</f>
        <v>MANGUEIRA ATOXICA ST HOSE FOOD NP SMS 2" 02 METROS</v>
      </c>
      <c r="C15122" s="2" t="str">
        <f>"PÇ"</f>
        <v>PÇ</v>
      </c>
      <c r="D15122" s="7">
        <v>810</v>
      </c>
      <c r="E15122" s="3">
        <v>10</v>
      </c>
      <c r="F15122" s="3">
        <v>10</v>
      </c>
      <c r="G15122" t="s">
        <v>515</v>
      </c>
    </row>
    <row r="15123" spans="1:7" x14ac:dyDescent="0.25">
      <c r="A15123" s="1" t="str">
        <f>"516482"</f>
        <v>516482</v>
      </c>
      <c r="B15123" s="2" t="str">
        <f>"MANGUEIRA ATOXICA ST HOSE FOOD NP SMS 2"" 03 METROS"</f>
        <v>MANGUEIRA ATOXICA ST HOSE FOOD NP SMS 2" 03 METROS</v>
      </c>
      <c r="C15123" s="2" t="str">
        <f>"PÇ"</f>
        <v>PÇ</v>
      </c>
      <c r="D15123" s="7">
        <v>810</v>
      </c>
      <c r="E15123" s="3">
        <v>10</v>
      </c>
      <c r="F15123" s="3">
        <v>10</v>
      </c>
      <c r="G15123" t="s">
        <v>514</v>
      </c>
    </row>
    <row r="15124" spans="1:7" x14ac:dyDescent="0.25">
      <c r="A15124" s="1" t="str">
        <f>"516483"</f>
        <v>516483</v>
      </c>
      <c r="B15124" s="2" t="str">
        <f>"MANGUEIRA ATOXICA ST HOSE FOOD NP SMS 2"" 04 METROS"</f>
        <v>MANGUEIRA ATOXICA ST HOSE FOOD NP SMS 2" 04 METROS</v>
      </c>
      <c r="C15124" s="2" t="str">
        <f>"PÇ"</f>
        <v>PÇ</v>
      </c>
      <c r="D15124" s="7">
        <v>810</v>
      </c>
      <c r="E15124" s="3">
        <v>10</v>
      </c>
      <c r="F15124" s="3">
        <v>10</v>
      </c>
      <c r="G15124" t="s">
        <v>512</v>
      </c>
    </row>
    <row r="15125" spans="1:7" x14ac:dyDescent="0.25">
      <c r="A15125" s="1" t="str">
        <f>"514847"</f>
        <v>514847</v>
      </c>
      <c r="B15125" s="2" t="str">
        <f>"MANGUEIRA ATOXICA ST HOSE FOOD NP SMS 2"" 06 METROS"</f>
        <v>MANGUEIRA ATOXICA ST HOSE FOOD NP SMS 2" 06 METROS</v>
      </c>
      <c r="C15125" s="2" t="str">
        <f>"PÇ"</f>
        <v>PÇ</v>
      </c>
      <c r="D15125" s="7">
        <v>810</v>
      </c>
      <c r="E15125" s="3">
        <v>10</v>
      </c>
      <c r="F15125" s="3">
        <v>10</v>
      </c>
      <c r="G15125" t="s">
        <v>513</v>
      </c>
    </row>
    <row r="15126" spans="1:7" x14ac:dyDescent="0.25">
      <c r="A15126" s="1" t="str">
        <f>"517441"</f>
        <v>517441</v>
      </c>
      <c r="B15126" s="2" t="str">
        <f>"MANGUEIRA ATOXICA ST HOSE FOOD NP SMS 2"" 08 METROS"</f>
        <v>MANGUEIRA ATOXICA ST HOSE FOOD NP SMS 2" 08 METROS</v>
      </c>
      <c r="C15126" s="2" t="str">
        <f>"UN"</f>
        <v>UN</v>
      </c>
      <c r="D15126" s="7">
        <v>915</v>
      </c>
      <c r="E15126" s="3">
        <v>10</v>
      </c>
      <c r="F15126" s="3">
        <v>10</v>
      </c>
      <c r="G15126" t="s">
        <v>514</v>
      </c>
    </row>
    <row r="15127" spans="1:7" x14ac:dyDescent="0.25">
      <c r="A15127" s="1" t="str">
        <f>"516574"</f>
        <v>516574</v>
      </c>
      <c r="B15127" s="2" t="str">
        <f>"MANGUEIRA ATOXICA ST HOSE FOOD NP SMS 2"" 10 METROS"</f>
        <v>MANGUEIRA ATOXICA ST HOSE FOOD NP SMS 2" 10 METROS</v>
      </c>
      <c r="C15127" s="2" t="str">
        <f>"UN"</f>
        <v>UN</v>
      </c>
      <c r="D15127" s="7">
        <v>810</v>
      </c>
      <c r="E15127" s="3">
        <v>10</v>
      </c>
      <c r="F15127" s="3">
        <v>10</v>
      </c>
      <c r="G15127" t="s">
        <v>514</v>
      </c>
    </row>
    <row r="15128" spans="1:7" x14ac:dyDescent="0.25">
      <c r="A15128" s="1" t="str">
        <f>"516907"</f>
        <v>516907</v>
      </c>
      <c r="B15128" s="2" t="str">
        <f>"MANGUEIRA ATOXICA ST HOSE FOOD NP SMS 2"" 400MM"</f>
        <v>MANGUEIRA ATOXICA ST HOSE FOOD NP SMS 2" 400MM</v>
      </c>
      <c r="C15128" s="2" t="str">
        <f>"PÇ"</f>
        <v>PÇ</v>
      </c>
      <c r="D15128" s="7">
        <v>810</v>
      </c>
      <c r="E15128" s="3">
        <v>10</v>
      </c>
      <c r="F15128" s="3">
        <v>10</v>
      </c>
      <c r="G15128" t="s">
        <v>512</v>
      </c>
    </row>
    <row r="15129" spans="1:7" x14ac:dyDescent="0.25">
      <c r="A15129" s="1" t="str">
        <f>"521807"</f>
        <v>521807</v>
      </c>
      <c r="B15129" s="2" t="str">
        <f>"MANGUEIRA ATOXICA TRELLFLEX CHEM 14 PTFE(SS) 2"" NP SMS 15MT"</f>
        <v>MANGUEIRA ATOXICA TRELLFLEX CHEM 14 PTFE(SS) 2" NP SMS 15MT</v>
      </c>
      <c r="C15129" s="2" t="str">
        <f>"UN"</f>
        <v>UN</v>
      </c>
      <c r="D15129" s="7">
        <v>810</v>
      </c>
      <c r="E15129" s="3">
        <v>10</v>
      </c>
      <c r="F15129" s="3">
        <v>10</v>
      </c>
      <c r="G15129" t="s">
        <v>513</v>
      </c>
    </row>
    <row r="15130" spans="1:7" x14ac:dyDescent="0.25">
      <c r="A15130" s="1" t="str">
        <f>"523475"</f>
        <v>523475</v>
      </c>
      <c r="B15130" s="2" t="str">
        <f>"MANGUEIRA ATOXICA TRELLVIN 2"" NP SMS 2MTS VM + ANEL PROTEÇÃO"</f>
        <v>MANGUEIRA ATOXICA TRELLVIN 2" NP SMS 2MTS VM + ANEL PROTEÇÃO</v>
      </c>
      <c r="C15130" s="2" t="str">
        <f>"UN"</f>
        <v>UN</v>
      </c>
      <c r="D15130" s="7">
        <v>810</v>
      </c>
      <c r="E15130" s="3">
        <v>10</v>
      </c>
      <c r="F15130" s="3">
        <v>10</v>
      </c>
      <c r="G15130" t="s">
        <v>514</v>
      </c>
    </row>
    <row r="15131" spans="1:7" x14ac:dyDescent="0.25">
      <c r="A15131" s="1" t="str">
        <f>"523474"</f>
        <v>523474</v>
      </c>
      <c r="B15131" s="2" t="str">
        <f>"MANGUEIRA ATOXICA TRELLVIN 2"" NP SMS 3MT VM + ANEL PROTEÇÃO"</f>
        <v>MANGUEIRA ATOXICA TRELLVIN 2" NP SMS 3MT VM + ANEL PROTEÇÃO</v>
      </c>
      <c r="C15131" s="2" t="str">
        <f>"UN"</f>
        <v>UN</v>
      </c>
      <c r="D15131" s="7">
        <v>810</v>
      </c>
      <c r="E15131" s="3">
        <v>10</v>
      </c>
      <c r="F15131" s="3">
        <v>10</v>
      </c>
      <c r="G15131" t="s">
        <v>514</v>
      </c>
    </row>
    <row r="15132" spans="1:7" x14ac:dyDescent="0.25">
      <c r="A15132" s="1" t="str">
        <f>"526394"</f>
        <v>526394</v>
      </c>
      <c r="B15132" s="2" t="str">
        <f>"MANGUEIRA ATOXICA VM 2"" NP SMS 03MT + ANEL PROTEÇÃO + TAMPÃO"</f>
        <v>MANGUEIRA ATOXICA VM 2" NP SMS 03MT + ANEL PROTEÇÃO + TAMPÃO</v>
      </c>
      <c r="C15132" s="2" t="str">
        <f>"PC"</f>
        <v>PC</v>
      </c>
      <c r="D15132" s="7">
        <v>810</v>
      </c>
      <c r="E15132" s="3">
        <v>10</v>
      </c>
      <c r="F15132" s="3">
        <v>10</v>
      </c>
      <c r="G15132" t="s">
        <v>514</v>
      </c>
    </row>
    <row r="15133" spans="1:7" x14ac:dyDescent="0.25">
      <c r="A15133" s="1" t="str">
        <f>"526482"</f>
        <v>526482</v>
      </c>
      <c r="B15133" s="2" t="str">
        <f>"MANGUEIRA ATOXICA VM 2"" NP SMS 04MT + ANEL PROTEÇÃO"</f>
        <v>MANGUEIRA ATOXICA VM 2" NP SMS 04MT + ANEL PROTEÇÃO</v>
      </c>
      <c r="C15133" s="2" t="str">
        <f>"PC"</f>
        <v>PC</v>
      </c>
      <c r="D15133" s="7">
        <v>810</v>
      </c>
      <c r="E15133" s="3">
        <v>10</v>
      </c>
      <c r="F15133" s="3">
        <v>10</v>
      </c>
      <c r="G15133" t="s">
        <v>513</v>
      </c>
    </row>
    <row r="15134" spans="1:7" x14ac:dyDescent="0.25">
      <c r="A15134" s="1" t="str">
        <f>"503394"</f>
        <v>503394</v>
      </c>
      <c r="B15134" s="2" t="str">
        <f>"MANGUEIRA AZUL PNEUM FESTO PUN-04X1,0"</f>
        <v>MANGUEIRA AZUL PNEUM FESTO PUN-04X1,0</v>
      </c>
      <c r="C15134" s="2" t="str">
        <f t="shared" ref="C15134:C15139" si="594">"MT"</f>
        <v>MT</v>
      </c>
      <c r="D15134" s="7">
        <v>810</v>
      </c>
      <c r="E15134" s="3">
        <v>10</v>
      </c>
      <c r="F15134" s="3">
        <v>10</v>
      </c>
      <c r="G15134" t="s">
        <v>512</v>
      </c>
    </row>
    <row r="15135" spans="1:7" x14ac:dyDescent="0.25">
      <c r="A15135" s="1" t="str">
        <f>"500875"</f>
        <v>500875</v>
      </c>
      <c r="B15135" s="2" t="str">
        <f>"MANGUEIRA AZUL PNEUM FESTO PUN-06X1,0MM 197384"</f>
        <v>MANGUEIRA AZUL PNEUM FESTO PUN-06X1,0MM 197384</v>
      </c>
      <c r="C15135" s="2" t="str">
        <f t="shared" si="594"/>
        <v>MT</v>
      </c>
      <c r="D15135" s="7">
        <v>810</v>
      </c>
      <c r="E15135" s="3">
        <v>10</v>
      </c>
      <c r="F15135" s="3">
        <v>10</v>
      </c>
      <c r="G15135" t="s">
        <v>513</v>
      </c>
    </row>
    <row r="15136" spans="1:7" x14ac:dyDescent="0.25">
      <c r="A15136" s="1" t="str">
        <f>"500874"</f>
        <v>500874</v>
      </c>
      <c r="B15136" s="2" t="str">
        <f>"MANGUEIRA AZUL PNEUM FESTO PUN-08X1.25 197385"</f>
        <v>MANGUEIRA AZUL PNEUM FESTO PUN-08X1.25 197385</v>
      </c>
      <c r="C15136" s="2" t="str">
        <f t="shared" si="594"/>
        <v>MT</v>
      </c>
      <c r="D15136" s="7">
        <v>810</v>
      </c>
      <c r="E15136" s="3">
        <v>10</v>
      </c>
      <c r="F15136" s="3">
        <v>10</v>
      </c>
      <c r="G15136" t="s">
        <v>514</v>
      </c>
    </row>
    <row r="15137" spans="1:7" x14ac:dyDescent="0.25">
      <c r="A15137" s="1" t="str">
        <f>"501031"</f>
        <v>501031</v>
      </c>
      <c r="B15137" s="2" t="str">
        <f>"MANGUEIRA AZUL PNEUM FESTO PUN-10X1.5MM 197386"</f>
        <v>MANGUEIRA AZUL PNEUM FESTO PUN-10X1.5MM 197386</v>
      </c>
      <c r="C15137" s="2" t="str">
        <f t="shared" si="594"/>
        <v>MT</v>
      </c>
      <c r="D15137" s="7">
        <v>810</v>
      </c>
      <c r="E15137" s="3">
        <v>10</v>
      </c>
      <c r="F15137" s="3">
        <v>10</v>
      </c>
      <c r="G15137" t="s">
        <v>514</v>
      </c>
    </row>
    <row r="15138" spans="1:7" x14ac:dyDescent="0.25">
      <c r="A15138" s="1" t="str">
        <f>"502986"</f>
        <v>502986</v>
      </c>
      <c r="B15138" s="2" t="str">
        <f>"MANGUEIRA AZUL PNEUM FESTO PUN-12X1.50"</f>
        <v>MANGUEIRA AZUL PNEUM FESTO PUN-12X1.50</v>
      </c>
      <c r="C15138" s="2" t="str">
        <f t="shared" si="594"/>
        <v>MT</v>
      </c>
      <c r="D15138" s="7">
        <v>810</v>
      </c>
      <c r="E15138" s="3">
        <v>10</v>
      </c>
      <c r="F15138" s="3">
        <v>10</v>
      </c>
      <c r="G15138" t="s">
        <v>514</v>
      </c>
    </row>
    <row r="15139" spans="1:7" x14ac:dyDescent="0.25">
      <c r="A15139" s="1" t="str">
        <f>"503214"</f>
        <v>503214</v>
      </c>
      <c r="B15139" s="2" t="str">
        <f>"MANGUEIRA AZUL PNEUM FESTO PUN-16X2,50"</f>
        <v>MANGUEIRA AZUL PNEUM FESTO PUN-16X2,50</v>
      </c>
      <c r="C15139" s="2" t="str">
        <f t="shared" si="594"/>
        <v>MT</v>
      </c>
      <c r="D15139" s="7">
        <v>810</v>
      </c>
      <c r="E15139" s="3">
        <v>10</v>
      </c>
      <c r="F15139" s="3">
        <v>10</v>
      </c>
      <c r="G15139" t="s">
        <v>513</v>
      </c>
    </row>
    <row r="15140" spans="1:7" x14ac:dyDescent="0.25">
      <c r="A15140" s="1" t="str">
        <f>"512010"</f>
        <v>512010</v>
      </c>
      <c r="B15140" s="2" t="str">
        <f>"MANGUEIRA COD. 1028 8343 83 ATLAS COPCO"</f>
        <v>MANGUEIRA COD. 1028 8343 83 ATLAS COPCO</v>
      </c>
      <c r="C15140" s="2" t="str">
        <f>"UN"</f>
        <v>UN</v>
      </c>
      <c r="D15140" s="7">
        <v>914</v>
      </c>
      <c r="E15140" s="3">
        <v>11</v>
      </c>
      <c r="F15140" s="3">
        <v>11</v>
      </c>
      <c r="G15140" t="s">
        <v>513</v>
      </c>
    </row>
    <row r="15141" spans="1:7" x14ac:dyDescent="0.25">
      <c r="A15141" s="1" t="str">
        <f>"512011"</f>
        <v>512011</v>
      </c>
      <c r="B15141" s="2" t="str">
        <f>"MANGUEIRA COD. 1028 8343 84 ATLAS COPCO"</f>
        <v>MANGUEIRA COD. 1028 8343 84 ATLAS COPCO</v>
      </c>
      <c r="C15141" s="2" t="str">
        <f>"UN"</f>
        <v>UN</v>
      </c>
      <c r="D15141" s="7">
        <v>914</v>
      </c>
      <c r="E15141" s="3">
        <v>11</v>
      </c>
      <c r="F15141" s="3">
        <v>11</v>
      </c>
      <c r="G15141" t="s">
        <v>513</v>
      </c>
    </row>
    <row r="15142" spans="1:7" x14ac:dyDescent="0.25">
      <c r="A15142" s="1" t="str">
        <f>"501614"</f>
        <v>501614</v>
      </c>
      <c r="B15142" s="2" t="str">
        <f>"MANGUEIRA CRISTAL 1""   TRAMA NYLON"</f>
        <v>MANGUEIRA CRISTAL 1"   TRAMA NYLON</v>
      </c>
      <c r="C15142" s="2" t="str">
        <f t="shared" ref="C15142:C15148" si="595">"MT"</f>
        <v>MT</v>
      </c>
      <c r="D15142" s="7">
        <v>810</v>
      </c>
      <c r="E15142" s="3">
        <v>10</v>
      </c>
      <c r="F15142" s="3">
        <v>10</v>
      </c>
      <c r="G15142" t="s">
        <v>512</v>
      </c>
    </row>
    <row r="15143" spans="1:7" x14ac:dyDescent="0.25">
      <c r="A15143" s="1" t="str">
        <f>"500423"</f>
        <v>500423</v>
      </c>
      <c r="B15143" s="2" t="str">
        <f>"MANGUEIRA CRISTAL 1/2"""</f>
        <v>MANGUEIRA CRISTAL 1/2"</v>
      </c>
      <c r="C15143" s="2" t="str">
        <f t="shared" si="595"/>
        <v>MT</v>
      </c>
      <c r="D15143" s="7">
        <v>810</v>
      </c>
      <c r="E15143" s="3">
        <v>10</v>
      </c>
      <c r="F15143" s="3">
        <v>10</v>
      </c>
      <c r="G15143" t="s">
        <v>513</v>
      </c>
    </row>
    <row r="15144" spans="1:7" x14ac:dyDescent="0.25">
      <c r="A15144" s="1" t="str">
        <f>"511439"</f>
        <v>511439</v>
      </c>
      <c r="B15144" s="2" t="str">
        <f>"MANGUEIRA CRISTAL 1/2"" TRAMA NYLON"</f>
        <v>MANGUEIRA CRISTAL 1/2" TRAMA NYLON</v>
      </c>
      <c r="C15144" s="2" t="str">
        <f t="shared" si="595"/>
        <v>MT</v>
      </c>
      <c r="D15144" s="7">
        <v>810</v>
      </c>
      <c r="E15144" s="3">
        <v>10</v>
      </c>
      <c r="F15144" s="3">
        <v>10</v>
      </c>
      <c r="G15144" t="s">
        <v>514</v>
      </c>
    </row>
    <row r="15145" spans="1:7" x14ac:dyDescent="0.25">
      <c r="A15145" s="1" t="str">
        <f>"500158"</f>
        <v>500158</v>
      </c>
      <c r="B15145" s="2" t="str">
        <f>"MANGUEIRA CRISTAL 3/4"""</f>
        <v>MANGUEIRA CRISTAL 3/4"</v>
      </c>
      <c r="C15145" s="2" t="str">
        <f t="shared" si="595"/>
        <v>MT</v>
      </c>
      <c r="D15145" s="7">
        <v>810</v>
      </c>
      <c r="E15145" s="3">
        <v>10</v>
      </c>
      <c r="F15145" s="3">
        <v>10</v>
      </c>
      <c r="G15145" t="s">
        <v>515</v>
      </c>
    </row>
    <row r="15146" spans="1:7" x14ac:dyDescent="0.25">
      <c r="A15146" s="1" t="str">
        <f>"511440"</f>
        <v>511440</v>
      </c>
      <c r="B15146" s="2" t="str">
        <f>"MANGUEIRA CRISTAL 3/4"" TRAMA NYLON"</f>
        <v>MANGUEIRA CRISTAL 3/4" TRAMA NYLON</v>
      </c>
      <c r="C15146" s="2" t="str">
        <f t="shared" si="595"/>
        <v>MT</v>
      </c>
      <c r="D15146" s="7">
        <v>810</v>
      </c>
      <c r="E15146" s="3">
        <v>10</v>
      </c>
      <c r="F15146" s="3">
        <v>10</v>
      </c>
      <c r="G15146" t="s">
        <v>512</v>
      </c>
    </row>
    <row r="15147" spans="1:7" x14ac:dyDescent="0.25">
      <c r="A15147" s="1" t="str">
        <f>"516464"</f>
        <v>516464</v>
      </c>
      <c r="B15147" s="2" t="str">
        <f>"MANGUEIRA CRISTAL 3/8"""</f>
        <v>MANGUEIRA CRISTAL 3/8"</v>
      </c>
      <c r="C15147" s="2" t="str">
        <f t="shared" si="595"/>
        <v>MT</v>
      </c>
      <c r="D15147" s="7">
        <v>808</v>
      </c>
      <c r="E15147" s="3">
        <v>10</v>
      </c>
      <c r="F15147" s="3">
        <v>10</v>
      </c>
      <c r="G15147" t="s">
        <v>516</v>
      </c>
    </row>
    <row r="15148" spans="1:7" x14ac:dyDescent="0.25">
      <c r="A15148" s="1" t="str">
        <f>"518804"</f>
        <v>518804</v>
      </c>
      <c r="B15148" s="2" t="str">
        <f>"MANGUEIRA CRISTAL 5/16"""</f>
        <v>MANGUEIRA CRISTAL 5/16"</v>
      </c>
      <c r="C15148" s="2" t="str">
        <f t="shared" si="595"/>
        <v>MT</v>
      </c>
      <c r="D15148" s="7">
        <v>808</v>
      </c>
      <c r="E15148" s="3">
        <v>10</v>
      </c>
      <c r="F15148" s="3">
        <v>10</v>
      </c>
      <c r="G15148" t="s">
        <v>515</v>
      </c>
    </row>
    <row r="15149" spans="1:7" x14ac:dyDescent="0.25">
      <c r="A15149" s="1" t="str">
        <f>"524520"</f>
        <v>524520</v>
      </c>
      <c r="B15149" s="2" t="str">
        <f>"MANGUEIRA DE INJEÇÃO DE OLEO - 1028834385-I"</f>
        <v>MANGUEIRA DE INJEÇÃO DE OLEO - 1028834385-I</v>
      </c>
      <c r="C15149" s="2" t="str">
        <f>"UN"</f>
        <v>UN</v>
      </c>
      <c r="D15149" s="7">
        <v>810</v>
      </c>
      <c r="E15149" s="3">
        <v>11</v>
      </c>
      <c r="F15149" s="3">
        <v>11</v>
      </c>
      <c r="G15149" t="s">
        <v>514</v>
      </c>
    </row>
    <row r="15150" spans="1:7" x14ac:dyDescent="0.25">
      <c r="A15150" s="1" t="str">
        <f>"524522"</f>
        <v>524522</v>
      </c>
      <c r="B15150" s="2" t="str">
        <f>"MANGUEIRA DE INJEÇÃO DE OLEO PESCA - 1028834381-I"</f>
        <v>MANGUEIRA DE INJEÇÃO DE OLEO PESCA - 1028834381-I</v>
      </c>
      <c r="C15150" s="2" t="str">
        <f>"UN"</f>
        <v>UN</v>
      </c>
      <c r="D15150" s="7">
        <v>810</v>
      </c>
      <c r="E15150" s="3">
        <v>11</v>
      </c>
      <c r="F15150" s="3">
        <v>11</v>
      </c>
      <c r="G15150" t="s">
        <v>512</v>
      </c>
    </row>
    <row r="15151" spans="1:7" x14ac:dyDescent="0.25">
      <c r="A15151" s="1" t="str">
        <f>"518881"</f>
        <v>518881</v>
      </c>
      <c r="B15151" s="2" t="str">
        <f>"MANGUEIRA ESPIRAL PUN-8X1,25-S-6-BL 197595"</f>
        <v>MANGUEIRA ESPIRAL PUN-8X1,25-S-6-BL 197595</v>
      </c>
      <c r="C15151" s="2" t="str">
        <f>"UN"</f>
        <v>UN</v>
      </c>
      <c r="D15151" s="7">
        <v>913</v>
      </c>
      <c r="E15151" s="3">
        <v>4</v>
      </c>
      <c r="F15151" s="3">
        <v>4</v>
      </c>
      <c r="G15151" t="s">
        <v>513</v>
      </c>
    </row>
    <row r="15152" spans="1:7" x14ac:dyDescent="0.25">
      <c r="A15152" s="1" t="str">
        <f>"500364"</f>
        <v>500364</v>
      </c>
      <c r="B15152" s="2" t="str">
        <f>"MANGUEIRA GAS FREON R22"</f>
        <v>MANGUEIRA GAS FREON R22</v>
      </c>
      <c r="C15152" s="2" t="str">
        <f>"MT"</f>
        <v>MT</v>
      </c>
      <c r="D15152" s="7">
        <v>810</v>
      </c>
      <c r="E15152" s="3">
        <v>10</v>
      </c>
      <c r="F15152" s="3">
        <v>10</v>
      </c>
      <c r="G15152" t="s">
        <v>514</v>
      </c>
    </row>
    <row r="15153" spans="1:7" x14ac:dyDescent="0.25">
      <c r="A15153" s="1" t="str">
        <f>"502834"</f>
        <v>502834</v>
      </c>
      <c r="B15153" s="2" t="str">
        <f>"MANGUEIRA GAS GLP 1/2"""</f>
        <v>MANGUEIRA GAS GLP 1/2"</v>
      </c>
      <c r="C15153" s="2" t="str">
        <f>"MT"</f>
        <v>MT</v>
      </c>
      <c r="D15153" s="7">
        <v>810</v>
      </c>
      <c r="E15153" s="3">
        <v>10</v>
      </c>
      <c r="F15153" s="3">
        <v>10</v>
      </c>
      <c r="G15153" t="s">
        <v>514</v>
      </c>
    </row>
    <row r="15154" spans="1:7" x14ac:dyDescent="0.25">
      <c r="A15154" s="1" t="str">
        <f>"510113"</f>
        <v>510113</v>
      </c>
      <c r="B15154" s="2" t="str">
        <f>"MANGUEIRA HIDRAULICA"</f>
        <v>MANGUEIRA HIDRAULICA</v>
      </c>
      <c r="C15154" s="2" t="str">
        <f>"UN"</f>
        <v>UN</v>
      </c>
      <c r="D15154" s="7">
        <v>914</v>
      </c>
      <c r="E15154" s="3">
        <v>11</v>
      </c>
      <c r="F15154" s="3">
        <v>11</v>
      </c>
      <c r="G15154" t="s">
        <v>512</v>
      </c>
    </row>
    <row r="15155" spans="1:7" x14ac:dyDescent="0.25">
      <c r="A15155" s="1" t="str">
        <f>"518712"</f>
        <v>518712</v>
      </c>
      <c r="B15155" s="2" t="str">
        <f>"MANGUEIRA HIDRAULICA 1/2 X 1360MM REF.2546"</f>
        <v>MANGUEIRA HIDRAULICA 1/2 X 1360MM REF.2546</v>
      </c>
      <c r="C15155" s="2" t="str">
        <f>"PÇ"</f>
        <v>PÇ</v>
      </c>
      <c r="D15155" s="7">
        <v>810</v>
      </c>
      <c r="E15155" s="3">
        <v>11</v>
      </c>
      <c r="F15155" s="3">
        <v>11</v>
      </c>
      <c r="G15155" t="s">
        <v>513</v>
      </c>
    </row>
    <row r="15156" spans="1:7" x14ac:dyDescent="0.25">
      <c r="A15156" s="1" t="str">
        <f>"518713"</f>
        <v>518713</v>
      </c>
      <c r="B15156" s="2" t="str">
        <f>"MANGUEIRA HIDRAULICA 1/4 X 2700MM REF.2568"</f>
        <v>MANGUEIRA HIDRAULICA 1/4 X 2700MM REF.2568</v>
      </c>
      <c r="C15156" s="2" t="str">
        <f>"PÇ"</f>
        <v>PÇ</v>
      </c>
      <c r="D15156" s="7">
        <v>810</v>
      </c>
      <c r="E15156" s="3">
        <v>11</v>
      </c>
      <c r="F15156" s="3">
        <v>11</v>
      </c>
      <c r="G15156" t="s">
        <v>514</v>
      </c>
    </row>
    <row r="15157" spans="1:7" x14ac:dyDescent="0.25">
      <c r="A15157" s="1" t="str">
        <f>"525605"</f>
        <v>525605</v>
      </c>
      <c r="B15157" s="2" t="str">
        <f>"MANGUEIRA HIDRAULICA TRAMA DE AÇO 45X35X1.1/4"</f>
        <v>MANGUEIRA HIDRAULICA TRAMA DE AÇO 45X35X1.1/4</v>
      </c>
      <c r="C15157" s="2" t="str">
        <f>"PÇ"</f>
        <v>PÇ</v>
      </c>
      <c r="D15157" s="7">
        <v>810</v>
      </c>
      <c r="E15157" s="3">
        <v>11</v>
      </c>
      <c r="F15157" s="3">
        <v>11</v>
      </c>
      <c r="G15157" t="s">
        <v>514</v>
      </c>
    </row>
    <row r="15158" spans="1:7" x14ac:dyDescent="0.25">
      <c r="A15158" s="1" t="str">
        <f>"518704"</f>
        <v>518704</v>
      </c>
      <c r="B15158" s="2" t="str">
        <f>"MANGUEIRA INJEÇÃO FILTRO OLEO 1028834385"</f>
        <v>MANGUEIRA INJEÇÃO FILTRO OLEO 1028834385</v>
      </c>
      <c r="C15158" s="2" t="str">
        <f>"MT"</f>
        <v>MT</v>
      </c>
      <c r="D15158" s="7">
        <v>810</v>
      </c>
      <c r="E15158" s="3">
        <v>11</v>
      </c>
      <c r="F15158" s="3">
        <v>11</v>
      </c>
      <c r="G15158" t="s">
        <v>514</v>
      </c>
    </row>
    <row r="15159" spans="1:7" x14ac:dyDescent="0.25">
      <c r="A15159" s="1" t="str">
        <f>"512539"</f>
        <v>512539</v>
      </c>
      <c r="B15159" s="2" t="str">
        <f>"MANGUEIRA LAVA AUTO 1/2"""</f>
        <v>MANGUEIRA LAVA AUTO 1/2"</v>
      </c>
      <c r="C15159" s="2" t="str">
        <f>"MT"</f>
        <v>MT</v>
      </c>
      <c r="D15159" s="7">
        <v>810</v>
      </c>
      <c r="E15159" s="3">
        <v>10</v>
      </c>
      <c r="F15159" s="3">
        <v>10</v>
      </c>
      <c r="G15159" t="s">
        <v>513</v>
      </c>
    </row>
    <row r="15160" spans="1:7" x14ac:dyDescent="0.25">
      <c r="A15160" s="1" t="str">
        <f>"520326"</f>
        <v>520326</v>
      </c>
      <c r="B15160" s="2" t="str">
        <f>"MANGUEIRA LAVA AUTO 3/4"""</f>
        <v>MANGUEIRA LAVA AUTO 3/4"</v>
      </c>
      <c r="C15160" s="2" t="str">
        <f>"MT"</f>
        <v>MT</v>
      </c>
      <c r="D15160" s="7">
        <v>810</v>
      </c>
      <c r="E15160" s="3">
        <v>10</v>
      </c>
      <c r="F15160" s="3">
        <v>10</v>
      </c>
      <c r="G15160" t="s">
        <v>512</v>
      </c>
    </row>
    <row r="15161" spans="1:7" x14ac:dyDescent="0.25">
      <c r="A15161" s="1" t="str">
        <f>"509533"</f>
        <v>509533</v>
      </c>
      <c r="B15161" s="2" t="str">
        <f>"MANGUEIRA MARROM 1/2"""</f>
        <v>MANGUEIRA MARROM 1/2"</v>
      </c>
      <c r="C15161" s="2" t="str">
        <f t="shared" ref="C15161:C15167" si="596">"UN"</f>
        <v>UN</v>
      </c>
      <c r="D15161" s="7">
        <v>912</v>
      </c>
      <c r="E15161" s="3">
        <v>11</v>
      </c>
      <c r="F15161" s="3">
        <v>11</v>
      </c>
      <c r="G15161" t="s">
        <v>513</v>
      </c>
    </row>
    <row r="15162" spans="1:7" x14ac:dyDescent="0.25">
      <c r="A15162" s="1" t="str">
        <f>"508941"</f>
        <v>508941</v>
      </c>
      <c r="B15162" s="2" t="str">
        <f>"MANGUEIRA MARROM 2"""</f>
        <v>MANGUEIRA MARROM 2"</v>
      </c>
      <c r="C15162" s="2" t="str">
        <f t="shared" si="596"/>
        <v>UN</v>
      </c>
      <c r="D15162" s="7">
        <v>403</v>
      </c>
      <c r="E15162" s="3">
        <v>4</v>
      </c>
      <c r="F15162" s="3">
        <v>4</v>
      </c>
      <c r="G15162" t="s">
        <v>514</v>
      </c>
    </row>
    <row r="15163" spans="1:7" x14ac:dyDescent="0.25">
      <c r="A15163" s="1" t="str">
        <f>"527214"</f>
        <v>527214</v>
      </c>
      <c r="B15163" s="2" t="str">
        <f>"MANGUEIRA NATUR PLN-10X1,5-NT 196406"</f>
        <v>MANGUEIRA NATUR PLN-10X1,5-NT 196406</v>
      </c>
      <c r="C15163" s="2" t="str">
        <f t="shared" si="596"/>
        <v>UN</v>
      </c>
      <c r="D15163" s="7">
        <v>913</v>
      </c>
      <c r="E15163" s="3">
        <v>10</v>
      </c>
      <c r="F15163" s="3">
        <v>10</v>
      </c>
      <c r="G15163" t="s">
        <v>514</v>
      </c>
    </row>
    <row r="15164" spans="1:7" x14ac:dyDescent="0.25">
      <c r="A15164" s="1" t="str">
        <f>"527270"</f>
        <v>527270</v>
      </c>
      <c r="B15164" s="2" t="str">
        <f>"MANGUEIRA NATUR PLN-12X1,5-NT 193407"</f>
        <v>MANGUEIRA NATUR PLN-12X1,5-NT 193407</v>
      </c>
      <c r="C15164" s="2" t="str">
        <f t="shared" si="596"/>
        <v>UN</v>
      </c>
      <c r="D15164" s="7">
        <v>913</v>
      </c>
      <c r="E15164" s="3">
        <v>10</v>
      </c>
      <c r="F15164" s="3">
        <v>10</v>
      </c>
      <c r="G15164" t="s">
        <v>514</v>
      </c>
    </row>
    <row r="15165" spans="1:7" x14ac:dyDescent="0.25">
      <c r="A15165" s="1" t="str">
        <f>"521814"</f>
        <v>521814</v>
      </c>
      <c r="B15165" s="8" t="s">
        <v>221</v>
      </c>
      <c r="C15165" s="2" t="str">
        <f t="shared" si="596"/>
        <v>UN</v>
      </c>
      <c r="D15165" s="7">
        <v>913</v>
      </c>
      <c r="E15165" s="3">
        <v>10</v>
      </c>
      <c r="F15165" s="3">
        <v>10</v>
      </c>
      <c r="G15165" t="s">
        <v>513</v>
      </c>
    </row>
    <row r="15166" spans="1:7" x14ac:dyDescent="0.25">
      <c r="A15166" s="1" t="str">
        <f>"521815"</f>
        <v>521815</v>
      </c>
      <c r="B15166" s="8" t="s">
        <v>222</v>
      </c>
      <c r="C15166" s="2" t="str">
        <f t="shared" si="596"/>
        <v>UN</v>
      </c>
      <c r="D15166" s="7">
        <v>913</v>
      </c>
      <c r="E15166" s="3">
        <v>10</v>
      </c>
      <c r="F15166" s="3">
        <v>10</v>
      </c>
      <c r="G15166" t="s">
        <v>513</v>
      </c>
    </row>
    <row r="15167" spans="1:7" x14ac:dyDescent="0.25">
      <c r="A15167" s="1" t="str">
        <f>"527147"</f>
        <v>527147</v>
      </c>
      <c r="B15167" s="2" t="str">
        <f>"MANGUEIRA NYLON P/ DESENTUPIR ESGOTO 30MTS LAVADORA WAP"</f>
        <v>MANGUEIRA NYLON P/ DESENTUPIR ESGOTO 30MTS LAVADORA WAP</v>
      </c>
      <c r="C15167" s="2" t="str">
        <f t="shared" si="596"/>
        <v>UN</v>
      </c>
      <c r="D15167" s="7">
        <v>99999</v>
      </c>
      <c r="E15167" s="3">
        <v>99</v>
      </c>
      <c r="F15167" s="3">
        <v>99</v>
      </c>
      <c r="G15167" t="s">
        <v>513</v>
      </c>
    </row>
    <row r="15168" spans="1:7" x14ac:dyDescent="0.25">
      <c r="A15168" s="1" t="str">
        <f>"524383"</f>
        <v>524383</v>
      </c>
      <c r="B15168" s="2" t="str">
        <f>"MANGUEIRA P/ AGUA PRETA 1 1/2"</f>
        <v>MANGUEIRA P/ AGUA PRETA 1 1/2</v>
      </c>
      <c r="C15168" s="2" t="str">
        <f>"MT"</f>
        <v>MT</v>
      </c>
      <c r="D15168" s="7">
        <v>810</v>
      </c>
      <c r="E15168" s="3">
        <v>10</v>
      </c>
      <c r="F15168" s="3">
        <v>10</v>
      </c>
      <c r="G15168" t="s">
        <v>512</v>
      </c>
    </row>
    <row r="15169" spans="1:7" x14ac:dyDescent="0.25">
      <c r="A15169" s="1" t="str">
        <f>"519177"</f>
        <v>519177</v>
      </c>
      <c r="B15169" s="2" t="str">
        <f>"MANGUEIRA P/ COMBUSTIVEL GOODYEAR 1 MONTADA C/10MT"</f>
        <v>MANGUEIRA P/ COMBUSTIVEL GOODYEAR 1 MONTADA C/10MT</v>
      </c>
      <c r="C15169" s="2" t="str">
        <f t="shared" ref="C15169:C15179" si="597">"UN"</f>
        <v>UN</v>
      </c>
      <c r="D15169" s="7">
        <v>918</v>
      </c>
      <c r="E15169" s="3">
        <v>11</v>
      </c>
      <c r="F15169" s="3">
        <v>11</v>
      </c>
      <c r="G15169" t="s">
        <v>513</v>
      </c>
    </row>
    <row r="15170" spans="1:7" x14ac:dyDescent="0.25">
      <c r="A15170" s="1" t="str">
        <f>"525049"</f>
        <v>525049</v>
      </c>
      <c r="B15170" s="2" t="str">
        <f>"MANGUEIRA PARA BOMBA DOSADORA DE SABÃO"</f>
        <v>MANGUEIRA PARA BOMBA DOSADORA DE SABÃO</v>
      </c>
      <c r="C15170" s="2" t="str">
        <f t="shared" si="597"/>
        <v>UN</v>
      </c>
      <c r="D15170" s="7">
        <v>812</v>
      </c>
      <c r="E15170" s="3">
        <v>11</v>
      </c>
      <c r="F15170" s="3">
        <v>11</v>
      </c>
      <c r="G15170" t="s">
        <v>514</v>
      </c>
    </row>
    <row r="15171" spans="1:7" x14ac:dyDescent="0.25">
      <c r="A15171" s="1" t="str">
        <f>"525454"</f>
        <v>525454</v>
      </c>
      <c r="B15171" s="2" t="str">
        <f>"MANGUEIRA PARA CHUVEIRO"</f>
        <v>MANGUEIRA PARA CHUVEIRO</v>
      </c>
      <c r="C15171" s="2" t="str">
        <f t="shared" si="597"/>
        <v>UN</v>
      </c>
      <c r="D15171" s="7">
        <v>99999</v>
      </c>
      <c r="E15171" s="3">
        <v>99</v>
      </c>
      <c r="F15171" s="3">
        <v>99</v>
      </c>
      <c r="G15171" t="s">
        <v>515</v>
      </c>
    </row>
    <row r="15172" spans="1:7" x14ac:dyDescent="0.25">
      <c r="A15172" s="1" t="str">
        <f>"524572"</f>
        <v>524572</v>
      </c>
      <c r="B15172" s="2" t="str">
        <f>"MANGUEIRA PE SUC 2' X 3,5MM"</f>
        <v>MANGUEIRA PE SUC 2' X 3,5MM</v>
      </c>
      <c r="C15172" s="2" t="str">
        <f t="shared" si="597"/>
        <v>UN</v>
      </c>
      <c r="D15172" s="7">
        <v>99999</v>
      </c>
      <c r="E15172" s="3">
        <v>99</v>
      </c>
      <c r="F15172" s="3">
        <v>99</v>
      </c>
      <c r="G15172" t="s">
        <v>512</v>
      </c>
    </row>
    <row r="15173" spans="1:7" x14ac:dyDescent="0.25">
      <c r="A15173" s="1" t="str">
        <f>"514775"</f>
        <v>514775</v>
      </c>
      <c r="B15173" s="2" t="str">
        <f>"MANGUEIRA POLIET. 1 1/2 x 3,5MM"</f>
        <v>MANGUEIRA POLIET. 1 1/2 x 3,5MM</v>
      </c>
      <c r="C15173" s="2" t="str">
        <f t="shared" si="597"/>
        <v>UN</v>
      </c>
      <c r="D15173" s="7">
        <v>900</v>
      </c>
      <c r="E15173" s="3">
        <v>8</v>
      </c>
      <c r="F15173" s="3">
        <v>8</v>
      </c>
      <c r="G15173" t="s">
        <v>516</v>
      </c>
    </row>
    <row r="15174" spans="1:7" x14ac:dyDescent="0.25">
      <c r="A15174" s="1" t="str">
        <f>"519320"</f>
        <v>519320</v>
      </c>
      <c r="B15174" s="2" t="str">
        <f>"MANGUEIRA POLIET. 1 X 3,5MM"</f>
        <v>MANGUEIRA POLIET. 1 X 3,5MM</v>
      </c>
      <c r="C15174" s="2" t="str">
        <f t="shared" si="597"/>
        <v>UN</v>
      </c>
      <c r="D15174" s="7">
        <v>900</v>
      </c>
      <c r="E15174" s="3">
        <v>8</v>
      </c>
      <c r="F15174" s="3">
        <v>8</v>
      </c>
      <c r="G15174" t="s">
        <v>515</v>
      </c>
    </row>
    <row r="15175" spans="1:7" x14ac:dyDescent="0.25">
      <c r="A15175" s="1" t="str">
        <f>"513456"</f>
        <v>513456</v>
      </c>
      <c r="B15175" s="2" t="str">
        <f>"MANGUEIRA POLIET. 3"" PAREDE 5,5MM"</f>
        <v>MANGUEIRA POLIET. 3" PAREDE 5,5MM</v>
      </c>
      <c r="C15175" s="2" t="str">
        <f t="shared" si="597"/>
        <v>UN</v>
      </c>
      <c r="D15175" s="7">
        <v>900</v>
      </c>
      <c r="E15175" s="3">
        <v>8</v>
      </c>
      <c r="F15175" s="3">
        <v>8</v>
      </c>
      <c r="G15175" t="s">
        <v>514</v>
      </c>
    </row>
    <row r="15176" spans="1:7" x14ac:dyDescent="0.25">
      <c r="A15176" s="1" t="str">
        <f>"514774"</f>
        <v>514774</v>
      </c>
      <c r="B15176" s="2" t="str">
        <f>"MANGUEIRA POLIET. 3/4 X 2,5MM"</f>
        <v>MANGUEIRA POLIET. 3/4 X 2,5MM</v>
      </c>
      <c r="C15176" s="2" t="str">
        <f t="shared" si="597"/>
        <v>UN</v>
      </c>
      <c r="D15176" s="7">
        <v>900</v>
      </c>
      <c r="E15176" s="3">
        <v>8</v>
      </c>
      <c r="F15176" s="3">
        <v>8</v>
      </c>
      <c r="G15176" t="s">
        <v>512</v>
      </c>
    </row>
    <row r="15177" spans="1:7" x14ac:dyDescent="0.25">
      <c r="A15177" s="1" t="str">
        <f>"518705"</f>
        <v>518705</v>
      </c>
      <c r="B15177" s="2" t="str">
        <f>"MANGUEIRA RESFRIADOR OLEO ENTRADA 1028834383"</f>
        <v>MANGUEIRA RESFRIADOR OLEO ENTRADA 1028834383</v>
      </c>
      <c r="C15177" s="2" t="str">
        <f t="shared" si="597"/>
        <v>UN</v>
      </c>
      <c r="D15177" s="7">
        <v>918</v>
      </c>
      <c r="E15177" s="3">
        <v>11</v>
      </c>
      <c r="F15177" s="3">
        <v>11</v>
      </c>
      <c r="G15177" t="s">
        <v>513</v>
      </c>
    </row>
    <row r="15178" spans="1:7" x14ac:dyDescent="0.25">
      <c r="A15178" s="1" t="str">
        <f>"513802"</f>
        <v>513802</v>
      </c>
      <c r="B15178" s="2" t="str">
        <f>"MANGUEIRA RODOAR"</f>
        <v>MANGUEIRA RODOAR</v>
      </c>
      <c r="C15178" s="2" t="str">
        <f t="shared" si="597"/>
        <v>UN</v>
      </c>
      <c r="D15178" s="7">
        <v>99999</v>
      </c>
      <c r="E15178" s="3">
        <v>99</v>
      </c>
      <c r="F15178" s="3">
        <v>99</v>
      </c>
      <c r="G15178" t="s">
        <v>514</v>
      </c>
    </row>
    <row r="15179" spans="1:7" x14ac:dyDescent="0.25">
      <c r="A15179" s="1" t="str">
        <f>"523168"</f>
        <v>523168</v>
      </c>
      <c r="B15179" s="2" t="str">
        <f>"MANGUEIRA SAN. ALIM. FDA RESIST. CIP 2 1/2X2000MM NP SMS"</f>
        <v>MANGUEIRA SAN. ALIM. FDA RESIST. CIP 2 1/2X2000MM NP SMS</v>
      </c>
      <c r="C15179" s="2" t="str">
        <f t="shared" si="597"/>
        <v>UN</v>
      </c>
      <c r="D15179" s="7">
        <v>810</v>
      </c>
      <c r="E15179" s="3">
        <v>10</v>
      </c>
      <c r="F15179" s="3">
        <v>10</v>
      </c>
      <c r="G15179" t="s">
        <v>514</v>
      </c>
    </row>
    <row r="15180" spans="1:7" x14ac:dyDescent="0.25">
      <c r="A15180" s="1" t="str">
        <f>"527684"</f>
        <v>527684</v>
      </c>
      <c r="B15180" s="2" t="str">
        <f>"MANGUEIRA SANITARIA 1,1MT X 2"" RT/CV SMS2"" RJT 2"""</f>
        <v>MANGUEIRA SANITARIA 1,1MT X 2" RT/CV SMS2" RJT 2"</v>
      </c>
      <c r="C15180" s="2" t="str">
        <f t="shared" ref="C15180:C15199" si="598">"MT"</f>
        <v>MT</v>
      </c>
      <c r="D15180" s="7">
        <v>810</v>
      </c>
      <c r="E15180" s="3">
        <v>10</v>
      </c>
      <c r="F15180" s="3">
        <v>10</v>
      </c>
      <c r="G15180" t="s">
        <v>512</v>
      </c>
    </row>
    <row r="15181" spans="1:7" x14ac:dyDescent="0.25">
      <c r="A15181" s="1" t="str">
        <f>"527676"</f>
        <v>527676</v>
      </c>
      <c r="B15181" s="2" t="str">
        <f>"MANGUEIRA SANITARIA 1,5MT X 2"" CV/RT SMS 2"""</f>
        <v>MANGUEIRA SANITARIA 1,5MT X 2" CV/RT SMS 2"</v>
      </c>
      <c r="C15181" s="2" t="str">
        <f t="shared" si="598"/>
        <v>MT</v>
      </c>
      <c r="D15181" s="7">
        <v>810</v>
      </c>
      <c r="E15181" s="3">
        <v>10</v>
      </c>
      <c r="F15181" s="3">
        <v>10</v>
      </c>
      <c r="G15181" t="s">
        <v>513</v>
      </c>
    </row>
    <row r="15182" spans="1:7" x14ac:dyDescent="0.25">
      <c r="A15182" s="1" t="str">
        <f>"527689"</f>
        <v>527689</v>
      </c>
      <c r="B15182" s="2" t="str">
        <f>"MANGUEIRA SANITARIA 1,5MT X 2"" RT/CV RJT 2"""</f>
        <v>MANGUEIRA SANITARIA 1,5MT X 2" RT/CV RJT 2"</v>
      </c>
      <c r="C15182" s="2" t="str">
        <f t="shared" si="598"/>
        <v>MT</v>
      </c>
      <c r="D15182" s="7">
        <v>810</v>
      </c>
      <c r="E15182" s="3">
        <v>10</v>
      </c>
      <c r="F15182" s="3">
        <v>10</v>
      </c>
      <c r="G15182" t="s">
        <v>514</v>
      </c>
    </row>
    <row r="15183" spans="1:7" x14ac:dyDescent="0.25">
      <c r="A15183" s="1" t="str">
        <f>"527679"</f>
        <v>527679</v>
      </c>
      <c r="B15183" s="2" t="str">
        <f>"MANGUEIRA SANITARIA 11MT X 2"" CV/RT SMS 2"" RJT 2"""</f>
        <v>MANGUEIRA SANITARIA 11MT X 2" CV/RT SMS 2" RJT 2"</v>
      </c>
      <c r="C15183" s="2" t="str">
        <f t="shared" si="598"/>
        <v>MT</v>
      </c>
      <c r="D15183" s="7">
        <v>810</v>
      </c>
      <c r="E15183" s="3">
        <v>10</v>
      </c>
      <c r="F15183" s="3">
        <v>10</v>
      </c>
      <c r="G15183" t="s">
        <v>514</v>
      </c>
    </row>
    <row r="15184" spans="1:7" x14ac:dyDescent="0.25">
      <c r="A15184" s="1" t="str">
        <f>"527675"</f>
        <v>527675</v>
      </c>
      <c r="B15184" s="2" t="str">
        <f>"MANGUEIRA SANITARIA 16,5MT X 1 1/2"" CV/RT SMS 2"" RJT 2"""</f>
        <v>MANGUEIRA SANITARIA 16,5MT X 1 1/2" CV/RT SMS 2" RJT 2"</v>
      </c>
      <c r="C15184" s="2" t="str">
        <f t="shared" si="598"/>
        <v>MT</v>
      </c>
      <c r="D15184" s="7">
        <v>810</v>
      </c>
      <c r="E15184" s="3">
        <v>10</v>
      </c>
      <c r="F15184" s="3">
        <v>10</v>
      </c>
      <c r="G15184" t="s">
        <v>514</v>
      </c>
    </row>
    <row r="15185" spans="1:7" x14ac:dyDescent="0.25">
      <c r="A15185" s="1" t="str">
        <f>"527677"</f>
        <v>527677</v>
      </c>
      <c r="B15185" s="2" t="str">
        <f>"MANGUEIRA SANITARIA 17,7MT X 2"" CV/RT SMS 2"" RJT 2"""</f>
        <v>MANGUEIRA SANITARIA 17,7MT X 2" CV/RT SMS 2" RJT 2"</v>
      </c>
      <c r="C15185" s="2" t="str">
        <f t="shared" si="598"/>
        <v>MT</v>
      </c>
      <c r="D15185" s="7">
        <v>810</v>
      </c>
      <c r="E15185" s="3">
        <v>10</v>
      </c>
      <c r="F15185" s="3">
        <v>10</v>
      </c>
      <c r="G15185" t="s">
        <v>513</v>
      </c>
    </row>
    <row r="15186" spans="1:7" x14ac:dyDescent="0.25">
      <c r="A15186" s="1" t="str">
        <f>"527680"</f>
        <v>527680</v>
      </c>
      <c r="B15186" s="2" t="str">
        <f>"MANGUEIRA SANITARIA 1MT X 2"" RT SMS 2"""</f>
        <v>MANGUEIRA SANITARIA 1MT X 2" RT SMS 2"</v>
      </c>
      <c r="C15186" s="2" t="str">
        <f t="shared" si="598"/>
        <v>MT</v>
      </c>
      <c r="D15186" s="7">
        <v>810</v>
      </c>
      <c r="E15186" s="3">
        <v>10</v>
      </c>
      <c r="F15186" s="3">
        <v>10</v>
      </c>
      <c r="G15186" t="s">
        <v>512</v>
      </c>
    </row>
    <row r="15187" spans="1:7" x14ac:dyDescent="0.25">
      <c r="A15187" s="1" t="str">
        <f>"527683"</f>
        <v>527683</v>
      </c>
      <c r="B15187" s="2" t="str">
        <f>"MANGUEIRA SANITARIA 1MT X 2"" RT/CV RJT 2"""</f>
        <v>MANGUEIRA SANITARIA 1MT X 2" RT/CV RJT 2"</v>
      </c>
      <c r="C15187" s="2" t="str">
        <f t="shared" si="598"/>
        <v>MT</v>
      </c>
      <c r="D15187" s="7">
        <v>810</v>
      </c>
      <c r="E15187" s="3">
        <v>10</v>
      </c>
      <c r="F15187" s="3">
        <v>10</v>
      </c>
      <c r="G15187" t="s">
        <v>513</v>
      </c>
    </row>
    <row r="15188" spans="1:7" x14ac:dyDescent="0.25">
      <c r="A15188" s="1" t="str">
        <f>"527678"</f>
        <v>527678</v>
      </c>
      <c r="B15188" s="2" t="str">
        <f>"MANGUEIRA SANITARIA 2,2MT X 2"" RT SMS 2"""</f>
        <v>MANGUEIRA SANITARIA 2,2MT X 2" RT SMS 2"</v>
      </c>
      <c r="C15188" s="2" t="str">
        <f t="shared" si="598"/>
        <v>MT</v>
      </c>
      <c r="D15188" s="7">
        <v>810</v>
      </c>
      <c r="E15188" s="3">
        <v>10</v>
      </c>
      <c r="F15188" s="3">
        <v>10</v>
      </c>
      <c r="G15188" t="s">
        <v>514</v>
      </c>
    </row>
    <row r="15189" spans="1:7" x14ac:dyDescent="0.25">
      <c r="A15189" s="1" t="str">
        <f>"527688"</f>
        <v>527688</v>
      </c>
      <c r="B15189" s="2" t="str">
        <f>"MANGUEIRA SANITARIA 35CM X 2"" RT SMS2"""</f>
        <v>MANGUEIRA SANITARIA 35CM X 2" RT SMS2"</v>
      </c>
      <c r="C15189" s="2" t="str">
        <f t="shared" si="598"/>
        <v>MT</v>
      </c>
      <c r="D15189" s="7">
        <v>810</v>
      </c>
      <c r="E15189" s="3">
        <v>10</v>
      </c>
      <c r="F15189" s="3">
        <v>10</v>
      </c>
      <c r="G15189" t="s">
        <v>514</v>
      </c>
    </row>
    <row r="15190" spans="1:7" x14ac:dyDescent="0.25">
      <c r="A15190" s="1" t="str">
        <f>"527682"</f>
        <v>527682</v>
      </c>
      <c r="B15190" s="2" t="str">
        <f>"MANGUEIRA SANITARIA 50CM X 2"" RT SMS 2"""</f>
        <v>MANGUEIRA SANITARIA 50CM X 2" RT SMS 2"</v>
      </c>
      <c r="C15190" s="2" t="str">
        <f t="shared" si="598"/>
        <v>MT</v>
      </c>
      <c r="D15190" s="7">
        <v>810</v>
      </c>
      <c r="E15190" s="3">
        <v>10</v>
      </c>
      <c r="F15190" s="3">
        <v>10</v>
      </c>
      <c r="G15190" t="s">
        <v>514</v>
      </c>
    </row>
    <row r="15191" spans="1:7" x14ac:dyDescent="0.25">
      <c r="A15191" s="1" t="str">
        <f>"527681"</f>
        <v>527681</v>
      </c>
      <c r="B15191" s="2" t="str">
        <f>"MANGUEIRA SANITARIA 60CM X 2"" CV/RT SMS 2"""</f>
        <v>MANGUEIRA SANITARIA 60CM X 2" CV/RT SMS 2"</v>
      </c>
      <c r="C15191" s="2" t="str">
        <f t="shared" si="598"/>
        <v>MT</v>
      </c>
      <c r="D15191" s="7">
        <v>810</v>
      </c>
      <c r="E15191" s="3">
        <v>10</v>
      </c>
      <c r="F15191" s="3">
        <v>10</v>
      </c>
      <c r="G15191" t="s">
        <v>513</v>
      </c>
    </row>
    <row r="15192" spans="1:7" x14ac:dyDescent="0.25">
      <c r="A15192" s="1" t="str">
        <f>"527393"</f>
        <v>527393</v>
      </c>
      <c r="B15192" s="2" t="str">
        <f>"MANGUEIRA SANITARIA SD 2"" X 1,5M NIPLE+PORCA SMS ANEL PROTEÇ"</f>
        <v>MANGUEIRA SANITARIA SD 2" X 1,5M NIPLE+PORCA SMS ANEL PROTEÇ</v>
      </c>
      <c r="C15192" s="2" t="str">
        <f t="shared" si="598"/>
        <v>MT</v>
      </c>
      <c r="D15192" s="7">
        <v>810</v>
      </c>
      <c r="E15192" s="3">
        <v>10</v>
      </c>
      <c r="F15192" s="3">
        <v>10</v>
      </c>
      <c r="G15192" t="s">
        <v>513</v>
      </c>
    </row>
    <row r="15193" spans="1:7" x14ac:dyDescent="0.25">
      <c r="A15193" s="1" t="str">
        <f>"527394"</f>
        <v>527394</v>
      </c>
      <c r="B15193" s="2" t="str">
        <f>"MANGUEIRA SANITARIA SD 2"" X 10M NIPLE+PORCA SMS ANEL PROTEÇÃ"</f>
        <v>MANGUEIRA SANITARIA SD 2" X 10M NIPLE+PORCA SMS ANEL PROTEÇÃ</v>
      </c>
      <c r="C15193" s="2" t="str">
        <f t="shared" si="598"/>
        <v>MT</v>
      </c>
      <c r="D15193" s="7">
        <v>810</v>
      </c>
      <c r="E15193" s="3">
        <v>10</v>
      </c>
      <c r="F15193" s="3">
        <v>10</v>
      </c>
      <c r="G15193" t="s">
        <v>513</v>
      </c>
    </row>
    <row r="15194" spans="1:7" x14ac:dyDescent="0.25">
      <c r="A15194" s="1" t="str">
        <f>"527307"</f>
        <v>527307</v>
      </c>
      <c r="B15194" s="2" t="str">
        <f>"MANGUEIRA SANITARIA SD 2"" X 2M NIPLE+PORCA SMS ANEL PROTEÇÃO"</f>
        <v>MANGUEIRA SANITARIA SD 2" X 2M NIPLE+PORCA SMS ANEL PROTEÇÃO</v>
      </c>
      <c r="C15194" s="2" t="str">
        <f t="shared" si="598"/>
        <v>MT</v>
      </c>
      <c r="D15194" s="7">
        <v>810</v>
      </c>
      <c r="E15194" s="3">
        <v>10</v>
      </c>
      <c r="F15194" s="3">
        <v>10</v>
      </c>
      <c r="G15194" t="s">
        <v>512</v>
      </c>
    </row>
    <row r="15195" spans="1:7" x14ac:dyDescent="0.25">
      <c r="A15195" s="1" t="str">
        <f>"526842"</f>
        <v>526842</v>
      </c>
      <c r="B15195" s="2" t="str">
        <f>"MANGUEIRA SANITARIA SD 2"" X 3M NIPLE+PORCA SMS ANEL PROTEÇÃO"</f>
        <v>MANGUEIRA SANITARIA SD 2" X 3M NIPLE+PORCA SMS ANEL PROTEÇÃO</v>
      </c>
      <c r="C15195" s="2" t="str">
        <f t="shared" si="598"/>
        <v>MT</v>
      </c>
      <c r="D15195" s="7">
        <v>810</v>
      </c>
      <c r="E15195" s="3">
        <v>10</v>
      </c>
      <c r="F15195" s="3">
        <v>10</v>
      </c>
      <c r="G15195" t="s">
        <v>513</v>
      </c>
    </row>
    <row r="15196" spans="1:7" x14ac:dyDescent="0.25">
      <c r="A15196" s="1" t="str">
        <f>"527396"</f>
        <v>527396</v>
      </c>
      <c r="B15196" s="2" t="str">
        <f>"MANGUEIRA SANITARIA SD 2"" X 3M NIPLE+PORCA SMS ANEL PROTEÇÃO"</f>
        <v>MANGUEIRA SANITARIA SD 2" X 3M NIPLE+PORCA SMS ANEL PROTEÇÃO</v>
      </c>
      <c r="C15196" s="2" t="str">
        <f t="shared" si="598"/>
        <v>MT</v>
      </c>
      <c r="D15196" s="7">
        <v>810</v>
      </c>
      <c r="E15196" s="3">
        <v>10</v>
      </c>
      <c r="F15196" s="3">
        <v>10</v>
      </c>
      <c r="G15196" t="s">
        <v>514</v>
      </c>
    </row>
    <row r="15197" spans="1:7" x14ac:dyDescent="0.25">
      <c r="A15197" s="1" t="str">
        <f>"526844"</f>
        <v>526844</v>
      </c>
      <c r="B15197" s="2" t="str">
        <f>"MANGUEIRA SANITARIA SD 2"" X 4M NIPLE+PORCA SMS"</f>
        <v>MANGUEIRA SANITARIA SD 2" X 4M NIPLE+PORCA SMS</v>
      </c>
      <c r="C15197" s="2" t="str">
        <f t="shared" si="598"/>
        <v>MT</v>
      </c>
      <c r="D15197" s="7">
        <v>810</v>
      </c>
      <c r="E15197" s="3">
        <v>10</v>
      </c>
      <c r="F15197" s="3">
        <v>10</v>
      </c>
      <c r="G15197" t="s">
        <v>515</v>
      </c>
    </row>
    <row r="15198" spans="1:7" x14ac:dyDescent="0.25">
      <c r="A15198" s="1" t="str">
        <f>"527395"</f>
        <v>527395</v>
      </c>
      <c r="B15198" s="2" t="str">
        <f>"MANGUEIRA SANITARIA SD 2"" X 4M NIPLE+PORCA SMS ANEL PROTEÇÃO"</f>
        <v>MANGUEIRA SANITARIA SD 2" X 4M NIPLE+PORCA SMS ANEL PROTEÇÃO</v>
      </c>
      <c r="C15198" s="2" t="str">
        <f t="shared" si="598"/>
        <v>MT</v>
      </c>
      <c r="D15198" s="7">
        <v>810</v>
      </c>
      <c r="E15198" s="3">
        <v>10</v>
      </c>
      <c r="F15198" s="3">
        <v>10</v>
      </c>
      <c r="G15198" t="s">
        <v>512</v>
      </c>
    </row>
    <row r="15199" spans="1:7" x14ac:dyDescent="0.25">
      <c r="A15199" s="1" t="str">
        <f>"526841"</f>
        <v>526841</v>
      </c>
      <c r="B15199" s="2" t="str">
        <f>"MANGUEIRA SANITARIA SD 2"" X 6M NIPLE+PORCA SMS ANEL PROTEÇÃO"</f>
        <v>MANGUEIRA SANITARIA SD 2" X 6M NIPLE+PORCA SMS ANEL PROTEÇÃO</v>
      </c>
      <c r="C15199" s="2" t="str">
        <f t="shared" si="598"/>
        <v>MT</v>
      </c>
      <c r="D15199" s="7">
        <v>810</v>
      </c>
      <c r="E15199" s="3">
        <v>10</v>
      </c>
      <c r="F15199" s="3">
        <v>10</v>
      </c>
      <c r="G15199" t="s">
        <v>516</v>
      </c>
    </row>
    <row r="15200" spans="1:7" x14ac:dyDescent="0.25">
      <c r="A15200" s="1" t="str">
        <f>"527279"</f>
        <v>527279</v>
      </c>
      <c r="B15200" s="2" t="str">
        <f>"MANGUEIRA SANITARIA SD DE 1 1/2"" X 15M RETAS RJT"</f>
        <v>MANGUEIRA SANITARIA SD DE 1 1/2" X 15M RETAS RJT</v>
      </c>
      <c r="C15200" s="2" t="str">
        <f>"UN"</f>
        <v>UN</v>
      </c>
      <c r="D15200" s="7">
        <v>810</v>
      </c>
      <c r="E15200" s="3">
        <v>10</v>
      </c>
      <c r="F15200" s="3">
        <v>10</v>
      </c>
      <c r="G15200" t="s">
        <v>515</v>
      </c>
    </row>
    <row r="15201" spans="1:7" x14ac:dyDescent="0.25">
      <c r="A15201" s="1" t="str">
        <f>"527280"</f>
        <v>527280</v>
      </c>
      <c r="B15201" s="2" t="str">
        <f>"MANGUEIRA SANITARIA SD DE 2"" X 12M CURVA/RETA SMS"</f>
        <v>MANGUEIRA SANITARIA SD DE 2" X 12M CURVA/RETA SMS</v>
      </c>
      <c r="C15201" s="2" t="str">
        <f>"UN"</f>
        <v>UN</v>
      </c>
      <c r="D15201" s="7">
        <v>810</v>
      </c>
      <c r="E15201" s="3">
        <v>10</v>
      </c>
      <c r="F15201" s="3">
        <v>10</v>
      </c>
      <c r="G15201" t="s">
        <v>514</v>
      </c>
    </row>
    <row r="15202" spans="1:7" x14ac:dyDescent="0.25">
      <c r="A15202" s="1" t="str">
        <f>"526840"</f>
        <v>526840</v>
      </c>
      <c r="B15202" s="2" t="str">
        <f>"MANGUEIRA SANITARIA SD DE 2"" X 12M NIPLE+PORCA+TAMPA SMS"</f>
        <v>MANGUEIRA SANITARIA SD DE 2" X 12M NIPLE+PORCA+TAMPA SMS</v>
      </c>
      <c r="C15202" s="2" t="str">
        <f>"MT"</f>
        <v>MT</v>
      </c>
      <c r="D15202" s="7">
        <v>810</v>
      </c>
      <c r="E15202" s="3">
        <v>10</v>
      </c>
      <c r="F15202" s="3">
        <v>10</v>
      </c>
      <c r="G15202" t="s">
        <v>512</v>
      </c>
    </row>
    <row r="15203" spans="1:7" x14ac:dyDescent="0.25">
      <c r="A15203" s="1" t="str">
        <f>"527274"</f>
        <v>527274</v>
      </c>
      <c r="B15203" s="2" t="str">
        <f>"MANGUEIRA SANITARIA SD DE 2"" X 15M CURVA SMS X RETA RJT"</f>
        <v>MANGUEIRA SANITARIA SD DE 2" X 15M CURVA SMS X RETA RJT</v>
      </c>
      <c r="C15203" s="2" t="str">
        <f>"UN"</f>
        <v>UN</v>
      </c>
      <c r="D15203" s="7">
        <v>810</v>
      </c>
      <c r="E15203" s="3">
        <v>10</v>
      </c>
      <c r="F15203" s="3">
        <v>10</v>
      </c>
      <c r="G15203" t="s">
        <v>513</v>
      </c>
    </row>
    <row r="15204" spans="1:7" x14ac:dyDescent="0.25">
      <c r="A15204" s="1" t="str">
        <f>"527276"</f>
        <v>527276</v>
      </c>
      <c r="B15204" s="2" t="str">
        <f>"MANGUEIRA SANITARIA SD DE 2"" X 15M CURVA/RETA RJT"</f>
        <v>MANGUEIRA SANITARIA SD DE 2" X 15M CURVA/RETA RJT</v>
      </c>
      <c r="C15204" s="2" t="str">
        <f>"UN"</f>
        <v>UN</v>
      </c>
      <c r="D15204" s="7">
        <v>810</v>
      </c>
      <c r="E15204" s="3">
        <v>10</v>
      </c>
      <c r="F15204" s="3">
        <v>10</v>
      </c>
      <c r="G15204" t="s">
        <v>514</v>
      </c>
    </row>
    <row r="15205" spans="1:7" x14ac:dyDescent="0.25">
      <c r="A15205" s="1" t="str">
        <f>"527278"</f>
        <v>527278</v>
      </c>
      <c r="B15205" s="2" t="str">
        <f>"MANGUEIRA SANITARIA SD DE 2"" X 17M CURVA/RETA SMS"</f>
        <v>MANGUEIRA SANITARIA SD DE 2" X 17M CURVA/RETA SMS</v>
      </c>
      <c r="C15205" s="2" t="str">
        <f>"UN"</f>
        <v>UN</v>
      </c>
      <c r="D15205" s="7">
        <v>810</v>
      </c>
      <c r="E15205" s="3">
        <v>10</v>
      </c>
      <c r="F15205" s="3">
        <v>10</v>
      </c>
      <c r="G15205" t="s">
        <v>514</v>
      </c>
    </row>
    <row r="15206" spans="1:7" x14ac:dyDescent="0.25">
      <c r="A15206" s="1" t="str">
        <f>"527277"</f>
        <v>527277</v>
      </c>
      <c r="B15206" s="2" t="str">
        <f>"MANGUEIRA SANITARIA SD DE 2"" X 1M CURVA/RETA RJT"</f>
        <v>MANGUEIRA SANITARIA SD DE 2" X 1M CURVA/RETA RJT</v>
      </c>
      <c r="C15206" s="2" t="str">
        <f>"UN"</f>
        <v>UN</v>
      </c>
      <c r="D15206" s="7">
        <v>810</v>
      </c>
      <c r="E15206" s="3">
        <v>10</v>
      </c>
      <c r="F15206" s="3">
        <v>10</v>
      </c>
      <c r="G15206" t="s">
        <v>512</v>
      </c>
    </row>
    <row r="15207" spans="1:7" x14ac:dyDescent="0.25">
      <c r="A15207" s="1" t="str">
        <f>"526843"</f>
        <v>526843</v>
      </c>
      <c r="B15207" s="2" t="str">
        <f>"MANGUEIRA SANITARIA SD DE 2"" X 1M NIPLE + PORCA+TAMPA SMS"</f>
        <v>MANGUEIRA SANITARIA SD DE 2" X 1M NIPLE + PORCA+TAMPA SMS</v>
      </c>
      <c r="C15207" s="2" t="str">
        <f>"MT"</f>
        <v>MT</v>
      </c>
      <c r="D15207" s="7">
        <v>810</v>
      </c>
      <c r="E15207" s="3">
        <v>10</v>
      </c>
      <c r="F15207" s="3">
        <v>10</v>
      </c>
      <c r="G15207" t="s">
        <v>513</v>
      </c>
    </row>
    <row r="15208" spans="1:7" x14ac:dyDescent="0.25">
      <c r="A15208" s="1" t="str">
        <f>"527281"</f>
        <v>527281</v>
      </c>
      <c r="B15208" s="2" t="str">
        <f>"MANGUEIRA SANITARIA SD DE 2"" X 50CM RETAS SMS"</f>
        <v>MANGUEIRA SANITARIA SD DE 2" X 50CM RETAS SMS</v>
      </c>
      <c r="C15208" s="2" t="str">
        <f t="shared" ref="C15208:C15215" si="599">"UN"</f>
        <v>UN</v>
      </c>
      <c r="D15208" s="7">
        <v>810</v>
      </c>
      <c r="E15208" s="3">
        <v>10</v>
      </c>
      <c r="F15208" s="3">
        <v>10</v>
      </c>
      <c r="G15208" t="s">
        <v>514</v>
      </c>
    </row>
    <row r="15209" spans="1:7" x14ac:dyDescent="0.25">
      <c r="A15209" s="1" t="str">
        <f>"527275"</f>
        <v>527275</v>
      </c>
      <c r="B15209" s="2" t="str">
        <f>"MANGUEIRA SANITARIA SD DE 2"" X 60CM RETA/CURVA SMS"</f>
        <v>MANGUEIRA SANITARIA SD DE 2" X 60CM RETA/CURVA SMS</v>
      </c>
      <c r="C15209" s="2" t="str">
        <f t="shared" si="599"/>
        <v>UN</v>
      </c>
      <c r="D15209" s="7">
        <v>810</v>
      </c>
      <c r="E15209" s="3">
        <v>10</v>
      </c>
      <c r="F15209" s="3">
        <v>10</v>
      </c>
      <c r="G15209" t="s">
        <v>514</v>
      </c>
    </row>
    <row r="15210" spans="1:7" x14ac:dyDescent="0.25">
      <c r="A15210" s="1" t="str">
        <f>"524521"</f>
        <v>524521</v>
      </c>
      <c r="B15210" s="2" t="str">
        <f>"MANGUEIRA SEP. X VAL. ADM +t+ - 1028834386-I"</f>
        <v>MANGUEIRA SEP. X VAL. ADM +t+ - 1028834386-I</v>
      </c>
      <c r="C15210" s="2" t="str">
        <f t="shared" si="599"/>
        <v>UN</v>
      </c>
      <c r="D15210" s="7">
        <v>810</v>
      </c>
      <c r="E15210" s="3">
        <v>11</v>
      </c>
      <c r="F15210" s="3">
        <v>11</v>
      </c>
      <c r="G15210" t="s">
        <v>514</v>
      </c>
    </row>
    <row r="15211" spans="1:7" x14ac:dyDescent="0.25">
      <c r="A15211" s="1" t="str">
        <f>"522747"</f>
        <v>522747</v>
      </c>
      <c r="B15211" s="2" t="str">
        <f>"MANGUEIRA SILICONE 10MT P/ GASALERT"</f>
        <v>MANGUEIRA SILICONE 10MT P/ GASALERT</v>
      </c>
      <c r="C15211" s="2" t="str">
        <f t="shared" si="599"/>
        <v>UN</v>
      </c>
      <c r="D15211" s="7">
        <v>501</v>
      </c>
      <c r="E15211" s="3">
        <v>5</v>
      </c>
      <c r="F15211" s="3">
        <v>5</v>
      </c>
      <c r="G15211" t="s">
        <v>513</v>
      </c>
    </row>
    <row r="15212" spans="1:7" x14ac:dyDescent="0.25">
      <c r="A15212" s="1" t="str">
        <f>"505885"</f>
        <v>505885</v>
      </c>
      <c r="B15212" s="2" t="str">
        <f>"MANGUEIRA SILICONE TRANSL   1""X4,0 PARED"</f>
        <v>MANGUEIRA SILICONE TRANSL   1"X4,0 PARED</v>
      </c>
      <c r="C15212" s="2" t="str">
        <f t="shared" si="599"/>
        <v>UN</v>
      </c>
      <c r="D15212" s="7">
        <v>912</v>
      </c>
      <c r="E15212" s="3">
        <v>11</v>
      </c>
      <c r="F15212" s="3">
        <v>11</v>
      </c>
      <c r="G15212" t="s">
        <v>512</v>
      </c>
    </row>
    <row r="15213" spans="1:7" x14ac:dyDescent="0.25">
      <c r="A15213" s="1" t="str">
        <f>"503014"</f>
        <v>503014</v>
      </c>
      <c r="B15213" s="2" t="str">
        <f>"MANGUEIRA SILICONE TRANSL 1/2""X2,0 PARED"</f>
        <v>MANGUEIRA SILICONE TRANSL 1/2"X2,0 PARED</v>
      </c>
      <c r="C15213" s="2" t="str">
        <f t="shared" si="599"/>
        <v>UN</v>
      </c>
      <c r="D15213" s="7">
        <v>912</v>
      </c>
      <c r="E15213" s="3">
        <v>11</v>
      </c>
      <c r="F15213" s="3">
        <v>11</v>
      </c>
      <c r="G15213" t="s">
        <v>513</v>
      </c>
    </row>
    <row r="15214" spans="1:7" x14ac:dyDescent="0.25">
      <c r="A15214" s="1" t="str">
        <f>"507174"</f>
        <v>507174</v>
      </c>
      <c r="B15214" s="2" t="str">
        <f>"MANGUEIRA SILICONE TRANSL 3/4""X2,0 PARED"</f>
        <v>MANGUEIRA SILICONE TRANSL 3/4"X2,0 PARED</v>
      </c>
      <c r="C15214" s="2" t="str">
        <f t="shared" si="599"/>
        <v>UN</v>
      </c>
      <c r="D15214" s="7">
        <v>912</v>
      </c>
      <c r="E15214" s="3">
        <v>11</v>
      </c>
      <c r="F15214" s="3">
        <v>11</v>
      </c>
      <c r="G15214" t="s">
        <v>514</v>
      </c>
    </row>
    <row r="15215" spans="1:7" x14ac:dyDescent="0.25">
      <c r="A15215" s="1" t="str">
        <f>"512561"</f>
        <v>512561</v>
      </c>
      <c r="B15215" s="2" t="str">
        <f>"MANGUEIRA SILICONE TRANSL 3/8""X2,0 PARED"</f>
        <v>MANGUEIRA SILICONE TRANSL 3/8"X2,0 PARED</v>
      </c>
      <c r="C15215" s="2" t="str">
        <f t="shared" si="599"/>
        <v>UN</v>
      </c>
      <c r="D15215" s="7">
        <v>912</v>
      </c>
      <c r="E15215" s="3">
        <v>11</v>
      </c>
      <c r="F15215" s="3">
        <v>11</v>
      </c>
      <c r="G15215" t="s">
        <v>514</v>
      </c>
    </row>
    <row r="15216" spans="1:7" x14ac:dyDescent="0.25">
      <c r="A15216" s="1" t="str">
        <f>"523607"</f>
        <v>523607</v>
      </c>
      <c r="B15216" s="2" t="str">
        <f>"MANGUEIRA SUCCAO/DESCARGA 3"" - LARANJA HIMAFLEX"</f>
        <v>MANGUEIRA SUCCAO/DESCARGA 3" - LARANJA HIMAFLEX</v>
      </c>
      <c r="C15216" s="2" t="str">
        <f>"PC"</f>
        <v>PC</v>
      </c>
      <c r="D15216" s="7">
        <v>810</v>
      </c>
      <c r="E15216" s="3">
        <v>10</v>
      </c>
      <c r="F15216" s="3">
        <v>10</v>
      </c>
      <c r="G15216" t="s">
        <v>514</v>
      </c>
    </row>
    <row r="15217" spans="1:7" x14ac:dyDescent="0.25">
      <c r="A15217" s="1" t="str">
        <f>"527475"</f>
        <v>527475</v>
      </c>
      <c r="B15217" s="2" t="str">
        <f>"MANGUEIRA TIPO 2 P/ HIDRANTE 2 1/2"" X 15 MT"</f>
        <v>MANGUEIRA TIPO 2 P/ HIDRANTE 2 1/2" X 15 MT</v>
      </c>
      <c r="C15217" s="2" t="str">
        <f>"MT"</f>
        <v>MT</v>
      </c>
      <c r="D15217" s="7">
        <v>810</v>
      </c>
      <c r="E15217" s="3">
        <v>11</v>
      </c>
      <c r="F15217" s="3">
        <v>11</v>
      </c>
      <c r="G15217" t="s">
        <v>513</v>
      </c>
    </row>
    <row r="15218" spans="1:7" x14ac:dyDescent="0.25">
      <c r="A15218" s="1" t="str">
        <f>"513056"</f>
        <v>513056</v>
      </c>
      <c r="B15218" s="2" t="str">
        <f>"MANGUEIRA TRAMA AÇO RIAT 2 1/2 X 2000MM FG JIC 3"""</f>
        <v>MANGUEIRA TRAMA AÇO RIAT 2 1/2 X 2000MM FG JIC 3"</v>
      </c>
      <c r="C15218" s="2" t="str">
        <f>"UN"</f>
        <v>UN</v>
      </c>
      <c r="D15218" s="7">
        <v>914</v>
      </c>
      <c r="E15218" s="3">
        <v>11</v>
      </c>
      <c r="F15218" s="3">
        <v>11</v>
      </c>
      <c r="G15218" t="s">
        <v>513</v>
      </c>
    </row>
    <row r="15219" spans="1:7" x14ac:dyDescent="0.25">
      <c r="A15219" s="1" t="str">
        <f>"513057"</f>
        <v>513057</v>
      </c>
      <c r="B15219" s="2" t="str">
        <f>"MANGUEIRA TRAMA AÇO RIAT 3"" X 2000MM FG JIC 3 1/2"""</f>
        <v>MANGUEIRA TRAMA AÇO RIAT 3" X 2000MM FG JIC 3 1/2"</v>
      </c>
      <c r="C15219" s="2" t="str">
        <f>"UN"</f>
        <v>UN</v>
      </c>
      <c r="D15219" s="7">
        <v>914</v>
      </c>
      <c r="E15219" s="3">
        <v>11</v>
      </c>
      <c r="F15219" s="3">
        <v>11</v>
      </c>
      <c r="G15219" t="s">
        <v>513</v>
      </c>
    </row>
    <row r="15220" spans="1:7" x14ac:dyDescent="0.25">
      <c r="A15220" s="1" t="str">
        <f>"524458"</f>
        <v>524458</v>
      </c>
      <c r="B15220" s="2" t="str">
        <f>"MANGUEIRA TRAMA DE AÇO 1/2 R2AT TIPO 1"</f>
        <v>MANGUEIRA TRAMA DE AÇO 1/2 R2AT TIPO 1</v>
      </c>
      <c r="C15220" s="2" t="str">
        <f>"UN"</f>
        <v>UN</v>
      </c>
      <c r="D15220" s="7">
        <v>810</v>
      </c>
      <c r="E15220" s="3">
        <v>10</v>
      </c>
      <c r="F15220" s="3">
        <v>10</v>
      </c>
      <c r="G15220" t="s">
        <v>512</v>
      </c>
    </row>
    <row r="15221" spans="1:7" x14ac:dyDescent="0.25">
      <c r="A15221" s="1" t="str">
        <f>"525300"</f>
        <v>525300</v>
      </c>
      <c r="B15221" s="8" t="s">
        <v>450</v>
      </c>
      <c r="C15221" s="2" t="str">
        <f>"MT"</f>
        <v>MT</v>
      </c>
      <c r="D15221" s="7">
        <v>810</v>
      </c>
      <c r="E15221" s="3">
        <v>11</v>
      </c>
      <c r="F15221" s="3">
        <v>11</v>
      </c>
      <c r="G15221" t="s">
        <v>513</v>
      </c>
    </row>
    <row r="15222" spans="1:7" x14ac:dyDescent="0.25">
      <c r="A15222" s="1" t="str">
        <f>"524523"</f>
        <v>524523</v>
      </c>
      <c r="B15222" s="2" t="str">
        <f>"MANGUEIRA VALVULA DE SEG. - 1028834380-I"</f>
        <v>MANGUEIRA VALVULA DE SEG. - 1028834380-I</v>
      </c>
      <c r="C15222" s="2" t="str">
        <f>"UN"</f>
        <v>UN</v>
      </c>
      <c r="D15222" s="7">
        <v>810</v>
      </c>
      <c r="E15222" s="3">
        <v>11</v>
      </c>
      <c r="F15222" s="3">
        <v>11</v>
      </c>
      <c r="G15222" t="s">
        <v>514</v>
      </c>
    </row>
    <row r="15223" spans="1:7" x14ac:dyDescent="0.25">
      <c r="A15223" s="1" t="str">
        <f>"517857"</f>
        <v>517857</v>
      </c>
      <c r="B15223" s="2" t="str">
        <f>"MANGUEIRA VAPOR 1 1/4 130º"</f>
        <v>MANGUEIRA VAPOR 1 1/4 130º</v>
      </c>
      <c r="C15223" s="2" t="str">
        <f>"MT"</f>
        <v>MT</v>
      </c>
      <c r="D15223" s="7">
        <v>810</v>
      </c>
      <c r="E15223" s="3">
        <v>10</v>
      </c>
      <c r="F15223" s="3">
        <v>10</v>
      </c>
      <c r="G15223" t="s">
        <v>515</v>
      </c>
    </row>
    <row r="15224" spans="1:7" x14ac:dyDescent="0.25">
      <c r="A15224" s="1" t="str">
        <f>"520232"</f>
        <v>520232</v>
      </c>
      <c r="B15224" s="2" t="str">
        <f>"MANGUEIRA VAPOR 1/2 130º"</f>
        <v>MANGUEIRA VAPOR 1/2 130º</v>
      </c>
      <c r="C15224" s="2" t="str">
        <f>"MT"</f>
        <v>MT</v>
      </c>
      <c r="D15224" s="7">
        <v>810</v>
      </c>
      <c r="E15224" s="3">
        <v>10</v>
      </c>
      <c r="F15224" s="3">
        <v>10</v>
      </c>
      <c r="G15224" t="s">
        <v>512</v>
      </c>
    </row>
    <row r="15225" spans="1:7" x14ac:dyDescent="0.25">
      <c r="A15225" s="1" t="str">
        <f>"513957"</f>
        <v>513957</v>
      </c>
      <c r="B15225" s="2" t="str">
        <f>"MANGUEIRA VERMELHA/VERDE P/ MAÇARICO 5/16"""</f>
        <v>MANGUEIRA VERMELHA/VERDE P/ MAÇARICO 5/16"</v>
      </c>
      <c r="C15225" s="2" t="str">
        <f t="shared" ref="C15225:C15239" si="600">"UN"</f>
        <v>UN</v>
      </c>
      <c r="D15225" s="7">
        <v>99999</v>
      </c>
      <c r="E15225" s="3">
        <v>99</v>
      </c>
      <c r="F15225" s="3">
        <v>99</v>
      </c>
      <c r="G15225" t="s">
        <v>516</v>
      </c>
    </row>
    <row r="15226" spans="1:7" x14ac:dyDescent="0.25">
      <c r="A15226" s="1" t="str">
        <f>"527536"</f>
        <v>527536</v>
      </c>
      <c r="B15226" s="2" t="str">
        <f>"MANGUITO BORRACHA"</f>
        <v>MANGUITO BORRACHA</v>
      </c>
      <c r="C15226" s="2" t="str">
        <f t="shared" si="600"/>
        <v>UN</v>
      </c>
      <c r="D15226" s="7">
        <v>99999</v>
      </c>
      <c r="E15226" s="3">
        <v>99</v>
      </c>
      <c r="F15226" s="3">
        <v>99</v>
      </c>
      <c r="G15226" t="s">
        <v>515</v>
      </c>
    </row>
    <row r="15227" spans="1:7" x14ac:dyDescent="0.25">
      <c r="A15227" s="1" t="str">
        <f>"509832"</f>
        <v>509832</v>
      </c>
      <c r="B15227" s="2" t="str">
        <f>"MANIFOLD"</f>
        <v>MANIFOLD</v>
      </c>
      <c r="C15227" s="2" t="str">
        <f t="shared" si="600"/>
        <v>UN</v>
      </c>
      <c r="D15227" s="7">
        <v>402</v>
      </c>
      <c r="E15227" s="3">
        <v>4</v>
      </c>
      <c r="F15227" s="3">
        <v>4</v>
      </c>
      <c r="G15227" t="s">
        <v>514</v>
      </c>
    </row>
    <row r="15228" spans="1:7" x14ac:dyDescent="0.25">
      <c r="A15228" s="1" t="str">
        <f>"525349"</f>
        <v>525349</v>
      </c>
      <c r="B15228" s="2" t="str">
        <f>"MANILHA CONCRETO 0,4 X 1,50M"</f>
        <v>MANILHA CONCRETO 0,4 X 1,50M</v>
      </c>
      <c r="C15228" s="2" t="str">
        <f t="shared" si="600"/>
        <v>UN</v>
      </c>
      <c r="D15228" s="7">
        <v>917</v>
      </c>
      <c r="E15228" s="3">
        <v>4</v>
      </c>
      <c r="F15228" s="3">
        <v>4</v>
      </c>
      <c r="G15228" t="s">
        <v>512</v>
      </c>
    </row>
    <row r="15229" spans="1:7" x14ac:dyDescent="0.25">
      <c r="A15229" s="1" t="str">
        <f>"505596"</f>
        <v>505596</v>
      </c>
      <c r="B15229" s="2" t="str">
        <f>"MANILHA RETA 3/4"</f>
        <v>MANILHA RETA 3/4</v>
      </c>
      <c r="C15229" s="2" t="str">
        <f t="shared" si="600"/>
        <v>UN</v>
      </c>
      <c r="D15229" s="7">
        <v>403</v>
      </c>
      <c r="E15229" s="3">
        <v>4</v>
      </c>
      <c r="F15229" s="3">
        <v>4</v>
      </c>
      <c r="G15229" t="s">
        <v>513</v>
      </c>
    </row>
    <row r="15230" spans="1:7" x14ac:dyDescent="0.25">
      <c r="A15230" s="1" t="str">
        <f>"527387"</f>
        <v>527387</v>
      </c>
      <c r="B15230" s="2" t="str">
        <f>"MANIPLO ROTATIVO EZAROTE EZC250 P/ DISJUNTOR  EZC100N"</f>
        <v>MANIPLO ROTATIVO EZAROTE EZC250 P/ DISJUNTOR  EZC100N</v>
      </c>
      <c r="C15230" s="2" t="str">
        <f t="shared" si="600"/>
        <v>UN</v>
      </c>
      <c r="D15230" s="7">
        <v>811</v>
      </c>
      <c r="E15230" s="3">
        <v>11</v>
      </c>
      <c r="F15230" s="3">
        <v>11</v>
      </c>
      <c r="G15230" t="s">
        <v>514</v>
      </c>
    </row>
    <row r="15231" spans="1:7" x14ac:dyDescent="0.25">
      <c r="A15231" s="1" t="str">
        <f>"520381"</f>
        <v>520381</v>
      </c>
      <c r="B15231" s="8" t="s">
        <v>131</v>
      </c>
      <c r="C15231" s="2" t="str">
        <f t="shared" si="600"/>
        <v>UN</v>
      </c>
      <c r="D15231" s="7">
        <v>918</v>
      </c>
      <c r="E15231" s="3">
        <v>11</v>
      </c>
      <c r="F15231" s="3">
        <v>11</v>
      </c>
      <c r="G15231" t="s">
        <v>514</v>
      </c>
    </row>
    <row r="15232" spans="1:7" x14ac:dyDescent="0.25">
      <c r="A15232" s="1" t="str">
        <f>"505929"</f>
        <v>505929</v>
      </c>
      <c r="B15232" s="2" t="str">
        <f>"MANIPULO DE ALIVIO MOD.HT385-01"</f>
        <v>MANIPULO DE ALIVIO MOD.HT385-01</v>
      </c>
      <c r="C15232" s="2" t="str">
        <f t="shared" si="600"/>
        <v>UN</v>
      </c>
      <c r="D15232" s="7">
        <v>918</v>
      </c>
      <c r="E15232" s="3">
        <v>11</v>
      </c>
      <c r="F15232" s="3">
        <v>11</v>
      </c>
      <c r="G15232" t="s">
        <v>512</v>
      </c>
    </row>
    <row r="15233" spans="1:7" x14ac:dyDescent="0.25">
      <c r="A15233" s="1" t="str">
        <f>"524976"</f>
        <v>524976</v>
      </c>
      <c r="B15233" s="2" t="str">
        <f>"MANIPULO E-41329"</f>
        <v>MANIPULO E-41329</v>
      </c>
      <c r="C15233" s="2" t="str">
        <f t="shared" si="600"/>
        <v>UN</v>
      </c>
      <c r="D15233" s="7">
        <v>811</v>
      </c>
      <c r="E15233" s="3">
        <v>11</v>
      </c>
      <c r="F15233" s="3">
        <v>11</v>
      </c>
      <c r="G15233" t="s">
        <v>513</v>
      </c>
    </row>
    <row r="15234" spans="1:7" x14ac:dyDescent="0.25">
      <c r="A15234" s="1" t="str">
        <f>"513125"</f>
        <v>513125</v>
      </c>
      <c r="B15234" s="2" t="str">
        <f>"MANIPULO MAQUNA SAQUINHO"</f>
        <v>MANIPULO MAQUNA SAQUINHO</v>
      </c>
      <c r="C15234" s="2" t="str">
        <f t="shared" si="600"/>
        <v>UN</v>
      </c>
      <c r="D15234" s="7">
        <v>918</v>
      </c>
      <c r="E15234" s="3">
        <v>11</v>
      </c>
      <c r="F15234" s="3">
        <v>11</v>
      </c>
      <c r="G15234" t="s">
        <v>514</v>
      </c>
    </row>
    <row r="15235" spans="1:7" x14ac:dyDescent="0.25">
      <c r="A15235" s="1" t="str">
        <f>"514911"</f>
        <v>514911</v>
      </c>
      <c r="B15235" s="2" t="str">
        <f>"MANIVELA"</f>
        <v>MANIVELA</v>
      </c>
      <c r="C15235" s="2" t="str">
        <f t="shared" si="600"/>
        <v>UN</v>
      </c>
      <c r="D15235" s="7">
        <v>704</v>
      </c>
      <c r="E15235" s="3">
        <v>9</v>
      </c>
      <c r="F15235" s="3">
        <v>9</v>
      </c>
      <c r="G15235" t="s">
        <v>514</v>
      </c>
    </row>
    <row r="15236" spans="1:7" x14ac:dyDescent="0.25">
      <c r="A15236" s="1" t="str">
        <f>"527329"</f>
        <v>527329</v>
      </c>
      <c r="B15236" s="2" t="str">
        <f>"MANIVELA SERAC FERMENTADO"</f>
        <v>MANIVELA SERAC FERMENTADO</v>
      </c>
      <c r="C15236" s="2" t="str">
        <f t="shared" si="600"/>
        <v>UN</v>
      </c>
      <c r="D15236" s="7">
        <v>1300</v>
      </c>
      <c r="E15236" s="3">
        <v>13</v>
      </c>
      <c r="F15236" s="3">
        <v>13</v>
      </c>
      <c r="G15236" t="s">
        <v>514</v>
      </c>
    </row>
    <row r="15237" spans="1:7" x14ac:dyDescent="0.25">
      <c r="A15237" s="1" t="str">
        <f>"526100"</f>
        <v>526100</v>
      </c>
      <c r="B15237" s="2" t="str">
        <f>"MANOM ANALO. ZS.80.1 350KG 14B C/ RED.2 12B X 14B (MXF)"</f>
        <v>MANOM ANALO. ZS.80.1 350KG 14B C/ RED.2 12B X 14B (MXF)</v>
      </c>
      <c r="C15237" s="2" t="str">
        <f t="shared" si="600"/>
        <v>UN</v>
      </c>
      <c r="D15237" s="7">
        <v>918</v>
      </c>
      <c r="E15237" s="3">
        <v>11</v>
      </c>
      <c r="F15237" s="3">
        <v>11</v>
      </c>
      <c r="G15237" t="s">
        <v>513</v>
      </c>
    </row>
    <row r="15238" spans="1:7" x14ac:dyDescent="0.25">
      <c r="A15238" s="1" t="str">
        <f>"521882"</f>
        <v>521882</v>
      </c>
      <c r="B15238" s="8" t="s">
        <v>239</v>
      </c>
      <c r="C15238" s="2" t="str">
        <f t="shared" si="600"/>
        <v>UN</v>
      </c>
      <c r="D15238" s="7">
        <v>913</v>
      </c>
      <c r="E15238" s="3">
        <v>11</v>
      </c>
      <c r="F15238" s="3">
        <v>11</v>
      </c>
      <c r="G15238" t="s">
        <v>512</v>
      </c>
    </row>
    <row r="15239" spans="1:7" x14ac:dyDescent="0.25">
      <c r="A15239" s="1" t="str">
        <f>"517444"</f>
        <v>517444</v>
      </c>
      <c r="B15239" s="2" t="str">
        <f>"MANOMETRO 0 - 20KGF/CM2 DIAMETRO 4"""</f>
        <v>MANOMETRO 0 - 20KGF/CM2 DIAMETRO 4"</v>
      </c>
      <c r="C15239" s="2" t="str">
        <f t="shared" si="600"/>
        <v>UN</v>
      </c>
      <c r="D15239" s="7">
        <v>912</v>
      </c>
      <c r="E15239" s="3">
        <v>11</v>
      </c>
      <c r="F15239" s="3">
        <v>11</v>
      </c>
      <c r="G15239" t="s">
        <v>513</v>
      </c>
    </row>
    <row r="15240" spans="1:7" x14ac:dyDescent="0.25">
      <c r="A15240" s="1" t="str">
        <f>"527145"</f>
        <v>527145</v>
      </c>
      <c r="B15240" s="2" t="str">
        <f>"MANOMETRO 0 A 150 PSI, 0 A 1 MPA, 45 MM DIAMETRO ROSCA M6"</f>
        <v>MANOMETRO 0 A 150 PSI, 0 A 1 MPA, 45 MM DIAMETRO ROSCA M6</v>
      </c>
      <c r="C15240" s="2" t="str">
        <f>"BR"</f>
        <v>BR</v>
      </c>
      <c r="D15240" s="7">
        <v>808</v>
      </c>
      <c r="E15240" s="3">
        <v>10</v>
      </c>
      <c r="F15240" s="3">
        <v>10</v>
      </c>
      <c r="G15240" t="s">
        <v>514</v>
      </c>
    </row>
    <row r="15241" spans="1:7" x14ac:dyDescent="0.25">
      <c r="A15241" s="1" t="str">
        <f>"510263"</f>
        <v>510263</v>
      </c>
      <c r="B15241" s="2" t="str">
        <f>"MANOMETRO 0 A 16 kgf/cm2 ROSCA 3/4"" BSP"</f>
        <v>MANOMETRO 0 A 16 kgf/cm2 ROSCA 3/4" BSP</v>
      </c>
      <c r="C15241" s="2" t="str">
        <f>"UN"</f>
        <v>UN</v>
      </c>
      <c r="D15241" s="7">
        <v>918</v>
      </c>
      <c r="E15241" s="3">
        <v>11</v>
      </c>
      <c r="F15241" s="3">
        <v>11</v>
      </c>
      <c r="G15241" t="s">
        <v>514</v>
      </c>
    </row>
    <row r="15242" spans="1:7" x14ac:dyDescent="0.25">
      <c r="A15242" s="1" t="str">
        <f>"526442"</f>
        <v>526442</v>
      </c>
      <c r="B15242" s="2" t="str">
        <f>"MANOMETRO 0 A 21 KGF/0 A 300PSI EIT SERIE 87613"</f>
        <v>MANOMETRO 0 A 21 KGF/0 A 300PSI EIT SERIE 87613</v>
      </c>
      <c r="C15242" s="2" t="str">
        <f>"UN"</f>
        <v>UN</v>
      </c>
      <c r="D15242" s="7">
        <v>918</v>
      </c>
      <c r="E15242" s="3">
        <v>11</v>
      </c>
      <c r="F15242" s="3">
        <v>11</v>
      </c>
      <c r="G15242" t="s">
        <v>514</v>
      </c>
    </row>
    <row r="15243" spans="1:7" x14ac:dyDescent="0.25">
      <c r="A15243" s="1" t="str">
        <f>"526159"</f>
        <v>526159</v>
      </c>
      <c r="B15243" s="2" t="str">
        <f>"MANOMETRO 0 A 21 KGF/CM2 100MM"</f>
        <v>MANOMETRO 0 A 21 KGF/CM2 100MM</v>
      </c>
      <c r="C15243" s="2" t="str">
        <f>"UN"</f>
        <v>UN</v>
      </c>
      <c r="D15243" s="7">
        <v>918</v>
      </c>
      <c r="E15243" s="3">
        <v>11</v>
      </c>
      <c r="F15243" s="3">
        <v>11</v>
      </c>
      <c r="G15243" t="s">
        <v>513</v>
      </c>
    </row>
    <row r="15244" spans="1:7" x14ac:dyDescent="0.25">
      <c r="A15244" s="1" t="str">
        <f>"511373"</f>
        <v>511373</v>
      </c>
      <c r="B15244" s="2" t="str">
        <f>"MANOMETRO 0 A 21 KGF/CM2 150MM"</f>
        <v>MANOMETRO 0 A 21 KGF/CM2 150MM</v>
      </c>
      <c r="C15244" s="2" t="str">
        <f>"UN"</f>
        <v>UN</v>
      </c>
      <c r="D15244" s="7">
        <v>918</v>
      </c>
      <c r="E15244" s="3">
        <v>11</v>
      </c>
      <c r="F15244" s="3">
        <v>11</v>
      </c>
      <c r="G15244" t="s">
        <v>513</v>
      </c>
    </row>
    <row r="15245" spans="1:7" x14ac:dyDescent="0.25">
      <c r="A15245" s="1" t="str">
        <f>"512543"</f>
        <v>512543</v>
      </c>
      <c r="B15245" s="2" t="str">
        <f>"MANOMETRO 0 A 25 BAR 100MM C/ MEMBRANA"</f>
        <v>MANOMETRO 0 A 25 BAR 100MM C/ MEMBRANA</v>
      </c>
      <c r="C15245" s="2" t="str">
        <f>"UN"</f>
        <v>UN</v>
      </c>
      <c r="D15245" s="7">
        <v>918</v>
      </c>
      <c r="E15245" s="3">
        <v>11</v>
      </c>
      <c r="F15245" s="3">
        <v>11</v>
      </c>
      <c r="G15245" t="s">
        <v>513</v>
      </c>
    </row>
    <row r="15246" spans="1:7" x14ac:dyDescent="0.25">
      <c r="A15246" s="1" t="str">
        <f>"511758"</f>
        <v>511758</v>
      </c>
      <c r="B15246" s="2" t="str">
        <f>"MANOMETRO 0 A 350 KGF/CM2 0 A 5000PSI"</f>
        <v>MANOMETRO 0 A 350 KGF/CM2 0 A 5000PSI</v>
      </c>
      <c r="C15246" s="2" t="str">
        <f>"BR"</f>
        <v>BR</v>
      </c>
      <c r="D15246" s="7">
        <v>808</v>
      </c>
      <c r="E15246" s="3">
        <v>10</v>
      </c>
      <c r="F15246" s="3">
        <v>10</v>
      </c>
      <c r="G15246" t="s">
        <v>512</v>
      </c>
    </row>
    <row r="15247" spans="1:7" x14ac:dyDescent="0.25">
      <c r="A15247" s="1" t="str">
        <f>"518292"</f>
        <v>518292</v>
      </c>
      <c r="B15247" s="2" t="str">
        <f>"MANOMETRO 0 A 3KGF/CM2 (AUTOCLAVE)"</f>
        <v>MANOMETRO 0 A 3KGF/CM2 (AUTOCLAVE)</v>
      </c>
      <c r="C15247" s="2" t="str">
        <f>"UN"</f>
        <v>UN</v>
      </c>
      <c r="D15247" s="7">
        <v>918</v>
      </c>
      <c r="E15247" s="3">
        <v>11</v>
      </c>
      <c r="F15247" s="3">
        <v>11</v>
      </c>
      <c r="G15247" t="s">
        <v>513</v>
      </c>
    </row>
    <row r="15248" spans="1:7" x14ac:dyDescent="0.25">
      <c r="A15248" s="1" t="str">
        <f>"516194"</f>
        <v>516194</v>
      </c>
      <c r="B15248" s="2" t="str">
        <f>"MANOMETRO 0 A 6 KGF/CM2 100MM R1/2"" BSP ZSIG.100.1 6KG 12B"</f>
        <v>MANOMETRO 0 A 6 KGF/CM2 100MM R1/2" BSP ZSIG.100.1 6KG 12B</v>
      </c>
      <c r="C15248" s="2" t="str">
        <f>"UN"</f>
        <v>UN</v>
      </c>
      <c r="D15248" s="7">
        <v>812</v>
      </c>
      <c r="E15248" s="3">
        <v>11</v>
      </c>
      <c r="F15248" s="3">
        <v>11</v>
      </c>
      <c r="G15248" t="s">
        <v>514</v>
      </c>
    </row>
    <row r="15249" spans="1:7" x14ac:dyDescent="0.25">
      <c r="A15249" s="1" t="str">
        <f>"511531"</f>
        <v>511531</v>
      </c>
      <c r="B15249" s="2" t="str">
        <f>"MANOMETRO 1 A 10KG 1/2"""</f>
        <v>MANOMETRO 1 A 10KG 1/2"</v>
      </c>
      <c r="C15249" s="2" t="str">
        <f>"BR"</f>
        <v>BR</v>
      </c>
      <c r="D15249" s="7">
        <v>808</v>
      </c>
      <c r="E15249" s="3">
        <v>10</v>
      </c>
      <c r="F15249" s="3">
        <v>10</v>
      </c>
      <c r="G15249" t="s">
        <v>515</v>
      </c>
    </row>
    <row r="15250" spans="1:7" x14ac:dyDescent="0.25">
      <c r="A15250" s="1" t="str">
        <f>"503710"</f>
        <v>503710</v>
      </c>
      <c r="B15250" s="2" t="str">
        <f>"MANOMETRO 1/4 VERTICAL 3000PSI"</f>
        <v>MANOMETRO 1/4 VERTICAL 3000PSI</v>
      </c>
      <c r="C15250" s="2" t="str">
        <f>"BR"</f>
        <v>BR</v>
      </c>
      <c r="D15250" s="7">
        <v>808</v>
      </c>
      <c r="E15250" s="3">
        <v>10</v>
      </c>
      <c r="F15250" s="3">
        <v>10</v>
      </c>
      <c r="G15250" t="s">
        <v>512</v>
      </c>
    </row>
    <row r="15251" spans="1:7" x14ac:dyDescent="0.25">
      <c r="A15251" s="1" t="str">
        <f>"516196"</f>
        <v>516196</v>
      </c>
      <c r="B15251" s="2" t="str">
        <f>"MANOMETRO 100MM 0 A 100 BAR APV"</f>
        <v>MANOMETRO 100MM 0 A 100 BAR APV</v>
      </c>
      <c r="C15251" s="2" t="str">
        <f t="shared" ref="C15251:C15256" si="601">"UN"</f>
        <v>UN</v>
      </c>
      <c r="D15251" s="7">
        <v>812</v>
      </c>
      <c r="E15251" s="3">
        <v>11</v>
      </c>
      <c r="F15251" s="3">
        <v>11</v>
      </c>
      <c r="G15251" t="s">
        <v>516</v>
      </c>
    </row>
    <row r="15252" spans="1:7" x14ac:dyDescent="0.25">
      <c r="A15252" s="1" t="str">
        <f>"505473"</f>
        <v>505473</v>
      </c>
      <c r="B15252" s="2" t="str">
        <f>"MANOMETRO 12KG NH3 2.1/2"""</f>
        <v>MANOMETRO 12KG NH3 2.1/2"</v>
      </c>
      <c r="C15252" s="2" t="str">
        <f t="shared" si="601"/>
        <v>UN</v>
      </c>
      <c r="D15252" s="7">
        <v>918</v>
      </c>
      <c r="E15252" s="3">
        <v>11</v>
      </c>
      <c r="F15252" s="3">
        <v>11</v>
      </c>
      <c r="G15252" t="s">
        <v>515</v>
      </c>
    </row>
    <row r="15253" spans="1:7" x14ac:dyDescent="0.25">
      <c r="A15253" s="1" t="str">
        <f>"505477"</f>
        <v>505477</v>
      </c>
      <c r="B15253" s="2" t="str">
        <f>"MANOMETRO 12KG NH3 4'"</f>
        <v>MANOMETRO 12KG NH3 4'</v>
      </c>
      <c r="C15253" s="2" t="str">
        <f t="shared" si="601"/>
        <v>UN</v>
      </c>
      <c r="D15253" s="7">
        <v>918</v>
      </c>
      <c r="E15253" s="3">
        <v>11</v>
      </c>
      <c r="F15253" s="3">
        <v>11</v>
      </c>
      <c r="G15253" t="s">
        <v>514</v>
      </c>
    </row>
    <row r="15254" spans="1:7" x14ac:dyDescent="0.25">
      <c r="A15254" s="1" t="str">
        <f>"525443"</f>
        <v>525443</v>
      </c>
      <c r="B15254" s="2" t="str">
        <f>"MANOMETRO 2""  AÇO CARB. SAIDA VERT. RETO 1/4 NPT 0-4KGF"</f>
        <v>MANOMETRO 2"  AÇO CARB. SAIDA VERT. RETO 1/4 NPT 0-4KGF</v>
      </c>
      <c r="C15254" s="2" t="str">
        <f t="shared" si="601"/>
        <v>UN</v>
      </c>
      <c r="D15254" s="7">
        <v>901</v>
      </c>
      <c r="E15254" s="3">
        <v>11</v>
      </c>
      <c r="F15254" s="3">
        <v>11</v>
      </c>
      <c r="G15254" t="s">
        <v>512</v>
      </c>
    </row>
    <row r="15255" spans="1:7" x14ac:dyDescent="0.25">
      <c r="A15255" s="1" t="str">
        <f>"505465"</f>
        <v>505465</v>
      </c>
      <c r="B15255" s="2" t="str">
        <f>"MANOMETRO 20KG NH3 2.1/2"""</f>
        <v>MANOMETRO 20KG NH3 2.1/2"</v>
      </c>
      <c r="C15255" s="2" t="str">
        <f t="shared" si="601"/>
        <v>UN</v>
      </c>
      <c r="D15255" s="7">
        <v>918</v>
      </c>
      <c r="E15255" s="3">
        <v>11</v>
      </c>
      <c r="F15255" s="3">
        <v>11</v>
      </c>
      <c r="G15255" t="s">
        <v>513</v>
      </c>
    </row>
    <row r="15256" spans="1:7" x14ac:dyDescent="0.25">
      <c r="A15256" s="1" t="str">
        <f>"505468"</f>
        <v>505468</v>
      </c>
      <c r="B15256" s="2" t="str">
        <f>"MANOMETRO 20KG NH3 4"""</f>
        <v>MANOMETRO 20KG NH3 4"</v>
      </c>
      <c r="C15256" s="2" t="str">
        <f t="shared" si="601"/>
        <v>UN</v>
      </c>
      <c r="D15256" s="7">
        <v>918</v>
      </c>
      <c r="E15256" s="3">
        <v>11</v>
      </c>
      <c r="F15256" s="3">
        <v>11</v>
      </c>
      <c r="G15256" t="s">
        <v>514</v>
      </c>
    </row>
    <row r="15257" spans="1:7" x14ac:dyDescent="0.25">
      <c r="A15257" s="1" t="str">
        <f>"503500"</f>
        <v>503500</v>
      </c>
      <c r="B15257" s="2" t="str">
        <f>"MANOMETRO 280KGF/CM2XPSI1/4 COD.L61221"</f>
        <v>MANOMETRO 280KGF/CM2XPSI1/4 COD.L61221</v>
      </c>
      <c r="C15257" s="2" t="str">
        <f>"BR"</f>
        <v>BR</v>
      </c>
      <c r="D15257" s="7">
        <v>808</v>
      </c>
      <c r="E15257" s="3">
        <v>10</v>
      </c>
      <c r="F15257" s="3">
        <v>10</v>
      </c>
      <c r="G15257" t="s">
        <v>514</v>
      </c>
    </row>
    <row r="15258" spans="1:7" x14ac:dyDescent="0.25">
      <c r="A15258" s="1" t="str">
        <f>"526155"</f>
        <v>526155</v>
      </c>
      <c r="B15258" s="8" t="s">
        <v>458</v>
      </c>
      <c r="C15258" s="2" t="str">
        <f t="shared" ref="C15258:C15270" si="602">"UN"</f>
        <v>UN</v>
      </c>
      <c r="D15258" s="7">
        <v>99999</v>
      </c>
      <c r="E15258" s="3">
        <v>10</v>
      </c>
      <c r="F15258" s="3">
        <v>10</v>
      </c>
      <c r="G15258" t="s">
        <v>512</v>
      </c>
    </row>
    <row r="15259" spans="1:7" x14ac:dyDescent="0.25">
      <c r="A15259" s="1" t="str">
        <f>"504444"</f>
        <v>504444</v>
      </c>
      <c r="B15259" s="2" t="str">
        <f>"MANOMETRO 4"" 1/2""BSP 0 A 225LBS/"" QUADRA"</f>
        <v>MANOMETRO 4" 1/2"BSP 0 A 225LBS/" QUADRA</v>
      </c>
      <c r="C15259" s="2" t="str">
        <f t="shared" si="602"/>
        <v>UN</v>
      </c>
      <c r="D15259" s="7">
        <v>918</v>
      </c>
      <c r="E15259" s="3">
        <v>11</v>
      </c>
      <c r="F15259" s="3">
        <v>11</v>
      </c>
      <c r="G15259" t="s">
        <v>513</v>
      </c>
    </row>
    <row r="15260" spans="1:7" x14ac:dyDescent="0.25">
      <c r="A15260" s="1" t="str">
        <f>"516288"</f>
        <v>516288</v>
      </c>
      <c r="B15260" s="2" t="str">
        <f>"MANOMETRO 60MM 0-3KGF 1/4"" FLANGE"</f>
        <v>MANOMETRO 60MM 0-3KGF 1/4" FLANGE</v>
      </c>
      <c r="C15260" s="2" t="str">
        <f t="shared" si="602"/>
        <v>UN</v>
      </c>
      <c r="D15260" s="7">
        <v>913</v>
      </c>
      <c r="E15260" s="3">
        <v>11</v>
      </c>
      <c r="F15260" s="3">
        <v>11</v>
      </c>
      <c r="G15260" t="s">
        <v>514</v>
      </c>
    </row>
    <row r="15261" spans="1:7" x14ac:dyDescent="0.25">
      <c r="A15261" s="1" t="str">
        <f>"516289"</f>
        <v>516289</v>
      </c>
      <c r="B15261" s="2" t="str">
        <f>"MANOMETRO 60MM 0-4KGF 1/4"" FLANGE"</f>
        <v>MANOMETRO 60MM 0-4KGF 1/4" FLANGE</v>
      </c>
      <c r="C15261" s="2" t="str">
        <f t="shared" si="602"/>
        <v>UN</v>
      </c>
      <c r="D15261" s="7">
        <v>913</v>
      </c>
      <c r="E15261" s="3">
        <v>11</v>
      </c>
      <c r="F15261" s="3">
        <v>11</v>
      </c>
      <c r="G15261" t="s">
        <v>514</v>
      </c>
    </row>
    <row r="15262" spans="1:7" x14ac:dyDescent="0.25">
      <c r="A15262" s="1" t="str">
        <f>"518889"</f>
        <v>518889</v>
      </c>
      <c r="B15262" s="2" t="str">
        <f>"MANOMETRO 60MM RETO INOX 7KGF"</f>
        <v>MANOMETRO 60MM RETO INOX 7KGF</v>
      </c>
      <c r="C15262" s="2" t="str">
        <f t="shared" si="602"/>
        <v>UN</v>
      </c>
      <c r="D15262" s="7">
        <v>914</v>
      </c>
      <c r="E15262" s="3">
        <v>4</v>
      </c>
      <c r="F15262" s="3">
        <v>4</v>
      </c>
      <c r="G15262" t="s">
        <v>514</v>
      </c>
    </row>
    <row r="15263" spans="1:7" x14ac:dyDescent="0.25">
      <c r="A15263" s="1" t="str">
        <f>"505017"</f>
        <v>505017</v>
      </c>
      <c r="B15263" s="2" t="str">
        <f>"MANOMETRO ALTA MYCON N4WA 1992"</f>
        <v>MANOMETRO ALTA MYCON N4WA 1992</v>
      </c>
      <c r="C15263" s="2" t="str">
        <f t="shared" si="602"/>
        <v>UN</v>
      </c>
      <c r="D15263" s="7">
        <v>918</v>
      </c>
      <c r="E15263" s="3">
        <v>11</v>
      </c>
      <c r="F15263" s="3">
        <v>11</v>
      </c>
      <c r="G15263" t="s">
        <v>513</v>
      </c>
    </row>
    <row r="15264" spans="1:7" x14ac:dyDescent="0.25">
      <c r="A15264" s="1" t="str">
        <f>"507817"</f>
        <v>507817</v>
      </c>
      <c r="B15264" s="2" t="str">
        <f>"MANOMETRO ALTA NH3 - 65/100"</f>
        <v>MANOMETRO ALTA NH3 - 65/100</v>
      </c>
      <c r="C15264" s="2" t="str">
        <f t="shared" si="602"/>
        <v>UN</v>
      </c>
      <c r="D15264" s="7">
        <v>918</v>
      </c>
      <c r="E15264" s="3">
        <v>11</v>
      </c>
      <c r="F15264" s="3">
        <v>11</v>
      </c>
      <c r="G15264" t="s">
        <v>512</v>
      </c>
    </row>
    <row r="15265" spans="1:7" x14ac:dyDescent="0.25">
      <c r="A15265" s="1" t="str">
        <f>"505016"</f>
        <v>505016</v>
      </c>
      <c r="B15265" s="2" t="str">
        <f>"MANOMETRO ALTA SABROE 106-L"</f>
        <v>MANOMETRO ALTA SABROE 106-L</v>
      </c>
      <c r="C15265" s="2" t="str">
        <f t="shared" si="602"/>
        <v>UN</v>
      </c>
      <c r="D15265" s="7">
        <v>918</v>
      </c>
      <c r="E15265" s="3">
        <v>11</v>
      </c>
      <c r="F15265" s="3">
        <v>11</v>
      </c>
      <c r="G15265" t="s">
        <v>513</v>
      </c>
    </row>
    <row r="15266" spans="1:7" x14ac:dyDescent="0.25">
      <c r="A15266" s="1" t="str">
        <f>"501115"</f>
        <v>501115</v>
      </c>
      <c r="B15266" s="2" t="str">
        <f>"MANOMETRO ASTA 400BAR/6000PSI"</f>
        <v>MANOMETRO ASTA 400BAR/6000PSI</v>
      </c>
      <c r="C15266" s="2" t="str">
        <f t="shared" si="602"/>
        <v>UN</v>
      </c>
      <c r="D15266" s="7">
        <v>918</v>
      </c>
      <c r="E15266" s="3">
        <v>11</v>
      </c>
      <c r="F15266" s="3">
        <v>11</v>
      </c>
      <c r="G15266" t="s">
        <v>514</v>
      </c>
    </row>
    <row r="15267" spans="1:7" x14ac:dyDescent="0.25">
      <c r="A15267" s="1" t="str">
        <f>"507816"</f>
        <v>507816</v>
      </c>
      <c r="B15267" s="2" t="str">
        <f>"MANOMETRO BAIXA NH3 - 65/100"</f>
        <v>MANOMETRO BAIXA NH3 - 65/100</v>
      </c>
      <c r="C15267" s="2" t="str">
        <f t="shared" si="602"/>
        <v>UN</v>
      </c>
      <c r="D15267" s="7">
        <v>918</v>
      </c>
      <c r="E15267" s="3">
        <v>11</v>
      </c>
      <c r="F15267" s="3">
        <v>11</v>
      </c>
      <c r="G15267" t="s">
        <v>514</v>
      </c>
    </row>
    <row r="15268" spans="1:7" x14ac:dyDescent="0.25">
      <c r="A15268" s="1" t="str">
        <f>"524975"</f>
        <v>524975</v>
      </c>
      <c r="B15268" s="2" t="str">
        <f>"MANOMETRO C0-17043"</f>
        <v>MANOMETRO C0-17043</v>
      </c>
      <c r="C15268" s="2" t="str">
        <f t="shared" si="602"/>
        <v>UN</v>
      </c>
      <c r="D15268" s="7">
        <v>811</v>
      </c>
      <c r="E15268" s="3">
        <v>11</v>
      </c>
      <c r="F15268" s="3">
        <v>11</v>
      </c>
      <c r="G15268" t="s">
        <v>514</v>
      </c>
    </row>
    <row r="15269" spans="1:7" x14ac:dyDescent="0.25">
      <c r="A15269" s="1" t="str">
        <f>"505462"</f>
        <v>505462</v>
      </c>
      <c r="B15269" s="2" t="str">
        <f>"MANOMETRO DA DESCARGA SMC-R-717"</f>
        <v>MANOMETRO DA DESCARGA SMC-R-717</v>
      </c>
      <c r="C15269" s="2" t="str">
        <f t="shared" si="602"/>
        <v>UN</v>
      </c>
      <c r="D15269" s="7">
        <v>918</v>
      </c>
      <c r="E15269" s="3">
        <v>11</v>
      </c>
      <c r="F15269" s="3">
        <v>11</v>
      </c>
      <c r="G15269" t="s">
        <v>513</v>
      </c>
    </row>
    <row r="15270" spans="1:7" x14ac:dyDescent="0.25">
      <c r="A15270" s="1" t="str">
        <f>"505459"</f>
        <v>505459</v>
      </c>
      <c r="B15270" s="2" t="str">
        <f>"MANOMETRO DE BAIXA/SUC/OLEO AMONIA"</f>
        <v>MANOMETRO DE BAIXA/SUC/OLEO AMONIA</v>
      </c>
      <c r="C15270" s="2" t="str">
        <f t="shared" si="602"/>
        <v>UN</v>
      </c>
      <c r="D15270" s="7">
        <v>918</v>
      </c>
      <c r="E15270" s="3">
        <v>11</v>
      </c>
      <c r="F15270" s="3">
        <v>11</v>
      </c>
      <c r="G15270" t="s">
        <v>513</v>
      </c>
    </row>
    <row r="15271" spans="1:7" x14ac:dyDescent="0.25">
      <c r="A15271" s="1" t="str">
        <f>"506234"</f>
        <v>506234</v>
      </c>
      <c r="B15271" s="2" t="str">
        <f>"MANOMETRO DE OLEO D 2"" 1/2 ROSCA 1/4"""</f>
        <v>MANOMETRO DE OLEO D 2" 1/2 ROSCA 1/4"</v>
      </c>
      <c r="C15271" s="2" t="str">
        <f>"BR"</f>
        <v>BR</v>
      </c>
      <c r="D15271" s="7">
        <v>808</v>
      </c>
      <c r="E15271" s="3">
        <v>10</v>
      </c>
      <c r="F15271" s="3">
        <v>10</v>
      </c>
      <c r="G15271" t="s">
        <v>513</v>
      </c>
    </row>
    <row r="15272" spans="1:7" x14ac:dyDescent="0.25">
      <c r="A15272" s="1" t="str">
        <f>"516970"</f>
        <v>516970</v>
      </c>
      <c r="B15272" s="2" t="str">
        <f>"MANOMETRO FAMABRAS 62MM 1/4 0 A 6 BAR"</f>
        <v>MANOMETRO FAMABRAS 62MM 1/4 0 A 6 BAR</v>
      </c>
      <c r="C15272" s="2" t="str">
        <f>"UN"</f>
        <v>UN</v>
      </c>
      <c r="D15272" s="7">
        <v>918</v>
      </c>
      <c r="E15272" s="3">
        <v>4</v>
      </c>
      <c r="F15272" s="3">
        <v>4</v>
      </c>
      <c r="G15272" t="s">
        <v>512</v>
      </c>
    </row>
    <row r="15273" spans="1:7" x14ac:dyDescent="0.25">
      <c r="A15273" s="1" t="str">
        <f>"516285"</f>
        <v>516285</v>
      </c>
      <c r="B15273" s="2" t="str">
        <f>"MANOMETRO FLANGEADO FMA-50-10-1/4-EN"</f>
        <v>MANOMETRO FLANGEADO FMA-50-10-1/4-EN</v>
      </c>
      <c r="C15273" s="2" t="str">
        <f>"UN"</f>
        <v>UN</v>
      </c>
      <c r="D15273" s="7">
        <v>913</v>
      </c>
      <c r="E15273" s="3">
        <v>11</v>
      </c>
      <c r="F15273" s="3">
        <v>11</v>
      </c>
      <c r="G15273" t="s">
        <v>513</v>
      </c>
    </row>
    <row r="15274" spans="1:7" x14ac:dyDescent="0.25">
      <c r="A15274" s="1" t="str">
        <f>"516528"</f>
        <v>516528</v>
      </c>
      <c r="B15274" s="2" t="str">
        <f>"MANOMETRO FLANGEADO FMA-50-10-1/4-EN 159599"</f>
        <v>MANOMETRO FLANGEADO FMA-50-10-1/4-EN 159599</v>
      </c>
      <c r="C15274" s="2" t="str">
        <f>"UN"</f>
        <v>UN</v>
      </c>
      <c r="D15274" s="7">
        <v>913</v>
      </c>
      <c r="E15274" s="3">
        <v>11</v>
      </c>
      <c r="F15274" s="3">
        <v>11</v>
      </c>
      <c r="G15274" t="s">
        <v>514</v>
      </c>
    </row>
    <row r="15275" spans="1:7" x14ac:dyDescent="0.25">
      <c r="A15275" s="1" t="str">
        <f>"516529"</f>
        <v>516529</v>
      </c>
      <c r="B15275" s="2" t="str">
        <f>"MANOMETRO FLANGEADO FMA-63-10-1/4-EN 159602"</f>
        <v>MANOMETRO FLANGEADO FMA-63-10-1/4-EN 159602</v>
      </c>
      <c r="C15275" s="2" t="str">
        <f>"UN"</f>
        <v>UN</v>
      </c>
      <c r="D15275" s="7">
        <v>913</v>
      </c>
      <c r="E15275" s="3">
        <v>11</v>
      </c>
      <c r="F15275" s="3">
        <v>11</v>
      </c>
      <c r="G15275" t="s">
        <v>515</v>
      </c>
    </row>
    <row r="15276" spans="1:7" x14ac:dyDescent="0.25">
      <c r="A15276" s="1" t="str">
        <f>"503480"</f>
        <v>503480</v>
      </c>
      <c r="B15276" s="2" t="str">
        <f>"MANOMETRO HORIZONTAL DE 0ºA100º 1/2BSP"</f>
        <v>MANOMETRO HORIZONTAL DE 0ºA100º 1/2BSP</v>
      </c>
      <c r="C15276" s="2" t="str">
        <f>"BR"</f>
        <v>BR</v>
      </c>
      <c r="D15276" s="7">
        <v>808</v>
      </c>
      <c r="E15276" s="3">
        <v>10</v>
      </c>
      <c r="F15276" s="3">
        <v>10</v>
      </c>
      <c r="G15276" t="s">
        <v>512</v>
      </c>
    </row>
    <row r="15277" spans="1:7" x14ac:dyDescent="0.25">
      <c r="A15277" s="1" t="str">
        <f>"521175"</f>
        <v>521175</v>
      </c>
      <c r="B15277" s="2" t="str">
        <f>"MANOMETRO MA-50-10-1/4G FESTO 0 A 10 BAR 162838"</f>
        <v>MANOMETRO MA-50-10-1/4G FESTO 0 A 10 BAR 162838</v>
      </c>
      <c r="C15277" s="2" t="str">
        <f>"BR"</f>
        <v>BR</v>
      </c>
      <c r="D15277" s="7">
        <v>808</v>
      </c>
      <c r="E15277" s="3">
        <v>10</v>
      </c>
      <c r="F15277" s="3">
        <v>10</v>
      </c>
      <c r="G15277" t="s">
        <v>516</v>
      </c>
    </row>
    <row r="15278" spans="1:7" x14ac:dyDescent="0.25">
      <c r="A15278" s="1" t="str">
        <f>"506165"</f>
        <v>506165</v>
      </c>
      <c r="B15278" s="2" t="str">
        <f>"MANOMETRO MAYCON 3"" ALTA PRESSAO 3/8"""</f>
        <v>MANOMETRO MAYCON 3" ALTA PRESSAO 3/8"</v>
      </c>
      <c r="C15278" s="2" t="str">
        <f t="shared" ref="C15278:C15284" si="603">"UN"</f>
        <v>UN</v>
      </c>
      <c r="D15278" s="7">
        <v>918</v>
      </c>
      <c r="E15278" s="3">
        <v>11</v>
      </c>
      <c r="F15278" s="3">
        <v>11</v>
      </c>
      <c r="G15278" t="s">
        <v>515</v>
      </c>
    </row>
    <row r="15279" spans="1:7" x14ac:dyDescent="0.25">
      <c r="A15279" s="1" t="str">
        <f>"503763"</f>
        <v>503763</v>
      </c>
      <c r="B15279" s="2" t="str">
        <f>"MANOMETRO MAYCON 3"" BAIXA PRESSAO 3/8"</f>
        <v>MANOMETRO MAYCON 3" BAIXA PRESSAO 3/8</v>
      </c>
      <c r="C15279" s="2" t="str">
        <f t="shared" si="603"/>
        <v>UN</v>
      </c>
      <c r="D15279" s="7">
        <v>918</v>
      </c>
      <c r="E15279" s="3">
        <v>11</v>
      </c>
      <c r="F15279" s="3">
        <v>11</v>
      </c>
      <c r="G15279" t="s">
        <v>514</v>
      </c>
    </row>
    <row r="15280" spans="1:7" x14ac:dyDescent="0.25">
      <c r="A15280" s="1" t="str">
        <f>"526444"</f>
        <v>526444</v>
      </c>
      <c r="B15280" s="2" t="str">
        <f>"MANOMETRO MG 10500  0016 MAN25"</f>
        <v>MANOMETRO MG 10500  0016 MAN25</v>
      </c>
      <c r="C15280" s="2" t="str">
        <f t="shared" si="603"/>
        <v>UN</v>
      </c>
      <c r="D15280" s="7">
        <v>918</v>
      </c>
      <c r="E15280" s="3">
        <v>11</v>
      </c>
      <c r="F15280" s="3">
        <v>11</v>
      </c>
      <c r="G15280" t="s">
        <v>512</v>
      </c>
    </row>
    <row r="15281" spans="1:7" x14ac:dyDescent="0.25">
      <c r="A15281" s="1" t="str">
        <f>"519615"</f>
        <v>519615</v>
      </c>
      <c r="B15281" s="2" t="str">
        <f>"MANOMETRO OA10 DIAFRAGMA 1/2"</f>
        <v>MANOMETRO OA10 DIAFRAGMA 1/2</v>
      </c>
      <c r="C15281" s="2" t="str">
        <f t="shared" si="603"/>
        <v>UN</v>
      </c>
      <c r="D15281" s="7">
        <v>918</v>
      </c>
      <c r="E15281" s="3">
        <v>11</v>
      </c>
      <c r="F15281" s="3">
        <v>11</v>
      </c>
      <c r="G15281" t="s">
        <v>513</v>
      </c>
    </row>
    <row r="15282" spans="1:7" x14ac:dyDescent="0.25">
      <c r="A15282" s="1" t="str">
        <f>"505018"</f>
        <v>505018</v>
      </c>
      <c r="B15282" s="2" t="str">
        <f>"MANOMETRO OLEO MYCON N4WA 1992"</f>
        <v>MANOMETRO OLEO MYCON N4WA 1992</v>
      </c>
      <c r="C15282" s="2" t="str">
        <f t="shared" si="603"/>
        <v>UN</v>
      </c>
      <c r="D15282" s="7">
        <v>918</v>
      </c>
      <c r="E15282" s="3">
        <v>11</v>
      </c>
      <c r="F15282" s="3">
        <v>11</v>
      </c>
      <c r="G15282" t="s">
        <v>514</v>
      </c>
    </row>
    <row r="15283" spans="1:7" x14ac:dyDescent="0.25">
      <c r="A15283" s="1" t="str">
        <f>"504002"</f>
        <v>504002</v>
      </c>
      <c r="B15283" s="2" t="str">
        <f>"MANOMETRO P/ GAS FREON R22 BAIXA PRESSAO"</f>
        <v>MANOMETRO P/ GAS FREON R22 BAIXA PRESSAO</v>
      </c>
      <c r="C15283" s="2" t="str">
        <f t="shared" si="603"/>
        <v>UN</v>
      </c>
      <c r="D15283" s="7">
        <v>818</v>
      </c>
      <c r="E15283" s="3">
        <v>10</v>
      </c>
      <c r="F15283" s="3">
        <v>10</v>
      </c>
      <c r="G15283" t="s">
        <v>514</v>
      </c>
    </row>
    <row r="15284" spans="1:7" x14ac:dyDescent="0.25">
      <c r="A15284" s="1" t="str">
        <f>"505116"</f>
        <v>505116</v>
      </c>
      <c r="B15284" s="2" t="str">
        <f>"MANOMETRO PAINEL 0 A 4 BAR 1/4"</f>
        <v>MANOMETRO PAINEL 0 A 4 BAR 1/4</v>
      </c>
      <c r="C15284" s="2" t="str">
        <f t="shared" si="603"/>
        <v>UN</v>
      </c>
      <c r="D15284" s="7">
        <v>918</v>
      </c>
      <c r="E15284" s="3">
        <v>11</v>
      </c>
      <c r="F15284" s="3">
        <v>11</v>
      </c>
      <c r="G15284" t="s">
        <v>512</v>
      </c>
    </row>
    <row r="15285" spans="1:7" x14ac:dyDescent="0.25">
      <c r="A15285" s="1" t="str">
        <f>"526183"</f>
        <v>526183</v>
      </c>
      <c r="B15285" s="2" t="str">
        <f>"MANOMETRO PETROQUIMICO NKI 10 1 2N 0/10 G SD"</f>
        <v>MANOMETRO PETROQUIMICO NKI 10 1 2N 0/10 G SD</v>
      </c>
      <c r="C15285" s="2" t="str">
        <f>"BR"</f>
        <v>BR</v>
      </c>
      <c r="D15285" s="7">
        <v>808</v>
      </c>
      <c r="E15285" s="3">
        <v>10</v>
      </c>
      <c r="F15285" s="3">
        <v>10</v>
      </c>
      <c r="G15285" t="s">
        <v>513</v>
      </c>
    </row>
    <row r="15286" spans="1:7" x14ac:dyDescent="0.25">
      <c r="A15286" s="1" t="str">
        <f>"526182"</f>
        <v>526182</v>
      </c>
      <c r="B15286" s="2" t="str">
        <f>"MANOMETRO PETROQUIMICO NKI-10"</f>
        <v>MANOMETRO PETROQUIMICO NKI-10</v>
      </c>
      <c r="C15286" s="2" t="str">
        <f>"BR"</f>
        <v>BR</v>
      </c>
      <c r="D15286" s="7">
        <v>808</v>
      </c>
      <c r="E15286" s="3">
        <v>10</v>
      </c>
      <c r="F15286" s="3">
        <v>10</v>
      </c>
      <c r="G15286" t="s">
        <v>514</v>
      </c>
    </row>
    <row r="15287" spans="1:7" x14ac:dyDescent="0.25">
      <c r="A15287" s="1" t="str">
        <f>"504416"</f>
        <v>504416</v>
      </c>
      <c r="B15287" s="2" t="str">
        <f>"MANOMETRO PNEUM. MICRO 0.100.000.052"</f>
        <v>MANOMETRO PNEUM. MICRO 0.100.000.052</v>
      </c>
      <c r="C15287" s="2" t="str">
        <f>"BR"</f>
        <v>BR</v>
      </c>
      <c r="D15287" s="7">
        <v>808</v>
      </c>
      <c r="E15287" s="3">
        <v>10</v>
      </c>
      <c r="F15287" s="3">
        <v>10</v>
      </c>
      <c r="G15287" t="s">
        <v>514</v>
      </c>
    </row>
    <row r="15288" spans="1:7" x14ac:dyDescent="0.25">
      <c r="A15288" s="1" t="str">
        <f>"502424"</f>
        <v>502424</v>
      </c>
      <c r="B15288" s="2" t="str">
        <f>"MANOMETRO PNEUMATICO COD.PN1450 G1/4"</f>
        <v>MANOMETRO PNEUMATICO COD.PN1450 G1/4</v>
      </c>
      <c r="C15288" s="2" t="str">
        <f>"BR"</f>
        <v>BR</v>
      </c>
      <c r="D15288" s="7">
        <v>808</v>
      </c>
      <c r="E15288" s="3">
        <v>10</v>
      </c>
      <c r="F15288" s="3">
        <v>10</v>
      </c>
      <c r="G15288" t="s">
        <v>514</v>
      </c>
    </row>
    <row r="15289" spans="1:7" x14ac:dyDescent="0.25">
      <c r="A15289" s="1" t="str">
        <f>"502422"</f>
        <v>502422</v>
      </c>
      <c r="B15289" s="2" t="str">
        <f>"MANOMETRO PNEUMATICO COD.ST1450 G1/4"</f>
        <v>MANOMETRO PNEUMATICO COD.ST1450 G1/4</v>
      </c>
      <c r="C15289" s="2" t="str">
        <f>"UN"</f>
        <v>UN</v>
      </c>
      <c r="D15289" s="7">
        <v>808</v>
      </c>
      <c r="E15289" s="3">
        <v>10</v>
      </c>
      <c r="F15289" s="3">
        <v>10</v>
      </c>
      <c r="G15289" t="s">
        <v>513</v>
      </c>
    </row>
    <row r="15290" spans="1:7" x14ac:dyDescent="0.25">
      <c r="A15290" s="1" t="str">
        <f>"525601"</f>
        <v>525601</v>
      </c>
      <c r="B15290" s="2" t="str">
        <f>"MANOMETRO PNEUMATICO COD.ST1840 G1/4"</f>
        <v>MANOMETRO PNEUMATICO COD.ST1840 G1/4</v>
      </c>
      <c r="C15290" s="2" t="str">
        <f>"BR"</f>
        <v>BR</v>
      </c>
      <c r="D15290" s="7">
        <v>808</v>
      </c>
      <c r="E15290" s="3">
        <v>10</v>
      </c>
      <c r="F15290" s="3">
        <v>10</v>
      </c>
      <c r="G15290" t="s">
        <v>512</v>
      </c>
    </row>
    <row r="15291" spans="1:7" x14ac:dyDescent="0.25">
      <c r="A15291" s="1" t="str">
        <f>"502423"</f>
        <v>502423</v>
      </c>
      <c r="B15291" s="2" t="str">
        <f>"MANOMETRO PNEUMATICO COD.ST1840 G1/8 162835"</f>
        <v>MANOMETRO PNEUMATICO COD.ST1840 G1/8 162835</v>
      </c>
      <c r="C15291" s="2" t="str">
        <f>"BR"</f>
        <v>BR</v>
      </c>
      <c r="D15291" s="7">
        <v>808</v>
      </c>
      <c r="E15291" s="3">
        <v>10</v>
      </c>
      <c r="F15291" s="3">
        <v>10</v>
      </c>
      <c r="G15291" t="s">
        <v>513</v>
      </c>
    </row>
    <row r="15292" spans="1:7" x14ac:dyDescent="0.25">
      <c r="A15292" s="1" t="str">
        <f>"526804"</f>
        <v>526804</v>
      </c>
      <c r="B15292" s="2" t="str">
        <f>"MANOMETRO REDA 10KGF 1/4 SEL 18DN 25 MACHO"</f>
        <v>MANOMETRO REDA 10KGF 1/4 SEL 18DN 25 MACHO</v>
      </c>
      <c r="C15292" s="2" t="str">
        <f>"UN"</f>
        <v>UN</v>
      </c>
      <c r="D15292" s="7">
        <v>918</v>
      </c>
      <c r="E15292" s="3">
        <v>11</v>
      </c>
      <c r="F15292" s="3">
        <v>11</v>
      </c>
      <c r="G15292" t="s">
        <v>514</v>
      </c>
    </row>
    <row r="15293" spans="1:7" x14ac:dyDescent="0.25">
      <c r="A15293" s="1" t="str">
        <f>"503071"</f>
        <v>503071</v>
      </c>
      <c r="B15293" s="2" t="str">
        <f>"MANOMETRO SAN.AN.C/GLIC.1/2""BSP 0 A 15KG"</f>
        <v>MANOMETRO SAN.AN.C/GLIC.1/2"BSP 0 A 15KG</v>
      </c>
      <c r="C15293" s="2" t="str">
        <f>"BR"</f>
        <v>BR</v>
      </c>
      <c r="D15293" s="7">
        <v>808</v>
      </c>
      <c r="E15293" s="3">
        <v>10</v>
      </c>
      <c r="F15293" s="3">
        <v>10</v>
      </c>
      <c r="G15293" t="s">
        <v>514</v>
      </c>
    </row>
    <row r="15294" spans="1:7" x14ac:dyDescent="0.25">
      <c r="A15294" s="1" t="str">
        <f>"503070"</f>
        <v>503070</v>
      </c>
      <c r="B15294" s="2" t="str">
        <f>"MANOMETRO SAN.AN.C/GLIC.3/4""BSP 0 A 6KG"</f>
        <v>MANOMETRO SAN.AN.C/GLIC.3/4"BSP 0 A 6KG</v>
      </c>
      <c r="C15294" s="2" t="str">
        <f>"BR"</f>
        <v>BR</v>
      </c>
      <c r="D15294" s="7">
        <v>808</v>
      </c>
      <c r="E15294" s="3">
        <v>10</v>
      </c>
      <c r="F15294" s="3">
        <v>10</v>
      </c>
      <c r="G15294" t="s">
        <v>514</v>
      </c>
    </row>
    <row r="15295" spans="1:7" x14ac:dyDescent="0.25">
      <c r="A15295" s="1" t="str">
        <f>"504388"</f>
        <v>504388</v>
      </c>
      <c r="B15295" s="2" t="str">
        <f>"MANOMETRO VERT 3"" 0-150KGF 1/2"" GLICERIN"</f>
        <v>MANOMETRO VERT 3" 0-150KGF 1/2" GLICERIN</v>
      </c>
      <c r="C15295" s="2" t="str">
        <f>"UN"</f>
        <v>UN</v>
      </c>
      <c r="D15295" s="7">
        <v>918</v>
      </c>
      <c r="E15295" s="3">
        <v>10</v>
      </c>
      <c r="F15295" s="3">
        <v>10</v>
      </c>
      <c r="G15295" t="s">
        <v>513</v>
      </c>
    </row>
    <row r="15296" spans="1:7" x14ac:dyDescent="0.25">
      <c r="A15296" s="1" t="str">
        <f>"503169"</f>
        <v>503169</v>
      </c>
      <c r="B15296" s="2" t="str">
        <f>"MANOMETRO VERTICA VISOR 4""C/AMORTECEDOR"</f>
        <v>MANOMETRO VERTICA VISOR 4"C/AMORTECEDOR</v>
      </c>
      <c r="C15296" s="2" t="str">
        <f>"BR"</f>
        <v>BR</v>
      </c>
      <c r="D15296" s="7">
        <v>808</v>
      </c>
      <c r="E15296" s="3">
        <v>10</v>
      </c>
      <c r="F15296" s="3">
        <v>10</v>
      </c>
      <c r="G15296" t="s">
        <v>513</v>
      </c>
    </row>
    <row r="15297" spans="1:7" x14ac:dyDescent="0.25">
      <c r="A15297" s="1" t="str">
        <f>"527510"</f>
        <v>527510</v>
      </c>
      <c r="B15297" s="2" t="str">
        <f>"MANOMETRO VERTICAL BOURDON MODELO SPIRAX MVEAI1/2NPT0-10 KGJ"</f>
        <v>MANOMETRO VERTICAL BOURDON MODELO SPIRAX MVEAI1/2NPT0-10 KGJ</v>
      </c>
      <c r="C15297" s="2" t="str">
        <f>"BR"</f>
        <v>BR</v>
      </c>
      <c r="D15297" s="7">
        <v>808</v>
      </c>
      <c r="E15297" s="3">
        <v>10</v>
      </c>
      <c r="F15297" s="3">
        <v>10</v>
      </c>
      <c r="G15297" t="s">
        <v>513</v>
      </c>
    </row>
    <row r="15298" spans="1:7" x14ac:dyDescent="0.25">
      <c r="A15298" s="1" t="str">
        <f>"501114"</f>
        <v>501114</v>
      </c>
      <c r="B15298" s="2" t="str">
        <f>"MANOMETRO WOLER 10KGF/CM2 ROSCA-1/2"</f>
        <v>MANOMETRO WOLER 10KGF/CM2 ROSCA-1/2</v>
      </c>
      <c r="C15298" s="2" t="str">
        <f>"UN"</f>
        <v>UN</v>
      </c>
      <c r="D15298" s="7">
        <v>808</v>
      </c>
      <c r="E15298" s="3">
        <v>10</v>
      </c>
      <c r="F15298" s="3">
        <v>10</v>
      </c>
      <c r="G15298" t="s">
        <v>512</v>
      </c>
    </row>
    <row r="15299" spans="1:7" x14ac:dyDescent="0.25">
      <c r="A15299" s="1" t="str">
        <f>"506231"</f>
        <v>506231</v>
      </c>
      <c r="B15299" s="2" t="str">
        <f>"MANOMETRO YORK 0 A 25 BAR"</f>
        <v>MANOMETRO YORK 0 A 25 BAR</v>
      </c>
      <c r="C15299" s="2" t="str">
        <f>"UN"</f>
        <v>UN</v>
      </c>
      <c r="D15299" s="7">
        <v>812</v>
      </c>
      <c r="E15299" s="3">
        <v>10</v>
      </c>
      <c r="F15299" s="3">
        <v>10</v>
      </c>
      <c r="G15299" t="s">
        <v>513</v>
      </c>
    </row>
    <row r="15300" spans="1:7" x14ac:dyDescent="0.25">
      <c r="A15300" s="1" t="str">
        <f>"508517"</f>
        <v>508517</v>
      </c>
      <c r="B15300" s="2" t="str">
        <f>"MANOMETRO ZURICH 0-300 KGF/CM2"</f>
        <v>MANOMETRO ZURICH 0-300 KGF/CM2</v>
      </c>
      <c r="C15300" s="2" t="str">
        <f>"UN"</f>
        <v>UN</v>
      </c>
      <c r="D15300" s="7">
        <v>918</v>
      </c>
      <c r="E15300" s="3">
        <v>11</v>
      </c>
      <c r="F15300" s="3">
        <v>11</v>
      </c>
      <c r="G15300" t="s">
        <v>514</v>
      </c>
    </row>
    <row r="15301" spans="1:7" x14ac:dyDescent="0.25">
      <c r="A15301" s="1" t="str">
        <f>"512501"</f>
        <v>512501</v>
      </c>
      <c r="B15301" s="2" t="str">
        <f>"MANOMETRO ZURICH 0A100º 100MM HASTE150MM"</f>
        <v>MANOMETRO ZURICH 0A100º 100MM HASTE150MM</v>
      </c>
      <c r="C15301" s="2" t="str">
        <f>"UN"</f>
        <v>UN</v>
      </c>
      <c r="D15301" s="7">
        <v>918</v>
      </c>
      <c r="E15301" s="3">
        <v>11</v>
      </c>
      <c r="F15301" s="3">
        <v>11</v>
      </c>
      <c r="G15301" t="s">
        <v>515</v>
      </c>
    </row>
    <row r="15302" spans="1:7" x14ac:dyDescent="0.25">
      <c r="A15302" s="1" t="str">
        <f>"504145"</f>
        <v>504145</v>
      </c>
      <c r="B15302" s="2" t="str">
        <f>"MANOMETRO ZURICH MOD. RZTC.100/1"</f>
        <v>MANOMETRO ZURICH MOD. RZTC.100/1</v>
      </c>
      <c r="C15302" s="2" t="str">
        <f>"BR"</f>
        <v>BR</v>
      </c>
      <c r="D15302" s="7">
        <v>808</v>
      </c>
      <c r="E15302" s="3">
        <v>10</v>
      </c>
      <c r="F15302" s="3">
        <v>10</v>
      </c>
      <c r="G15302" t="s">
        <v>512</v>
      </c>
    </row>
    <row r="15303" spans="1:7" x14ac:dyDescent="0.25">
      <c r="A15303" s="1" t="str">
        <f>"516342"</f>
        <v>516342</v>
      </c>
      <c r="B15303" s="2" t="str">
        <f>"MANOMETRO ZURICH RZMK  0 A 400 BAR"</f>
        <v>MANOMETRO ZURICH RZMK  0 A 400 BAR</v>
      </c>
      <c r="C15303" s="2" t="str">
        <f>"UN"</f>
        <v>UN</v>
      </c>
      <c r="D15303" s="7">
        <v>918</v>
      </c>
      <c r="E15303" s="3">
        <v>11</v>
      </c>
      <c r="F15303" s="3">
        <v>11</v>
      </c>
      <c r="G15303" t="s">
        <v>516</v>
      </c>
    </row>
    <row r="15304" spans="1:7" x14ac:dyDescent="0.25">
      <c r="A15304" s="1" t="str">
        <f>"514941"</f>
        <v>514941</v>
      </c>
      <c r="B15304" s="2" t="str">
        <f>"MANOMETRO ZURICH RZMK 350KGF"</f>
        <v>MANOMETRO ZURICH RZMK 350KGF</v>
      </c>
      <c r="C15304" s="2" t="str">
        <f>"UN"</f>
        <v>UN</v>
      </c>
      <c r="D15304" s="7">
        <v>812</v>
      </c>
      <c r="E15304" s="3">
        <v>10</v>
      </c>
      <c r="F15304" s="3">
        <v>10</v>
      </c>
      <c r="G15304" t="s">
        <v>515</v>
      </c>
    </row>
    <row r="15305" spans="1:7" x14ac:dyDescent="0.25">
      <c r="A15305" s="1" t="str">
        <f>"506228"</f>
        <v>506228</v>
      </c>
      <c r="B15305" s="2" t="str">
        <f>"MANOMETRO ZURICH RZMK 350KGF C/ FLANGE"</f>
        <v>MANOMETRO ZURICH RZMK 350KGF C/ FLANGE</v>
      </c>
      <c r="C15305" s="2" t="str">
        <f>"BR"</f>
        <v>BR</v>
      </c>
      <c r="D15305" s="7">
        <v>808</v>
      </c>
      <c r="E15305" s="3">
        <v>10</v>
      </c>
      <c r="F15305" s="3">
        <v>10</v>
      </c>
      <c r="G15305" t="s">
        <v>514</v>
      </c>
    </row>
    <row r="15306" spans="1:7" x14ac:dyDescent="0.25">
      <c r="A15306" s="1" t="str">
        <f>"506230"</f>
        <v>506230</v>
      </c>
      <c r="B15306" s="2" t="str">
        <f>"MANOMETRO ZURICH RZMK 350KGF S/ FLANGE"</f>
        <v>MANOMETRO ZURICH RZMK 350KGF S/ FLANGE</v>
      </c>
      <c r="C15306" s="2" t="str">
        <f t="shared" ref="C15306:C15311" si="604">"UN"</f>
        <v>UN</v>
      </c>
      <c r="D15306" s="7">
        <v>812</v>
      </c>
      <c r="E15306" s="3">
        <v>10</v>
      </c>
      <c r="F15306" s="3">
        <v>10</v>
      </c>
      <c r="G15306" t="s">
        <v>512</v>
      </c>
    </row>
    <row r="15307" spans="1:7" x14ac:dyDescent="0.25">
      <c r="A15307" s="1" t="str">
        <f>"505209"</f>
        <v>505209</v>
      </c>
      <c r="B15307" s="2" t="str">
        <f>"MANOMETRO ZURICH RZMK 700KGF C/ FLANGE"</f>
        <v>MANOMETRO ZURICH RZMK 700KGF C/ FLANGE</v>
      </c>
      <c r="C15307" s="2" t="str">
        <f t="shared" si="604"/>
        <v>UN</v>
      </c>
      <c r="D15307" s="7">
        <v>918</v>
      </c>
      <c r="E15307" s="3">
        <v>11</v>
      </c>
      <c r="F15307" s="3">
        <v>11</v>
      </c>
      <c r="G15307" t="s">
        <v>513</v>
      </c>
    </row>
    <row r="15308" spans="1:7" x14ac:dyDescent="0.25">
      <c r="A15308" s="1" t="str">
        <f>"516220"</f>
        <v>516220</v>
      </c>
      <c r="B15308" s="2" t="str">
        <f>"MANOMETRO ZURICH RZNP 0 A 15KG TC 1 1/2"""</f>
        <v>MANOMETRO ZURICH RZNP 0 A 15KG TC 1 1/2"</v>
      </c>
      <c r="C15308" s="2" t="str">
        <f t="shared" si="604"/>
        <v>UN</v>
      </c>
      <c r="D15308" s="7">
        <v>918</v>
      </c>
      <c r="E15308" s="3">
        <v>10</v>
      </c>
      <c r="F15308" s="3">
        <v>10</v>
      </c>
      <c r="G15308" t="s">
        <v>514</v>
      </c>
    </row>
    <row r="15309" spans="1:7" x14ac:dyDescent="0.25">
      <c r="A15309" s="1" t="str">
        <f>"516343"</f>
        <v>516343</v>
      </c>
      <c r="B15309" s="2" t="str">
        <f>"MANOMETRO ZURICH RZNP 10 BAR SMS.38 1 1/2"""</f>
        <v>MANOMETRO ZURICH RZNP 10 BAR SMS.38 1 1/2"</v>
      </c>
      <c r="C15309" s="2" t="str">
        <f t="shared" si="604"/>
        <v>UN</v>
      </c>
      <c r="D15309" s="7">
        <v>918</v>
      </c>
      <c r="E15309" s="3">
        <v>11</v>
      </c>
      <c r="F15309" s="3">
        <v>11</v>
      </c>
      <c r="G15309" t="s">
        <v>514</v>
      </c>
    </row>
    <row r="15310" spans="1:7" x14ac:dyDescent="0.25">
      <c r="A15310" s="1" t="str">
        <f>"525333"</f>
        <v>525333</v>
      </c>
      <c r="B15310" s="2" t="str">
        <f>"MANOMETRO ZURICH RZNP 10 BAR SMS.51 ( 2"" )"</f>
        <v>MANOMETRO ZURICH RZNP 10 BAR SMS.51 ( 2" )</v>
      </c>
      <c r="C15310" s="2" t="str">
        <f t="shared" si="604"/>
        <v>UN</v>
      </c>
      <c r="D15310" s="7">
        <v>918</v>
      </c>
      <c r="E15310" s="3">
        <v>11</v>
      </c>
      <c r="F15310" s="3">
        <v>11</v>
      </c>
      <c r="G15310" t="s">
        <v>512</v>
      </c>
    </row>
    <row r="15311" spans="1:7" x14ac:dyDescent="0.25">
      <c r="A15311" s="1" t="str">
        <f>"510612"</f>
        <v>510612</v>
      </c>
      <c r="B15311" s="2" t="str">
        <f>"MANOMETRO ZURICH RZNP 10KG NP.SMS. 38"</f>
        <v>MANOMETRO ZURICH RZNP 10KG NP.SMS. 38</v>
      </c>
      <c r="C15311" s="2" t="str">
        <f t="shared" si="604"/>
        <v>UN</v>
      </c>
      <c r="D15311" s="7">
        <v>918</v>
      </c>
      <c r="E15311" s="3">
        <v>11</v>
      </c>
      <c r="F15311" s="3">
        <v>11</v>
      </c>
      <c r="G15311" t="s">
        <v>513</v>
      </c>
    </row>
    <row r="15312" spans="1:7" x14ac:dyDescent="0.25">
      <c r="A15312" s="1" t="str">
        <f>"504122"</f>
        <v>504122</v>
      </c>
      <c r="B15312" s="2" t="str">
        <f>"MANOMETRO ZURICH RZNP25 BAR/MPA SMS.38"</f>
        <v>MANOMETRO ZURICH RZNP25 BAR/MPA SMS.38</v>
      </c>
      <c r="C15312" s="2" t="str">
        <f>"BR"</f>
        <v>BR</v>
      </c>
      <c r="D15312" s="7">
        <v>808</v>
      </c>
      <c r="E15312" s="3">
        <v>10</v>
      </c>
      <c r="F15312" s="3">
        <v>10</v>
      </c>
      <c r="G15312" t="s">
        <v>514</v>
      </c>
    </row>
    <row r="15313" spans="1:7" x14ac:dyDescent="0.25">
      <c r="A15313" s="1" t="str">
        <f>"522048"</f>
        <v>522048</v>
      </c>
      <c r="B15313" s="2" t="str">
        <f>"MANOMETRO ZURICH RZTC 0-10KGF TC.38"</f>
        <v>MANOMETRO ZURICH RZTC 0-10KGF TC.38</v>
      </c>
      <c r="C15313" s="2" t="str">
        <f>"UN"</f>
        <v>UN</v>
      </c>
      <c r="D15313" s="7">
        <v>808</v>
      </c>
      <c r="E15313" s="3">
        <v>10</v>
      </c>
      <c r="F15313" s="3">
        <v>10</v>
      </c>
      <c r="G15313" t="s">
        <v>514</v>
      </c>
    </row>
    <row r="15314" spans="1:7" x14ac:dyDescent="0.25">
      <c r="A15314" s="1" t="str">
        <f>"506229"</f>
        <v>506229</v>
      </c>
      <c r="B15314" s="2" t="str">
        <f>"MANOMETRO ZURICH RZTC 0-1KGF TC.38"</f>
        <v>MANOMETRO ZURICH RZTC 0-1KGF TC.38</v>
      </c>
      <c r="C15314" s="2" t="str">
        <f>"UN"</f>
        <v>UN</v>
      </c>
      <c r="D15314" s="7">
        <v>808</v>
      </c>
      <c r="E15314" s="3">
        <v>10</v>
      </c>
      <c r="F15314" s="3">
        <v>10</v>
      </c>
      <c r="G15314" t="s">
        <v>514</v>
      </c>
    </row>
    <row r="15315" spans="1:7" x14ac:dyDescent="0.25">
      <c r="A15315" s="1" t="str">
        <f>"503572"</f>
        <v>503572</v>
      </c>
      <c r="B15315" s="2" t="str">
        <f>"MANOMETRO ZURICH RZTC 0-2BAR  TC.38 5"</f>
        <v>MANOMETRO ZURICH RZTC 0-2BAR  TC.38 5</v>
      </c>
      <c r="C15315" s="2" t="str">
        <f>"BR"</f>
        <v>BR</v>
      </c>
      <c r="D15315" s="7">
        <v>808</v>
      </c>
      <c r="E15315" s="3">
        <v>10</v>
      </c>
      <c r="F15315" s="3">
        <v>10</v>
      </c>
      <c r="G15315" t="s">
        <v>513</v>
      </c>
    </row>
    <row r="15316" spans="1:7" x14ac:dyDescent="0.25">
      <c r="A15316" s="1" t="str">
        <f>"510843"</f>
        <v>510843</v>
      </c>
      <c r="B15316" s="2" t="str">
        <f>"MANOMETRO ZURICH RZTC TC38 0 A 10Kgf/cm2"</f>
        <v>MANOMETRO ZURICH RZTC TC38 0 A 10Kgf/cm2</v>
      </c>
      <c r="C15316" s="2" t="str">
        <f>"BR"</f>
        <v>BR</v>
      </c>
      <c r="D15316" s="7">
        <v>808</v>
      </c>
      <c r="E15316" s="3">
        <v>10</v>
      </c>
      <c r="F15316" s="3">
        <v>10</v>
      </c>
      <c r="G15316" t="s">
        <v>512</v>
      </c>
    </row>
    <row r="15317" spans="1:7" x14ac:dyDescent="0.25">
      <c r="A15317" s="1" t="str">
        <f>"501452"</f>
        <v>501452</v>
      </c>
      <c r="B15317" s="2" t="str">
        <f>"MANOMETRO ZURICH RZTC.10 KGF/CM2.TC.51"</f>
        <v>MANOMETRO ZURICH RZTC.10 KGF/CM2.TC.51</v>
      </c>
      <c r="C15317" s="2" t="str">
        <f>"PC"</f>
        <v>PC</v>
      </c>
      <c r="D15317" s="7">
        <v>808</v>
      </c>
      <c r="E15317" s="3">
        <v>10</v>
      </c>
      <c r="F15317" s="2">
        <v>8</v>
      </c>
      <c r="G15317" t="s">
        <v>513</v>
      </c>
    </row>
    <row r="15318" spans="1:7" x14ac:dyDescent="0.25">
      <c r="A15318" s="1" t="str">
        <f>"512500"</f>
        <v>512500</v>
      </c>
      <c r="B15318" s="2" t="str">
        <f>"MANOMETRO ZURICH-10A50º 100MM HASTE150MM"</f>
        <v>MANOMETRO ZURICH-10A50º 100MM HASTE150MM</v>
      </c>
      <c r="C15318" s="2" t="str">
        <f t="shared" ref="C15318:C15325" si="605">"UN"</f>
        <v>UN</v>
      </c>
      <c r="D15318" s="7">
        <v>918</v>
      </c>
      <c r="E15318" s="3">
        <v>11</v>
      </c>
      <c r="F15318" s="2">
        <v>6</v>
      </c>
      <c r="G15318" t="s">
        <v>514</v>
      </c>
    </row>
    <row r="15319" spans="1:7" x14ac:dyDescent="0.25">
      <c r="A15319" s="1" t="str">
        <f>"503047"</f>
        <v>503047</v>
      </c>
      <c r="B15319" s="2" t="str">
        <f>"MANOPLA"</f>
        <v>MANOPLA</v>
      </c>
      <c r="C15319" s="2" t="str">
        <f t="shared" si="605"/>
        <v>UN</v>
      </c>
      <c r="D15319" s="7">
        <v>99999</v>
      </c>
      <c r="E15319" s="3">
        <v>99</v>
      </c>
      <c r="F15319" s="2">
        <v>4</v>
      </c>
      <c r="G15319" t="s">
        <v>514</v>
      </c>
    </row>
    <row r="15320" spans="1:7" x14ac:dyDescent="0.25">
      <c r="A15320" s="1" t="str">
        <f>"520979"</f>
        <v>520979</v>
      </c>
      <c r="B15320" s="2" t="str">
        <f>"MANOPLA C/BLOQUEIO POR CADEADO PT 3VT9300-3HE20"</f>
        <v>MANOPLA C/BLOQUEIO POR CADEADO PT 3VT9300-3HE20</v>
      </c>
      <c r="C15320" s="2" t="str">
        <f t="shared" si="605"/>
        <v>UN</v>
      </c>
      <c r="D15320" s="7">
        <v>900</v>
      </c>
      <c r="E15320" s="3">
        <v>8</v>
      </c>
      <c r="F15320" s="2">
        <v>1</v>
      </c>
      <c r="G15320" t="s">
        <v>514</v>
      </c>
    </row>
    <row r="15321" spans="1:7" x14ac:dyDescent="0.25">
      <c r="A15321" s="1" t="str">
        <f>"526662"</f>
        <v>526662</v>
      </c>
      <c r="B15321" s="2" t="str">
        <f>"MANOPLA C/PROLONGADDOR EZAROTE"</f>
        <v>MANOPLA C/PROLONGADDOR EZAROTE</v>
      </c>
      <c r="C15321" s="2" t="str">
        <f t="shared" si="605"/>
        <v>UN</v>
      </c>
      <c r="D15321" s="7">
        <v>811</v>
      </c>
      <c r="E15321" s="3">
        <v>8</v>
      </c>
      <c r="F15321" s="2">
        <v>2</v>
      </c>
      <c r="G15321" t="s">
        <v>513</v>
      </c>
    </row>
    <row r="15322" spans="1:7" x14ac:dyDescent="0.25">
      <c r="A15322" s="1" t="str">
        <f>"515552"</f>
        <v>515552</v>
      </c>
      <c r="B15322" s="2" t="str">
        <f>"MANOPLA CAMBIO"</f>
        <v>MANOPLA CAMBIO</v>
      </c>
      <c r="C15322" s="2" t="str">
        <f t="shared" si="605"/>
        <v>UN</v>
      </c>
      <c r="D15322" s="7">
        <v>811</v>
      </c>
      <c r="E15322" s="3">
        <v>8</v>
      </c>
      <c r="F15322" s="2">
        <v>7</v>
      </c>
      <c r="G15322" t="s">
        <v>513</v>
      </c>
    </row>
    <row r="15323" spans="1:7" x14ac:dyDescent="0.25">
      <c r="A15323" s="1" t="str">
        <f>"518909"</f>
        <v>518909</v>
      </c>
      <c r="B15323" s="2" t="str">
        <f>"MANOPLA P/ COMANDO CHAVE SECCIONADORA RA1 C/KIRK GV"</f>
        <v>MANOPLA P/ COMANDO CHAVE SECCIONADORA RA1 C/KIRK GV</v>
      </c>
      <c r="C15323" s="2" t="str">
        <f t="shared" si="605"/>
        <v>UN</v>
      </c>
      <c r="D15323" s="7">
        <v>811</v>
      </c>
      <c r="E15323" s="3">
        <v>8</v>
      </c>
      <c r="F15323" s="2">
        <v>9</v>
      </c>
      <c r="G15323" t="s">
        <v>513</v>
      </c>
    </row>
    <row r="15324" spans="1:7" x14ac:dyDescent="0.25">
      <c r="A15324" s="1" t="str">
        <f>"524930"</f>
        <v>524930</v>
      </c>
      <c r="B15324" s="2" t="str">
        <f>"MANOPLA ROTATIVA LV429338 SCHNEIDER"</f>
        <v>MANOPLA ROTATIVA LV429338 SCHNEIDER</v>
      </c>
      <c r="C15324" s="2" t="str">
        <f t="shared" si="605"/>
        <v>UN</v>
      </c>
      <c r="D15324" s="7">
        <v>811</v>
      </c>
      <c r="E15324" s="3">
        <v>8</v>
      </c>
      <c r="F15324" s="2">
        <v>0</v>
      </c>
      <c r="G15324" t="s">
        <v>512</v>
      </c>
    </row>
    <row r="15325" spans="1:7" x14ac:dyDescent="0.25">
      <c r="A15325" s="1" t="str">
        <f>"502575"</f>
        <v>502575</v>
      </c>
      <c r="B15325" s="2" t="str">
        <f>"MANOPRA DA DIRECAO EMPILHADEIRA FBRE15"</f>
        <v>MANOPRA DA DIRECAO EMPILHADEIRA FBRE15</v>
      </c>
      <c r="C15325" s="2" t="str">
        <f t="shared" si="605"/>
        <v>UN</v>
      </c>
      <c r="D15325" s="7">
        <v>918</v>
      </c>
      <c r="E15325" s="3">
        <v>11</v>
      </c>
      <c r="F15325" s="2">
        <v>0</v>
      </c>
      <c r="G15325" t="s">
        <v>513</v>
      </c>
    </row>
    <row r="15326" spans="1:7" x14ac:dyDescent="0.25">
      <c r="A15326" s="1" t="str">
        <f>"503291"</f>
        <v>503291</v>
      </c>
      <c r="B15326" s="2" t="str">
        <f>"MANOVACUOMENTRO C/GLIC -1,0 A 2,0KGF/CM2"</f>
        <v>MANOVACUOMENTRO C/GLIC -1,0 A 2,0KGF/CM2</v>
      </c>
      <c r="C15326" s="2" t="str">
        <f>"BR"</f>
        <v>BR</v>
      </c>
      <c r="D15326" s="7">
        <v>808</v>
      </c>
      <c r="E15326" s="3">
        <v>10</v>
      </c>
      <c r="F15326" s="2">
        <v>2</v>
      </c>
      <c r="G15326" t="s">
        <v>514</v>
      </c>
    </row>
    <row r="15327" spans="1:7" x14ac:dyDescent="0.25">
      <c r="A15327" s="1" t="str">
        <f>"522673"</f>
        <v>522673</v>
      </c>
      <c r="B15327" s="2" t="str">
        <f>"MANOVACUOMETRO -1 A 1 BAR SAID VERT 1/4 BSP"</f>
        <v>MANOVACUOMETRO -1 A 1 BAR SAID VERT 1/4 BSP</v>
      </c>
      <c r="C15327" s="2" t="str">
        <f t="shared" ref="C15327:C15337" si="606">"UN"</f>
        <v>UN</v>
      </c>
      <c r="D15327" s="7">
        <v>918</v>
      </c>
      <c r="E15327" s="3">
        <v>11</v>
      </c>
      <c r="F15327" s="2">
        <v>5</v>
      </c>
      <c r="G15327" t="s">
        <v>515</v>
      </c>
    </row>
    <row r="15328" spans="1:7" x14ac:dyDescent="0.25">
      <c r="A15328" s="1" t="str">
        <f>"510968"</f>
        <v>510968</v>
      </c>
      <c r="B15328" s="2" t="str">
        <f>"MANOVACUOMETRO 4"" RETO R 1/2"" 21KGF NH3"</f>
        <v>MANOVACUOMETRO 4" RETO R 1/2" 21KGF NH3</v>
      </c>
      <c r="C15328" s="2" t="str">
        <f t="shared" si="606"/>
        <v>UN</v>
      </c>
      <c r="D15328" s="7">
        <v>918</v>
      </c>
      <c r="E15328" s="3">
        <v>11</v>
      </c>
      <c r="F15328" s="2">
        <v>6</v>
      </c>
      <c r="G15328" t="s">
        <v>512</v>
      </c>
    </row>
    <row r="15329" spans="1:7" x14ac:dyDescent="0.25">
      <c r="A15329" s="1" t="str">
        <f>"521099"</f>
        <v>521099</v>
      </c>
      <c r="B15329" s="2" t="str">
        <f>"MANOVACUÔMETRO PARA AMÔNIA, COM MOSTRADOR DE Ø 4"""</f>
        <v>MANOVACUÔMETRO PARA AMÔNIA, COM MOSTRADOR DE Ø 4"</v>
      </c>
      <c r="C15329" s="2" t="str">
        <f t="shared" si="606"/>
        <v>UN</v>
      </c>
      <c r="D15329" s="7">
        <v>912</v>
      </c>
      <c r="E15329" s="3">
        <v>10</v>
      </c>
      <c r="F15329" s="2">
        <v>9</v>
      </c>
      <c r="G15329" t="s">
        <v>516</v>
      </c>
    </row>
    <row r="15330" spans="1:7" x14ac:dyDescent="0.25">
      <c r="A15330" s="1" t="str">
        <f>"512306"</f>
        <v>512306</v>
      </c>
      <c r="B15330" s="2" t="str">
        <f>"MANTA ALUMINIZADA INCENDIO 2,10MTX1,40MT"</f>
        <v>MANTA ALUMINIZADA INCENDIO 2,10MTX1,40MT</v>
      </c>
      <c r="C15330" s="2" t="str">
        <f t="shared" si="606"/>
        <v>UN</v>
      </c>
      <c r="D15330" s="7">
        <v>403</v>
      </c>
      <c r="E15330" s="3">
        <v>4</v>
      </c>
      <c r="F15330" s="2">
        <v>5</v>
      </c>
      <c r="G15330" t="s">
        <v>515</v>
      </c>
    </row>
    <row r="15331" spans="1:7" x14ac:dyDescent="0.25">
      <c r="A15331" s="1" t="str">
        <f>"509400"</f>
        <v>509400</v>
      </c>
      <c r="B15331" s="2" t="str">
        <f>"MANTA ASFALTICA VEDACIT ALUMINIO 0,45 X 10MT"</f>
        <v>MANTA ASFALTICA VEDACIT ALUMINIO 0,45 X 10MT</v>
      </c>
      <c r="C15331" s="2" t="str">
        <f t="shared" si="606"/>
        <v>UN</v>
      </c>
      <c r="D15331" s="7">
        <v>803</v>
      </c>
      <c r="E15331" s="3">
        <v>10</v>
      </c>
      <c r="F15331" s="2">
        <v>3</v>
      </c>
      <c r="G15331" t="s">
        <v>514</v>
      </c>
    </row>
    <row r="15332" spans="1:7" x14ac:dyDescent="0.25">
      <c r="A15332" s="1" t="str">
        <f>"522862"</f>
        <v>522862</v>
      </c>
      <c r="B15332" s="2" t="str">
        <f>"MANTA ASFALTICA VEDACIT ALUMINIO 1MTX5MT"</f>
        <v>MANTA ASFALTICA VEDACIT ALUMINIO 1MTX5MT</v>
      </c>
      <c r="C15332" s="2" t="str">
        <f t="shared" si="606"/>
        <v>UN</v>
      </c>
      <c r="D15332" s="7">
        <v>803</v>
      </c>
      <c r="E15332" s="3">
        <v>10</v>
      </c>
      <c r="F15332" s="2">
        <v>3</v>
      </c>
      <c r="G15332" t="s">
        <v>512</v>
      </c>
    </row>
    <row r="15333" spans="1:7" x14ac:dyDescent="0.25">
      <c r="A15333" s="1" t="str">
        <f>"519044"</f>
        <v>519044</v>
      </c>
      <c r="B15333" s="2" t="str">
        <f>"MANTA BURILART P/ MAQUINA BANDEJA 190 X 19MM C/ 8 PISTAS"</f>
        <v>MANTA BURILART P/ MAQUINA BANDEJA 190 X 19MM C/ 8 PISTAS</v>
      </c>
      <c r="C15333" s="2" t="str">
        <f t="shared" si="606"/>
        <v>UN</v>
      </c>
      <c r="D15333" s="7">
        <v>918</v>
      </c>
      <c r="E15333" s="3">
        <v>11</v>
      </c>
      <c r="F15333" s="2">
        <v>2</v>
      </c>
      <c r="G15333" t="s">
        <v>513</v>
      </c>
    </row>
    <row r="15334" spans="1:7" x14ac:dyDescent="0.25">
      <c r="A15334" s="1" t="str">
        <f>"509807"</f>
        <v>509807</v>
      </c>
      <c r="B15334" s="2" t="str">
        <f>"MANTA DE BORRACHA 1/4"""</f>
        <v>MANTA DE BORRACHA 1/4"</v>
      </c>
      <c r="C15334" s="2" t="str">
        <f t="shared" si="606"/>
        <v>UN</v>
      </c>
      <c r="D15334" s="7">
        <v>402</v>
      </c>
      <c r="E15334" s="3">
        <v>4</v>
      </c>
      <c r="F15334" s="2">
        <v>1</v>
      </c>
      <c r="G15334" t="s">
        <v>514</v>
      </c>
    </row>
    <row r="15335" spans="1:7" x14ac:dyDescent="0.25">
      <c r="A15335" s="1" t="str">
        <f>"520330"</f>
        <v>520330</v>
      </c>
      <c r="B15335" s="2" t="str">
        <f>"MANTA DE FIBRA DE VIDRO MAXI RUBBER"</f>
        <v>MANTA DE FIBRA DE VIDRO MAXI RUBBER</v>
      </c>
      <c r="C15335" s="2" t="str">
        <f t="shared" si="606"/>
        <v>UN</v>
      </c>
      <c r="D15335" s="7">
        <v>803</v>
      </c>
      <c r="E15335" s="3">
        <v>10</v>
      </c>
      <c r="F15335" s="2">
        <v>4</v>
      </c>
      <c r="G15335" t="s">
        <v>514</v>
      </c>
    </row>
    <row r="15336" spans="1:7" x14ac:dyDescent="0.25">
      <c r="A15336" s="1" t="str">
        <f>"520837"</f>
        <v>520837</v>
      </c>
      <c r="B15336" s="2" t="str">
        <f>"MANTA DE SILICONE C4399-56716"</f>
        <v>MANTA DE SILICONE C4399-56716</v>
      </c>
      <c r="C15336" s="2" t="str">
        <f t="shared" si="606"/>
        <v>UN</v>
      </c>
      <c r="D15336" s="7">
        <v>1300</v>
      </c>
      <c r="E15336" s="3">
        <v>11</v>
      </c>
      <c r="F15336" s="2">
        <v>1</v>
      </c>
      <c r="G15336" t="s">
        <v>512</v>
      </c>
    </row>
    <row r="15337" spans="1:7" x14ac:dyDescent="0.25">
      <c r="A15337" s="1" t="str">
        <f>"513899"</f>
        <v>513899</v>
      </c>
      <c r="B15337" s="2" t="str">
        <f>"MANTA FIB 450GR"</f>
        <v>MANTA FIB 450GR</v>
      </c>
      <c r="C15337" s="2" t="str">
        <f t="shared" si="606"/>
        <v>UN</v>
      </c>
      <c r="D15337" s="7">
        <v>99999</v>
      </c>
      <c r="E15337" s="3">
        <v>99</v>
      </c>
      <c r="F15337" s="2">
        <v>2</v>
      </c>
      <c r="G15337" t="s">
        <v>513</v>
      </c>
    </row>
    <row r="15338" spans="1:7" x14ac:dyDescent="0.25">
      <c r="A15338" s="1" t="str">
        <f>"513893"</f>
        <v>513893</v>
      </c>
      <c r="B15338" s="2" t="str">
        <f>"MANTA FILTRANTE 3FAJ8002 (2,40 X 25M)"</f>
        <v>MANTA FILTRANTE 3FAJ8002 (2,40 X 25M)</v>
      </c>
      <c r="C15338" s="2" t="str">
        <f>"PC"</f>
        <v>PC</v>
      </c>
      <c r="D15338" s="7">
        <v>99999</v>
      </c>
      <c r="E15338" s="3">
        <v>99</v>
      </c>
      <c r="F15338" s="2">
        <v>7</v>
      </c>
      <c r="G15338" t="s">
        <v>514</v>
      </c>
    </row>
    <row r="15339" spans="1:7" x14ac:dyDescent="0.25">
      <c r="A15339" s="1" t="str">
        <f>"522283"</f>
        <v>522283</v>
      </c>
      <c r="B15339" s="8" t="s">
        <v>285</v>
      </c>
      <c r="C15339" s="2" t="str">
        <f>"UN"</f>
        <v>UN</v>
      </c>
      <c r="D15339" s="7">
        <v>913</v>
      </c>
      <c r="E15339" s="3">
        <v>10</v>
      </c>
      <c r="F15339" s="2">
        <v>9</v>
      </c>
      <c r="G15339" t="s">
        <v>514</v>
      </c>
    </row>
    <row r="15340" spans="1:7" x14ac:dyDescent="0.25">
      <c r="A15340" s="1" t="str">
        <f>"521616"</f>
        <v>521616</v>
      </c>
      <c r="B15340" s="2" t="str">
        <f>"MANTA FILTRANTE VECO BIOFLOW(DL) 5FAJ8002 (2,40 X 25M)"</f>
        <v>MANTA FILTRANTE VECO BIOFLOW(DL) 5FAJ8002 (2,40 X 25M)</v>
      </c>
      <c r="C15340" s="2" t="str">
        <f>"RL"</f>
        <v>RL</v>
      </c>
      <c r="D15340" s="7">
        <v>818</v>
      </c>
      <c r="E15340" s="3">
        <v>10</v>
      </c>
      <c r="F15340" s="2">
        <v>0</v>
      </c>
      <c r="G15340" t="s">
        <v>514</v>
      </c>
    </row>
    <row r="15341" spans="1:7" x14ac:dyDescent="0.25">
      <c r="A15341" s="1" t="str">
        <f>"516051"</f>
        <v>516051</v>
      </c>
      <c r="B15341" s="2" t="str">
        <f>"MANTA LÃ DE ROCHA MIT-64 1"" 25MM"</f>
        <v>MANTA LÃ DE ROCHA MIT-64 1" 25MM</v>
      </c>
      <c r="C15341" s="2" t="str">
        <f>"PC"</f>
        <v>PC</v>
      </c>
      <c r="D15341" s="7">
        <v>806</v>
      </c>
      <c r="E15341" s="3">
        <v>10</v>
      </c>
      <c r="F15341" s="2">
        <v>0</v>
      </c>
      <c r="G15341" t="s">
        <v>513</v>
      </c>
    </row>
    <row r="15342" spans="1:7" x14ac:dyDescent="0.25">
      <c r="A15342" s="1" t="str">
        <f>"518535"</f>
        <v>518535</v>
      </c>
      <c r="B15342" s="2" t="str">
        <f>"MANTA LÃ DE ROCHA MIT-64 4"" 100MM"</f>
        <v>MANTA LÃ DE ROCHA MIT-64 4" 100MM</v>
      </c>
      <c r="C15342" s="2" t="str">
        <f>"M2"</f>
        <v>M2</v>
      </c>
      <c r="D15342" s="7">
        <v>806</v>
      </c>
      <c r="E15342" s="3">
        <v>10</v>
      </c>
      <c r="F15342" s="2">
        <v>4</v>
      </c>
      <c r="G15342" t="s">
        <v>512</v>
      </c>
    </row>
    <row r="15343" spans="1:7" x14ac:dyDescent="0.25">
      <c r="A15343" s="1" t="str">
        <f>"517038"</f>
        <v>517038</v>
      </c>
      <c r="B15343" s="2" t="str">
        <f>"MANTA LIQUIDA 15KG BRANCO"</f>
        <v>MANTA LIQUIDA 15KG BRANCO</v>
      </c>
      <c r="C15343" s="2" t="str">
        <f>"UN"</f>
        <v>UN</v>
      </c>
      <c r="D15343" s="7">
        <v>917</v>
      </c>
      <c r="E15343" s="3">
        <v>10</v>
      </c>
      <c r="F15343" s="2">
        <v>1</v>
      </c>
      <c r="G15343" t="s">
        <v>513</v>
      </c>
    </row>
    <row r="15344" spans="1:7" x14ac:dyDescent="0.25">
      <c r="A15344" s="1" t="str">
        <f>"512505"</f>
        <v>512505</v>
      </c>
      <c r="B15344" s="2" t="str">
        <f>"MANTA MAXI RUBBER/CARPLAST 320GR 8MP"</f>
        <v>MANTA MAXI RUBBER/CARPLAST 320GR 8MP</v>
      </c>
      <c r="C15344" s="2" t="str">
        <f>"UN"</f>
        <v>UN</v>
      </c>
      <c r="D15344" s="7">
        <v>803</v>
      </c>
      <c r="E15344" s="3">
        <v>10</v>
      </c>
      <c r="F15344" s="2">
        <v>2</v>
      </c>
      <c r="G15344" t="s">
        <v>514</v>
      </c>
    </row>
    <row r="15345" spans="1:7" x14ac:dyDescent="0.25">
      <c r="A15345" s="1" t="str">
        <f>"520754"</f>
        <v>520754</v>
      </c>
      <c r="B15345" s="8" t="s">
        <v>178</v>
      </c>
      <c r="C15345" s="2" t="str">
        <f>"PC"</f>
        <v>PC</v>
      </c>
      <c r="D15345" s="7">
        <v>907</v>
      </c>
      <c r="E15345" s="3">
        <v>11</v>
      </c>
      <c r="F15345" s="2">
        <v>7</v>
      </c>
      <c r="G15345" t="s">
        <v>514</v>
      </c>
    </row>
    <row r="15346" spans="1:7" x14ac:dyDescent="0.25">
      <c r="A15346" s="1" t="str">
        <f>"505842"</f>
        <v>505842</v>
      </c>
      <c r="B15346" s="2" t="str">
        <f>"MANTA SILCONE 500X500MM"</f>
        <v>MANTA SILCONE 500X500MM</v>
      </c>
      <c r="C15346" s="2" t="str">
        <f>"UN"</f>
        <v>UN</v>
      </c>
      <c r="D15346" s="7">
        <v>918</v>
      </c>
      <c r="E15346" s="3">
        <v>11</v>
      </c>
      <c r="F15346" s="2">
        <v>9</v>
      </c>
      <c r="G15346" t="s">
        <v>514</v>
      </c>
    </row>
    <row r="15347" spans="1:7" x14ac:dyDescent="0.25">
      <c r="A15347" s="1" t="str">
        <f>"515650"</f>
        <v>515650</v>
      </c>
      <c r="B15347" s="2" t="str">
        <f>"MANTEIGA AVIACAO"</f>
        <v>MANTEIGA AVIACAO</v>
      </c>
      <c r="C15347" s="2" t="str">
        <f>"UN"</f>
        <v>UN</v>
      </c>
      <c r="D15347" s="7">
        <v>401</v>
      </c>
      <c r="E15347" s="3">
        <v>4</v>
      </c>
      <c r="F15347" s="5">
        <v>5</v>
      </c>
      <c r="G15347" t="s">
        <v>513</v>
      </c>
    </row>
    <row r="15348" spans="1:7" x14ac:dyDescent="0.25">
      <c r="A15348" s="1" t="str">
        <f>"2113"</f>
        <v>2113</v>
      </c>
      <c r="B15348" s="2" t="str">
        <f>"MANTEIGA EXTRA (C/ 80% MAT.GORD.)"</f>
        <v>MANTEIGA EXTRA (C/ 80% MAT.GORD.)</v>
      </c>
      <c r="C15348" s="2" t="str">
        <f>"KG"</f>
        <v>KG</v>
      </c>
      <c r="D15348" s="7">
        <v>220</v>
      </c>
      <c r="E15348" s="3">
        <v>2</v>
      </c>
      <c r="F15348" s="2">
        <v>3</v>
      </c>
      <c r="G15348" t="s">
        <v>513</v>
      </c>
    </row>
    <row r="15349" spans="1:7" x14ac:dyDescent="0.25">
      <c r="A15349" s="1" t="str">
        <f>"510141"</f>
        <v>510141</v>
      </c>
      <c r="B15349" s="2" t="str">
        <f>"MANUAL DE ROTULAGEM PARA PRODUTOS LACTEO"</f>
        <v>MANUAL DE ROTULAGEM PARA PRODUTOS LACTEO</v>
      </c>
      <c r="C15349" s="2" t="str">
        <f t="shared" ref="C15349:C15363" si="607">"UN"</f>
        <v>UN</v>
      </c>
      <c r="D15349" s="7">
        <v>918</v>
      </c>
      <c r="E15349" s="3">
        <v>11</v>
      </c>
      <c r="F15349" s="2">
        <v>8</v>
      </c>
      <c r="G15349" t="s">
        <v>513</v>
      </c>
    </row>
    <row r="15350" spans="1:7" x14ac:dyDescent="0.25">
      <c r="A15350" s="1" t="str">
        <f>"513918"</f>
        <v>513918</v>
      </c>
      <c r="B15350" s="2" t="str">
        <f>"MANUTENCAO DE VEICULO"</f>
        <v>MANUTENCAO DE VEICULO</v>
      </c>
      <c r="C15350" s="2" t="str">
        <f t="shared" si="607"/>
        <v>UN</v>
      </c>
      <c r="D15350" s="7">
        <v>99999</v>
      </c>
      <c r="E15350" s="3">
        <v>99</v>
      </c>
      <c r="F15350" s="2">
        <v>6</v>
      </c>
      <c r="G15350" t="s">
        <v>512</v>
      </c>
    </row>
    <row r="15351" spans="1:7" x14ac:dyDescent="0.25">
      <c r="A15351" s="1" t="str">
        <f>"516357"</f>
        <v>516357</v>
      </c>
      <c r="B15351" s="2" t="str">
        <f>"MANUVACUOMETRO -1,0 A 2,0 KGF/CM2"</f>
        <v>MANUVACUOMETRO -1,0 A 2,0 KGF/CM2</v>
      </c>
      <c r="C15351" s="2" t="str">
        <f t="shared" si="607"/>
        <v>UN</v>
      </c>
      <c r="D15351" s="7">
        <v>918</v>
      </c>
      <c r="E15351" s="3">
        <v>11</v>
      </c>
      <c r="F15351" s="2">
        <v>4</v>
      </c>
      <c r="G15351" t="s">
        <v>513</v>
      </c>
    </row>
    <row r="15352" spans="1:7" x14ac:dyDescent="0.25">
      <c r="A15352" s="1" t="str">
        <f>"512139"</f>
        <v>512139</v>
      </c>
      <c r="B15352" s="2" t="str">
        <f>"MAO DE OBRA CONSERTO BOMBA SANITARIA"</f>
        <v>MAO DE OBRA CONSERTO BOMBA SANITARIA</v>
      </c>
      <c r="C15352" s="2" t="str">
        <f t="shared" si="607"/>
        <v>UN</v>
      </c>
      <c r="D15352" s="7">
        <v>918</v>
      </c>
      <c r="E15352" s="3">
        <v>11</v>
      </c>
      <c r="F15352" s="2">
        <v>1</v>
      </c>
      <c r="G15352" t="s">
        <v>514</v>
      </c>
    </row>
    <row r="15353" spans="1:7" x14ac:dyDescent="0.25">
      <c r="A15353" s="1" t="str">
        <f>"518919"</f>
        <v>518919</v>
      </c>
      <c r="B15353" s="2" t="str">
        <f>"MÃO DE OBRA MONTAGEM ELETRICA"</f>
        <v>MÃO DE OBRA MONTAGEM ELETRICA</v>
      </c>
      <c r="C15353" s="2" t="str">
        <f t="shared" si="607"/>
        <v>UN</v>
      </c>
      <c r="D15353" s="7">
        <v>811</v>
      </c>
      <c r="E15353" s="3">
        <v>8</v>
      </c>
      <c r="F15353" s="2">
        <v>2</v>
      </c>
      <c r="G15353" t="s">
        <v>515</v>
      </c>
    </row>
    <row r="15354" spans="1:7" x14ac:dyDescent="0.25">
      <c r="A15354" s="1" t="str">
        <f>"509849"</f>
        <v>509849</v>
      </c>
      <c r="B15354" s="2" t="str">
        <f>"MAO FRANCESA DUPLA 400MM P/ ELETROCALHA"</f>
        <v>MAO FRANCESA DUPLA 400MM P/ ELETROCALHA</v>
      </c>
      <c r="C15354" s="2" t="str">
        <f t="shared" si="607"/>
        <v>UN</v>
      </c>
      <c r="D15354" s="7">
        <v>601</v>
      </c>
      <c r="E15354" s="3">
        <v>8</v>
      </c>
      <c r="F15354" s="2">
        <v>7</v>
      </c>
      <c r="G15354" t="s">
        <v>512</v>
      </c>
    </row>
    <row r="15355" spans="1:7" x14ac:dyDescent="0.25">
      <c r="A15355" s="1" t="str">
        <f>"522451"</f>
        <v>522451</v>
      </c>
      <c r="B15355" s="2" t="str">
        <f>"MAO FRANCESA VIGA U + CANTONEIRA"</f>
        <v>MAO FRANCESA VIGA U + CANTONEIRA</v>
      </c>
      <c r="C15355" s="2" t="str">
        <f t="shared" si="607"/>
        <v>UN</v>
      </c>
      <c r="D15355" s="7">
        <v>99999</v>
      </c>
      <c r="E15355" s="3">
        <v>99</v>
      </c>
      <c r="F15355" s="2">
        <v>9</v>
      </c>
      <c r="G15355" t="s">
        <v>516</v>
      </c>
    </row>
    <row r="15356" spans="1:7" x14ac:dyDescent="0.25">
      <c r="A15356" s="1" t="str">
        <f>"518710"</f>
        <v>518710</v>
      </c>
      <c r="B15356" s="2" t="str">
        <f>"MAP PRO-ONU PROPILENO"</f>
        <v>MAP PRO-ONU PROPILENO</v>
      </c>
      <c r="C15356" s="2" t="str">
        <f t="shared" si="607"/>
        <v>UN</v>
      </c>
      <c r="D15356" s="7">
        <v>402</v>
      </c>
      <c r="E15356" s="3">
        <v>4</v>
      </c>
      <c r="F15356" s="2">
        <v>0</v>
      </c>
      <c r="G15356" t="s">
        <v>515</v>
      </c>
    </row>
    <row r="15357" spans="1:7" x14ac:dyDescent="0.25">
      <c r="A15357" s="1" t="str">
        <f>"514736"</f>
        <v>514736</v>
      </c>
      <c r="B15357" s="2" t="str">
        <f>"MAQ. FECHAR CAIXA SEMI-AUTO. FXJ 6060"</f>
        <v>MAQ. FECHAR CAIXA SEMI-AUTO. FXJ 6060</v>
      </c>
      <c r="C15357" s="2" t="str">
        <f t="shared" si="607"/>
        <v>UN</v>
      </c>
      <c r="D15357" s="7">
        <v>1300</v>
      </c>
      <c r="E15357" s="3">
        <v>13</v>
      </c>
      <c r="F15357" s="2">
        <v>0</v>
      </c>
      <c r="G15357" t="s">
        <v>514</v>
      </c>
    </row>
    <row r="15358" spans="1:7" x14ac:dyDescent="0.25">
      <c r="A15358" s="1" t="str">
        <f>"512457"</f>
        <v>512457</v>
      </c>
      <c r="B15358" s="2" t="str">
        <f>"MAQ. SOLDA BAMBOZZI INVERT MXI 180ED"</f>
        <v>MAQ. SOLDA BAMBOZZI INVERT MXI 180ED</v>
      </c>
      <c r="C15358" s="2" t="str">
        <f t="shared" si="607"/>
        <v>UN</v>
      </c>
      <c r="D15358" s="7">
        <v>402</v>
      </c>
      <c r="E15358" s="3">
        <v>4</v>
      </c>
      <c r="F15358" s="2">
        <v>2</v>
      </c>
      <c r="G15358" t="s">
        <v>512</v>
      </c>
    </row>
    <row r="15359" spans="1:7" x14ac:dyDescent="0.25">
      <c r="A15359" s="1" t="str">
        <f>"507778"</f>
        <v>507778</v>
      </c>
      <c r="B15359" s="2" t="str">
        <f>"MAQ.VIDRO COM REGUA NL340"</f>
        <v>MAQ.VIDRO COM REGUA NL340</v>
      </c>
      <c r="C15359" s="2" t="str">
        <f t="shared" si="607"/>
        <v>UN</v>
      </c>
      <c r="D15359" s="7">
        <v>704</v>
      </c>
      <c r="E15359" s="3">
        <v>9</v>
      </c>
      <c r="F15359" s="2">
        <v>5</v>
      </c>
      <c r="G15359" t="s">
        <v>513</v>
      </c>
    </row>
    <row r="15360" spans="1:7" x14ac:dyDescent="0.25">
      <c r="A15360" s="1" t="str">
        <f>"518940"</f>
        <v>518940</v>
      </c>
      <c r="B15360" s="2" t="str">
        <f>"MAQUINA AUT. ENCHEDORA, TAMPADORA ELET. RXBY/720 SERAC"</f>
        <v>MAQUINA AUT. ENCHEDORA, TAMPADORA ELET. RXBY/720 SERAC</v>
      </c>
      <c r="C15360" s="2" t="str">
        <f t="shared" si="607"/>
        <v>UN</v>
      </c>
      <c r="D15360" s="7">
        <v>1300</v>
      </c>
      <c r="E15360" s="3">
        <v>13</v>
      </c>
      <c r="F15360" s="2">
        <v>6</v>
      </c>
      <c r="G15360" t="s">
        <v>514</v>
      </c>
    </row>
    <row r="15361" spans="1:7" x14ac:dyDescent="0.25">
      <c r="A15361" s="1" t="str">
        <f>"516568"</f>
        <v>516568</v>
      </c>
      <c r="B15361" s="2" t="str">
        <f>"MAQUINA AUT. MONOBL. ENCHED. TAMPAD. ELET. RXBY/20 SERAC"</f>
        <v>MAQUINA AUT. MONOBL. ENCHED. TAMPAD. ELET. RXBY/20 SERAC</v>
      </c>
      <c r="C15361" s="2" t="str">
        <f t="shared" si="607"/>
        <v>UN</v>
      </c>
      <c r="D15361" s="7">
        <v>1300</v>
      </c>
      <c r="E15361" s="3">
        <v>13</v>
      </c>
      <c r="F15361" s="2">
        <v>9</v>
      </c>
      <c r="G15361" t="s">
        <v>514</v>
      </c>
    </row>
    <row r="15362" spans="1:7" x14ac:dyDescent="0.25">
      <c r="A15362" s="1" t="str">
        <f>"519782"</f>
        <v>519782</v>
      </c>
      <c r="B15362" s="2" t="str">
        <f>"MAQUINA DE ENVASE"</f>
        <v>MAQUINA DE ENVASE</v>
      </c>
      <c r="C15362" s="2" t="str">
        <f t="shared" si="607"/>
        <v>UN</v>
      </c>
      <c r="D15362" s="7">
        <v>1300</v>
      </c>
      <c r="E15362" s="3">
        <v>13</v>
      </c>
      <c r="F15362" s="2">
        <v>5</v>
      </c>
      <c r="G15362" t="s">
        <v>512</v>
      </c>
    </row>
    <row r="15363" spans="1:7" x14ac:dyDescent="0.25">
      <c r="A15363" s="1" t="str">
        <f>"517384"</f>
        <v>517384</v>
      </c>
      <c r="B15363" s="2" t="str">
        <f>"MAQUINA DE ESCREVER BROTHER M-231"</f>
        <v>MAQUINA DE ESCREVER BROTHER M-231</v>
      </c>
      <c r="C15363" s="2" t="str">
        <f t="shared" si="607"/>
        <v>UN</v>
      </c>
      <c r="D15363" s="7">
        <v>1300</v>
      </c>
      <c r="E15363" s="3">
        <v>13</v>
      </c>
      <c r="F15363" s="2">
        <v>3</v>
      </c>
      <c r="G15363" t="s">
        <v>513</v>
      </c>
    </row>
    <row r="15364" spans="1:7" x14ac:dyDescent="0.25">
      <c r="A15364" s="1" t="str">
        <f>"2099"</f>
        <v>2099</v>
      </c>
      <c r="B15364" s="2" t="str">
        <f>"MAQUINA DE FECHAR CAIXAS MANUAL TI1756"</f>
        <v>MAQUINA DE FECHAR CAIXAS MANUAL TI1756</v>
      </c>
      <c r="C15364" s="2" t="str">
        <f>"PC"</f>
        <v>PC</v>
      </c>
      <c r="D15364" s="7">
        <v>408</v>
      </c>
      <c r="E15364" s="3">
        <v>4</v>
      </c>
      <c r="F15364" s="2">
        <v>3</v>
      </c>
      <c r="G15364" t="s">
        <v>514</v>
      </c>
    </row>
    <row r="15365" spans="1:7" x14ac:dyDescent="0.25">
      <c r="A15365" s="1" t="str">
        <f>"515106"</f>
        <v>515106</v>
      </c>
      <c r="B15365" s="2" t="str">
        <f>"MAQUINA DE FUNDIR QUEIJO E FABRICAR REQUEIJÃO"</f>
        <v>MAQUINA DE FUNDIR QUEIJO E FABRICAR REQUEIJÃO</v>
      </c>
      <c r="C15365" s="2" t="str">
        <f t="shared" ref="C15365:C15396" si="608">"UN"</f>
        <v>UN</v>
      </c>
      <c r="D15365" s="7">
        <v>1300</v>
      </c>
      <c r="E15365" s="3">
        <v>13</v>
      </c>
      <c r="F15365" s="2">
        <v>2</v>
      </c>
      <c r="G15365" t="s">
        <v>514</v>
      </c>
    </row>
    <row r="15366" spans="1:7" x14ac:dyDescent="0.25">
      <c r="A15366" s="1" t="str">
        <f>"515299"</f>
        <v>515299</v>
      </c>
      <c r="B15366" s="2" t="str">
        <f>"MAQUINA DE LAVAR CAIXA DE LEITE HORIZONTAL RETILINEA"</f>
        <v>MAQUINA DE LAVAR CAIXA DE LEITE HORIZONTAL RETILINEA</v>
      </c>
      <c r="C15366" s="2" t="str">
        <f t="shared" si="608"/>
        <v>UN</v>
      </c>
      <c r="D15366" s="7">
        <v>1600</v>
      </c>
      <c r="E15366" s="3">
        <v>13</v>
      </c>
      <c r="F15366" s="2">
        <v>1</v>
      </c>
      <c r="G15366" t="s">
        <v>514</v>
      </c>
    </row>
    <row r="15367" spans="1:7" x14ac:dyDescent="0.25">
      <c r="A15367" s="1" t="str">
        <f>"508199"</f>
        <v>508199</v>
      </c>
      <c r="B15367" s="2" t="str">
        <f>"MAQUINA DE SOLDA BB-300"</f>
        <v>MAQUINA DE SOLDA BB-300</v>
      </c>
      <c r="C15367" s="2" t="str">
        <f t="shared" si="608"/>
        <v>UN</v>
      </c>
      <c r="D15367" s="7">
        <v>1300</v>
      </c>
      <c r="E15367" s="3">
        <v>13</v>
      </c>
      <c r="F15367" s="2">
        <v>4</v>
      </c>
      <c r="G15367" t="s">
        <v>513</v>
      </c>
    </row>
    <row r="15368" spans="1:7" x14ac:dyDescent="0.25">
      <c r="A15368" s="1" t="str">
        <f>"522623"</f>
        <v>522623</v>
      </c>
      <c r="B15368" s="2" t="str">
        <f>"MAQUINA DE SOLDA INVERSORA ESAB 145 I PORTATIL"</f>
        <v>MAQUINA DE SOLDA INVERSORA ESAB 145 I PORTATIL</v>
      </c>
      <c r="C15368" s="2" t="str">
        <f t="shared" si="608"/>
        <v>UN</v>
      </c>
      <c r="D15368" s="7">
        <v>811</v>
      </c>
      <c r="E15368" s="3">
        <v>13</v>
      </c>
      <c r="F15368" s="2">
        <v>6</v>
      </c>
      <c r="G15368" t="s">
        <v>512</v>
      </c>
    </row>
    <row r="15369" spans="1:7" x14ac:dyDescent="0.25">
      <c r="A15369" s="1" t="str">
        <f>"517543"</f>
        <v>517543</v>
      </c>
      <c r="B15369" s="2" t="str">
        <f>"MAQUINA DE SOLDA LHN-150"</f>
        <v>MAQUINA DE SOLDA LHN-150</v>
      </c>
      <c r="C15369" s="2" t="str">
        <f t="shared" si="608"/>
        <v>UN</v>
      </c>
      <c r="D15369" s="7">
        <v>816</v>
      </c>
      <c r="E15369" s="3">
        <v>4</v>
      </c>
      <c r="F15369" s="2">
        <v>8</v>
      </c>
      <c r="G15369" t="s">
        <v>513</v>
      </c>
    </row>
    <row r="15370" spans="1:7" x14ac:dyDescent="0.25">
      <c r="A15370" s="1" t="str">
        <f>"516988"</f>
        <v>516988</v>
      </c>
      <c r="B15370" s="2" t="str">
        <f>"MAQUINA DE SOLDA MERKLE TIG PII BALMER 180A C/TOC"</f>
        <v>MAQUINA DE SOLDA MERKLE TIG PII BALMER 180A C/TOC</v>
      </c>
      <c r="C15370" s="2" t="str">
        <f t="shared" si="608"/>
        <v>UN</v>
      </c>
      <c r="D15370" s="7">
        <v>816</v>
      </c>
      <c r="E15370" s="3">
        <v>99</v>
      </c>
      <c r="F15370" s="2">
        <v>7</v>
      </c>
      <c r="G15370" t="s">
        <v>514</v>
      </c>
    </row>
    <row r="15371" spans="1:7" x14ac:dyDescent="0.25">
      <c r="A15371" s="1" t="str">
        <f>"513984"</f>
        <v>513984</v>
      </c>
      <c r="B15371" s="2" t="str">
        <f>"MAQUINA DE VIDRO"</f>
        <v>MAQUINA DE VIDRO</v>
      </c>
      <c r="C15371" s="2" t="str">
        <f t="shared" si="608"/>
        <v>UN</v>
      </c>
      <c r="D15371" s="7">
        <v>99999</v>
      </c>
      <c r="E15371" s="3">
        <v>99</v>
      </c>
      <c r="F15371" s="2">
        <v>6</v>
      </c>
      <c r="G15371" t="s">
        <v>514</v>
      </c>
    </row>
    <row r="15372" spans="1:7" x14ac:dyDescent="0.25">
      <c r="A15372" s="1" t="str">
        <f>"522394"</f>
        <v>522394</v>
      </c>
      <c r="B15372" s="2" t="str">
        <f>"MAQUINA DIGITAL"</f>
        <v>MAQUINA DIGITAL</v>
      </c>
      <c r="C15372" s="2" t="str">
        <f t="shared" si="608"/>
        <v>UN</v>
      </c>
      <c r="D15372" s="7">
        <v>99999</v>
      </c>
      <c r="E15372" s="3">
        <v>99</v>
      </c>
      <c r="F15372" s="2">
        <v>6</v>
      </c>
      <c r="G15372" t="s">
        <v>514</v>
      </c>
    </row>
    <row r="15373" spans="1:7" x14ac:dyDescent="0.25">
      <c r="A15373" s="1" t="str">
        <f>"512553"</f>
        <v>512553</v>
      </c>
      <c r="B15373" s="2" t="str">
        <f>"MAQUINA DINI 550 MN FABRIC. 010/1433/04"</f>
        <v>MAQUINA DINI 550 MN FABRIC. 010/1433/04</v>
      </c>
      <c r="C15373" s="2" t="str">
        <f t="shared" si="608"/>
        <v>UN</v>
      </c>
      <c r="D15373" s="7">
        <v>1300</v>
      </c>
      <c r="E15373" s="3">
        <v>13</v>
      </c>
      <c r="F15373" s="2">
        <v>2</v>
      </c>
      <c r="G15373" t="s">
        <v>513</v>
      </c>
    </row>
    <row r="15374" spans="1:7" x14ac:dyDescent="0.25">
      <c r="A15374" s="1" t="str">
        <f>"502153"</f>
        <v>502153</v>
      </c>
      <c r="B15374" s="2" t="str">
        <f>"MAQUINA DO VIDRO ELETRICO DIREITO VOLVO"</f>
        <v>MAQUINA DO VIDRO ELETRICO DIREITO VOLVO</v>
      </c>
      <c r="C15374" s="2" t="str">
        <f t="shared" si="608"/>
        <v>UN</v>
      </c>
      <c r="D15374" s="7">
        <v>704</v>
      </c>
      <c r="E15374" s="3">
        <v>9</v>
      </c>
      <c r="F15374" s="2">
        <v>1</v>
      </c>
      <c r="G15374" t="s">
        <v>513</v>
      </c>
    </row>
    <row r="15375" spans="1:7" x14ac:dyDescent="0.25">
      <c r="A15375" s="1" t="str">
        <f>"515313"</f>
        <v>515313</v>
      </c>
      <c r="B15375" s="2" t="str">
        <f>"MAQUINA EMPACOTADEIRA PREMEC 1000 LITROS/HORA"</f>
        <v>MAQUINA EMPACOTADEIRA PREMEC 1000 LITROS/HORA</v>
      </c>
      <c r="C15375" s="2" t="str">
        <f t="shared" si="608"/>
        <v>UN</v>
      </c>
      <c r="D15375" s="7">
        <v>600</v>
      </c>
      <c r="E15375" s="3">
        <v>13</v>
      </c>
      <c r="F15375" s="2">
        <v>0</v>
      </c>
      <c r="G15375" t="s">
        <v>513</v>
      </c>
    </row>
    <row r="15376" spans="1:7" x14ac:dyDescent="0.25">
      <c r="A15376" s="1" t="str">
        <f>"518996"</f>
        <v>518996</v>
      </c>
      <c r="B15376" s="2" t="str">
        <f>"MAQUINA ENVASADORA AUT. ROTATIVA MOD. AT-5000"</f>
        <v>MAQUINA ENVASADORA AUT. ROTATIVA MOD. AT-5000</v>
      </c>
      <c r="C15376" s="2" t="str">
        <f t="shared" si="608"/>
        <v>UN</v>
      </c>
      <c r="D15376" s="7">
        <v>1300</v>
      </c>
      <c r="E15376" s="3">
        <v>13</v>
      </c>
      <c r="F15376" s="2">
        <v>0</v>
      </c>
      <c r="G15376" t="s">
        <v>512</v>
      </c>
    </row>
    <row r="15377" spans="1:7" x14ac:dyDescent="0.25">
      <c r="A15377" s="1" t="str">
        <f>"524574"</f>
        <v>524574</v>
      </c>
      <c r="B15377" s="2" t="str">
        <f>"MAQUINA ENVASADORA BRASKOP 2000"</f>
        <v>MAQUINA ENVASADORA BRASKOP 2000</v>
      </c>
      <c r="C15377" s="2" t="str">
        <f t="shared" si="608"/>
        <v>UN</v>
      </c>
      <c r="D15377" s="7">
        <v>1300</v>
      </c>
      <c r="E15377" s="3">
        <v>13</v>
      </c>
      <c r="F15377" s="2">
        <v>0</v>
      </c>
      <c r="G15377" t="s">
        <v>513</v>
      </c>
    </row>
    <row r="15378" spans="1:7" x14ac:dyDescent="0.25">
      <c r="A15378" s="1" t="str">
        <f>"515961"</f>
        <v>515961</v>
      </c>
      <c r="B15378" s="2" t="str">
        <f>"MAQUINA ENVASADORA BRASKOP 200GL"</f>
        <v>MAQUINA ENVASADORA BRASKOP 200GL</v>
      </c>
      <c r="C15378" s="2" t="str">
        <f t="shared" si="608"/>
        <v>UN</v>
      </c>
      <c r="D15378" s="7">
        <v>99999</v>
      </c>
      <c r="E15378" s="3">
        <v>99</v>
      </c>
      <c r="F15378" s="2">
        <v>3</v>
      </c>
      <c r="G15378" t="s">
        <v>514</v>
      </c>
    </row>
    <row r="15379" spans="1:7" x14ac:dyDescent="0.25">
      <c r="A15379" s="1" t="str">
        <f>"518591"</f>
        <v>518591</v>
      </c>
      <c r="B15379" s="2" t="str">
        <f>"MAQUINA ENVASADORA BRASKOP 7000"</f>
        <v>MAQUINA ENVASADORA BRASKOP 7000</v>
      </c>
      <c r="C15379" s="2" t="str">
        <f t="shared" si="608"/>
        <v>UN</v>
      </c>
      <c r="D15379" s="7">
        <v>1300</v>
      </c>
      <c r="E15379" s="3">
        <v>13</v>
      </c>
      <c r="F15379" s="5">
        <v>5</v>
      </c>
      <c r="G15379" t="s">
        <v>515</v>
      </c>
    </row>
    <row r="15380" spans="1:7" x14ac:dyDescent="0.25">
      <c r="A15380" s="1" t="str">
        <f>"512838"</f>
        <v>512838</v>
      </c>
      <c r="B15380" s="2" t="str">
        <f>"MAQUINA ENVASE REQUEIJÃO PACKMILK"</f>
        <v>MAQUINA ENVASE REQUEIJÃO PACKMILK</v>
      </c>
      <c r="C15380" s="2" t="str">
        <f t="shared" si="608"/>
        <v>UN</v>
      </c>
      <c r="D15380" s="7">
        <v>1300</v>
      </c>
      <c r="E15380" s="3">
        <v>13</v>
      </c>
      <c r="F15380" s="2">
        <v>3</v>
      </c>
      <c r="G15380" t="s">
        <v>512</v>
      </c>
    </row>
    <row r="15381" spans="1:7" x14ac:dyDescent="0.25">
      <c r="A15381" s="1" t="str">
        <f>"523710"</f>
        <v>523710</v>
      </c>
      <c r="B15381" s="2" t="str">
        <f>"MAQUINA ENVASE ROTATIVA C/ ACES. P/ FUNCIONAMENTO"</f>
        <v>MAQUINA ENVASE ROTATIVA C/ ACES. P/ FUNCIONAMENTO</v>
      </c>
      <c r="C15381" s="2" t="str">
        <f t="shared" si="608"/>
        <v>UN</v>
      </c>
      <c r="D15381" s="7">
        <v>99999</v>
      </c>
      <c r="E15381" s="3">
        <v>99</v>
      </c>
      <c r="F15381" s="2">
        <v>8</v>
      </c>
      <c r="G15381" t="s">
        <v>516</v>
      </c>
    </row>
    <row r="15382" spans="1:7" x14ac:dyDescent="0.25">
      <c r="A15382" s="1" t="str">
        <f>"519220"</f>
        <v>519220</v>
      </c>
      <c r="B15382" s="2" t="str">
        <f>"MAQUINA ENVASE SACHE 200ML PACKMILK 2000"</f>
        <v>MAQUINA ENVASE SACHE 200ML PACKMILK 2000</v>
      </c>
      <c r="C15382" s="2" t="str">
        <f t="shared" si="608"/>
        <v>UN</v>
      </c>
      <c r="D15382" s="7">
        <v>1300</v>
      </c>
      <c r="E15382" s="3">
        <v>13</v>
      </c>
      <c r="F15382" s="2">
        <v>6</v>
      </c>
      <c r="G15382" t="s">
        <v>515</v>
      </c>
    </row>
    <row r="15383" spans="1:7" x14ac:dyDescent="0.25">
      <c r="A15383" s="1" t="str">
        <f>"526088"</f>
        <v>526088</v>
      </c>
      <c r="B15383" s="2" t="str">
        <f>"MAQUINA GEIGER UNIVER. MACHINE MOD- GTCM-340"</f>
        <v>MAQUINA GEIGER UNIVER. MACHINE MOD- GTCM-340</v>
      </c>
      <c r="C15383" s="2" t="str">
        <f t="shared" si="608"/>
        <v>UN</v>
      </c>
      <c r="D15383" s="7">
        <v>1300</v>
      </c>
      <c r="E15383" s="3">
        <v>13</v>
      </c>
      <c r="F15383" s="2">
        <v>4</v>
      </c>
      <c r="G15383" t="s">
        <v>514</v>
      </c>
    </row>
    <row r="15384" spans="1:7" x14ac:dyDescent="0.25">
      <c r="A15384" s="1" t="str">
        <f>"513337"</f>
        <v>513337</v>
      </c>
      <c r="B15384" s="2" t="str">
        <f>"MAQUINA LIMPA PISO CERTEC C-410 PROFI"</f>
        <v>MAQUINA LIMPA PISO CERTEC C-410 PROFI</v>
      </c>
      <c r="C15384" s="2" t="str">
        <f t="shared" si="608"/>
        <v>UN</v>
      </c>
      <c r="D15384" s="7">
        <v>406</v>
      </c>
      <c r="E15384" s="3">
        <v>4</v>
      </c>
      <c r="F15384" s="2">
        <v>1</v>
      </c>
      <c r="G15384" t="s">
        <v>512</v>
      </c>
    </row>
    <row r="15385" spans="1:7" x14ac:dyDescent="0.25">
      <c r="A15385" s="1" t="str">
        <f>"525397"</f>
        <v>525397</v>
      </c>
      <c r="B15385" s="2" t="str">
        <f>"MAQUINA MANUAL APLICADORA DE CHAPISCO"</f>
        <v>MAQUINA MANUAL APLICADORA DE CHAPISCO</v>
      </c>
      <c r="C15385" s="2" t="str">
        <f t="shared" si="608"/>
        <v>UN</v>
      </c>
      <c r="D15385" s="7">
        <v>817</v>
      </c>
      <c r="E15385" s="3">
        <v>4</v>
      </c>
      <c r="F15385" s="2">
        <v>2</v>
      </c>
      <c r="G15385" t="s">
        <v>513</v>
      </c>
    </row>
    <row r="15386" spans="1:7" x14ac:dyDescent="0.25">
      <c r="A15386" s="1" t="str">
        <f>"515654"</f>
        <v>515654</v>
      </c>
      <c r="B15386" s="2" t="str">
        <f>"MAQUINA MBX 2000"</f>
        <v>MAQUINA MBX 2000</v>
      </c>
      <c r="C15386" s="2" t="str">
        <f t="shared" si="608"/>
        <v>UN</v>
      </c>
      <c r="D15386" s="7">
        <v>1300</v>
      </c>
      <c r="E15386" s="3">
        <v>13</v>
      </c>
      <c r="F15386" s="2">
        <v>7</v>
      </c>
      <c r="G15386" t="s">
        <v>514</v>
      </c>
    </row>
    <row r="15387" spans="1:7" x14ac:dyDescent="0.25">
      <c r="A15387" s="1" t="str">
        <f>"517809"</f>
        <v>517809</v>
      </c>
      <c r="B15387" s="2" t="str">
        <f>"MAQUINA MBX 2000"</f>
        <v>MAQUINA MBX 2000</v>
      </c>
      <c r="C15387" s="2" t="str">
        <f t="shared" si="608"/>
        <v>UN</v>
      </c>
      <c r="D15387" s="7">
        <v>817</v>
      </c>
      <c r="E15387" s="3">
        <v>13</v>
      </c>
      <c r="F15387" s="2">
        <v>9</v>
      </c>
      <c r="G15387" t="s">
        <v>514</v>
      </c>
    </row>
    <row r="15388" spans="1:7" x14ac:dyDescent="0.25">
      <c r="A15388" s="1" t="str">
        <f>"517214"</f>
        <v>517214</v>
      </c>
      <c r="B15388" s="2" t="str">
        <f>"MAQUINA MOEDORA SG-500-S"</f>
        <v>MAQUINA MOEDORA SG-500-S</v>
      </c>
      <c r="C15388" s="2" t="str">
        <f t="shared" si="608"/>
        <v>UN</v>
      </c>
      <c r="D15388" s="7">
        <v>1300</v>
      </c>
      <c r="E15388" s="3">
        <v>13</v>
      </c>
      <c r="F15388" s="2">
        <v>0</v>
      </c>
      <c r="G15388" t="s">
        <v>512</v>
      </c>
    </row>
    <row r="15389" spans="1:7" x14ac:dyDescent="0.25">
      <c r="A15389" s="1" t="str">
        <f>"514862"</f>
        <v>514862</v>
      </c>
      <c r="B15389" s="2" t="str">
        <f>"MAQUINA PLASMA MOD. LPH37 ESAB"</f>
        <v>MAQUINA PLASMA MOD. LPH37 ESAB</v>
      </c>
      <c r="C15389" s="2" t="str">
        <f t="shared" si="608"/>
        <v>UN</v>
      </c>
      <c r="D15389" s="7">
        <v>817</v>
      </c>
      <c r="E15389" s="3">
        <v>13</v>
      </c>
      <c r="F15389" s="2">
        <v>0</v>
      </c>
      <c r="G15389" t="s">
        <v>513</v>
      </c>
    </row>
    <row r="15390" spans="1:7" x14ac:dyDescent="0.25">
      <c r="A15390" s="1" t="str">
        <f>"510935"</f>
        <v>510935</v>
      </c>
      <c r="B15390" s="2" t="str">
        <f>"MAQUINA POSICIONADORA DE FRASCOS"</f>
        <v>MAQUINA POSICIONADORA DE FRASCOS</v>
      </c>
      <c r="C15390" s="2" t="str">
        <f t="shared" si="608"/>
        <v>UN</v>
      </c>
      <c r="D15390" s="7">
        <v>1300</v>
      </c>
      <c r="E15390" s="3">
        <v>13</v>
      </c>
      <c r="F15390" s="2">
        <v>2</v>
      </c>
      <c r="G15390" t="s">
        <v>514</v>
      </c>
    </row>
    <row r="15391" spans="1:7" x14ac:dyDescent="0.25">
      <c r="A15391" s="1" t="str">
        <f>"514031"</f>
        <v>514031</v>
      </c>
      <c r="B15391" s="2" t="str">
        <f>"MAQUINA ROSQUEADORA RS-01"</f>
        <v>MAQUINA ROSQUEADORA RS-01</v>
      </c>
      <c r="C15391" s="2" t="str">
        <f t="shared" si="608"/>
        <v>UN</v>
      </c>
      <c r="D15391" s="7">
        <v>1300</v>
      </c>
      <c r="E15391" s="3">
        <v>13</v>
      </c>
      <c r="F15391" s="2">
        <v>5</v>
      </c>
      <c r="G15391" t="s">
        <v>514</v>
      </c>
    </row>
    <row r="15392" spans="1:7" x14ac:dyDescent="0.25">
      <c r="A15392" s="1" t="str">
        <f>"523317"</f>
        <v>523317</v>
      </c>
      <c r="B15392" s="2" t="str">
        <f>"MAQUINA ROTATIVA RG2 - BISIGNANO"</f>
        <v>MAQUINA ROTATIVA RG2 - BISIGNANO</v>
      </c>
      <c r="C15392" s="2" t="str">
        <f t="shared" si="608"/>
        <v>UN</v>
      </c>
      <c r="D15392" s="7">
        <v>1300</v>
      </c>
      <c r="E15392" s="3">
        <v>10</v>
      </c>
      <c r="F15392" s="2">
        <v>6</v>
      </c>
      <c r="G15392" t="s">
        <v>514</v>
      </c>
    </row>
    <row r="15393" spans="1:7" x14ac:dyDescent="0.25">
      <c r="A15393" s="1" t="str">
        <f>"512825"</f>
        <v>512825</v>
      </c>
      <c r="B15393" s="2" t="str">
        <f>"MAQUINA SAQUINHO 2500 SERIE V NUMERO 52011 ANO 1990"</f>
        <v>MAQUINA SAQUINHO 2500 SERIE V NUMERO 52011 ANO 1990</v>
      </c>
      <c r="C15393" s="2" t="str">
        <f t="shared" si="608"/>
        <v>UN</v>
      </c>
      <c r="D15393" s="7">
        <v>1300</v>
      </c>
      <c r="E15393" s="3">
        <v>13</v>
      </c>
      <c r="F15393" s="2">
        <v>9</v>
      </c>
      <c r="G15393" t="s">
        <v>513</v>
      </c>
    </row>
    <row r="15394" spans="1:7" x14ac:dyDescent="0.25">
      <c r="A15394" s="1" t="str">
        <f>"515317"</f>
        <v>515317</v>
      </c>
      <c r="B15394" s="2" t="str">
        <f>"MAQUINA SELOVAC MODELO MI 60"</f>
        <v>MAQUINA SELOVAC MODELO MI 60</v>
      </c>
      <c r="C15394" s="2" t="str">
        <f t="shared" si="608"/>
        <v>UN</v>
      </c>
      <c r="D15394" s="7">
        <v>1500</v>
      </c>
      <c r="E15394" s="3">
        <v>13</v>
      </c>
      <c r="F15394" s="2">
        <v>5</v>
      </c>
      <c r="G15394" t="s">
        <v>512</v>
      </c>
    </row>
    <row r="15395" spans="1:7" x14ac:dyDescent="0.25">
      <c r="A15395" s="1" t="str">
        <f>"505289"</f>
        <v>505289</v>
      </c>
      <c r="B15395" s="2" t="str">
        <f>"MAQUINA SERRAR TICO TICO"</f>
        <v>MAQUINA SERRAR TICO TICO</v>
      </c>
      <c r="C15395" s="2" t="str">
        <f t="shared" si="608"/>
        <v>UN</v>
      </c>
      <c r="D15395" s="7">
        <v>919</v>
      </c>
      <c r="E15395" s="3">
        <v>11</v>
      </c>
      <c r="F15395" s="2">
        <v>3</v>
      </c>
      <c r="G15395" t="s">
        <v>513</v>
      </c>
    </row>
    <row r="15396" spans="1:7" x14ac:dyDescent="0.25">
      <c r="A15396" s="1" t="str">
        <f>"514248"</f>
        <v>514248</v>
      </c>
      <c r="B15396" s="2" t="str">
        <f>"MAQUINA SORVETE PHP PHD80 S2 90 6HP PL57"</f>
        <v>MAQUINA SORVETE PHP PHD80 S2 90 6HP PL57</v>
      </c>
      <c r="C15396" s="2" t="str">
        <f t="shared" si="608"/>
        <v>UN</v>
      </c>
      <c r="D15396" s="7">
        <v>1300</v>
      </c>
      <c r="E15396" s="3">
        <v>13</v>
      </c>
      <c r="F15396" s="2">
        <v>3</v>
      </c>
      <c r="G15396" t="s">
        <v>514</v>
      </c>
    </row>
    <row r="15397" spans="1:7" x14ac:dyDescent="0.25">
      <c r="A15397" s="1" t="str">
        <f>"519432"</f>
        <v>519432</v>
      </c>
      <c r="B15397" s="2" t="str">
        <f>"MAQUINA TERMOFORMADORA DINI 450"</f>
        <v>MAQUINA TERMOFORMADORA DINI 450</v>
      </c>
      <c r="C15397" s="2" t="str">
        <f t="shared" ref="C15397:C15417" si="609">"UN"</f>
        <v>UN</v>
      </c>
      <c r="D15397" s="7">
        <v>1300</v>
      </c>
      <c r="E15397" s="3">
        <v>13</v>
      </c>
      <c r="F15397" s="2">
        <v>2</v>
      </c>
      <c r="G15397" t="s">
        <v>514</v>
      </c>
    </row>
    <row r="15398" spans="1:7" x14ac:dyDescent="0.25">
      <c r="A15398" s="1" t="str">
        <f>"526905"</f>
        <v>526905</v>
      </c>
      <c r="B15398" s="2" t="str">
        <f>"MAQUINA TERMOFORMADORA DMAX"</f>
        <v>MAQUINA TERMOFORMADORA DMAX</v>
      </c>
      <c r="C15398" s="2" t="str">
        <f t="shared" si="609"/>
        <v>UN</v>
      </c>
      <c r="D15398" s="7">
        <v>1300</v>
      </c>
      <c r="E15398" s="3">
        <v>13</v>
      </c>
      <c r="F15398" s="2">
        <v>1</v>
      </c>
      <c r="G15398" t="s">
        <v>514</v>
      </c>
    </row>
    <row r="15399" spans="1:7" x14ac:dyDescent="0.25">
      <c r="A15399" s="1" t="str">
        <f>"517231"</f>
        <v>517231</v>
      </c>
      <c r="B15399" s="2" t="str">
        <f>"MAQUINA TESTE DE PRESSÃO"</f>
        <v>MAQUINA TESTE DE PRESSÃO</v>
      </c>
      <c r="C15399" s="2" t="str">
        <f t="shared" si="609"/>
        <v>UN</v>
      </c>
      <c r="D15399" s="7">
        <v>918</v>
      </c>
      <c r="E15399" s="3">
        <v>11</v>
      </c>
      <c r="F15399" s="2">
        <v>4</v>
      </c>
      <c r="G15399" t="s">
        <v>513</v>
      </c>
    </row>
    <row r="15400" spans="1:7" x14ac:dyDescent="0.25">
      <c r="A15400" s="1" t="str">
        <f>"508444"</f>
        <v>508444</v>
      </c>
      <c r="B15400" s="2" t="str">
        <f>"MAQUINA UNI.POLIV. GEIGER MOD UMMSK-130E"</f>
        <v>MAQUINA UNI.POLIV. GEIGER MOD UMMSK-130E</v>
      </c>
      <c r="C15400" s="2" t="str">
        <f t="shared" si="609"/>
        <v>UN</v>
      </c>
      <c r="D15400" s="7">
        <v>1300</v>
      </c>
      <c r="E15400" s="3">
        <v>13</v>
      </c>
      <c r="F15400" s="2">
        <v>1</v>
      </c>
      <c r="G15400" t="s">
        <v>513</v>
      </c>
    </row>
    <row r="15401" spans="1:7" x14ac:dyDescent="0.25">
      <c r="A15401" s="1" t="str">
        <f>"521580"</f>
        <v>521580</v>
      </c>
      <c r="B15401" s="2" t="str">
        <f>"MAQUINAS/APARELHOS P/ INDUSTRIA DE LATICINIOS NCM 8434.20.10"</f>
        <v>MAQUINAS/APARELHOS P/ INDUSTRIA DE LATICINIOS NCM 8434.20.10</v>
      </c>
      <c r="C15401" s="2" t="str">
        <f t="shared" si="609"/>
        <v>UN</v>
      </c>
      <c r="D15401" s="7">
        <v>99999</v>
      </c>
      <c r="E15401" s="3">
        <v>99</v>
      </c>
      <c r="F15401" s="2">
        <v>2</v>
      </c>
      <c r="G15401" t="s">
        <v>513</v>
      </c>
    </row>
    <row r="15402" spans="1:7" x14ac:dyDescent="0.25">
      <c r="A15402" s="1" t="str">
        <f>"515700"</f>
        <v>515700</v>
      </c>
      <c r="B15402" s="2" t="str">
        <f>"MARACUJA"</f>
        <v>MARACUJA</v>
      </c>
      <c r="C15402" s="2" t="str">
        <f t="shared" si="609"/>
        <v>UN</v>
      </c>
      <c r="D15402" s="7">
        <v>401</v>
      </c>
      <c r="E15402" s="3">
        <v>4</v>
      </c>
      <c r="F15402" s="2">
        <v>7</v>
      </c>
      <c r="G15402" t="s">
        <v>512</v>
      </c>
    </row>
    <row r="15403" spans="1:7" x14ac:dyDescent="0.25">
      <c r="A15403" s="1" t="str">
        <f>"522089"</f>
        <v>522089</v>
      </c>
      <c r="B15403" s="2" t="str">
        <f>"MARC. TUB. AUT-ADESIVOS - AGUA GELADA 30,5X5X5,7CM"</f>
        <v>MARC. TUB. AUT-ADESIVOS - AGUA GELADA 30,5X5X5,7CM</v>
      </c>
      <c r="C15403" s="2" t="str">
        <f t="shared" si="609"/>
        <v>UN</v>
      </c>
      <c r="D15403" s="7">
        <v>807</v>
      </c>
      <c r="E15403" s="3">
        <v>10</v>
      </c>
      <c r="F15403" s="2">
        <v>9</v>
      </c>
      <c r="G15403" t="s">
        <v>513</v>
      </c>
    </row>
    <row r="15404" spans="1:7" x14ac:dyDescent="0.25">
      <c r="A15404" s="1" t="str">
        <f>"522088"</f>
        <v>522088</v>
      </c>
      <c r="B15404" s="2" t="str">
        <f>"MARC. TUB. AUT-ADESIVOS - AGUA QUENTE 30,5X5X5,7CM"</f>
        <v>MARC. TUB. AUT-ADESIVOS - AGUA QUENTE 30,5X5X5,7CM</v>
      </c>
      <c r="C15404" s="2" t="str">
        <f t="shared" si="609"/>
        <v>UN</v>
      </c>
      <c r="D15404" s="7">
        <v>807</v>
      </c>
      <c r="E15404" s="3">
        <v>10</v>
      </c>
      <c r="F15404" s="2">
        <v>0</v>
      </c>
      <c r="G15404" t="s">
        <v>514</v>
      </c>
    </row>
    <row r="15405" spans="1:7" x14ac:dyDescent="0.25">
      <c r="A15405" s="1" t="str">
        <f>"522091"</f>
        <v>522091</v>
      </c>
      <c r="B15405" s="2" t="str">
        <f>"MARC. TUB. AUTO-ADESIVOS - AR COMP 30,5 X 5 X 5,7CM"</f>
        <v>MARC. TUB. AUTO-ADESIVOS - AR COMP 30,5 X 5 X 5,7CM</v>
      </c>
      <c r="C15405" s="2" t="str">
        <f t="shared" si="609"/>
        <v>UN</v>
      </c>
      <c r="D15405" s="7">
        <v>807</v>
      </c>
      <c r="E15405" s="3">
        <v>10</v>
      </c>
      <c r="F15405" s="2">
        <v>0</v>
      </c>
      <c r="G15405" t="s">
        <v>515</v>
      </c>
    </row>
    <row r="15406" spans="1:7" x14ac:dyDescent="0.25">
      <c r="A15406" s="1" t="str">
        <f>"522090"</f>
        <v>522090</v>
      </c>
      <c r="B15406" s="2" t="str">
        <f>"MARC. TUB. AUTO-ADESIVOS - VAPOR 30,5 X 5 X 5,7CM"</f>
        <v>MARC. TUB. AUTO-ADESIVOS - VAPOR 30,5 X 5 X 5,7CM</v>
      </c>
      <c r="C15406" s="2" t="str">
        <f t="shared" si="609"/>
        <v>UN</v>
      </c>
      <c r="D15406" s="7">
        <v>807</v>
      </c>
      <c r="E15406" s="3">
        <v>10</v>
      </c>
      <c r="F15406" s="2">
        <v>4</v>
      </c>
      <c r="G15406" t="s">
        <v>512</v>
      </c>
    </row>
    <row r="15407" spans="1:7" x14ac:dyDescent="0.25">
      <c r="A15407" s="1" t="str">
        <f>"522093"</f>
        <v>522093</v>
      </c>
      <c r="B15407" s="2" t="str">
        <f>"MARC. TUB. P/ USO EXTERNO PERSONALIZADO  VERDE/ PRETO LETRAS"</f>
        <v>MARC. TUB. P/ USO EXTERNO PERSONALIZADO  VERDE/ PRETO LETRAS</v>
      </c>
      <c r="C15407" s="2" t="str">
        <f t="shared" si="609"/>
        <v>UN</v>
      </c>
      <c r="D15407" s="7">
        <v>807</v>
      </c>
      <c r="E15407" s="3">
        <v>10</v>
      </c>
      <c r="F15407" s="2">
        <v>1</v>
      </c>
      <c r="G15407" t="s">
        <v>516</v>
      </c>
    </row>
    <row r="15408" spans="1:7" x14ac:dyDescent="0.25">
      <c r="A15408" s="1" t="str">
        <f>"522092"</f>
        <v>522092</v>
      </c>
      <c r="B15408" s="2" t="str">
        <f>"MARC. TUB. P/ USO EXTERNO PERSONALIZADO AZ/BR LETRAS"</f>
        <v>MARC. TUB. P/ USO EXTERNO PERSONALIZADO AZ/BR LETRAS</v>
      </c>
      <c r="C15408" s="2" t="str">
        <f t="shared" si="609"/>
        <v>UN</v>
      </c>
      <c r="D15408" s="7">
        <v>807</v>
      </c>
      <c r="E15408" s="3">
        <v>10</v>
      </c>
      <c r="F15408" s="2">
        <v>2</v>
      </c>
      <c r="G15408" t="s">
        <v>515</v>
      </c>
    </row>
    <row r="15409" spans="1:7" x14ac:dyDescent="0.25">
      <c r="A15409" s="1" t="str">
        <f>"5841"</f>
        <v>5841</v>
      </c>
      <c r="B15409" s="2" t="str">
        <f>"MARCA TEXTO AMARELO LUMI PILOT 200SL"</f>
        <v>MARCA TEXTO AMARELO LUMI PILOT 200SL</v>
      </c>
      <c r="C15409" s="2" t="str">
        <f t="shared" si="609"/>
        <v>UN</v>
      </c>
      <c r="D15409" s="7">
        <v>401</v>
      </c>
      <c r="E15409" s="3">
        <v>4</v>
      </c>
      <c r="F15409" s="2">
        <v>7</v>
      </c>
      <c r="G15409" t="s">
        <v>514</v>
      </c>
    </row>
    <row r="15410" spans="1:7" x14ac:dyDescent="0.25">
      <c r="A15410" s="1" t="str">
        <f>"5853"</f>
        <v>5853</v>
      </c>
      <c r="B15410" s="2" t="str">
        <f>"MARCA TEXTO AZUL LUMI PILOT 200SL"</f>
        <v>MARCA TEXTO AZUL LUMI PILOT 200SL</v>
      </c>
      <c r="C15410" s="2" t="str">
        <f t="shared" si="609"/>
        <v>UN</v>
      </c>
      <c r="D15410" s="7">
        <v>401</v>
      </c>
      <c r="E15410" s="3">
        <v>4</v>
      </c>
      <c r="F15410" s="2">
        <v>9</v>
      </c>
      <c r="G15410" t="s">
        <v>512</v>
      </c>
    </row>
    <row r="15411" spans="1:7" x14ac:dyDescent="0.25">
      <c r="A15411" s="1" t="str">
        <f>"5843"</f>
        <v>5843</v>
      </c>
      <c r="B15411" s="2" t="str">
        <f>"MARCA TEXTO LARANJA LUMI PILOT 200SL"</f>
        <v>MARCA TEXTO LARANJA LUMI PILOT 200SL</v>
      </c>
      <c r="C15411" s="2" t="str">
        <f t="shared" si="609"/>
        <v>UN</v>
      </c>
      <c r="D15411" s="7">
        <v>401</v>
      </c>
      <c r="E15411" s="3">
        <v>4</v>
      </c>
      <c r="F15411" s="5">
        <v>5</v>
      </c>
      <c r="G15411" t="s">
        <v>513</v>
      </c>
    </row>
    <row r="15412" spans="1:7" x14ac:dyDescent="0.25">
      <c r="A15412" s="1" t="str">
        <f>"5854"</f>
        <v>5854</v>
      </c>
      <c r="B15412" s="2" t="str">
        <f>"MARCA TEXTO ROSA LUMI PILOT 200SL"</f>
        <v>MARCA TEXTO ROSA LUMI PILOT 200SL</v>
      </c>
      <c r="C15412" s="2" t="str">
        <f t="shared" si="609"/>
        <v>UN</v>
      </c>
      <c r="D15412" s="7">
        <v>401</v>
      </c>
      <c r="E15412" s="3">
        <v>4</v>
      </c>
      <c r="F15412" s="2">
        <v>3</v>
      </c>
      <c r="G15412" t="s">
        <v>514</v>
      </c>
    </row>
    <row r="15413" spans="1:7" x14ac:dyDescent="0.25">
      <c r="A15413" s="1" t="str">
        <f>"5852"</f>
        <v>5852</v>
      </c>
      <c r="B15413" s="2" t="str">
        <f>"MARCA TEXTO VERDE LUMI PILOT 200SL"</f>
        <v>MARCA TEXTO VERDE LUMI PILOT 200SL</v>
      </c>
      <c r="C15413" s="2" t="str">
        <f t="shared" si="609"/>
        <v>UN</v>
      </c>
      <c r="D15413" s="7">
        <v>401</v>
      </c>
      <c r="E15413" s="3">
        <v>4</v>
      </c>
      <c r="F15413" s="2">
        <v>8</v>
      </c>
      <c r="G15413" t="s">
        <v>514</v>
      </c>
    </row>
    <row r="15414" spans="1:7" x14ac:dyDescent="0.25">
      <c r="A15414" s="1" t="str">
        <f>"527554"</f>
        <v>527554</v>
      </c>
      <c r="B15414" s="2" t="str">
        <f>"MARCAÇÃO DAS MÁSCARAS"</f>
        <v>MARCAÇÃO DAS MÁSCARAS</v>
      </c>
      <c r="C15414" s="2" t="str">
        <f t="shared" si="609"/>
        <v>UN</v>
      </c>
      <c r="D15414" s="7">
        <v>402</v>
      </c>
      <c r="E15414" s="3">
        <v>4</v>
      </c>
      <c r="F15414" s="2">
        <v>6</v>
      </c>
      <c r="G15414" t="s">
        <v>512</v>
      </c>
    </row>
    <row r="15415" spans="1:7" x14ac:dyDescent="0.25">
      <c r="A15415" s="1" t="str">
        <f>"523058"</f>
        <v>523058</v>
      </c>
      <c r="B15415" s="2" t="str">
        <f>"MARCADOR ANIMAIS BASTÃO AZUL RAIDEX 57GR"</f>
        <v>MARCADOR ANIMAIS BASTÃO AZUL RAIDEX 57GR</v>
      </c>
      <c r="C15415" s="2" t="str">
        <f t="shared" si="609"/>
        <v>UN</v>
      </c>
      <c r="D15415" s="7">
        <v>99999</v>
      </c>
      <c r="E15415" s="3">
        <v>99</v>
      </c>
      <c r="F15415" s="2">
        <v>4</v>
      </c>
      <c r="G15415" t="s">
        <v>513</v>
      </c>
    </row>
    <row r="15416" spans="1:7" x14ac:dyDescent="0.25">
      <c r="A15416" s="1" t="str">
        <f>"523057"</f>
        <v>523057</v>
      </c>
      <c r="B15416" s="2" t="str">
        <f>"MARCADOR ANIMAIS BASTÃO VERMELHO RAIDEX 57GR"</f>
        <v>MARCADOR ANIMAIS BASTÃO VERMELHO RAIDEX 57GR</v>
      </c>
      <c r="C15416" s="2" t="str">
        <f t="shared" si="609"/>
        <v>UN</v>
      </c>
      <c r="D15416" s="7">
        <v>99999</v>
      </c>
      <c r="E15416" s="3">
        <v>99</v>
      </c>
      <c r="F15416" s="2">
        <v>1</v>
      </c>
      <c r="G15416" t="s">
        <v>514</v>
      </c>
    </row>
    <row r="15417" spans="1:7" x14ac:dyDescent="0.25">
      <c r="A15417" s="1" t="str">
        <f>"528012"</f>
        <v>528012</v>
      </c>
      <c r="B15417" s="2" t="str">
        <f>"MARCADOR DE FOGO PARA PNEUS"</f>
        <v>MARCADOR DE FOGO PARA PNEUS</v>
      </c>
      <c r="C15417" s="2" t="str">
        <f t="shared" si="609"/>
        <v>UN</v>
      </c>
      <c r="D15417" s="7">
        <v>817</v>
      </c>
      <c r="E15417" s="3">
        <v>4</v>
      </c>
      <c r="F15417" s="2">
        <v>2</v>
      </c>
      <c r="G15417" t="s">
        <v>514</v>
      </c>
    </row>
    <row r="15418" spans="1:7" x14ac:dyDescent="0.25">
      <c r="A15418" s="1" t="str">
        <f>"2257"</f>
        <v>2257</v>
      </c>
      <c r="B15418" s="2" t="str">
        <f>"MARCADOR DE PAGINA 42X12 C/8 CORES C/ ADESIVO"</f>
        <v>MARCADOR DE PAGINA 42X12 C/8 CORES C/ ADESIVO</v>
      </c>
      <c r="C15418" s="2" t="str">
        <f>"PC"</f>
        <v>PC</v>
      </c>
      <c r="D15418" s="7">
        <v>401</v>
      </c>
      <c r="E15418" s="3">
        <v>4</v>
      </c>
      <c r="F15418" s="2">
        <v>7</v>
      </c>
      <c r="G15418" t="s">
        <v>514</v>
      </c>
    </row>
    <row r="15419" spans="1:7" x14ac:dyDescent="0.25">
      <c r="A15419" s="1" t="str">
        <f>"515534"</f>
        <v>515534</v>
      </c>
      <c r="B15419" s="2" t="str">
        <f>"MARCADOR DEKAFIX"</f>
        <v>MARCADOR DEKAFIX</v>
      </c>
      <c r="C15419" s="2" t="str">
        <f t="shared" ref="C15419:C15450" si="610">"UN"</f>
        <v>UN</v>
      </c>
      <c r="D15419" s="7">
        <v>811</v>
      </c>
      <c r="E15419" s="3">
        <v>8</v>
      </c>
      <c r="F15419" s="2">
        <v>9</v>
      </c>
      <c r="G15419" t="s">
        <v>513</v>
      </c>
    </row>
    <row r="15420" spans="1:7" x14ac:dyDescent="0.25">
      <c r="A15420" s="1" t="str">
        <f>"5831"</f>
        <v>5831</v>
      </c>
      <c r="B15420" s="2" t="str">
        <f>"MARCADOR PERMANENTE MASTERPRINT RECARREGAVEL AZUL MP-616"</f>
        <v>MARCADOR PERMANENTE MASTERPRINT RECARREGAVEL AZUL MP-616</v>
      </c>
      <c r="C15420" s="2" t="str">
        <f t="shared" si="610"/>
        <v>UN</v>
      </c>
      <c r="D15420" s="7">
        <v>401</v>
      </c>
      <c r="E15420" s="3">
        <v>4</v>
      </c>
      <c r="F15420" s="2">
        <v>0</v>
      </c>
      <c r="G15420" t="s">
        <v>512</v>
      </c>
    </row>
    <row r="15421" spans="1:7" x14ac:dyDescent="0.25">
      <c r="A15421" s="1" t="str">
        <f>"5832"</f>
        <v>5832</v>
      </c>
      <c r="B15421" s="2" t="str">
        <f>"MARCADOR PERMANENTE PILOT PRETO"</f>
        <v>MARCADOR PERMANENTE PILOT PRETO</v>
      </c>
      <c r="C15421" s="2" t="str">
        <f t="shared" si="610"/>
        <v>UN</v>
      </c>
      <c r="D15421" s="7">
        <v>401</v>
      </c>
      <c r="E15421" s="3">
        <v>4</v>
      </c>
      <c r="F15421" s="2">
        <v>0</v>
      </c>
      <c r="G15421" t="s">
        <v>513</v>
      </c>
    </row>
    <row r="15422" spans="1:7" x14ac:dyDescent="0.25">
      <c r="A15422" s="1" t="str">
        <f>"5838"</f>
        <v>5838</v>
      </c>
      <c r="B15422" s="2" t="str">
        <f>"MARCADOR PERMANENTE PILOT VERMELHO"</f>
        <v>MARCADOR PERMANENTE PILOT VERMELHO</v>
      </c>
      <c r="C15422" s="2" t="str">
        <f t="shared" si="610"/>
        <v>UN</v>
      </c>
      <c r="D15422" s="7">
        <v>401</v>
      </c>
      <c r="E15422" s="3">
        <v>4</v>
      </c>
      <c r="F15422" s="2">
        <v>2</v>
      </c>
      <c r="G15422" t="s">
        <v>514</v>
      </c>
    </row>
    <row r="15423" spans="1:7" x14ac:dyDescent="0.25">
      <c r="A15423" s="1" t="str">
        <f>"515529"</f>
        <v>515529</v>
      </c>
      <c r="B15423" s="2" t="str">
        <f>"MARCADOR PVC MHG 1/3 SINAL"</f>
        <v>MARCADOR PVC MHG 1/3 SINAL</v>
      </c>
      <c r="C15423" s="2" t="str">
        <f t="shared" si="610"/>
        <v>UN</v>
      </c>
      <c r="D15423" s="7">
        <v>811</v>
      </c>
      <c r="E15423" s="3">
        <v>8</v>
      </c>
      <c r="F15423" s="2">
        <v>5</v>
      </c>
      <c r="G15423" t="s">
        <v>514</v>
      </c>
    </row>
    <row r="15424" spans="1:7" x14ac:dyDescent="0.25">
      <c r="A15424" s="1" t="str">
        <f>"515530"</f>
        <v>515530</v>
      </c>
      <c r="B15424" s="2" t="str">
        <f>"MARCADOR PVC MHG 2/5 SINAL"</f>
        <v>MARCADOR PVC MHG 2/5 SINAL</v>
      </c>
      <c r="C15424" s="2" t="str">
        <f t="shared" si="610"/>
        <v>UN</v>
      </c>
      <c r="D15424" s="7">
        <v>811</v>
      </c>
      <c r="E15424" s="3">
        <v>8</v>
      </c>
      <c r="F15424" s="2">
        <v>6</v>
      </c>
      <c r="G15424" t="s">
        <v>514</v>
      </c>
    </row>
    <row r="15425" spans="1:7" x14ac:dyDescent="0.25">
      <c r="A15425" s="1" t="str">
        <f>"517798"</f>
        <v>517798</v>
      </c>
      <c r="B15425" s="2" t="str">
        <f>"MARCADOR PVC MHG1/3 SIMBOLO (-) NEGATIVO CABO 0,3-1,5 HELLER"</f>
        <v>MARCADOR PVC MHG1/3 SIMBOLO (-) NEGATIVO CABO 0,3-1,5 HELLER</v>
      </c>
      <c r="C15425" s="2" t="str">
        <f t="shared" si="610"/>
        <v>UN</v>
      </c>
      <c r="D15425" s="7">
        <v>811</v>
      </c>
      <c r="E15425" s="3">
        <v>8</v>
      </c>
      <c r="F15425" s="2">
        <v>9</v>
      </c>
      <c r="G15425" t="s">
        <v>513</v>
      </c>
    </row>
    <row r="15426" spans="1:7" x14ac:dyDescent="0.25">
      <c r="A15426" s="1" t="str">
        <f>"521621"</f>
        <v>521621</v>
      </c>
      <c r="B15426" s="2" t="str">
        <f>"MARCADOR QUADRO BR TITÃ QB10 - CH5 COR AZUL"</f>
        <v>MARCADOR QUADRO BR TITÃ QB10 - CH5 COR AZUL</v>
      </c>
      <c r="C15426" s="2" t="str">
        <f t="shared" si="610"/>
        <v>UN</v>
      </c>
      <c r="D15426" s="7">
        <v>99999</v>
      </c>
      <c r="E15426" s="3">
        <v>99</v>
      </c>
      <c r="F15426" s="2">
        <v>5</v>
      </c>
      <c r="G15426" t="s">
        <v>513</v>
      </c>
    </row>
    <row r="15427" spans="1:7" x14ac:dyDescent="0.25">
      <c r="A15427" s="1" t="str">
        <f>"521620"</f>
        <v>521620</v>
      </c>
      <c r="B15427" s="2" t="str">
        <f>"MARCADOR QUADRO BR TITÃ QB10 - CH5 COR PRETA"</f>
        <v>MARCADOR QUADRO BR TITÃ QB10 - CH5 COR PRETA</v>
      </c>
      <c r="C15427" s="2" t="str">
        <f t="shared" si="610"/>
        <v>UN</v>
      </c>
      <c r="D15427" s="7">
        <v>99999</v>
      </c>
      <c r="E15427" s="3">
        <v>99</v>
      </c>
      <c r="F15427" s="2">
        <v>3</v>
      </c>
      <c r="G15427" t="s">
        <v>513</v>
      </c>
    </row>
    <row r="15428" spans="1:7" x14ac:dyDescent="0.25">
      <c r="A15428" s="1" t="str">
        <f>"521623"</f>
        <v>521623</v>
      </c>
      <c r="B15428" s="2" t="str">
        <f>"MARCADOR QUADRO BR TITÃ QB10 - CH5 COR VERDE"</f>
        <v>MARCADOR QUADRO BR TITÃ QB10 - CH5 COR VERDE</v>
      </c>
      <c r="C15428" s="2" t="str">
        <f t="shared" si="610"/>
        <v>UN</v>
      </c>
      <c r="D15428" s="7">
        <v>99999</v>
      </c>
      <c r="E15428" s="3">
        <v>99</v>
      </c>
      <c r="F15428" s="2">
        <v>3</v>
      </c>
      <c r="G15428" t="s">
        <v>512</v>
      </c>
    </row>
    <row r="15429" spans="1:7" x14ac:dyDescent="0.25">
      <c r="A15429" s="1" t="str">
        <f>"521622"</f>
        <v>521622</v>
      </c>
      <c r="B15429" s="2" t="str">
        <f>"MARCADOR QUADRO BR TITÃ QB10 - CH5 COR VERMELHA"</f>
        <v>MARCADOR QUADRO BR TITÃ QB10 - CH5 COR VERMELHA</v>
      </c>
      <c r="C15429" s="2" t="str">
        <f t="shared" si="610"/>
        <v>UN</v>
      </c>
      <c r="D15429" s="7">
        <v>99999</v>
      </c>
      <c r="E15429" s="3">
        <v>99</v>
      </c>
      <c r="F15429" s="2">
        <v>2</v>
      </c>
      <c r="G15429" t="s">
        <v>513</v>
      </c>
    </row>
    <row r="15430" spans="1:7" x14ac:dyDescent="0.25">
      <c r="A15430" s="1" t="str">
        <f>"522053"</f>
        <v>522053</v>
      </c>
      <c r="B15430" s="2" t="str">
        <f>"MARCADOR TUBULAÇÃO AUTO ADESIVO 30,5X5X5,7CM AGUA GELADA"</f>
        <v>MARCADOR TUBULAÇÃO AUTO ADESIVO 30,5X5X5,7CM AGUA GELADA</v>
      </c>
      <c r="C15430" s="2" t="str">
        <f t="shared" si="610"/>
        <v>UN</v>
      </c>
      <c r="D15430" s="7">
        <v>408</v>
      </c>
      <c r="E15430" s="3">
        <v>4</v>
      </c>
      <c r="F15430" s="2">
        <v>1</v>
      </c>
      <c r="G15430" t="s">
        <v>514</v>
      </c>
    </row>
    <row r="15431" spans="1:7" x14ac:dyDescent="0.25">
      <c r="A15431" s="1" t="str">
        <f>"522052"</f>
        <v>522052</v>
      </c>
      <c r="B15431" s="2" t="str">
        <f>"MARCADOR TUBULAÇÃO AUTO ADESIVO 30,5X5X5,7CM AGUA QUENTE"</f>
        <v>MARCADOR TUBULAÇÃO AUTO ADESIVO 30,5X5X5,7CM AGUA QUENTE</v>
      </c>
      <c r="C15431" s="2" t="str">
        <f t="shared" si="610"/>
        <v>UN</v>
      </c>
      <c r="D15431" s="7">
        <v>408</v>
      </c>
      <c r="E15431" s="3">
        <v>4</v>
      </c>
      <c r="F15431" s="2">
        <v>4</v>
      </c>
      <c r="G15431" t="s">
        <v>515</v>
      </c>
    </row>
    <row r="15432" spans="1:7" x14ac:dyDescent="0.25">
      <c r="A15432" s="1" t="str">
        <f>"522055"</f>
        <v>522055</v>
      </c>
      <c r="B15432" s="2" t="str">
        <f>"MARCADOR TUBULAÇÃO AUTO ADESIVO 30,5X5X5,7CM AR COMPRIMIDO"</f>
        <v>MARCADOR TUBULAÇÃO AUTO ADESIVO 30,5X5X5,7CM AR COMPRIMIDO</v>
      </c>
      <c r="C15432" s="2" t="str">
        <f t="shared" si="610"/>
        <v>UN</v>
      </c>
      <c r="D15432" s="7">
        <v>408</v>
      </c>
      <c r="E15432" s="3">
        <v>4</v>
      </c>
      <c r="F15432" s="2">
        <v>6</v>
      </c>
      <c r="G15432" t="s">
        <v>512</v>
      </c>
    </row>
    <row r="15433" spans="1:7" x14ac:dyDescent="0.25">
      <c r="A15433" s="1" t="str">
        <f>"522054"</f>
        <v>522054</v>
      </c>
      <c r="B15433" s="2" t="str">
        <f>"MARCADOR TUBULAÇÃO AUTO ADESIVO 30,5X5X5,7CM VAPOR"</f>
        <v>MARCADOR TUBULAÇÃO AUTO ADESIVO 30,5X5X5,7CM VAPOR</v>
      </c>
      <c r="C15433" s="2" t="str">
        <f t="shared" si="610"/>
        <v>UN</v>
      </c>
      <c r="D15433" s="7">
        <v>408</v>
      </c>
      <c r="E15433" s="3">
        <v>4</v>
      </c>
      <c r="F15433" s="2">
        <v>8</v>
      </c>
      <c r="G15433" t="s">
        <v>516</v>
      </c>
    </row>
    <row r="15434" spans="1:7" x14ac:dyDescent="0.25">
      <c r="A15434" s="1" t="str">
        <f>"522057"</f>
        <v>522057</v>
      </c>
      <c r="B15434" s="2" t="str">
        <f>"MARCADOR TUBULAÇÃO USO EXTERNO PERSON. PRODUTO"</f>
        <v>MARCADOR TUBULAÇÃO USO EXTERNO PERSON. PRODUTO</v>
      </c>
      <c r="C15434" s="2" t="str">
        <f t="shared" si="610"/>
        <v>UN</v>
      </c>
      <c r="D15434" s="7">
        <v>408</v>
      </c>
      <c r="E15434" s="3">
        <v>4</v>
      </c>
      <c r="F15434" s="2">
        <v>7</v>
      </c>
      <c r="G15434" t="s">
        <v>515</v>
      </c>
    </row>
    <row r="15435" spans="1:7" x14ac:dyDescent="0.25">
      <c r="A15435" s="1" t="str">
        <f>"522056"</f>
        <v>522056</v>
      </c>
      <c r="B15435" s="2" t="str">
        <f>"MARCADOR TUBULAÇÃO USO EXTERNO PERSON. RESIDUOS"</f>
        <v>MARCADOR TUBULAÇÃO USO EXTERNO PERSON. RESIDUOS</v>
      </c>
      <c r="C15435" s="2" t="str">
        <f t="shared" si="610"/>
        <v>UN</v>
      </c>
      <c r="D15435" s="7">
        <v>408</v>
      </c>
      <c r="E15435" s="3">
        <v>4</v>
      </c>
      <c r="F15435" s="2">
        <v>6</v>
      </c>
      <c r="G15435" t="s">
        <v>514</v>
      </c>
    </row>
    <row r="15436" spans="1:7" x14ac:dyDescent="0.25">
      <c r="A15436" s="1" t="str">
        <f>"514607"</f>
        <v>514607</v>
      </c>
      <c r="B15436" s="2" t="str">
        <f>"MARGARINA"</f>
        <v>MARGARINA</v>
      </c>
      <c r="C15436" s="2" t="str">
        <f t="shared" si="610"/>
        <v>UN</v>
      </c>
      <c r="D15436" s="7">
        <v>401</v>
      </c>
      <c r="E15436" s="3">
        <v>4</v>
      </c>
      <c r="F15436" s="2">
        <v>6</v>
      </c>
      <c r="G15436" t="s">
        <v>512</v>
      </c>
    </row>
    <row r="15437" spans="1:7" x14ac:dyDescent="0.25">
      <c r="A15437" s="1" t="str">
        <f>"514518"</f>
        <v>514518</v>
      </c>
      <c r="B15437" s="2" t="str">
        <f>"MARMITEX"</f>
        <v>MARMITEX</v>
      </c>
      <c r="C15437" s="2" t="str">
        <f t="shared" si="610"/>
        <v>UN</v>
      </c>
      <c r="D15437" s="7">
        <v>401</v>
      </c>
      <c r="E15437" s="3">
        <v>4</v>
      </c>
      <c r="F15437" s="2">
        <v>2</v>
      </c>
      <c r="G15437" t="s">
        <v>513</v>
      </c>
    </row>
    <row r="15438" spans="1:7" x14ac:dyDescent="0.25">
      <c r="A15438" s="1" t="str">
        <f>"515890"</f>
        <v>515890</v>
      </c>
      <c r="B15438" s="2" t="str">
        <f>"MARRETA 1/2 KG"</f>
        <v>MARRETA 1/2 KG</v>
      </c>
      <c r="C15438" s="2" t="str">
        <f t="shared" si="610"/>
        <v>UN</v>
      </c>
      <c r="D15438" s="7">
        <v>99999</v>
      </c>
      <c r="E15438" s="3">
        <v>99</v>
      </c>
      <c r="F15438" s="2">
        <v>1</v>
      </c>
      <c r="G15438" t="s">
        <v>514</v>
      </c>
    </row>
    <row r="15439" spans="1:7" x14ac:dyDescent="0.25">
      <c r="A15439" s="1" t="str">
        <f>"525009"</f>
        <v>525009</v>
      </c>
      <c r="B15439" s="2" t="str">
        <f>"MARRETA 1KG"</f>
        <v>MARRETA 1KG</v>
      </c>
      <c r="C15439" s="2" t="str">
        <f t="shared" si="610"/>
        <v>UN</v>
      </c>
      <c r="D15439" s="7">
        <v>919</v>
      </c>
      <c r="E15439" s="3">
        <v>4</v>
      </c>
      <c r="F15439" s="2">
        <v>0</v>
      </c>
      <c r="G15439" t="s">
        <v>514</v>
      </c>
    </row>
    <row r="15440" spans="1:7" x14ac:dyDescent="0.25">
      <c r="A15440" s="1" t="str">
        <f>"520018"</f>
        <v>520018</v>
      </c>
      <c r="B15440" s="2" t="str">
        <f>"MARRETA 3KG"</f>
        <v>MARRETA 3KG</v>
      </c>
      <c r="C15440" s="2" t="str">
        <f t="shared" si="610"/>
        <v>UN</v>
      </c>
      <c r="D15440" s="7">
        <v>99999</v>
      </c>
      <c r="E15440" s="3">
        <v>99</v>
      </c>
      <c r="F15440" s="2">
        <v>0</v>
      </c>
      <c r="G15440" t="s">
        <v>512</v>
      </c>
    </row>
    <row r="15441" spans="1:7" x14ac:dyDescent="0.25">
      <c r="A15441" s="1" t="str">
        <f>"519085"</f>
        <v>519085</v>
      </c>
      <c r="B15441" s="2" t="str">
        <f>"MARRETA 5KG"</f>
        <v>MARRETA 5KG</v>
      </c>
      <c r="C15441" s="2" t="str">
        <f t="shared" si="610"/>
        <v>UN</v>
      </c>
      <c r="D15441" s="7">
        <v>99999</v>
      </c>
      <c r="E15441" s="3">
        <v>99</v>
      </c>
      <c r="F15441" s="2">
        <v>0</v>
      </c>
      <c r="G15441" t="s">
        <v>513</v>
      </c>
    </row>
    <row r="15442" spans="1:7" x14ac:dyDescent="0.25">
      <c r="A15442" s="1" t="str">
        <f>"508529"</f>
        <v>508529</v>
      </c>
      <c r="B15442" s="2" t="str">
        <f>"MARTELO BELLOTA POLIDO 34MM"</f>
        <v>MARTELO BELLOTA POLIDO 34MM</v>
      </c>
      <c r="C15442" s="2" t="str">
        <f t="shared" si="610"/>
        <v>UN</v>
      </c>
      <c r="D15442" s="7">
        <v>403</v>
      </c>
      <c r="E15442" s="3">
        <v>4</v>
      </c>
      <c r="F15442" s="2">
        <v>3</v>
      </c>
      <c r="G15442" t="s">
        <v>514</v>
      </c>
    </row>
    <row r="15443" spans="1:7" x14ac:dyDescent="0.25">
      <c r="A15443" s="1" t="str">
        <f>"513311"</f>
        <v>513311</v>
      </c>
      <c r="B15443" s="2" t="str">
        <f>"MARTELO BOLA 300GR"</f>
        <v>MARTELO BOLA 300GR</v>
      </c>
      <c r="C15443" s="2" t="str">
        <f t="shared" si="610"/>
        <v>UN</v>
      </c>
      <c r="D15443" s="7">
        <v>920</v>
      </c>
      <c r="E15443" s="3">
        <v>11</v>
      </c>
      <c r="F15443" s="5">
        <v>5</v>
      </c>
      <c r="G15443" t="s">
        <v>514</v>
      </c>
    </row>
    <row r="15444" spans="1:7" x14ac:dyDescent="0.25">
      <c r="A15444" s="1" t="str">
        <f>"527222"</f>
        <v>527222</v>
      </c>
      <c r="B15444" s="2" t="str">
        <f>"MARTELO BOLA 400GR"</f>
        <v>MARTELO BOLA 400GR</v>
      </c>
      <c r="C15444" s="2" t="str">
        <f t="shared" si="610"/>
        <v>UN</v>
      </c>
      <c r="D15444" s="7">
        <v>920</v>
      </c>
      <c r="E15444" s="3">
        <v>11</v>
      </c>
      <c r="F15444" s="2">
        <v>3</v>
      </c>
      <c r="G15444" t="s">
        <v>514</v>
      </c>
    </row>
    <row r="15445" spans="1:7" x14ac:dyDescent="0.25">
      <c r="A15445" s="1" t="str">
        <f>"513292"</f>
        <v>513292</v>
      </c>
      <c r="B15445" s="2" t="str">
        <f>"MARTELO BOLA 500GR"</f>
        <v>MARTELO BOLA 500GR</v>
      </c>
      <c r="C15445" s="2" t="str">
        <f t="shared" si="610"/>
        <v>UN</v>
      </c>
      <c r="D15445" s="7">
        <v>920</v>
      </c>
      <c r="E15445" s="3">
        <v>11</v>
      </c>
      <c r="F15445" s="2">
        <v>8</v>
      </c>
      <c r="G15445" t="s">
        <v>513</v>
      </c>
    </row>
    <row r="15446" spans="1:7" x14ac:dyDescent="0.25">
      <c r="A15446" s="1" t="str">
        <f>"519084"</f>
        <v>519084</v>
      </c>
      <c r="B15446" s="2" t="str">
        <f>"MARTELO BOLA 650GR"</f>
        <v>MARTELO BOLA 650GR</v>
      </c>
      <c r="C15446" s="2" t="str">
        <f t="shared" si="610"/>
        <v>UN</v>
      </c>
      <c r="D15446" s="7">
        <v>920</v>
      </c>
      <c r="E15446" s="3">
        <v>11</v>
      </c>
      <c r="F15446" s="2">
        <v>6</v>
      </c>
      <c r="G15446" t="s">
        <v>512</v>
      </c>
    </row>
    <row r="15447" spans="1:7" x14ac:dyDescent="0.25">
      <c r="A15447" s="1" t="str">
        <f>"514568"</f>
        <v>514568</v>
      </c>
      <c r="B15447" s="2" t="str">
        <f>"MARTELO BORRACHA  40MM"</f>
        <v>MARTELO BORRACHA  40MM</v>
      </c>
      <c r="C15447" s="2" t="str">
        <f t="shared" si="610"/>
        <v>UN</v>
      </c>
      <c r="D15447" s="7">
        <v>704</v>
      </c>
      <c r="E15447" s="3">
        <v>9</v>
      </c>
      <c r="F15447" s="2">
        <v>4</v>
      </c>
      <c r="G15447" t="s">
        <v>513</v>
      </c>
    </row>
    <row r="15448" spans="1:7" x14ac:dyDescent="0.25">
      <c r="A15448" s="1" t="str">
        <f>"510783"</f>
        <v>510783</v>
      </c>
      <c r="B15448" s="2" t="str">
        <f>"MARTELO BORRACHA  50MM"</f>
        <v>MARTELO BORRACHA  50MM</v>
      </c>
      <c r="C15448" s="2" t="str">
        <f t="shared" si="610"/>
        <v>UN</v>
      </c>
      <c r="D15448" s="7">
        <v>402</v>
      </c>
      <c r="E15448" s="3">
        <v>4</v>
      </c>
      <c r="F15448" s="2">
        <v>1</v>
      </c>
      <c r="G15448" t="s">
        <v>514</v>
      </c>
    </row>
    <row r="15449" spans="1:7" x14ac:dyDescent="0.25">
      <c r="A15449" s="1" t="str">
        <f>"513018"</f>
        <v>513018</v>
      </c>
      <c r="B15449" s="2" t="str">
        <f>"MARTELO BORRACHA  60MM"</f>
        <v>MARTELO BORRACHA  60MM</v>
      </c>
      <c r="C15449" s="2" t="str">
        <f t="shared" si="610"/>
        <v>UN</v>
      </c>
      <c r="D15449" s="7">
        <v>704</v>
      </c>
      <c r="E15449" s="3">
        <v>9</v>
      </c>
      <c r="F15449" s="2">
        <v>2</v>
      </c>
      <c r="G15449" t="s">
        <v>514</v>
      </c>
    </row>
    <row r="15450" spans="1:7" x14ac:dyDescent="0.25">
      <c r="A15450" s="1" t="str">
        <f>"516213"</f>
        <v>516213</v>
      </c>
      <c r="B15450" s="2" t="str">
        <f>"MARTELO BORRACHA  80MM"</f>
        <v>MARTELO BORRACHA  80MM</v>
      </c>
      <c r="C15450" s="2" t="str">
        <f t="shared" si="610"/>
        <v>UN</v>
      </c>
      <c r="D15450" s="7">
        <v>402</v>
      </c>
      <c r="E15450" s="3">
        <v>4</v>
      </c>
      <c r="F15450" s="2">
        <v>7</v>
      </c>
      <c r="G15450" t="s">
        <v>514</v>
      </c>
    </row>
    <row r="15451" spans="1:7" x14ac:dyDescent="0.25">
      <c r="A15451" s="1" t="str">
        <f>"526686"</f>
        <v>526686</v>
      </c>
      <c r="B15451" s="2" t="str">
        <f>"MARTELO COM BORDA POLIURETANO 50MM GEDORE"</f>
        <v>MARTELO COM BORDA POLIURETANO 50MM GEDORE</v>
      </c>
      <c r="C15451" s="2" t="str">
        <f t="shared" ref="C15451:C15475" si="611">"UN"</f>
        <v>UN</v>
      </c>
      <c r="D15451" s="7">
        <v>99999</v>
      </c>
      <c r="E15451" s="3">
        <v>99</v>
      </c>
      <c r="F15451" s="2">
        <v>9</v>
      </c>
      <c r="G15451" t="s">
        <v>513</v>
      </c>
    </row>
    <row r="15452" spans="1:7" x14ac:dyDescent="0.25">
      <c r="A15452" s="1" t="str">
        <f>"528102"</f>
        <v>528102</v>
      </c>
      <c r="B15452" s="2" t="str">
        <f>"MARTELO DE UNHA 27MM"</f>
        <v>MARTELO DE UNHA 27MM</v>
      </c>
      <c r="C15452" s="2" t="str">
        <f t="shared" si="611"/>
        <v>UN</v>
      </c>
      <c r="D15452" s="7">
        <v>1600</v>
      </c>
      <c r="E15452" s="3">
        <v>13</v>
      </c>
      <c r="F15452" s="2">
        <v>0</v>
      </c>
      <c r="G15452" t="s">
        <v>513</v>
      </c>
    </row>
    <row r="15453" spans="1:7" x14ac:dyDescent="0.25">
      <c r="A15453" s="1" t="str">
        <f>"513310"</f>
        <v>513310</v>
      </c>
      <c r="B15453" s="2" t="str">
        <f>"MARTELO DEMOLIDOR 10KG 220V DEWALT"</f>
        <v>MARTELO DEMOLIDOR 10KG 220V DEWALT</v>
      </c>
      <c r="C15453" s="2" t="str">
        <f t="shared" si="611"/>
        <v>UN</v>
      </c>
      <c r="D15453" s="7">
        <v>919</v>
      </c>
      <c r="E15453" s="3">
        <v>11</v>
      </c>
      <c r="F15453" s="2">
        <v>0</v>
      </c>
      <c r="G15453" t="s">
        <v>513</v>
      </c>
    </row>
    <row r="15454" spans="1:7" x14ac:dyDescent="0.25">
      <c r="A15454" s="1" t="str">
        <f>"513507"</f>
        <v>513507</v>
      </c>
      <c r="B15454" s="2" t="str">
        <f>"MARTELO DEMOLIDOR 12KG"</f>
        <v>MARTELO DEMOLIDOR 12KG</v>
      </c>
      <c r="C15454" s="2" t="str">
        <f t="shared" si="611"/>
        <v>UN</v>
      </c>
      <c r="D15454" s="7">
        <v>919</v>
      </c>
      <c r="E15454" s="3">
        <v>11</v>
      </c>
      <c r="F15454" s="2">
        <v>2</v>
      </c>
      <c r="G15454" t="s">
        <v>512</v>
      </c>
    </row>
    <row r="15455" spans="1:7" x14ac:dyDescent="0.25">
      <c r="A15455" s="1" t="str">
        <f>"513508"</f>
        <v>513508</v>
      </c>
      <c r="B15455" s="2" t="str">
        <f>"MARTELO DEMOLIDOR 13KG"</f>
        <v>MARTELO DEMOLIDOR 13KG</v>
      </c>
      <c r="C15455" s="2" t="str">
        <f t="shared" si="611"/>
        <v>UN</v>
      </c>
      <c r="D15455" s="7">
        <v>919</v>
      </c>
      <c r="E15455" s="3">
        <v>11</v>
      </c>
      <c r="F15455" s="2">
        <v>5</v>
      </c>
      <c r="G15455" t="s">
        <v>513</v>
      </c>
    </row>
    <row r="15456" spans="1:7" x14ac:dyDescent="0.25">
      <c r="A15456" s="1" t="str">
        <f>"513160"</f>
        <v>513160</v>
      </c>
      <c r="B15456" s="2" t="str">
        <f>"MARTELO DEMOLIDOR 30KG 220V DEWALT"</f>
        <v>MARTELO DEMOLIDOR 30KG 220V DEWALT</v>
      </c>
      <c r="C15456" s="2" t="str">
        <f t="shared" si="611"/>
        <v>UN</v>
      </c>
      <c r="D15456" s="7">
        <v>919</v>
      </c>
      <c r="E15456" s="3">
        <v>11</v>
      </c>
      <c r="F15456" s="2">
        <v>6</v>
      </c>
      <c r="G15456" t="s">
        <v>514</v>
      </c>
    </row>
    <row r="15457" spans="1:7" x14ac:dyDescent="0.25">
      <c r="A15457" s="1" t="str">
        <f>"505800"</f>
        <v>505800</v>
      </c>
      <c r="B15457" s="2" t="str">
        <f>"MARTELO PEDREIRO 1 CORTE"</f>
        <v>MARTELO PEDREIRO 1 CORTE</v>
      </c>
      <c r="C15457" s="2" t="str">
        <f t="shared" si="611"/>
        <v>UN</v>
      </c>
      <c r="D15457" s="7">
        <v>403</v>
      </c>
      <c r="E15457" s="3">
        <v>4</v>
      </c>
      <c r="F15457" s="2">
        <v>9</v>
      </c>
      <c r="G15457" t="s">
        <v>515</v>
      </c>
    </row>
    <row r="15458" spans="1:7" x14ac:dyDescent="0.25">
      <c r="A15458" s="1" t="str">
        <f>"505799"</f>
        <v>505799</v>
      </c>
      <c r="B15458" s="2" t="str">
        <f>"MARTELO PEDREIRO 2 CORTES"</f>
        <v>MARTELO PEDREIRO 2 CORTES</v>
      </c>
      <c r="C15458" s="2" t="str">
        <f t="shared" si="611"/>
        <v>UN</v>
      </c>
      <c r="D15458" s="7">
        <v>402</v>
      </c>
      <c r="E15458" s="3">
        <v>4</v>
      </c>
      <c r="F15458" s="2">
        <v>5</v>
      </c>
      <c r="G15458" t="s">
        <v>512</v>
      </c>
    </row>
    <row r="15459" spans="1:7" x14ac:dyDescent="0.25">
      <c r="A15459" s="1" t="str">
        <f>"510782"</f>
        <v>510782</v>
      </c>
      <c r="B15459" s="2" t="str">
        <f>"MARTELO PENA FUNILEIRO 40MM 500GR"</f>
        <v>MARTELO PENA FUNILEIRO 40MM 500GR</v>
      </c>
      <c r="C15459" s="2" t="str">
        <f t="shared" si="611"/>
        <v>UN</v>
      </c>
      <c r="D15459" s="7">
        <v>402</v>
      </c>
      <c r="E15459" s="3">
        <v>4</v>
      </c>
      <c r="F15459" s="2">
        <v>3</v>
      </c>
      <c r="G15459" t="s">
        <v>516</v>
      </c>
    </row>
    <row r="15460" spans="1:7" x14ac:dyDescent="0.25">
      <c r="A15460" s="1" t="str">
        <f>"511867"</f>
        <v>511867</v>
      </c>
      <c r="B15460" s="2" t="str">
        <f>"MARTELO PERFURADOR ROMP. 6KG SDS MAX 220"</f>
        <v>MARTELO PERFURADOR ROMP. 6KG SDS MAX 220</v>
      </c>
      <c r="C15460" s="2" t="str">
        <f t="shared" si="611"/>
        <v>UN</v>
      </c>
      <c r="D15460" s="7">
        <v>817</v>
      </c>
      <c r="E15460" s="3">
        <v>10</v>
      </c>
      <c r="F15460" s="2">
        <v>3</v>
      </c>
      <c r="G15460" t="s">
        <v>515</v>
      </c>
    </row>
    <row r="15461" spans="1:7" x14ac:dyDescent="0.25">
      <c r="A15461" s="1" t="str">
        <f>"511866"</f>
        <v>511866</v>
      </c>
      <c r="B15461" s="2" t="str">
        <f>"MARTELO PERFURADOR ROMP. 9KG SDS MAX 220"</f>
        <v>MARTELO PERFURADOR ROMP. 9KG SDS MAX 220</v>
      </c>
      <c r="C15461" s="2" t="str">
        <f t="shared" si="611"/>
        <v>UN</v>
      </c>
      <c r="D15461" s="7">
        <v>817</v>
      </c>
      <c r="E15461" s="3">
        <v>10</v>
      </c>
      <c r="F15461" s="2">
        <v>2</v>
      </c>
      <c r="G15461" t="s">
        <v>514</v>
      </c>
    </row>
    <row r="15462" spans="1:7" x14ac:dyDescent="0.25">
      <c r="A15462" s="1" t="str">
        <f>"527223"</f>
        <v>527223</v>
      </c>
      <c r="B15462" s="2" t="str">
        <f>"MARTELO POLIURETANO 50MM GEDORE"</f>
        <v>MARTELO POLIURETANO 50MM GEDORE</v>
      </c>
      <c r="C15462" s="2" t="str">
        <f t="shared" si="611"/>
        <v>UN</v>
      </c>
      <c r="D15462" s="7">
        <v>920</v>
      </c>
      <c r="E15462" s="3">
        <v>11</v>
      </c>
      <c r="F15462" s="2">
        <v>1</v>
      </c>
      <c r="G15462" t="s">
        <v>512</v>
      </c>
    </row>
    <row r="15463" spans="1:7" x14ac:dyDescent="0.25">
      <c r="A15463" s="1" t="str">
        <f>"523899"</f>
        <v>523899</v>
      </c>
      <c r="B15463" s="2" t="str">
        <f>"MASCARA"</f>
        <v>MASCARA</v>
      </c>
      <c r="C15463" s="2" t="str">
        <f t="shared" si="611"/>
        <v>UN</v>
      </c>
      <c r="D15463" s="7">
        <v>401</v>
      </c>
      <c r="E15463" s="3">
        <v>4</v>
      </c>
      <c r="F15463" s="2">
        <v>4</v>
      </c>
      <c r="G15463" t="s">
        <v>513</v>
      </c>
    </row>
    <row r="15464" spans="1:7" x14ac:dyDescent="0.25">
      <c r="A15464" s="1" t="str">
        <f>"524802"</f>
        <v>524802</v>
      </c>
      <c r="B15464" s="8" t="s">
        <v>417</v>
      </c>
      <c r="C15464" s="2" t="str">
        <f t="shared" si="611"/>
        <v>UN</v>
      </c>
      <c r="D15464" s="7">
        <v>501</v>
      </c>
      <c r="E15464" s="3">
        <v>10</v>
      </c>
      <c r="F15464" s="2">
        <v>1</v>
      </c>
      <c r="G15464" t="s">
        <v>514</v>
      </c>
    </row>
    <row r="15465" spans="1:7" x14ac:dyDescent="0.25">
      <c r="A15465" s="1" t="str">
        <f>"501623"</f>
        <v>501623</v>
      </c>
      <c r="B15465" s="2" t="str">
        <f>"MASCARA C/ FILTRO PFF1"</f>
        <v>MASCARA C/ FILTRO PFF1</v>
      </c>
      <c r="C15465" s="2" t="str">
        <f t="shared" si="611"/>
        <v>UN</v>
      </c>
      <c r="D15465" s="7">
        <v>402</v>
      </c>
      <c r="E15465" s="3">
        <v>4</v>
      </c>
      <c r="F15465" s="2">
        <v>2</v>
      </c>
      <c r="G15465" t="s">
        <v>514</v>
      </c>
    </row>
    <row r="15466" spans="1:7" x14ac:dyDescent="0.25">
      <c r="A15466" s="1" t="str">
        <f>"523589"</f>
        <v>523589</v>
      </c>
      <c r="B15466" s="2" t="str">
        <f>"MASCARA DE FUGA MINI SCAPE MSA CA-13182"</f>
        <v>MASCARA DE FUGA MINI SCAPE MSA CA-13182</v>
      </c>
      <c r="C15466" s="2" t="str">
        <f t="shared" si="611"/>
        <v>UN</v>
      </c>
      <c r="D15466" s="7">
        <v>501</v>
      </c>
      <c r="E15466" s="3">
        <v>5</v>
      </c>
      <c r="F15466" s="2">
        <v>7</v>
      </c>
      <c r="G15466" t="s">
        <v>512</v>
      </c>
    </row>
    <row r="15467" spans="1:7" x14ac:dyDescent="0.25">
      <c r="A15467" s="1" t="str">
        <f>"306"</f>
        <v>306</v>
      </c>
      <c r="B15467" s="2" t="str">
        <f>"MASCARA DESCARTAVEL 3M"</f>
        <v>MASCARA DESCARTAVEL 3M</v>
      </c>
      <c r="C15467" s="2" t="str">
        <f t="shared" si="611"/>
        <v>UN</v>
      </c>
      <c r="D15467" s="7">
        <v>502</v>
      </c>
      <c r="E15467" s="3">
        <v>5</v>
      </c>
      <c r="F15467" s="2">
        <v>9</v>
      </c>
      <c r="G15467" t="s">
        <v>513</v>
      </c>
    </row>
    <row r="15468" spans="1:7" x14ac:dyDescent="0.25">
      <c r="A15468" s="1" t="str">
        <f>"3450"</f>
        <v>3450</v>
      </c>
      <c r="B15468" s="2" t="str">
        <f>"MASCARA FACIAL OPTI FIT - AMONIA CA36601"</f>
        <v>MASCARA FACIAL OPTI FIT - AMONIA CA36601</v>
      </c>
      <c r="C15468" s="2" t="str">
        <f t="shared" si="611"/>
        <v>UN</v>
      </c>
      <c r="D15468" s="7">
        <v>501</v>
      </c>
      <c r="E15468" s="3">
        <v>5</v>
      </c>
      <c r="F15468" s="2">
        <v>0</v>
      </c>
      <c r="G15468" t="s">
        <v>514</v>
      </c>
    </row>
    <row r="15469" spans="1:7" x14ac:dyDescent="0.25">
      <c r="A15469" s="1" t="str">
        <f>"513568"</f>
        <v>513568</v>
      </c>
      <c r="B15469" s="2" t="str">
        <f>"MASCARA P/ BARBA 100% POLIPROPILENO (TNT)"</f>
        <v>MASCARA P/ BARBA 100% POLIPROPILENO (TNT)</v>
      </c>
      <c r="C15469" s="2" t="str">
        <f t="shared" si="611"/>
        <v>UN</v>
      </c>
      <c r="D15469" s="7">
        <v>502</v>
      </c>
      <c r="E15469" s="3">
        <v>5</v>
      </c>
      <c r="F15469" s="2">
        <v>0</v>
      </c>
      <c r="G15469" t="s">
        <v>514</v>
      </c>
    </row>
    <row r="15470" spans="1:7" x14ac:dyDescent="0.25">
      <c r="A15470" s="1" t="str">
        <f>"509415"</f>
        <v>509415</v>
      </c>
      <c r="B15470" s="2" t="str">
        <f>"MASCARA PARA SOLDA"</f>
        <v>MASCARA PARA SOLDA</v>
      </c>
      <c r="C15470" s="2" t="str">
        <f t="shared" si="611"/>
        <v>UN</v>
      </c>
      <c r="D15470" s="7">
        <v>920</v>
      </c>
      <c r="E15470" s="3">
        <v>11</v>
      </c>
      <c r="F15470" s="2">
        <v>4</v>
      </c>
      <c r="G15470" t="s">
        <v>514</v>
      </c>
    </row>
    <row r="15471" spans="1:7" x14ac:dyDescent="0.25">
      <c r="A15471" s="1" t="str">
        <f>"3470"</f>
        <v>3470</v>
      </c>
      <c r="B15471" s="2" t="str">
        <f>"MASCARA PROTEÇÃO DUPLA CAMADA TECIDO MISTO AZUL"</f>
        <v>MASCARA PROTEÇÃO DUPLA CAMADA TECIDO MISTO AZUL</v>
      </c>
      <c r="C15471" s="2" t="str">
        <f t="shared" si="611"/>
        <v>UN</v>
      </c>
      <c r="D15471" s="7">
        <v>501</v>
      </c>
      <c r="E15471" s="3">
        <v>5</v>
      </c>
      <c r="F15471" s="2">
        <v>1</v>
      </c>
      <c r="G15471" t="s">
        <v>513</v>
      </c>
    </row>
    <row r="15472" spans="1:7" x14ac:dyDescent="0.25">
      <c r="A15472" s="1" t="str">
        <f>"3469"</f>
        <v>3469</v>
      </c>
      <c r="B15472" s="2" t="str">
        <f>"MASCARA PROTEÇÃO DUPLA CAMADA TECIDO MISTO BRANCO"</f>
        <v>MASCARA PROTEÇÃO DUPLA CAMADA TECIDO MISTO BRANCO</v>
      </c>
      <c r="C15472" s="2" t="str">
        <f t="shared" si="611"/>
        <v>UN</v>
      </c>
      <c r="D15472" s="7">
        <v>501</v>
      </c>
      <c r="E15472" s="3">
        <v>5</v>
      </c>
      <c r="F15472" s="2">
        <v>2</v>
      </c>
      <c r="G15472" t="s">
        <v>512</v>
      </c>
    </row>
    <row r="15473" spans="1:7" x14ac:dyDescent="0.25">
      <c r="A15473" s="1" t="str">
        <f>"526395"</f>
        <v>526395</v>
      </c>
      <c r="B15473" s="2" t="str">
        <f>"MASCARA RETANGULAR DUPLA C/E CLIP NASAL BRANCA TNT RDES00027"</f>
        <v>MASCARA RETANGULAR DUPLA C/E CLIP NASAL BRANCA TNT RDES00027</v>
      </c>
      <c r="C15473" s="2" t="str">
        <f t="shared" si="611"/>
        <v>UN</v>
      </c>
      <c r="D15473" s="7">
        <v>502</v>
      </c>
      <c r="E15473" s="3">
        <v>5</v>
      </c>
      <c r="F15473" s="2">
        <v>7</v>
      </c>
      <c r="G15473" t="s">
        <v>513</v>
      </c>
    </row>
    <row r="15474" spans="1:7" x14ac:dyDescent="0.25">
      <c r="A15474" s="1" t="str">
        <f>"3067"</f>
        <v>3067</v>
      </c>
      <c r="B15474" s="2" t="str">
        <f>"MASCARA RETANGULAR TNT DE TIRA SEM CLIPE"</f>
        <v>MASCARA RETANGULAR TNT DE TIRA SEM CLIPE</v>
      </c>
      <c r="C15474" s="2" t="str">
        <f t="shared" si="611"/>
        <v>UN</v>
      </c>
      <c r="D15474" s="7">
        <v>502</v>
      </c>
      <c r="E15474" s="3">
        <v>5</v>
      </c>
      <c r="F15474" s="2">
        <v>9</v>
      </c>
      <c r="G15474" t="s">
        <v>514</v>
      </c>
    </row>
    <row r="15475" spans="1:7" x14ac:dyDescent="0.25">
      <c r="A15475" s="1" t="str">
        <f>"512840"</f>
        <v>512840</v>
      </c>
      <c r="B15475" s="2" t="str">
        <f>"MASCARA SEMI FACIAL 6200 3M CA-4115"</f>
        <v>MASCARA SEMI FACIAL 6200 3M CA-4115</v>
      </c>
      <c r="C15475" s="2" t="str">
        <f t="shared" si="611"/>
        <v>UN</v>
      </c>
      <c r="D15475" s="7">
        <v>500</v>
      </c>
      <c r="E15475" s="3">
        <v>5</v>
      </c>
      <c r="F15475" s="2">
        <v>0</v>
      </c>
      <c r="G15475" t="s">
        <v>514</v>
      </c>
    </row>
    <row r="15476" spans="1:7" x14ac:dyDescent="0.25">
      <c r="A15476" s="1" t="str">
        <f>"527113"</f>
        <v>527113</v>
      </c>
      <c r="B15476" s="2" t="str">
        <f>"MASCARA SOLDA CELERON COD 2157 MOD. 735 CA-3702"</f>
        <v>MASCARA SOLDA CELERON COD 2157 MOD. 735 CA-3702</v>
      </c>
      <c r="C15476" s="2" t="str">
        <f>"PC"</f>
        <v>PC</v>
      </c>
      <c r="D15476" s="7">
        <v>501</v>
      </c>
      <c r="E15476" s="3">
        <v>5</v>
      </c>
      <c r="F15476" s="2">
        <v>0</v>
      </c>
      <c r="G15476" t="s">
        <v>514</v>
      </c>
    </row>
    <row r="15477" spans="1:7" x14ac:dyDescent="0.25">
      <c r="A15477" s="1" t="str">
        <f>"524263"</f>
        <v>524263</v>
      </c>
      <c r="B15477" s="2" t="str">
        <f>"MASCARA TNT 3 CAMADAS"</f>
        <v>MASCARA TNT 3 CAMADAS</v>
      </c>
      <c r="C15477" s="2" t="str">
        <f>"UN"</f>
        <v>UN</v>
      </c>
      <c r="D15477" s="7">
        <v>501</v>
      </c>
      <c r="E15477" s="3">
        <v>5</v>
      </c>
      <c r="F15477" s="2">
        <v>2</v>
      </c>
      <c r="G15477" t="s">
        <v>513</v>
      </c>
    </row>
    <row r="15478" spans="1:7" x14ac:dyDescent="0.25">
      <c r="A15478" s="1" t="str">
        <f>"512538"</f>
        <v>512538</v>
      </c>
      <c r="B15478" s="2" t="str">
        <f>"MASSA ACRILICA 18LTS SUVINIL"</f>
        <v>MASSA ACRILICA 18LTS SUVINIL</v>
      </c>
      <c r="C15478" s="2" t="str">
        <f>"UN"</f>
        <v>UN</v>
      </c>
      <c r="D15478" s="7">
        <v>803</v>
      </c>
      <c r="E15478" s="3">
        <v>10</v>
      </c>
      <c r="F15478" s="2">
        <v>5</v>
      </c>
      <c r="G15478" t="s">
        <v>513</v>
      </c>
    </row>
    <row r="15479" spans="1:7" x14ac:dyDescent="0.25">
      <c r="A15479" s="1" t="str">
        <f>"516058"</f>
        <v>516058</v>
      </c>
      <c r="B15479" s="2" t="str">
        <f>"MASSA ACRILICA 3,6"</f>
        <v>MASSA ACRILICA 3,6</v>
      </c>
      <c r="C15479" s="2" t="str">
        <f>"UN"</f>
        <v>UN</v>
      </c>
      <c r="D15479" s="7">
        <v>803</v>
      </c>
      <c r="E15479" s="3">
        <v>10</v>
      </c>
      <c r="F15479" s="2">
        <v>0</v>
      </c>
      <c r="G15479" t="s">
        <v>513</v>
      </c>
    </row>
    <row r="15480" spans="1:7" x14ac:dyDescent="0.25">
      <c r="A15480" s="1" t="str">
        <f>"AG04069030"</f>
        <v>AG04069030</v>
      </c>
      <c r="B15480" s="2" t="str">
        <f>"MASSA COALHADA AMOSTRA GRATIS"</f>
        <v>MASSA COALHADA AMOSTRA GRATIS</v>
      </c>
      <c r="C15480" s="2" t="str">
        <f>"UN"</f>
        <v>UN</v>
      </c>
      <c r="D15480" s="7">
        <v>99999</v>
      </c>
      <c r="E15480" s="3">
        <v>99</v>
      </c>
      <c r="F15480" s="2">
        <v>2</v>
      </c>
      <c r="G15480" t="s">
        <v>512</v>
      </c>
    </row>
    <row r="15481" spans="1:7" x14ac:dyDescent="0.25">
      <c r="A15481" s="1" t="str">
        <f>"520783"</f>
        <v>520783</v>
      </c>
      <c r="B15481" s="2" t="str">
        <f>"MASSA COALHADA PICNIC F-8"</f>
        <v>MASSA COALHADA PICNIC F-8</v>
      </c>
      <c r="C15481" s="2" t="str">
        <f>"LT"</f>
        <v>LT</v>
      </c>
      <c r="D15481" s="7">
        <v>221</v>
      </c>
      <c r="E15481" s="3">
        <v>2</v>
      </c>
      <c r="F15481" s="2">
        <v>5</v>
      </c>
      <c r="G15481" t="s">
        <v>513</v>
      </c>
    </row>
    <row r="15482" spans="1:7" x14ac:dyDescent="0.25">
      <c r="A15482" s="1" t="str">
        <f>"520782"</f>
        <v>520782</v>
      </c>
      <c r="B15482" s="2" t="str">
        <f>"MASSA COALHADA PICNIC F-8 (LATICA)"</f>
        <v>MASSA COALHADA PICNIC F-8 (LATICA)</v>
      </c>
      <c r="C15482" s="2" t="str">
        <f>"LT"</f>
        <v>LT</v>
      </c>
      <c r="D15482" s="7">
        <v>221</v>
      </c>
      <c r="E15482" s="3">
        <v>2</v>
      </c>
      <c r="F15482" s="5">
        <v>5</v>
      </c>
      <c r="G15482" t="s">
        <v>514</v>
      </c>
    </row>
    <row r="15483" spans="1:7" x14ac:dyDescent="0.25">
      <c r="A15483" s="1" t="str">
        <f>"517926"</f>
        <v>517926</v>
      </c>
      <c r="B15483" s="2" t="str">
        <f>"MASSA CORRIDA 0,900LT"</f>
        <v>MASSA CORRIDA 0,900LT</v>
      </c>
      <c r="C15483" s="2" t="str">
        <f t="shared" ref="C15483:C15490" si="612">"UN"</f>
        <v>UN</v>
      </c>
      <c r="D15483" s="7">
        <v>917</v>
      </c>
      <c r="E15483" s="3">
        <v>10</v>
      </c>
      <c r="F15483" s="2">
        <v>3</v>
      </c>
      <c r="G15483" t="s">
        <v>515</v>
      </c>
    </row>
    <row r="15484" spans="1:7" x14ac:dyDescent="0.25">
      <c r="A15484" s="1" t="str">
        <f>"500711"</f>
        <v>500711</v>
      </c>
      <c r="B15484" s="2" t="str">
        <f>"MASSA CORRIDA 18LT SUVINIL"</f>
        <v>MASSA CORRIDA 18LT SUVINIL</v>
      </c>
      <c r="C15484" s="2" t="str">
        <f t="shared" si="612"/>
        <v>UN</v>
      </c>
      <c r="D15484" s="7">
        <v>403</v>
      </c>
      <c r="E15484" s="3">
        <v>4</v>
      </c>
      <c r="F15484" s="2">
        <v>8</v>
      </c>
      <c r="G15484" t="s">
        <v>512</v>
      </c>
    </row>
    <row r="15485" spans="1:7" x14ac:dyDescent="0.25">
      <c r="A15485" s="1" t="str">
        <f>"510463"</f>
        <v>510463</v>
      </c>
      <c r="B15485" s="2" t="str">
        <f>"MASSA CORRIDA 3600LT"</f>
        <v>MASSA CORRIDA 3600LT</v>
      </c>
      <c r="C15485" s="2" t="str">
        <f t="shared" si="612"/>
        <v>UN</v>
      </c>
      <c r="D15485" s="7">
        <v>803</v>
      </c>
      <c r="E15485" s="3">
        <v>10</v>
      </c>
      <c r="F15485" s="2">
        <v>6</v>
      </c>
      <c r="G15485" t="s">
        <v>516</v>
      </c>
    </row>
    <row r="15486" spans="1:7" x14ac:dyDescent="0.25">
      <c r="A15486" s="1" t="str">
        <f>"515587"</f>
        <v>515587</v>
      </c>
      <c r="B15486" s="2" t="str">
        <f>"MASSA DE MODELAR"</f>
        <v>MASSA DE MODELAR</v>
      </c>
      <c r="C15486" s="2" t="str">
        <f t="shared" si="612"/>
        <v>UN</v>
      </c>
      <c r="D15486" s="7">
        <v>401</v>
      </c>
      <c r="E15486" s="3">
        <v>4</v>
      </c>
      <c r="F15486" s="2">
        <v>4</v>
      </c>
      <c r="G15486" t="s">
        <v>515</v>
      </c>
    </row>
    <row r="15487" spans="1:7" x14ac:dyDescent="0.25">
      <c r="A15487" s="1" t="str">
        <f>"501871"</f>
        <v>501871</v>
      </c>
      <c r="B15487" s="2" t="str">
        <f>"MASSA DE POLIR BASE AGUA"</f>
        <v>MASSA DE POLIR BASE AGUA</v>
      </c>
      <c r="C15487" s="2" t="str">
        <f t="shared" si="612"/>
        <v>UN</v>
      </c>
      <c r="D15487" s="7">
        <v>403</v>
      </c>
      <c r="E15487" s="3">
        <v>4</v>
      </c>
      <c r="F15487" s="2">
        <v>1</v>
      </c>
      <c r="G15487" t="s">
        <v>514</v>
      </c>
    </row>
    <row r="15488" spans="1:7" x14ac:dyDescent="0.25">
      <c r="A15488" s="1" t="str">
        <f>"516354"</f>
        <v>516354</v>
      </c>
      <c r="B15488" s="2" t="str">
        <f>"MASSA F-12"</f>
        <v>MASSA F-12</v>
      </c>
      <c r="C15488" s="2" t="str">
        <f t="shared" si="612"/>
        <v>UN</v>
      </c>
      <c r="D15488" s="7">
        <v>917</v>
      </c>
      <c r="E15488" s="3">
        <v>10</v>
      </c>
      <c r="F15488" s="2">
        <v>2</v>
      </c>
      <c r="G15488" t="s">
        <v>512</v>
      </c>
    </row>
    <row r="15489" spans="1:7" x14ac:dyDescent="0.25">
      <c r="A15489" s="1" t="str">
        <f>"515974"</f>
        <v>515974</v>
      </c>
      <c r="B15489" s="2" t="str">
        <f>"MASSA LUBRIFICANTE"</f>
        <v>MASSA LUBRIFICANTE</v>
      </c>
      <c r="C15489" s="2" t="str">
        <f t="shared" si="612"/>
        <v>UN</v>
      </c>
      <c r="D15489" s="7">
        <v>99999</v>
      </c>
      <c r="E15489" s="3">
        <v>99</v>
      </c>
      <c r="F15489" s="2">
        <v>7</v>
      </c>
      <c r="G15489" t="s">
        <v>513</v>
      </c>
    </row>
    <row r="15490" spans="1:7" x14ac:dyDescent="0.25">
      <c r="A15490" s="1" t="str">
        <f>"500379"</f>
        <v>500379</v>
      </c>
      <c r="B15490" s="2" t="str">
        <f>"MASSA P/ CALAFETAR"</f>
        <v>MASSA P/ CALAFETAR</v>
      </c>
      <c r="C15490" s="2" t="str">
        <f t="shared" si="612"/>
        <v>UN</v>
      </c>
      <c r="D15490" s="7">
        <v>403</v>
      </c>
      <c r="E15490" s="3">
        <v>4</v>
      </c>
      <c r="F15490" s="2">
        <v>9</v>
      </c>
      <c r="G15490" t="s">
        <v>514</v>
      </c>
    </row>
    <row r="15491" spans="1:7" x14ac:dyDescent="0.25">
      <c r="A15491" s="1" t="str">
        <f>"2286"</f>
        <v>2286</v>
      </c>
      <c r="B15491" s="2" t="str">
        <f>"MASSA P/ MUSSARELA"</f>
        <v>MASSA P/ MUSSARELA</v>
      </c>
      <c r="C15491" s="2" t="str">
        <f>"KG"</f>
        <v>KG</v>
      </c>
      <c r="D15491" s="7">
        <v>227</v>
      </c>
      <c r="E15491" s="3">
        <v>2</v>
      </c>
      <c r="F15491" s="2">
        <v>0</v>
      </c>
      <c r="G15491" t="s">
        <v>514</v>
      </c>
    </row>
    <row r="15492" spans="1:7" x14ac:dyDescent="0.25">
      <c r="A15492" s="1" t="str">
        <f>"509461"</f>
        <v>509461</v>
      </c>
      <c r="B15492" s="2" t="str">
        <f>"MASSA P/ POLIR"</f>
        <v>MASSA P/ POLIR</v>
      </c>
      <c r="C15492" s="2" t="str">
        <f>"UN"</f>
        <v>UN</v>
      </c>
      <c r="D15492" s="7">
        <v>704</v>
      </c>
      <c r="E15492" s="3">
        <v>9</v>
      </c>
      <c r="F15492" s="2">
        <v>0</v>
      </c>
      <c r="G15492" t="s">
        <v>512</v>
      </c>
    </row>
    <row r="15493" spans="1:7" x14ac:dyDescent="0.25">
      <c r="A15493" s="1" t="str">
        <f>"514488"</f>
        <v>514488</v>
      </c>
      <c r="B15493" s="2" t="str">
        <f>"MASSA PLASTICA 400GR"</f>
        <v>MASSA PLASTICA 400GR</v>
      </c>
      <c r="C15493" s="2" t="str">
        <f>"UN"</f>
        <v>UN</v>
      </c>
      <c r="D15493" s="7">
        <v>917</v>
      </c>
      <c r="E15493" s="3">
        <v>10</v>
      </c>
      <c r="F15493" s="2">
        <v>2</v>
      </c>
      <c r="G15493" t="s">
        <v>513</v>
      </c>
    </row>
    <row r="15494" spans="1:7" x14ac:dyDescent="0.25">
      <c r="A15494" s="1" t="str">
        <f>"501677"</f>
        <v>501677</v>
      </c>
      <c r="B15494" s="2" t="str">
        <f>"MASSA POLIESTER"</f>
        <v>MASSA POLIESTER</v>
      </c>
      <c r="C15494" s="2" t="str">
        <f>"UN"</f>
        <v>UN</v>
      </c>
      <c r="D15494" s="7">
        <v>403</v>
      </c>
      <c r="E15494" s="3">
        <v>4</v>
      </c>
      <c r="F15494" s="2">
        <v>5</v>
      </c>
      <c r="G15494" t="s">
        <v>514</v>
      </c>
    </row>
    <row r="15495" spans="1:7" x14ac:dyDescent="0.25">
      <c r="A15495" s="1" t="str">
        <f>"2712"</f>
        <v>2712</v>
      </c>
      <c r="B15495" s="2" t="str">
        <f>"MASSA PRONTA"</f>
        <v>MASSA PRONTA</v>
      </c>
      <c r="C15495" s="2" t="str">
        <f>"KG"</f>
        <v>KG</v>
      </c>
      <c r="D15495" s="7">
        <v>227</v>
      </c>
      <c r="E15495" s="3">
        <v>2</v>
      </c>
      <c r="F15495" s="2">
        <v>6</v>
      </c>
      <c r="G15495" t="s">
        <v>514</v>
      </c>
    </row>
    <row r="15496" spans="1:7" x14ac:dyDescent="0.25">
      <c r="A15496" s="1" t="str">
        <f>"521747"</f>
        <v>521747</v>
      </c>
      <c r="B15496" s="2" t="str">
        <f>"MASSA PRONTA FRESCA"</f>
        <v>MASSA PRONTA FRESCA</v>
      </c>
      <c r="C15496" s="2" t="str">
        <f>"KG"</f>
        <v>KG</v>
      </c>
      <c r="D15496" s="7">
        <v>99999</v>
      </c>
      <c r="E15496" s="3">
        <v>99</v>
      </c>
      <c r="F15496" s="2">
        <v>9</v>
      </c>
      <c r="G15496" t="s">
        <v>514</v>
      </c>
    </row>
    <row r="15497" spans="1:7" x14ac:dyDescent="0.25">
      <c r="A15497" s="1" t="str">
        <f>"522215"</f>
        <v>522215</v>
      </c>
      <c r="B15497" s="2" t="str">
        <f>"MASSA VEDANTE PAINEIS BRANCO 600ML"</f>
        <v>MASSA VEDANTE PAINEIS BRANCO 600ML</v>
      </c>
      <c r="C15497" s="2" t="str">
        <f>"UN"</f>
        <v>UN</v>
      </c>
      <c r="D15497" s="7">
        <v>803</v>
      </c>
      <c r="E15497" s="3">
        <v>10</v>
      </c>
      <c r="F15497" s="2">
        <v>5</v>
      </c>
      <c r="G15497" t="s">
        <v>513</v>
      </c>
    </row>
    <row r="15498" spans="1:7" x14ac:dyDescent="0.25">
      <c r="A15498" s="1" t="str">
        <f>"1999"</f>
        <v>1999</v>
      </c>
      <c r="B15498" s="2" t="str">
        <f>"MASTER ACID COD.105"</f>
        <v>MASTER ACID COD.105</v>
      </c>
      <c r="C15498" s="2" t="str">
        <f>"LT"</f>
        <v>LT</v>
      </c>
      <c r="D15498" s="7">
        <v>407</v>
      </c>
      <c r="E15498" s="3">
        <v>4</v>
      </c>
      <c r="F15498" s="2">
        <v>3</v>
      </c>
      <c r="G15498" t="s">
        <v>512</v>
      </c>
    </row>
    <row r="15499" spans="1:7" x14ac:dyDescent="0.25">
      <c r="A15499" s="1" t="str">
        <f>"522139"</f>
        <v>522139</v>
      </c>
      <c r="B15499" s="2" t="str">
        <f>"MASTER BRACE PT3500 PTA V2"</f>
        <v>MASTER BRACE PT3500 PTA V2</v>
      </c>
      <c r="C15499" s="2" t="str">
        <f>"UN"</f>
        <v>UN</v>
      </c>
      <c r="D15499" s="7">
        <v>917</v>
      </c>
      <c r="E15499" s="3">
        <v>4</v>
      </c>
      <c r="F15499" s="2">
        <v>3</v>
      </c>
      <c r="G15499" t="s">
        <v>513</v>
      </c>
    </row>
    <row r="15500" spans="1:7" x14ac:dyDescent="0.25">
      <c r="A15500" s="1" t="str">
        <f>"522140"</f>
        <v>522140</v>
      </c>
      <c r="B15500" s="2" t="str">
        <f>"MASTER BRACE PT3500 PTB V2"</f>
        <v>MASTER BRACE PT3500 PTB V2</v>
      </c>
      <c r="C15500" s="2" t="str">
        <f>"UN"</f>
        <v>UN</v>
      </c>
      <c r="D15500" s="7">
        <v>917</v>
      </c>
      <c r="E15500" s="3">
        <v>4</v>
      </c>
      <c r="F15500" s="2">
        <v>2</v>
      </c>
      <c r="G15500" t="s">
        <v>514</v>
      </c>
    </row>
    <row r="15501" spans="1:7" x14ac:dyDescent="0.25">
      <c r="A15501" s="1" t="str">
        <f>"2003"</f>
        <v>2003</v>
      </c>
      <c r="B15501" s="2" t="str">
        <f>"MASTER CAMP COD.805"</f>
        <v>MASTER CAMP COD.805</v>
      </c>
      <c r="C15501" s="2" t="str">
        <f>"LT"</f>
        <v>LT</v>
      </c>
      <c r="D15501" s="7">
        <v>407</v>
      </c>
      <c r="E15501" s="3">
        <v>4</v>
      </c>
      <c r="F15501" s="2">
        <v>1</v>
      </c>
      <c r="G15501" t="s">
        <v>514</v>
      </c>
    </row>
    <row r="15502" spans="1:7" x14ac:dyDescent="0.25">
      <c r="A15502" s="1" t="str">
        <f>"2000"</f>
        <v>2000</v>
      </c>
      <c r="B15502" s="2" t="str">
        <f>"MASTER CLEAN PLUS COD.205"</f>
        <v>MASTER CLEAN PLUS COD.205</v>
      </c>
      <c r="C15502" s="2" t="str">
        <f>"LT"</f>
        <v>LT</v>
      </c>
      <c r="D15502" s="7">
        <v>407</v>
      </c>
      <c r="E15502" s="3">
        <v>4</v>
      </c>
      <c r="F15502" s="2">
        <v>4</v>
      </c>
      <c r="G15502" t="s">
        <v>514</v>
      </c>
    </row>
    <row r="15503" spans="1:7" x14ac:dyDescent="0.25">
      <c r="A15503" s="1" t="str">
        <f>"6050"</f>
        <v>6050</v>
      </c>
      <c r="B15503" s="2" t="str">
        <f>"MASTER CLHOR COD.1006"</f>
        <v>MASTER CLHOR COD.1006</v>
      </c>
      <c r="C15503" s="2" t="str">
        <f>"LT"</f>
        <v>LT</v>
      </c>
      <c r="D15503" s="7">
        <v>407</v>
      </c>
      <c r="E15503" s="3">
        <v>4</v>
      </c>
      <c r="F15503" s="2">
        <v>6</v>
      </c>
      <c r="G15503" t="s">
        <v>513</v>
      </c>
    </row>
    <row r="15504" spans="1:7" x14ac:dyDescent="0.25">
      <c r="A15504" s="1" t="str">
        <f>"2002"</f>
        <v>2002</v>
      </c>
      <c r="B15504" s="2" t="str">
        <f>"MASTER GOLD COD.705"</f>
        <v>MASTER GOLD COD.705</v>
      </c>
      <c r="C15504" s="2" t="str">
        <f>"LT"</f>
        <v>LT</v>
      </c>
      <c r="D15504" s="7">
        <v>407</v>
      </c>
      <c r="E15504" s="3">
        <v>4</v>
      </c>
      <c r="F15504" s="2">
        <v>8</v>
      </c>
      <c r="G15504" t="s">
        <v>513</v>
      </c>
    </row>
    <row r="15505" spans="1:7" x14ac:dyDescent="0.25">
      <c r="A15505" s="1" t="str">
        <f>"2001"</f>
        <v>2001</v>
      </c>
      <c r="B15505" s="2" t="str">
        <f>"MASTER IOD 0.6% COD.505"</f>
        <v>MASTER IOD 0.6% COD.505</v>
      </c>
      <c r="C15505" s="2" t="str">
        <f>"LT"</f>
        <v>LT</v>
      </c>
      <c r="D15505" s="7">
        <v>407</v>
      </c>
      <c r="E15505" s="3">
        <v>4</v>
      </c>
      <c r="F15505" s="2">
        <v>7</v>
      </c>
      <c r="G15505" t="s">
        <v>513</v>
      </c>
    </row>
    <row r="15506" spans="1:7" x14ac:dyDescent="0.25">
      <c r="A15506" s="1" t="str">
        <f>"522132"</f>
        <v>522132</v>
      </c>
      <c r="B15506" s="2" t="str">
        <f>"MASTER SEAL NP1 CART BEGE"</f>
        <v>MASTER SEAL NP1 CART BEGE</v>
      </c>
      <c r="C15506" s="2" t="str">
        <f t="shared" ref="C15506:C15533" si="613">"UN"</f>
        <v>UN</v>
      </c>
      <c r="D15506" s="7">
        <v>917</v>
      </c>
      <c r="E15506" s="3">
        <v>4</v>
      </c>
      <c r="F15506" s="2">
        <v>6</v>
      </c>
      <c r="G15506" t="s">
        <v>512</v>
      </c>
    </row>
    <row r="15507" spans="1:7" x14ac:dyDescent="0.25">
      <c r="A15507" s="1" t="str">
        <f>"522133"</f>
        <v>522133</v>
      </c>
      <c r="B15507" s="2" t="str">
        <f>"MASTER SEAL NP1 CART CINZA"</f>
        <v>MASTER SEAL NP1 CART CINZA</v>
      </c>
      <c r="C15507" s="2" t="str">
        <f t="shared" si="613"/>
        <v>UN</v>
      </c>
      <c r="D15507" s="7">
        <v>917</v>
      </c>
      <c r="E15507" s="3">
        <v>4</v>
      </c>
      <c r="F15507" s="2">
        <v>6</v>
      </c>
      <c r="G15507" t="s">
        <v>513</v>
      </c>
    </row>
    <row r="15508" spans="1:7" x14ac:dyDescent="0.25">
      <c r="A15508" s="1" t="str">
        <f>"511372"</f>
        <v>511372</v>
      </c>
      <c r="B15508" s="2" t="str">
        <f>"MASTER TOP TC 302"</f>
        <v>MASTER TOP TC 302</v>
      </c>
      <c r="C15508" s="2" t="str">
        <f t="shared" si="613"/>
        <v>UN</v>
      </c>
      <c r="D15508" s="7">
        <v>803</v>
      </c>
      <c r="E15508" s="3">
        <v>10</v>
      </c>
      <c r="F15508" s="2">
        <v>2</v>
      </c>
      <c r="G15508" t="s">
        <v>514</v>
      </c>
    </row>
    <row r="15509" spans="1:7" x14ac:dyDescent="0.25">
      <c r="A15509" s="1" t="str">
        <f>"512586"</f>
        <v>512586</v>
      </c>
      <c r="B15509" s="2" t="str">
        <f>"MASTERTOP 1390 ENDURECEDOR 1ST"</f>
        <v>MASTERTOP 1390 ENDURECEDOR 1ST</v>
      </c>
      <c r="C15509" s="2" t="str">
        <f t="shared" si="613"/>
        <v>UN</v>
      </c>
      <c r="D15509" s="7">
        <v>803</v>
      </c>
      <c r="E15509" s="3">
        <v>10</v>
      </c>
      <c r="F15509" s="2">
        <v>1</v>
      </c>
      <c r="G15509" t="s">
        <v>515</v>
      </c>
    </row>
    <row r="15510" spans="1:7" x14ac:dyDescent="0.25">
      <c r="A15510" s="1" t="str">
        <f>"512582"</f>
        <v>512582</v>
      </c>
      <c r="B15510" s="2" t="str">
        <f>"MASTERTOP 1390 RAL 5012 1ST"</f>
        <v>MASTERTOP 1390 RAL 5012 1ST</v>
      </c>
      <c r="C15510" s="2" t="str">
        <f t="shared" si="613"/>
        <v>UN</v>
      </c>
      <c r="D15510" s="7">
        <v>803</v>
      </c>
      <c r="E15510" s="3">
        <v>10</v>
      </c>
      <c r="F15510" s="2">
        <v>0</v>
      </c>
      <c r="G15510" t="s">
        <v>512</v>
      </c>
    </row>
    <row r="15511" spans="1:7" x14ac:dyDescent="0.25">
      <c r="A15511" s="1" t="str">
        <f>"512583"</f>
        <v>512583</v>
      </c>
      <c r="B15511" s="2" t="str">
        <f>"MASTERTOP 1393 PARTE A 3.5KG"</f>
        <v>MASTERTOP 1393 PARTE A 3.5KG</v>
      </c>
      <c r="C15511" s="2" t="str">
        <f t="shared" si="613"/>
        <v>UN</v>
      </c>
      <c r="D15511" s="7">
        <v>803</v>
      </c>
      <c r="E15511" s="3">
        <v>10</v>
      </c>
      <c r="F15511" s="2">
        <v>0</v>
      </c>
      <c r="G15511" t="s">
        <v>516</v>
      </c>
    </row>
    <row r="15512" spans="1:7" x14ac:dyDescent="0.25">
      <c r="A15512" s="1" t="str">
        <f>"512584"</f>
        <v>512584</v>
      </c>
      <c r="B15512" s="2" t="str">
        <f>"MASTERTOP 1393 PARTE B 0,6KG"</f>
        <v>MASTERTOP 1393 PARTE B 0,6KG</v>
      </c>
      <c r="C15512" s="2" t="str">
        <f t="shared" si="613"/>
        <v>UN</v>
      </c>
      <c r="D15512" s="7">
        <v>803</v>
      </c>
      <c r="E15512" s="3">
        <v>10</v>
      </c>
      <c r="F15512" s="2">
        <v>0</v>
      </c>
      <c r="G15512" t="s">
        <v>515</v>
      </c>
    </row>
    <row r="15513" spans="1:7" x14ac:dyDescent="0.25">
      <c r="A15513" s="1" t="str">
        <f>"512587"</f>
        <v>512587</v>
      </c>
      <c r="B15513" s="2" t="str">
        <f>"MASTERTOP A4 5,4KG"</f>
        <v>MASTERTOP A4 5,4KG</v>
      </c>
      <c r="C15513" s="2" t="str">
        <f t="shared" si="613"/>
        <v>UN</v>
      </c>
      <c r="D15513" s="7">
        <v>803</v>
      </c>
      <c r="E15513" s="3">
        <v>10</v>
      </c>
      <c r="F15513" s="2">
        <v>3</v>
      </c>
      <c r="G15513" t="s">
        <v>514</v>
      </c>
    </row>
    <row r="15514" spans="1:7" x14ac:dyDescent="0.25">
      <c r="A15514" s="1" t="str">
        <f>"512585"</f>
        <v>512585</v>
      </c>
      <c r="B15514" s="2" t="str">
        <f>"MASTERTOP B4 3KG"</f>
        <v>MASTERTOP B4 3KG</v>
      </c>
      <c r="C15514" s="2" t="str">
        <f t="shared" si="613"/>
        <v>UN</v>
      </c>
      <c r="D15514" s="7">
        <v>803</v>
      </c>
      <c r="E15514" s="3">
        <v>10</v>
      </c>
      <c r="F15514" s="5">
        <v>5</v>
      </c>
      <c r="G15514" t="s">
        <v>512</v>
      </c>
    </row>
    <row r="15515" spans="1:7" x14ac:dyDescent="0.25">
      <c r="A15515" s="1" t="str">
        <f>"526098"</f>
        <v>526098</v>
      </c>
      <c r="B15515" s="2" t="str">
        <f>"MASTERTOP P 202 PTA 1,136KG"</f>
        <v>MASTERTOP P 202 PTA 1,136KG</v>
      </c>
      <c r="C15515" s="2" t="str">
        <f t="shared" si="613"/>
        <v>UN</v>
      </c>
      <c r="D15515" s="7">
        <v>917</v>
      </c>
      <c r="E15515" s="3">
        <v>4</v>
      </c>
      <c r="F15515" s="2">
        <v>3</v>
      </c>
      <c r="G15515" t="s">
        <v>513</v>
      </c>
    </row>
    <row r="15516" spans="1:7" x14ac:dyDescent="0.25">
      <c r="A15516" s="1" t="str">
        <f>"526099"</f>
        <v>526099</v>
      </c>
      <c r="B15516" s="2" t="str">
        <f>"MASTERTOP P 202 PTB 0,9KG"</f>
        <v>MASTERTOP P 202 PTB 0,9KG</v>
      </c>
      <c r="C15516" s="2" t="str">
        <f t="shared" si="613"/>
        <v>UN</v>
      </c>
      <c r="D15516" s="7">
        <v>917</v>
      </c>
      <c r="E15516" s="3">
        <v>4</v>
      </c>
      <c r="F15516" s="2">
        <v>8</v>
      </c>
      <c r="G15516" t="s">
        <v>514</v>
      </c>
    </row>
    <row r="15517" spans="1:7" x14ac:dyDescent="0.25">
      <c r="A15517" s="1" t="str">
        <f>"512581"</f>
        <v>512581</v>
      </c>
      <c r="B15517" s="2" t="str">
        <f>"MASTERTOP X2 RAL 7046 1ST"</f>
        <v>MASTERTOP X2 RAL 7046 1ST</v>
      </c>
      <c r="C15517" s="2" t="str">
        <f t="shared" si="613"/>
        <v>UN</v>
      </c>
      <c r="D15517" s="7">
        <v>803</v>
      </c>
      <c r="E15517" s="3">
        <v>10</v>
      </c>
      <c r="F15517" s="2">
        <v>6</v>
      </c>
      <c r="G15517" t="s">
        <v>514</v>
      </c>
    </row>
    <row r="15518" spans="1:7" x14ac:dyDescent="0.25">
      <c r="A15518" s="1" t="str">
        <f>"513383"</f>
        <v>513383</v>
      </c>
      <c r="B15518" s="2" t="str">
        <f>"MASTRO DE MADEIRA"</f>
        <v>MASTRO DE MADEIRA</v>
      </c>
      <c r="C15518" s="2" t="str">
        <f t="shared" si="613"/>
        <v>UN</v>
      </c>
      <c r="D15518" s="7">
        <v>401</v>
      </c>
      <c r="E15518" s="3">
        <v>4</v>
      </c>
      <c r="F15518" s="2">
        <v>4</v>
      </c>
      <c r="G15518" t="s">
        <v>512</v>
      </c>
    </row>
    <row r="15519" spans="1:7" x14ac:dyDescent="0.25">
      <c r="A15519" s="1" t="str">
        <f>"504201"</f>
        <v>504201</v>
      </c>
      <c r="B15519" s="2" t="str">
        <f>"MAT. USADOS NO CONSERTO TRANSF. RESINADO 150KVA"</f>
        <v>MAT. USADOS NO CONSERTO TRANSF. RESINADO 150KVA</v>
      </c>
      <c r="C15519" s="2" t="str">
        <f t="shared" si="613"/>
        <v>UN</v>
      </c>
      <c r="D15519" s="7">
        <v>918</v>
      </c>
      <c r="E15519" s="3">
        <v>8</v>
      </c>
      <c r="F15519" s="2">
        <v>1</v>
      </c>
      <c r="G15519" t="s">
        <v>513</v>
      </c>
    </row>
    <row r="15520" spans="1:7" x14ac:dyDescent="0.25">
      <c r="A15520" s="1" t="str">
        <f>"AG39239000"</f>
        <v>AG39239000</v>
      </c>
      <c r="B15520" s="2" t="str">
        <f>"MATERIAL DE EMBALAGEM PLASTICA AMOSTRA GRATIS"</f>
        <v>MATERIAL DE EMBALAGEM PLASTICA AMOSTRA GRATIS</v>
      </c>
      <c r="C15520" s="2" t="str">
        <f t="shared" si="613"/>
        <v>UN</v>
      </c>
      <c r="D15520" s="7">
        <v>99999</v>
      </c>
      <c r="E15520" s="3">
        <v>99</v>
      </c>
      <c r="F15520" s="2">
        <v>2</v>
      </c>
      <c r="G15520" t="s">
        <v>514</v>
      </c>
    </row>
    <row r="15521" spans="1:7" x14ac:dyDescent="0.25">
      <c r="A15521" s="1" t="str">
        <f>"515386"</f>
        <v>515386</v>
      </c>
      <c r="B15521" s="2" t="str">
        <f>"MATERIAL DE EXPEDIENTE"</f>
        <v>MATERIAL DE EXPEDIENTE</v>
      </c>
      <c r="C15521" s="2" t="str">
        <f t="shared" si="613"/>
        <v>UN</v>
      </c>
      <c r="D15521" s="7">
        <v>401</v>
      </c>
      <c r="E15521" s="3">
        <v>4</v>
      </c>
      <c r="F15521" s="2">
        <v>7</v>
      </c>
      <c r="G15521" t="s">
        <v>514</v>
      </c>
    </row>
    <row r="15522" spans="1:7" x14ac:dyDescent="0.25">
      <c r="A15522" s="1" t="str">
        <f>"506314"</f>
        <v>506314</v>
      </c>
      <c r="B15522" s="2" t="str">
        <f>"MATERIAL DE LIMPEZA"</f>
        <v>MATERIAL DE LIMPEZA</v>
      </c>
      <c r="C15522" s="2" t="str">
        <f t="shared" si="613"/>
        <v>UN</v>
      </c>
      <c r="D15522" s="7">
        <v>920</v>
      </c>
      <c r="E15522" s="3">
        <v>11</v>
      </c>
      <c r="F15522" s="2">
        <v>9</v>
      </c>
      <c r="G15522" t="s">
        <v>514</v>
      </c>
    </row>
    <row r="15523" spans="1:7" x14ac:dyDescent="0.25">
      <c r="A15523" s="1" t="str">
        <f>"514105"</f>
        <v>514105</v>
      </c>
      <c r="B15523" s="2" t="str">
        <f>"MATERIAL DE LIMPEZA"</f>
        <v>MATERIAL DE LIMPEZA</v>
      </c>
      <c r="C15523" s="2" t="str">
        <f t="shared" si="613"/>
        <v>UN</v>
      </c>
      <c r="D15523" s="7">
        <v>704</v>
      </c>
      <c r="E15523" s="3">
        <v>9</v>
      </c>
      <c r="F15523" s="2">
        <v>0</v>
      </c>
      <c r="G15523" t="s">
        <v>513</v>
      </c>
    </row>
    <row r="15524" spans="1:7" x14ac:dyDescent="0.25">
      <c r="A15524" s="1" t="str">
        <f>"514735"</f>
        <v>514735</v>
      </c>
      <c r="B15524" s="2" t="str">
        <f>"MATERIAL PARA CONSUMO EXTRA"</f>
        <v>MATERIAL PARA CONSUMO EXTRA</v>
      </c>
      <c r="C15524" s="2" t="str">
        <f t="shared" si="613"/>
        <v>UN</v>
      </c>
      <c r="D15524" s="7">
        <v>704</v>
      </c>
      <c r="E15524" s="3">
        <v>9</v>
      </c>
      <c r="F15524" s="2">
        <v>0</v>
      </c>
      <c r="G15524" t="s">
        <v>512</v>
      </c>
    </row>
    <row r="15525" spans="1:7" x14ac:dyDescent="0.25">
      <c r="A15525" s="1" t="str">
        <f>"526706"</f>
        <v>526706</v>
      </c>
      <c r="B15525" s="2" t="str">
        <f>"MATRIZ"</f>
        <v>MATRIZ</v>
      </c>
      <c r="C15525" s="2" t="str">
        <f t="shared" si="613"/>
        <v>UN</v>
      </c>
      <c r="D15525" s="7">
        <v>402</v>
      </c>
      <c r="E15525" s="3">
        <v>4</v>
      </c>
      <c r="F15525" s="2">
        <v>2</v>
      </c>
      <c r="G15525" t="s">
        <v>513</v>
      </c>
    </row>
    <row r="15526" spans="1:7" x14ac:dyDescent="0.25">
      <c r="A15526" s="1" t="str">
        <f>"504018"</f>
        <v>504018</v>
      </c>
      <c r="B15526" s="2" t="str">
        <f>"MATRIZ CORTE"</f>
        <v>MATRIZ CORTE</v>
      </c>
      <c r="C15526" s="2" t="str">
        <f t="shared" si="613"/>
        <v>UN</v>
      </c>
      <c r="D15526" s="7">
        <v>812</v>
      </c>
      <c r="E15526" s="3">
        <v>11</v>
      </c>
      <c r="F15526" s="2">
        <v>5</v>
      </c>
      <c r="G15526" t="s">
        <v>514</v>
      </c>
    </row>
    <row r="15527" spans="1:7" x14ac:dyDescent="0.25">
      <c r="A15527" s="1" t="str">
        <f>"519601"</f>
        <v>519601</v>
      </c>
      <c r="B15527" s="2" t="str">
        <f>"MATRIZ DUPLA SEM PUPLEX DIAMETRO 47MM"</f>
        <v>MATRIZ DUPLA SEM PUPLEX DIAMETRO 47MM</v>
      </c>
      <c r="C15527" s="2" t="str">
        <f t="shared" si="613"/>
        <v>UN</v>
      </c>
      <c r="D15527" s="7">
        <v>918</v>
      </c>
      <c r="E15527" s="3">
        <v>11</v>
      </c>
      <c r="F15527" s="2">
        <v>6</v>
      </c>
      <c r="G15527" t="s">
        <v>514</v>
      </c>
    </row>
    <row r="15528" spans="1:7" x14ac:dyDescent="0.25">
      <c r="A15528" s="1" t="str">
        <f>"519767"</f>
        <v>519767</v>
      </c>
      <c r="B15528" s="2" t="str">
        <f>"MATRIZ DUPLA SEM PUXE DIAMETRO 39MM"</f>
        <v>MATRIZ DUPLA SEM PUXE DIAMETRO 39MM</v>
      </c>
      <c r="C15528" s="2" t="str">
        <f t="shared" si="613"/>
        <v>UN</v>
      </c>
      <c r="D15528" s="7">
        <v>918</v>
      </c>
      <c r="E15528" s="3">
        <v>11</v>
      </c>
      <c r="F15528" s="2">
        <v>9</v>
      </c>
      <c r="G15528" t="s">
        <v>514</v>
      </c>
    </row>
    <row r="15529" spans="1:7" x14ac:dyDescent="0.25">
      <c r="A15529" s="1" t="str">
        <f>"512384"</f>
        <v>512384</v>
      </c>
      <c r="B15529" s="2" t="str">
        <f>"MATRIZ MACHO/FEMEA ESTRELINHA DINIEPER"</f>
        <v>MATRIZ MACHO/FEMEA ESTRELINHA DINIEPER</v>
      </c>
      <c r="C15529" s="2" t="str">
        <f t="shared" si="613"/>
        <v>UN</v>
      </c>
      <c r="D15529" s="7">
        <v>918</v>
      </c>
      <c r="E15529" s="3">
        <v>11</v>
      </c>
      <c r="F15529" s="2">
        <v>5</v>
      </c>
      <c r="G15529" t="s">
        <v>513</v>
      </c>
    </row>
    <row r="15530" spans="1:7" x14ac:dyDescent="0.25">
      <c r="A15530" s="1" t="str">
        <f>"510933"</f>
        <v>510933</v>
      </c>
      <c r="B15530" s="2" t="str">
        <f>"MATURADOR PROC. CREME MOD.VCCCMI 5000LTS"</f>
        <v>MATURADOR PROC. CREME MOD.VCCCMI 5000LTS</v>
      </c>
      <c r="C15530" s="2" t="str">
        <f t="shared" si="613"/>
        <v>UN</v>
      </c>
      <c r="D15530" s="7">
        <v>1600</v>
      </c>
      <c r="E15530" s="3">
        <v>13</v>
      </c>
      <c r="F15530" s="2">
        <v>3</v>
      </c>
      <c r="G15530" t="s">
        <v>513</v>
      </c>
    </row>
    <row r="15531" spans="1:7" x14ac:dyDescent="0.25">
      <c r="A15531" s="1" t="str">
        <f>"505206"</f>
        <v>505206</v>
      </c>
      <c r="B15531" s="2" t="str">
        <f>"MAX CLIMA"</f>
        <v>MAX CLIMA</v>
      </c>
      <c r="C15531" s="2" t="str">
        <f t="shared" si="613"/>
        <v>UN</v>
      </c>
      <c r="D15531" s="7">
        <v>704</v>
      </c>
      <c r="E15531" s="3">
        <v>9</v>
      </c>
      <c r="F15531" s="2">
        <v>3</v>
      </c>
      <c r="G15531" t="s">
        <v>513</v>
      </c>
    </row>
    <row r="15532" spans="1:7" x14ac:dyDescent="0.25">
      <c r="A15532" s="1" t="str">
        <f>"510672"</f>
        <v>510672</v>
      </c>
      <c r="B15532" s="2" t="str">
        <f>"MAXALGINA 500MG/ML 20ML"</f>
        <v>MAXALGINA 500MG/ML 20ML</v>
      </c>
      <c r="C15532" s="2" t="str">
        <f t="shared" si="613"/>
        <v>UN</v>
      </c>
      <c r="D15532" s="7">
        <v>401</v>
      </c>
      <c r="E15532" s="3">
        <v>4</v>
      </c>
      <c r="F15532" s="2">
        <v>2</v>
      </c>
      <c r="G15532" t="s">
        <v>512</v>
      </c>
    </row>
    <row r="15533" spans="1:7" x14ac:dyDescent="0.25">
      <c r="A15533" s="1" t="str">
        <f>"515365"</f>
        <v>515365</v>
      </c>
      <c r="B15533" s="2" t="str">
        <f>"MAXFLOC"</f>
        <v>MAXFLOC</v>
      </c>
      <c r="C15533" s="2" t="str">
        <f t="shared" si="613"/>
        <v>UN</v>
      </c>
      <c r="D15533" s="7">
        <v>401</v>
      </c>
      <c r="E15533" s="3">
        <v>4</v>
      </c>
      <c r="F15533" s="2">
        <v>1</v>
      </c>
      <c r="G15533" t="s">
        <v>513</v>
      </c>
    </row>
    <row r="15534" spans="1:7" x14ac:dyDescent="0.25">
      <c r="A15534" s="1" t="str">
        <f>"193"</f>
        <v>193</v>
      </c>
      <c r="B15534" s="2" t="str">
        <f>"MAXI JOB MAOS SP CX 6X1000ML(6KG) - CÓD.87570 (ECOLAB)"</f>
        <v>MAXI JOB MAOS SP CX 6X1000ML(6KG) - CÓD.87570 (ECOLAB)</v>
      </c>
      <c r="C15534" s="2" t="str">
        <f>"KG"</f>
        <v>KG</v>
      </c>
      <c r="D15534" s="7">
        <v>400</v>
      </c>
      <c r="E15534" s="3">
        <v>4</v>
      </c>
      <c r="F15534" s="2">
        <v>4</v>
      </c>
      <c r="G15534" t="s">
        <v>514</v>
      </c>
    </row>
    <row r="15535" spans="1:7" x14ac:dyDescent="0.25">
      <c r="A15535" s="1" t="str">
        <f>"515473"</f>
        <v>515473</v>
      </c>
      <c r="B15535" s="2" t="str">
        <f>"MAXIDEX"</f>
        <v>MAXIDEX</v>
      </c>
      <c r="C15535" s="2" t="str">
        <f t="shared" ref="C15535:C15548" si="614">"UN"</f>
        <v>UN</v>
      </c>
      <c r="D15535" s="7">
        <v>406</v>
      </c>
      <c r="E15535" s="3">
        <v>4</v>
      </c>
      <c r="F15535" s="2">
        <v>1</v>
      </c>
      <c r="G15535" t="s">
        <v>515</v>
      </c>
    </row>
    <row r="15536" spans="1:7" x14ac:dyDescent="0.25">
      <c r="A15536" s="1" t="str">
        <f>"527651"</f>
        <v>527651</v>
      </c>
      <c r="B15536" s="2" t="str">
        <f>"MAXITROL - COLIRIO AFTALMICO"</f>
        <v>MAXITROL - COLIRIO AFTALMICO</v>
      </c>
      <c r="C15536" s="2" t="str">
        <f t="shared" si="614"/>
        <v>UN</v>
      </c>
      <c r="D15536" s="7">
        <v>99999</v>
      </c>
      <c r="E15536" s="3">
        <v>99</v>
      </c>
      <c r="F15536" s="2">
        <v>2</v>
      </c>
      <c r="G15536" t="s">
        <v>512</v>
      </c>
    </row>
    <row r="15537" spans="1:7" x14ac:dyDescent="0.25">
      <c r="A15537" s="1" t="str">
        <f>"573815"</f>
        <v>573815</v>
      </c>
      <c r="B15537" s="2" t="str">
        <f>"MAXSULID 400MG"</f>
        <v>MAXSULID 400MG</v>
      </c>
      <c r="C15537" s="2" t="str">
        <f t="shared" si="614"/>
        <v>UN</v>
      </c>
      <c r="D15537" s="7">
        <v>99999</v>
      </c>
      <c r="E15537" s="3">
        <v>99</v>
      </c>
      <c r="F15537" s="2">
        <v>7</v>
      </c>
      <c r="G15537" t="s">
        <v>516</v>
      </c>
    </row>
    <row r="15538" spans="1:7" x14ac:dyDescent="0.25">
      <c r="A15538" s="1" t="str">
        <f>"524591"</f>
        <v>524591</v>
      </c>
      <c r="B15538" s="2" t="str">
        <f>"MC-RIM PROTECT - 25 KG"</f>
        <v>MC-RIM PROTECT - 25 KG</v>
      </c>
      <c r="C15538" s="2" t="str">
        <f t="shared" si="614"/>
        <v>UN</v>
      </c>
      <c r="D15538" s="7">
        <v>917</v>
      </c>
      <c r="E15538" s="3">
        <v>10</v>
      </c>
      <c r="F15538" s="2">
        <v>9</v>
      </c>
      <c r="G15538" t="s">
        <v>515</v>
      </c>
    </row>
    <row r="15539" spans="1:7" x14ac:dyDescent="0.25">
      <c r="A15539" s="1" t="str">
        <f>"515888"</f>
        <v>515888</v>
      </c>
      <c r="B15539" s="2" t="str">
        <f>"MD 400 SAE 40 GL 5L"</f>
        <v>MD 400 SAE 40 GL 5L</v>
      </c>
      <c r="C15539" s="2" t="str">
        <f t="shared" si="614"/>
        <v>UN</v>
      </c>
      <c r="D15539" s="7">
        <v>704</v>
      </c>
      <c r="E15539" s="3">
        <v>9</v>
      </c>
      <c r="F15539" s="2">
        <v>0</v>
      </c>
      <c r="G15539" t="s">
        <v>514</v>
      </c>
    </row>
    <row r="15540" spans="1:7" x14ac:dyDescent="0.25">
      <c r="A15540" s="1" t="str">
        <f>"526187"</f>
        <v>526187</v>
      </c>
      <c r="B15540" s="2" t="str">
        <f>"MDX61B0040-5A3-4-0T"</f>
        <v>MDX61B0040-5A3-4-0T</v>
      </c>
      <c r="C15540" s="2" t="str">
        <f t="shared" si="614"/>
        <v>UN</v>
      </c>
      <c r="D15540" s="7">
        <v>918</v>
      </c>
      <c r="E15540" s="3">
        <v>11</v>
      </c>
      <c r="F15540" s="2">
        <v>0</v>
      </c>
      <c r="G15540" t="s">
        <v>512</v>
      </c>
    </row>
    <row r="15541" spans="1:7" x14ac:dyDescent="0.25">
      <c r="A15541" s="1" t="str">
        <f>"509204"</f>
        <v>509204</v>
      </c>
      <c r="B15541" s="2" t="str">
        <f>"MECANICO TRABASIL"</f>
        <v>MECANICO TRABASIL</v>
      </c>
      <c r="C15541" s="2" t="str">
        <f t="shared" si="614"/>
        <v>UN</v>
      </c>
      <c r="D15541" s="7">
        <v>402</v>
      </c>
      <c r="E15541" s="3">
        <v>4</v>
      </c>
      <c r="F15541" s="2">
        <v>4</v>
      </c>
      <c r="G15541" t="s">
        <v>513</v>
      </c>
    </row>
    <row r="15542" spans="1:7" x14ac:dyDescent="0.25">
      <c r="A15542" s="1" t="str">
        <f>"518293"</f>
        <v>518293</v>
      </c>
      <c r="B15542" s="2" t="str">
        <f>"MECANISMO CX ACOPLADA (INCEPA/ASTRA)"</f>
        <v>MECANISMO CX ACOPLADA (INCEPA/ASTRA)</v>
      </c>
      <c r="C15542" s="2" t="str">
        <f t="shared" si="614"/>
        <v>UN</v>
      </c>
      <c r="D15542" s="7">
        <v>917</v>
      </c>
      <c r="E15542" s="3">
        <v>10</v>
      </c>
      <c r="F15542" s="2">
        <v>1</v>
      </c>
      <c r="G15542" t="s">
        <v>514</v>
      </c>
    </row>
    <row r="15543" spans="1:7" x14ac:dyDescent="0.25">
      <c r="A15543" s="1" t="str">
        <f>"509811"</f>
        <v>509811</v>
      </c>
      <c r="B15543" s="2" t="str">
        <f>"MECANISMO DIRECAO"</f>
        <v>MECANISMO DIRECAO</v>
      </c>
      <c r="C15543" s="2" t="str">
        <f t="shared" si="614"/>
        <v>UN</v>
      </c>
      <c r="D15543" s="7">
        <v>918</v>
      </c>
      <c r="E15543" s="3">
        <v>11</v>
      </c>
      <c r="F15543" s="2">
        <v>2</v>
      </c>
      <c r="G15543" t="s">
        <v>514</v>
      </c>
    </row>
    <row r="15544" spans="1:7" x14ac:dyDescent="0.25">
      <c r="A15544" s="1" t="str">
        <f>"514449"</f>
        <v>514449</v>
      </c>
      <c r="B15544" s="2" t="str">
        <f>"MECANISMO SIMPLES"</f>
        <v>MECANISMO SIMPLES</v>
      </c>
      <c r="C15544" s="2" t="str">
        <f t="shared" si="614"/>
        <v>UN</v>
      </c>
      <c r="D15544" s="7">
        <v>401</v>
      </c>
      <c r="E15544" s="3">
        <v>4</v>
      </c>
      <c r="F15544" s="2">
        <v>7</v>
      </c>
      <c r="G15544" t="s">
        <v>512</v>
      </c>
    </row>
    <row r="15545" spans="1:7" x14ac:dyDescent="0.25">
      <c r="A15545" s="1" t="str">
        <f>"524282"</f>
        <v>524282</v>
      </c>
      <c r="B15545" s="2" t="str">
        <f>"MEDIDOR CLORO LIVRE E CLORO TOTAL MI404"</f>
        <v>MEDIDOR CLORO LIVRE E CLORO TOTAL MI404</v>
      </c>
      <c r="C15545" s="2" t="str">
        <f t="shared" si="614"/>
        <v>UN</v>
      </c>
      <c r="D15545" s="7">
        <v>99999</v>
      </c>
      <c r="E15545" s="3">
        <v>99</v>
      </c>
      <c r="F15545" s="2">
        <v>9</v>
      </c>
      <c r="G15545" t="s">
        <v>513</v>
      </c>
    </row>
    <row r="15546" spans="1:7" x14ac:dyDescent="0.25">
      <c r="A15546" s="1" t="str">
        <f>"512918"</f>
        <v>512918</v>
      </c>
      <c r="B15546" s="2" t="str">
        <f>"MEDIDOR COMBUSTIVEL CAMINHÃO MB1938"</f>
        <v>MEDIDOR COMBUSTIVEL CAMINHÃO MB1938</v>
      </c>
      <c r="C15546" s="2" t="str">
        <f t="shared" si="614"/>
        <v>UN</v>
      </c>
      <c r="D15546" s="7">
        <v>704</v>
      </c>
      <c r="E15546" s="3">
        <v>9</v>
      </c>
      <c r="F15546" s="5">
        <v>5</v>
      </c>
      <c r="G15546" t="s">
        <v>514</v>
      </c>
    </row>
    <row r="15547" spans="1:7" x14ac:dyDescent="0.25">
      <c r="A15547" s="1" t="str">
        <f>"516983"</f>
        <v>516983</v>
      </c>
      <c r="B15547" s="2" t="str">
        <f>"MEDIDOR DE DISTANCIA"</f>
        <v>MEDIDOR DE DISTANCIA</v>
      </c>
      <c r="C15547" s="2" t="str">
        <f t="shared" si="614"/>
        <v>UN</v>
      </c>
      <c r="D15547" s="7">
        <v>919</v>
      </c>
      <c r="E15547" s="3">
        <v>13</v>
      </c>
      <c r="F15547" s="2">
        <v>3</v>
      </c>
      <c r="G15547" t="s">
        <v>514</v>
      </c>
    </row>
    <row r="15548" spans="1:7" x14ac:dyDescent="0.25">
      <c r="A15548" s="1" t="str">
        <f>"521825"</f>
        <v>521825</v>
      </c>
      <c r="B15548" s="2" t="str">
        <f>"MEDIDOR DE GASES MICRO CLIP XL"</f>
        <v>MEDIDOR DE GASES MICRO CLIP XL</v>
      </c>
      <c r="C15548" s="2" t="str">
        <f t="shared" si="614"/>
        <v>UN</v>
      </c>
      <c r="D15548" s="7">
        <v>99999</v>
      </c>
      <c r="E15548" s="3">
        <v>99</v>
      </c>
      <c r="F15548" s="2">
        <v>8</v>
      </c>
      <c r="G15548" t="s">
        <v>514</v>
      </c>
    </row>
    <row r="15549" spans="1:7" x14ac:dyDescent="0.25">
      <c r="A15549" s="1" t="str">
        <f>"527097"</f>
        <v>527097</v>
      </c>
      <c r="B15549" s="2" t="str">
        <f>"MEDIDOR DE NÍVEL DE 250M"</f>
        <v>MEDIDOR DE NÍVEL DE 250M</v>
      </c>
      <c r="C15549" s="2" t="str">
        <f>"MT"</f>
        <v>MT</v>
      </c>
      <c r="D15549" s="7">
        <v>602</v>
      </c>
      <c r="E15549" s="3">
        <v>8</v>
      </c>
      <c r="F15549" s="2">
        <v>6</v>
      </c>
      <c r="G15549" t="s">
        <v>513</v>
      </c>
    </row>
    <row r="15550" spans="1:7" x14ac:dyDescent="0.25">
      <c r="A15550" s="1" t="str">
        <f>"573832"</f>
        <v>573832</v>
      </c>
      <c r="B15550" s="2" t="str">
        <f>"MEDIDOR DE OXIGÊNIO BW ESTREME"</f>
        <v>MEDIDOR DE OXIGÊNIO BW ESTREME</v>
      </c>
      <c r="C15550" s="2" t="str">
        <f t="shared" ref="C15550:C15570" si="615">"UN"</f>
        <v>UN</v>
      </c>
      <c r="D15550" s="7">
        <v>99999</v>
      </c>
      <c r="E15550" s="3">
        <v>99</v>
      </c>
      <c r="F15550" s="2">
        <v>4</v>
      </c>
      <c r="G15550" t="s">
        <v>512</v>
      </c>
    </row>
    <row r="15551" spans="1:7" x14ac:dyDescent="0.25">
      <c r="A15551" s="1" t="str">
        <f>"527810"</f>
        <v>527810</v>
      </c>
      <c r="B15551" s="2" t="str">
        <f>"MEDIDOR DE PH SISTEMA COMPACT PROMINENT"</f>
        <v>MEDIDOR DE PH SISTEMA COMPACT PROMINENT</v>
      </c>
      <c r="C15551" s="2" t="str">
        <f t="shared" si="615"/>
        <v>UN</v>
      </c>
      <c r="D15551" s="7">
        <v>406</v>
      </c>
      <c r="E15551" s="3">
        <v>4</v>
      </c>
      <c r="F15551" s="2">
        <v>1</v>
      </c>
      <c r="G15551" t="s">
        <v>513</v>
      </c>
    </row>
    <row r="15552" spans="1:7" x14ac:dyDescent="0.25">
      <c r="A15552" s="1" t="str">
        <f>"506902"</f>
        <v>506902</v>
      </c>
      <c r="B15552" s="2" t="str">
        <f>"MEDIDOR DE PRESSAO GEFRAN TK TKM1MB35DMV2130X000D"</f>
        <v>MEDIDOR DE PRESSAO GEFRAN TK TKM1MB35DMV2130X000D</v>
      </c>
      <c r="C15552" s="2" t="str">
        <f t="shared" si="615"/>
        <v>UN</v>
      </c>
      <c r="D15552" s="7">
        <v>812</v>
      </c>
      <c r="E15552" s="3">
        <v>13</v>
      </c>
      <c r="F15552" s="2">
        <v>2</v>
      </c>
      <c r="G15552" t="s">
        <v>514</v>
      </c>
    </row>
    <row r="15553" spans="1:7" x14ac:dyDescent="0.25">
      <c r="A15553" s="1" t="str">
        <f>"526080"</f>
        <v>526080</v>
      </c>
      <c r="B15553" s="2" t="str">
        <f>"MEDIDOR DE SINAL 4 A 20 mA / 0 A 12V"</f>
        <v>MEDIDOR DE SINAL 4 A 20 mA / 0 A 12V</v>
      </c>
      <c r="C15553" s="2" t="str">
        <f t="shared" si="615"/>
        <v>UN</v>
      </c>
      <c r="D15553" s="7">
        <v>811</v>
      </c>
      <c r="E15553" s="3">
        <v>10</v>
      </c>
      <c r="F15553" s="2">
        <v>7</v>
      </c>
      <c r="G15553" t="s">
        <v>514</v>
      </c>
    </row>
    <row r="15554" spans="1:7" x14ac:dyDescent="0.25">
      <c r="A15554" s="1" t="str">
        <f>"526156"</f>
        <v>526156</v>
      </c>
      <c r="B15554" s="2" t="str">
        <f>"MEDIDOR DE UMIDADE AK840"</f>
        <v>MEDIDOR DE UMIDADE AK840</v>
      </c>
      <c r="C15554" s="2" t="str">
        <f t="shared" si="615"/>
        <v>UN</v>
      </c>
      <c r="D15554" s="7">
        <v>811</v>
      </c>
      <c r="E15554" s="3">
        <v>11</v>
      </c>
      <c r="F15554" s="2">
        <v>9</v>
      </c>
      <c r="G15554" t="s">
        <v>514</v>
      </c>
    </row>
    <row r="15555" spans="1:7" x14ac:dyDescent="0.25">
      <c r="A15555" s="1" t="str">
        <f>"526868"</f>
        <v>526868</v>
      </c>
      <c r="B15555" s="2" t="str">
        <f>"MEDIDOR DE VAZAO 10D1H-3LGA1AA0B4AA+M1"</f>
        <v>MEDIDOR DE VAZAO 10D1H-3LGA1AA0B4AA+M1</v>
      </c>
      <c r="C15555" s="2" t="str">
        <f t="shared" si="615"/>
        <v>UN</v>
      </c>
      <c r="D15555" s="7">
        <v>1400</v>
      </c>
      <c r="E15555" s="3">
        <v>13</v>
      </c>
      <c r="F15555" s="2">
        <v>0</v>
      </c>
      <c r="G15555" t="s">
        <v>513</v>
      </c>
    </row>
    <row r="15556" spans="1:7" x14ac:dyDescent="0.25">
      <c r="A15556" s="1" t="str">
        <f>"528169"</f>
        <v>528169</v>
      </c>
      <c r="B15556" s="2" t="str">
        <f>"MEDIDOR DE VAZAO ELETROMAGNETICO"</f>
        <v>MEDIDOR DE VAZAO ELETROMAGNETICO</v>
      </c>
      <c r="C15556" s="2" t="str">
        <f t="shared" si="615"/>
        <v>UN</v>
      </c>
      <c r="D15556" s="7">
        <v>1400</v>
      </c>
      <c r="E15556" s="3">
        <v>13</v>
      </c>
      <c r="F15556" s="2">
        <v>0</v>
      </c>
      <c r="G15556" t="s">
        <v>513</v>
      </c>
    </row>
    <row r="15557" spans="1:7" x14ac:dyDescent="0.25">
      <c r="A15557" s="1" t="str">
        <f>"526069"</f>
        <v>526069</v>
      </c>
      <c r="B15557" s="2" t="str">
        <f>"MEDIDOR DE VAZÃO ENDRESS HAUSER PICOMAG, (DMA50_AAAA1)"</f>
        <v>MEDIDOR DE VAZÃO ENDRESS HAUSER PICOMAG, (DMA50_AAAA1)</v>
      </c>
      <c r="C15557" s="2" t="str">
        <f t="shared" si="615"/>
        <v>UN</v>
      </c>
      <c r="D15557" s="7">
        <v>811</v>
      </c>
      <c r="E15557" s="3">
        <v>8</v>
      </c>
      <c r="F15557" s="2">
        <v>2</v>
      </c>
      <c r="G15557" t="s">
        <v>513</v>
      </c>
    </row>
    <row r="15558" spans="1:7" x14ac:dyDescent="0.25">
      <c r="A15558" s="1" t="str">
        <f>"527988"</f>
        <v>527988</v>
      </c>
      <c r="B15558" s="2" t="str">
        <f>"MEDIDOR DE VAZÃO ENDRESS HAUSER PROMASS 80"</f>
        <v>MEDIDOR DE VAZÃO ENDRESS HAUSER PROMASS 80</v>
      </c>
      <c r="C15558" s="2" t="str">
        <f t="shared" si="615"/>
        <v>UN</v>
      </c>
      <c r="D15558" s="7">
        <v>811</v>
      </c>
      <c r="E15558" s="3">
        <v>8</v>
      </c>
      <c r="F15558" s="2">
        <v>5</v>
      </c>
      <c r="G15558" t="s">
        <v>512</v>
      </c>
    </row>
    <row r="15559" spans="1:7" x14ac:dyDescent="0.25">
      <c r="A15559" s="1" t="str">
        <f>"527610"</f>
        <v>527610</v>
      </c>
      <c r="B15559" s="2" t="str">
        <f>"MEDIDOR DE VAZÃO PROMAG 10D1H, DN100 4""10D1H-3LGA1AA0B4AA+M1"</f>
        <v>MEDIDOR DE VAZÃO PROMAG 10D1H, DN100 4"10D1H-3LGA1AA0B4AA+M1</v>
      </c>
      <c r="C15559" s="2" t="str">
        <f t="shared" si="615"/>
        <v>UN</v>
      </c>
      <c r="D15559" s="7">
        <v>600</v>
      </c>
      <c r="E15559" s="3">
        <v>8</v>
      </c>
      <c r="F15559" s="2">
        <v>6</v>
      </c>
      <c r="G15559" t="s">
        <v>513</v>
      </c>
    </row>
    <row r="15560" spans="1:7" x14ac:dyDescent="0.25">
      <c r="A15560" s="1" t="str">
        <f>"521535"</f>
        <v>521535</v>
      </c>
      <c r="B15560" s="2" t="str">
        <f>"MEDIDOR DE VAZÃO PROMAG H 100 - 5H1B65 - DN65 2 1/2"""</f>
        <v>MEDIDOR DE VAZÃO PROMAG H 100 - 5H1B65 - DN65 2 1/2"</v>
      </c>
      <c r="C15560" s="2" t="str">
        <f t="shared" si="615"/>
        <v>UN</v>
      </c>
      <c r="D15560" s="7">
        <v>813</v>
      </c>
      <c r="E15560" s="3">
        <v>11</v>
      </c>
      <c r="F15560" s="2">
        <v>9</v>
      </c>
      <c r="G15560" t="s">
        <v>514</v>
      </c>
    </row>
    <row r="15561" spans="1:7" x14ac:dyDescent="0.25">
      <c r="A15561" s="1" t="str">
        <f>"522043"</f>
        <v>522043</v>
      </c>
      <c r="B15561" s="2" t="str">
        <f>"MEDIDOR DIG. DE VIBRAÇÃO MINIPA MVA 300"</f>
        <v>MEDIDOR DIG. DE VIBRAÇÃO MINIPA MVA 300</v>
      </c>
      <c r="C15561" s="2" t="str">
        <f t="shared" si="615"/>
        <v>UN</v>
      </c>
      <c r="D15561" s="7">
        <v>817</v>
      </c>
      <c r="E15561" s="3">
        <v>13</v>
      </c>
      <c r="F15561" s="2">
        <v>5</v>
      </c>
      <c r="G15561" t="s">
        <v>515</v>
      </c>
    </row>
    <row r="15562" spans="1:7" x14ac:dyDescent="0.25">
      <c r="A15562" s="1" t="str">
        <f>"523090"</f>
        <v>523090</v>
      </c>
      <c r="B15562" s="2" t="str">
        <f>"MEDIDOR DIGITAL PARA ARLA PIUSI"</f>
        <v>MEDIDOR DIGITAL PARA ARLA PIUSI</v>
      </c>
      <c r="C15562" s="2" t="str">
        <f t="shared" si="615"/>
        <v>UN</v>
      </c>
      <c r="D15562" s="7">
        <v>702</v>
      </c>
      <c r="E15562" s="3">
        <v>10</v>
      </c>
      <c r="F15562" s="2">
        <v>3</v>
      </c>
      <c r="G15562" t="s">
        <v>512</v>
      </c>
    </row>
    <row r="15563" spans="1:7" x14ac:dyDescent="0.25">
      <c r="A15563" s="1" t="str">
        <f>"510084"</f>
        <v>510084</v>
      </c>
      <c r="B15563" s="2" t="str">
        <f>"MEDIDOR DO NIVEL COMBUSTIVEL"</f>
        <v>MEDIDOR DO NIVEL COMBUSTIVEL</v>
      </c>
      <c r="C15563" s="2" t="str">
        <f t="shared" si="615"/>
        <v>UN</v>
      </c>
      <c r="D15563" s="7">
        <v>704</v>
      </c>
      <c r="E15563" s="3">
        <v>9</v>
      </c>
      <c r="F15563" s="2">
        <v>3</v>
      </c>
      <c r="G15563" t="s">
        <v>516</v>
      </c>
    </row>
    <row r="15564" spans="1:7" x14ac:dyDescent="0.25">
      <c r="A15564" s="1" t="str">
        <f>"519465"</f>
        <v>519465</v>
      </c>
      <c r="B15564" s="2" t="str">
        <f>"MEDIDOR ESPES.C/RELOG.7301 0A10MM (0,01MM) 7301 MITUTOYO"</f>
        <v>MEDIDOR ESPES.C/RELOG.7301 0A10MM (0,01MM) 7301 MITUTOYO</v>
      </c>
      <c r="C15564" s="2" t="str">
        <f t="shared" si="615"/>
        <v>UN</v>
      </c>
      <c r="D15564" s="7">
        <v>920</v>
      </c>
      <c r="E15564" s="3">
        <v>4</v>
      </c>
      <c r="F15564" s="2">
        <v>2</v>
      </c>
      <c r="G15564" t="s">
        <v>515</v>
      </c>
    </row>
    <row r="15565" spans="1:7" x14ac:dyDescent="0.25">
      <c r="A15565" s="1" t="str">
        <f>"516358"</f>
        <v>516358</v>
      </c>
      <c r="B15565" s="2" t="str">
        <f>"MEDIDOR FLUXO OPTIFLUX KC 6000/6 IFC010C/B"</f>
        <v>MEDIDOR FLUXO OPTIFLUX KC 6000/6 IFC010C/B</v>
      </c>
      <c r="C15565" s="2" t="str">
        <f t="shared" si="615"/>
        <v>UN</v>
      </c>
      <c r="D15565" s="7">
        <v>918</v>
      </c>
      <c r="E15565" s="3">
        <v>11</v>
      </c>
      <c r="F15565" s="2">
        <v>1</v>
      </c>
      <c r="G15565" t="s">
        <v>514</v>
      </c>
    </row>
    <row r="15566" spans="1:7" x14ac:dyDescent="0.25">
      <c r="A15566" s="1" t="str">
        <f>"524871"</f>
        <v>524871</v>
      </c>
      <c r="B15566" s="2" t="str">
        <f>"MEDIDOR GRAVITACIONAL"</f>
        <v>MEDIDOR GRAVITACIONAL</v>
      </c>
      <c r="C15566" s="2" t="str">
        <f t="shared" si="615"/>
        <v>UN</v>
      </c>
      <c r="D15566" s="7">
        <v>99999</v>
      </c>
      <c r="E15566" s="3">
        <v>99</v>
      </c>
      <c r="F15566" s="2">
        <v>4</v>
      </c>
      <c r="G15566" t="s">
        <v>512</v>
      </c>
    </row>
    <row r="15567" spans="1:7" x14ac:dyDescent="0.25">
      <c r="A15567" s="1" t="str">
        <f>"514929"</f>
        <v>514929</v>
      </c>
      <c r="B15567" s="2" t="str">
        <f>"MEDIDOR MAGNETICO DE VAZAO"</f>
        <v>MEDIDOR MAGNETICO DE VAZAO</v>
      </c>
      <c r="C15567" s="2" t="str">
        <f t="shared" si="615"/>
        <v>UN</v>
      </c>
      <c r="D15567" s="7">
        <v>1300</v>
      </c>
      <c r="E15567" s="3">
        <v>13</v>
      </c>
      <c r="F15567" s="2">
        <v>6</v>
      </c>
      <c r="G15567" t="s">
        <v>513</v>
      </c>
    </row>
    <row r="15568" spans="1:7" x14ac:dyDescent="0.25">
      <c r="A15568" s="1" t="str">
        <f>"524604"</f>
        <v>524604</v>
      </c>
      <c r="B15568" s="8" t="s">
        <v>381</v>
      </c>
      <c r="C15568" s="2" t="str">
        <f t="shared" si="615"/>
        <v>UN</v>
      </c>
      <c r="D15568" s="7">
        <v>406</v>
      </c>
      <c r="E15568" s="3">
        <v>13</v>
      </c>
      <c r="F15568" s="2">
        <v>8</v>
      </c>
      <c r="G15568" t="s">
        <v>514</v>
      </c>
    </row>
    <row r="15569" spans="1:7" x14ac:dyDescent="0.25">
      <c r="A15569" s="1" t="str">
        <f>"523705"</f>
        <v>523705</v>
      </c>
      <c r="B15569" s="2" t="str">
        <f>"MEDIDOR OXIGENIO DISSOLVIDO HI98193"</f>
        <v>MEDIDOR OXIGENIO DISSOLVIDO HI98193</v>
      </c>
      <c r="C15569" s="2" t="str">
        <f t="shared" si="615"/>
        <v>UN</v>
      </c>
      <c r="D15569" s="7">
        <v>99999</v>
      </c>
      <c r="E15569" s="3">
        <v>99</v>
      </c>
      <c r="F15569" s="2">
        <v>7</v>
      </c>
      <c r="G15569" t="s">
        <v>514</v>
      </c>
    </row>
    <row r="15570" spans="1:7" x14ac:dyDescent="0.25">
      <c r="A15570" s="1" t="str">
        <f>"520605"</f>
        <v>520605</v>
      </c>
      <c r="B15570" s="2" t="str">
        <f>"MEDIDOR OXIGENIO DISSOLVIDO. HI9146-04"</f>
        <v>MEDIDOR OXIGENIO DISSOLVIDO. HI9146-04</v>
      </c>
      <c r="C15570" s="2" t="str">
        <f t="shared" si="615"/>
        <v>UN</v>
      </c>
      <c r="D15570" s="7">
        <v>99999</v>
      </c>
      <c r="E15570" s="3">
        <v>99</v>
      </c>
      <c r="F15570" s="2">
        <v>6</v>
      </c>
      <c r="G15570" t="s">
        <v>512</v>
      </c>
    </row>
    <row r="15571" spans="1:7" x14ac:dyDescent="0.25">
      <c r="A15571" s="1" t="str">
        <f>"6311"</f>
        <v>6311</v>
      </c>
      <c r="B15571" s="2" t="str">
        <f>"MEGA MELT PARA RERQUEIJAO"</f>
        <v>MEGA MELT PARA RERQUEIJAO</v>
      </c>
      <c r="C15571" s="2" t="str">
        <f>"KG"</f>
        <v>KG</v>
      </c>
      <c r="D15571" s="7">
        <v>209</v>
      </c>
      <c r="E15571" s="3">
        <v>2</v>
      </c>
      <c r="F15571" s="2">
        <v>6</v>
      </c>
      <c r="G15571" t="s">
        <v>513</v>
      </c>
    </row>
    <row r="15572" spans="1:7" x14ac:dyDescent="0.25">
      <c r="A15572" s="1" t="str">
        <f>"514116"</f>
        <v>514116</v>
      </c>
      <c r="B15572" s="2" t="str">
        <f>"MEGA PIXEL H 264 OREDOOR AIR CAM OD 325HD"</f>
        <v>MEGA PIXEL H 264 OREDOOR AIR CAM OD 325HD</v>
      </c>
      <c r="C15572" s="2" t="str">
        <f>"UN"</f>
        <v>UN</v>
      </c>
      <c r="D15572" s="7">
        <v>1300</v>
      </c>
      <c r="E15572" s="3">
        <v>13</v>
      </c>
      <c r="F15572" s="2">
        <v>2</v>
      </c>
      <c r="G15572" t="s">
        <v>514</v>
      </c>
    </row>
    <row r="15573" spans="1:7" x14ac:dyDescent="0.25">
      <c r="A15573" s="1" t="str">
        <f>"522042"</f>
        <v>522042</v>
      </c>
      <c r="B15573" s="2" t="str">
        <f>"MEGÔMETRO(10Gohms/1000V)CAT IV C/MEN 2O DADOS MI2701"</f>
        <v>MEGÔMETRO(10Gohms/1000V)CAT IV C/MEN 2O DADOS MI2701</v>
      </c>
      <c r="C15573" s="2" t="str">
        <f>"UN"</f>
        <v>UN</v>
      </c>
      <c r="D15573" s="7">
        <v>817</v>
      </c>
      <c r="E15573" s="3">
        <v>13</v>
      </c>
      <c r="F15573" s="2">
        <v>1</v>
      </c>
      <c r="G15573" t="s">
        <v>514</v>
      </c>
    </row>
    <row r="15574" spans="1:7" x14ac:dyDescent="0.25">
      <c r="A15574" s="1" t="str">
        <f>"514434"</f>
        <v>514434</v>
      </c>
      <c r="B15574" s="2" t="str">
        <f>"MEIA CANA PVC BRANCO"</f>
        <v>MEIA CANA PVC BRANCO</v>
      </c>
      <c r="C15574" s="2" t="str">
        <f>"UN"</f>
        <v>UN</v>
      </c>
      <c r="D15574" s="7">
        <v>917</v>
      </c>
      <c r="E15574" s="3">
        <v>4</v>
      </c>
      <c r="F15574" s="2">
        <v>0</v>
      </c>
      <c r="G15574" t="s">
        <v>514</v>
      </c>
    </row>
    <row r="15575" spans="1:7" x14ac:dyDescent="0.25">
      <c r="A15575" s="1" t="str">
        <f>"520548"</f>
        <v>520548</v>
      </c>
      <c r="B15575" s="2" t="str">
        <f>"MEIA EMENDA CORRENTE 3/4 ASA 60"</f>
        <v>MEIA EMENDA CORRENTE 3/4 ASA 60</v>
      </c>
      <c r="C15575" s="2" t="str">
        <f>"UN"</f>
        <v>UN</v>
      </c>
      <c r="D15575" s="7">
        <v>918</v>
      </c>
      <c r="E15575" s="3">
        <v>11</v>
      </c>
      <c r="F15575" s="2">
        <v>0</v>
      </c>
      <c r="G15575" t="s">
        <v>513</v>
      </c>
    </row>
    <row r="15576" spans="1:7" x14ac:dyDescent="0.25">
      <c r="A15576" s="1" t="str">
        <f>"528128"</f>
        <v>528128</v>
      </c>
      <c r="B15576" s="2" t="str">
        <f>"MEIA EMENDA DUPLA PASSO 1 - ASA 80"</f>
        <v>MEIA EMENDA DUPLA PASSO 1 - ASA 80</v>
      </c>
      <c r="C15576" s="2" t="str">
        <f>"UN"</f>
        <v>UN</v>
      </c>
      <c r="D15576" s="7">
        <v>917</v>
      </c>
      <c r="E15576" s="3">
        <v>10</v>
      </c>
      <c r="F15576" s="2">
        <v>0</v>
      </c>
      <c r="G15576" t="s">
        <v>512</v>
      </c>
    </row>
    <row r="15577" spans="1:7" x14ac:dyDescent="0.25">
      <c r="A15577" s="1" t="str">
        <f>"528168"</f>
        <v>528168</v>
      </c>
      <c r="B15577" s="2" t="str">
        <f>"MEIA TERMICA ALGODAO BRANCA CA44422"</f>
        <v>MEIA TERMICA ALGODAO BRANCA CA44422</v>
      </c>
      <c r="C15577" s="2" t="str">
        <f>"PR"</f>
        <v>PR</v>
      </c>
      <c r="D15577" s="7">
        <v>500</v>
      </c>
      <c r="E15577" s="3">
        <v>5</v>
      </c>
      <c r="F15577" s="2">
        <v>3</v>
      </c>
      <c r="G15577" t="s">
        <v>513</v>
      </c>
    </row>
    <row r="15578" spans="1:7" x14ac:dyDescent="0.25">
      <c r="A15578" s="1" t="str">
        <f>"6290"</f>
        <v>6290</v>
      </c>
      <c r="B15578" s="2" t="str">
        <f>"MEIAO DE LA TAMANHO UNICO CA-27913"</f>
        <v>MEIAO DE LA TAMANHO UNICO CA-27913</v>
      </c>
      <c r="C15578" s="2" t="str">
        <f>"PR"</f>
        <v>PR</v>
      </c>
      <c r="D15578" s="7">
        <v>500</v>
      </c>
      <c r="E15578" s="3">
        <v>5</v>
      </c>
      <c r="F15578" s="5">
        <v>5</v>
      </c>
      <c r="G15578" t="s">
        <v>514</v>
      </c>
    </row>
    <row r="15579" spans="1:7" x14ac:dyDescent="0.25">
      <c r="A15579" s="1" t="str">
        <f>"514677"</f>
        <v>514677</v>
      </c>
      <c r="B15579" s="2" t="str">
        <f>"MEIAO FUTEBOL"</f>
        <v>MEIAO FUTEBOL</v>
      </c>
      <c r="C15579" s="2" t="str">
        <f t="shared" ref="C15579:C15585" si="616">"UN"</f>
        <v>UN</v>
      </c>
      <c r="D15579" s="7">
        <v>401</v>
      </c>
      <c r="E15579" s="3">
        <v>4</v>
      </c>
      <c r="F15579" s="2">
        <v>3</v>
      </c>
      <c r="G15579" t="s">
        <v>514</v>
      </c>
    </row>
    <row r="15580" spans="1:7" x14ac:dyDescent="0.25">
      <c r="A15580" s="1" t="str">
        <f>"524036"</f>
        <v>524036</v>
      </c>
      <c r="B15580" s="2" t="str">
        <f>"MEIO DE CULTURA NICKELS E LEESMENT 68109-500G"</f>
        <v>MEIO DE CULTURA NICKELS E LEESMENT 68109-500G</v>
      </c>
      <c r="C15580" s="2" t="str">
        <f t="shared" si="616"/>
        <v>UN</v>
      </c>
      <c r="D15580" s="7">
        <v>406</v>
      </c>
      <c r="E15580" s="3">
        <v>4</v>
      </c>
      <c r="F15580" s="2">
        <v>8</v>
      </c>
      <c r="G15580" t="s">
        <v>514</v>
      </c>
    </row>
    <row r="15581" spans="1:7" x14ac:dyDescent="0.25">
      <c r="A15581" s="1" t="str">
        <f>"518117"</f>
        <v>518117</v>
      </c>
      <c r="B15581" s="2" t="str">
        <f>"MEIO PARALAMA"</f>
        <v>MEIO PARALAMA</v>
      </c>
      <c r="C15581" s="2" t="str">
        <f t="shared" si="616"/>
        <v>UN</v>
      </c>
      <c r="D15581" s="7">
        <v>704</v>
      </c>
      <c r="E15581" s="3">
        <v>9</v>
      </c>
      <c r="F15581" s="2">
        <v>6</v>
      </c>
      <c r="G15581" t="s">
        <v>513</v>
      </c>
    </row>
    <row r="15582" spans="1:7" x14ac:dyDescent="0.25">
      <c r="A15582" s="1" t="str">
        <f>"515229"</f>
        <v>515229</v>
      </c>
      <c r="B15582" s="2" t="str">
        <f>"MELANCIA"</f>
        <v>MELANCIA</v>
      </c>
      <c r="C15582" s="2" t="str">
        <f t="shared" si="616"/>
        <v>UN</v>
      </c>
      <c r="D15582" s="7">
        <v>401</v>
      </c>
      <c r="E15582" s="3">
        <v>4</v>
      </c>
      <c r="F15582" s="2">
        <v>4</v>
      </c>
      <c r="G15582" t="s">
        <v>513</v>
      </c>
    </row>
    <row r="15583" spans="1:7" x14ac:dyDescent="0.25">
      <c r="A15583" s="1" t="str">
        <f>"515448"</f>
        <v>515448</v>
      </c>
      <c r="B15583" s="2" t="str">
        <f>"MELAO"</f>
        <v>MELAO</v>
      </c>
      <c r="C15583" s="2" t="str">
        <f t="shared" si="616"/>
        <v>UN</v>
      </c>
      <c r="D15583" s="7">
        <v>401</v>
      </c>
      <c r="E15583" s="3">
        <v>4</v>
      </c>
      <c r="F15583" s="2">
        <v>1</v>
      </c>
      <c r="G15583" t="s">
        <v>513</v>
      </c>
    </row>
    <row r="15584" spans="1:7" x14ac:dyDescent="0.25">
      <c r="A15584" s="1" t="str">
        <f>"573822"</f>
        <v>573822</v>
      </c>
      <c r="B15584" s="2" t="str">
        <f>"MELOXICAN 15MG - COMP"</f>
        <v>MELOXICAN 15MG - COMP</v>
      </c>
      <c r="C15584" s="2" t="str">
        <f t="shared" si="616"/>
        <v>UN</v>
      </c>
      <c r="D15584" s="7">
        <v>99999</v>
      </c>
      <c r="E15584" s="3">
        <v>99</v>
      </c>
      <c r="F15584" s="2">
        <v>2</v>
      </c>
      <c r="G15584" t="s">
        <v>512</v>
      </c>
    </row>
    <row r="15585" spans="1:7" x14ac:dyDescent="0.25">
      <c r="A15585" s="1" t="str">
        <f>"504882"</f>
        <v>504882</v>
      </c>
      <c r="B15585" s="2" t="str">
        <f>"MEMBRANA"</f>
        <v>MEMBRANA</v>
      </c>
      <c r="C15585" s="2" t="str">
        <f t="shared" si="616"/>
        <v>UN</v>
      </c>
      <c r="D15585" s="7">
        <v>704</v>
      </c>
      <c r="E15585" s="3">
        <v>9</v>
      </c>
      <c r="F15585" s="2">
        <v>7</v>
      </c>
      <c r="G15585" t="s">
        <v>513</v>
      </c>
    </row>
    <row r="15586" spans="1:7" x14ac:dyDescent="0.25">
      <c r="A15586" s="1" t="str">
        <f>"526554"</f>
        <v>526554</v>
      </c>
      <c r="B15586" s="2" t="str">
        <f>"MEMBRANA DO BICO E-07302"</f>
        <v>MEMBRANA DO BICO E-07302</v>
      </c>
      <c r="C15586" s="2" t="str">
        <f>"PC"</f>
        <v>PC</v>
      </c>
      <c r="D15586" s="7">
        <v>918</v>
      </c>
      <c r="E15586" s="3">
        <v>11</v>
      </c>
      <c r="F15586" s="2">
        <v>9</v>
      </c>
      <c r="G15586" t="s">
        <v>514</v>
      </c>
    </row>
    <row r="15587" spans="1:7" x14ac:dyDescent="0.25">
      <c r="A15587" s="1" t="str">
        <f>"504493"</f>
        <v>504493</v>
      </c>
      <c r="B15587" s="2" t="str">
        <f>"MEMBRANA DO BICO N-1686"</f>
        <v>MEMBRANA DO BICO N-1686</v>
      </c>
      <c r="C15587" s="2" t="str">
        <f>"UN"</f>
        <v>UN</v>
      </c>
      <c r="D15587" s="7">
        <v>909</v>
      </c>
      <c r="E15587" s="3">
        <v>11</v>
      </c>
      <c r="F15587" s="2">
        <v>0</v>
      </c>
      <c r="G15587" t="s">
        <v>515</v>
      </c>
    </row>
    <row r="15588" spans="1:7" x14ac:dyDescent="0.25">
      <c r="A15588" s="1" t="str">
        <f>"504505"</f>
        <v>504505</v>
      </c>
      <c r="B15588" s="2" t="str">
        <f>"MEMBRANA DO BICO N-1686 ESPECIAL PETIT CHOCOLATE"</f>
        <v>MEMBRANA DO BICO N-1686 ESPECIAL PETIT CHOCOLATE</v>
      </c>
      <c r="C15588" s="2" t="str">
        <f>"UN"</f>
        <v>UN</v>
      </c>
      <c r="D15588" s="7">
        <v>909</v>
      </c>
      <c r="E15588" s="3">
        <v>11</v>
      </c>
      <c r="F15588" s="2">
        <v>0</v>
      </c>
      <c r="G15588" t="s">
        <v>512</v>
      </c>
    </row>
    <row r="15589" spans="1:7" x14ac:dyDescent="0.25">
      <c r="A15589" s="1" t="str">
        <f>"526555"</f>
        <v>526555</v>
      </c>
      <c r="B15589" s="2" t="str">
        <f>"MEMBRANA DO BLOCO E-32587"</f>
        <v>MEMBRANA DO BLOCO E-32587</v>
      </c>
      <c r="C15589" s="2" t="str">
        <f>"PC"</f>
        <v>PC</v>
      </c>
      <c r="D15589" s="7">
        <v>918</v>
      </c>
      <c r="E15589" s="3">
        <v>11</v>
      </c>
      <c r="F15589" s="2">
        <v>2</v>
      </c>
      <c r="G15589" t="s">
        <v>516</v>
      </c>
    </row>
    <row r="15590" spans="1:7" x14ac:dyDescent="0.25">
      <c r="A15590" s="1" t="str">
        <f>"504481"</f>
        <v>504481</v>
      </c>
      <c r="B15590" s="2" t="str">
        <f>"MEMBRANA DO BLOCO N-1468"</f>
        <v>MEMBRANA DO BLOCO N-1468</v>
      </c>
      <c r="C15590" s="2" t="str">
        <f>"UN"</f>
        <v>UN</v>
      </c>
      <c r="D15590" s="7">
        <v>909</v>
      </c>
      <c r="E15590" s="3">
        <v>11</v>
      </c>
      <c r="F15590" s="2">
        <v>5</v>
      </c>
      <c r="G15590" t="s">
        <v>515</v>
      </c>
    </row>
    <row r="15591" spans="1:7" x14ac:dyDescent="0.25">
      <c r="A15591" s="1" t="str">
        <f>"504502"</f>
        <v>504502</v>
      </c>
      <c r="B15591" s="2" t="str">
        <f>"MEMBRANA DO BLOCO N-1468 ESPECIAL PETIT CHOCOLATE"</f>
        <v>MEMBRANA DO BLOCO N-1468 ESPECIAL PETIT CHOCOLATE</v>
      </c>
      <c r="C15591" s="2" t="str">
        <f>"UN"</f>
        <v>UN</v>
      </c>
      <c r="D15591" s="7">
        <v>909</v>
      </c>
      <c r="E15591" s="3">
        <v>11</v>
      </c>
      <c r="F15591" s="2">
        <v>6</v>
      </c>
      <c r="G15591" t="s">
        <v>514</v>
      </c>
    </row>
    <row r="15592" spans="1:7" x14ac:dyDescent="0.25">
      <c r="A15592" s="1" t="str">
        <f>"505028"</f>
        <v>505028</v>
      </c>
      <c r="B15592" s="2" t="str">
        <f>"MEMBRANA DO BLOCO N-1770"</f>
        <v>MEMBRANA DO BLOCO N-1770</v>
      </c>
      <c r="C15592" s="2" t="str">
        <f>"UN"</f>
        <v>UN</v>
      </c>
      <c r="D15592" s="7">
        <v>909</v>
      </c>
      <c r="E15592" s="3">
        <v>11</v>
      </c>
      <c r="F15592" s="2">
        <v>9</v>
      </c>
      <c r="G15592" t="s">
        <v>512</v>
      </c>
    </row>
    <row r="15593" spans="1:7" x14ac:dyDescent="0.25">
      <c r="A15593" s="1" t="str">
        <f>"528099"</f>
        <v>528099</v>
      </c>
      <c r="B15593" s="2" t="str">
        <f>"MEMBRANA EPDM 87 X 1000 MM"</f>
        <v>MEMBRANA EPDM 87 X 1000 MM</v>
      </c>
      <c r="C15593" s="2" t="str">
        <f>"PC"</f>
        <v>PC</v>
      </c>
      <c r="D15593" s="7">
        <v>918</v>
      </c>
      <c r="E15593" s="3">
        <v>11</v>
      </c>
      <c r="F15593" s="2">
        <v>5</v>
      </c>
      <c r="G15593" t="s">
        <v>513</v>
      </c>
    </row>
    <row r="15594" spans="1:7" x14ac:dyDescent="0.25">
      <c r="A15594" s="1" t="str">
        <f>"524273"</f>
        <v>524273</v>
      </c>
      <c r="B15594" s="2" t="str">
        <f>"MEMBRANA GHP 0,45UM 47MM CX 100UN PALL CORPORATION"</f>
        <v>MEMBRANA GHP 0,45UM 47MM CX 100UN PALL CORPORATION</v>
      </c>
      <c r="C15594" s="2" t="str">
        <f t="shared" ref="C15594:C15618" si="617">"UN"</f>
        <v>UN</v>
      </c>
      <c r="D15594" s="7">
        <v>406</v>
      </c>
      <c r="E15594" s="3">
        <v>4</v>
      </c>
      <c r="F15594" s="2">
        <v>3</v>
      </c>
      <c r="G15594" t="s">
        <v>514</v>
      </c>
    </row>
    <row r="15595" spans="1:7" x14ac:dyDescent="0.25">
      <c r="A15595" s="1" t="str">
        <f>"511251"</f>
        <v>511251</v>
      </c>
      <c r="B15595" s="2" t="str">
        <f>"MEMBRANA TECLADO EUROPEU CIJ 400"</f>
        <v>MEMBRANA TECLADO EUROPEU CIJ 400</v>
      </c>
      <c r="C15595" s="2" t="str">
        <f t="shared" si="617"/>
        <v>UN</v>
      </c>
      <c r="D15595" s="7">
        <v>900</v>
      </c>
      <c r="E15595" s="3">
        <v>11</v>
      </c>
      <c r="F15595" s="2">
        <v>3</v>
      </c>
      <c r="G15595" t="s">
        <v>514</v>
      </c>
    </row>
    <row r="15596" spans="1:7" x14ac:dyDescent="0.25">
      <c r="A15596" s="1" t="str">
        <f>"523864"</f>
        <v>523864</v>
      </c>
      <c r="B15596" s="2" t="str">
        <f>"MEMORIA DDR3 16GB"</f>
        <v>MEMORIA DDR3 16GB</v>
      </c>
      <c r="C15596" s="2" t="str">
        <f t="shared" si="617"/>
        <v>UN</v>
      </c>
      <c r="D15596" s="7">
        <v>811</v>
      </c>
      <c r="E15596" s="3">
        <v>8</v>
      </c>
      <c r="F15596" s="2">
        <v>2</v>
      </c>
      <c r="G15596" t="s">
        <v>512</v>
      </c>
    </row>
    <row r="15597" spans="1:7" x14ac:dyDescent="0.25">
      <c r="A15597" s="1" t="str">
        <f>"523332"</f>
        <v>523332</v>
      </c>
      <c r="B15597" s="2" t="str">
        <f>"MEMORIA PROPRIETARIA 4GB DDR3 1600MHZ P/ NOTEBOOK"</f>
        <v>MEMORIA PROPRIETARIA 4GB DDR3 1600MHZ P/ NOTEBOOK</v>
      </c>
      <c r="C15597" s="2" t="str">
        <f t="shared" si="617"/>
        <v>UN</v>
      </c>
      <c r="D15597" s="7">
        <v>1300</v>
      </c>
      <c r="E15597" s="3">
        <v>13</v>
      </c>
      <c r="F15597" s="2">
        <v>1</v>
      </c>
      <c r="G15597" t="s">
        <v>513</v>
      </c>
    </row>
    <row r="15598" spans="1:7" x14ac:dyDescent="0.25">
      <c r="A15598" s="1" t="str">
        <f>"524265"</f>
        <v>524265</v>
      </c>
      <c r="B15598" s="2" t="str">
        <f>"MEMORIA PROPRIETARIA 8GB DDR4 2400MHZ P/ NOTEBOOK"</f>
        <v>MEMORIA PROPRIETARIA 8GB DDR4 2400MHZ P/ NOTEBOOK</v>
      </c>
      <c r="C15598" s="2" t="str">
        <f t="shared" si="617"/>
        <v>UN</v>
      </c>
      <c r="D15598" s="7">
        <v>1300</v>
      </c>
      <c r="E15598" s="3">
        <v>13</v>
      </c>
      <c r="F15598" s="2">
        <v>4</v>
      </c>
      <c r="G15598" t="s">
        <v>514</v>
      </c>
    </row>
    <row r="15599" spans="1:7" x14ac:dyDescent="0.25">
      <c r="A15599" s="1" t="str">
        <f>"517721"</f>
        <v>517721</v>
      </c>
      <c r="B15599" s="2" t="str">
        <f>"MEMORIA SD 8GB"</f>
        <v>MEMORIA SD 8GB</v>
      </c>
      <c r="C15599" s="2" t="str">
        <f t="shared" si="617"/>
        <v>UN</v>
      </c>
      <c r="D15599" s="7">
        <v>811</v>
      </c>
      <c r="E15599" s="3">
        <v>8</v>
      </c>
      <c r="F15599" s="2">
        <v>1</v>
      </c>
      <c r="G15599" t="s">
        <v>514</v>
      </c>
    </row>
    <row r="15600" spans="1:7" x14ac:dyDescent="0.25">
      <c r="A15600" s="1" t="str">
        <f>"512819"</f>
        <v>512819</v>
      </c>
      <c r="B15600" s="2" t="str">
        <f>"MERCEDES ML 350 CDI L2"</f>
        <v>MERCEDES ML 350 CDI L2</v>
      </c>
      <c r="C15600" s="2" t="str">
        <f t="shared" si="617"/>
        <v>UN</v>
      </c>
      <c r="D15600" s="7">
        <v>99999</v>
      </c>
      <c r="E15600" s="3">
        <v>99</v>
      </c>
      <c r="F15600" s="2">
        <v>2</v>
      </c>
      <c r="G15600" t="s">
        <v>514</v>
      </c>
    </row>
    <row r="15601" spans="1:7" x14ac:dyDescent="0.25">
      <c r="A15601" s="1" t="str">
        <f>"514459"</f>
        <v>514459</v>
      </c>
      <c r="B15601" s="2" t="str">
        <f>"MESA"</f>
        <v>MESA</v>
      </c>
      <c r="C15601" s="2" t="str">
        <f t="shared" si="617"/>
        <v>UN</v>
      </c>
      <c r="D15601" s="7">
        <v>401</v>
      </c>
      <c r="E15601" s="3">
        <v>4</v>
      </c>
      <c r="F15601" s="2">
        <v>7</v>
      </c>
      <c r="G15601" t="s">
        <v>513</v>
      </c>
    </row>
    <row r="15602" spans="1:7" x14ac:dyDescent="0.25">
      <c r="A15602" s="1" t="str">
        <f>"518617"</f>
        <v>518617</v>
      </c>
      <c r="B15602" s="2" t="str">
        <f>"MESA 120X60 2 GAV"</f>
        <v>MESA 120X60 2 GAV</v>
      </c>
      <c r="C15602" s="2" t="str">
        <f t="shared" si="617"/>
        <v>UN</v>
      </c>
      <c r="D15602" s="7">
        <v>1200</v>
      </c>
      <c r="E15602" s="3">
        <v>4</v>
      </c>
      <c r="F15602" s="2">
        <v>9</v>
      </c>
      <c r="G15602" t="s">
        <v>512</v>
      </c>
    </row>
    <row r="15603" spans="1:7" x14ac:dyDescent="0.25">
      <c r="A15603" s="1" t="str">
        <f>"512012"</f>
        <v>512012</v>
      </c>
      <c r="B15603" s="2" t="str">
        <f>"MESA 1400X600MM C/ GAVETAS"</f>
        <v>MESA 1400X600MM C/ GAVETAS</v>
      </c>
      <c r="C15603" s="2" t="str">
        <f t="shared" si="617"/>
        <v>UN</v>
      </c>
      <c r="D15603" s="7">
        <v>401</v>
      </c>
      <c r="E15603" s="3">
        <v>4</v>
      </c>
      <c r="F15603" s="2">
        <v>0</v>
      </c>
      <c r="G15603" t="s">
        <v>513</v>
      </c>
    </row>
    <row r="15604" spans="1:7" x14ac:dyDescent="0.25">
      <c r="A15604" s="1" t="str">
        <f>"511897"</f>
        <v>511897</v>
      </c>
      <c r="B15604" s="2" t="str">
        <f>"MESA 1500X1500 02 GAVETAS"</f>
        <v>MESA 1500X1500 02 GAVETAS</v>
      </c>
      <c r="C15604" s="2" t="str">
        <f t="shared" si="617"/>
        <v>UN</v>
      </c>
      <c r="D15604" s="7">
        <v>1200</v>
      </c>
      <c r="E15604" s="3">
        <v>13</v>
      </c>
      <c r="F15604" s="2">
        <v>0</v>
      </c>
      <c r="G15604" t="s">
        <v>514</v>
      </c>
    </row>
    <row r="15605" spans="1:7" x14ac:dyDescent="0.25">
      <c r="A15605" s="1" t="str">
        <f>"517249"</f>
        <v>517249</v>
      </c>
      <c r="B15605" s="2" t="str">
        <f>"MESA 150X60 2 GAV C/ CHAVE"</f>
        <v>MESA 150X60 2 GAV C/ CHAVE</v>
      </c>
      <c r="C15605" s="2" t="str">
        <f t="shared" si="617"/>
        <v>UN</v>
      </c>
      <c r="D15605" s="7">
        <v>1200</v>
      </c>
      <c r="E15605" s="3">
        <v>4</v>
      </c>
      <c r="F15605" s="2">
        <v>4</v>
      </c>
      <c r="G15605" t="s">
        <v>514</v>
      </c>
    </row>
    <row r="15606" spans="1:7" x14ac:dyDescent="0.25">
      <c r="A15606" s="1" t="str">
        <f>"515866"</f>
        <v>515866</v>
      </c>
      <c r="B15606" s="2" t="str">
        <f>"MESA 1600X1600X18MM - CINZA"</f>
        <v>MESA 1600X1600X18MM - CINZA</v>
      </c>
      <c r="C15606" s="2" t="str">
        <f t="shared" si="617"/>
        <v>UN</v>
      </c>
      <c r="D15606" s="7">
        <v>99999</v>
      </c>
      <c r="E15606" s="3">
        <v>99</v>
      </c>
      <c r="F15606" s="2">
        <v>1</v>
      </c>
      <c r="G15606" t="s">
        <v>514</v>
      </c>
    </row>
    <row r="15607" spans="1:7" x14ac:dyDescent="0.25">
      <c r="A15607" s="1" t="str">
        <f>"525394"</f>
        <v>525394</v>
      </c>
      <c r="B15607" s="2" t="str">
        <f>"MESA 180 X 80"</f>
        <v>MESA 180 X 80</v>
      </c>
      <c r="C15607" s="2" t="str">
        <f t="shared" si="617"/>
        <v>UN</v>
      </c>
      <c r="D15607" s="7">
        <v>99999</v>
      </c>
      <c r="E15607" s="3">
        <v>99</v>
      </c>
      <c r="F15607" s="2">
        <v>2</v>
      </c>
      <c r="G15607" t="s">
        <v>513</v>
      </c>
    </row>
    <row r="15608" spans="1:7" x14ac:dyDescent="0.25">
      <c r="A15608" s="1" t="str">
        <f>"508013"</f>
        <v>508013</v>
      </c>
      <c r="B15608" s="2" t="str">
        <f>"MESA ACABAMENTO FORMICA/VERNIZ 2,05X1,25X0,70"</f>
        <v>MESA ACABAMENTO FORMICA/VERNIZ 2,05X1,25X0,70</v>
      </c>
      <c r="C15608" s="2" t="str">
        <f t="shared" si="617"/>
        <v>UN</v>
      </c>
      <c r="D15608" s="7">
        <v>401</v>
      </c>
      <c r="E15608" s="3">
        <v>4</v>
      </c>
      <c r="F15608" s="2">
        <v>7</v>
      </c>
      <c r="G15608" t="s">
        <v>513</v>
      </c>
    </row>
    <row r="15609" spans="1:7" x14ac:dyDescent="0.25">
      <c r="A15609" s="1" t="str">
        <f>"508012"</f>
        <v>508012</v>
      </c>
      <c r="B15609" s="2" t="str">
        <f>"MESA ACABAMENTO FORMICA/VERNIZ 2,90X0,60X0,75"</f>
        <v>MESA ACABAMENTO FORMICA/VERNIZ 2,90X0,60X0,75</v>
      </c>
      <c r="C15609" s="2" t="str">
        <f t="shared" si="617"/>
        <v>UN</v>
      </c>
      <c r="D15609" s="7">
        <v>401</v>
      </c>
      <c r="E15609" s="3">
        <v>4</v>
      </c>
      <c r="F15609" s="2">
        <v>9</v>
      </c>
      <c r="G15609" t="s">
        <v>513</v>
      </c>
    </row>
    <row r="15610" spans="1:7" x14ac:dyDescent="0.25">
      <c r="A15610" s="1" t="str">
        <f>"515283"</f>
        <v>515283</v>
      </c>
      <c r="B15610" s="2" t="str">
        <f>"MESA AÇO INOX P/ MATURAÇÃO DE MASSA"</f>
        <v>MESA AÇO INOX P/ MATURAÇÃO DE MASSA</v>
      </c>
      <c r="C15610" s="2" t="str">
        <f t="shared" si="617"/>
        <v>UN</v>
      </c>
      <c r="D15610" s="7">
        <v>1200</v>
      </c>
      <c r="E15610" s="3">
        <v>13</v>
      </c>
      <c r="F15610" s="5">
        <v>5</v>
      </c>
      <c r="G15610" t="s">
        <v>512</v>
      </c>
    </row>
    <row r="15611" spans="1:7" x14ac:dyDescent="0.25">
      <c r="A15611" s="1" t="str">
        <f>"511000"</f>
        <v>511000</v>
      </c>
      <c r="B15611" s="2" t="str">
        <f>"MESA AUXILIAR BELLUS"</f>
        <v>MESA AUXILIAR BELLUS</v>
      </c>
      <c r="C15611" s="2" t="str">
        <f t="shared" si="617"/>
        <v>UN</v>
      </c>
      <c r="D15611" s="7">
        <v>401</v>
      </c>
      <c r="E15611" s="3">
        <v>4</v>
      </c>
      <c r="F15611" s="2">
        <v>3</v>
      </c>
      <c r="G15611" t="s">
        <v>513</v>
      </c>
    </row>
    <row r="15612" spans="1:7" x14ac:dyDescent="0.25">
      <c r="A15612" s="1" t="str">
        <f>"509509"</f>
        <v>509509</v>
      </c>
      <c r="B15612" s="2" t="str">
        <f>"MESA BRASKOP - LEITE FERMENTADO"</f>
        <v>MESA BRASKOP - LEITE FERMENTADO</v>
      </c>
      <c r="C15612" s="2" t="str">
        <f t="shared" si="617"/>
        <v>UN</v>
      </c>
      <c r="D15612" s="7">
        <v>918</v>
      </c>
      <c r="E15612" s="3">
        <v>11</v>
      </c>
      <c r="F15612" s="2">
        <v>8</v>
      </c>
      <c r="G15612" t="s">
        <v>514</v>
      </c>
    </row>
    <row r="15613" spans="1:7" x14ac:dyDescent="0.25">
      <c r="A15613" s="1" t="str">
        <f>"523139"</f>
        <v>523139</v>
      </c>
      <c r="B15613" s="2" t="str">
        <f>"MESA COORDENADORA  475X153"</f>
        <v>MESA COORDENADORA  475X153</v>
      </c>
      <c r="C15613" s="2" t="str">
        <f t="shared" si="617"/>
        <v>UN</v>
      </c>
      <c r="D15613" s="7">
        <v>920</v>
      </c>
      <c r="E15613" s="3">
        <v>10</v>
      </c>
      <c r="F15613" s="2">
        <v>6</v>
      </c>
      <c r="G15613" t="s">
        <v>515</v>
      </c>
    </row>
    <row r="15614" spans="1:7" x14ac:dyDescent="0.25">
      <c r="A15614" s="1" t="str">
        <f>"526655"</f>
        <v>526655</v>
      </c>
      <c r="B15614" s="2" t="str">
        <f>"MESA DA PRENSA"</f>
        <v>MESA DA PRENSA</v>
      </c>
      <c r="C15614" s="2" t="str">
        <f t="shared" si="617"/>
        <v>UN</v>
      </c>
      <c r="D15614" s="7">
        <v>918</v>
      </c>
      <c r="E15614" s="3">
        <v>11</v>
      </c>
      <c r="F15614" s="2">
        <v>4</v>
      </c>
      <c r="G15614" t="s">
        <v>512</v>
      </c>
    </row>
    <row r="15615" spans="1:7" x14ac:dyDescent="0.25">
      <c r="A15615" s="1" t="str">
        <f>"517247"</f>
        <v>517247</v>
      </c>
      <c r="B15615" s="2" t="str">
        <f>"MESA DE REUNIAO REDONDA"</f>
        <v>MESA DE REUNIAO REDONDA</v>
      </c>
      <c r="C15615" s="2" t="str">
        <f t="shared" si="617"/>
        <v>UN</v>
      </c>
      <c r="D15615" s="7">
        <v>1200</v>
      </c>
      <c r="E15615" s="3">
        <v>4</v>
      </c>
      <c r="F15615" s="2">
        <v>1</v>
      </c>
      <c r="G15615" t="s">
        <v>516</v>
      </c>
    </row>
    <row r="15616" spans="1:7" x14ac:dyDescent="0.25">
      <c r="A15616" s="1" t="str">
        <f>"510541"</f>
        <v>510541</v>
      </c>
      <c r="B15616" s="2" t="str">
        <f>"MESA DE ROLETES 64.9030.200.00"</f>
        <v>MESA DE ROLETES 64.9030.200.00</v>
      </c>
      <c r="C15616" s="2" t="str">
        <f t="shared" si="617"/>
        <v>UN</v>
      </c>
      <c r="D15616" s="7">
        <v>918</v>
      </c>
      <c r="E15616" s="3">
        <v>11</v>
      </c>
      <c r="F15616" s="2">
        <v>2</v>
      </c>
      <c r="G15616" t="s">
        <v>515</v>
      </c>
    </row>
    <row r="15617" spans="1:7" x14ac:dyDescent="0.25">
      <c r="A15617" s="1" t="str">
        <f>"511002"</f>
        <v>511002</v>
      </c>
      <c r="B15617" s="2" t="str">
        <f>"MESA DE TRABALHO M1821"</f>
        <v>MESA DE TRABALHO M1821</v>
      </c>
      <c r="C15617" s="2" t="str">
        <f t="shared" si="617"/>
        <v>UN</v>
      </c>
      <c r="D15617" s="7">
        <v>401</v>
      </c>
      <c r="E15617" s="3">
        <v>4</v>
      </c>
      <c r="F15617" s="2">
        <v>7</v>
      </c>
      <c r="G15617" t="s">
        <v>514</v>
      </c>
    </row>
    <row r="15618" spans="1:7" x14ac:dyDescent="0.25">
      <c r="A15618" s="1" t="str">
        <f>"511377"</f>
        <v>511377</v>
      </c>
      <c r="B15618" s="2" t="str">
        <f>"MESA DELTA 1700X1200"</f>
        <v>MESA DELTA 1700X1200</v>
      </c>
      <c r="C15618" s="2" t="str">
        <f t="shared" si="617"/>
        <v>UN</v>
      </c>
      <c r="D15618" s="7">
        <v>401</v>
      </c>
      <c r="E15618" s="3">
        <v>4</v>
      </c>
      <c r="F15618" s="2">
        <v>9</v>
      </c>
      <c r="G15618" t="s">
        <v>512</v>
      </c>
    </row>
    <row r="15619" spans="1:7" x14ac:dyDescent="0.25">
      <c r="A15619" s="1" t="str">
        <f>"510569"</f>
        <v>510569</v>
      </c>
      <c r="B15619" s="2" t="str">
        <f>"MESA DESCANSO DE MASSA 2000X1000X1700MM"</f>
        <v>MESA DESCANSO DE MASSA 2000X1000X1700MM</v>
      </c>
      <c r="C15619" s="2" t="str">
        <f>"PC"</f>
        <v>PC</v>
      </c>
      <c r="D15619" s="7">
        <v>806</v>
      </c>
      <c r="E15619" s="3">
        <v>10</v>
      </c>
      <c r="F15619" s="2">
        <v>0</v>
      </c>
      <c r="G15619" t="s">
        <v>513</v>
      </c>
    </row>
    <row r="15620" spans="1:7" x14ac:dyDescent="0.25">
      <c r="A15620" s="1" t="str">
        <f>"517634"</f>
        <v>517634</v>
      </c>
      <c r="B15620" s="2" t="str">
        <f>"MESA DOBRAVEL MADEIRA 120X70 - IMBUIA"</f>
        <v>MESA DOBRAVEL MADEIRA 120X70 - IMBUIA</v>
      </c>
      <c r="C15620" s="2" t="str">
        <f t="shared" ref="C15620:C15646" si="618">"UN"</f>
        <v>UN</v>
      </c>
      <c r="D15620" s="7">
        <v>1200</v>
      </c>
      <c r="E15620" s="3">
        <v>10</v>
      </c>
      <c r="F15620" s="2">
        <v>0</v>
      </c>
      <c r="G15620" t="s">
        <v>514</v>
      </c>
    </row>
    <row r="15621" spans="1:7" x14ac:dyDescent="0.25">
      <c r="A15621" s="1" t="str">
        <f>"523540"</f>
        <v>523540</v>
      </c>
      <c r="B15621" s="2" t="str">
        <f>"MESA EM AÇO INOX"</f>
        <v>MESA EM AÇO INOX</v>
      </c>
      <c r="C15621" s="2" t="str">
        <f t="shared" si="618"/>
        <v>UN</v>
      </c>
      <c r="D15621" s="7">
        <v>99999</v>
      </c>
      <c r="E15621" s="3">
        <v>99</v>
      </c>
      <c r="F15621" s="2">
        <v>2</v>
      </c>
      <c r="G15621" t="s">
        <v>514</v>
      </c>
    </row>
    <row r="15622" spans="1:7" x14ac:dyDescent="0.25">
      <c r="A15622" s="1" t="str">
        <f>"515281"</f>
        <v>515281</v>
      </c>
      <c r="B15622" s="2" t="str">
        <f>"MESA EM AÇO INOX C/ PÉ GALVANIZADO P/ MATURAÇÃO DE MASSA"</f>
        <v>MESA EM AÇO INOX C/ PÉ GALVANIZADO P/ MATURAÇÃO DE MASSA</v>
      </c>
      <c r="C15622" s="2" t="str">
        <f t="shared" si="618"/>
        <v>UN</v>
      </c>
      <c r="D15622" s="7">
        <v>1200</v>
      </c>
      <c r="E15622" s="3">
        <v>13</v>
      </c>
      <c r="F15622" s="2">
        <v>5</v>
      </c>
      <c r="G15622" t="s">
        <v>512</v>
      </c>
    </row>
    <row r="15623" spans="1:7" x14ac:dyDescent="0.25">
      <c r="A15623" s="1" t="str">
        <f>"521538"</f>
        <v>521538</v>
      </c>
      <c r="B15623" s="2" t="str">
        <f>"MESA EM AÇO INOXIDÁVEL COM CUBA - PRATELEIRA GRADEADA"</f>
        <v>MESA EM AÇO INOXIDÁVEL COM CUBA - PRATELEIRA GRADEADA</v>
      </c>
      <c r="C15623" s="2" t="str">
        <f t="shared" si="618"/>
        <v>UN</v>
      </c>
      <c r="D15623" s="7">
        <v>99999</v>
      </c>
      <c r="E15623" s="3">
        <v>99</v>
      </c>
      <c r="F15623" s="2">
        <v>6</v>
      </c>
      <c r="G15623" t="s">
        <v>513</v>
      </c>
    </row>
    <row r="15624" spans="1:7" x14ac:dyDescent="0.25">
      <c r="A15624" s="1" t="str">
        <f>"515284"</f>
        <v>515284</v>
      </c>
      <c r="B15624" s="2" t="str">
        <f>"MESA EM FIBRA DE VIDRO 2X1 P/ MATURAÇAO DE MASSA"</f>
        <v>MESA EM FIBRA DE VIDRO 2X1 P/ MATURAÇAO DE MASSA</v>
      </c>
      <c r="C15624" s="2" t="str">
        <f t="shared" si="618"/>
        <v>UN</v>
      </c>
      <c r="D15624" s="7">
        <v>1200</v>
      </c>
      <c r="E15624" s="3">
        <v>13</v>
      </c>
      <c r="F15624" s="2">
        <v>9</v>
      </c>
      <c r="G15624" t="s">
        <v>514</v>
      </c>
    </row>
    <row r="15625" spans="1:7" x14ac:dyDescent="0.25">
      <c r="A15625" s="1" t="str">
        <f>"515282"</f>
        <v>515282</v>
      </c>
      <c r="B15625" s="2" t="str">
        <f>"MESA EM FIBRA DE VIDRO P/ MATURAÇÃO DE MASSA"</f>
        <v>MESA EM FIBRA DE VIDRO P/ MATURAÇÃO DE MASSA</v>
      </c>
      <c r="C15625" s="2" t="str">
        <f t="shared" si="618"/>
        <v>UN</v>
      </c>
      <c r="D15625" s="7">
        <v>1200</v>
      </c>
      <c r="E15625" s="3">
        <v>13</v>
      </c>
      <c r="F15625" s="2">
        <v>5</v>
      </c>
      <c r="G15625" t="s">
        <v>514</v>
      </c>
    </row>
    <row r="15626" spans="1:7" x14ac:dyDescent="0.25">
      <c r="A15626" s="1" t="str">
        <f>"513453"</f>
        <v>513453</v>
      </c>
      <c r="B15626" s="2" t="str">
        <f>"MESA EM L DOIS GAVETEIROS C/ FECH. CINZA CRISTAL"</f>
        <v>MESA EM L DOIS GAVETEIROS C/ FECH. CINZA CRISTAL</v>
      </c>
      <c r="C15626" s="2" t="str">
        <f t="shared" si="618"/>
        <v>UN</v>
      </c>
      <c r="D15626" s="7">
        <v>401</v>
      </c>
      <c r="E15626" s="3">
        <v>4</v>
      </c>
      <c r="F15626" s="2">
        <v>3</v>
      </c>
      <c r="G15626" t="s">
        <v>514</v>
      </c>
    </row>
    <row r="15627" spans="1:7" x14ac:dyDescent="0.25">
      <c r="A15627" s="1" t="str">
        <f>"514144"</f>
        <v>514144</v>
      </c>
      <c r="B15627" s="2" t="str">
        <f>"MESA EM MDF"</f>
        <v>MESA EM MDF</v>
      </c>
      <c r="C15627" s="2" t="str">
        <f t="shared" si="618"/>
        <v>UN</v>
      </c>
      <c r="D15627" s="7">
        <v>99999</v>
      </c>
      <c r="E15627" s="3">
        <v>99</v>
      </c>
      <c r="F15627" s="2">
        <v>3</v>
      </c>
      <c r="G15627" t="s">
        <v>513</v>
      </c>
    </row>
    <row r="15628" spans="1:7" x14ac:dyDescent="0.25">
      <c r="A15628" s="1" t="str">
        <f>"505276"</f>
        <v>505276</v>
      </c>
      <c r="B15628" s="2" t="str">
        <f>"MESA EM MDF MED. 1,20X0,60X0,75MT C/ 2 GAVETAS"</f>
        <v>MESA EM MDF MED. 1,20X0,60X0,75MT C/ 2 GAVETAS</v>
      </c>
      <c r="C15628" s="2" t="str">
        <f t="shared" si="618"/>
        <v>UN</v>
      </c>
      <c r="D15628" s="7">
        <v>1200</v>
      </c>
      <c r="E15628" s="3">
        <v>10</v>
      </c>
      <c r="F15628" s="2">
        <v>2</v>
      </c>
      <c r="G15628" t="s">
        <v>512</v>
      </c>
    </row>
    <row r="15629" spans="1:7" x14ac:dyDescent="0.25">
      <c r="A15629" s="1" t="str">
        <f>"515336"</f>
        <v>515336</v>
      </c>
      <c r="B15629" s="2" t="str">
        <f>"MESA ESCRITORIO C/ 02 GAVETAS"</f>
        <v>MESA ESCRITORIO C/ 02 GAVETAS</v>
      </c>
      <c r="C15629" s="2" t="str">
        <f t="shared" si="618"/>
        <v>UN</v>
      </c>
      <c r="D15629" s="7">
        <v>1200</v>
      </c>
      <c r="E15629" s="3">
        <v>13</v>
      </c>
      <c r="F15629" s="2">
        <v>1</v>
      </c>
      <c r="G15629" t="s">
        <v>513</v>
      </c>
    </row>
    <row r="15630" spans="1:7" x14ac:dyDescent="0.25">
      <c r="A15630" s="1" t="str">
        <f>"515334"</f>
        <v>515334</v>
      </c>
      <c r="B15630" s="2" t="str">
        <f>"MESA ESCRITORIO EM L CINZA E AZUL"</f>
        <v>MESA ESCRITORIO EM L CINZA E AZUL</v>
      </c>
      <c r="C15630" s="2" t="str">
        <f t="shared" si="618"/>
        <v>UN</v>
      </c>
      <c r="D15630" s="7">
        <v>1200</v>
      </c>
      <c r="E15630" s="3">
        <v>13</v>
      </c>
      <c r="F15630" s="2">
        <v>4</v>
      </c>
      <c r="G15630" t="s">
        <v>514</v>
      </c>
    </row>
    <row r="15631" spans="1:7" x14ac:dyDescent="0.25">
      <c r="A15631" s="1" t="str">
        <f>"515335"</f>
        <v>515335</v>
      </c>
      <c r="B15631" s="2" t="str">
        <f>"MESA ESCRITORIO S/ GAVETA AZUL"</f>
        <v>MESA ESCRITORIO S/ GAVETA AZUL</v>
      </c>
      <c r="C15631" s="2" t="str">
        <f t="shared" si="618"/>
        <v>UN</v>
      </c>
      <c r="D15631" s="7">
        <v>1200</v>
      </c>
      <c r="E15631" s="3">
        <v>13</v>
      </c>
      <c r="F15631" s="2">
        <v>6</v>
      </c>
      <c r="G15631" t="s">
        <v>514</v>
      </c>
    </row>
    <row r="15632" spans="1:7" x14ac:dyDescent="0.25">
      <c r="A15632" s="1" t="str">
        <f>"510497"</f>
        <v>510497</v>
      </c>
      <c r="B15632" s="2" t="str">
        <f>"MESA P/ COLOCADO DE COPOS"</f>
        <v>MESA P/ COLOCADO DE COPOS</v>
      </c>
      <c r="C15632" s="2" t="str">
        <f t="shared" si="618"/>
        <v>UN</v>
      </c>
      <c r="D15632" s="7">
        <v>918</v>
      </c>
      <c r="E15632" s="3">
        <v>11</v>
      </c>
      <c r="F15632" s="2">
        <v>8</v>
      </c>
      <c r="G15632" t="s">
        <v>514</v>
      </c>
    </row>
    <row r="15633" spans="1:7" x14ac:dyDescent="0.25">
      <c r="A15633" s="1" t="str">
        <f>"509129"</f>
        <v>509129</v>
      </c>
      <c r="B15633" s="2" t="str">
        <f>"MESA P/ COMPUTADOR STUDIO PLAY"</f>
        <v>MESA P/ COMPUTADOR STUDIO PLAY</v>
      </c>
      <c r="C15633" s="2" t="str">
        <f t="shared" si="618"/>
        <v>UN</v>
      </c>
      <c r="D15633" s="7">
        <v>401</v>
      </c>
      <c r="E15633" s="3">
        <v>4</v>
      </c>
      <c r="F15633" s="2">
        <v>7</v>
      </c>
      <c r="G15633" t="s">
        <v>513</v>
      </c>
    </row>
    <row r="15634" spans="1:7" x14ac:dyDescent="0.25">
      <c r="A15634" s="1" t="str">
        <f>"518945"</f>
        <v>518945</v>
      </c>
      <c r="B15634" s="2" t="str">
        <f>"MESA P/ CONPUTADOR C210 DALLA COSTA"</f>
        <v>MESA P/ CONPUTADOR C210 DALLA COSTA</v>
      </c>
      <c r="C15634" s="2" t="str">
        <f t="shared" si="618"/>
        <v>UN</v>
      </c>
      <c r="D15634" s="7">
        <v>401</v>
      </c>
      <c r="E15634" s="3">
        <v>4</v>
      </c>
      <c r="F15634" s="2">
        <v>6</v>
      </c>
      <c r="G15634" t="s">
        <v>513</v>
      </c>
    </row>
    <row r="15635" spans="1:7" x14ac:dyDescent="0.25">
      <c r="A15635" s="1" t="str">
        <f>"519262"</f>
        <v>519262</v>
      </c>
      <c r="B15635" s="2" t="str">
        <f>"MESA P/ REUNIAO CINZA CRISTAL"</f>
        <v>MESA P/ REUNIAO CINZA CRISTAL</v>
      </c>
      <c r="C15635" s="2" t="str">
        <f t="shared" si="618"/>
        <v>UN</v>
      </c>
      <c r="D15635" s="7">
        <v>401</v>
      </c>
      <c r="E15635" s="3">
        <v>4</v>
      </c>
      <c r="F15635" s="2">
        <v>6</v>
      </c>
      <c r="G15635" t="s">
        <v>513</v>
      </c>
    </row>
    <row r="15636" spans="1:7" x14ac:dyDescent="0.25">
      <c r="A15636" s="1" t="str">
        <f>"511950"</f>
        <v>511950</v>
      </c>
      <c r="B15636" s="2" t="str">
        <f>"MESA P/ REUNIAO TAMPA VIDRO"</f>
        <v>MESA P/ REUNIAO TAMPA VIDRO</v>
      </c>
      <c r="C15636" s="2" t="str">
        <f t="shared" si="618"/>
        <v>UN</v>
      </c>
      <c r="D15636" s="7">
        <v>401</v>
      </c>
      <c r="E15636" s="3">
        <v>4</v>
      </c>
      <c r="F15636" s="2">
        <v>2</v>
      </c>
      <c r="G15636" t="s">
        <v>512</v>
      </c>
    </row>
    <row r="15637" spans="1:7" x14ac:dyDescent="0.25">
      <c r="A15637" s="1" t="str">
        <f>"515280"</f>
        <v>515280</v>
      </c>
      <c r="B15637" s="2" t="str">
        <f>"MESA RECEPÇÃO DE LEITE INOX C/ TAMPA - 500 LITROS"</f>
        <v>MESA RECEPÇÃO DE LEITE INOX C/ TAMPA - 500 LITROS</v>
      </c>
      <c r="C15637" s="2" t="str">
        <f t="shared" si="618"/>
        <v>UN</v>
      </c>
      <c r="D15637" s="7">
        <v>1200</v>
      </c>
      <c r="E15637" s="3">
        <v>13</v>
      </c>
      <c r="F15637" s="2">
        <v>1</v>
      </c>
      <c r="G15637" t="s">
        <v>513</v>
      </c>
    </row>
    <row r="15638" spans="1:7" x14ac:dyDescent="0.25">
      <c r="A15638" s="1" t="str">
        <f>"523235"</f>
        <v>523235</v>
      </c>
      <c r="B15638" s="2" t="str">
        <f>"MESA RETA 1.60 X 0,60 X 0,74 MDF CINZA DE 18MM C/GAVETA"</f>
        <v>MESA RETA 1.60 X 0,60 X 0,74 MDF CINZA DE 18MM C/GAVETA</v>
      </c>
      <c r="C15638" s="2" t="str">
        <f t="shared" si="618"/>
        <v>UN</v>
      </c>
      <c r="D15638" s="7">
        <v>99999</v>
      </c>
      <c r="E15638" s="3">
        <v>99</v>
      </c>
      <c r="F15638" s="2">
        <v>0</v>
      </c>
      <c r="G15638" t="s">
        <v>514</v>
      </c>
    </row>
    <row r="15639" spans="1:7" x14ac:dyDescent="0.25">
      <c r="A15639" s="1" t="str">
        <f>"521242"</f>
        <v>521242</v>
      </c>
      <c r="B15639" s="2" t="str">
        <f>"MESA RETA 4 LUGARES"</f>
        <v>MESA RETA 4 LUGARES</v>
      </c>
      <c r="C15639" s="2" t="str">
        <f t="shared" si="618"/>
        <v>UN</v>
      </c>
      <c r="D15639" s="7">
        <v>99999</v>
      </c>
      <c r="E15639" s="3">
        <v>99</v>
      </c>
      <c r="F15639" s="2">
        <v>0</v>
      </c>
      <c r="G15639" t="s">
        <v>515</v>
      </c>
    </row>
    <row r="15640" spans="1:7" x14ac:dyDescent="0.25">
      <c r="A15640" s="1" t="str">
        <f>"521245"</f>
        <v>521245</v>
      </c>
      <c r="B15640" s="2" t="str">
        <f>"MESA RETA 4 LUGARES"</f>
        <v>MESA RETA 4 LUGARES</v>
      </c>
      <c r="C15640" s="2" t="str">
        <f t="shared" si="618"/>
        <v>UN</v>
      </c>
      <c r="D15640" s="7">
        <v>99999</v>
      </c>
      <c r="E15640" s="3">
        <v>99</v>
      </c>
      <c r="F15640" s="2">
        <v>0</v>
      </c>
      <c r="G15640" t="s">
        <v>512</v>
      </c>
    </row>
    <row r="15641" spans="1:7" x14ac:dyDescent="0.25">
      <c r="A15641" s="1" t="str">
        <f>"521243"</f>
        <v>521243</v>
      </c>
      <c r="B15641" s="2" t="str">
        <f>"MESA RETA 6 LUGARES"</f>
        <v>MESA RETA 6 LUGARES</v>
      </c>
      <c r="C15641" s="2" t="str">
        <f t="shared" si="618"/>
        <v>UN</v>
      </c>
      <c r="D15641" s="7">
        <v>99999</v>
      </c>
      <c r="E15641" s="3">
        <v>99</v>
      </c>
      <c r="F15641" s="2">
        <v>3</v>
      </c>
      <c r="G15641" t="s">
        <v>516</v>
      </c>
    </row>
    <row r="15642" spans="1:7" x14ac:dyDescent="0.25">
      <c r="A15642" s="1" t="str">
        <f>"521244"</f>
        <v>521244</v>
      </c>
      <c r="B15642" s="2" t="str">
        <f>"MESA RETA 8 LUGARES"</f>
        <v>MESA RETA 8 LUGARES</v>
      </c>
      <c r="C15642" s="2" t="str">
        <f t="shared" si="618"/>
        <v>UN</v>
      </c>
      <c r="D15642" s="7">
        <v>99999</v>
      </c>
      <c r="E15642" s="3">
        <v>99</v>
      </c>
      <c r="F15642" s="5">
        <v>5</v>
      </c>
      <c r="G15642" t="s">
        <v>515</v>
      </c>
    </row>
    <row r="15643" spans="1:7" x14ac:dyDescent="0.25">
      <c r="A15643" s="1" t="str">
        <f>"515665"</f>
        <v>515665</v>
      </c>
      <c r="B15643" s="2" t="str">
        <f>"MESALGIN 100MG"</f>
        <v>MESALGIN 100MG</v>
      </c>
      <c r="C15643" s="2" t="str">
        <f t="shared" si="618"/>
        <v>UN</v>
      </c>
      <c r="D15643" s="7">
        <v>406</v>
      </c>
      <c r="E15643" s="3">
        <v>4</v>
      </c>
      <c r="F15643" s="2">
        <v>3</v>
      </c>
      <c r="G15643" t="s">
        <v>514</v>
      </c>
    </row>
    <row r="15644" spans="1:7" x14ac:dyDescent="0.25">
      <c r="A15644" s="1" t="str">
        <f>"521582"</f>
        <v>521582</v>
      </c>
      <c r="B15644" s="2" t="str">
        <f>"MESAS REFORMADAS"</f>
        <v>MESAS REFORMADAS</v>
      </c>
      <c r="C15644" s="2" t="str">
        <f t="shared" si="618"/>
        <v>UN</v>
      </c>
      <c r="D15644" s="7">
        <v>99999</v>
      </c>
      <c r="E15644" s="3">
        <v>99</v>
      </c>
      <c r="F15644" s="2">
        <v>8</v>
      </c>
      <c r="G15644" t="s">
        <v>512</v>
      </c>
    </row>
    <row r="15645" spans="1:7" x14ac:dyDescent="0.25">
      <c r="A15645" s="1" t="str">
        <f>"518517"</f>
        <v>518517</v>
      </c>
      <c r="B15645" s="2" t="str">
        <f>"METAL POLISH AUTOSOL 100GR"</f>
        <v>METAL POLISH AUTOSOL 100GR</v>
      </c>
      <c r="C15645" s="2" t="str">
        <f t="shared" si="618"/>
        <v>UN</v>
      </c>
      <c r="D15645" s="7">
        <v>918</v>
      </c>
      <c r="E15645" s="3">
        <v>9</v>
      </c>
      <c r="F15645" s="2">
        <v>6</v>
      </c>
      <c r="G15645" t="s">
        <v>513</v>
      </c>
    </row>
    <row r="15646" spans="1:7" x14ac:dyDescent="0.25">
      <c r="A15646" s="1" t="str">
        <f>"524874"</f>
        <v>524874</v>
      </c>
      <c r="B15646" s="2" t="str">
        <f>"METALON 1/2 X1/2 X 1/8"</f>
        <v>METALON 1/2 X1/2 X 1/8</v>
      </c>
      <c r="C15646" s="2" t="str">
        <f t="shared" si="618"/>
        <v>UN</v>
      </c>
      <c r="D15646" s="7">
        <v>917</v>
      </c>
      <c r="E15646" s="3">
        <v>4</v>
      </c>
      <c r="F15646" s="2">
        <v>4</v>
      </c>
      <c r="G15646" t="s">
        <v>514</v>
      </c>
    </row>
    <row r="15647" spans="1:7" x14ac:dyDescent="0.25">
      <c r="A15647" s="1" t="str">
        <f>"516113"</f>
        <v>516113</v>
      </c>
      <c r="B15647" s="2" t="str">
        <f>"METALON 1/2"" X 1/2"" X 1,5MM"</f>
        <v>METALON 1/2" X 1/2" X 1,5MM</v>
      </c>
      <c r="C15647" s="2" t="str">
        <f>"BR"</f>
        <v>BR</v>
      </c>
      <c r="D15647" s="7">
        <v>812</v>
      </c>
      <c r="E15647" s="3">
        <v>10</v>
      </c>
      <c r="F15647" s="2">
        <v>1</v>
      </c>
      <c r="G15647" t="s">
        <v>514</v>
      </c>
    </row>
    <row r="15648" spans="1:7" x14ac:dyDescent="0.25">
      <c r="A15648" s="1" t="str">
        <f>"524539"</f>
        <v>524539</v>
      </c>
      <c r="B15648" s="2" t="str">
        <f>"METALON 100 X 100 # 2MM INOX 304"</f>
        <v>METALON 100 X 100 # 2MM INOX 304</v>
      </c>
      <c r="C15648" s="2" t="str">
        <f>"UN"</f>
        <v>UN</v>
      </c>
      <c r="D15648" s="7">
        <v>807</v>
      </c>
      <c r="E15648" s="3">
        <v>10</v>
      </c>
      <c r="F15648" s="2">
        <v>2</v>
      </c>
      <c r="G15648" t="s">
        <v>512</v>
      </c>
    </row>
    <row r="15649" spans="1:7" x14ac:dyDescent="0.25">
      <c r="A15649" s="1" t="str">
        <f>"526779"</f>
        <v>526779</v>
      </c>
      <c r="B15649" s="2" t="str">
        <f>"METALON 100X150X1,5MM INOX 304"</f>
        <v>METALON 100X150X1,5MM INOX 304</v>
      </c>
      <c r="C15649" s="2" t="str">
        <f>"PC"</f>
        <v>PC</v>
      </c>
      <c r="D15649" s="7">
        <v>806</v>
      </c>
      <c r="E15649" s="3">
        <v>10</v>
      </c>
      <c r="F15649" s="2">
        <v>7</v>
      </c>
      <c r="G15649" t="s">
        <v>513</v>
      </c>
    </row>
    <row r="15650" spans="1:7" x14ac:dyDescent="0.25">
      <c r="A15650" s="1" t="str">
        <f>"516111"</f>
        <v>516111</v>
      </c>
      <c r="B15650" s="2" t="str">
        <f>"METALON 15 X 15 CHAPA 18"</f>
        <v>METALON 15 X 15 CHAPA 18</v>
      </c>
      <c r="C15650" s="2" t="str">
        <f>"BR"</f>
        <v>BR</v>
      </c>
      <c r="D15650" s="7">
        <v>812</v>
      </c>
      <c r="E15650" s="3">
        <v>10</v>
      </c>
      <c r="F15650" s="2">
        <v>9</v>
      </c>
      <c r="G15650" t="s">
        <v>514</v>
      </c>
    </row>
    <row r="15651" spans="1:7" x14ac:dyDescent="0.25">
      <c r="A15651" s="1" t="str">
        <f>"518332"</f>
        <v>518332</v>
      </c>
      <c r="B15651" s="2" t="str">
        <f>"METALON 20 X 20 # 18 AÇO CARBONO"</f>
        <v>METALON 20 X 20 # 18 AÇO CARBONO</v>
      </c>
      <c r="C15651" s="2" t="str">
        <f>"BR"</f>
        <v>BR</v>
      </c>
      <c r="D15651" s="7">
        <v>806</v>
      </c>
      <c r="E15651" s="3">
        <v>10</v>
      </c>
      <c r="F15651" s="2">
        <v>0</v>
      </c>
      <c r="G15651" t="s">
        <v>514</v>
      </c>
    </row>
    <row r="15652" spans="1:7" x14ac:dyDescent="0.25">
      <c r="A15652" s="1" t="str">
        <f>"524908"</f>
        <v>524908</v>
      </c>
      <c r="B15652" s="2" t="str">
        <f>"METALON 20 X 20 #1,5MM AÇO CARBONO"</f>
        <v>METALON 20 X 20 #1,5MM AÇO CARBONO</v>
      </c>
      <c r="C15652" s="2" t="str">
        <f>"BR"</f>
        <v>BR</v>
      </c>
      <c r="D15652" s="7">
        <v>806</v>
      </c>
      <c r="E15652" s="3">
        <v>10</v>
      </c>
      <c r="F15652" s="2">
        <v>0</v>
      </c>
      <c r="G15652" t="s">
        <v>514</v>
      </c>
    </row>
    <row r="15653" spans="1:7" x14ac:dyDescent="0.25">
      <c r="A15653" s="1" t="str">
        <f>"519603"</f>
        <v>519603</v>
      </c>
      <c r="B15653" s="2" t="str">
        <f>"METALON 20 X 30 #1,5MM AÇO CARBONO"</f>
        <v>METALON 20 X 30 #1,5MM AÇO CARBONO</v>
      </c>
      <c r="C15653" s="2" t="str">
        <f>"UN"</f>
        <v>UN</v>
      </c>
      <c r="D15653" s="7">
        <v>1700</v>
      </c>
      <c r="E15653" s="3">
        <v>10</v>
      </c>
      <c r="F15653" s="2">
        <v>2</v>
      </c>
      <c r="G15653" t="s">
        <v>513</v>
      </c>
    </row>
    <row r="15654" spans="1:7" x14ac:dyDescent="0.25">
      <c r="A15654" s="1" t="str">
        <f>"517870"</f>
        <v>517870</v>
      </c>
      <c r="B15654" s="2" t="str">
        <f>"METALON 20 X 30 #18"</f>
        <v>METALON 20 X 30 #18</v>
      </c>
      <c r="C15654" s="2" t="str">
        <f>"UN"</f>
        <v>UN</v>
      </c>
      <c r="D15654" s="7">
        <v>1700</v>
      </c>
      <c r="E15654" s="3">
        <v>10</v>
      </c>
      <c r="F15654" s="2">
        <v>5</v>
      </c>
      <c r="G15654" t="s">
        <v>512</v>
      </c>
    </row>
    <row r="15655" spans="1:7" x14ac:dyDescent="0.25">
      <c r="A15655" s="1" t="str">
        <f>"516112"</f>
        <v>516112</v>
      </c>
      <c r="B15655" s="2" t="str">
        <f>"METALON 20 X 40  X 1,5MM"</f>
        <v>METALON 20 X 40  X 1,5MM</v>
      </c>
      <c r="C15655" s="2" t="str">
        <f>"BR"</f>
        <v>BR</v>
      </c>
      <c r="D15655" s="7">
        <v>812</v>
      </c>
      <c r="E15655" s="3">
        <v>10</v>
      </c>
      <c r="F15655" s="2">
        <v>6</v>
      </c>
      <c r="G15655" t="s">
        <v>513</v>
      </c>
    </row>
    <row r="15656" spans="1:7" x14ac:dyDescent="0.25">
      <c r="A15656" s="1" t="str">
        <f>"517524"</f>
        <v>517524</v>
      </c>
      <c r="B15656" s="2" t="str">
        <f>"METALON 20 X 40 # 1,5 MM POLIDO EXTERNO"</f>
        <v>METALON 20 X 40 # 1,5 MM POLIDO EXTERNO</v>
      </c>
      <c r="C15656" s="2" t="str">
        <f>"PC"</f>
        <v>PC</v>
      </c>
      <c r="D15656" s="7">
        <v>806</v>
      </c>
      <c r="E15656" s="3">
        <v>10</v>
      </c>
      <c r="F15656" s="2">
        <v>9</v>
      </c>
      <c r="G15656" t="s">
        <v>514</v>
      </c>
    </row>
    <row r="15657" spans="1:7" x14ac:dyDescent="0.25">
      <c r="A15657" s="1" t="str">
        <f>"509546"</f>
        <v>509546</v>
      </c>
      <c r="B15657" s="2" t="str">
        <f>"METALON 20 X 40 # 16  BR 6M"</f>
        <v>METALON 20 X 40 # 16  BR 6M</v>
      </c>
      <c r="C15657" s="2" t="str">
        <f>"UN"</f>
        <v>UN</v>
      </c>
      <c r="D15657" s="7">
        <v>917</v>
      </c>
      <c r="E15657" s="3">
        <v>11</v>
      </c>
      <c r="F15657" s="2">
        <v>5</v>
      </c>
      <c r="G15657" t="s">
        <v>514</v>
      </c>
    </row>
    <row r="15658" spans="1:7" x14ac:dyDescent="0.25">
      <c r="A15658" s="1" t="str">
        <f>"516238"</f>
        <v>516238</v>
      </c>
      <c r="B15658" s="2" t="str">
        <f>"METALON 20 X 40 # 18 AÇO CARBONO"</f>
        <v>METALON 20 X 40 # 18 AÇO CARBONO</v>
      </c>
      <c r="C15658" s="2" t="str">
        <f>"UN"</f>
        <v>UN</v>
      </c>
      <c r="D15658" s="7">
        <v>917</v>
      </c>
      <c r="E15658" s="3">
        <v>11</v>
      </c>
      <c r="F15658" s="2">
        <v>3</v>
      </c>
      <c r="G15658" t="s">
        <v>514</v>
      </c>
    </row>
    <row r="15659" spans="1:7" x14ac:dyDescent="0.25">
      <c r="A15659" s="1" t="str">
        <f>"522826"</f>
        <v>522826</v>
      </c>
      <c r="B15659" s="2" t="str">
        <f>"METALON 20X20X1,2MM INOX 304"</f>
        <v>METALON 20X20X1,2MM INOX 304</v>
      </c>
      <c r="C15659" s="2" t="str">
        <f>"UN"</f>
        <v>UN</v>
      </c>
      <c r="D15659" s="7">
        <v>402</v>
      </c>
      <c r="E15659" s="3">
        <v>4</v>
      </c>
      <c r="F15659" s="2">
        <v>3</v>
      </c>
      <c r="G15659" t="s">
        <v>513</v>
      </c>
    </row>
    <row r="15660" spans="1:7" x14ac:dyDescent="0.25">
      <c r="A15660" s="1" t="str">
        <f>"526895"</f>
        <v>526895</v>
      </c>
      <c r="B15660" s="2" t="str">
        <f>"METALON 20X20X1,5MM INOX 304"</f>
        <v>METALON 20X20X1,5MM INOX 304</v>
      </c>
      <c r="C15660" s="2" t="str">
        <f>"UN"</f>
        <v>UN</v>
      </c>
      <c r="D15660" s="7">
        <v>402</v>
      </c>
      <c r="E15660" s="3">
        <v>4</v>
      </c>
      <c r="F15660" s="2">
        <v>2</v>
      </c>
      <c r="G15660" t="s">
        <v>513</v>
      </c>
    </row>
    <row r="15661" spans="1:7" x14ac:dyDescent="0.25">
      <c r="A15661" s="1" t="str">
        <f>"516116"</f>
        <v>516116</v>
      </c>
      <c r="B15661" s="2" t="str">
        <f>"METALON 20X30 #1,5MM INOX 304"</f>
        <v>METALON 20X30 #1,5MM INOX 304</v>
      </c>
      <c r="C15661" s="2" t="str">
        <f>"BR"</f>
        <v>BR</v>
      </c>
      <c r="D15661" s="7">
        <v>807</v>
      </c>
      <c r="E15661" s="3">
        <v>10</v>
      </c>
      <c r="F15661" s="2">
        <v>1</v>
      </c>
      <c r="G15661" t="s">
        <v>513</v>
      </c>
    </row>
    <row r="15662" spans="1:7" x14ac:dyDescent="0.25">
      <c r="A15662" s="1" t="str">
        <f>"503110"</f>
        <v>503110</v>
      </c>
      <c r="B15662" s="2" t="str">
        <f>"METALON 20X30X1,2MM INOX 304"</f>
        <v>METALON 20X30X1,2MM INOX 304</v>
      </c>
      <c r="C15662" s="2" t="str">
        <f t="shared" ref="C15662:C15668" si="619">"UN"</f>
        <v>UN</v>
      </c>
      <c r="D15662" s="7">
        <v>402</v>
      </c>
      <c r="E15662" s="3">
        <v>4</v>
      </c>
      <c r="F15662" s="2">
        <v>4</v>
      </c>
      <c r="G15662" t="s">
        <v>512</v>
      </c>
    </row>
    <row r="15663" spans="1:7" x14ac:dyDescent="0.25">
      <c r="A15663" s="1" t="str">
        <f>"505275"</f>
        <v>505275</v>
      </c>
      <c r="B15663" s="2" t="str">
        <f>"METALON 20X40MM INOX # 1,2 ESCOVADO"</f>
        <v>METALON 20X40MM INOX # 1,2 ESCOVADO</v>
      </c>
      <c r="C15663" s="2" t="str">
        <f t="shared" si="619"/>
        <v>UN</v>
      </c>
      <c r="D15663" s="7">
        <v>402</v>
      </c>
      <c r="E15663" s="3">
        <v>4</v>
      </c>
      <c r="F15663" s="2">
        <v>1</v>
      </c>
      <c r="G15663" t="s">
        <v>513</v>
      </c>
    </row>
    <row r="15664" spans="1:7" x14ac:dyDescent="0.25">
      <c r="A15664" s="1" t="str">
        <f>"517585"</f>
        <v>517585</v>
      </c>
      <c r="B15664" s="2" t="str">
        <f>"METALON 25 X 25 # 1/8"</f>
        <v>METALON 25 X 25 # 1/8</v>
      </c>
      <c r="C15664" s="2" t="str">
        <f t="shared" si="619"/>
        <v>UN</v>
      </c>
      <c r="D15664" s="7">
        <v>1700</v>
      </c>
      <c r="E15664" s="3">
        <v>10</v>
      </c>
      <c r="F15664" s="2">
        <v>2</v>
      </c>
      <c r="G15664" t="s">
        <v>514</v>
      </c>
    </row>
    <row r="15665" spans="1:7" x14ac:dyDescent="0.25">
      <c r="A15665" s="1" t="str">
        <f>"517886"</f>
        <v>517886</v>
      </c>
      <c r="B15665" s="2" t="str">
        <f>"METALON 25X25X1,2MM INOX 304"</f>
        <v>METALON 25X25X1,2MM INOX 304</v>
      </c>
      <c r="C15665" s="2" t="str">
        <f t="shared" si="619"/>
        <v>UN</v>
      </c>
      <c r="D15665" s="7">
        <v>1700</v>
      </c>
      <c r="E15665" s="3">
        <v>10</v>
      </c>
      <c r="F15665" s="2">
        <v>7</v>
      </c>
      <c r="G15665" t="s">
        <v>515</v>
      </c>
    </row>
    <row r="15666" spans="1:7" x14ac:dyDescent="0.25">
      <c r="A15666" s="1" t="str">
        <f>"527009"</f>
        <v>527009</v>
      </c>
      <c r="B15666" s="2" t="str">
        <f>"METALON 25X25X1,5MM INOX 304"</f>
        <v>METALON 25X25X1,5MM INOX 304</v>
      </c>
      <c r="C15666" s="2" t="str">
        <f t="shared" si="619"/>
        <v>UN</v>
      </c>
      <c r="D15666" s="7">
        <v>1700</v>
      </c>
      <c r="E15666" s="3">
        <v>10</v>
      </c>
      <c r="F15666" s="2">
        <v>9</v>
      </c>
      <c r="G15666" t="s">
        <v>512</v>
      </c>
    </row>
    <row r="15667" spans="1:7" x14ac:dyDescent="0.25">
      <c r="A15667" s="1" t="str">
        <f>"502544"</f>
        <v>502544</v>
      </c>
      <c r="B15667" s="2" t="str">
        <f>"METALON 30X20MMX6M CHAPA 18"</f>
        <v>METALON 30X20MMX6M CHAPA 18</v>
      </c>
      <c r="C15667" s="2" t="str">
        <f t="shared" si="619"/>
        <v>UN</v>
      </c>
      <c r="D15667" s="7">
        <v>402</v>
      </c>
      <c r="E15667" s="3">
        <v>4</v>
      </c>
      <c r="F15667" s="2">
        <v>0</v>
      </c>
      <c r="G15667" t="s">
        <v>516</v>
      </c>
    </row>
    <row r="15668" spans="1:7" x14ac:dyDescent="0.25">
      <c r="A15668" s="1" t="str">
        <f>"518284"</f>
        <v>518284</v>
      </c>
      <c r="B15668" s="2" t="str">
        <f>"METALON 30X30MMX6M CHAPA 18"</f>
        <v>METALON 30X30MMX6M CHAPA 18</v>
      </c>
      <c r="C15668" s="2" t="str">
        <f t="shared" si="619"/>
        <v>UN</v>
      </c>
      <c r="D15668" s="7">
        <v>1700</v>
      </c>
      <c r="E15668" s="3">
        <v>10</v>
      </c>
      <c r="F15668" s="2">
        <v>0</v>
      </c>
      <c r="G15668" t="s">
        <v>515</v>
      </c>
    </row>
    <row r="15669" spans="1:7" x14ac:dyDescent="0.25">
      <c r="A15669" s="1" t="str">
        <f>"519877"</f>
        <v>519877</v>
      </c>
      <c r="B15669" s="2" t="str">
        <f>"METALON 30X50MM INOX ESCOVADO #1,2"</f>
        <v>METALON 30X50MM INOX ESCOVADO #1,2</v>
      </c>
      <c r="C15669" s="2" t="str">
        <f>"BR"</f>
        <v>BR</v>
      </c>
      <c r="D15669" s="7">
        <v>807</v>
      </c>
      <c r="E15669" s="3">
        <v>10</v>
      </c>
      <c r="F15669" s="2">
        <v>4</v>
      </c>
      <c r="G15669" t="s">
        <v>514</v>
      </c>
    </row>
    <row r="15670" spans="1:7" x14ac:dyDescent="0.25">
      <c r="A15670" s="1" t="str">
        <f>"522954"</f>
        <v>522954</v>
      </c>
      <c r="B15670" s="2" t="str">
        <f>"METALON 30X50MMX6M CHAPA 14"</f>
        <v>METALON 30X50MMX6M CHAPA 14</v>
      </c>
      <c r="C15670" s="2" t="str">
        <f>"UN"</f>
        <v>UN</v>
      </c>
      <c r="D15670" s="7">
        <v>1700</v>
      </c>
      <c r="E15670" s="3">
        <v>10</v>
      </c>
      <c r="F15670" s="2">
        <v>1</v>
      </c>
      <c r="G15670" t="s">
        <v>512</v>
      </c>
    </row>
    <row r="15671" spans="1:7" x14ac:dyDescent="0.25">
      <c r="A15671" s="1" t="str">
        <f>"526659"</f>
        <v>526659</v>
      </c>
      <c r="B15671" s="2" t="str">
        <f>"METALON 40X20X#16 AÇO CARBONO"</f>
        <v>METALON 40X20X#16 AÇO CARBONO</v>
      </c>
      <c r="C15671" s="2" t="str">
        <f>"BR"</f>
        <v>BR</v>
      </c>
      <c r="D15671" s="7">
        <v>807</v>
      </c>
      <c r="E15671" s="3">
        <v>10</v>
      </c>
      <c r="F15671" s="2">
        <v>2</v>
      </c>
      <c r="G15671" t="s">
        <v>513</v>
      </c>
    </row>
    <row r="15672" spans="1:7" x14ac:dyDescent="0.25">
      <c r="A15672" s="1" t="str">
        <f>"506011"</f>
        <v>506011</v>
      </c>
      <c r="B15672" s="2" t="str">
        <f>"METALON 40X20X1,5MM INOX 304"</f>
        <v>METALON 40X20X1,5MM INOX 304</v>
      </c>
      <c r="C15672" s="2" t="str">
        <f>"PC"</f>
        <v>PC</v>
      </c>
      <c r="D15672" s="7">
        <v>806</v>
      </c>
      <c r="E15672" s="3">
        <v>10</v>
      </c>
      <c r="F15672" s="2">
        <v>7</v>
      </c>
      <c r="G15672" t="s">
        <v>514</v>
      </c>
    </row>
    <row r="15673" spans="1:7" x14ac:dyDescent="0.25">
      <c r="A15673" s="1" t="str">
        <f>"518718"</f>
        <v>518718</v>
      </c>
      <c r="B15673" s="2" t="str">
        <f>"METALON 40X30X1,2MM INOX 304"</f>
        <v>METALON 40X30X1,2MM INOX 304</v>
      </c>
      <c r="C15673" s="2" t="str">
        <f>"BR"</f>
        <v>BR</v>
      </c>
      <c r="D15673" s="7">
        <v>807</v>
      </c>
      <c r="E15673" s="3">
        <v>10</v>
      </c>
      <c r="F15673" s="2">
        <v>9</v>
      </c>
      <c r="G15673" t="s">
        <v>514</v>
      </c>
    </row>
    <row r="15674" spans="1:7" x14ac:dyDescent="0.25">
      <c r="A15674" s="1" t="str">
        <f>"517626"</f>
        <v>517626</v>
      </c>
      <c r="B15674" s="2" t="str">
        <f>"METALON 40X40 # 12 AÇO CARBONO"</f>
        <v>METALON 40X40 # 12 AÇO CARBONO</v>
      </c>
      <c r="C15674" s="2" t="str">
        <f>"UN"</f>
        <v>UN</v>
      </c>
      <c r="D15674" s="7">
        <v>1700</v>
      </c>
      <c r="E15674" s="3">
        <v>10</v>
      </c>
      <c r="F15674" s="2">
        <v>0</v>
      </c>
      <c r="G15674" t="s">
        <v>512</v>
      </c>
    </row>
    <row r="15675" spans="1:7" x14ac:dyDescent="0.25">
      <c r="A15675" s="1" t="str">
        <f>"518583"</f>
        <v>518583</v>
      </c>
      <c r="B15675" s="2" t="str">
        <f>"METALON 40X40X#16 AÇO CARBONO"</f>
        <v>METALON 40X40X#16 AÇO CARBONO</v>
      </c>
      <c r="C15675" s="2" t="str">
        <f>"UN"</f>
        <v>UN</v>
      </c>
      <c r="D15675" s="7">
        <v>1700</v>
      </c>
      <c r="E15675" s="3">
        <v>10</v>
      </c>
      <c r="F15675" s="2">
        <v>0</v>
      </c>
      <c r="G15675" t="s">
        <v>513</v>
      </c>
    </row>
    <row r="15676" spans="1:7" x14ac:dyDescent="0.25">
      <c r="A15676" s="1" t="str">
        <f>"517719"</f>
        <v>517719</v>
      </c>
      <c r="B15676" s="2" t="str">
        <f>"METALON 40X40X1,2MM"</f>
        <v>METALON 40X40X1,2MM</v>
      </c>
      <c r="C15676" s="2" t="str">
        <f>"UN"</f>
        <v>UN</v>
      </c>
      <c r="D15676" s="7">
        <v>1700</v>
      </c>
      <c r="E15676" s="3">
        <v>10</v>
      </c>
      <c r="F15676" s="2">
        <v>2</v>
      </c>
      <c r="G15676" t="s">
        <v>514</v>
      </c>
    </row>
    <row r="15677" spans="1:7" x14ac:dyDescent="0.25">
      <c r="A15677" s="1" t="str">
        <f>"526778"</f>
        <v>526778</v>
      </c>
      <c r="B15677" s="2" t="str">
        <f>"METALON 40X40X1,5MM INOX 304"</f>
        <v>METALON 40X40X1,5MM INOX 304</v>
      </c>
      <c r="C15677" s="2" t="str">
        <f t="shared" ref="C15677:C15682" si="620">"PC"</f>
        <v>PC</v>
      </c>
      <c r="D15677" s="7">
        <v>806</v>
      </c>
      <c r="E15677" s="3">
        <v>10</v>
      </c>
      <c r="F15677" s="2">
        <v>5</v>
      </c>
      <c r="G15677" t="s">
        <v>514</v>
      </c>
    </row>
    <row r="15678" spans="1:7" x14ac:dyDescent="0.25">
      <c r="A15678" s="1" t="str">
        <f>"506423"</f>
        <v>506423</v>
      </c>
      <c r="B15678" s="2" t="str">
        <f>"METALON 40X40X2MM INOX 304"</f>
        <v>METALON 40X40X2MM INOX 304</v>
      </c>
      <c r="C15678" s="2" t="str">
        <f t="shared" si="620"/>
        <v>PC</v>
      </c>
      <c r="D15678" s="7">
        <v>806</v>
      </c>
      <c r="E15678" s="3">
        <v>10</v>
      </c>
      <c r="F15678" s="2">
        <v>0</v>
      </c>
      <c r="G15678" t="s">
        <v>514</v>
      </c>
    </row>
    <row r="15679" spans="1:7" x14ac:dyDescent="0.25">
      <c r="A15679" s="1" t="str">
        <f>"517523"</f>
        <v>517523</v>
      </c>
      <c r="B15679" s="2" t="str">
        <f>"METALON 50 X 50 INOX ESCOVADO # 1,5MM"</f>
        <v>METALON 50 X 50 INOX ESCOVADO # 1,5MM</v>
      </c>
      <c r="C15679" s="2" t="str">
        <f t="shared" si="620"/>
        <v>PC</v>
      </c>
      <c r="D15679" s="7">
        <v>806</v>
      </c>
      <c r="E15679" s="3">
        <v>10</v>
      </c>
      <c r="F15679" s="2">
        <v>2</v>
      </c>
      <c r="G15679" t="s">
        <v>513</v>
      </c>
    </row>
    <row r="15680" spans="1:7" x14ac:dyDescent="0.25">
      <c r="A15680" s="1" t="str">
        <f>"526565"</f>
        <v>526565</v>
      </c>
      <c r="B15680" s="2" t="str">
        <f>"METALON 50 X 50 INOX POLIDO # 1,2MM"</f>
        <v>METALON 50 X 50 INOX POLIDO # 1,2MM</v>
      </c>
      <c r="C15680" s="2" t="str">
        <f t="shared" si="620"/>
        <v>PC</v>
      </c>
      <c r="D15680" s="7">
        <v>806</v>
      </c>
      <c r="E15680" s="3">
        <v>10</v>
      </c>
      <c r="F15680" s="2">
        <v>5</v>
      </c>
      <c r="G15680" t="s">
        <v>512</v>
      </c>
    </row>
    <row r="15681" spans="1:7" x14ac:dyDescent="0.25">
      <c r="A15681" s="1" t="str">
        <f>"525160"</f>
        <v>525160</v>
      </c>
      <c r="B15681" s="2" t="str">
        <f>"METALON 50X30 #14 AÇO CARBONO"</f>
        <v>METALON 50X30 #14 AÇO CARBONO</v>
      </c>
      <c r="C15681" s="2" t="str">
        <f t="shared" si="620"/>
        <v>PC</v>
      </c>
      <c r="D15681" s="7">
        <v>806</v>
      </c>
      <c r="E15681" s="3">
        <v>10</v>
      </c>
      <c r="F15681" s="5">
        <v>5</v>
      </c>
      <c r="G15681" t="s">
        <v>513</v>
      </c>
    </row>
    <row r="15682" spans="1:7" x14ac:dyDescent="0.25">
      <c r="A15682" s="1" t="str">
        <f>"519455"</f>
        <v>519455</v>
      </c>
      <c r="B15682" s="2" t="str">
        <f>"METALON 50X30X1,2MM INOX 304"</f>
        <v>METALON 50X30X1,2MM INOX 304</v>
      </c>
      <c r="C15682" s="2" t="str">
        <f t="shared" si="620"/>
        <v>PC</v>
      </c>
      <c r="D15682" s="7">
        <v>806</v>
      </c>
      <c r="E15682" s="3">
        <v>10</v>
      </c>
      <c r="F15682" s="2">
        <v>3</v>
      </c>
      <c r="G15682" t="s">
        <v>514</v>
      </c>
    </row>
    <row r="15683" spans="1:7" x14ac:dyDescent="0.25">
      <c r="A15683" s="1" t="str">
        <f>"519217"</f>
        <v>519217</v>
      </c>
      <c r="B15683" s="2" t="str">
        <f>"METALON 50X30X1,2MM INOX 304 ESCOVADO"</f>
        <v>METALON 50X30X1,2MM INOX 304 ESCOVADO</v>
      </c>
      <c r="C15683" s="2" t="str">
        <f>"BR"</f>
        <v>BR</v>
      </c>
      <c r="D15683" s="7">
        <v>807</v>
      </c>
      <c r="E15683" s="3">
        <v>10</v>
      </c>
      <c r="F15683" s="2">
        <v>8</v>
      </c>
      <c r="G15683" t="s">
        <v>514</v>
      </c>
    </row>
    <row r="15684" spans="1:7" x14ac:dyDescent="0.25">
      <c r="A15684" s="1" t="str">
        <f>"505007"</f>
        <v>505007</v>
      </c>
      <c r="B15684" s="2" t="str">
        <f>"METALON 50X30X6M"</f>
        <v>METALON 50X30X6M</v>
      </c>
      <c r="C15684" s="2" t="str">
        <f t="shared" ref="C15684:C15692" si="621">"UN"</f>
        <v>UN</v>
      </c>
      <c r="D15684" s="7">
        <v>402</v>
      </c>
      <c r="E15684" s="3">
        <v>4</v>
      </c>
      <c r="F15684" s="2">
        <v>6</v>
      </c>
      <c r="G15684" t="s">
        <v>514</v>
      </c>
    </row>
    <row r="15685" spans="1:7" x14ac:dyDescent="0.25">
      <c r="A15685" s="1" t="str">
        <f>"522049"</f>
        <v>522049</v>
      </c>
      <c r="B15685" s="2" t="str">
        <f>"METALON 50X50 # 12 AÇO CARBONO"</f>
        <v>METALON 50X50 # 12 AÇO CARBONO</v>
      </c>
      <c r="C15685" s="2" t="str">
        <f t="shared" si="621"/>
        <v>UN</v>
      </c>
      <c r="D15685" s="7">
        <v>1700</v>
      </c>
      <c r="E15685" s="3">
        <v>10</v>
      </c>
      <c r="F15685" s="2">
        <v>4</v>
      </c>
      <c r="G15685" t="s">
        <v>513</v>
      </c>
    </row>
    <row r="15686" spans="1:7" x14ac:dyDescent="0.25">
      <c r="A15686" s="1" t="str">
        <f>"513091"</f>
        <v>513091</v>
      </c>
      <c r="B15686" s="2" t="str">
        <f>"METALON 60 X 60 #16"</f>
        <v>METALON 60 X 60 #16</v>
      </c>
      <c r="C15686" s="2" t="str">
        <f t="shared" si="621"/>
        <v>UN</v>
      </c>
      <c r="D15686" s="7">
        <v>403</v>
      </c>
      <c r="E15686" s="3">
        <v>4</v>
      </c>
      <c r="F15686" s="2">
        <v>1</v>
      </c>
      <c r="G15686" t="s">
        <v>513</v>
      </c>
    </row>
    <row r="15687" spans="1:7" x14ac:dyDescent="0.25">
      <c r="A15687" s="1" t="str">
        <f>"509710"</f>
        <v>509710</v>
      </c>
      <c r="B15687" s="2" t="str">
        <f>"METALON 60 X 60 #18"</f>
        <v>METALON 60 X 60 #18</v>
      </c>
      <c r="C15687" s="2" t="str">
        <f t="shared" si="621"/>
        <v>UN</v>
      </c>
      <c r="D15687" s="7">
        <v>403</v>
      </c>
      <c r="E15687" s="3">
        <v>4</v>
      </c>
      <c r="F15687" s="2">
        <v>2</v>
      </c>
      <c r="G15687" t="s">
        <v>513</v>
      </c>
    </row>
    <row r="15688" spans="1:7" x14ac:dyDescent="0.25">
      <c r="A15688" s="1" t="str">
        <f>"523103"</f>
        <v>523103</v>
      </c>
      <c r="B15688" s="2" t="str">
        <f>"METALON 60 X 60 X 1,2MM AÇO CARBONO"</f>
        <v>METALON 60 X 60 X 1,2MM AÇO CARBONO</v>
      </c>
      <c r="C15688" s="2" t="str">
        <f t="shared" si="621"/>
        <v>UN</v>
      </c>
      <c r="D15688" s="7">
        <v>403</v>
      </c>
      <c r="E15688" s="3">
        <v>4</v>
      </c>
      <c r="F15688" s="2">
        <v>7</v>
      </c>
      <c r="G15688" t="s">
        <v>512</v>
      </c>
    </row>
    <row r="15689" spans="1:7" x14ac:dyDescent="0.25">
      <c r="A15689" s="1" t="str">
        <f>"523078"</f>
        <v>523078</v>
      </c>
      <c r="B15689" s="2" t="str">
        <f>"METALON 60 X 60 X 1MM AÇO CARBONO"</f>
        <v>METALON 60 X 60 X 1MM AÇO CARBONO</v>
      </c>
      <c r="C15689" s="2" t="str">
        <f t="shared" si="621"/>
        <v>UN</v>
      </c>
      <c r="D15689" s="7">
        <v>403</v>
      </c>
      <c r="E15689" s="3">
        <v>4</v>
      </c>
      <c r="F15689" s="2">
        <v>9</v>
      </c>
      <c r="G15689" t="s">
        <v>513</v>
      </c>
    </row>
    <row r="15690" spans="1:7" x14ac:dyDescent="0.25">
      <c r="A15690" s="1" t="str">
        <f>"527319"</f>
        <v>527319</v>
      </c>
      <c r="B15690" s="2" t="str">
        <f>"METALON 60 X 60 X 2,5MM AÇO CARBONO"</f>
        <v>METALON 60 X 60 X 2,5MM AÇO CARBONO</v>
      </c>
      <c r="C15690" s="2" t="str">
        <f t="shared" si="621"/>
        <v>UN</v>
      </c>
      <c r="D15690" s="7">
        <v>403</v>
      </c>
      <c r="E15690" s="3">
        <v>4</v>
      </c>
      <c r="F15690" s="2">
        <v>0</v>
      </c>
      <c r="G15690" t="s">
        <v>514</v>
      </c>
    </row>
    <row r="15691" spans="1:7" x14ac:dyDescent="0.25">
      <c r="A15691" s="1" t="str">
        <f>"513073"</f>
        <v>513073</v>
      </c>
      <c r="B15691" s="2" t="str">
        <f>"METALON 60 X 60 X 2MM AÇO INOX DECAPADO"</f>
        <v>METALON 60 X 60 X 2MM AÇO INOX DECAPADO</v>
      </c>
      <c r="C15691" s="2" t="str">
        <f t="shared" si="621"/>
        <v>UN</v>
      </c>
      <c r="D15691" s="7">
        <v>1700</v>
      </c>
      <c r="E15691" s="3">
        <v>10</v>
      </c>
      <c r="F15691" s="2">
        <v>0</v>
      </c>
      <c r="G15691" t="s">
        <v>515</v>
      </c>
    </row>
    <row r="15692" spans="1:7" x14ac:dyDescent="0.25">
      <c r="A15692" s="1" t="str">
        <f>"501855"</f>
        <v>501855</v>
      </c>
      <c r="B15692" s="2" t="str">
        <f>"METALON 60X40CM X 1,5MM INOX 304 ESCOVAD"</f>
        <v>METALON 60X40CM X 1,5MM INOX 304 ESCOVAD</v>
      </c>
      <c r="C15692" s="2" t="str">
        <f t="shared" si="621"/>
        <v>UN</v>
      </c>
      <c r="D15692" s="7">
        <v>403</v>
      </c>
      <c r="E15692" s="3">
        <v>4</v>
      </c>
      <c r="F15692" s="2">
        <v>2</v>
      </c>
      <c r="G15692" t="s">
        <v>512</v>
      </c>
    </row>
    <row r="15693" spans="1:7" x14ac:dyDescent="0.25">
      <c r="A15693" s="1" t="str">
        <f>"525159"</f>
        <v>525159</v>
      </c>
      <c r="B15693" s="2" t="str">
        <f>"METALON 70X30 #14 AÇO CARBONO"</f>
        <v>METALON 70X30 #14 AÇO CARBONO</v>
      </c>
      <c r="C15693" s="2" t="str">
        <f>"PC"</f>
        <v>PC</v>
      </c>
      <c r="D15693" s="7">
        <v>806</v>
      </c>
      <c r="E15693" s="3">
        <v>10</v>
      </c>
      <c r="F15693" s="2">
        <v>5</v>
      </c>
      <c r="G15693" t="s">
        <v>516</v>
      </c>
    </row>
    <row r="15694" spans="1:7" x14ac:dyDescent="0.25">
      <c r="A15694" s="1" t="str">
        <f>"513087"</f>
        <v>513087</v>
      </c>
      <c r="B15694" s="2" t="str">
        <f>"METALON 80X80 #14"</f>
        <v>METALON 80X80 #14</v>
      </c>
      <c r="C15694" s="2" t="str">
        <f>"PC"</f>
        <v>PC</v>
      </c>
      <c r="D15694" s="7">
        <v>806</v>
      </c>
      <c r="E15694" s="3">
        <v>10</v>
      </c>
      <c r="F15694" s="2">
        <v>6</v>
      </c>
      <c r="G15694" t="s">
        <v>515</v>
      </c>
    </row>
    <row r="15695" spans="1:7" x14ac:dyDescent="0.25">
      <c r="A15695" s="1" t="str">
        <f>"524993"</f>
        <v>524993</v>
      </c>
      <c r="B15695" s="2" t="str">
        <f>"METALON 80X80 2,5MM AÇO CARBONO"</f>
        <v>METALON 80X80 2,5MM AÇO CARBONO</v>
      </c>
      <c r="C15695" s="2" t="str">
        <f>"PC"</f>
        <v>PC</v>
      </c>
      <c r="D15695" s="7">
        <v>806</v>
      </c>
      <c r="E15695" s="3">
        <v>10</v>
      </c>
      <c r="F15695" s="2">
        <v>9</v>
      </c>
      <c r="G15695" t="s">
        <v>514</v>
      </c>
    </row>
    <row r="15696" spans="1:7" x14ac:dyDescent="0.25">
      <c r="A15696" s="1" t="str">
        <f>"525987"</f>
        <v>525987</v>
      </c>
      <c r="B15696" s="2" t="str">
        <f>"METALON 80X80 AÇO CARBONO #16"</f>
        <v>METALON 80X80 AÇO CARBONO #16</v>
      </c>
      <c r="C15696" s="2" t="str">
        <f>"UN"</f>
        <v>UN</v>
      </c>
      <c r="D15696" s="7">
        <v>917</v>
      </c>
      <c r="E15696" s="3">
        <v>11</v>
      </c>
      <c r="F15696" s="2">
        <v>5</v>
      </c>
      <c r="G15696" t="s">
        <v>512</v>
      </c>
    </row>
    <row r="15697" spans="1:7" x14ac:dyDescent="0.25">
      <c r="A15697" s="1" t="str">
        <f>"506422"</f>
        <v>506422</v>
      </c>
      <c r="B15697" s="2" t="str">
        <f>"METALON 80X80 CHAPA 18"</f>
        <v>METALON 80X80 CHAPA 18</v>
      </c>
      <c r="C15697" s="2" t="str">
        <f>"PC"</f>
        <v>PC</v>
      </c>
      <c r="D15697" s="7">
        <v>806</v>
      </c>
      <c r="E15697" s="3">
        <v>10</v>
      </c>
      <c r="F15697" s="2">
        <v>3</v>
      </c>
      <c r="G15697" t="s">
        <v>513</v>
      </c>
    </row>
    <row r="15698" spans="1:7" x14ac:dyDescent="0.25">
      <c r="A15698" s="1" t="str">
        <f>"509648"</f>
        <v>509648</v>
      </c>
      <c r="B15698" s="2" t="str">
        <f>"METALON 80X80#1/4 X 6000"</f>
        <v>METALON 80X80#1/4 X 6000</v>
      </c>
      <c r="C15698" s="2" t="str">
        <f t="shared" ref="C15698:C15729" si="622">"UN"</f>
        <v>UN</v>
      </c>
      <c r="D15698" s="7">
        <v>917</v>
      </c>
      <c r="E15698" s="3">
        <v>11</v>
      </c>
      <c r="F15698" s="2">
        <v>3</v>
      </c>
      <c r="G15698" t="s">
        <v>514</v>
      </c>
    </row>
    <row r="15699" spans="1:7" x14ac:dyDescent="0.25">
      <c r="A15699" s="1" t="str">
        <f>"517793"</f>
        <v>517793</v>
      </c>
      <c r="B15699" s="2" t="str">
        <f>"METALON 80X80X2MM INOX 304"</f>
        <v>METALON 80X80X2MM INOX 304</v>
      </c>
      <c r="C15699" s="2" t="str">
        <f t="shared" si="622"/>
        <v>UN</v>
      </c>
      <c r="D15699" s="7">
        <v>1700</v>
      </c>
      <c r="E15699" s="3">
        <v>10</v>
      </c>
      <c r="F15699" s="2">
        <v>2</v>
      </c>
      <c r="G15699" t="s">
        <v>514</v>
      </c>
    </row>
    <row r="15700" spans="1:7" x14ac:dyDescent="0.25">
      <c r="A15700" s="1" t="str">
        <f>"525260"</f>
        <v>525260</v>
      </c>
      <c r="B15700" s="2" t="str">
        <f>"METALON AÇO CARBONO 200X50 #13"</f>
        <v>METALON AÇO CARBONO 200X50 #13</v>
      </c>
      <c r="C15700" s="2" t="str">
        <f t="shared" si="622"/>
        <v>UN</v>
      </c>
      <c r="D15700" s="7">
        <v>1700</v>
      </c>
      <c r="E15700" s="3">
        <v>10</v>
      </c>
      <c r="F15700" s="2">
        <v>1</v>
      </c>
      <c r="G15700" t="s">
        <v>512</v>
      </c>
    </row>
    <row r="15701" spans="1:7" x14ac:dyDescent="0.25">
      <c r="A15701" s="1" t="str">
        <f>"524540"</f>
        <v>524540</v>
      </c>
      <c r="B15701" s="2" t="str">
        <f>"METALON AÇO CARBONO 50 X 50 #18"</f>
        <v>METALON AÇO CARBONO 50 X 50 #18</v>
      </c>
      <c r="C15701" s="2" t="str">
        <f t="shared" si="622"/>
        <v>UN</v>
      </c>
      <c r="D15701" s="7">
        <v>807</v>
      </c>
      <c r="E15701" s="3">
        <v>10</v>
      </c>
      <c r="F15701" s="2">
        <v>4</v>
      </c>
      <c r="G15701" t="s">
        <v>513</v>
      </c>
    </row>
    <row r="15702" spans="1:7" x14ac:dyDescent="0.25">
      <c r="A15702" s="1" t="str">
        <f>"517580"</f>
        <v>517580</v>
      </c>
      <c r="B15702" s="2" t="str">
        <f>"METALON INOX 20 X 30 # 16"</f>
        <v>METALON INOX 20 X 30 # 16</v>
      </c>
      <c r="C15702" s="2" t="str">
        <f t="shared" si="622"/>
        <v>UN</v>
      </c>
      <c r="D15702" s="7">
        <v>1700</v>
      </c>
      <c r="E15702" s="3">
        <v>10</v>
      </c>
      <c r="F15702" s="2">
        <v>6</v>
      </c>
      <c r="G15702" t="s">
        <v>514</v>
      </c>
    </row>
    <row r="15703" spans="1:7" x14ac:dyDescent="0.25">
      <c r="A15703" s="1" t="str">
        <f>"515604"</f>
        <v>515604</v>
      </c>
      <c r="B15703" s="2" t="str">
        <f>"METALON INOX POLIDO EXTERNO 60X60 #11"</f>
        <v>METALON INOX POLIDO EXTERNO 60X60 #11</v>
      </c>
      <c r="C15703" s="2" t="str">
        <f t="shared" si="622"/>
        <v>UN</v>
      </c>
      <c r="D15703" s="7">
        <v>408</v>
      </c>
      <c r="E15703" s="3">
        <v>4</v>
      </c>
      <c r="F15703" s="2">
        <v>8</v>
      </c>
      <c r="G15703" t="s">
        <v>514</v>
      </c>
    </row>
    <row r="15704" spans="1:7" x14ac:dyDescent="0.25">
      <c r="A15704" s="1" t="str">
        <f>"513283"</f>
        <v>513283</v>
      </c>
      <c r="B15704" s="2" t="str">
        <f>"METAZIL USO LIMPEZA"</f>
        <v>METAZIL USO LIMPEZA</v>
      </c>
      <c r="C15704" s="2" t="str">
        <f t="shared" si="622"/>
        <v>UN</v>
      </c>
      <c r="D15704" s="7">
        <v>918</v>
      </c>
      <c r="E15704" s="3">
        <v>11</v>
      </c>
      <c r="F15704" s="2">
        <v>7</v>
      </c>
      <c r="G15704" t="s">
        <v>514</v>
      </c>
    </row>
    <row r="15705" spans="1:7" x14ac:dyDescent="0.25">
      <c r="A15705" s="1" t="str">
        <f>"500608"</f>
        <v>500608</v>
      </c>
      <c r="B15705" s="2" t="str">
        <f>"METRO (SIMPLES 1 M)"</f>
        <v>METRO (SIMPLES 1 M)</v>
      </c>
      <c r="C15705" s="2" t="str">
        <f t="shared" si="622"/>
        <v>UN</v>
      </c>
      <c r="D15705" s="7">
        <v>403</v>
      </c>
      <c r="E15705" s="3">
        <v>4</v>
      </c>
      <c r="F15705" s="2">
        <v>6</v>
      </c>
      <c r="G15705" t="s">
        <v>513</v>
      </c>
    </row>
    <row r="15706" spans="1:7" x14ac:dyDescent="0.25">
      <c r="A15706" s="1" t="str">
        <f>"515708"</f>
        <v>515708</v>
      </c>
      <c r="B15706" s="2" t="str">
        <f>"MEXEDOR 8760 15X200 (CX C/ 3000)"</f>
        <v>MEXEDOR 8760 15X200 (CX C/ 3000)</v>
      </c>
      <c r="C15706" s="2" t="str">
        <f t="shared" si="622"/>
        <v>UN</v>
      </c>
      <c r="D15706" s="7">
        <v>401</v>
      </c>
      <c r="E15706" s="3">
        <v>4</v>
      </c>
      <c r="F15706" s="2">
        <v>6</v>
      </c>
      <c r="G15706" t="s">
        <v>512</v>
      </c>
    </row>
    <row r="15707" spans="1:7" x14ac:dyDescent="0.25">
      <c r="A15707" s="1" t="str">
        <f>"524598"</f>
        <v>524598</v>
      </c>
      <c r="B15707" s="2" t="str">
        <f>"MF STEP 7 PROFESSIONAL V15 6ES78221AA05"</f>
        <v>MF STEP 7 PROFESSIONAL V15 6ES78221AA05</v>
      </c>
      <c r="C15707" s="2" t="str">
        <f t="shared" si="622"/>
        <v>UN</v>
      </c>
      <c r="D15707" s="7">
        <v>811</v>
      </c>
      <c r="E15707" s="3">
        <v>10</v>
      </c>
      <c r="F15707" s="2">
        <v>2</v>
      </c>
      <c r="G15707" t="s">
        <v>513</v>
      </c>
    </row>
    <row r="15708" spans="1:7" x14ac:dyDescent="0.25">
      <c r="A15708" s="1" t="str">
        <f>"527188"</f>
        <v>527188</v>
      </c>
      <c r="B15708" s="2" t="str">
        <f>"MFLV 1100 X 515 X 680"</f>
        <v>MFLV 1100 X 515 X 680</v>
      </c>
      <c r="C15708" s="2" t="str">
        <f t="shared" si="622"/>
        <v>UN</v>
      </c>
      <c r="D15708" s="7">
        <v>913</v>
      </c>
      <c r="E15708" s="3">
        <v>10</v>
      </c>
      <c r="F15708" s="2">
        <v>1</v>
      </c>
      <c r="G15708" t="s">
        <v>514</v>
      </c>
    </row>
    <row r="15709" spans="1:7" x14ac:dyDescent="0.25">
      <c r="A15709" s="1" t="str">
        <f>"527189"</f>
        <v>527189</v>
      </c>
      <c r="B15709" s="2" t="str">
        <f>"MFLV 1230 X 515 X 680"</f>
        <v>MFLV 1230 X 515 X 680</v>
      </c>
      <c r="C15709" s="2" t="str">
        <f t="shared" si="622"/>
        <v>UN</v>
      </c>
      <c r="D15709" s="7">
        <v>913</v>
      </c>
      <c r="E15709" s="3">
        <v>10</v>
      </c>
      <c r="F15709" s="2">
        <v>0</v>
      </c>
      <c r="G15709" t="s">
        <v>514</v>
      </c>
    </row>
    <row r="15710" spans="1:7" x14ac:dyDescent="0.25">
      <c r="A15710" s="1" t="str">
        <f>"527190"</f>
        <v>527190</v>
      </c>
      <c r="B15710" s="2" t="str">
        <f>"MFLV 1710 X 2900 X 680"</f>
        <v>MFLV 1710 X 2900 X 680</v>
      </c>
      <c r="C15710" s="2" t="str">
        <f t="shared" si="622"/>
        <v>UN</v>
      </c>
      <c r="D15710" s="7">
        <v>913</v>
      </c>
      <c r="E15710" s="3">
        <v>10</v>
      </c>
      <c r="F15710" s="2">
        <v>0</v>
      </c>
      <c r="G15710" t="s">
        <v>514</v>
      </c>
    </row>
    <row r="15711" spans="1:7" x14ac:dyDescent="0.25">
      <c r="A15711" s="1" t="str">
        <f>"524992"</f>
        <v>524992</v>
      </c>
      <c r="B15711" s="2" t="str">
        <f>"MFLV 780X1500X680MM FL-19380"</f>
        <v>MFLV 780X1500X680MM FL-19380</v>
      </c>
      <c r="C15711" s="2" t="str">
        <f t="shared" si="622"/>
        <v>UN</v>
      </c>
      <c r="D15711" s="7">
        <v>1300</v>
      </c>
      <c r="E15711" s="3">
        <v>13</v>
      </c>
      <c r="F15711" s="2">
        <v>0</v>
      </c>
      <c r="G15711" t="s">
        <v>513</v>
      </c>
    </row>
    <row r="15712" spans="1:7" x14ac:dyDescent="0.25">
      <c r="A15712" s="1" t="str">
        <f>"521029"</f>
        <v>521029</v>
      </c>
      <c r="B15712" s="2" t="str">
        <f>"MFLV ESPECIAL 1200 X 1200 X 680MM"</f>
        <v>MFLV ESPECIAL 1200 X 1200 X 680MM</v>
      </c>
      <c r="C15712" s="2" t="str">
        <f t="shared" si="622"/>
        <v>UN</v>
      </c>
      <c r="D15712" s="7">
        <v>913</v>
      </c>
      <c r="E15712" s="3">
        <v>10</v>
      </c>
      <c r="F15712" s="2">
        <v>3</v>
      </c>
      <c r="G15712" t="s">
        <v>513</v>
      </c>
    </row>
    <row r="15713" spans="1:7" x14ac:dyDescent="0.25">
      <c r="A15713" s="1" t="str">
        <f>"521032"</f>
        <v>521032</v>
      </c>
      <c r="B15713" s="2" t="str">
        <f>"MFLV ESPECIAL 1260 X 1760 X 680MM"</f>
        <v>MFLV ESPECIAL 1260 X 1760 X 680MM</v>
      </c>
      <c r="C15713" s="2" t="str">
        <f t="shared" si="622"/>
        <v>UN</v>
      </c>
      <c r="D15713" s="7">
        <v>913</v>
      </c>
      <c r="E15713" s="3">
        <v>10</v>
      </c>
      <c r="F15713" s="5">
        <v>5</v>
      </c>
      <c r="G15713" t="s">
        <v>513</v>
      </c>
    </row>
    <row r="15714" spans="1:7" x14ac:dyDescent="0.25">
      <c r="A15714" s="1" t="str">
        <f>"521033"</f>
        <v>521033</v>
      </c>
      <c r="B15714" s="2" t="str">
        <f>"MFLV ESPECIAL 1320 X 475 X 680MM"</f>
        <v>MFLV ESPECIAL 1320 X 475 X 680MM</v>
      </c>
      <c r="C15714" s="2" t="str">
        <f t="shared" si="622"/>
        <v>UN</v>
      </c>
      <c r="D15714" s="7">
        <v>913</v>
      </c>
      <c r="E15714" s="3">
        <v>10</v>
      </c>
      <c r="F15714" s="2">
        <v>3</v>
      </c>
      <c r="G15714" t="s">
        <v>512</v>
      </c>
    </row>
    <row r="15715" spans="1:7" x14ac:dyDescent="0.25">
      <c r="A15715" s="1" t="str">
        <f>"521034"</f>
        <v>521034</v>
      </c>
      <c r="B15715" s="2" t="str">
        <f>"MFLV ESPECIAL 530 X 240 X 680MM"</f>
        <v>MFLV ESPECIAL 530 X 240 X 680MM</v>
      </c>
      <c r="C15715" s="2" t="str">
        <f t="shared" si="622"/>
        <v>UN</v>
      </c>
      <c r="D15715" s="7">
        <v>913</v>
      </c>
      <c r="E15715" s="3">
        <v>10</v>
      </c>
      <c r="F15715" s="2">
        <v>8</v>
      </c>
      <c r="G15715" t="s">
        <v>513</v>
      </c>
    </row>
    <row r="15716" spans="1:7" x14ac:dyDescent="0.25">
      <c r="A15716" s="1" t="str">
        <f>"517988"</f>
        <v>517988</v>
      </c>
      <c r="B15716" s="2" t="str">
        <f>"MICRO 7 PLUS - MEDIDOR DE CLORO MULTIPARAMETRO"</f>
        <v>MICRO 7 PLUS - MEDIDOR DE CLORO MULTIPARAMETRO</v>
      </c>
      <c r="C15716" s="2" t="str">
        <f t="shared" si="622"/>
        <v>UN</v>
      </c>
      <c r="D15716" s="7">
        <v>811</v>
      </c>
      <c r="E15716" s="3">
        <v>8</v>
      </c>
      <c r="F15716" s="2">
        <v>6</v>
      </c>
      <c r="G15716" t="s">
        <v>514</v>
      </c>
    </row>
    <row r="15717" spans="1:7" x14ac:dyDescent="0.25">
      <c r="A15717" s="1" t="str">
        <f>"527072"</f>
        <v>527072</v>
      </c>
      <c r="B15717" s="2" t="str">
        <f>"MICRO 7 PLUS - MEDIDOR DE CLORO MULTIPARAMETROS"</f>
        <v>MICRO 7 PLUS - MEDIDOR DE CLORO MULTIPARAMETROS</v>
      </c>
      <c r="C15717" s="2" t="str">
        <f t="shared" si="622"/>
        <v>UN</v>
      </c>
      <c r="D15717" s="7">
        <v>1500</v>
      </c>
      <c r="E15717" s="3">
        <v>13</v>
      </c>
      <c r="F15717" s="2">
        <v>4</v>
      </c>
      <c r="G15717" t="s">
        <v>515</v>
      </c>
    </row>
    <row r="15718" spans="1:7" x14ac:dyDescent="0.25">
      <c r="A15718" s="1" t="str">
        <f>"510341"</f>
        <v>510341</v>
      </c>
      <c r="B15718" s="2" t="str">
        <f>"MICRO CAMERA CCD 480 LINHAS MSON-13"</f>
        <v>MICRO CAMERA CCD 480 LINHAS MSON-13</v>
      </c>
      <c r="C15718" s="2" t="str">
        <f t="shared" si="622"/>
        <v>UN</v>
      </c>
      <c r="D15718" s="7">
        <v>601</v>
      </c>
      <c r="E15718" s="3">
        <v>8</v>
      </c>
      <c r="F15718" s="2">
        <v>1</v>
      </c>
      <c r="G15718" t="s">
        <v>512</v>
      </c>
    </row>
    <row r="15719" spans="1:7" x14ac:dyDescent="0.25">
      <c r="A15719" s="1" t="str">
        <f>"515518"</f>
        <v>515518</v>
      </c>
      <c r="B15719" s="2" t="str">
        <f>"MICRO CARTAO MEMORIA MMC 512KB"</f>
        <v>MICRO CARTAO MEMORIA MMC 512KB</v>
      </c>
      <c r="C15719" s="2" t="str">
        <f t="shared" si="622"/>
        <v>UN</v>
      </c>
      <c r="D15719" s="7">
        <v>811</v>
      </c>
      <c r="E15719" s="3">
        <v>8</v>
      </c>
      <c r="F15719" s="2">
        <v>2</v>
      </c>
      <c r="G15719" t="s">
        <v>516</v>
      </c>
    </row>
    <row r="15720" spans="1:7" x14ac:dyDescent="0.25">
      <c r="A15720" s="1" t="str">
        <f>"504895"</f>
        <v>504895</v>
      </c>
      <c r="B15720" s="2" t="str">
        <f>"MICRO CHAVE DE COMANDO TOYOTA FBRE-15"</f>
        <v>MICRO CHAVE DE COMANDO TOYOTA FBRE-15</v>
      </c>
      <c r="C15720" s="2" t="str">
        <f t="shared" si="622"/>
        <v>UN</v>
      </c>
      <c r="D15720" s="7">
        <v>900</v>
      </c>
      <c r="E15720" s="3">
        <v>11</v>
      </c>
      <c r="F15720" s="2">
        <v>7</v>
      </c>
      <c r="G15720" t="s">
        <v>515</v>
      </c>
    </row>
    <row r="15721" spans="1:7" x14ac:dyDescent="0.25">
      <c r="A15721" s="1" t="str">
        <f>"524372"</f>
        <v>524372</v>
      </c>
      <c r="B15721" s="2" t="str">
        <f>"MICRO CONCRETO FCK35"</f>
        <v>MICRO CONCRETO FCK35</v>
      </c>
      <c r="C15721" s="2" t="str">
        <f t="shared" si="622"/>
        <v>UN</v>
      </c>
      <c r="D15721" s="7">
        <v>403</v>
      </c>
      <c r="E15721" s="3">
        <v>4</v>
      </c>
      <c r="F15721" s="2">
        <v>9</v>
      </c>
      <c r="G15721" t="s">
        <v>514</v>
      </c>
    </row>
    <row r="15722" spans="1:7" x14ac:dyDescent="0.25">
      <c r="A15722" s="1" t="str">
        <f>"513586"</f>
        <v>513586</v>
      </c>
      <c r="B15722" s="2" t="str">
        <f>"MICRO DE SEGURANÇA SICK 6025063 I16-SA203"</f>
        <v>MICRO DE SEGURANÇA SICK 6025063 I16-SA203</v>
      </c>
      <c r="C15722" s="2" t="str">
        <f t="shared" si="622"/>
        <v>UN</v>
      </c>
      <c r="D15722" s="7">
        <v>811</v>
      </c>
      <c r="E15722" s="3">
        <v>8</v>
      </c>
      <c r="F15722" s="2">
        <v>0</v>
      </c>
      <c r="G15722" t="s">
        <v>512</v>
      </c>
    </row>
    <row r="15723" spans="1:7" x14ac:dyDescent="0.25">
      <c r="A15723" s="1" t="str">
        <f>"504893"</f>
        <v>504893</v>
      </c>
      <c r="B15723" s="2" t="str">
        <f>"MICRO DO FREIO EKC"</f>
        <v>MICRO DO FREIO EKC</v>
      </c>
      <c r="C15723" s="2" t="str">
        <f t="shared" si="622"/>
        <v>UN</v>
      </c>
      <c r="D15723" s="7">
        <v>900</v>
      </c>
      <c r="E15723" s="3">
        <v>11</v>
      </c>
      <c r="F15723" s="2">
        <v>0</v>
      </c>
      <c r="G15723" t="s">
        <v>513</v>
      </c>
    </row>
    <row r="15724" spans="1:7" x14ac:dyDescent="0.25">
      <c r="A15724" s="1" t="str">
        <f>"514149"</f>
        <v>514149</v>
      </c>
      <c r="B15724" s="2" t="str">
        <f>"MICRO ESFERA - DEMARCACAO REFLETIVA"</f>
        <v>MICRO ESFERA - DEMARCACAO REFLETIVA</v>
      </c>
      <c r="C15724" s="2" t="str">
        <f t="shared" si="622"/>
        <v>UN</v>
      </c>
      <c r="D15724" s="7">
        <v>804</v>
      </c>
      <c r="E15724" s="3">
        <v>10</v>
      </c>
      <c r="F15724" s="2">
        <v>2</v>
      </c>
      <c r="G15724" t="s">
        <v>514</v>
      </c>
    </row>
    <row r="15725" spans="1:7" x14ac:dyDescent="0.25">
      <c r="A15725" s="1" t="str">
        <f>"513024"</f>
        <v>513024</v>
      </c>
      <c r="B15725" s="2" t="str">
        <f>"MICRO LENOVO 63 CORE I5 4460S 4GB 500GB W8.1"</f>
        <v>MICRO LENOVO 63 CORE I5 4460S 4GB 500GB W8.1</v>
      </c>
      <c r="C15725" s="2" t="str">
        <f t="shared" si="622"/>
        <v>UN</v>
      </c>
      <c r="D15725" s="7">
        <v>811</v>
      </c>
      <c r="E15725" s="3">
        <v>13</v>
      </c>
      <c r="F15725" s="2">
        <v>5</v>
      </c>
      <c r="G15725" t="s">
        <v>514</v>
      </c>
    </row>
    <row r="15726" spans="1:7" x14ac:dyDescent="0.25">
      <c r="A15726" s="1" t="str">
        <f>"518648"</f>
        <v>518648</v>
      </c>
      <c r="B15726" s="2" t="str">
        <f>"MICRO LENOVO TC EDGE 4GB 500GB WIN8PRODG"</f>
        <v>MICRO LENOVO TC EDGE 4GB 500GB WIN8PRODG</v>
      </c>
      <c r="C15726" s="2" t="str">
        <f t="shared" si="622"/>
        <v>UN</v>
      </c>
      <c r="D15726" s="7">
        <v>401</v>
      </c>
      <c r="E15726" s="3">
        <v>4</v>
      </c>
      <c r="F15726" s="2">
        <v>6</v>
      </c>
      <c r="G15726" t="s">
        <v>512</v>
      </c>
    </row>
    <row r="15727" spans="1:7" x14ac:dyDescent="0.25">
      <c r="A15727" s="1" t="str">
        <f>"519122"</f>
        <v>519122</v>
      </c>
      <c r="B15727" s="2" t="str">
        <f>"MICRO LENOVO TC EDGE 73 C I5 4430S 4GB 500GB W8 PRO DG SFF"</f>
        <v>MICRO LENOVO TC EDGE 73 C I5 4430S 4GB 500GB W8 PRO DG SFF</v>
      </c>
      <c r="C15727" s="2" t="str">
        <f t="shared" si="622"/>
        <v>UN</v>
      </c>
      <c r="D15727" s="7">
        <v>811</v>
      </c>
      <c r="E15727" s="3">
        <v>13</v>
      </c>
      <c r="F15727" s="2">
        <v>9</v>
      </c>
      <c r="G15727" t="s">
        <v>513</v>
      </c>
    </row>
    <row r="15728" spans="1:7" x14ac:dyDescent="0.25">
      <c r="A15728" s="1" t="str">
        <f>"518500"</f>
        <v>518500</v>
      </c>
      <c r="B15728" s="2" t="str">
        <f>"MICRO LENOVO TC EDGE 73 C I5 4570S 4GB 500GB W8 PRO DG SFF"</f>
        <v>MICRO LENOVO TC EDGE 73 C I5 4570S 4GB 500GB W8 PRO DG SFF</v>
      </c>
      <c r="C15728" s="2" t="str">
        <f t="shared" si="622"/>
        <v>UN</v>
      </c>
      <c r="D15728" s="7">
        <v>811</v>
      </c>
      <c r="E15728" s="3">
        <v>13</v>
      </c>
      <c r="F15728" s="2">
        <v>5</v>
      </c>
      <c r="G15728" t="s">
        <v>514</v>
      </c>
    </row>
    <row r="15729" spans="1:7" x14ac:dyDescent="0.25">
      <c r="A15729" s="1" t="str">
        <f>"524043"</f>
        <v>524043</v>
      </c>
      <c r="B15729" s="2" t="str">
        <f>"MICRO MOTOR 00319"</f>
        <v>MICRO MOTOR 00319</v>
      </c>
      <c r="C15729" s="2" t="str">
        <f t="shared" si="622"/>
        <v>UN</v>
      </c>
      <c r="D15729" s="7">
        <v>918</v>
      </c>
      <c r="E15729" s="3">
        <v>4</v>
      </c>
      <c r="F15729" s="2">
        <v>3</v>
      </c>
      <c r="G15729" t="s">
        <v>514</v>
      </c>
    </row>
    <row r="15730" spans="1:7" x14ac:dyDescent="0.25">
      <c r="A15730" s="1" t="str">
        <f>"503044"</f>
        <v>503044</v>
      </c>
      <c r="B15730" s="2" t="str">
        <f>"MICRO MOTOR ELCO 1/20 220V EXAUSTOR"</f>
        <v>MICRO MOTOR ELCO 1/20 220V EXAUSTOR</v>
      </c>
      <c r="C15730" s="2" t="str">
        <f t="shared" ref="C15730:C15761" si="623">"UN"</f>
        <v>UN</v>
      </c>
      <c r="D15730" s="7">
        <v>600</v>
      </c>
      <c r="E15730" s="3">
        <v>8</v>
      </c>
      <c r="F15730" s="2">
        <v>3</v>
      </c>
      <c r="G15730" t="s">
        <v>514</v>
      </c>
    </row>
    <row r="15731" spans="1:7" x14ac:dyDescent="0.25">
      <c r="A15731" s="1" t="str">
        <f>"500897"</f>
        <v>500897</v>
      </c>
      <c r="B15731" s="2" t="str">
        <f>"MICRO MOTOR ELGIN BIVOLT 1/25"</f>
        <v>MICRO MOTOR ELGIN BIVOLT 1/25</v>
      </c>
      <c r="C15731" s="2" t="str">
        <f t="shared" si="623"/>
        <v>UN</v>
      </c>
      <c r="D15731" s="7">
        <v>900</v>
      </c>
      <c r="E15731" s="3">
        <v>8</v>
      </c>
      <c r="F15731" s="2">
        <v>2</v>
      </c>
      <c r="G15731" t="s">
        <v>513</v>
      </c>
    </row>
    <row r="15732" spans="1:7" x14ac:dyDescent="0.25">
      <c r="A15732" s="1" t="str">
        <f>"519250"</f>
        <v>519250</v>
      </c>
      <c r="B15732" s="2" t="str">
        <f>"MICRO PROCESSADOR MAXICLIMA STD ATE 98"</f>
        <v>MICRO PROCESSADOR MAXICLIMA STD ATE 98</v>
      </c>
      <c r="C15732" s="2" t="str">
        <f t="shared" si="623"/>
        <v>UN</v>
      </c>
      <c r="D15732" s="7">
        <v>704</v>
      </c>
      <c r="E15732" s="3">
        <v>9</v>
      </c>
      <c r="F15732" s="2">
        <v>1</v>
      </c>
      <c r="G15732" t="s">
        <v>512</v>
      </c>
    </row>
    <row r="15733" spans="1:7" x14ac:dyDescent="0.25">
      <c r="A15733" s="1" t="str">
        <f>"525857"</f>
        <v>525857</v>
      </c>
      <c r="B15733" s="2" t="str">
        <f>"MICRO RETIFICA VONDER MRV115"</f>
        <v>MICRO RETIFICA VONDER MRV115</v>
      </c>
      <c r="C15733" s="2" t="str">
        <f t="shared" si="623"/>
        <v>UN</v>
      </c>
      <c r="D15733" s="7">
        <v>403</v>
      </c>
      <c r="E15733" s="3">
        <v>10</v>
      </c>
      <c r="F15733" s="2">
        <v>4</v>
      </c>
      <c r="G15733" t="s">
        <v>513</v>
      </c>
    </row>
    <row r="15734" spans="1:7" x14ac:dyDescent="0.25">
      <c r="A15734" s="1" t="str">
        <f>"514682"</f>
        <v>514682</v>
      </c>
      <c r="B15734" s="2" t="str">
        <f>"MICRO SYSTEM MSP201"</f>
        <v>MICRO SYSTEM MSP201</v>
      </c>
      <c r="C15734" s="2" t="str">
        <f t="shared" si="623"/>
        <v>UN</v>
      </c>
      <c r="D15734" s="7">
        <v>401</v>
      </c>
      <c r="E15734" s="3">
        <v>4</v>
      </c>
      <c r="F15734" s="2">
        <v>1</v>
      </c>
      <c r="G15734" t="s">
        <v>514</v>
      </c>
    </row>
    <row r="15735" spans="1:7" x14ac:dyDescent="0.25">
      <c r="A15735" s="1" t="str">
        <f>"519126"</f>
        <v>519126</v>
      </c>
      <c r="B15735" s="2" t="str">
        <f>"MICRO VENTILADOR 120 X 120 X 25MM 48V"</f>
        <v>MICRO VENTILADOR 120 X 120 X 25MM 48V</v>
      </c>
      <c r="C15735" s="2" t="str">
        <f t="shared" si="623"/>
        <v>UN</v>
      </c>
      <c r="D15735" s="7">
        <v>811</v>
      </c>
      <c r="E15735" s="3">
        <v>11</v>
      </c>
      <c r="F15735" s="2">
        <v>2</v>
      </c>
      <c r="G15735" t="s">
        <v>514</v>
      </c>
    </row>
    <row r="15736" spans="1:7" x14ac:dyDescent="0.25">
      <c r="A15736" s="1" t="str">
        <f>"518992"</f>
        <v>518992</v>
      </c>
      <c r="B15736" s="2" t="str">
        <f>"MICRO VENTILADOR 92 X 92 X 38MM 48V"</f>
        <v>MICRO VENTILADOR 92 X 92 X 38MM 48V</v>
      </c>
      <c r="C15736" s="2" t="str">
        <f t="shared" si="623"/>
        <v>UN</v>
      </c>
      <c r="D15736" s="7">
        <v>811</v>
      </c>
      <c r="E15736" s="3">
        <v>11</v>
      </c>
      <c r="F15736" s="2">
        <v>7</v>
      </c>
      <c r="G15736" t="s">
        <v>514</v>
      </c>
    </row>
    <row r="15737" spans="1:7" x14ac:dyDescent="0.25">
      <c r="A15737" s="1" t="str">
        <f>"509287"</f>
        <v>509287</v>
      </c>
      <c r="B15737" s="2" t="str">
        <f>"MICROCOMP. DELL VORTRO 220 SLIM TOWER"</f>
        <v>MICROCOMP. DELL VORTRO 220 SLIM TOWER</v>
      </c>
      <c r="C15737" s="2" t="str">
        <f t="shared" si="623"/>
        <v>UN</v>
      </c>
      <c r="D15737" s="7">
        <v>1500</v>
      </c>
      <c r="E15737" s="3">
        <v>13</v>
      </c>
      <c r="F15737" s="2">
        <v>9</v>
      </c>
      <c r="G15737" t="s">
        <v>513</v>
      </c>
    </row>
    <row r="15738" spans="1:7" x14ac:dyDescent="0.25">
      <c r="A15738" s="1" t="str">
        <f>"516443"</f>
        <v>516443</v>
      </c>
      <c r="B15738" s="2" t="str">
        <f>"MICROCOMPUTADOR"</f>
        <v>MICROCOMPUTADOR</v>
      </c>
      <c r="C15738" s="2" t="str">
        <f t="shared" si="623"/>
        <v>UN</v>
      </c>
      <c r="D15738" s="7">
        <v>900</v>
      </c>
      <c r="E15738" s="3">
        <v>13</v>
      </c>
      <c r="F15738" s="2">
        <v>0</v>
      </c>
      <c r="G15738" t="s">
        <v>513</v>
      </c>
    </row>
    <row r="15739" spans="1:7" x14ac:dyDescent="0.25">
      <c r="A15739" s="1" t="str">
        <f>"516444"</f>
        <v>516444</v>
      </c>
      <c r="B15739" s="2" t="str">
        <f>"MICROCOMPUTADOR DELL DIMENSION 1100"</f>
        <v>MICROCOMPUTADOR DELL DIMENSION 1100</v>
      </c>
      <c r="C15739" s="2" t="str">
        <f t="shared" si="623"/>
        <v>UN</v>
      </c>
      <c r="D15739" s="7">
        <v>900</v>
      </c>
      <c r="E15739" s="3">
        <v>13</v>
      </c>
      <c r="F15739" s="2">
        <v>0</v>
      </c>
      <c r="G15739" t="s">
        <v>513</v>
      </c>
    </row>
    <row r="15740" spans="1:7" x14ac:dyDescent="0.25">
      <c r="A15740" s="1" t="str">
        <f>"524127"</f>
        <v>524127</v>
      </c>
      <c r="B15740" s="2" t="str">
        <f>"MICROCOMPUTADOR DELL OPTIPLEX 5060"</f>
        <v>MICROCOMPUTADOR DELL OPTIPLEX 5060</v>
      </c>
      <c r="C15740" s="2" t="str">
        <f t="shared" si="623"/>
        <v>UN</v>
      </c>
      <c r="D15740" s="7">
        <v>1500</v>
      </c>
      <c r="E15740" s="3">
        <v>13</v>
      </c>
      <c r="F15740" s="2">
        <v>4</v>
      </c>
      <c r="G15740" t="s">
        <v>512</v>
      </c>
    </row>
    <row r="15741" spans="1:7" x14ac:dyDescent="0.25">
      <c r="A15741" s="1" t="str">
        <f>"509203"</f>
        <v>509203</v>
      </c>
      <c r="B15741" s="2" t="str">
        <f>"MICROCOMPUTADOR DELL OPTIPLEX 755"</f>
        <v>MICROCOMPUTADOR DELL OPTIPLEX 755</v>
      </c>
      <c r="C15741" s="2" t="str">
        <f t="shared" si="623"/>
        <v>UN</v>
      </c>
      <c r="D15741" s="7">
        <v>1500</v>
      </c>
      <c r="E15741" s="3">
        <v>13</v>
      </c>
      <c r="F15741" s="2">
        <v>1</v>
      </c>
      <c r="G15741" t="s">
        <v>513</v>
      </c>
    </row>
    <row r="15742" spans="1:7" x14ac:dyDescent="0.25">
      <c r="A15742" s="1" t="str">
        <f>"518348"</f>
        <v>518348</v>
      </c>
      <c r="B15742" s="2" t="str">
        <f>"MICROCOMPUTADOR DELL OPTIPLEX 9020"</f>
        <v>MICROCOMPUTADOR DELL OPTIPLEX 9020</v>
      </c>
      <c r="C15742" s="2" t="str">
        <f t="shared" si="623"/>
        <v>UN</v>
      </c>
      <c r="D15742" s="7">
        <v>900</v>
      </c>
      <c r="E15742" s="3">
        <v>4</v>
      </c>
      <c r="F15742" s="2">
        <v>2</v>
      </c>
      <c r="G15742" t="s">
        <v>514</v>
      </c>
    </row>
    <row r="15743" spans="1:7" x14ac:dyDescent="0.25">
      <c r="A15743" s="1" t="str">
        <f>"509202"</f>
        <v>509202</v>
      </c>
      <c r="B15743" s="2" t="str">
        <f>"MICROCOMPUTADOR DELL VOSTRO 220 S. TOWER"</f>
        <v>MICROCOMPUTADOR DELL VOSTRO 220 S. TOWER</v>
      </c>
      <c r="C15743" s="2" t="str">
        <f t="shared" si="623"/>
        <v>UN</v>
      </c>
      <c r="D15743" s="7">
        <v>1500</v>
      </c>
      <c r="E15743" s="3">
        <v>13</v>
      </c>
      <c r="F15743" s="2">
        <v>7</v>
      </c>
      <c r="G15743" t="s">
        <v>515</v>
      </c>
    </row>
    <row r="15744" spans="1:7" x14ac:dyDescent="0.25">
      <c r="A15744" s="1" t="str">
        <f>"516626"</f>
        <v>516626</v>
      </c>
      <c r="B15744" s="2" t="str">
        <f>"MICROCOMPUTADOR DELL XPS 8700"</f>
        <v>MICROCOMPUTADOR DELL XPS 8700</v>
      </c>
      <c r="C15744" s="2" t="str">
        <f t="shared" si="623"/>
        <v>UN</v>
      </c>
      <c r="D15744" s="7">
        <v>401</v>
      </c>
      <c r="E15744" s="3">
        <v>4</v>
      </c>
      <c r="F15744" s="2">
        <v>9</v>
      </c>
      <c r="G15744" t="s">
        <v>512</v>
      </c>
    </row>
    <row r="15745" spans="1:7" x14ac:dyDescent="0.25">
      <c r="A15745" s="1" t="str">
        <f>"516024"</f>
        <v>516024</v>
      </c>
      <c r="B15745" s="2" t="str">
        <f>"MICROCOMPUTADOR DIMENSION 1100 PROC. CELERON D325 2.53GHZ"</f>
        <v>MICROCOMPUTADOR DIMENSION 1100 PROC. CELERON D325 2.53GHZ</v>
      </c>
      <c r="C15745" s="2" t="str">
        <f t="shared" si="623"/>
        <v>UN</v>
      </c>
      <c r="D15745" s="7">
        <v>99999</v>
      </c>
      <c r="E15745" s="3">
        <v>99</v>
      </c>
      <c r="F15745" s="5">
        <v>5</v>
      </c>
      <c r="G15745" t="s">
        <v>516</v>
      </c>
    </row>
    <row r="15746" spans="1:7" x14ac:dyDescent="0.25">
      <c r="A15746" s="1" t="str">
        <f>"523401"</f>
        <v>523401</v>
      </c>
      <c r="B15746" s="2" t="str">
        <f>"MICROCOMPUTADOR PORTATIL"</f>
        <v>MICROCOMPUTADOR PORTATIL</v>
      </c>
      <c r="C15746" s="2" t="str">
        <f t="shared" si="623"/>
        <v>UN</v>
      </c>
      <c r="D15746" s="7">
        <v>401</v>
      </c>
      <c r="E15746" s="3">
        <v>4</v>
      </c>
      <c r="F15746" s="2">
        <v>3</v>
      </c>
      <c r="G15746" t="s">
        <v>515</v>
      </c>
    </row>
    <row r="15747" spans="1:7" x14ac:dyDescent="0.25">
      <c r="A15747" s="1" t="str">
        <f>"518879"</f>
        <v>518879</v>
      </c>
      <c r="B15747" s="2" t="str">
        <f>"MICROCOMPUTADOR PORTATIL DELL INSPIRION"</f>
        <v>MICROCOMPUTADOR PORTATIL DELL INSPIRION</v>
      </c>
      <c r="C15747" s="2" t="str">
        <f t="shared" si="623"/>
        <v>UN</v>
      </c>
      <c r="D15747" s="7">
        <v>900</v>
      </c>
      <c r="E15747" s="3">
        <v>13</v>
      </c>
      <c r="F15747" s="2">
        <v>8</v>
      </c>
      <c r="G15747" t="s">
        <v>514</v>
      </c>
    </row>
    <row r="15748" spans="1:7" x14ac:dyDescent="0.25">
      <c r="A15748" s="1" t="str">
        <f>"519856"</f>
        <v>519856</v>
      </c>
      <c r="B15748" s="2" t="str">
        <f>"MICROFONA PARA PX"</f>
        <v>MICROFONA PARA PX</v>
      </c>
      <c r="C15748" s="2" t="str">
        <f t="shared" si="623"/>
        <v>UN</v>
      </c>
      <c r="D15748" s="7">
        <v>704</v>
      </c>
      <c r="E15748" s="3">
        <v>9</v>
      </c>
      <c r="F15748" s="2">
        <v>6</v>
      </c>
      <c r="G15748" t="s">
        <v>512</v>
      </c>
    </row>
    <row r="15749" spans="1:7" x14ac:dyDescent="0.25">
      <c r="A15749" s="1" t="str">
        <f>"513788"</f>
        <v>513788</v>
      </c>
      <c r="B15749" s="2" t="str">
        <f>"MICROFONE PARA COMPUTADOR"</f>
        <v>MICROFONE PARA COMPUTADOR</v>
      </c>
      <c r="C15749" s="2" t="str">
        <f t="shared" si="623"/>
        <v>UN</v>
      </c>
      <c r="D15749" s="7">
        <v>401</v>
      </c>
      <c r="E15749" s="3">
        <v>4</v>
      </c>
      <c r="F15749" s="2">
        <v>4</v>
      </c>
      <c r="G15749" t="s">
        <v>513</v>
      </c>
    </row>
    <row r="15750" spans="1:7" x14ac:dyDescent="0.25">
      <c r="A15750" s="1" t="str">
        <f>"523635"</f>
        <v>523635</v>
      </c>
      <c r="B15750" s="2" t="str">
        <f>"MICROFONE PPT PMMN4013"</f>
        <v>MICROFONE PPT PMMN4013</v>
      </c>
      <c r="C15750" s="2" t="str">
        <f t="shared" si="623"/>
        <v>UN</v>
      </c>
      <c r="D15750" s="7">
        <v>99999</v>
      </c>
      <c r="E15750" s="3">
        <v>99</v>
      </c>
      <c r="F15750" s="2">
        <v>1</v>
      </c>
      <c r="G15750" t="s">
        <v>514</v>
      </c>
    </row>
    <row r="15751" spans="1:7" x14ac:dyDescent="0.25">
      <c r="A15751" s="1" t="str">
        <f>"518458"</f>
        <v>518458</v>
      </c>
      <c r="B15751" s="2" t="str">
        <f>"MICROONDAS 20LT"</f>
        <v>MICROONDAS 20LT</v>
      </c>
      <c r="C15751" s="2" t="str">
        <f t="shared" si="623"/>
        <v>UN</v>
      </c>
      <c r="D15751" s="7">
        <v>1200</v>
      </c>
      <c r="E15751" s="3">
        <v>10</v>
      </c>
      <c r="F15751" s="2">
        <v>2</v>
      </c>
      <c r="G15751" t="s">
        <v>514</v>
      </c>
    </row>
    <row r="15752" spans="1:7" x14ac:dyDescent="0.25">
      <c r="A15752" s="1" t="str">
        <f>"519005"</f>
        <v>519005</v>
      </c>
      <c r="B15752" s="2" t="str">
        <f>"MICROONDAS 30LT MS3044L LG"</f>
        <v>MICROONDAS 30LT MS3044L LG</v>
      </c>
      <c r="C15752" s="2" t="str">
        <f t="shared" si="623"/>
        <v>UN</v>
      </c>
      <c r="D15752" s="7">
        <v>1200</v>
      </c>
      <c r="E15752" s="3">
        <v>10</v>
      </c>
      <c r="F15752" s="2">
        <v>7</v>
      </c>
      <c r="G15752" t="s">
        <v>512</v>
      </c>
    </row>
    <row r="15753" spans="1:7" x14ac:dyDescent="0.25">
      <c r="A15753" s="1" t="str">
        <f>"513992"</f>
        <v>513992</v>
      </c>
      <c r="B15753" s="2" t="str">
        <f>"MICROPIPETA 300MICROLITROS 100UN"</f>
        <v>MICROPIPETA 300MICROLITROS 100UN</v>
      </c>
      <c r="C15753" s="2" t="str">
        <f t="shared" si="623"/>
        <v>UN</v>
      </c>
      <c r="D15753" s="7">
        <v>303</v>
      </c>
      <c r="E15753" s="3">
        <v>3</v>
      </c>
      <c r="F15753" s="2">
        <v>9</v>
      </c>
      <c r="G15753" t="s">
        <v>513</v>
      </c>
    </row>
    <row r="15754" spans="1:7" x14ac:dyDescent="0.25">
      <c r="A15754" s="1" t="str">
        <f>"523629"</f>
        <v>523629</v>
      </c>
      <c r="B15754" s="2" t="str">
        <f>"MICROPIPETA ELETRONICA MONOCANAL 100-1000UL"</f>
        <v>MICROPIPETA ELETRONICA MONOCANAL 100-1000UL</v>
      </c>
      <c r="C15754" s="2" t="str">
        <f t="shared" si="623"/>
        <v>UN</v>
      </c>
      <c r="D15754" s="7">
        <v>406</v>
      </c>
      <c r="E15754" s="3">
        <v>4</v>
      </c>
      <c r="F15754" s="2">
        <v>0</v>
      </c>
      <c r="G15754" t="s">
        <v>514</v>
      </c>
    </row>
    <row r="15755" spans="1:7" x14ac:dyDescent="0.25">
      <c r="A15755" s="1" t="str">
        <f>"524615"</f>
        <v>524615</v>
      </c>
      <c r="B15755" s="8" t="s">
        <v>391</v>
      </c>
      <c r="C15755" s="2" t="str">
        <f t="shared" si="623"/>
        <v>UN</v>
      </c>
      <c r="D15755" s="7">
        <v>406</v>
      </c>
      <c r="E15755" s="3">
        <v>13</v>
      </c>
      <c r="F15755" s="2">
        <v>0</v>
      </c>
      <c r="G15755" t="s">
        <v>514</v>
      </c>
    </row>
    <row r="15756" spans="1:7" x14ac:dyDescent="0.25">
      <c r="A15756" s="1" t="str">
        <f>"522116"</f>
        <v>522116</v>
      </c>
      <c r="B15756" s="2" t="str">
        <f>"MICROPIPETA FINNPIPETTE F1 VOL.VAR 100-1000UL HEXIS CALIBRAD"</f>
        <v>MICROPIPETA FINNPIPETTE F1 VOL.VAR 100-1000UL HEXIS CALIBRAD</v>
      </c>
      <c r="C15756" s="2" t="str">
        <f t="shared" si="623"/>
        <v>UN</v>
      </c>
      <c r="D15756" s="7">
        <v>406</v>
      </c>
      <c r="E15756" s="3">
        <v>4</v>
      </c>
      <c r="F15756" s="2">
        <v>2</v>
      </c>
      <c r="G15756" t="s">
        <v>514</v>
      </c>
    </row>
    <row r="15757" spans="1:7" x14ac:dyDescent="0.25">
      <c r="A15757" s="1" t="str">
        <f>"522115"</f>
        <v>522115</v>
      </c>
      <c r="B15757" s="2" t="str">
        <f>"MICROPIPETA FINNPIPETTE F2 VOL.VAR 100-1000UL HEXIS CALIBRAD"</f>
        <v>MICROPIPETA FINNPIPETTE F2 VOL.VAR 100-1000UL HEXIS CALIBRAD</v>
      </c>
      <c r="C15757" s="2" t="str">
        <f t="shared" si="623"/>
        <v>UN</v>
      </c>
      <c r="D15757" s="7">
        <v>406</v>
      </c>
      <c r="E15757" s="3">
        <v>4</v>
      </c>
      <c r="F15757" s="2">
        <v>5</v>
      </c>
      <c r="G15757" t="s">
        <v>513</v>
      </c>
    </row>
    <row r="15758" spans="1:7" x14ac:dyDescent="0.25">
      <c r="A15758" s="1" t="str">
        <f>"513205"</f>
        <v>513205</v>
      </c>
      <c r="B15758" s="2" t="str">
        <f>"MICROPIPETA MONOCANAL 100-1000UL VVCS100"</f>
        <v>MICROPIPETA MONOCANAL 100-1000UL VVCS100</v>
      </c>
      <c r="C15758" s="2" t="str">
        <f t="shared" si="623"/>
        <v>UN</v>
      </c>
      <c r="D15758" s="7">
        <v>406</v>
      </c>
      <c r="E15758" s="3">
        <v>4</v>
      </c>
      <c r="F15758" s="2">
        <v>6</v>
      </c>
      <c r="G15758" t="s">
        <v>512</v>
      </c>
    </row>
    <row r="15759" spans="1:7" x14ac:dyDescent="0.25">
      <c r="A15759" s="1" t="str">
        <f>"513624"</f>
        <v>513624</v>
      </c>
      <c r="B15759" s="2" t="str">
        <f>"MICROPIPETA MONOCANAL 100UL FIXO"</f>
        <v>MICROPIPETA MONOCANAL 100UL FIXO</v>
      </c>
      <c r="C15759" s="2" t="str">
        <f t="shared" si="623"/>
        <v>UN</v>
      </c>
      <c r="D15759" s="7">
        <v>406</v>
      </c>
      <c r="E15759" s="3">
        <v>4</v>
      </c>
      <c r="F15759" s="2">
        <v>9</v>
      </c>
      <c r="G15759" t="s">
        <v>513</v>
      </c>
    </row>
    <row r="15760" spans="1:7" x14ac:dyDescent="0.25">
      <c r="A15760" s="1" t="str">
        <f>"526259"</f>
        <v>526259</v>
      </c>
      <c r="B15760" s="2" t="str">
        <f>"MICROPIPETA MONOCANAL 1-10 ML K1-P10000"</f>
        <v>MICROPIPETA MONOCANAL 1-10 ML K1-P10000</v>
      </c>
      <c r="C15760" s="2" t="str">
        <f t="shared" si="623"/>
        <v>UN</v>
      </c>
      <c r="D15760" s="7">
        <v>406</v>
      </c>
      <c r="E15760" s="3">
        <v>4</v>
      </c>
      <c r="F15760" s="2">
        <v>5</v>
      </c>
      <c r="G15760" t="s">
        <v>514</v>
      </c>
    </row>
    <row r="15761" spans="1:7" x14ac:dyDescent="0.25">
      <c r="A15761" s="1" t="str">
        <f>"513623"</f>
        <v>513623</v>
      </c>
      <c r="B15761" s="2" t="str">
        <f>"MICROPIPETA MONOCANAL 1-10UL"</f>
        <v>MICROPIPETA MONOCANAL 1-10UL</v>
      </c>
      <c r="C15761" s="2" t="str">
        <f t="shared" si="623"/>
        <v>UN</v>
      </c>
      <c r="D15761" s="7">
        <v>406</v>
      </c>
      <c r="E15761" s="3">
        <v>4</v>
      </c>
      <c r="F15761" s="2">
        <v>3</v>
      </c>
      <c r="G15761" t="s">
        <v>514</v>
      </c>
    </row>
    <row r="15762" spans="1:7" x14ac:dyDescent="0.25">
      <c r="A15762" s="1" t="str">
        <f>"518999"</f>
        <v>518999</v>
      </c>
      <c r="B15762" s="2" t="str">
        <f>"MICROPIPETA MONOCANAL 2000-10000UL VIP 1200"</f>
        <v>MICROPIPETA MONOCANAL 2000-10000UL VIP 1200</v>
      </c>
      <c r="C15762" s="2" t="str">
        <f t="shared" ref="C15762:C15777" si="624">"UN"</f>
        <v>UN</v>
      </c>
      <c r="D15762" s="7">
        <v>406</v>
      </c>
      <c r="E15762" s="3">
        <v>4</v>
      </c>
      <c r="F15762" s="2">
        <v>3</v>
      </c>
      <c r="G15762" t="s">
        <v>514</v>
      </c>
    </row>
    <row r="15763" spans="1:7" x14ac:dyDescent="0.25">
      <c r="A15763" s="1" t="str">
        <f>"520702"</f>
        <v>520702</v>
      </c>
      <c r="B15763" s="2" t="str">
        <f>"MICROPIPETA VOL.VAR.1000-10000UL(GP PREMIUM-HEXIS) CALIBRADA"</f>
        <v>MICROPIPETA VOL.VAR.1000-10000UL(GP PREMIUM-HEXIS) CALIBRADA</v>
      </c>
      <c r="C15763" s="2" t="str">
        <f t="shared" si="624"/>
        <v>UN</v>
      </c>
      <c r="D15763" s="7">
        <v>406</v>
      </c>
      <c r="E15763" s="3">
        <v>4</v>
      </c>
      <c r="F15763" s="2">
        <v>2</v>
      </c>
      <c r="G15763" t="s">
        <v>513</v>
      </c>
    </row>
    <row r="15764" spans="1:7" x14ac:dyDescent="0.25">
      <c r="A15764" s="1" t="str">
        <f>"520701"</f>
        <v>520701</v>
      </c>
      <c r="B15764" s="2" t="str">
        <f>"MICROPIPETA VOLUME VARIAVEL 100-1000UL (0,1 A 1ML) CALIBRADA"</f>
        <v>MICROPIPETA VOLUME VARIAVEL 100-1000UL (0,1 A 1ML) CALIBRADA</v>
      </c>
      <c r="C15764" s="2" t="str">
        <f t="shared" si="624"/>
        <v>UN</v>
      </c>
      <c r="D15764" s="7">
        <v>406</v>
      </c>
      <c r="E15764" s="3">
        <v>4</v>
      </c>
      <c r="F15764" s="2">
        <v>1</v>
      </c>
      <c r="G15764" t="s">
        <v>513</v>
      </c>
    </row>
    <row r="15765" spans="1:7" x14ac:dyDescent="0.25">
      <c r="A15765" s="1" t="str">
        <f>"520945"</f>
        <v>520945</v>
      </c>
      <c r="B15765" s="2" t="str">
        <f>"MICROPORE"</f>
        <v>MICROPORE</v>
      </c>
      <c r="C15765" s="2" t="str">
        <f t="shared" si="624"/>
        <v>UN</v>
      </c>
      <c r="D15765" s="7">
        <v>403</v>
      </c>
      <c r="E15765" s="3">
        <v>4</v>
      </c>
      <c r="F15765" s="2">
        <v>4</v>
      </c>
      <c r="G15765" t="s">
        <v>513</v>
      </c>
    </row>
    <row r="15766" spans="1:7" x14ac:dyDescent="0.25">
      <c r="A15766" s="1" t="str">
        <f>"515592"</f>
        <v>515592</v>
      </c>
      <c r="B15766" s="2" t="str">
        <f>"MICROPROCESSADOR"</f>
        <v>MICROPROCESSADOR</v>
      </c>
      <c r="C15766" s="2" t="str">
        <f t="shared" si="624"/>
        <v>UN</v>
      </c>
      <c r="D15766" s="7">
        <v>704</v>
      </c>
      <c r="E15766" s="3">
        <v>9</v>
      </c>
      <c r="F15766" s="2">
        <v>6</v>
      </c>
      <c r="G15766" t="s">
        <v>512</v>
      </c>
    </row>
    <row r="15767" spans="1:7" x14ac:dyDescent="0.25">
      <c r="A15767" s="1" t="str">
        <f>"510227"</f>
        <v>510227</v>
      </c>
      <c r="B15767" s="2" t="str">
        <f>"MICRORUPITOR - MAQUINA DE SAQUINHO"</f>
        <v>MICRORUPITOR - MAQUINA DE SAQUINHO</v>
      </c>
      <c r="C15767" s="2" t="str">
        <f t="shared" si="624"/>
        <v>UN</v>
      </c>
      <c r="D15767" s="7">
        <v>900</v>
      </c>
      <c r="E15767" s="3">
        <v>11</v>
      </c>
      <c r="F15767" s="2">
        <v>8</v>
      </c>
      <c r="G15767" t="s">
        <v>513</v>
      </c>
    </row>
    <row r="15768" spans="1:7" x14ac:dyDescent="0.25">
      <c r="A15768" s="1" t="str">
        <f>"513000"</f>
        <v>513000</v>
      </c>
      <c r="B15768" s="2" t="str">
        <f>"MICROSOFT FPP OFICE HOME AND BUSINESS 2013 32/64 BITS"</f>
        <v>MICROSOFT FPP OFICE HOME AND BUSINESS 2013 32/64 BITS</v>
      </c>
      <c r="C15768" s="2" t="str">
        <f t="shared" si="624"/>
        <v>UN</v>
      </c>
      <c r="D15768" s="7">
        <v>99999</v>
      </c>
      <c r="E15768" s="3">
        <v>99</v>
      </c>
      <c r="F15768" s="2">
        <v>7</v>
      </c>
      <c r="G15768" t="s">
        <v>514</v>
      </c>
    </row>
    <row r="15769" spans="1:7" x14ac:dyDescent="0.25">
      <c r="A15769" s="1" t="str">
        <f>"513001"</f>
        <v>513001</v>
      </c>
      <c r="B15769" s="2" t="str">
        <f>"MICROSOFT FPP OFICE HOME AND BUSINESS 2013 32/64 BITS MIDIA"</f>
        <v>MICROSOFT FPP OFICE HOME AND BUSINESS 2013 32/64 BITS MIDIA</v>
      </c>
      <c r="C15769" s="2" t="str">
        <f t="shared" si="624"/>
        <v>UN</v>
      </c>
      <c r="D15769" s="7">
        <v>99999</v>
      </c>
      <c r="E15769" s="3">
        <v>99</v>
      </c>
      <c r="F15769" s="2">
        <v>6</v>
      </c>
      <c r="G15769" t="s">
        <v>515</v>
      </c>
    </row>
    <row r="15770" spans="1:7" x14ac:dyDescent="0.25">
      <c r="A15770" s="1" t="str">
        <f>"520804"</f>
        <v>520804</v>
      </c>
      <c r="B15770" s="2" t="str">
        <f>"MICROSOFT OLP OFFICE 365 BUS. SHRD SNGL SUBS"</f>
        <v>MICROSOFT OLP OFFICE 365 BUS. SHRD SNGL SUBS</v>
      </c>
      <c r="C15770" s="2" t="str">
        <f t="shared" si="624"/>
        <v>UN</v>
      </c>
      <c r="D15770" s="7">
        <v>99999</v>
      </c>
      <c r="E15770" s="3">
        <v>99</v>
      </c>
      <c r="F15770" s="2">
        <v>6</v>
      </c>
      <c r="G15770" t="s">
        <v>512</v>
      </c>
    </row>
    <row r="15771" spans="1:7" x14ac:dyDescent="0.25">
      <c r="A15771" s="1" t="str">
        <f>"521499"</f>
        <v>521499</v>
      </c>
      <c r="B15771" s="2" t="str">
        <f>"MICROSOFT OLP OFFICE PRO PLUS 2016 SNGL NL"</f>
        <v>MICROSOFT OLP OFFICE PRO PLUS 2016 SNGL NL</v>
      </c>
      <c r="C15771" s="2" t="str">
        <f t="shared" si="624"/>
        <v>UN</v>
      </c>
      <c r="D15771" s="7">
        <v>99999</v>
      </c>
      <c r="E15771" s="3">
        <v>99</v>
      </c>
      <c r="F15771" s="2">
        <v>2</v>
      </c>
      <c r="G15771" t="s">
        <v>516</v>
      </c>
    </row>
    <row r="15772" spans="1:7" x14ac:dyDescent="0.25">
      <c r="A15772" s="1" t="str">
        <f>"520808"</f>
        <v>520808</v>
      </c>
      <c r="B15772" s="2" t="str">
        <f>"MICROSOFT OLP PROJECT PRO FOR OFFICE 365 OPEN SHRDSVR"</f>
        <v>MICROSOFT OLP PROJECT PRO FOR OFFICE 365 OPEN SHRDSVR</v>
      </c>
      <c r="C15772" s="2" t="str">
        <f t="shared" si="624"/>
        <v>UN</v>
      </c>
      <c r="D15772" s="7">
        <v>99999</v>
      </c>
      <c r="E15772" s="3">
        <v>99</v>
      </c>
      <c r="F15772" s="2">
        <v>1</v>
      </c>
      <c r="G15772" t="s">
        <v>515</v>
      </c>
    </row>
    <row r="15773" spans="1:7" x14ac:dyDescent="0.25">
      <c r="A15773" s="1" t="str">
        <f>"518959"</f>
        <v>518959</v>
      </c>
      <c r="B15773" s="2" t="str">
        <f>"MICROSOFT OLP WINDOWS 8.1 PROFESSIONAL"</f>
        <v>MICROSOFT OLP WINDOWS 8.1 PROFESSIONAL</v>
      </c>
      <c r="C15773" s="2" t="str">
        <f t="shared" si="624"/>
        <v>UN</v>
      </c>
      <c r="D15773" s="7">
        <v>99999</v>
      </c>
      <c r="E15773" s="3">
        <v>99</v>
      </c>
      <c r="F15773" s="2">
        <v>0</v>
      </c>
      <c r="G15773" t="s">
        <v>514</v>
      </c>
    </row>
    <row r="15774" spans="1:7" x14ac:dyDescent="0.25">
      <c r="A15774" s="1" t="str">
        <f>"520806"</f>
        <v>520806</v>
      </c>
      <c r="B15774" s="2" t="str">
        <f>"MICROSOFT OLP WINDOWS REMOTE DESKTOP SERVICES CAL"</f>
        <v>MICROSOFT OLP WINDOWS REMOTE DESKTOP SERVICES CAL</v>
      </c>
      <c r="C15774" s="2" t="str">
        <f t="shared" si="624"/>
        <v>UN</v>
      </c>
      <c r="D15774" s="7">
        <v>99999</v>
      </c>
      <c r="E15774" s="3">
        <v>99</v>
      </c>
      <c r="F15774" s="2">
        <v>0</v>
      </c>
      <c r="G15774" t="s">
        <v>512</v>
      </c>
    </row>
    <row r="15775" spans="1:7" x14ac:dyDescent="0.25">
      <c r="A15775" s="1" t="str">
        <f>"520805"</f>
        <v>520805</v>
      </c>
      <c r="B15775" s="2" t="str">
        <f>"MICROSOFT OLP WINDOWS SERVER STANDARD 2012 R2 SNGL"</f>
        <v>MICROSOFT OLP WINDOWS SERVER STANDARD 2012 R2 SNGL</v>
      </c>
      <c r="C15775" s="2" t="str">
        <f t="shared" si="624"/>
        <v>UN</v>
      </c>
      <c r="D15775" s="7">
        <v>99999</v>
      </c>
      <c r="E15775" s="3">
        <v>99</v>
      </c>
      <c r="F15775" s="2">
        <v>0</v>
      </c>
      <c r="G15775" t="s">
        <v>513</v>
      </c>
    </row>
    <row r="15776" spans="1:7" x14ac:dyDescent="0.25">
      <c r="A15776" s="1" t="str">
        <f>"520807"</f>
        <v>520807</v>
      </c>
      <c r="B15776" s="2" t="str">
        <f>"MICROSOFT WINDOWS SERVER 2012 CAL SNGL OLP NL"</f>
        <v>MICROSOFT WINDOWS SERVER 2012 CAL SNGL OLP NL</v>
      </c>
      <c r="C15776" s="2" t="str">
        <f t="shared" si="624"/>
        <v>UN</v>
      </c>
      <c r="D15776" s="7">
        <v>99999</v>
      </c>
      <c r="E15776" s="3">
        <v>99</v>
      </c>
      <c r="F15776" s="2">
        <v>3</v>
      </c>
      <c r="G15776" t="s">
        <v>514</v>
      </c>
    </row>
    <row r="15777" spans="1:7" x14ac:dyDescent="0.25">
      <c r="A15777" s="1" t="str">
        <f>"502624"</f>
        <v>502624</v>
      </c>
      <c r="B15777" s="2" t="str">
        <f>"MICRO-SWIT 5A 128/250VCA VIDE AMOSTRA"</f>
        <v>MICRO-SWIT 5A 128/250VCA VIDE AMOSTRA</v>
      </c>
      <c r="C15777" s="2" t="str">
        <f t="shared" si="624"/>
        <v>UN</v>
      </c>
      <c r="D15777" s="7">
        <v>601</v>
      </c>
      <c r="E15777" s="3">
        <v>8</v>
      </c>
      <c r="F15777" s="5">
        <v>5</v>
      </c>
      <c r="G15777" t="s">
        <v>514</v>
      </c>
    </row>
    <row r="15778" spans="1:7" x14ac:dyDescent="0.25">
      <c r="A15778" s="1" t="str">
        <f>"508508"</f>
        <v>508508</v>
      </c>
      <c r="B15778" s="2" t="str">
        <f>"MICRO-SWIT FIM DE CURSO 3SE3-000-1A"</f>
        <v>MICRO-SWIT FIM DE CURSO 3SE3-000-1A</v>
      </c>
      <c r="C15778" s="2" t="str">
        <f>"PC"</f>
        <v>PC</v>
      </c>
      <c r="D15778" s="7">
        <v>601</v>
      </c>
      <c r="E15778" s="3">
        <v>8</v>
      </c>
      <c r="F15778" s="2">
        <v>3</v>
      </c>
      <c r="G15778" t="s">
        <v>512</v>
      </c>
    </row>
    <row r="15779" spans="1:7" x14ac:dyDescent="0.25">
      <c r="A15779" s="1" t="str">
        <f>"512644"</f>
        <v>512644</v>
      </c>
      <c r="B15779" s="2" t="str">
        <f>"MICRO-SWIT FIM DE CURSO 3SE5-000-0LA00"</f>
        <v>MICRO-SWIT FIM DE CURSO 3SE5-000-0LA00</v>
      </c>
      <c r="C15779" s="2" t="str">
        <f t="shared" ref="C15779:C15810" si="625">"UN"</f>
        <v>UN</v>
      </c>
      <c r="D15779" s="7">
        <v>600</v>
      </c>
      <c r="E15779" s="3">
        <v>8</v>
      </c>
      <c r="F15779" s="2">
        <v>8</v>
      </c>
      <c r="G15779" t="s">
        <v>513</v>
      </c>
    </row>
    <row r="15780" spans="1:7" x14ac:dyDescent="0.25">
      <c r="A15780" s="1" t="str">
        <f>"501213"</f>
        <v>501213</v>
      </c>
      <c r="B15780" s="2" t="str">
        <f>"MICRO-SWIT FIM DE CURSO 3SE51120LE01 SIEMENS"</f>
        <v>MICRO-SWIT FIM DE CURSO 3SE51120LE01 SIEMENS</v>
      </c>
      <c r="C15780" s="2" t="str">
        <f t="shared" si="625"/>
        <v>UN</v>
      </c>
      <c r="D15780" s="7">
        <v>601</v>
      </c>
      <c r="E15780" s="3">
        <v>8</v>
      </c>
      <c r="F15780" s="2">
        <v>6</v>
      </c>
      <c r="G15780" t="s">
        <v>514</v>
      </c>
    </row>
    <row r="15781" spans="1:7" x14ac:dyDescent="0.25">
      <c r="A15781" s="1" t="str">
        <f>"505891"</f>
        <v>505891</v>
      </c>
      <c r="B15781" s="2" t="str">
        <f>"MICRO-SWIT FIM DE CURSO ALAVANCA COMANDO"</f>
        <v>MICRO-SWIT FIM DE CURSO ALAVANCA COMANDO</v>
      </c>
      <c r="C15781" s="2" t="str">
        <f t="shared" si="625"/>
        <v>UN</v>
      </c>
      <c r="D15781" s="7">
        <v>900</v>
      </c>
      <c r="E15781" s="3">
        <v>11</v>
      </c>
      <c r="F15781" s="2">
        <v>4</v>
      </c>
      <c r="G15781" t="s">
        <v>514</v>
      </c>
    </row>
    <row r="15782" spans="1:7" x14ac:dyDescent="0.25">
      <c r="A15782" s="1" t="str">
        <f>"527056"</f>
        <v>527056</v>
      </c>
      <c r="B15782" s="2" t="str">
        <f>"MICROVENTILADOR 12V"</f>
        <v>MICROVENTILADOR 12V</v>
      </c>
      <c r="C15782" s="2" t="str">
        <f t="shared" si="625"/>
        <v>UN</v>
      </c>
      <c r="D15782" s="7">
        <v>1300</v>
      </c>
      <c r="E15782" s="3">
        <v>11</v>
      </c>
      <c r="F15782" s="2">
        <v>1</v>
      </c>
      <c r="G15782" t="s">
        <v>514</v>
      </c>
    </row>
    <row r="15783" spans="1:7" x14ac:dyDescent="0.25">
      <c r="A15783" s="1" t="str">
        <f>"527634"</f>
        <v>527634</v>
      </c>
      <c r="B15783" s="8" t="s">
        <v>505</v>
      </c>
      <c r="C15783" s="2" t="str">
        <f t="shared" si="625"/>
        <v>UN</v>
      </c>
      <c r="D15783" s="7">
        <v>918</v>
      </c>
      <c r="E15783" s="3">
        <v>11</v>
      </c>
      <c r="F15783" s="2">
        <v>2</v>
      </c>
      <c r="G15783" t="s">
        <v>513</v>
      </c>
    </row>
    <row r="15784" spans="1:7" x14ac:dyDescent="0.25">
      <c r="A15784" s="1" t="str">
        <f>"515692"</f>
        <v>515692</v>
      </c>
      <c r="B15784" s="2" t="str">
        <f>"MICTORIO BISCUIT 57"</f>
        <v>MICTORIO BISCUIT 57</v>
      </c>
      <c r="C15784" s="2" t="str">
        <f t="shared" si="625"/>
        <v>UN</v>
      </c>
      <c r="D15784" s="7">
        <v>803</v>
      </c>
      <c r="E15784" s="3">
        <v>10</v>
      </c>
      <c r="F15784" s="2">
        <v>7</v>
      </c>
      <c r="G15784" t="s">
        <v>512</v>
      </c>
    </row>
    <row r="15785" spans="1:7" x14ac:dyDescent="0.25">
      <c r="A15785" s="1" t="str">
        <f>"518521"</f>
        <v>518521</v>
      </c>
      <c r="B15785" s="2" t="str">
        <f>"MICTORIO C/ SIFÃO INTEGRADO BRANCO M712 (NVT)"</f>
        <v>MICTORIO C/ SIFÃO INTEGRADO BRANCO M712 (NVT)</v>
      </c>
      <c r="C15785" s="2" t="str">
        <f t="shared" si="625"/>
        <v>UN</v>
      </c>
      <c r="D15785" s="7">
        <v>803</v>
      </c>
      <c r="E15785" s="3">
        <v>10</v>
      </c>
      <c r="F15785" s="2">
        <v>9</v>
      </c>
      <c r="G15785" t="s">
        <v>513</v>
      </c>
    </row>
    <row r="15786" spans="1:7" x14ac:dyDescent="0.25">
      <c r="A15786" s="1" t="str">
        <f>"515660"</f>
        <v>515660</v>
      </c>
      <c r="B15786" s="2" t="str">
        <f>"MIDIA REFERENTE SW"</f>
        <v>MIDIA REFERENTE SW</v>
      </c>
      <c r="C15786" s="2" t="str">
        <f t="shared" si="625"/>
        <v>UN</v>
      </c>
      <c r="D15786" s="7">
        <v>811</v>
      </c>
      <c r="E15786" s="3">
        <v>8</v>
      </c>
      <c r="F15786" s="2">
        <v>0</v>
      </c>
      <c r="G15786" t="s">
        <v>514</v>
      </c>
    </row>
    <row r="15787" spans="1:7" x14ac:dyDescent="0.25">
      <c r="A15787" s="1" t="str">
        <f>"515528"</f>
        <v>515528</v>
      </c>
      <c r="B15787" s="2" t="str">
        <f>"MIDIA SW SOFTWARE"</f>
        <v>MIDIA SW SOFTWARE</v>
      </c>
      <c r="C15787" s="2" t="str">
        <f t="shared" si="625"/>
        <v>UN</v>
      </c>
      <c r="D15787" s="7">
        <v>811</v>
      </c>
      <c r="E15787" s="3">
        <v>8</v>
      </c>
      <c r="F15787" s="2">
        <v>0</v>
      </c>
      <c r="G15787" t="s">
        <v>514</v>
      </c>
    </row>
    <row r="15788" spans="1:7" x14ac:dyDescent="0.25">
      <c r="A15788" s="1" t="str">
        <f>"518364"</f>
        <v>518364</v>
      </c>
      <c r="B15788" s="2" t="str">
        <f>"MIKE PTT RADIO PX C/ 4/5 PINOS"</f>
        <v>MIKE PTT RADIO PX C/ 4/5 PINOS</v>
      </c>
      <c r="C15788" s="2" t="str">
        <f t="shared" si="625"/>
        <v>UN</v>
      </c>
      <c r="D15788" s="7">
        <v>704</v>
      </c>
      <c r="E15788" s="3">
        <v>9</v>
      </c>
      <c r="F15788" s="2">
        <v>2</v>
      </c>
      <c r="G15788" t="s">
        <v>514</v>
      </c>
    </row>
    <row r="15789" spans="1:7" x14ac:dyDescent="0.25">
      <c r="A15789" s="1" t="str">
        <f>"526747"</f>
        <v>526747</v>
      </c>
      <c r="B15789" s="2" t="str">
        <f>"MILGAMMA 150 MG CAIXA COM 30 COMPRIMIDOS"</f>
        <v>MILGAMMA 150 MG CAIXA COM 30 COMPRIMIDOS</v>
      </c>
      <c r="C15789" s="2" t="str">
        <f t="shared" si="625"/>
        <v>UN</v>
      </c>
      <c r="D15789" s="7">
        <v>406</v>
      </c>
      <c r="E15789" s="3">
        <v>4</v>
      </c>
      <c r="F15789" s="2">
        <v>5</v>
      </c>
      <c r="G15789" t="s">
        <v>513</v>
      </c>
    </row>
    <row r="15790" spans="1:7" x14ac:dyDescent="0.25">
      <c r="A15790" s="1" t="str">
        <f>"510521"</f>
        <v>510521</v>
      </c>
      <c r="B15790" s="2" t="str">
        <f>"MILHO VERDE"</f>
        <v>MILHO VERDE</v>
      </c>
      <c r="C15790" s="2" t="str">
        <f t="shared" si="625"/>
        <v>UN</v>
      </c>
      <c r="D15790" s="7">
        <v>401</v>
      </c>
      <c r="E15790" s="3">
        <v>4</v>
      </c>
      <c r="F15790" s="2">
        <v>6</v>
      </c>
      <c r="G15790" t="s">
        <v>513</v>
      </c>
    </row>
    <row r="15791" spans="1:7" x14ac:dyDescent="0.25">
      <c r="A15791" s="1" t="str">
        <f>"521730"</f>
        <v>521730</v>
      </c>
      <c r="B15791" s="2" t="str">
        <f>"MILKOSCAN FT2"</f>
        <v>MILKOSCAN FT2</v>
      </c>
      <c r="C15791" s="2" t="str">
        <f t="shared" si="625"/>
        <v>UN</v>
      </c>
      <c r="D15791" s="7">
        <v>1300</v>
      </c>
      <c r="E15791" s="3">
        <v>13</v>
      </c>
      <c r="F15791" s="2">
        <v>9</v>
      </c>
      <c r="G15791" t="s">
        <v>513</v>
      </c>
    </row>
    <row r="15792" spans="1:7" x14ac:dyDescent="0.25">
      <c r="A15792" s="1" t="str">
        <f>"510649"</f>
        <v>510649</v>
      </c>
      <c r="B15792" s="2" t="str">
        <f>"MINI CARREGADOR DE PILHA MO-806"</f>
        <v>MINI CARREGADOR DE PILHA MO-806</v>
      </c>
      <c r="C15792" s="2" t="str">
        <f t="shared" si="625"/>
        <v>UN</v>
      </c>
      <c r="D15792" s="7">
        <v>402</v>
      </c>
      <c r="E15792" s="3">
        <v>4</v>
      </c>
      <c r="F15792" s="2">
        <v>5</v>
      </c>
      <c r="G15792" t="s">
        <v>512</v>
      </c>
    </row>
    <row r="15793" spans="1:7" x14ac:dyDescent="0.25">
      <c r="A15793" s="1" t="str">
        <f>"527575"</f>
        <v>527575</v>
      </c>
      <c r="B15793" s="2" t="str">
        <f>"MINI CONTATOR TRIPOLAR 24 VAC 50/60HZ"</f>
        <v>MINI CONTATOR TRIPOLAR 24 VAC 50/60HZ</v>
      </c>
      <c r="C15793" s="2" t="str">
        <f t="shared" si="625"/>
        <v>UN</v>
      </c>
      <c r="D15793" s="7">
        <v>811</v>
      </c>
      <c r="E15793" s="3">
        <v>8</v>
      </c>
      <c r="F15793" s="2">
        <v>3</v>
      </c>
      <c r="G15793" t="s">
        <v>513</v>
      </c>
    </row>
    <row r="15794" spans="1:7" x14ac:dyDescent="0.25">
      <c r="A15794" s="1" t="str">
        <f>"526794"</f>
        <v>526794</v>
      </c>
      <c r="B15794" s="2" t="str">
        <f>"MINI DISJ.DIN UNI 2A 5SL11027MB 127/220 5KS SIEMENS"</f>
        <v>MINI DISJ.DIN UNI 2A 5SL11027MB 127/220 5KS SIEMENS</v>
      </c>
      <c r="C15794" s="2" t="str">
        <f t="shared" si="625"/>
        <v>UN</v>
      </c>
      <c r="D15794" s="7">
        <v>811</v>
      </c>
      <c r="E15794" s="3">
        <v>8</v>
      </c>
      <c r="F15794" s="2">
        <v>3</v>
      </c>
      <c r="G15794" t="s">
        <v>514</v>
      </c>
    </row>
    <row r="15795" spans="1:7" x14ac:dyDescent="0.25">
      <c r="A15795" s="1" t="str">
        <f>"526664"</f>
        <v>526664</v>
      </c>
      <c r="B15795" s="2" t="str">
        <f>"MINI DISJUNTOR BIPOLAR 16A"</f>
        <v>MINI DISJUNTOR BIPOLAR 16A</v>
      </c>
      <c r="C15795" s="2" t="str">
        <f t="shared" si="625"/>
        <v>UN</v>
      </c>
      <c r="D15795" s="7">
        <v>811</v>
      </c>
      <c r="E15795" s="3">
        <v>8</v>
      </c>
      <c r="F15795" s="2">
        <v>2</v>
      </c>
      <c r="G15795" t="s">
        <v>515</v>
      </c>
    </row>
    <row r="15796" spans="1:7" x14ac:dyDescent="0.25">
      <c r="A15796" s="1" t="str">
        <f>"526052"</f>
        <v>526052</v>
      </c>
      <c r="B15796" s="2" t="str">
        <f>"MINI DISJUNTOR BIPOLAR 20A SCHNEIDER EASY EZ9F33220"</f>
        <v>MINI DISJUNTOR BIPOLAR 20A SCHNEIDER EASY EZ9F33220</v>
      </c>
      <c r="C15796" s="2" t="str">
        <f t="shared" si="625"/>
        <v>UN</v>
      </c>
      <c r="D15796" s="7">
        <v>811</v>
      </c>
      <c r="E15796" s="3">
        <v>8</v>
      </c>
      <c r="F15796" s="2">
        <v>1</v>
      </c>
      <c r="G15796" t="s">
        <v>512</v>
      </c>
    </row>
    <row r="15797" spans="1:7" x14ac:dyDescent="0.25">
      <c r="A15797" s="1" t="str">
        <f>"527593"</f>
        <v>527593</v>
      </c>
      <c r="B15797" s="2" t="str">
        <f>"MINI DISJUNTOR MONOPOLAR 6A CURVA C 5SY4 106-7"</f>
        <v>MINI DISJUNTOR MONOPOLAR 6A CURVA C 5SY4 106-7</v>
      </c>
      <c r="C15797" s="2" t="str">
        <f t="shared" si="625"/>
        <v>UN</v>
      </c>
      <c r="D15797" s="7">
        <v>811</v>
      </c>
      <c r="E15797" s="3">
        <v>8</v>
      </c>
      <c r="F15797" s="2">
        <v>4</v>
      </c>
      <c r="G15797" t="s">
        <v>516</v>
      </c>
    </row>
    <row r="15798" spans="1:7" x14ac:dyDescent="0.25">
      <c r="A15798" s="1" t="str">
        <f>"517395"</f>
        <v>517395</v>
      </c>
      <c r="B15798" s="2" t="str">
        <f>"MINI DISJUNTOR SIEMENS MONOPOLAR 5SX1 120-7 1A"</f>
        <v>MINI DISJUNTOR SIEMENS MONOPOLAR 5SX1 120-7 1A</v>
      </c>
      <c r="C15798" s="2" t="str">
        <f t="shared" si="625"/>
        <v>UN</v>
      </c>
      <c r="D15798" s="7">
        <v>811</v>
      </c>
      <c r="E15798" s="3">
        <v>8</v>
      </c>
      <c r="F15798" s="2">
        <v>1</v>
      </c>
      <c r="G15798" t="s">
        <v>515</v>
      </c>
    </row>
    <row r="15799" spans="1:7" x14ac:dyDescent="0.25">
      <c r="A15799" s="1" t="str">
        <f>"526201"</f>
        <v>526201</v>
      </c>
      <c r="B15799" s="2" t="str">
        <f>"MINI DISJUNTOR TRIPOLAR (16A)"</f>
        <v>MINI DISJUNTOR TRIPOLAR (16A)</v>
      </c>
      <c r="C15799" s="2" t="str">
        <f t="shared" si="625"/>
        <v>UN</v>
      </c>
      <c r="D15799" s="7">
        <v>811</v>
      </c>
      <c r="E15799" s="3">
        <v>10</v>
      </c>
      <c r="F15799" s="2">
        <v>2</v>
      </c>
      <c r="G15799" t="s">
        <v>514</v>
      </c>
    </row>
    <row r="15800" spans="1:7" x14ac:dyDescent="0.25">
      <c r="A15800" s="1" t="str">
        <f>"526202"</f>
        <v>526202</v>
      </c>
      <c r="B15800" s="2" t="str">
        <f>"MINI DISJUNTOR TRIPOLAR (50A)"</f>
        <v>MINI DISJUNTOR TRIPOLAR (50A)</v>
      </c>
      <c r="C15800" s="2" t="str">
        <f t="shared" si="625"/>
        <v>UN</v>
      </c>
      <c r="D15800" s="7">
        <v>811</v>
      </c>
      <c r="E15800" s="3">
        <v>10</v>
      </c>
      <c r="F15800" s="2">
        <v>7</v>
      </c>
      <c r="G15800" t="s">
        <v>512</v>
      </c>
    </row>
    <row r="15801" spans="1:7" x14ac:dyDescent="0.25">
      <c r="A15801" s="1" t="str">
        <f>"525469"</f>
        <v>525469</v>
      </c>
      <c r="B15801" s="2" t="str">
        <f>"MINI DISJUNTOR TRIPOLAR 100A SCHNEIDER EASY EZ9F33391"</f>
        <v>MINI DISJUNTOR TRIPOLAR 100A SCHNEIDER EASY EZ9F33391</v>
      </c>
      <c r="C15801" s="2" t="str">
        <f t="shared" si="625"/>
        <v>UN</v>
      </c>
      <c r="D15801" s="7">
        <v>811</v>
      </c>
      <c r="E15801" s="3">
        <v>8</v>
      </c>
      <c r="F15801" s="2">
        <v>9</v>
      </c>
      <c r="G15801" t="s">
        <v>513</v>
      </c>
    </row>
    <row r="15802" spans="1:7" x14ac:dyDescent="0.25">
      <c r="A15802" s="1" t="str">
        <f>"526598"</f>
        <v>526598</v>
      </c>
      <c r="B15802" s="2" t="str">
        <f>"MINI DISJUNTOR TRIPOLAR 125A SCHNEIDER  EASY EZ9F33392"</f>
        <v>MINI DISJUNTOR TRIPOLAR 125A SCHNEIDER  EASY EZ9F33392</v>
      </c>
      <c r="C15802" s="2" t="str">
        <f t="shared" si="625"/>
        <v>UN</v>
      </c>
      <c r="D15802" s="7">
        <v>811</v>
      </c>
      <c r="E15802" s="3">
        <v>8</v>
      </c>
      <c r="F15802" s="2">
        <v>0</v>
      </c>
      <c r="G15802" t="s">
        <v>514</v>
      </c>
    </row>
    <row r="15803" spans="1:7" x14ac:dyDescent="0.25">
      <c r="A15803" s="1" t="str">
        <f>"525466"</f>
        <v>525466</v>
      </c>
      <c r="B15803" s="2" t="str">
        <f>"MINI DISJUNTOR TRIPOLAR 40A SCHNEIDER EASY EZ9F33340"</f>
        <v>MINI DISJUNTOR TRIPOLAR 40A SCHNEIDER EASY EZ9F33340</v>
      </c>
      <c r="C15803" s="2" t="str">
        <f t="shared" si="625"/>
        <v>UN</v>
      </c>
      <c r="D15803" s="7">
        <v>811</v>
      </c>
      <c r="E15803" s="3">
        <v>8</v>
      </c>
      <c r="F15803" s="2">
        <v>0</v>
      </c>
      <c r="G15803" t="s">
        <v>514</v>
      </c>
    </row>
    <row r="15804" spans="1:7" x14ac:dyDescent="0.25">
      <c r="A15804" s="1" t="str">
        <f>"525467"</f>
        <v>525467</v>
      </c>
      <c r="B15804" s="2" t="str">
        <f>"MINI DISJUNTOR TRIPOLAR 63A SCHNEIDER EASY EZ9F33363"</f>
        <v>MINI DISJUNTOR TRIPOLAR 63A SCHNEIDER EASY EZ9F33363</v>
      </c>
      <c r="C15804" s="2" t="str">
        <f t="shared" si="625"/>
        <v>UN</v>
      </c>
      <c r="D15804" s="7">
        <v>811</v>
      </c>
      <c r="E15804" s="3">
        <v>8</v>
      </c>
      <c r="F15804" s="2">
        <v>4</v>
      </c>
      <c r="G15804" t="s">
        <v>512</v>
      </c>
    </row>
    <row r="15805" spans="1:7" x14ac:dyDescent="0.25">
      <c r="A15805" s="1" t="str">
        <f>"525468"</f>
        <v>525468</v>
      </c>
      <c r="B15805" s="2" t="str">
        <f>"MINI DISJUNTOR TRIPOLAR 70A SCHNEIDER EASY EZ9F33370"</f>
        <v>MINI DISJUNTOR TRIPOLAR 70A SCHNEIDER EASY EZ9F33370</v>
      </c>
      <c r="C15805" s="2" t="str">
        <f t="shared" si="625"/>
        <v>UN</v>
      </c>
      <c r="D15805" s="7">
        <v>811</v>
      </c>
      <c r="E15805" s="3">
        <v>8</v>
      </c>
      <c r="F15805" s="2">
        <v>1</v>
      </c>
      <c r="G15805" t="s">
        <v>513</v>
      </c>
    </row>
    <row r="15806" spans="1:7" x14ac:dyDescent="0.25">
      <c r="A15806" s="1" t="str">
        <f>"526591"</f>
        <v>526591</v>
      </c>
      <c r="B15806" s="2" t="str">
        <f>"MINI DISJUNTOR UNI (1A)"</f>
        <v>MINI DISJUNTOR UNI (1A)</v>
      </c>
      <c r="C15806" s="2" t="str">
        <f t="shared" si="625"/>
        <v>UN</v>
      </c>
      <c r="D15806" s="7">
        <v>811</v>
      </c>
      <c r="E15806" s="3">
        <v>8</v>
      </c>
      <c r="F15806" s="2">
        <v>2</v>
      </c>
      <c r="G15806" t="s">
        <v>514</v>
      </c>
    </row>
    <row r="15807" spans="1:7" x14ac:dyDescent="0.25">
      <c r="A15807" s="1" t="str">
        <f>"526663"</f>
        <v>526663</v>
      </c>
      <c r="B15807" s="2" t="str">
        <f>"MINI DISJUNTOR UNI 6A C 5SY4 106-7"</f>
        <v>MINI DISJUNTOR UNI 6A C 5SY4 106-7</v>
      </c>
      <c r="C15807" s="2" t="str">
        <f t="shared" si="625"/>
        <v>UN</v>
      </c>
      <c r="D15807" s="7">
        <v>811</v>
      </c>
      <c r="E15807" s="3">
        <v>8</v>
      </c>
      <c r="F15807" s="2">
        <v>7</v>
      </c>
      <c r="G15807" t="s">
        <v>514</v>
      </c>
    </row>
    <row r="15808" spans="1:7" x14ac:dyDescent="0.25">
      <c r="A15808" s="1" t="str">
        <f>"526200"</f>
        <v>526200</v>
      </c>
      <c r="B15808" s="2" t="str">
        <f>"MINI DISJUNTOR UNIPOLAR 10A SCHNEIDER EASY EZ9F13110"</f>
        <v>MINI DISJUNTOR UNIPOLAR 10A SCHNEIDER EASY EZ9F13110</v>
      </c>
      <c r="C15808" s="2" t="str">
        <f t="shared" si="625"/>
        <v>UN</v>
      </c>
      <c r="D15808" s="7">
        <v>811</v>
      </c>
      <c r="E15808" s="3">
        <v>10</v>
      </c>
      <c r="F15808" s="2">
        <v>9</v>
      </c>
      <c r="G15808" t="s">
        <v>514</v>
      </c>
    </row>
    <row r="15809" spans="1:7" x14ac:dyDescent="0.25">
      <c r="A15809" s="1" t="str">
        <f>"525464"</f>
        <v>525464</v>
      </c>
      <c r="B15809" s="2" t="str">
        <f>"MINI DISJUNTOR UNIPOLAR 16A SCHNEIDER EASY EZ9F33116"</f>
        <v>MINI DISJUNTOR UNIPOLAR 16A SCHNEIDER EASY EZ9F33116</v>
      </c>
      <c r="C15809" s="2" t="str">
        <f t="shared" si="625"/>
        <v>UN</v>
      </c>
      <c r="D15809" s="7">
        <v>811</v>
      </c>
      <c r="E15809" s="3">
        <v>8</v>
      </c>
      <c r="F15809" s="5">
        <v>5</v>
      </c>
      <c r="G15809" t="s">
        <v>513</v>
      </c>
    </row>
    <row r="15810" spans="1:7" x14ac:dyDescent="0.25">
      <c r="A15810" s="1" t="str">
        <f>"525465"</f>
        <v>525465</v>
      </c>
      <c r="B15810" s="2" t="str">
        <f>"MINI DISJUNTOR UNIPOLAR 20A SCHNEIDER EASY EZ9F33120"</f>
        <v>MINI DISJUNTOR UNIPOLAR 20A SCHNEIDER EASY EZ9F33120</v>
      </c>
      <c r="C15810" s="2" t="str">
        <f t="shared" si="625"/>
        <v>UN</v>
      </c>
      <c r="D15810" s="7">
        <v>811</v>
      </c>
      <c r="E15810" s="3">
        <v>8</v>
      </c>
      <c r="F15810" s="2">
        <v>3</v>
      </c>
      <c r="G15810" t="s">
        <v>512</v>
      </c>
    </row>
    <row r="15811" spans="1:7" x14ac:dyDescent="0.25">
      <c r="A15811" s="1" t="str">
        <f>"526029"</f>
        <v>526029</v>
      </c>
      <c r="B15811" s="2" t="str">
        <f>"MINI DISJUNTOR UNIPOLAR 6A SCHNEIDER EASY EZ9F33106"</f>
        <v>MINI DISJUNTOR UNIPOLAR 6A SCHNEIDER EASY EZ9F33106</v>
      </c>
      <c r="C15811" s="2" t="str">
        <f t="shared" ref="C15811:C15835" si="626">"UN"</f>
        <v>UN</v>
      </c>
      <c r="D15811" s="7">
        <v>811</v>
      </c>
      <c r="E15811" s="3">
        <v>8</v>
      </c>
      <c r="F15811" s="2">
        <v>8</v>
      </c>
      <c r="G15811" t="s">
        <v>513</v>
      </c>
    </row>
    <row r="15812" spans="1:7" x14ac:dyDescent="0.25">
      <c r="A15812" s="1" t="str">
        <f>"502631"</f>
        <v>502631</v>
      </c>
      <c r="B15812" s="2" t="str">
        <f>"MINI FUSIVEL"</f>
        <v>MINI FUSIVEL</v>
      </c>
      <c r="C15812" s="2" t="str">
        <f t="shared" si="626"/>
        <v>UN</v>
      </c>
      <c r="D15812" s="7">
        <v>704</v>
      </c>
      <c r="E15812" s="3">
        <v>9</v>
      </c>
      <c r="F15812" s="2">
        <v>6</v>
      </c>
      <c r="G15812" t="s">
        <v>514</v>
      </c>
    </row>
    <row r="15813" spans="1:7" x14ac:dyDescent="0.25">
      <c r="A15813" s="1" t="str">
        <f>"522622"</f>
        <v>522622</v>
      </c>
      <c r="B15813" s="2" t="str">
        <f>"MINI INFLAVEL PROMOCIONAL BATE-BATE 50CM"</f>
        <v>MINI INFLAVEL PROMOCIONAL BATE-BATE 50CM</v>
      </c>
      <c r="C15813" s="2" t="str">
        <f t="shared" si="626"/>
        <v>UN</v>
      </c>
      <c r="D15813" s="7">
        <v>99999</v>
      </c>
      <c r="E15813" s="3">
        <v>99</v>
      </c>
      <c r="F15813" s="2">
        <v>4</v>
      </c>
      <c r="G15813" t="s">
        <v>514</v>
      </c>
    </row>
    <row r="15814" spans="1:7" x14ac:dyDescent="0.25">
      <c r="A15814" s="1" t="str">
        <f>"521750"</f>
        <v>521750</v>
      </c>
      <c r="B15814" s="2" t="str">
        <f>"MINI LANCHEIRA BRANCO/PRETO SUBLIMAÇÃO"</f>
        <v>MINI LANCHEIRA BRANCO/PRETO SUBLIMAÇÃO</v>
      </c>
      <c r="C15814" s="2" t="str">
        <f t="shared" si="626"/>
        <v>UN</v>
      </c>
      <c r="D15814" s="7">
        <v>99999</v>
      </c>
      <c r="E15814" s="3">
        <v>99</v>
      </c>
      <c r="F15814" s="2">
        <v>1</v>
      </c>
      <c r="G15814" t="s">
        <v>514</v>
      </c>
    </row>
    <row r="15815" spans="1:7" x14ac:dyDescent="0.25">
      <c r="A15815" s="1" t="str">
        <f>"514579"</f>
        <v>514579</v>
      </c>
      <c r="B15815" s="2" t="str">
        <f>"MINI MDM NOKIA CS11 BRANCO CORP HLR40/43"</f>
        <v>MINI MDM NOKIA CS11 BRANCO CORP HLR40/43</v>
      </c>
      <c r="C15815" s="2" t="str">
        <f t="shared" si="626"/>
        <v>UN</v>
      </c>
      <c r="D15815" s="7">
        <v>401</v>
      </c>
      <c r="E15815" s="3">
        <v>4</v>
      </c>
      <c r="F15815" s="2">
        <v>2</v>
      </c>
      <c r="G15815" t="s">
        <v>513</v>
      </c>
    </row>
    <row r="15816" spans="1:7" x14ac:dyDescent="0.25">
      <c r="A15816" s="1" t="str">
        <f>"511454"</f>
        <v>511454</v>
      </c>
      <c r="B15816" s="2" t="str">
        <f>"MINI MOUSE BLACK SEM FIO LEADERSHIP"</f>
        <v>MINI MOUSE BLACK SEM FIO LEADERSHIP</v>
      </c>
      <c r="C15816" s="2" t="str">
        <f t="shared" si="626"/>
        <v>UN</v>
      </c>
      <c r="D15816" s="7">
        <v>401</v>
      </c>
      <c r="E15816" s="3">
        <v>4</v>
      </c>
      <c r="F15816" s="2">
        <v>7</v>
      </c>
      <c r="G15816" t="s">
        <v>513</v>
      </c>
    </row>
    <row r="15817" spans="1:7" x14ac:dyDescent="0.25">
      <c r="A15817" s="1" t="str">
        <f>"516451"</f>
        <v>516451</v>
      </c>
      <c r="B15817" s="2" t="str">
        <f>"MINI PROCESSADOR 2P 127V PRETO BRITANIA"</f>
        <v>MINI PROCESSADOR 2P 127V PRETO BRITANIA</v>
      </c>
      <c r="C15817" s="2" t="str">
        <f t="shared" si="626"/>
        <v>UN</v>
      </c>
      <c r="D15817" s="7">
        <v>1200</v>
      </c>
      <c r="E15817" s="3">
        <v>4</v>
      </c>
      <c r="F15817" s="2">
        <v>9</v>
      </c>
      <c r="G15817" t="s">
        <v>513</v>
      </c>
    </row>
    <row r="15818" spans="1:7" x14ac:dyDescent="0.25">
      <c r="A15818" s="1" t="str">
        <f>"521500"</f>
        <v>521500</v>
      </c>
      <c r="B15818" s="2" t="str">
        <f>"MINI RACK 08UX19px570MM COMPACT LITE PRETO - DESMONTADO"</f>
        <v>MINI RACK 08UX19px570MM COMPACT LITE PRETO - DESMONTADO</v>
      </c>
      <c r="C15818" s="2" t="str">
        <f t="shared" si="626"/>
        <v>UN</v>
      </c>
      <c r="D15818" s="7">
        <v>811</v>
      </c>
      <c r="E15818" s="3">
        <v>8</v>
      </c>
      <c r="F15818" s="2">
        <v>0</v>
      </c>
      <c r="G15818" t="s">
        <v>512</v>
      </c>
    </row>
    <row r="15819" spans="1:7" x14ac:dyDescent="0.25">
      <c r="A15819" s="1" t="str">
        <f>"520879"</f>
        <v>520879</v>
      </c>
      <c r="B15819" s="2" t="str">
        <f>"MINI RACK 19""X12UX470MM PT"</f>
        <v>MINI RACK 19"X12UX470MM PT</v>
      </c>
      <c r="C15819" s="2" t="str">
        <f t="shared" si="626"/>
        <v>UN</v>
      </c>
      <c r="D15819" s="7">
        <v>401</v>
      </c>
      <c r="E15819" s="3">
        <v>4</v>
      </c>
      <c r="F15819" s="2">
        <v>0</v>
      </c>
      <c r="G15819" t="s">
        <v>513</v>
      </c>
    </row>
    <row r="15820" spans="1:7" x14ac:dyDescent="0.25">
      <c r="A15820" s="1" t="str">
        <f>"513817"</f>
        <v>513817</v>
      </c>
      <c r="B15820" s="2" t="str">
        <f>"MINI RACK PAREDE 19"" 5UX470 PRETO"</f>
        <v>MINI RACK PAREDE 19" 5UX470 PRETO</v>
      </c>
      <c r="C15820" s="2" t="str">
        <f t="shared" si="626"/>
        <v>UN</v>
      </c>
      <c r="D15820" s="7">
        <v>811</v>
      </c>
      <c r="E15820" s="3">
        <v>8</v>
      </c>
      <c r="F15820" s="2">
        <v>2</v>
      </c>
      <c r="G15820" t="s">
        <v>514</v>
      </c>
    </row>
    <row r="15821" spans="1:7" x14ac:dyDescent="0.25">
      <c r="A15821" s="1" t="str">
        <f>"510667"</f>
        <v>510667</v>
      </c>
      <c r="B15821" s="2" t="str">
        <f>"MINI RODA LIXA 50X25MM HASTE 1/4 GR120"</f>
        <v>MINI RODA LIXA 50X25MM HASTE 1/4 GR120</v>
      </c>
      <c r="C15821" s="2" t="str">
        <f t="shared" si="626"/>
        <v>UN</v>
      </c>
      <c r="D15821" s="7">
        <v>402</v>
      </c>
      <c r="E15821" s="3">
        <v>4</v>
      </c>
      <c r="F15821" s="2">
        <v>5</v>
      </c>
      <c r="G15821" t="s">
        <v>515</v>
      </c>
    </row>
    <row r="15822" spans="1:7" x14ac:dyDescent="0.25">
      <c r="A15822" s="1" t="str">
        <f>"519072"</f>
        <v>519072</v>
      </c>
      <c r="B15822" s="2" t="str">
        <f>"MINI RODA LIXA 50X25MM HASTE 1/4 GR60"</f>
        <v>MINI RODA LIXA 50X25MM HASTE 1/4 GR60</v>
      </c>
      <c r="C15822" s="2" t="str">
        <f t="shared" si="626"/>
        <v>UN</v>
      </c>
      <c r="D15822" s="7">
        <v>402</v>
      </c>
      <c r="E15822" s="3">
        <v>4</v>
      </c>
      <c r="F15822" s="2">
        <v>6</v>
      </c>
      <c r="G15822" t="s">
        <v>512</v>
      </c>
    </row>
    <row r="15823" spans="1:7" x14ac:dyDescent="0.25">
      <c r="A15823" s="1" t="str">
        <f>"510644"</f>
        <v>510644</v>
      </c>
      <c r="B15823" s="2" t="str">
        <f>"MINI RODA LIXA 50X25MM HASTE 1/4 GR80"</f>
        <v>MINI RODA LIXA 50X25MM HASTE 1/4 GR80</v>
      </c>
      <c r="C15823" s="2" t="str">
        <f t="shared" si="626"/>
        <v>UN</v>
      </c>
      <c r="D15823" s="7">
        <v>402</v>
      </c>
      <c r="E15823" s="3">
        <v>4</v>
      </c>
      <c r="F15823" s="2">
        <v>9</v>
      </c>
      <c r="G15823" t="s">
        <v>516</v>
      </c>
    </row>
    <row r="15824" spans="1:7" x14ac:dyDescent="0.25">
      <c r="A15824" s="1" t="str">
        <f>"502467"</f>
        <v>502467</v>
      </c>
      <c r="B15824" s="2" t="str">
        <f>"MINI SOFA CAMA"</f>
        <v>MINI SOFA CAMA</v>
      </c>
      <c r="C15824" s="2" t="str">
        <f t="shared" si="626"/>
        <v>UN</v>
      </c>
      <c r="D15824" s="7">
        <v>704</v>
      </c>
      <c r="E15824" s="3">
        <v>9</v>
      </c>
      <c r="F15824" s="2">
        <v>5</v>
      </c>
      <c r="G15824" t="s">
        <v>515</v>
      </c>
    </row>
    <row r="15825" spans="1:7" x14ac:dyDescent="0.25">
      <c r="A15825" s="1" t="str">
        <f>"6676"</f>
        <v>6676</v>
      </c>
      <c r="B15825" s="2" t="str">
        <f>"MINI TERMICA 6 X 12 0,22MM"</f>
        <v>MINI TERMICA 6 X 12 0,22MM</v>
      </c>
      <c r="C15825" s="2" t="str">
        <f t="shared" si="626"/>
        <v>UN</v>
      </c>
      <c r="D15825" s="7">
        <v>401</v>
      </c>
      <c r="E15825" s="3">
        <v>4</v>
      </c>
      <c r="F15825" s="2">
        <v>3</v>
      </c>
      <c r="G15825" t="s">
        <v>514</v>
      </c>
    </row>
    <row r="15826" spans="1:7" x14ac:dyDescent="0.25">
      <c r="A15826" s="1" t="str">
        <f>"527855"</f>
        <v>527855</v>
      </c>
      <c r="B15826" s="2" t="str">
        <f>"MIOLO DE CHAVE"</f>
        <v>MIOLO DE CHAVE</v>
      </c>
      <c r="C15826" s="2" t="str">
        <f t="shared" si="626"/>
        <v>UN</v>
      </c>
      <c r="D15826" s="7">
        <v>704</v>
      </c>
      <c r="E15826" s="3">
        <v>9</v>
      </c>
      <c r="F15826" s="2">
        <v>3</v>
      </c>
      <c r="G15826" t="s">
        <v>512</v>
      </c>
    </row>
    <row r="15827" spans="1:7" x14ac:dyDescent="0.25">
      <c r="A15827" s="1" t="str">
        <f>"526434"</f>
        <v>526434</v>
      </c>
      <c r="B15827" s="2" t="str">
        <f>"MIOLO DE FECHADURA PARA JANELA DE BLINDEX"</f>
        <v>MIOLO DE FECHADURA PARA JANELA DE BLINDEX</v>
      </c>
      <c r="C15827" s="2" t="str">
        <f t="shared" si="626"/>
        <v>UN</v>
      </c>
      <c r="D15827" s="7">
        <v>99999</v>
      </c>
      <c r="E15827" s="3">
        <v>99</v>
      </c>
      <c r="F15827" s="2">
        <v>2</v>
      </c>
      <c r="G15827" t="s">
        <v>513</v>
      </c>
    </row>
    <row r="15828" spans="1:7" x14ac:dyDescent="0.25">
      <c r="A15828" s="1" t="str">
        <f>"526131"</f>
        <v>526131</v>
      </c>
      <c r="B15828" s="2" t="str">
        <f>"MIOLO DE FECHADURA PARA PORTA DE BLINDEX"</f>
        <v>MIOLO DE FECHADURA PARA PORTA DE BLINDEX</v>
      </c>
      <c r="C15828" s="2" t="str">
        <f t="shared" si="626"/>
        <v>UN</v>
      </c>
      <c r="D15828" s="7">
        <v>99999</v>
      </c>
      <c r="E15828" s="3">
        <v>99</v>
      </c>
      <c r="F15828" s="2">
        <v>1</v>
      </c>
      <c r="G15828" t="s">
        <v>514</v>
      </c>
    </row>
    <row r="15829" spans="1:7" x14ac:dyDescent="0.25">
      <c r="A15829" s="1" t="str">
        <f>"512446"</f>
        <v>512446</v>
      </c>
      <c r="B15829" s="2" t="str">
        <f>"MIOLO FECHADURA SOPRANO"</f>
        <v>MIOLO FECHADURA SOPRANO</v>
      </c>
      <c r="C15829" s="2" t="str">
        <f t="shared" si="626"/>
        <v>UN</v>
      </c>
      <c r="D15829" s="7">
        <v>803</v>
      </c>
      <c r="E15829" s="3">
        <v>10</v>
      </c>
      <c r="F15829" s="2">
        <v>4</v>
      </c>
      <c r="G15829" t="s">
        <v>514</v>
      </c>
    </row>
    <row r="15830" spans="1:7" x14ac:dyDescent="0.25">
      <c r="A15830" s="1" t="str">
        <f>"504254"</f>
        <v>504254</v>
      </c>
      <c r="B15830" s="2" t="str">
        <f>"MIOLO FEMEA 380V STECK REF.SMB-635 6POLO"</f>
        <v>MIOLO FEMEA 380V STECK REF.SMB-635 6POLO</v>
      </c>
      <c r="C15830" s="2" t="str">
        <f t="shared" si="626"/>
        <v>UN</v>
      </c>
      <c r="D15830" s="7">
        <v>601</v>
      </c>
      <c r="E15830" s="3">
        <v>8</v>
      </c>
      <c r="F15830" s="2">
        <v>6</v>
      </c>
      <c r="G15830" t="s">
        <v>512</v>
      </c>
    </row>
    <row r="15831" spans="1:7" x14ac:dyDescent="0.25">
      <c r="A15831" s="1" t="str">
        <f>"504162"</f>
        <v>504162</v>
      </c>
      <c r="B15831" s="2" t="str">
        <f>"MIOLO FEMEA STECK REF.SDMF-04"</f>
        <v>MIOLO FEMEA STECK REF.SDMF-04</v>
      </c>
      <c r="C15831" s="2" t="str">
        <f t="shared" si="626"/>
        <v>UN</v>
      </c>
      <c r="D15831" s="7">
        <v>601</v>
      </c>
      <c r="E15831" s="3">
        <v>8</v>
      </c>
      <c r="F15831" s="2">
        <v>8</v>
      </c>
      <c r="G15831" t="s">
        <v>513</v>
      </c>
    </row>
    <row r="15832" spans="1:7" x14ac:dyDescent="0.25">
      <c r="A15832" s="1" t="str">
        <f>"504255"</f>
        <v>504255</v>
      </c>
      <c r="B15832" s="2" t="str">
        <f>"MIOLO MACHO 380V STECK REF.SMP-635 6POLO"</f>
        <v>MIOLO MACHO 380V STECK REF.SMP-635 6POLO</v>
      </c>
      <c r="C15832" s="2" t="str">
        <f t="shared" si="626"/>
        <v>UN</v>
      </c>
      <c r="D15832" s="7">
        <v>601</v>
      </c>
      <c r="E15832" s="3">
        <v>8</v>
      </c>
      <c r="F15832" s="2">
        <v>7</v>
      </c>
      <c r="G15832" t="s">
        <v>514</v>
      </c>
    </row>
    <row r="15833" spans="1:7" x14ac:dyDescent="0.25">
      <c r="A15833" s="1" t="str">
        <f>"515688"</f>
        <v>515688</v>
      </c>
      <c r="B15833" s="2" t="str">
        <f>"MIREX'S"</f>
        <v>MIREX'S</v>
      </c>
      <c r="C15833" s="2" t="str">
        <f t="shared" si="626"/>
        <v>UN</v>
      </c>
      <c r="D15833" s="7">
        <v>401</v>
      </c>
      <c r="E15833" s="3">
        <v>4</v>
      </c>
      <c r="F15833" s="2">
        <v>6</v>
      </c>
      <c r="G15833" t="s">
        <v>514</v>
      </c>
    </row>
    <row r="15834" spans="1:7" x14ac:dyDescent="0.25">
      <c r="A15834" s="1" t="str">
        <f>"511240"</f>
        <v>511240</v>
      </c>
      <c r="B15834" s="2" t="str">
        <f>"MIS P/ HMI REMOTA SERIAL MOD. MISCFW08RS"</f>
        <v>MIS P/ HMI REMOTA SERIAL MOD. MISCFW08RS</v>
      </c>
      <c r="C15834" s="2" t="str">
        <f t="shared" si="626"/>
        <v>UN</v>
      </c>
      <c r="D15834" s="7">
        <v>600</v>
      </c>
      <c r="E15834" s="3">
        <v>8</v>
      </c>
      <c r="F15834" s="2">
        <v>6</v>
      </c>
      <c r="G15834" t="s">
        <v>514</v>
      </c>
    </row>
    <row r="15835" spans="1:7" x14ac:dyDescent="0.25">
      <c r="A15835" s="1" t="str">
        <f>"509738"</f>
        <v>509738</v>
      </c>
      <c r="B15835" s="2" t="str">
        <f>"MISCELANIAS"</f>
        <v>MISCELANIAS</v>
      </c>
      <c r="C15835" s="2" t="str">
        <f t="shared" si="626"/>
        <v>UN</v>
      </c>
      <c r="D15835" s="7">
        <v>803</v>
      </c>
      <c r="E15835" s="3">
        <v>10</v>
      </c>
      <c r="F15835" s="2">
        <v>2</v>
      </c>
      <c r="G15835" t="s">
        <v>513</v>
      </c>
    </row>
    <row r="15836" spans="1:7" x14ac:dyDescent="0.25">
      <c r="A15836" s="1" t="str">
        <f>"254"</f>
        <v>254</v>
      </c>
      <c r="B15836" s="2" t="str">
        <f>"MISTURA DE REQUEIJAO C/ AMIDO E GORDURA VEGETAL  - COPO"</f>
        <v>MISTURA DE REQUEIJAO C/ AMIDO E GORDURA VEGETAL  - COPO</v>
      </c>
      <c r="C15836" s="2" t="str">
        <f>"KG"</f>
        <v>KG</v>
      </c>
      <c r="D15836" s="7">
        <v>1900</v>
      </c>
      <c r="E15836" s="3">
        <v>7</v>
      </c>
      <c r="F15836" s="2">
        <v>1</v>
      </c>
      <c r="G15836" t="s">
        <v>512</v>
      </c>
    </row>
    <row r="15837" spans="1:7" x14ac:dyDescent="0.25">
      <c r="A15837" s="1" t="str">
        <f>"514842"</f>
        <v>514842</v>
      </c>
      <c r="B15837" s="2" t="str">
        <f>"MISTURA GASOSA"</f>
        <v>MISTURA GASOSA</v>
      </c>
      <c r="C15837" s="2" t="str">
        <f>"UN"</f>
        <v>UN</v>
      </c>
      <c r="D15837" s="7">
        <v>816</v>
      </c>
      <c r="E15837" s="3">
        <v>10</v>
      </c>
      <c r="F15837" s="2">
        <v>0</v>
      </c>
      <c r="G15837" t="s">
        <v>513</v>
      </c>
    </row>
    <row r="15838" spans="1:7" x14ac:dyDescent="0.25">
      <c r="A15838" s="1" t="str">
        <f>"741"</f>
        <v>741</v>
      </c>
      <c r="B15838" s="2" t="str">
        <f>"MISTURA PARA FLAN COD. LAC8600-T12 - GLOBALFOODS"</f>
        <v>MISTURA PARA FLAN COD. LAC8600-T12 - GLOBALFOODS</v>
      </c>
      <c r="C15838" s="2" t="str">
        <f>"KG"</f>
        <v>KG</v>
      </c>
      <c r="D15838" s="7">
        <v>209</v>
      </c>
      <c r="E15838" s="3">
        <v>2</v>
      </c>
      <c r="F15838" s="2">
        <v>0</v>
      </c>
      <c r="G15838" t="s">
        <v>514</v>
      </c>
    </row>
    <row r="15839" spans="1:7" x14ac:dyDescent="0.25">
      <c r="A15839" s="1" t="str">
        <f>"7134"</f>
        <v>7134</v>
      </c>
      <c r="B15839" s="2" t="str">
        <f>"MISTURA PROTEÍCA MPMIX CR (REQUEIJÃO)"</f>
        <v>MISTURA PROTEÍCA MPMIX CR (REQUEIJÃO)</v>
      </c>
      <c r="C15839" s="2" t="str">
        <f>"KG"</f>
        <v>KG</v>
      </c>
      <c r="D15839" s="7">
        <v>1107</v>
      </c>
      <c r="E15839" s="3">
        <v>2</v>
      </c>
      <c r="F15839" s="2">
        <v>0</v>
      </c>
      <c r="G15839" t="s">
        <v>514</v>
      </c>
    </row>
    <row r="15840" spans="1:7" x14ac:dyDescent="0.25">
      <c r="A15840" s="1" t="str">
        <f>"7142"</f>
        <v>7142</v>
      </c>
      <c r="B15840" s="2" t="str">
        <f>"MISTURA PROTEICA PARA REQUEIJAO CREMOSO"</f>
        <v>MISTURA PROTEICA PARA REQUEIJAO CREMOSO</v>
      </c>
      <c r="C15840" s="2" t="str">
        <f>"KG"</f>
        <v>KG</v>
      </c>
      <c r="D15840" s="7">
        <v>1107</v>
      </c>
      <c r="E15840" s="3">
        <v>2</v>
      </c>
      <c r="F15840" s="2">
        <v>3</v>
      </c>
      <c r="G15840" t="s">
        <v>514</v>
      </c>
    </row>
    <row r="15841" spans="1:7" x14ac:dyDescent="0.25">
      <c r="A15841" s="1" t="str">
        <f>"AG04061090"</f>
        <v>AG04061090</v>
      </c>
      <c r="B15841" s="2" t="str">
        <f>"MISTURA PROTEICA REQUEIJÃO AMOSTRA GRATIS"</f>
        <v>MISTURA PROTEICA REQUEIJÃO AMOSTRA GRATIS</v>
      </c>
      <c r="C15841" s="2" t="str">
        <f>"UN"</f>
        <v>UN</v>
      </c>
      <c r="D15841" s="7">
        <v>99999</v>
      </c>
      <c r="E15841" s="3">
        <v>99</v>
      </c>
      <c r="F15841" s="5">
        <v>5</v>
      </c>
      <c r="G15841" t="s">
        <v>513</v>
      </c>
    </row>
    <row r="15842" spans="1:7" x14ac:dyDescent="0.25">
      <c r="A15842" s="1" t="str">
        <f>"251"</f>
        <v>251</v>
      </c>
      <c r="B15842" s="2" t="str">
        <f>"MISTURA REQ. 10"</f>
        <v>MISTURA REQ. 10</v>
      </c>
      <c r="C15842" s="2" t="str">
        <f>"KG"</f>
        <v>KG</v>
      </c>
      <c r="D15842" s="7">
        <v>209</v>
      </c>
      <c r="E15842" s="3">
        <v>2</v>
      </c>
      <c r="F15842" s="2">
        <v>3</v>
      </c>
      <c r="G15842" t="s">
        <v>513</v>
      </c>
    </row>
    <row r="15843" spans="1:7" x14ac:dyDescent="0.25">
      <c r="A15843" s="1" t="str">
        <f>"250"</f>
        <v>250</v>
      </c>
      <c r="B15843" s="2" t="str">
        <f>"MISTURA REQ. 7022-T"</f>
        <v>MISTURA REQ. 7022-T</v>
      </c>
      <c r="C15843" s="2" t="str">
        <f>"KG"</f>
        <v>KG</v>
      </c>
      <c r="D15843" s="7">
        <v>209</v>
      </c>
      <c r="E15843" s="3">
        <v>2</v>
      </c>
      <c r="F15843" s="2">
        <v>8</v>
      </c>
      <c r="G15843" t="s">
        <v>513</v>
      </c>
    </row>
    <row r="15844" spans="1:7" x14ac:dyDescent="0.25">
      <c r="A15844" s="1" t="str">
        <f>"249"</f>
        <v>249</v>
      </c>
      <c r="B15844" s="2" t="str">
        <f>"MISTURA REQ. 7030-T"</f>
        <v>MISTURA REQ. 7030-T</v>
      </c>
      <c r="C15844" s="2" t="str">
        <f>"KG"</f>
        <v>KG</v>
      </c>
      <c r="D15844" s="7">
        <v>209</v>
      </c>
      <c r="E15844" s="3">
        <v>2</v>
      </c>
      <c r="F15844" s="2">
        <v>6</v>
      </c>
      <c r="G15844" t="s">
        <v>512</v>
      </c>
    </row>
    <row r="15845" spans="1:7" x14ac:dyDescent="0.25">
      <c r="A15845" s="1" t="str">
        <f>"2899"</f>
        <v>2899</v>
      </c>
      <c r="B15845" s="2" t="str">
        <f>"MISTURA REQUEIJAO COM AMIDO CAROLINA 400G"</f>
        <v>MISTURA REQUEIJAO COM AMIDO CAROLINA 400G</v>
      </c>
      <c r="C15845" s="2" t="str">
        <f t="shared" ref="C15845:C15852" si="627">"UN"</f>
        <v>UN</v>
      </c>
      <c r="D15845" s="7">
        <v>50</v>
      </c>
      <c r="E15845" s="3">
        <v>6</v>
      </c>
      <c r="F15845" s="2">
        <v>4</v>
      </c>
      <c r="G15845" t="s">
        <v>513</v>
      </c>
    </row>
    <row r="15846" spans="1:7" x14ac:dyDescent="0.25">
      <c r="A15846" s="1" t="str">
        <f>"953"</f>
        <v>953</v>
      </c>
      <c r="B15846" s="2" t="str">
        <f>"MISTURA REQUEIJAO E AMIDO COPO CAROLINA 180G"</f>
        <v>MISTURA REQUEIJAO E AMIDO COPO CAROLINA 180G</v>
      </c>
      <c r="C15846" s="2" t="str">
        <f t="shared" si="627"/>
        <v>UN</v>
      </c>
      <c r="D15846" s="7">
        <v>3</v>
      </c>
      <c r="E15846" s="3">
        <v>6</v>
      </c>
      <c r="F15846" s="2">
        <v>1</v>
      </c>
      <c r="G15846" t="s">
        <v>514</v>
      </c>
    </row>
    <row r="15847" spans="1:7" x14ac:dyDescent="0.25">
      <c r="A15847" s="1" t="str">
        <f>"2897"</f>
        <v>2897</v>
      </c>
      <c r="B15847" s="2" t="str">
        <f>"MISTURA REQUEIJAO E GORDURA VEGETAL COPO CAROLINA 180G"</f>
        <v>MISTURA REQUEIJAO E GORDURA VEGETAL COPO CAROLINA 180G</v>
      </c>
      <c r="C15847" s="2" t="str">
        <f t="shared" si="627"/>
        <v>UN</v>
      </c>
      <c r="D15847" s="7">
        <v>3</v>
      </c>
      <c r="E15847" s="3">
        <v>6</v>
      </c>
      <c r="F15847" s="2">
        <v>2</v>
      </c>
      <c r="G15847" t="s">
        <v>515</v>
      </c>
    </row>
    <row r="15848" spans="1:7" x14ac:dyDescent="0.25">
      <c r="A15848" s="1" t="str">
        <f>"2898"</f>
        <v>2898</v>
      </c>
      <c r="B15848" s="2" t="str">
        <f>"MISTURA REQUEIJAO E GORDURA VEGETAL COPO CAROLINA 400G"</f>
        <v>MISTURA REQUEIJAO E GORDURA VEGETAL COPO CAROLINA 400G</v>
      </c>
      <c r="C15848" s="2" t="str">
        <f t="shared" si="627"/>
        <v>UN</v>
      </c>
      <c r="D15848" s="7">
        <v>62</v>
      </c>
      <c r="E15848" s="3">
        <v>6</v>
      </c>
      <c r="F15848" s="2">
        <v>7</v>
      </c>
      <c r="G15848" t="s">
        <v>512</v>
      </c>
    </row>
    <row r="15849" spans="1:7" x14ac:dyDescent="0.25">
      <c r="A15849" s="1" t="str">
        <f>"520802"</f>
        <v>520802</v>
      </c>
      <c r="B15849" s="2" t="str">
        <f>"MISTURADOR 2CV SAIDA 2"" 100 LITROS"</f>
        <v>MISTURADOR 2CV SAIDA 2" 100 LITROS</v>
      </c>
      <c r="C15849" s="2" t="str">
        <f t="shared" si="627"/>
        <v>UN</v>
      </c>
      <c r="D15849" s="7">
        <v>99999</v>
      </c>
      <c r="E15849" s="3">
        <v>99</v>
      </c>
      <c r="F15849" s="2">
        <v>9</v>
      </c>
      <c r="G15849" t="s">
        <v>516</v>
      </c>
    </row>
    <row r="15850" spans="1:7" x14ac:dyDescent="0.25">
      <c r="A15850" s="1" t="str">
        <f>"504550"</f>
        <v>504550</v>
      </c>
      <c r="B15850" s="2" t="str">
        <f>"MISTURADOR CARBONO"</f>
        <v>MISTURADOR CARBONO</v>
      </c>
      <c r="C15850" s="2" t="str">
        <f t="shared" si="627"/>
        <v>UN</v>
      </c>
      <c r="D15850" s="7">
        <v>402</v>
      </c>
      <c r="E15850" s="3">
        <v>4</v>
      </c>
      <c r="F15850" s="2">
        <v>0</v>
      </c>
      <c r="G15850" t="s">
        <v>515</v>
      </c>
    </row>
    <row r="15851" spans="1:7" x14ac:dyDescent="0.25">
      <c r="A15851" s="1" t="str">
        <f>"510615"</f>
        <v>510615</v>
      </c>
      <c r="B15851" s="2" t="str">
        <f>"MISTURADOR INOX 2MM"</f>
        <v>MISTURADOR INOX 2MM</v>
      </c>
      <c r="C15851" s="2" t="str">
        <f t="shared" si="627"/>
        <v>UN</v>
      </c>
      <c r="D15851" s="7">
        <v>402</v>
      </c>
      <c r="E15851" s="3">
        <v>4</v>
      </c>
      <c r="F15851" s="2">
        <v>0</v>
      </c>
      <c r="G15851" t="s">
        <v>514</v>
      </c>
    </row>
    <row r="15852" spans="1:7" x14ac:dyDescent="0.25">
      <c r="A15852" s="1" t="str">
        <f>"522636"</f>
        <v>522636</v>
      </c>
      <c r="B15852" s="2" t="str">
        <f>"MISTURADOR P/ ARGAMASSA MAV-1600 220V 1600W VONDER"</f>
        <v>MISTURADOR P/ ARGAMASSA MAV-1600 220V 1600W VONDER</v>
      </c>
      <c r="C15852" s="2" t="str">
        <f t="shared" si="627"/>
        <v>UN</v>
      </c>
      <c r="D15852" s="7">
        <v>919</v>
      </c>
      <c r="E15852" s="3">
        <v>13</v>
      </c>
      <c r="F15852" s="2">
        <v>2</v>
      </c>
      <c r="G15852" t="s">
        <v>512</v>
      </c>
    </row>
    <row r="15853" spans="1:7" x14ac:dyDescent="0.25">
      <c r="A15853" s="1" t="str">
        <f>"5871"</f>
        <v>5871</v>
      </c>
      <c r="B15853" s="2" t="str">
        <f>"MIX ESTABILIZANTE (AMIDO E GELATINA) KK IOGEL CRL100."</f>
        <v>MIX ESTABILIZANTE (AMIDO E GELATINA) KK IOGEL CRL100.</v>
      </c>
      <c r="C15853" s="2" t="str">
        <f>"KG"</f>
        <v>KG</v>
      </c>
      <c r="D15853" s="7">
        <v>203</v>
      </c>
      <c r="E15853" s="3">
        <v>2</v>
      </c>
      <c r="F15853" s="2">
        <v>5</v>
      </c>
      <c r="G15853" t="s">
        <v>513</v>
      </c>
    </row>
    <row r="15854" spans="1:7" x14ac:dyDescent="0.25">
      <c r="A15854" s="1" t="str">
        <f>"523790"</f>
        <v>523790</v>
      </c>
      <c r="B15854" s="2" t="str">
        <f>"MIXER"</f>
        <v>MIXER</v>
      </c>
      <c r="C15854" s="2" t="str">
        <f t="shared" ref="C15854:C15864" si="628">"UN"</f>
        <v>UN</v>
      </c>
      <c r="D15854" s="7">
        <v>99999</v>
      </c>
      <c r="E15854" s="3">
        <v>99</v>
      </c>
      <c r="F15854" s="2">
        <v>6</v>
      </c>
      <c r="G15854" t="s">
        <v>514</v>
      </c>
    </row>
    <row r="15855" spans="1:7" x14ac:dyDescent="0.25">
      <c r="A15855" s="1" t="str">
        <f>"520709"</f>
        <v>520709</v>
      </c>
      <c r="B15855" s="2" t="str">
        <f>"MMS MINIS CHOCOLATE"</f>
        <v>MMS MINIS CHOCOLATE</v>
      </c>
      <c r="C15855" s="2" t="str">
        <f t="shared" si="628"/>
        <v>UN</v>
      </c>
      <c r="D15855" s="7">
        <v>99999</v>
      </c>
      <c r="E15855" s="3">
        <v>99</v>
      </c>
      <c r="F15855" s="2">
        <v>9</v>
      </c>
      <c r="G15855" t="s">
        <v>514</v>
      </c>
    </row>
    <row r="15856" spans="1:7" x14ac:dyDescent="0.25">
      <c r="A15856" s="1" t="str">
        <f>"515249"</f>
        <v>515249</v>
      </c>
      <c r="B15856" s="2" t="str">
        <f>"MOCHILA AZUL (COMERCIAL)"</f>
        <v>MOCHILA AZUL (COMERCIAL)</v>
      </c>
      <c r="C15856" s="2" t="str">
        <f t="shared" si="628"/>
        <v>UN</v>
      </c>
      <c r="D15856" s="7">
        <v>401</v>
      </c>
      <c r="E15856" s="3">
        <v>4</v>
      </c>
      <c r="F15856" s="2">
        <v>5</v>
      </c>
      <c r="G15856" t="s">
        <v>512</v>
      </c>
    </row>
    <row r="15857" spans="1:7" x14ac:dyDescent="0.25">
      <c r="A15857" s="1" t="str">
        <f>"6087"</f>
        <v>6087</v>
      </c>
      <c r="B15857" s="2" t="str">
        <f>"MOCHILA EM NYLON 600 COR AZUL (CAROLINA)"</f>
        <v>MOCHILA EM NYLON 600 COR AZUL (CAROLINA)</v>
      </c>
      <c r="C15857" s="2" t="str">
        <f t="shared" si="628"/>
        <v>UN</v>
      </c>
      <c r="D15857" s="7">
        <v>500</v>
      </c>
      <c r="E15857" s="3">
        <v>5</v>
      </c>
      <c r="F15857" s="2">
        <v>3</v>
      </c>
      <c r="G15857" t="s">
        <v>513</v>
      </c>
    </row>
    <row r="15858" spans="1:7" x14ac:dyDescent="0.25">
      <c r="A15858" s="1" t="str">
        <f>"514912"</f>
        <v>514912</v>
      </c>
      <c r="B15858" s="2" t="str">
        <f>"MOCHILA EM NYLON 600 COR AZUL GRANDE"</f>
        <v>MOCHILA EM NYLON 600 COR AZUL GRANDE</v>
      </c>
      <c r="C15858" s="2" t="str">
        <f t="shared" si="628"/>
        <v>UN</v>
      </c>
      <c r="D15858" s="7">
        <v>500</v>
      </c>
      <c r="E15858" s="3">
        <v>5</v>
      </c>
      <c r="F15858" s="2">
        <v>3</v>
      </c>
      <c r="G15858" t="s">
        <v>514</v>
      </c>
    </row>
    <row r="15859" spans="1:7" x14ac:dyDescent="0.25">
      <c r="A15859" s="1" t="str">
        <f>"524337"</f>
        <v>524337</v>
      </c>
      <c r="B15859" s="2" t="str">
        <f>"MOCK-UP  TIPO TIGELA , TRANSPARENTE, VAZADO"</f>
        <v>MOCK-UP  TIPO TIGELA , TRANSPARENTE, VAZADO</v>
      </c>
      <c r="C15859" s="2" t="str">
        <f t="shared" si="628"/>
        <v>UN</v>
      </c>
      <c r="D15859" s="7">
        <v>402</v>
      </c>
      <c r="E15859" s="3">
        <v>4</v>
      </c>
      <c r="F15859" s="2">
        <v>2</v>
      </c>
      <c r="G15859" t="s">
        <v>514</v>
      </c>
    </row>
    <row r="15860" spans="1:7" x14ac:dyDescent="0.25">
      <c r="A15860" s="1" t="str">
        <f>"524338"</f>
        <v>524338</v>
      </c>
      <c r="B15860" s="2" t="str">
        <f>"MOCK-UP DE TAMPA E COM TODOS DETALHES CONTIDO NO DESENHO"</f>
        <v>MOCK-UP DE TAMPA E COM TODOS DETALHES CONTIDO NO DESENHO</v>
      </c>
      <c r="C15860" s="2" t="str">
        <f t="shared" si="628"/>
        <v>UN</v>
      </c>
      <c r="D15860" s="7">
        <v>402</v>
      </c>
      <c r="E15860" s="3">
        <v>4</v>
      </c>
      <c r="F15860" s="2">
        <v>1</v>
      </c>
      <c r="G15860" t="s">
        <v>514</v>
      </c>
    </row>
    <row r="15861" spans="1:7" x14ac:dyDescent="0.25">
      <c r="A15861" s="1" t="str">
        <f>"526777"</f>
        <v>526777</v>
      </c>
      <c r="B15861" s="2" t="str">
        <f>"MOCK-UP FRASCO 170 G"</f>
        <v>MOCK-UP FRASCO 170 G</v>
      </c>
      <c r="C15861" s="2" t="str">
        <f t="shared" si="628"/>
        <v>UN</v>
      </c>
      <c r="D15861" s="7">
        <v>1300</v>
      </c>
      <c r="E15861" s="3">
        <v>13</v>
      </c>
      <c r="F15861" s="2">
        <v>4</v>
      </c>
      <c r="G15861" t="s">
        <v>513</v>
      </c>
    </row>
    <row r="15862" spans="1:7" x14ac:dyDescent="0.25">
      <c r="A15862" s="1" t="str">
        <f>"512029"</f>
        <v>512029</v>
      </c>
      <c r="B15862" s="2" t="str">
        <f>"MOCK-UP FRASCO IOGURTE 300GR"</f>
        <v>MOCK-UP FRASCO IOGURTE 300GR</v>
      </c>
      <c r="C15862" s="2" t="str">
        <f t="shared" si="628"/>
        <v>UN</v>
      </c>
      <c r="D15862" s="7">
        <v>105</v>
      </c>
      <c r="E15862" s="3">
        <v>1</v>
      </c>
      <c r="F15862" s="2">
        <v>1</v>
      </c>
      <c r="G15862" t="s">
        <v>512</v>
      </c>
    </row>
    <row r="15863" spans="1:7" x14ac:dyDescent="0.25">
      <c r="A15863" s="1" t="str">
        <f>"512028"</f>
        <v>512028</v>
      </c>
      <c r="B15863" s="2" t="str">
        <f>"MOCK-UP FRASCO IOGURTE 900GR"</f>
        <v>MOCK-UP FRASCO IOGURTE 900GR</v>
      </c>
      <c r="C15863" s="2" t="str">
        <f t="shared" si="628"/>
        <v>UN</v>
      </c>
      <c r="D15863" s="7">
        <v>105</v>
      </c>
      <c r="E15863" s="3">
        <v>1</v>
      </c>
      <c r="F15863" s="2">
        <v>2</v>
      </c>
      <c r="G15863" t="s">
        <v>513</v>
      </c>
    </row>
    <row r="15864" spans="1:7" x14ac:dyDescent="0.25">
      <c r="A15864" s="1" t="str">
        <f>"512030"</f>
        <v>512030</v>
      </c>
      <c r="B15864" s="2" t="str">
        <f>"MOCK-UP IOGURTE 180GR"</f>
        <v>MOCK-UP IOGURTE 180GR</v>
      </c>
      <c r="C15864" s="2" t="str">
        <f t="shared" si="628"/>
        <v>UN</v>
      </c>
      <c r="D15864" s="7">
        <v>105</v>
      </c>
      <c r="E15864" s="3">
        <v>1</v>
      </c>
      <c r="F15864" s="2">
        <v>7</v>
      </c>
      <c r="G15864" t="s">
        <v>514</v>
      </c>
    </row>
    <row r="15865" spans="1:7" x14ac:dyDescent="0.25">
      <c r="A15865" s="1" t="str">
        <f>"515512"</f>
        <v>515512</v>
      </c>
      <c r="B15865" s="2" t="str">
        <f>"MOD. IMPRESSAO CANHAO 70 MICRON"</f>
        <v>MOD. IMPRESSAO CANHAO 70 MICRON</v>
      </c>
      <c r="C15865" s="2" t="str">
        <f>"PC"</f>
        <v>PC</v>
      </c>
      <c r="D15865" s="7">
        <v>907</v>
      </c>
      <c r="E15865" s="3">
        <v>10</v>
      </c>
      <c r="F15865" s="2">
        <v>9</v>
      </c>
      <c r="G15865" t="s">
        <v>514</v>
      </c>
    </row>
    <row r="15866" spans="1:7" x14ac:dyDescent="0.25">
      <c r="A15866" s="1" t="str">
        <f>"514660"</f>
        <v>514660</v>
      </c>
      <c r="B15866" s="2" t="str">
        <f>"MOD. NEREYA PIAL 4 X 2"</f>
        <v>MOD. NEREYA PIAL 4 X 2</v>
      </c>
      <c r="C15866" s="2" t="str">
        <f t="shared" ref="C15866:C15897" si="629">"UN"</f>
        <v>UN</v>
      </c>
      <c r="D15866" s="7">
        <v>601</v>
      </c>
      <c r="E15866" s="3">
        <v>8</v>
      </c>
      <c r="F15866" s="2">
        <v>0</v>
      </c>
      <c r="G15866" t="s">
        <v>514</v>
      </c>
    </row>
    <row r="15867" spans="1:7" x14ac:dyDescent="0.25">
      <c r="A15867" s="1" t="str">
        <f>"514399"</f>
        <v>514399</v>
      </c>
      <c r="B15867" s="2" t="str">
        <f>"MODEM DLINK"</f>
        <v>MODEM DLINK</v>
      </c>
      <c r="C15867" s="2" t="str">
        <f t="shared" si="629"/>
        <v>UN</v>
      </c>
      <c r="D15867" s="7">
        <v>401</v>
      </c>
      <c r="E15867" s="3">
        <v>4</v>
      </c>
      <c r="F15867" s="2">
        <v>0</v>
      </c>
      <c r="G15867" t="s">
        <v>513</v>
      </c>
    </row>
    <row r="15868" spans="1:7" x14ac:dyDescent="0.25">
      <c r="A15868" s="1" t="str">
        <f>"511597"</f>
        <v>511597</v>
      </c>
      <c r="B15868" s="2" t="str">
        <f>"MODEMUSB3GHUAWEIE1553BCO-5.18517.62.62PN"</f>
        <v>MODEMUSB3GHUAWEIE1553BCO-5.18517.62.62PN</v>
      </c>
      <c r="C15868" s="2" t="str">
        <f t="shared" si="629"/>
        <v>UN</v>
      </c>
      <c r="D15868" s="7">
        <v>401</v>
      </c>
      <c r="E15868" s="3">
        <v>4</v>
      </c>
      <c r="F15868" s="2">
        <v>4</v>
      </c>
      <c r="G15868" t="s">
        <v>513</v>
      </c>
    </row>
    <row r="15869" spans="1:7" x14ac:dyDescent="0.25">
      <c r="A15869" s="1" t="str">
        <f>"522922"</f>
        <v>522922</v>
      </c>
      <c r="B15869" s="2" t="str">
        <f>"MODUL CLP MOELLER XC-CPU201-EC256K-8DI-6DO"</f>
        <v>MODUL CLP MOELLER XC-CPU201-EC256K-8DI-6DO</v>
      </c>
      <c r="C15869" s="2" t="str">
        <f t="shared" si="629"/>
        <v>UN</v>
      </c>
      <c r="D15869" s="7">
        <v>900</v>
      </c>
      <c r="E15869" s="3">
        <v>11</v>
      </c>
      <c r="F15869" s="2">
        <v>1</v>
      </c>
      <c r="G15869" t="s">
        <v>513</v>
      </c>
    </row>
    <row r="15870" spans="1:7" x14ac:dyDescent="0.25">
      <c r="A15870" s="1" t="str">
        <f>"515306"</f>
        <v>515306</v>
      </c>
      <c r="B15870" s="2" t="str">
        <f>"MODULADEIRA DE MUSSARELA"</f>
        <v>MODULADEIRA DE MUSSARELA</v>
      </c>
      <c r="C15870" s="2" t="str">
        <f t="shared" si="629"/>
        <v>UN</v>
      </c>
      <c r="D15870" s="7">
        <v>1300</v>
      </c>
      <c r="E15870" s="3">
        <v>13</v>
      </c>
      <c r="F15870" s="2">
        <v>2</v>
      </c>
      <c r="G15870" t="s">
        <v>512</v>
      </c>
    </row>
    <row r="15871" spans="1:7" x14ac:dyDescent="0.25">
      <c r="A15871" s="1" t="str">
        <f>"513612"</f>
        <v>513612</v>
      </c>
      <c r="B15871" s="2" t="str">
        <f>"MODULO  IMPRESSÃO C/ CANHÃO 70 UM"</f>
        <v>MODULO  IMPRESSÃO C/ CANHÃO 70 UM</v>
      </c>
      <c r="C15871" s="2" t="str">
        <f t="shared" si="629"/>
        <v>UN</v>
      </c>
      <c r="D15871" s="7">
        <v>918</v>
      </c>
      <c r="E15871" s="3">
        <v>11</v>
      </c>
      <c r="F15871" s="2">
        <v>7</v>
      </c>
      <c r="G15871" t="s">
        <v>513</v>
      </c>
    </row>
    <row r="15872" spans="1:7" x14ac:dyDescent="0.25">
      <c r="A15872" s="1" t="str">
        <f>"522190"</f>
        <v>522190</v>
      </c>
      <c r="B15872" s="2" t="str">
        <f>"MODULO ADAPTADOR ETHERNET ANEL (PLUG AND PLAY)"</f>
        <v>MODULO ADAPTADOR ETHERNET ANEL (PLUG AND PLAY)</v>
      </c>
      <c r="C15872" s="2" t="str">
        <f t="shared" si="629"/>
        <v>UN</v>
      </c>
      <c r="D15872" s="7">
        <v>915</v>
      </c>
      <c r="E15872" s="3">
        <v>4</v>
      </c>
      <c r="F15872" s="2">
        <v>9</v>
      </c>
      <c r="G15872" t="s">
        <v>514</v>
      </c>
    </row>
    <row r="15873" spans="1:7" x14ac:dyDescent="0.25">
      <c r="A15873" s="1" t="str">
        <f>"527322"</f>
        <v>527322</v>
      </c>
      <c r="B15873" s="2" t="str">
        <f>"MODULO ANALOGICO 4 AI 2 FIOS ET200S COD.6ES7134-4GDD00-0AB0"</f>
        <v>MODULO ANALOGICO 4 AI 2 FIOS ET200S COD.6ES7134-4GDD00-0AB0</v>
      </c>
      <c r="C15873" s="2" t="str">
        <f t="shared" si="629"/>
        <v>UN</v>
      </c>
      <c r="D15873" s="7">
        <v>811</v>
      </c>
      <c r="E15873" s="3">
        <v>11</v>
      </c>
      <c r="F15873" s="2">
        <v>0</v>
      </c>
      <c r="G15873" t="s">
        <v>515</v>
      </c>
    </row>
    <row r="15874" spans="1:7" x14ac:dyDescent="0.25">
      <c r="A15874" s="1" t="str">
        <f>"526967"</f>
        <v>526967</v>
      </c>
      <c r="B15874" s="2" t="str">
        <f>"MODULO ASI DO KIT F783 / E 52326960* 800494"</f>
        <v>MODULO ASI DO KIT F783 / E 52326960* 800494</v>
      </c>
      <c r="C15874" s="2" t="str">
        <f t="shared" si="629"/>
        <v>UN</v>
      </c>
      <c r="D15874" s="7">
        <v>811</v>
      </c>
      <c r="E15874" s="3">
        <v>8</v>
      </c>
      <c r="F15874" s="2">
        <v>0</v>
      </c>
      <c r="G15874" t="s">
        <v>512</v>
      </c>
    </row>
    <row r="15875" spans="1:7" x14ac:dyDescent="0.25">
      <c r="A15875" s="1" t="str">
        <f>"526489"</f>
        <v>526489</v>
      </c>
      <c r="B15875" s="2" t="str">
        <f>"MODULO CEGO"</f>
        <v>MODULO CEGO</v>
      </c>
      <c r="C15875" s="2" t="str">
        <f t="shared" si="629"/>
        <v>UN</v>
      </c>
      <c r="D15875" s="7">
        <v>811</v>
      </c>
      <c r="E15875" s="3">
        <v>8</v>
      </c>
      <c r="F15875" s="2">
        <v>2</v>
      </c>
      <c r="G15875" t="s">
        <v>516</v>
      </c>
    </row>
    <row r="15876" spans="1:7" x14ac:dyDescent="0.25">
      <c r="A15876" s="1" t="str">
        <f>"526620"</f>
        <v>526620</v>
      </c>
      <c r="B15876" s="2" t="str">
        <f>"MODULO CLP ET200S  6ES7-151-8AB01-0AB0"</f>
        <v>MODULO CLP ET200S  6ES7-151-8AB01-0AB0</v>
      </c>
      <c r="C15876" s="2" t="str">
        <f t="shared" si="629"/>
        <v>UN</v>
      </c>
      <c r="D15876" s="7">
        <v>811</v>
      </c>
      <c r="E15876" s="3">
        <v>8</v>
      </c>
      <c r="F15876" s="2">
        <v>5</v>
      </c>
      <c r="G15876" t="s">
        <v>515</v>
      </c>
    </row>
    <row r="15877" spans="1:7" x14ac:dyDescent="0.25">
      <c r="A15877" s="1" t="str">
        <f>"527809"</f>
        <v>527809</v>
      </c>
      <c r="B15877" s="2" t="str">
        <f>"MODULO CLP SIEMENS SM1223 6ES7223-1PL32-0XB0"</f>
        <v>MODULO CLP SIEMENS SM1223 6ES7223-1PL32-0XB0</v>
      </c>
      <c r="C15877" s="2" t="str">
        <f t="shared" si="629"/>
        <v>UN</v>
      </c>
      <c r="D15877" s="7">
        <v>811</v>
      </c>
      <c r="E15877" s="3">
        <v>10</v>
      </c>
      <c r="F15877" s="2">
        <v>0</v>
      </c>
      <c r="G15877" t="s">
        <v>514</v>
      </c>
    </row>
    <row r="15878" spans="1:7" x14ac:dyDescent="0.25">
      <c r="A15878" s="1" t="str">
        <f>"527808"</f>
        <v>527808</v>
      </c>
      <c r="B15878" s="2" t="str">
        <f>"MODULO CLP SIEMENS SM1231 6ES7231-4HF32-0XB0"</f>
        <v>MODULO CLP SIEMENS SM1231 6ES7231-4HF32-0XB0</v>
      </c>
      <c r="C15878" s="2" t="str">
        <f t="shared" si="629"/>
        <v>UN</v>
      </c>
      <c r="D15878" s="7">
        <v>811</v>
      </c>
      <c r="E15878" s="3">
        <v>10</v>
      </c>
      <c r="F15878" s="2">
        <v>2</v>
      </c>
      <c r="G15878" t="s">
        <v>512</v>
      </c>
    </row>
    <row r="15879" spans="1:7" x14ac:dyDescent="0.25">
      <c r="A15879" s="1" t="str">
        <f>"527023"</f>
        <v>527023</v>
      </c>
      <c r="B15879" s="2" t="str">
        <f>"MODULO DE 32 ENTRADAS DIGT 24VCC MOD. 1756-IB32"</f>
        <v>MODULO DE 32 ENTRADAS DIGT 24VCC MOD. 1756-IB32</v>
      </c>
      <c r="C15879" s="2" t="str">
        <f t="shared" si="629"/>
        <v>UN</v>
      </c>
      <c r="D15879" s="7">
        <v>811</v>
      </c>
      <c r="E15879" s="3">
        <v>8</v>
      </c>
      <c r="F15879" s="2">
        <v>5</v>
      </c>
      <c r="G15879" t="s">
        <v>513</v>
      </c>
    </row>
    <row r="15880" spans="1:7" x14ac:dyDescent="0.25">
      <c r="A15880" s="1" t="str">
        <f>"527591"</f>
        <v>527591</v>
      </c>
      <c r="B15880" s="2" t="str">
        <f>"MODULO DE ALIMENTAÇÃO DOS MODULOS PME-ST 6ES7138-4CA0100AA0"</f>
        <v>MODULO DE ALIMENTAÇÃO DOS MODULOS PME-ST 6ES7138-4CA0100AA0</v>
      </c>
      <c r="C15880" s="2" t="str">
        <f t="shared" si="629"/>
        <v>UN</v>
      </c>
      <c r="D15880" s="7">
        <v>811</v>
      </c>
      <c r="E15880" s="3">
        <v>8</v>
      </c>
      <c r="F15880" s="5">
        <v>5</v>
      </c>
      <c r="G15880" t="s">
        <v>514</v>
      </c>
    </row>
    <row r="15881" spans="1:7" x14ac:dyDescent="0.25">
      <c r="A15881" s="1" t="str">
        <f>"521727"</f>
        <v>521727</v>
      </c>
      <c r="B15881" s="2" t="str">
        <f>"MODULO DE CLP 4*RTD. 6ES7231-4HD32-0XB0"</f>
        <v>MODULO DE CLP 4*RTD. 6ES7231-4HD32-0XB0</v>
      </c>
      <c r="C15881" s="2" t="str">
        <f t="shared" si="629"/>
        <v>UN</v>
      </c>
      <c r="D15881" s="7">
        <v>811</v>
      </c>
      <c r="E15881" s="3">
        <v>10</v>
      </c>
      <c r="F15881" s="2">
        <v>3</v>
      </c>
      <c r="G15881" t="s">
        <v>514</v>
      </c>
    </row>
    <row r="15882" spans="1:7" x14ac:dyDescent="0.25">
      <c r="A15882" s="1" t="str">
        <f>"521726"</f>
        <v>521726</v>
      </c>
      <c r="B15882" s="2" t="str">
        <f>"MODULO DE CLP 4*RTD. 6ES7231-5PD30-0XB0"</f>
        <v>MODULO DE CLP 4*RTD. 6ES7231-5PD30-0XB0</v>
      </c>
      <c r="C15882" s="2" t="str">
        <f t="shared" si="629"/>
        <v>UN</v>
      </c>
      <c r="D15882" s="7">
        <v>811</v>
      </c>
      <c r="E15882" s="3">
        <v>10</v>
      </c>
      <c r="F15882" s="2">
        <v>8</v>
      </c>
      <c r="G15882" t="s">
        <v>512</v>
      </c>
    </row>
    <row r="15883" spans="1:7" x14ac:dyDescent="0.25">
      <c r="A15883" s="1" t="str">
        <f>"508794"</f>
        <v>508794</v>
      </c>
      <c r="B15883" s="2" t="str">
        <f>"MODULO DE CONTROLE CLP ONROM TC-002"</f>
        <v>MODULO DE CONTROLE CLP ONROM TC-002</v>
      </c>
      <c r="C15883" s="2" t="str">
        <f t="shared" si="629"/>
        <v>UN</v>
      </c>
      <c r="D15883" s="7">
        <v>900</v>
      </c>
      <c r="E15883" s="3">
        <v>11</v>
      </c>
      <c r="F15883" s="2">
        <v>6</v>
      </c>
      <c r="G15883" t="s">
        <v>513</v>
      </c>
    </row>
    <row r="15884" spans="1:7" x14ac:dyDescent="0.25">
      <c r="A15884" s="1" t="str">
        <f>"525056"</f>
        <v>525056</v>
      </c>
      <c r="B15884" s="2" t="str">
        <f>"MODULO DE EXCITAÇÃO MDX60A0015-00"</f>
        <v>MODULO DE EXCITAÇÃO MDX60A0015-00</v>
      </c>
      <c r="C15884" s="2" t="str">
        <f t="shared" si="629"/>
        <v>UN</v>
      </c>
      <c r="D15884" s="7">
        <v>811</v>
      </c>
      <c r="E15884" s="3">
        <v>10</v>
      </c>
      <c r="F15884" s="2">
        <v>4</v>
      </c>
      <c r="G15884" t="s">
        <v>514</v>
      </c>
    </row>
    <row r="15885" spans="1:7" x14ac:dyDescent="0.25">
      <c r="A15885" s="1" t="str">
        <f>"525205"</f>
        <v>525205</v>
      </c>
      <c r="B15885" s="2" t="str">
        <f>"MODULO DE EXP. 16 ENTRADAS 24VDC 7MA/PNP CJ1W-ID211"</f>
        <v>MODULO DE EXP. 16 ENTRADAS 24VDC 7MA/PNP CJ1W-ID211</v>
      </c>
      <c r="C15885" s="2" t="str">
        <f t="shared" si="629"/>
        <v>UN</v>
      </c>
      <c r="D15885" s="7">
        <v>811</v>
      </c>
      <c r="E15885" s="3">
        <v>8</v>
      </c>
      <c r="F15885" s="2">
        <v>1</v>
      </c>
      <c r="G15885" t="s">
        <v>514</v>
      </c>
    </row>
    <row r="15886" spans="1:7" x14ac:dyDescent="0.25">
      <c r="A15886" s="1" t="str">
        <f>"525204"</f>
        <v>525204</v>
      </c>
      <c r="B15886" s="2" t="str">
        <f>"MODULO DE EXP. 16 SAIDAS 24VDC 0.5A SOURCING/PNP CJ1W-OD212"</f>
        <v>MODULO DE EXP. 16 SAIDAS 24VDC 0.5A SOURCING/PNP CJ1W-OD212</v>
      </c>
      <c r="C15886" s="2" t="str">
        <f t="shared" si="629"/>
        <v>UN</v>
      </c>
      <c r="D15886" s="7">
        <v>811</v>
      </c>
      <c r="E15886" s="3">
        <v>8</v>
      </c>
      <c r="F15886" s="2">
        <v>2</v>
      </c>
      <c r="G15886" t="s">
        <v>514</v>
      </c>
    </row>
    <row r="15887" spans="1:7" x14ac:dyDescent="0.25">
      <c r="A15887" s="1" t="str">
        <f>"520950"</f>
        <v>520950</v>
      </c>
      <c r="B15887" s="2" t="str">
        <f>"MODULO DE EXPANSÃO 16 ENTRADA E 16 SAIDAS DIGITAIS"</f>
        <v>MODULO DE EXPANSÃO 16 ENTRADA E 16 SAIDAS DIGITAIS</v>
      </c>
      <c r="C15887" s="2" t="str">
        <f t="shared" si="629"/>
        <v>UN</v>
      </c>
      <c r="D15887" s="7">
        <v>811</v>
      </c>
      <c r="E15887" s="3">
        <v>8</v>
      </c>
      <c r="F15887" s="2">
        <v>7</v>
      </c>
      <c r="G15887" t="s">
        <v>513</v>
      </c>
    </row>
    <row r="15888" spans="1:7" x14ac:dyDescent="0.25">
      <c r="A15888" s="1" t="str">
        <f>"520951"</f>
        <v>520951</v>
      </c>
      <c r="B15888" s="2" t="str">
        <f>"MODULO DE EXPANSÃO 16 ENTRADA E 16 SAIDAS DIGITAIS"</f>
        <v>MODULO DE EXPANSÃO 16 ENTRADA E 16 SAIDAS DIGITAIS</v>
      </c>
      <c r="C15888" s="2" t="str">
        <f t="shared" si="629"/>
        <v>UN</v>
      </c>
      <c r="D15888" s="7">
        <v>811</v>
      </c>
      <c r="E15888" s="3">
        <v>8</v>
      </c>
      <c r="F15888" s="2">
        <v>9</v>
      </c>
      <c r="G15888" t="s">
        <v>512</v>
      </c>
    </row>
    <row r="15889" spans="1:7" x14ac:dyDescent="0.25">
      <c r="A15889" s="1" t="str">
        <f>"526955"</f>
        <v>526955</v>
      </c>
      <c r="B15889" s="2" t="str">
        <f>"MODULO DE EXPANSÃO 16ED16SD SIEMENS 6ES7223-1BL30-0XB0 24VDC"</f>
        <v>MODULO DE EXPANSÃO 16ED16SD SIEMENS 6ES7223-1BL30-0XB0 24VDC</v>
      </c>
      <c r="C15889" s="2" t="str">
        <f t="shared" si="629"/>
        <v>UN</v>
      </c>
      <c r="D15889" s="7">
        <v>811</v>
      </c>
      <c r="E15889" s="3">
        <v>10</v>
      </c>
      <c r="F15889" s="2">
        <v>0</v>
      </c>
      <c r="G15889" t="s">
        <v>513</v>
      </c>
    </row>
    <row r="15890" spans="1:7" x14ac:dyDescent="0.25">
      <c r="A15890" s="1" t="str">
        <f>"522356"</f>
        <v>522356</v>
      </c>
      <c r="B15890" s="2" t="str">
        <f>"MODULO DE EXPANSÃO 6ES7223-1PL32-0XB0"</f>
        <v>MODULO DE EXPANSÃO 6ES7223-1PL32-0XB0</v>
      </c>
      <c r="C15890" s="2" t="str">
        <f t="shared" si="629"/>
        <v>UN</v>
      </c>
      <c r="D15890" s="7">
        <v>811</v>
      </c>
      <c r="E15890" s="3">
        <v>10</v>
      </c>
      <c r="F15890" s="2">
        <v>0</v>
      </c>
      <c r="G15890" t="s">
        <v>514</v>
      </c>
    </row>
    <row r="15891" spans="1:7" x14ac:dyDescent="0.25">
      <c r="A15891" s="1" t="str">
        <f>"522357"</f>
        <v>522357</v>
      </c>
      <c r="B15891" s="2" t="str">
        <f>"MODULO DE EXPANSÃO 6ES7231-5QF32-0XB0"</f>
        <v>MODULO DE EXPANSÃO 6ES7231-5QF32-0XB0</v>
      </c>
      <c r="C15891" s="2" t="str">
        <f t="shared" si="629"/>
        <v>UN</v>
      </c>
      <c r="D15891" s="7">
        <v>811</v>
      </c>
      <c r="E15891" s="3">
        <v>10</v>
      </c>
      <c r="F15891" s="2">
        <v>2</v>
      </c>
      <c r="G15891" t="s">
        <v>514</v>
      </c>
    </row>
    <row r="15892" spans="1:7" x14ac:dyDescent="0.25">
      <c r="A15892" s="1" t="str">
        <f>"522809"</f>
        <v>522809</v>
      </c>
      <c r="B15892" s="2" t="str">
        <f>"MODULO DE EXPANSÃO 8 ENT. ANALOGICA 6ES7-231-4HF32-0XB0"</f>
        <v>MODULO DE EXPANSÃO 8 ENT. ANALOGICA 6ES7-231-4HF32-0XB0</v>
      </c>
      <c r="C15892" s="2" t="str">
        <f t="shared" si="629"/>
        <v>UN</v>
      </c>
      <c r="D15892" s="7">
        <v>811</v>
      </c>
      <c r="E15892" s="3">
        <v>10</v>
      </c>
      <c r="F15892" s="2">
        <v>5</v>
      </c>
      <c r="G15892" t="s">
        <v>514</v>
      </c>
    </row>
    <row r="15893" spans="1:7" x14ac:dyDescent="0.25">
      <c r="A15893" s="1" t="str">
        <f>"526956"</f>
        <v>526956</v>
      </c>
      <c r="B15893" s="2" t="str">
        <f>"MODULO DE EXPANSÃO ANALOGICA SIEMENS 6ES7231-4HD30-0XB024VDC"</f>
        <v>MODULO DE EXPANSÃO ANALOGICA SIEMENS 6ES7231-4HD30-0XB024VDC</v>
      </c>
      <c r="C15893" s="2" t="str">
        <f t="shared" si="629"/>
        <v>UN</v>
      </c>
      <c r="D15893" s="7">
        <v>811</v>
      </c>
      <c r="E15893" s="3">
        <v>10</v>
      </c>
      <c r="F15893" s="2">
        <v>6</v>
      </c>
      <c r="G15893" t="s">
        <v>513</v>
      </c>
    </row>
    <row r="15894" spans="1:7" x14ac:dyDescent="0.25">
      <c r="A15894" s="1" t="str">
        <f>"525203"</f>
        <v>525203</v>
      </c>
      <c r="B15894" s="2" t="str">
        <f>"MODULO DE EXPANSÃO CLP S7 1200 8 AI RTD 6ES7231-5PF32-0XB0"</f>
        <v>MODULO DE EXPANSÃO CLP S7 1200 8 AI RTD 6ES7231-5PF32-0XB0</v>
      </c>
      <c r="C15894" s="2" t="str">
        <f t="shared" si="629"/>
        <v>UN</v>
      </c>
      <c r="D15894" s="7">
        <v>811</v>
      </c>
      <c r="E15894" s="3">
        <v>10</v>
      </c>
      <c r="F15894" s="2">
        <v>9</v>
      </c>
      <c r="G15894" t="s">
        <v>513</v>
      </c>
    </row>
    <row r="15895" spans="1:7" x14ac:dyDescent="0.25">
      <c r="A15895" s="1" t="str">
        <f>"520952"</f>
        <v>520952</v>
      </c>
      <c r="B15895" s="2" t="str">
        <f>"MODULO DE EXPANSÃO SAIDAS DIGITAIS 16 SAIDAS"</f>
        <v>MODULO DE EXPANSÃO SAIDAS DIGITAIS 16 SAIDAS</v>
      </c>
      <c r="C15895" s="2" t="str">
        <f t="shared" si="629"/>
        <v>UN</v>
      </c>
      <c r="D15895" s="7">
        <v>811</v>
      </c>
      <c r="E15895" s="3">
        <v>8</v>
      </c>
      <c r="F15895" s="2">
        <v>5</v>
      </c>
      <c r="G15895" t="s">
        <v>513</v>
      </c>
    </row>
    <row r="15896" spans="1:7" x14ac:dyDescent="0.25">
      <c r="A15896" s="1" t="str">
        <f>"521377"</f>
        <v>521377</v>
      </c>
      <c r="B15896" s="2" t="str">
        <f>"MODULO DE FLUXO SOBREPRESSÃO ESPECIAL"</f>
        <v>MODULO DE FLUXO SOBREPRESSÃO ESPECIAL</v>
      </c>
      <c r="C15896" s="2" t="str">
        <f t="shared" si="629"/>
        <v>UN</v>
      </c>
      <c r="D15896" s="7">
        <v>1300</v>
      </c>
      <c r="E15896" s="3">
        <v>13</v>
      </c>
      <c r="F15896" s="2">
        <v>3</v>
      </c>
      <c r="G15896" t="s">
        <v>512</v>
      </c>
    </row>
    <row r="15897" spans="1:7" x14ac:dyDescent="0.25">
      <c r="A15897" s="1" t="str">
        <f>"527297"</f>
        <v>527297</v>
      </c>
      <c r="B15897" s="2" t="str">
        <f>"MODULO DE IMPRESSÃO 70UF 399180"</f>
        <v>MODULO DE IMPRESSÃO 70UF 399180</v>
      </c>
      <c r="C15897" s="2" t="str">
        <f t="shared" si="629"/>
        <v>UN</v>
      </c>
      <c r="D15897" s="7">
        <v>811</v>
      </c>
      <c r="E15897" s="3">
        <v>11</v>
      </c>
      <c r="F15897" s="2">
        <v>3</v>
      </c>
      <c r="G15897" t="s">
        <v>513</v>
      </c>
    </row>
    <row r="15898" spans="1:7" x14ac:dyDescent="0.25">
      <c r="A15898" s="1" t="str">
        <f>"510181"</f>
        <v>510181</v>
      </c>
      <c r="B15898" s="2" t="str">
        <f>"MODULO DE INGUINIÇAO SR420"</f>
        <v>MODULO DE INGUINIÇAO SR420</v>
      </c>
      <c r="C15898" s="2" t="str">
        <f t="shared" ref="C15898:C15929" si="630">"UN"</f>
        <v>UN</v>
      </c>
      <c r="D15898" s="7">
        <v>402</v>
      </c>
      <c r="E15898" s="3">
        <v>4</v>
      </c>
      <c r="F15898" s="2">
        <v>2</v>
      </c>
      <c r="G15898" t="s">
        <v>514</v>
      </c>
    </row>
    <row r="15899" spans="1:7" x14ac:dyDescent="0.25">
      <c r="A15899" s="1" t="str">
        <f>"513670"</f>
        <v>513670</v>
      </c>
      <c r="B15899" s="2" t="str">
        <f>"MODULO DE PROTEÇÃO HIBRIDO MPR"</f>
        <v>MODULO DE PROTEÇÃO HIBRIDO MPR</v>
      </c>
      <c r="C15899" s="2" t="str">
        <f t="shared" si="630"/>
        <v>UN</v>
      </c>
      <c r="D15899" s="7">
        <v>811</v>
      </c>
      <c r="E15899" s="3">
        <v>8</v>
      </c>
      <c r="F15899" s="2">
        <v>1</v>
      </c>
      <c r="G15899" t="s">
        <v>515</v>
      </c>
    </row>
    <row r="15900" spans="1:7" x14ac:dyDescent="0.25">
      <c r="A15900" s="1" t="str">
        <f>"515514"</f>
        <v>515514</v>
      </c>
      <c r="B15900" s="2" t="str">
        <f>"MODULO DE PROTECAO MPH 160"</f>
        <v>MODULO DE PROTECAO MPH 160</v>
      </c>
      <c r="C15900" s="2" t="str">
        <f t="shared" si="630"/>
        <v>UN</v>
      </c>
      <c r="D15900" s="7">
        <v>811</v>
      </c>
      <c r="E15900" s="3">
        <v>8</v>
      </c>
      <c r="F15900" s="2">
        <v>4</v>
      </c>
      <c r="G15900" t="s">
        <v>512</v>
      </c>
    </row>
    <row r="15901" spans="1:7" x14ac:dyDescent="0.25">
      <c r="A15901" s="1" t="str">
        <f>"524356"</f>
        <v>524356</v>
      </c>
      <c r="B15901" s="2" t="str">
        <f>"MODULO DE RELE MOD. HON301R8"</f>
        <v>MODULO DE RELE MOD. HON301R8</v>
      </c>
      <c r="C15901" s="2" t="str">
        <f t="shared" si="630"/>
        <v>UN</v>
      </c>
      <c r="D15901" s="7">
        <v>900</v>
      </c>
      <c r="E15901" s="3">
        <v>11</v>
      </c>
      <c r="F15901" s="2">
        <v>6</v>
      </c>
      <c r="G15901" t="s">
        <v>516</v>
      </c>
    </row>
    <row r="15902" spans="1:7" x14ac:dyDescent="0.25">
      <c r="A15902" s="1" t="str">
        <f>"518600"</f>
        <v>518600</v>
      </c>
      <c r="B15902" s="2" t="str">
        <f>"MODULO DE TOMADA 2P+T 10A PIAL PLUS"</f>
        <v>MODULO DE TOMADA 2P+T 10A PIAL PLUS</v>
      </c>
      <c r="C15902" s="2" t="str">
        <f t="shared" si="630"/>
        <v>UN</v>
      </c>
      <c r="D15902" s="7">
        <v>811</v>
      </c>
      <c r="E15902" s="3">
        <v>8</v>
      </c>
      <c r="F15902" s="2">
        <v>8</v>
      </c>
      <c r="G15902" t="s">
        <v>515</v>
      </c>
    </row>
    <row r="15903" spans="1:7" x14ac:dyDescent="0.25">
      <c r="A15903" s="1" t="str">
        <f>"523359"</f>
        <v>523359</v>
      </c>
      <c r="B15903" s="2" t="str">
        <f>"MODULO DE TRANS. SOL. 17,5 KV INTERL. 400A"</f>
        <v>MODULO DE TRANS. SOL. 17,5 KV INTERL. 400A</v>
      </c>
      <c r="C15903" s="2" t="str">
        <f t="shared" si="630"/>
        <v>UN</v>
      </c>
      <c r="D15903" s="7">
        <v>900</v>
      </c>
      <c r="E15903" s="3">
        <v>11</v>
      </c>
      <c r="F15903" s="2">
        <v>7</v>
      </c>
      <c r="G15903" t="s">
        <v>514</v>
      </c>
    </row>
    <row r="15904" spans="1:7" x14ac:dyDescent="0.25">
      <c r="A15904" s="1" t="str">
        <f>"515819"</f>
        <v>515819</v>
      </c>
      <c r="B15904" s="2" t="str">
        <f>"MODULO DIAMONTS FRICTION TOP/FRICÇÃO LISA DIAMANTE 6"" 152MM"</f>
        <v>MODULO DIAMONTS FRICTION TOP/FRICÇÃO LISA DIAMANTE 6" 152MM</v>
      </c>
      <c r="C15904" s="2" t="str">
        <f t="shared" si="630"/>
        <v>UN</v>
      </c>
      <c r="D15904" s="7">
        <v>918</v>
      </c>
      <c r="E15904" s="3">
        <v>13</v>
      </c>
      <c r="F15904" s="2">
        <v>6</v>
      </c>
      <c r="G15904" t="s">
        <v>512</v>
      </c>
    </row>
    <row r="15905" spans="1:7" x14ac:dyDescent="0.25">
      <c r="A15905" s="1" t="str">
        <f>"519221"</f>
        <v>519221</v>
      </c>
      <c r="B15905" s="2" t="str">
        <f>"MODULO EHT VJ 1510"</f>
        <v>MODULO EHT VJ 1510</v>
      </c>
      <c r="C15905" s="2" t="str">
        <f t="shared" si="630"/>
        <v>UN</v>
      </c>
      <c r="D15905" s="7">
        <v>918</v>
      </c>
      <c r="E15905" s="3">
        <v>11</v>
      </c>
      <c r="F15905" s="2">
        <v>6</v>
      </c>
      <c r="G15905" t="s">
        <v>513</v>
      </c>
    </row>
    <row r="15906" spans="1:7" x14ac:dyDescent="0.25">
      <c r="A15906" s="1" t="str">
        <f>"507941"</f>
        <v>507941</v>
      </c>
      <c r="B15906" s="2" t="str">
        <f>"MODULO ELETRONICO CP-TRONIC"</f>
        <v>MODULO ELETRONICO CP-TRONIC</v>
      </c>
      <c r="C15906" s="2" t="str">
        <f t="shared" si="630"/>
        <v>UN</v>
      </c>
      <c r="D15906" s="7">
        <v>600</v>
      </c>
      <c r="E15906" s="3">
        <v>8</v>
      </c>
      <c r="F15906" s="2">
        <v>2</v>
      </c>
      <c r="G15906" t="s">
        <v>514</v>
      </c>
    </row>
    <row r="15907" spans="1:7" x14ac:dyDescent="0.25">
      <c r="A15907" s="1" t="str">
        <f>"520493"</f>
        <v>520493</v>
      </c>
      <c r="B15907" s="2" t="str">
        <f>"MODULO ENTRADA DIGITAL XIOC-16Dl 12X24VDC/0,5A"</f>
        <v>MODULO ENTRADA DIGITAL XIOC-16Dl 12X24VDC/0,5A</v>
      </c>
      <c r="C15907" s="2" t="str">
        <f t="shared" si="630"/>
        <v>UN</v>
      </c>
      <c r="D15907" s="7">
        <v>811</v>
      </c>
      <c r="E15907" s="3">
        <v>8</v>
      </c>
      <c r="F15907" s="2">
        <v>1</v>
      </c>
      <c r="G15907" t="s">
        <v>514</v>
      </c>
    </row>
    <row r="15908" spans="1:7" x14ac:dyDescent="0.25">
      <c r="A15908" s="1" t="str">
        <f>"520467"</f>
        <v>520467</v>
      </c>
      <c r="B15908" s="2" t="str">
        <f>"MODULO ENTRADA OMROM CJ1WTC002"</f>
        <v>MODULO ENTRADA OMROM CJ1WTC002</v>
      </c>
      <c r="C15908" s="2" t="str">
        <f t="shared" si="630"/>
        <v>UN</v>
      </c>
      <c r="D15908" s="7">
        <v>900</v>
      </c>
      <c r="E15908" s="3">
        <v>11</v>
      </c>
      <c r="F15908" s="2">
        <v>0</v>
      </c>
      <c r="G15908" t="s">
        <v>512</v>
      </c>
    </row>
    <row r="15909" spans="1:7" x14ac:dyDescent="0.25">
      <c r="A15909" s="1" t="str">
        <f>"517915"</f>
        <v>517915</v>
      </c>
      <c r="B15909" s="2" t="str">
        <f>"MODULO ENTRADA OMRON ID211"</f>
        <v>MODULO ENTRADA OMRON ID211</v>
      </c>
      <c r="C15909" s="2" t="str">
        <f t="shared" si="630"/>
        <v>UN</v>
      </c>
      <c r="D15909" s="7">
        <v>900</v>
      </c>
      <c r="E15909" s="3">
        <v>8</v>
      </c>
      <c r="F15909" s="2">
        <v>0</v>
      </c>
      <c r="G15909" t="s">
        <v>513</v>
      </c>
    </row>
    <row r="15910" spans="1:7" x14ac:dyDescent="0.25">
      <c r="A15910" s="1" t="str">
        <f>"503865"</f>
        <v>503865</v>
      </c>
      <c r="B15910" s="2" t="str">
        <f>"MODULO ENTRADA ONROM CQM1-ID212 DINIEPER"</f>
        <v>MODULO ENTRADA ONROM CQM1-ID212 DINIEPER</v>
      </c>
      <c r="C15910" s="2" t="str">
        <f t="shared" si="630"/>
        <v>UN</v>
      </c>
      <c r="D15910" s="7">
        <v>900</v>
      </c>
      <c r="E15910" s="3">
        <v>11</v>
      </c>
      <c r="F15910" s="2">
        <v>0</v>
      </c>
      <c r="G15910" t="s">
        <v>514</v>
      </c>
    </row>
    <row r="15911" spans="1:7" x14ac:dyDescent="0.25">
      <c r="A15911" s="1" t="str">
        <f>"526751"</f>
        <v>526751</v>
      </c>
      <c r="B15911" s="2" t="str">
        <f>"MODULO ET200S 04 ENT.ANALOG.13 BITS 6ES71344GD000AB0"</f>
        <v>MODULO ET200S 04 ENT.ANALOG.13 BITS 6ES71344GD000AB0</v>
      </c>
      <c r="C15911" s="2" t="str">
        <f t="shared" si="630"/>
        <v>UN</v>
      </c>
      <c r="D15911" s="7">
        <v>811</v>
      </c>
      <c r="E15911" s="3">
        <v>8</v>
      </c>
      <c r="F15911" s="2">
        <v>3</v>
      </c>
      <c r="G15911" t="s">
        <v>514</v>
      </c>
    </row>
    <row r="15912" spans="1:7" x14ac:dyDescent="0.25">
      <c r="A15912" s="1" t="str">
        <f>"526750"</f>
        <v>526750</v>
      </c>
      <c r="B15912" s="2" t="str">
        <f>"MODULO ET200S 08 ENTR. DIG 24 6ES71314BF000AA0"</f>
        <v>MODULO ET200S 08 ENTR. DIG 24 6ES71314BF000AA0</v>
      </c>
      <c r="C15912" s="2" t="str">
        <f t="shared" si="630"/>
        <v>UN</v>
      </c>
      <c r="D15912" s="7">
        <v>811</v>
      </c>
      <c r="E15912" s="3">
        <v>8</v>
      </c>
      <c r="F15912" s="5">
        <v>5</v>
      </c>
      <c r="G15912" t="s">
        <v>514</v>
      </c>
    </row>
    <row r="15913" spans="1:7" x14ac:dyDescent="0.25">
      <c r="A15913" s="1" t="str">
        <f>"526616"</f>
        <v>526616</v>
      </c>
      <c r="B15913" s="2" t="str">
        <f>"MODULO ET200S 08 ENTRADA 24VCC 6ES71314BF000AA0"</f>
        <v>MODULO ET200S 08 ENTRADA 24VCC 6ES71314BF000AA0</v>
      </c>
      <c r="C15913" s="2" t="str">
        <f t="shared" si="630"/>
        <v>UN</v>
      </c>
      <c r="D15913" s="7">
        <v>811</v>
      </c>
      <c r="E15913" s="3">
        <v>8</v>
      </c>
      <c r="F15913" s="2">
        <v>3</v>
      </c>
      <c r="G15913" t="s">
        <v>513</v>
      </c>
    </row>
    <row r="15914" spans="1:7" x14ac:dyDescent="0.25">
      <c r="A15914" s="1" t="str">
        <f>"524580"</f>
        <v>524580</v>
      </c>
      <c r="B15914" s="2" t="str">
        <f>"MODULO ET200S ENT ANALOG PT100 NI100 15BITS 15MM - SIEMENS"</f>
        <v>MODULO ET200S ENT ANALOG PT100 NI100 15BITS 15MM - SIEMENS</v>
      </c>
      <c r="C15914" s="2" t="str">
        <f t="shared" si="630"/>
        <v>UN</v>
      </c>
      <c r="D15914" s="7">
        <v>811</v>
      </c>
      <c r="E15914" s="3">
        <v>11</v>
      </c>
      <c r="F15914" s="2">
        <v>8</v>
      </c>
      <c r="G15914" t="s">
        <v>512</v>
      </c>
    </row>
    <row r="15915" spans="1:7" x14ac:dyDescent="0.25">
      <c r="A15915" s="1" t="str">
        <f>"526619"</f>
        <v>526619</v>
      </c>
      <c r="B15915" s="2" t="str">
        <f>"MODULO ET200S ENTR ANALOGICA 6ES71344GB110AB0"</f>
        <v>MODULO ET200S ENTR ANALOGICA 6ES71344GB110AB0</v>
      </c>
      <c r="C15915" s="2" t="str">
        <f t="shared" si="630"/>
        <v>UN</v>
      </c>
      <c r="D15915" s="7">
        <v>811</v>
      </c>
      <c r="E15915" s="3">
        <v>8</v>
      </c>
      <c r="F15915" s="2">
        <v>6</v>
      </c>
      <c r="G15915" t="s">
        <v>513</v>
      </c>
    </row>
    <row r="15916" spans="1:7" x14ac:dyDescent="0.25">
      <c r="A15916" s="1" t="str">
        <f>"515524"</f>
        <v>515524</v>
      </c>
      <c r="B15916" s="2" t="str">
        <f>"MODULO ET200S ENTRADA ANALOGICA"</f>
        <v>MODULO ET200S ENTRADA ANALOGICA</v>
      </c>
      <c r="C15916" s="2" t="str">
        <f t="shared" si="630"/>
        <v>UN</v>
      </c>
      <c r="D15916" s="7">
        <v>811</v>
      </c>
      <c r="E15916" s="3">
        <v>8</v>
      </c>
      <c r="F15916" s="2">
        <v>4</v>
      </c>
      <c r="G15916" t="s">
        <v>514</v>
      </c>
    </row>
    <row r="15917" spans="1:7" x14ac:dyDescent="0.25">
      <c r="A15917" s="1" t="str">
        <f>"515522"</f>
        <v>515522</v>
      </c>
      <c r="B15917" s="2" t="str">
        <f>"MODULO ET200S ENTRADA DIGITAL"</f>
        <v>MODULO ET200S ENTRADA DIGITAL</v>
      </c>
      <c r="C15917" s="2" t="str">
        <f t="shared" si="630"/>
        <v>UN</v>
      </c>
      <c r="D15917" s="7">
        <v>811</v>
      </c>
      <c r="E15917" s="3">
        <v>8</v>
      </c>
      <c r="F15917" s="2">
        <v>1</v>
      </c>
      <c r="G15917" t="s">
        <v>514</v>
      </c>
    </row>
    <row r="15918" spans="1:7" x14ac:dyDescent="0.25">
      <c r="A15918" s="1" t="str">
        <f>"526627"</f>
        <v>526627</v>
      </c>
      <c r="B15918" s="2" t="str">
        <f>"MODULO ET200S IM151-STANDARD 6ES71513AA230AB0"</f>
        <v>MODULO ET200S IM151-STANDARD 6ES71513AA230AB0</v>
      </c>
      <c r="C15918" s="2" t="str">
        <f t="shared" si="630"/>
        <v>UN</v>
      </c>
      <c r="D15918" s="7">
        <v>900</v>
      </c>
      <c r="E15918" s="3">
        <v>11</v>
      </c>
      <c r="F15918" s="2">
        <v>2</v>
      </c>
      <c r="G15918" t="s">
        <v>514</v>
      </c>
    </row>
    <row r="15919" spans="1:7" x14ac:dyDescent="0.25">
      <c r="A15919" s="1" t="str">
        <f>"515519"</f>
        <v>515519</v>
      </c>
      <c r="B15919" s="2" t="str">
        <f>"MODULO ET200S INTERFACE"</f>
        <v>MODULO ET200S INTERFACE</v>
      </c>
      <c r="C15919" s="2" t="str">
        <f t="shared" si="630"/>
        <v>UN</v>
      </c>
      <c r="D15919" s="7">
        <v>811</v>
      </c>
      <c r="E15919" s="3">
        <v>8</v>
      </c>
      <c r="F15919" s="2">
        <v>7</v>
      </c>
      <c r="G15919" t="s">
        <v>513</v>
      </c>
    </row>
    <row r="15920" spans="1:7" x14ac:dyDescent="0.25">
      <c r="A15920" s="1" t="str">
        <f>"526614"</f>
        <v>526614</v>
      </c>
      <c r="B15920" s="2" t="str">
        <f>"MODULO ET200S MODULO DE ALIM. 24V 6ES71384CA010AA"</f>
        <v>MODULO ET200S MODULO DE ALIM. 24V 6ES71384CA010AA</v>
      </c>
      <c r="C15920" s="2" t="str">
        <f t="shared" si="630"/>
        <v>UN</v>
      </c>
      <c r="D15920" s="7">
        <v>811</v>
      </c>
      <c r="E15920" s="3">
        <v>8</v>
      </c>
      <c r="F15920" s="2">
        <v>9</v>
      </c>
      <c r="G15920" t="s">
        <v>513</v>
      </c>
    </row>
    <row r="15921" spans="1:7" x14ac:dyDescent="0.25">
      <c r="A15921" s="1" t="str">
        <f>"515520"</f>
        <v>515520</v>
      </c>
      <c r="B15921" s="2" t="str">
        <f>"MODULO ET200S PM-E ALIMENTACAO"</f>
        <v>MODULO ET200S PM-E ALIMENTACAO</v>
      </c>
      <c r="C15921" s="2" t="str">
        <f t="shared" si="630"/>
        <v>UN</v>
      </c>
      <c r="D15921" s="7">
        <v>811</v>
      </c>
      <c r="E15921" s="3">
        <v>8</v>
      </c>
      <c r="F15921" s="2">
        <v>0</v>
      </c>
      <c r="G15921" t="s">
        <v>513</v>
      </c>
    </row>
    <row r="15922" spans="1:7" x14ac:dyDescent="0.25">
      <c r="A15922" s="1" t="str">
        <f>"515525"</f>
        <v>515525</v>
      </c>
      <c r="B15922" s="2" t="str">
        <f>"MODULO ET200S SAIDA ANALOGICA"</f>
        <v>MODULO ET200S SAIDA ANALOGICA</v>
      </c>
      <c r="C15922" s="2" t="str">
        <f t="shared" si="630"/>
        <v>UN</v>
      </c>
      <c r="D15922" s="7">
        <v>811</v>
      </c>
      <c r="E15922" s="3">
        <v>8</v>
      </c>
      <c r="F15922" s="2">
        <v>0</v>
      </c>
      <c r="G15922" t="s">
        <v>512</v>
      </c>
    </row>
    <row r="15923" spans="1:7" x14ac:dyDescent="0.25">
      <c r="A15923" s="1" t="str">
        <f>"515523"</f>
        <v>515523</v>
      </c>
      <c r="B15923" s="2" t="str">
        <f>"MODULO ET200S SAIDA DIGITAL"</f>
        <v>MODULO ET200S SAIDA DIGITAL</v>
      </c>
      <c r="C15923" s="2" t="str">
        <f t="shared" si="630"/>
        <v>UN</v>
      </c>
      <c r="D15923" s="7">
        <v>811</v>
      </c>
      <c r="E15923" s="3">
        <v>8</v>
      </c>
      <c r="F15923" s="2">
        <v>2</v>
      </c>
      <c r="G15923" t="s">
        <v>513</v>
      </c>
    </row>
    <row r="15924" spans="1:7" x14ac:dyDescent="0.25">
      <c r="A15924" s="1" t="str">
        <f>"526943"</f>
        <v>526943</v>
      </c>
      <c r="B15924" s="2" t="str">
        <f>"MODULO EXP. ANALOG.SIEMENS 6ES7 231-4HD30.0XB024VDC"</f>
        <v>MODULO EXP. ANALOG.SIEMENS 6ES7 231-4HD30.0XB024VDC</v>
      </c>
      <c r="C15924" s="2" t="str">
        <f t="shared" si="630"/>
        <v>UN</v>
      </c>
      <c r="D15924" s="7">
        <v>811</v>
      </c>
      <c r="E15924" s="3">
        <v>10</v>
      </c>
      <c r="F15924" s="2">
        <v>5</v>
      </c>
      <c r="G15924" t="s">
        <v>514</v>
      </c>
    </row>
    <row r="15925" spans="1:7" x14ac:dyDescent="0.25">
      <c r="A15925" s="1" t="str">
        <f>"526942"</f>
        <v>526942</v>
      </c>
      <c r="B15925" s="2" t="str">
        <f>"MODULO EXP.16ED.16SD 6ES7223-1BL30.0XB0 24VDC"</f>
        <v>MODULO EXP.16ED.16SD 6ES7223-1BL30.0XB0 24VDC</v>
      </c>
      <c r="C15925" s="2" t="str">
        <f t="shared" si="630"/>
        <v>UN</v>
      </c>
      <c r="D15925" s="7">
        <v>811</v>
      </c>
      <c r="E15925" s="3">
        <v>10</v>
      </c>
      <c r="F15925" s="2">
        <v>6</v>
      </c>
      <c r="G15925" t="s">
        <v>515</v>
      </c>
    </row>
    <row r="15926" spans="1:7" x14ac:dyDescent="0.25">
      <c r="A15926" s="1" t="str">
        <f>"516164"</f>
        <v>516164</v>
      </c>
      <c r="B15926" s="2" t="str">
        <f>"MODULO EXPANSÃO LOGO 6ED10551HB00"</f>
        <v>MODULO EXPANSÃO LOGO 6ED10551HB00</v>
      </c>
      <c r="C15926" s="2" t="str">
        <f t="shared" si="630"/>
        <v>UN</v>
      </c>
      <c r="D15926" s="7">
        <v>900</v>
      </c>
      <c r="E15926" s="3">
        <v>8</v>
      </c>
      <c r="F15926" s="2">
        <v>9</v>
      </c>
      <c r="G15926" t="s">
        <v>512</v>
      </c>
    </row>
    <row r="15927" spans="1:7" x14ac:dyDescent="0.25">
      <c r="A15927" s="1" t="str">
        <f>"522193"</f>
        <v>522193</v>
      </c>
      <c r="B15927" s="2" t="str">
        <f>"MODULO FLEX ENTRADAS ANALOGICAS"</f>
        <v>MODULO FLEX ENTRADAS ANALOGICAS</v>
      </c>
      <c r="C15927" s="2" t="str">
        <f t="shared" si="630"/>
        <v>UN</v>
      </c>
      <c r="D15927" s="7">
        <v>915</v>
      </c>
      <c r="E15927" s="3">
        <v>4</v>
      </c>
      <c r="F15927" s="2">
        <v>5</v>
      </c>
      <c r="G15927" t="s">
        <v>516</v>
      </c>
    </row>
    <row r="15928" spans="1:7" x14ac:dyDescent="0.25">
      <c r="A15928" s="1" t="str">
        <f>"522191"</f>
        <v>522191</v>
      </c>
      <c r="B15928" s="2" t="str">
        <f>"MODULO FLEX SAIDA OPERADO 24VDD"</f>
        <v>MODULO FLEX SAIDA OPERADO 24VDD</v>
      </c>
      <c r="C15928" s="2" t="str">
        <f t="shared" si="630"/>
        <v>UN</v>
      </c>
      <c r="D15928" s="7">
        <v>915</v>
      </c>
      <c r="E15928" s="3">
        <v>4</v>
      </c>
      <c r="F15928" s="2">
        <v>3</v>
      </c>
      <c r="G15928" t="s">
        <v>515</v>
      </c>
    </row>
    <row r="15929" spans="1:7" x14ac:dyDescent="0.25">
      <c r="A15929" s="1" t="str">
        <f>"522194"</f>
        <v>522194</v>
      </c>
      <c r="B15929" s="2" t="str">
        <f>"MODULO FLEX SAIDAS ANALOGICAS"</f>
        <v>MODULO FLEX SAIDAS ANALOGICAS</v>
      </c>
      <c r="C15929" s="2" t="str">
        <f t="shared" si="630"/>
        <v>UN</v>
      </c>
      <c r="D15929" s="7">
        <v>915</v>
      </c>
      <c r="E15929" s="3">
        <v>4</v>
      </c>
      <c r="F15929" s="2">
        <v>3</v>
      </c>
      <c r="G15929" t="s">
        <v>514</v>
      </c>
    </row>
    <row r="15930" spans="1:7" x14ac:dyDescent="0.25">
      <c r="A15930" s="1" t="str">
        <f>"522184"</f>
        <v>522184</v>
      </c>
      <c r="B15930" s="2" t="str">
        <f>"MODULO HABITAVEL CTR 13730-A MOD 315 NR36"</f>
        <v>MODULO HABITAVEL CTR 13730-A MOD 315 NR36</v>
      </c>
      <c r="C15930" s="2" t="str">
        <f t="shared" ref="C15930:C15963" si="631">"UN"</f>
        <v>UN</v>
      </c>
      <c r="D15930" s="7">
        <v>99999</v>
      </c>
      <c r="E15930" s="3">
        <v>99</v>
      </c>
      <c r="F15930" s="2">
        <v>2</v>
      </c>
      <c r="G15930" t="s">
        <v>512</v>
      </c>
    </row>
    <row r="15931" spans="1:7" x14ac:dyDescent="0.25">
      <c r="A15931" s="1" t="str">
        <f>"512522"</f>
        <v>512522</v>
      </c>
      <c r="B15931" s="2" t="str">
        <f>"MODULO IGBT"</f>
        <v>MODULO IGBT</v>
      </c>
      <c r="C15931" s="2" t="str">
        <f t="shared" si="631"/>
        <v>UN</v>
      </c>
      <c r="D15931" s="7">
        <v>600</v>
      </c>
      <c r="E15931" s="3">
        <v>8</v>
      </c>
      <c r="F15931" s="2">
        <v>1</v>
      </c>
      <c r="G15931" t="s">
        <v>513</v>
      </c>
    </row>
    <row r="15932" spans="1:7" x14ac:dyDescent="0.25">
      <c r="A15932" s="1" t="str">
        <f>"526129"</f>
        <v>526129</v>
      </c>
      <c r="B15932" s="2" t="str">
        <f>"MODULO IGBT 300A/1200V PARA INVERSOR FREQUENCIA"</f>
        <v>MODULO IGBT 300A/1200V PARA INVERSOR FREQUENCIA</v>
      </c>
      <c r="C15932" s="2" t="str">
        <f t="shared" si="631"/>
        <v>UN</v>
      </c>
      <c r="D15932" s="7">
        <v>99999</v>
      </c>
      <c r="E15932" s="3">
        <v>99</v>
      </c>
      <c r="F15932" s="2">
        <v>4</v>
      </c>
      <c r="G15932" t="s">
        <v>514</v>
      </c>
    </row>
    <row r="15933" spans="1:7" x14ac:dyDescent="0.25">
      <c r="A15933" s="1" t="str">
        <f>"522566"</f>
        <v>522566</v>
      </c>
      <c r="B15933" s="2" t="str">
        <f>"MODULO IMPRES. C/ CANHAO 70 UM C/ GAX VED. MTG 1510/1210"</f>
        <v>MODULO IMPRES. C/ CANHAO 70 UM C/ GAX VED. MTG 1510/1210</v>
      </c>
      <c r="C15933" s="2" t="str">
        <f t="shared" si="631"/>
        <v>UN</v>
      </c>
      <c r="D15933" s="7">
        <v>1004</v>
      </c>
      <c r="E15933" s="3">
        <v>10</v>
      </c>
      <c r="F15933" s="2">
        <v>1</v>
      </c>
      <c r="G15933" t="s">
        <v>514</v>
      </c>
    </row>
    <row r="15934" spans="1:7" x14ac:dyDescent="0.25">
      <c r="A15934" s="1" t="str">
        <f>"515662"</f>
        <v>515662</v>
      </c>
      <c r="B15934" s="2" t="str">
        <f>"MODULO INTERFACE IHM"</f>
        <v>MODULO INTERFACE IHM</v>
      </c>
      <c r="C15934" s="2" t="str">
        <f t="shared" si="631"/>
        <v>UN</v>
      </c>
      <c r="D15934" s="7">
        <v>811</v>
      </c>
      <c r="E15934" s="3">
        <v>8</v>
      </c>
      <c r="F15934" s="2">
        <v>2</v>
      </c>
      <c r="G15934" t="s">
        <v>512</v>
      </c>
    </row>
    <row r="15935" spans="1:7" x14ac:dyDescent="0.25">
      <c r="A15935" s="1" t="str">
        <f>"522800"</f>
        <v>522800</v>
      </c>
      <c r="B15935" s="2" t="str">
        <f>"MODULO INTERRUPTOR BIPOLAR SIMPLES LUNARE SCHINEIDER 25A"</f>
        <v>MODULO INTERRUPTOR BIPOLAR SIMPLES LUNARE SCHINEIDER 25A</v>
      </c>
      <c r="C15935" s="2" t="str">
        <f t="shared" si="631"/>
        <v>UN</v>
      </c>
      <c r="D15935" s="7">
        <v>811</v>
      </c>
      <c r="E15935" s="3">
        <v>11</v>
      </c>
      <c r="F15935" s="2">
        <v>7</v>
      </c>
      <c r="G15935" t="s">
        <v>513</v>
      </c>
    </row>
    <row r="15936" spans="1:7" x14ac:dyDescent="0.25">
      <c r="A15936" s="1" t="str">
        <f>"526483"</f>
        <v>526483</v>
      </c>
      <c r="B15936" s="2" t="str">
        <f>"MODULO INTERRUPTOR SIMPLES 10A"</f>
        <v>MODULO INTERRUPTOR SIMPLES 10A</v>
      </c>
      <c r="C15936" s="2" t="str">
        <f t="shared" si="631"/>
        <v>UN</v>
      </c>
      <c r="D15936" s="7">
        <v>811</v>
      </c>
      <c r="E15936" s="3">
        <v>8</v>
      </c>
      <c r="F15936" s="2">
        <v>9</v>
      </c>
      <c r="G15936" t="s">
        <v>514</v>
      </c>
    </row>
    <row r="15937" spans="1:7" x14ac:dyDescent="0.25">
      <c r="A15937" s="1" t="str">
        <f>"513740"</f>
        <v>513740</v>
      </c>
      <c r="B15937" s="2" t="str">
        <f>"MODULO LUX2/LIZ - TOMADA 10A"</f>
        <v>MODULO LUX2/LIZ - TOMADA 10A</v>
      </c>
      <c r="C15937" s="2" t="str">
        <f t="shared" si="631"/>
        <v>UN</v>
      </c>
      <c r="D15937" s="7">
        <v>811</v>
      </c>
      <c r="E15937" s="3">
        <v>8</v>
      </c>
      <c r="F15937" s="2">
        <v>0</v>
      </c>
      <c r="G15937" t="s">
        <v>514</v>
      </c>
    </row>
    <row r="15938" spans="1:7" x14ac:dyDescent="0.25">
      <c r="A15938" s="1" t="str">
        <f>"523561"</f>
        <v>523561</v>
      </c>
      <c r="B15938" s="2" t="str">
        <f>"MODULO OCCB1 PARA X5 E X8 ID"</f>
        <v>MODULO OCCB1 PARA X5 E X8 ID</v>
      </c>
      <c r="C15938" s="2" t="str">
        <f t="shared" si="631"/>
        <v>UN</v>
      </c>
      <c r="D15938" s="7">
        <v>811</v>
      </c>
      <c r="E15938" s="3">
        <v>8</v>
      </c>
      <c r="F15938" s="2">
        <v>0</v>
      </c>
      <c r="G15938" t="s">
        <v>514</v>
      </c>
    </row>
    <row r="15939" spans="1:7" x14ac:dyDescent="0.25">
      <c r="A15939" s="1" t="str">
        <f>"509264"</f>
        <v>509264</v>
      </c>
      <c r="B15939" s="2" t="str">
        <f>"MODULO OMROM CJ1W-TC002"</f>
        <v>MODULO OMROM CJ1W-TC002</v>
      </c>
      <c r="C15939" s="2" t="str">
        <f t="shared" si="631"/>
        <v>UN</v>
      </c>
      <c r="D15939" s="7">
        <v>900</v>
      </c>
      <c r="E15939" s="3">
        <v>11</v>
      </c>
      <c r="F15939" s="2">
        <v>4</v>
      </c>
      <c r="G15939" t="s">
        <v>513</v>
      </c>
    </row>
    <row r="15940" spans="1:7" x14ac:dyDescent="0.25">
      <c r="A15940" s="1" t="str">
        <f>"527509"</f>
        <v>527509</v>
      </c>
      <c r="B15940" s="2" t="str">
        <f>"MODULO PREV ESTEIRA KXS7534AVCLE"</f>
        <v>MODULO PREV ESTEIRA KXS7534AVCLE</v>
      </c>
      <c r="C15940" s="2" t="str">
        <f t="shared" si="631"/>
        <v>UN</v>
      </c>
      <c r="D15940" s="7">
        <v>99999</v>
      </c>
      <c r="E15940" s="3">
        <v>99</v>
      </c>
      <c r="F15940" s="2">
        <v>1</v>
      </c>
      <c r="G15940" t="s">
        <v>512</v>
      </c>
    </row>
    <row r="15941" spans="1:7" x14ac:dyDescent="0.25">
      <c r="A15941" s="1" t="str">
        <f>"521501"</f>
        <v>521501</v>
      </c>
      <c r="B15941" s="2" t="str">
        <f>"MODULO PROTETOR MPR HIBRIDO"</f>
        <v>MODULO PROTETOR MPR HIBRIDO</v>
      </c>
      <c r="C15941" s="2" t="str">
        <f t="shared" si="631"/>
        <v>UN</v>
      </c>
      <c r="D15941" s="7">
        <v>811</v>
      </c>
      <c r="E15941" s="3">
        <v>8</v>
      </c>
      <c r="F15941" s="2">
        <v>2</v>
      </c>
      <c r="G15941" t="s">
        <v>513</v>
      </c>
    </row>
    <row r="15942" spans="1:7" x14ac:dyDescent="0.25">
      <c r="A15942" s="1" t="str">
        <f>"527866"</f>
        <v>527866</v>
      </c>
      <c r="B15942" s="2" t="str">
        <f>"MODULO REPARADOR"</f>
        <v>MODULO REPARADOR</v>
      </c>
      <c r="C15942" s="2" t="str">
        <f t="shared" si="631"/>
        <v>UN</v>
      </c>
      <c r="D15942" s="7">
        <v>704</v>
      </c>
      <c r="E15942" s="3">
        <v>9</v>
      </c>
      <c r="F15942" s="2">
        <v>7</v>
      </c>
      <c r="G15942" t="s">
        <v>514</v>
      </c>
    </row>
    <row r="15943" spans="1:7" x14ac:dyDescent="0.25">
      <c r="A15943" s="1" t="str">
        <f>"508987"</f>
        <v>508987</v>
      </c>
      <c r="B15943" s="2" t="str">
        <f>"MODULO RJ11"</f>
        <v>MODULO RJ11</v>
      </c>
      <c r="C15943" s="2" t="str">
        <f t="shared" si="631"/>
        <v>UN</v>
      </c>
      <c r="D15943" s="7">
        <v>600</v>
      </c>
      <c r="E15943" s="3">
        <v>8</v>
      </c>
      <c r="F15943" s="2">
        <v>9</v>
      </c>
      <c r="G15943" t="s">
        <v>514</v>
      </c>
    </row>
    <row r="15944" spans="1:7" x14ac:dyDescent="0.25">
      <c r="A15944" s="1" t="str">
        <f>"516882"</f>
        <v>516882</v>
      </c>
      <c r="B15944" s="2" t="str">
        <f>"MODULO S7 1200 6ES7231-5PD30-0XB0 SM231 4AI"</f>
        <v>MODULO S7 1200 6ES7231-5PD30-0XB0 SM231 4AI</v>
      </c>
      <c r="C15944" s="2" t="str">
        <f t="shared" si="631"/>
        <v>UN</v>
      </c>
      <c r="D15944" s="7">
        <v>811</v>
      </c>
      <c r="E15944" s="3">
        <v>8</v>
      </c>
      <c r="F15944" s="5">
        <v>5</v>
      </c>
      <c r="G15944" t="s">
        <v>514</v>
      </c>
    </row>
    <row r="15945" spans="1:7" x14ac:dyDescent="0.25">
      <c r="A15945" s="1" t="str">
        <f>"527225"</f>
        <v>527225</v>
      </c>
      <c r="B15945" s="2" t="str">
        <f>"MODULO S7-1200 SM1223 SIMATIC 16DI/16DO 0,5A 24V -"</f>
        <v>MODULO S7-1200 SM1223 SIMATIC 16DI/16DO 0,5A 24V -</v>
      </c>
      <c r="C15945" s="2" t="str">
        <f t="shared" si="631"/>
        <v>UN</v>
      </c>
      <c r="D15945" s="7">
        <v>811</v>
      </c>
      <c r="E15945" s="3">
        <v>8</v>
      </c>
      <c r="F15945" s="2">
        <v>3</v>
      </c>
      <c r="G15945" t="s">
        <v>513</v>
      </c>
    </row>
    <row r="15946" spans="1:7" x14ac:dyDescent="0.25">
      <c r="A15946" s="1" t="str">
        <f>"528160"</f>
        <v>528160</v>
      </c>
      <c r="B15946" s="2" t="str">
        <f>"MODULO S7-1200 SM1223 SIMATIC 8DI/8DO 2A 24V- SIEMENS"</f>
        <v>MODULO S7-1200 SM1223 SIMATIC 8DI/8DO 2A 24V- SIEMENS</v>
      </c>
      <c r="C15946" s="2" t="str">
        <f t="shared" si="631"/>
        <v>UN</v>
      </c>
      <c r="D15946" s="7">
        <v>918</v>
      </c>
      <c r="E15946" s="3">
        <v>11</v>
      </c>
      <c r="F15946" s="2">
        <v>8</v>
      </c>
      <c r="G15946" t="s">
        <v>513</v>
      </c>
    </row>
    <row r="15947" spans="1:7" x14ac:dyDescent="0.25">
      <c r="A15947" s="1" t="str">
        <f>"527226"</f>
        <v>527226</v>
      </c>
      <c r="B15947" s="2" t="str">
        <f>"MODULO S7-1200 SM1231 RTD 4AI - SIEMENS"</f>
        <v>MODULO S7-1200 SM1231 RTD 4AI - SIEMENS</v>
      </c>
      <c r="C15947" s="2" t="str">
        <f t="shared" si="631"/>
        <v>UN</v>
      </c>
      <c r="D15947" s="7">
        <v>811</v>
      </c>
      <c r="E15947" s="3">
        <v>8</v>
      </c>
      <c r="F15947" s="2">
        <v>6</v>
      </c>
      <c r="G15947" t="s">
        <v>513</v>
      </c>
    </row>
    <row r="15948" spans="1:7" x14ac:dyDescent="0.25">
      <c r="A15948" s="1" t="str">
        <f>"517118"</f>
        <v>517118</v>
      </c>
      <c r="B15948" s="2" t="str">
        <f>"MODULO SAIDA DIGITAL XIOC-16DO 12X24VDC/0,5A"</f>
        <v>MODULO SAIDA DIGITAL XIOC-16DO 12X24VDC/0,5A</v>
      </c>
      <c r="C15948" s="2" t="str">
        <f t="shared" si="631"/>
        <v>UN</v>
      </c>
      <c r="D15948" s="7">
        <v>811</v>
      </c>
      <c r="E15948" s="3">
        <v>8</v>
      </c>
      <c r="F15948" s="2">
        <v>4</v>
      </c>
      <c r="G15948" t="s">
        <v>512</v>
      </c>
    </row>
    <row r="15949" spans="1:7" x14ac:dyDescent="0.25">
      <c r="A15949" s="1" t="str">
        <f>"505368"</f>
        <v>505368</v>
      </c>
      <c r="B15949" s="2" t="str">
        <f>"MODULO SAIDA OMRON CJ1W-OC211 DMAX"</f>
        <v>MODULO SAIDA OMRON CJ1W-OC211 DMAX</v>
      </c>
      <c r="C15949" s="2" t="str">
        <f t="shared" si="631"/>
        <v>UN</v>
      </c>
      <c r="D15949" s="7">
        <v>900</v>
      </c>
      <c r="E15949" s="3">
        <v>11</v>
      </c>
      <c r="F15949" s="2">
        <v>1</v>
      </c>
      <c r="G15949" t="s">
        <v>513</v>
      </c>
    </row>
    <row r="15950" spans="1:7" x14ac:dyDescent="0.25">
      <c r="A15950" s="1" t="str">
        <f>"501691"</f>
        <v>501691</v>
      </c>
      <c r="B15950" s="2" t="str">
        <f>"MODULO SAIDA OMRON CQM1-OC222 DINIEPER"</f>
        <v>MODULO SAIDA OMRON CQM1-OC222 DINIEPER</v>
      </c>
      <c r="C15950" s="2" t="str">
        <f t="shared" si="631"/>
        <v>UN</v>
      </c>
      <c r="D15950" s="7">
        <v>900</v>
      </c>
      <c r="E15950" s="3">
        <v>11</v>
      </c>
      <c r="F15950" s="2">
        <v>2</v>
      </c>
      <c r="G15950" t="s">
        <v>514</v>
      </c>
    </row>
    <row r="15951" spans="1:7" x14ac:dyDescent="0.25">
      <c r="A15951" s="1" t="str">
        <f>"506111"</f>
        <v>506111</v>
      </c>
      <c r="B15951" s="2" t="str">
        <f>"MODULO SAIDA/ENTRADA 299-EX-A1"</f>
        <v>MODULO SAIDA/ENTRADA 299-EX-A1</v>
      </c>
      <c r="C15951" s="2" t="str">
        <f t="shared" si="631"/>
        <v>UN</v>
      </c>
      <c r="D15951" s="7">
        <v>811</v>
      </c>
      <c r="E15951" s="3">
        <v>10</v>
      </c>
      <c r="F15951" s="2">
        <v>7</v>
      </c>
      <c r="G15951" t="s">
        <v>515</v>
      </c>
    </row>
    <row r="15952" spans="1:7" x14ac:dyDescent="0.25">
      <c r="A15952" s="1" t="str">
        <f>"506112"</f>
        <v>506112</v>
      </c>
      <c r="B15952" s="2" t="str">
        <f>"MODULO SAIDA/ENTRADA 506-IO-RO16"</f>
        <v>MODULO SAIDA/ENTRADA 506-IO-RO16</v>
      </c>
      <c r="C15952" s="2" t="str">
        <f t="shared" si="631"/>
        <v>UN</v>
      </c>
      <c r="D15952" s="7">
        <v>811</v>
      </c>
      <c r="E15952" s="3">
        <v>10</v>
      </c>
      <c r="F15952" s="2">
        <v>9</v>
      </c>
      <c r="G15952" t="s">
        <v>512</v>
      </c>
    </row>
    <row r="15953" spans="1:7" x14ac:dyDescent="0.25">
      <c r="A15953" s="1" t="str">
        <f>"506115"</f>
        <v>506115</v>
      </c>
      <c r="B15953" s="2" t="str">
        <f>"MODULO SAIDA/ENTRADA 527-V200-18-E3B"</f>
        <v>MODULO SAIDA/ENTRADA 527-V200-18-E3B</v>
      </c>
      <c r="C15953" s="2" t="str">
        <f t="shared" si="631"/>
        <v>UN</v>
      </c>
      <c r="D15953" s="7">
        <v>811</v>
      </c>
      <c r="E15953" s="3">
        <v>10</v>
      </c>
      <c r="F15953" s="2">
        <v>0</v>
      </c>
      <c r="G15953" t="s">
        <v>516</v>
      </c>
    </row>
    <row r="15954" spans="1:7" x14ac:dyDescent="0.25">
      <c r="A15954" s="1" t="str">
        <f>"506113"</f>
        <v>506113</v>
      </c>
      <c r="B15954" s="2" t="str">
        <f>"MODULO SAIDA/ENTRADA 547-IO-ATC8"</f>
        <v>MODULO SAIDA/ENTRADA 547-IO-ATC8</v>
      </c>
      <c r="C15954" s="2" t="str">
        <f t="shared" si="631"/>
        <v>UN</v>
      </c>
      <c r="D15954" s="7">
        <v>811</v>
      </c>
      <c r="E15954" s="3">
        <v>10</v>
      </c>
      <c r="F15954" s="2">
        <v>0</v>
      </c>
      <c r="G15954" t="s">
        <v>515</v>
      </c>
    </row>
    <row r="15955" spans="1:7" x14ac:dyDescent="0.25">
      <c r="A15955" s="1" t="str">
        <f>"526626"</f>
        <v>526626</v>
      </c>
      <c r="B15955" s="2" t="str">
        <f>"MODULO SCALANCE XB008 6GK50080BA101AB"</f>
        <v>MODULO SCALANCE XB008 6GK50080BA101AB</v>
      </c>
      <c r="C15955" s="2" t="str">
        <f t="shared" si="631"/>
        <v>UN</v>
      </c>
      <c r="D15955" s="7">
        <v>900</v>
      </c>
      <c r="E15955" s="3">
        <v>11</v>
      </c>
      <c r="F15955" s="2">
        <v>2</v>
      </c>
      <c r="G15955" t="s">
        <v>514</v>
      </c>
    </row>
    <row r="15956" spans="1:7" x14ac:dyDescent="0.25">
      <c r="A15956" s="1" t="str">
        <f>"527227"</f>
        <v>527227</v>
      </c>
      <c r="B15956" s="2" t="str">
        <f>"MODULO SM1232 S7-1200 4AO - SIEMENS"</f>
        <v>MODULO SM1232 S7-1200 4AO - SIEMENS</v>
      </c>
      <c r="C15956" s="2" t="str">
        <f t="shared" si="631"/>
        <v>UN</v>
      </c>
      <c r="D15956" s="7">
        <v>811</v>
      </c>
      <c r="E15956" s="3">
        <v>8</v>
      </c>
      <c r="F15956" s="2">
        <v>5</v>
      </c>
      <c r="G15956" t="s">
        <v>512</v>
      </c>
    </row>
    <row r="15957" spans="1:7" x14ac:dyDescent="0.25">
      <c r="A15957" s="1" t="str">
        <f>"526137"</f>
        <v>526137</v>
      </c>
      <c r="B15957" s="2" t="str">
        <f>"MODULO TOMADA 2P 10A"</f>
        <v>MODULO TOMADA 2P 10A</v>
      </c>
      <c r="C15957" s="2" t="str">
        <f t="shared" si="631"/>
        <v>UN</v>
      </c>
      <c r="D15957" s="7">
        <v>601</v>
      </c>
      <c r="E15957" s="3">
        <v>8</v>
      </c>
      <c r="F15957" s="2">
        <v>6</v>
      </c>
      <c r="G15957" t="s">
        <v>513</v>
      </c>
    </row>
    <row r="15958" spans="1:7" x14ac:dyDescent="0.25">
      <c r="A15958" s="1" t="str">
        <f>"522799"</f>
        <v>522799</v>
      </c>
      <c r="B15958" s="2" t="str">
        <f>"MODULO TOMADA 2P+T LUNARE SCHINEIDER 10A 250V BRANCO"</f>
        <v>MODULO TOMADA 2P+T LUNARE SCHINEIDER 10A 250V BRANCO</v>
      </c>
      <c r="C15958" s="2" t="str">
        <f t="shared" si="631"/>
        <v>UN</v>
      </c>
      <c r="D15958" s="7">
        <v>811</v>
      </c>
      <c r="E15958" s="3">
        <v>11</v>
      </c>
      <c r="F15958" s="2">
        <v>9</v>
      </c>
      <c r="G15958" t="s">
        <v>514</v>
      </c>
    </row>
    <row r="15959" spans="1:7" x14ac:dyDescent="0.25">
      <c r="A15959" s="1" t="str">
        <f>"522798"</f>
        <v>522798</v>
      </c>
      <c r="B15959" s="2" t="str">
        <f>"MODULO TOMADA 2P+T LUNARE SCHINEIDER 20A 250V BRANCO"</f>
        <v>MODULO TOMADA 2P+T LUNARE SCHINEIDER 20A 250V BRANCO</v>
      </c>
      <c r="C15959" s="2" t="str">
        <f t="shared" si="631"/>
        <v>UN</v>
      </c>
      <c r="D15959" s="7">
        <v>811</v>
      </c>
      <c r="E15959" s="3">
        <v>11</v>
      </c>
      <c r="F15959" s="2">
        <v>5</v>
      </c>
      <c r="G15959" t="s">
        <v>514</v>
      </c>
    </row>
    <row r="15960" spans="1:7" x14ac:dyDescent="0.25">
      <c r="A15960" s="1" t="str">
        <f>"526488"</f>
        <v>526488</v>
      </c>
      <c r="B15960" s="2" t="str">
        <f>"MODULO TOMADA VERMELHO  20A"</f>
        <v>MODULO TOMADA VERMELHO  20A</v>
      </c>
      <c r="C15960" s="2" t="str">
        <f t="shared" si="631"/>
        <v>UN</v>
      </c>
      <c r="D15960" s="7">
        <v>811</v>
      </c>
      <c r="E15960" s="3">
        <v>8</v>
      </c>
      <c r="F15960" s="2">
        <v>3</v>
      </c>
      <c r="G15960" t="s">
        <v>512</v>
      </c>
    </row>
    <row r="15961" spans="1:7" x14ac:dyDescent="0.25">
      <c r="A15961" s="1" t="str">
        <f>"526136"</f>
        <v>526136</v>
      </c>
      <c r="B15961" s="2" t="str">
        <f>"MODULO VAZIO P/RJ45 BRANCO"</f>
        <v>MODULO VAZIO P/RJ45 BRANCO</v>
      </c>
      <c r="C15961" s="2" t="str">
        <f t="shared" si="631"/>
        <v>UN</v>
      </c>
      <c r="D15961" s="7">
        <v>601</v>
      </c>
      <c r="E15961" s="3">
        <v>8</v>
      </c>
      <c r="F15961" s="2">
        <v>3</v>
      </c>
      <c r="G15961" t="s">
        <v>513</v>
      </c>
    </row>
    <row r="15962" spans="1:7" x14ac:dyDescent="0.25">
      <c r="A15962" s="1" t="str">
        <f>"517080"</f>
        <v>517080</v>
      </c>
      <c r="B15962" s="2" t="str">
        <f>"MODULO WAGO 750 333"</f>
        <v>MODULO WAGO 750 333</v>
      </c>
      <c r="C15962" s="2" t="str">
        <f t="shared" si="631"/>
        <v>UN</v>
      </c>
      <c r="D15962" s="7">
        <v>811</v>
      </c>
      <c r="E15962" s="3">
        <v>8</v>
      </c>
      <c r="F15962" s="2">
        <v>2</v>
      </c>
      <c r="G15962" t="s">
        <v>514</v>
      </c>
    </row>
    <row r="15963" spans="1:7" x14ac:dyDescent="0.25">
      <c r="A15963" s="1" t="str">
        <f>"524358"</f>
        <v>524358</v>
      </c>
      <c r="B15963" s="2" t="str">
        <f>"MODULO. ALIM. PN CEBF00245-00"</f>
        <v>MODULO. ALIM. PN CEBF00245-00</v>
      </c>
      <c r="C15963" s="2" t="str">
        <f t="shared" si="631"/>
        <v>UN</v>
      </c>
      <c r="D15963" s="7">
        <v>900</v>
      </c>
      <c r="E15963" s="3">
        <v>11</v>
      </c>
      <c r="F15963" s="2">
        <v>1</v>
      </c>
      <c r="G15963" t="s">
        <v>514</v>
      </c>
    </row>
    <row r="15964" spans="1:7" x14ac:dyDescent="0.25">
      <c r="A15964" s="1" t="str">
        <f>"511592"</f>
        <v>511592</v>
      </c>
      <c r="B15964" s="2" t="str">
        <f>"MOEGA P/ AÇUCAR"</f>
        <v>MOEGA P/ AÇUCAR</v>
      </c>
      <c r="C15964" s="2" t="str">
        <f>"PC"</f>
        <v>PC</v>
      </c>
      <c r="D15964" s="7">
        <v>806</v>
      </c>
      <c r="E15964" s="3">
        <v>10</v>
      </c>
      <c r="F15964" s="2">
        <v>4</v>
      </c>
      <c r="G15964" t="s">
        <v>514</v>
      </c>
    </row>
    <row r="15965" spans="1:7" x14ac:dyDescent="0.25">
      <c r="A15965" s="1" t="str">
        <f>"514556"</f>
        <v>514556</v>
      </c>
      <c r="B15965" s="2" t="str">
        <f>"MOITAO"</f>
        <v>MOITAO</v>
      </c>
      <c r="C15965" s="2" t="str">
        <f t="shared" ref="C15965:C16003" si="632">"UN"</f>
        <v>UN</v>
      </c>
      <c r="D15965" s="7">
        <v>817</v>
      </c>
      <c r="E15965" s="3">
        <v>4</v>
      </c>
      <c r="F15965" s="2">
        <v>6</v>
      </c>
      <c r="G15965" t="s">
        <v>513</v>
      </c>
    </row>
    <row r="15966" spans="1:7" x14ac:dyDescent="0.25">
      <c r="A15966" s="1" t="str">
        <f>"201583"</f>
        <v>201583</v>
      </c>
      <c r="B15966" s="2" t="str">
        <f>"MOKUP - B.LAC.MOR.BIBI BITS"</f>
        <v>MOKUP - B.LAC.MOR.BIBI BITS</v>
      </c>
      <c r="C15966" s="2" t="str">
        <f t="shared" si="632"/>
        <v>UN</v>
      </c>
      <c r="D15966" s="7">
        <v>33</v>
      </c>
      <c r="E15966" s="3">
        <v>1</v>
      </c>
      <c r="F15966" s="2">
        <v>8</v>
      </c>
      <c r="G15966" t="s">
        <v>512</v>
      </c>
    </row>
    <row r="15967" spans="1:7" x14ac:dyDescent="0.25">
      <c r="A15967" s="1" t="str">
        <f>"201666"</f>
        <v>201666</v>
      </c>
      <c r="B15967" s="2" t="str">
        <f>"MOKUP - BEB.LAC.C/P.FRUT.MORANGO VERY GURT 850 G C/15UN"</f>
        <v>MOKUP - BEB.LAC.C/P.FRUT.MORANGO VERY GURT 850 G C/15UN</v>
      </c>
      <c r="C15967" s="2" t="str">
        <f t="shared" si="632"/>
        <v>UN</v>
      </c>
      <c r="D15967" s="7">
        <v>15</v>
      </c>
      <c r="E15967" s="3">
        <v>1</v>
      </c>
      <c r="F15967" s="2">
        <v>7</v>
      </c>
      <c r="G15967" t="s">
        <v>513</v>
      </c>
    </row>
    <row r="15968" spans="1:7" x14ac:dyDescent="0.25">
      <c r="A15968" s="1" t="str">
        <f>"201186"</f>
        <v>201186</v>
      </c>
      <c r="B15968" s="2" t="str">
        <f>"MOKUP - BEB.LAC.C/POLPA VERY MOR BJ.510G C/10"</f>
        <v>MOKUP - BEB.LAC.C/POLPA VERY MOR BJ.510G C/10</v>
      </c>
      <c r="C15968" s="2" t="str">
        <f t="shared" si="632"/>
        <v>UN</v>
      </c>
      <c r="D15968" s="7">
        <v>21</v>
      </c>
      <c r="E15968" s="3">
        <v>1</v>
      </c>
      <c r="F15968" s="2">
        <v>6</v>
      </c>
      <c r="G15968" t="s">
        <v>514</v>
      </c>
    </row>
    <row r="15969" spans="1:7" x14ac:dyDescent="0.25">
      <c r="A15969" s="1" t="str">
        <f>"203554"</f>
        <v>203554</v>
      </c>
      <c r="B15969" s="2" t="str">
        <f>"MOKUP - BEB.LAC.POLPA CAROL MORANGO 540 G C/10UN"</f>
        <v>MOKUP - BEB.LAC.POLPA CAROL MORANGO 540 G C/10UN</v>
      </c>
      <c r="C15969" s="2" t="str">
        <f t="shared" si="632"/>
        <v>UN</v>
      </c>
      <c r="D15969" s="7">
        <v>19</v>
      </c>
      <c r="E15969" s="3">
        <v>1</v>
      </c>
      <c r="F15969" s="2">
        <v>6</v>
      </c>
      <c r="G15969" t="s">
        <v>514</v>
      </c>
    </row>
    <row r="15970" spans="1:7" x14ac:dyDescent="0.25">
      <c r="A15970" s="1" t="str">
        <f>"201480"</f>
        <v>201480</v>
      </c>
      <c r="B15970" s="2" t="str">
        <f>"MOKUP - IOG C/GELEIA MORANGO DUET 130 G"</f>
        <v>MOKUP - IOG C/GELEIA MORANGO DUET 130 G</v>
      </c>
      <c r="C15970" s="2" t="str">
        <f t="shared" si="632"/>
        <v>UN</v>
      </c>
      <c r="D15970" s="7">
        <v>2</v>
      </c>
      <c r="E15970" s="3">
        <v>1</v>
      </c>
      <c r="F15970" s="2">
        <v>2</v>
      </c>
      <c r="G15970" t="s">
        <v>514</v>
      </c>
    </row>
    <row r="15971" spans="1:7" x14ac:dyDescent="0.25">
      <c r="A15971" s="1" t="str">
        <f>"201600"</f>
        <v>201600</v>
      </c>
      <c r="B15971" s="2" t="str">
        <f>"MOKUP - IOG C/POLPA MORANGO GLUCK 900 G C/15UN"</f>
        <v>MOKUP - IOG C/POLPA MORANGO GLUCK 900 G C/15UN</v>
      </c>
      <c r="C15971" s="2" t="str">
        <f t="shared" si="632"/>
        <v>UN</v>
      </c>
      <c r="D15971" s="7">
        <v>16</v>
      </c>
      <c r="E15971" s="3">
        <v>1</v>
      </c>
      <c r="F15971" s="2">
        <v>1</v>
      </c>
      <c r="G15971" t="s">
        <v>513</v>
      </c>
    </row>
    <row r="15972" spans="1:7" x14ac:dyDescent="0.25">
      <c r="A15972" s="1" t="str">
        <f>"203510"</f>
        <v>203510</v>
      </c>
      <c r="B15972" s="2" t="str">
        <f>"MOKUP - IOG INT ADOCADO - GREGO 100G"</f>
        <v>MOKUP - IOG INT ADOCADO - GREGO 100G</v>
      </c>
      <c r="C15972" s="2" t="str">
        <f t="shared" si="632"/>
        <v>UN</v>
      </c>
      <c r="D15972" s="7">
        <v>32</v>
      </c>
      <c r="E15972" s="3">
        <v>1</v>
      </c>
      <c r="F15972" s="2">
        <v>0</v>
      </c>
      <c r="G15972" t="s">
        <v>513</v>
      </c>
    </row>
    <row r="15973" spans="1:7" x14ac:dyDescent="0.25">
      <c r="A15973" s="1" t="str">
        <f>"201590"</f>
        <v>201590</v>
      </c>
      <c r="B15973" s="2" t="str">
        <f>"MOKUP IOG PARC DESN ADOCADO  LA VITA MIX 120"</f>
        <v>MOKUP IOG PARC DESN ADOCADO  LA VITA MIX 120</v>
      </c>
      <c r="C15973" s="2" t="str">
        <f t="shared" si="632"/>
        <v>UN</v>
      </c>
      <c r="D15973" s="7">
        <v>1</v>
      </c>
      <c r="E15973" s="3">
        <v>1</v>
      </c>
      <c r="F15973" s="2">
        <v>0</v>
      </c>
      <c r="G15973" t="s">
        <v>513</v>
      </c>
    </row>
    <row r="15974" spans="1:7" x14ac:dyDescent="0.25">
      <c r="A15974" s="1" t="str">
        <f>"505098"</f>
        <v>505098</v>
      </c>
      <c r="B15974" s="2" t="str">
        <f>"MOLA"</f>
        <v>MOLA</v>
      </c>
      <c r="C15974" s="2" t="str">
        <f t="shared" si="632"/>
        <v>UN</v>
      </c>
      <c r="D15974" s="7">
        <v>99999</v>
      </c>
      <c r="E15974" s="3">
        <v>99</v>
      </c>
      <c r="F15974" s="2">
        <v>0</v>
      </c>
      <c r="G15974" t="s">
        <v>512</v>
      </c>
    </row>
    <row r="15975" spans="1:7" x14ac:dyDescent="0.25">
      <c r="A15975" s="1" t="str">
        <f>"510697"</f>
        <v>510697</v>
      </c>
      <c r="B15975" s="2" t="str">
        <f>"MOLA (AIR SPRING) - F. 095.0314-5"</f>
        <v>MOLA (AIR SPRING) - F. 095.0314-5</v>
      </c>
      <c r="C15975" s="2" t="str">
        <f t="shared" si="632"/>
        <v>UN</v>
      </c>
      <c r="D15975" s="7">
        <v>704</v>
      </c>
      <c r="E15975" s="3">
        <v>9</v>
      </c>
      <c r="F15975" s="2">
        <v>3</v>
      </c>
      <c r="G15975" t="s">
        <v>513</v>
      </c>
    </row>
    <row r="15976" spans="1:7" x14ac:dyDescent="0.25">
      <c r="A15976" s="1" t="str">
        <f>"510468"</f>
        <v>510468</v>
      </c>
      <c r="B15976" s="2" t="str">
        <f>"MOLA (RESORTE TERMISELLADO) 048-010"</f>
        <v>MOLA (RESORTE TERMISELLADO) 048-010</v>
      </c>
      <c r="C15976" s="2" t="str">
        <f t="shared" si="632"/>
        <v>UN</v>
      </c>
      <c r="D15976" s="7">
        <v>918</v>
      </c>
      <c r="E15976" s="3">
        <v>11</v>
      </c>
      <c r="F15976" s="5">
        <v>5</v>
      </c>
      <c r="G15976" t="s">
        <v>514</v>
      </c>
    </row>
    <row r="15977" spans="1:7" x14ac:dyDescent="0.25">
      <c r="A15977" s="1" t="str">
        <f>"509191"</f>
        <v>509191</v>
      </c>
      <c r="B15977" s="2" t="str">
        <f>"MOLA 05.3120.065.50"</f>
        <v>MOLA 05.3120.065.50</v>
      </c>
      <c r="C15977" s="2" t="str">
        <f t="shared" si="632"/>
        <v>UN</v>
      </c>
      <c r="D15977" s="7">
        <v>918</v>
      </c>
      <c r="E15977" s="3">
        <v>11</v>
      </c>
      <c r="F15977" s="2">
        <v>3</v>
      </c>
      <c r="G15977" t="s">
        <v>515</v>
      </c>
    </row>
    <row r="15978" spans="1:7" x14ac:dyDescent="0.25">
      <c r="A15978" s="1" t="str">
        <f>"509187"</f>
        <v>509187</v>
      </c>
      <c r="B15978" s="2" t="str">
        <f>"MOLA 05.7120.063.50"</f>
        <v>MOLA 05.7120.063.50</v>
      </c>
      <c r="C15978" s="2" t="str">
        <f t="shared" si="632"/>
        <v>UN</v>
      </c>
      <c r="D15978" s="7">
        <v>918</v>
      </c>
      <c r="E15978" s="3">
        <v>11</v>
      </c>
      <c r="F15978" s="2">
        <v>8</v>
      </c>
      <c r="G15978" t="s">
        <v>512</v>
      </c>
    </row>
    <row r="15979" spans="1:7" x14ac:dyDescent="0.25">
      <c r="A15979" s="1" t="str">
        <f>"508481"</f>
        <v>508481</v>
      </c>
      <c r="B15979" s="2" t="str">
        <f>"MOLA 100X11X1400MM"</f>
        <v>MOLA 100X11X1400MM</v>
      </c>
      <c r="C15979" s="2" t="str">
        <f t="shared" si="632"/>
        <v>UN</v>
      </c>
      <c r="D15979" s="7">
        <v>704</v>
      </c>
      <c r="E15979" s="3">
        <v>9</v>
      </c>
      <c r="F15979" s="2">
        <v>6</v>
      </c>
      <c r="G15979" t="s">
        <v>516</v>
      </c>
    </row>
    <row r="15980" spans="1:7" x14ac:dyDescent="0.25">
      <c r="A15980" s="1" t="str">
        <f>"513360"</f>
        <v>513360</v>
      </c>
      <c r="B15980" s="2" t="str">
        <f>"MOLA 1º TRASEIRA"</f>
        <v>MOLA 1º TRASEIRA</v>
      </c>
      <c r="C15980" s="2" t="str">
        <f t="shared" si="632"/>
        <v>UN</v>
      </c>
      <c r="D15980" s="7">
        <v>918</v>
      </c>
      <c r="E15980" s="3">
        <v>11</v>
      </c>
      <c r="F15980" s="2">
        <v>4</v>
      </c>
      <c r="G15980" t="s">
        <v>515</v>
      </c>
    </row>
    <row r="15981" spans="1:7" x14ac:dyDescent="0.25">
      <c r="A15981" s="1" t="str">
        <f>"512222"</f>
        <v>512222</v>
      </c>
      <c r="B15981" s="2" t="str">
        <f>"MOLA 227090"</f>
        <v>MOLA 227090</v>
      </c>
      <c r="C15981" s="2" t="str">
        <f t="shared" si="632"/>
        <v>UN</v>
      </c>
      <c r="D15981" s="7">
        <v>918</v>
      </c>
      <c r="E15981" s="3">
        <v>11</v>
      </c>
      <c r="F15981" s="2">
        <v>1</v>
      </c>
      <c r="G15981" t="s">
        <v>514</v>
      </c>
    </row>
    <row r="15982" spans="1:7" x14ac:dyDescent="0.25">
      <c r="A15982" s="1" t="str">
        <f>"502403"</f>
        <v>502403</v>
      </c>
      <c r="B15982" s="2" t="str">
        <f>"MOLA 2ª DIANTEIRA"</f>
        <v>MOLA 2ª DIANTEIRA</v>
      </c>
      <c r="C15982" s="2" t="str">
        <f t="shared" si="632"/>
        <v>UN</v>
      </c>
      <c r="D15982" s="7">
        <v>704</v>
      </c>
      <c r="E15982" s="3">
        <v>9</v>
      </c>
      <c r="F15982" s="2">
        <v>2</v>
      </c>
      <c r="G15982" t="s">
        <v>512</v>
      </c>
    </row>
    <row r="15983" spans="1:7" x14ac:dyDescent="0.25">
      <c r="A15983" s="1" t="str">
        <f>"502671"</f>
        <v>502671</v>
      </c>
      <c r="B15983" s="2" t="str">
        <f>"MOLA 3ª DIANTEIRA VW16170"</f>
        <v>MOLA 3ª DIANTEIRA VW16170</v>
      </c>
      <c r="C15983" s="2" t="str">
        <f t="shared" si="632"/>
        <v>UN</v>
      </c>
      <c r="D15983" s="7">
        <v>704</v>
      </c>
      <c r="E15983" s="3">
        <v>9</v>
      </c>
      <c r="F15983" s="2">
        <v>7</v>
      </c>
      <c r="G15983" t="s">
        <v>513</v>
      </c>
    </row>
    <row r="15984" spans="1:7" x14ac:dyDescent="0.25">
      <c r="A15984" s="1" t="str">
        <f>"505830"</f>
        <v>505830</v>
      </c>
      <c r="B15984" s="2" t="str">
        <f>"MOLA 3ª TRAS. VW14150"</f>
        <v>MOLA 3ª TRAS. VW14150</v>
      </c>
      <c r="C15984" s="2" t="str">
        <f t="shared" si="632"/>
        <v>UN</v>
      </c>
      <c r="D15984" s="7">
        <v>704</v>
      </c>
      <c r="E15984" s="3">
        <v>9</v>
      </c>
      <c r="F15984" s="2">
        <v>9</v>
      </c>
      <c r="G15984" t="s">
        <v>514</v>
      </c>
    </row>
    <row r="15985" spans="1:7" x14ac:dyDescent="0.25">
      <c r="A15985" s="1" t="str">
        <f>"504917"</f>
        <v>504917</v>
      </c>
      <c r="B15985" s="2" t="str">
        <f>"MOLA 3º DIANTEIRA FORD CARGO"</f>
        <v>MOLA 3º DIANTEIRA FORD CARGO</v>
      </c>
      <c r="C15985" s="2" t="str">
        <f t="shared" si="632"/>
        <v>UN</v>
      </c>
      <c r="D15985" s="7">
        <v>704</v>
      </c>
      <c r="E15985" s="3">
        <v>9</v>
      </c>
      <c r="F15985" s="2">
        <v>0</v>
      </c>
      <c r="G15985" t="s">
        <v>514</v>
      </c>
    </row>
    <row r="15986" spans="1:7" x14ac:dyDescent="0.25">
      <c r="A15986" s="1" t="str">
        <f>"504918"</f>
        <v>504918</v>
      </c>
      <c r="B15986" s="2" t="str">
        <f>"MOLA 4º DIANTEIRA FORD CARGO"</f>
        <v>MOLA 4º DIANTEIRA FORD CARGO</v>
      </c>
      <c r="C15986" s="2" t="str">
        <f t="shared" si="632"/>
        <v>UN</v>
      </c>
      <c r="D15986" s="7">
        <v>704</v>
      </c>
      <c r="E15986" s="3">
        <v>9</v>
      </c>
      <c r="F15986" s="2">
        <v>0</v>
      </c>
      <c r="G15986" t="s">
        <v>512</v>
      </c>
    </row>
    <row r="15987" spans="1:7" x14ac:dyDescent="0.25">
      <c r="A15987" s="1" t="str">
        <f>"513361"</f>
        <v>513361</v>
      </c>
      <c r="B15987" s="2" t="str">
        <f>"MOLA 4º TRASEIRA"</f>
        <v>MOLA 4º TRASEIRA</v>
      </c>
      <c r="C15987" s="2" t="str">
        <f t="shared" si="632"/>
        <v>UN</v>
      </c>
      <c r="D15987" s="7">
        <v>918</v>
      </c>
      <c r="E15987" s="3">
        <v>11</v>
      </c>
      <c r="F15987" s="2">
        <v>2</v>
      </c>
      <c r="G15987" t="s">
        <v>513</v>
      </c>
    </row>
    <row r="15988" spans="1:7" x14ac:dyDescent="0.25">
      <c r="A15988" s="1" t="str">
        <f>"505831"</f>
        <v>505831</v>
      </c>
      <c r="B15988" s="2" t="str">
        <f>"MOLA 6ª TRAS. VW14150"</f>
        <v>MOLA 6ª TRAS. VW14150</v>
      </c>
      <c r="C15988" s="2" t="str">
        <f t="shared" si="632"/>
        <v>UN</v>
      </c>
      <c r="D15988" s="7">
        <v>704</v>
      </c>
      <c r="E15988" s="3">
        <v>9</v>
      </c>
      <c r="F15988" s="2">
        <v>5</v>
      </c>
      <c r="G15988" t="s">
        <v>514</v>
      </c>
    </row>
    <row r="15989" spans="1:7" x14ac:dyDescent="0.25">
      <c r="A15989" s="1" t="str">
        <f>"505832"</f>
        <v>505832</v>
      </c>
      <c r="B15989" s="2" t="str">
        <f>"MOLA 7ª TRAS. VW14150 (TIRANTE)"</f>
        <v>MOLA 7ª TRAS. VW14150 (TIRANTE)</v>
      </c>
      <c r="C15989" s="2" t="str">
        <f t="shared" si="632"/>
        <v>UN</v>
      </c>
      <c r="D15989" s="7">
        <v>704</v>
      </c>
      <c r="E15989" s="3">
        <v>9</v>
      </c>
      <c r="F15989" s="2">
        <v>6</v>
      </c>
      <c r="G15989" t="s">
        <v>514</v>
      </c>
    </row>
    <row r="15990" spans="1:7" x14ac:dyDescent="0.25">
      <c r="A15990" s="1" t="str">
        <f>"506097"</f>
        <v>506097</v>
      </c>
      <c r="B15990" s="2" t="str">
        <f>"MOLA 80X12X1000"</f>
        <v>MOLA 80X12X1000</v>
      </c>
      <c r="C15990" s="2" t="str">
        <f t="shared" si="632"/>
        <v>UN</v>
      </c>
      <c r="D15990" s="7">
        <v>704</v>
      </c>
      <c r="E15990" s="3">
        <v>9</v>
      </c>
      <c r="F15990" s="3">
        <v>9</v>
      </c>
      <c r="G15990" t="s">
        <v>514</v>
      </c>
    </row>
    <row r="15991" spans="1:7" x14ac:dyDescent="0.25">
      <c r="A15991" s="1" t="str">
        <f>"506098"</f>
        <v>506098</v>
      </c>
      <c r="B15991" s="2" t="str">
        <f>"MOLA 80X12X1300"</f>
        <v>MOLA 80X12X1300</v>
      </c>
      <c r="C15991" s="2" t="str">
        <f t="shared" si="632"/>
        <v>UN</v>
      </c>
      <c r="D15991" s="7">
        <v>704</v>
      </c>
      <c r="E15991" s="3">
        <v>9</v>
      </c>
      <c r="F15991" s="3">
        <v>9</v>
      </c>
      <c r="G15991" t="s">
        <v>513</v>
      </c>
    </row>
    <row r="15992" spans="1:7" x14ac:dyDescent="0.25">
      <c r="A15992" s="1" t="str">
        <f>"502670"</f>
        <v>502670</v>
      </c>
      <c r="B15992" s="2" t="str">
        <f>"MOLA 80X12X700"</f>
        <v>MOLA 80X12X700</v>
      </c>
      <c r="C15992" s="2" t="str">
        <f t="shared" si="632"/>
        <v>UN</v>
      </c>
      <c r="D15992" s="7">
        <v>704</v>
      </c>
      <c r="E15992" s="3">
        <v>9</v>
      </c>
      <c r="F15992" s="3">
        <v>9</v>
      </c>
      <c r="G15992" t="s">
        <v>512</v>
      </c>
    </row>
    <row r="15993" spans="1:7" x14ac:dyDescent="0.25">
      <c r="A15993" s="1" t="str">
        <f>"517947"</f>
        <v>517947</v>
      </c>
      <c r="B15993" s="2" t="str">
        <f>"MOLA 8X40X160X13"</f>
        <v>MOLA 8X40X160X13</v>
      </c>
      <c r="C15993" s="2" t="str">
        <f t="shared" si="632"/>
        <v>UN</v>
      </c>
      <c r="D15993" s="7">
        <v>916</v>
      </c>
      <c r="E15993" s="3">
        <v>4</v>
      </c>
      <c r="F15993" s="3">
        <v>4</v>
      </c>
      <c r="G15993" t="s">
        <v>513</v>
      </c>
    </row>
    <row r="15994" spans="1:7" x14ac:dyDescent="0.25">
      <c r="A15994" s="1" t="str">
        <f>"505089"</f>
        <v>505089</v>
      </c>
      <c r="B15994" s="2" t="str">
        <f>"MOLA 9ª TRAS. F12000/14000"</f>
        <v>MOLA 9ª TRAS. F12000/14000</v>
      </c>
      <c r="C15994" s="2" t="str">
        <f t="shared" si="632"/>
        <v>UN</v>
      </c>
      <c r="D15994" s="7">
        <v>704</v>
      </c>
      <c r="E15994" s="3">
        <v>9</v>
      </c>
      <c r="F15994" s="3">
        <v>9</v>
      </c>
      <c r="G15994" t="s">
        <v>514</v>
      </c>
    </row>
    <row r="15995" spans="1:7" x14ac:dyDescent="0.25">
      <c r="A15995" s="1" t="str">
        <f>"505572"</f>
        <v>505572</v>
      </c>
      <c r="B15995" s="2" t="str">
        <f>"MOLA ACELERADOR FUSCA"</f>
        <v>MOLA ACELERADOR FUSCA</v>
      </c>
      <c r="C15995" s="2" t="str">
        <f t="shared" si="632"/>
        <v>UN</v>
      </c>
      <c r="D15995" s="7">
        <v>918</v>
      </c>
      <c r="E15995" s="3">
        <v>11</v>
      </c>
      <c r="F15995" s="3">
        <v>11</v>
      </c>
      <c r="G15995" t="s">
        <v>514</v>
      </c>
    </row>
    <row r="15996" spans="1:7" x14ac:dyDescent="0.25">
      <c r="A15996" s="1" t="str">
        <f>"501728"</f>
        <v>501728</v>
      </c>
      <c r="B15996" s="2" t="str">
        <f>"MOLA ACELERADOR MB"</f>
        <v>MOLA ACELERADOR MB</v>
      </c>
      <c r="C15996" s="2" t="str">
        <f t="shared" si="632"/>
        <v>UN</v>
      </c>
      <c r="D15996" s="7">
        <v>704</v>
      </c>
      <c r="E15996" s="3">
        <v>9</v>
      </c>
      <c r="F15996" s="3">
        <v>9</v>
      </c>
      <c r="G15996" t="s">
        <v>514</v>
      </c>
    </row>
    <row r="15997" spans="1:7" x14ac:dyDescent="0.25">
      <c r="A15997" s="1" t="str">
        <f>"528101"</f>
        <v>528101</v>
      </c>
      <c r="B15997" s="2" t="str">
        <f>"MOLA AEREA PAPAIZ PPZ200 PRATA"</f>
        <v>MOLA AEREA PAPAIZ PPZ200 PRATA</v>
      </c>
      <c r="C15997" s="2" t="str">
        <f t="shared" si="632"/>
        <v>UN</v>
      </c>
      <c r="D15997" s="7">
        <v>808</v>
      </c>
      <c r="E15997" s="3">
        <v>10</v>
      </c>
      <c r="F15997" s="3">
        <v>10</v>
      </c>
      <c r="G15997" t="s">
        <v>513</v>
      </c>
    </row>
    <row r="15998" spans="1:7" x14ac:dyDescent="0.25">
      <c r="A15998" s="1" t="str">
        <f>"504964"</f>
        <v>504964</v>
      </c>
      <c r="B15998" s="2" t="str">
        <f>"MOLA AIR SPRING"</f>
        <v>MOLA AIR SPRING</v>
      </c>
      <c r="C15998" s="2" t="str">
        <f t="shared" si="632"/>
        <v>UN</v>
      </c>
      <c r="D15998" s="7">
        <v>704</v>
      </c>
      <c r="E15998" s="3">
        <v>9</v>
      </c>
      <c r="F15998" s="3">
        <v>9</v>
      </c>
      <c r="G15998" t="s">
        <v>513</v>
      </c>
    </row>
    <row r="15999" spans="1:7" x14ac:dyDescent="0.25">
      <c r="A15999" s="1" t="str">
        <f>"516160"</f>
        <v>516160</v>
      </c>
      <c r="B15999" s="2" t="str">
        <f>"MOLA AJUSTE PRESSÃO 1º E 2º ESTAGIO - HOMO TM3"</f>
        <v>MOLA AJUSTE PRESSÃO 1º E 2º ESTAGIO - HOMO TM3</v>
      </c>
      <c r="C15999" s="2" t="str">
        <f t="shared" si="632"/>
        <v>UN</v>
      </c>
      <c r="D15999" s="7">
        <v>1003</v>
      </c>
      <c r="E15999" s="3">
        <v>11</v>
      </c>
      <c r="F15999" s="3">
        <v>11</v>
      </c>
      <c r="G15999" t="s">
        <v>513</v>
      </c>
    </row>
    <row r="16000" spans="1:7" x14ac:dyDescent="0.25">
      <c r="A16000" s="1" t="str">
        <f>"516647"</f>
        <v>516647</v>
      </c>
      <c r="B16000" s="2" t="str">
        <f>"MOLA APC-4109 RANNIE 132T-70.140 APF-9613"</f>
        <v>MOLA APC-4109 RANNIE 132T-70.140 APF-9613</v>
      </c>
      <c r="C16000" s="2" t="str">
        <f t="shared" si="632"/>
        <v>UN</v>
      </c>
      <c r="D16000" s="7">
        <v>918</v>
      </c>
      <c r="E16000" s="3">
        <v>11</v>
      </c>
      <c r="F16000" s="3">
        <v>11</v>
      </c>
      <c r="G16000" t="s">
        <v>512</v>
      </c>
    </row>
    <row r="16001" spans="1:7" x14ac:dyDescent="0.25">
      <c r="A16001" s="1" t="str">
        <f>"521850"</f>
        <v>521850</v>
      </c>
      <c r="B16001" s="8" t="s">
        <v>232</v>
      </c>
      <c r="C16001" s="2" t="str">
        <f t="shared" si="632"/>
        <v>UN</v>
      </c>
      <c r="D16001" s="7">
        <v>913</v>
      </c>
      <c r="E16001" s="3">
        <v>11</v>
      </c>
      <c r="F16001" s="3">
        <v>11</v>
      </c>
      <c r="G16001" t="s">
        <v>513</v>
      </c>
    </row>
    <row r="16002" spans="1:7" x14ac:dyDescent="0.25">
      <c r="A16002" s="1" t="str">
        <f>"521851"</f>
        <v>521851</v>
      </c>
      <c r="B16002" s="8" t="s">
        <v>233</v>
      </c>
      <c r="C16002" s="2" t="str">
        <f t="shared" si="632"/>
        <v>UN</v>
      </c>
      <c r="D16002" s="7">
        <v>913</v>
      </c>
      <c r="E16002" s="3">
        <v>11</v>
      </c>
      <c r="F16002" s="3">
        <v>11</v>
      </c>
      <c r="G16002" t="s">
        <v>514</v>
      </c>
    </row>
    <row r="16003" spans="1:7" x14ac:dyDescent="0.25">
      <c r="A16003" s="1" t="str">
        <f>"507936"</f>
        <v>507936</v>
      </c>
      <c r="B16003" s="2" t="str">
        <f>"MOLA AUTOMATICA 453 P/ PORTAS"</f>
        <v>MOLA AUTOMATICA 453 P/ PORTAS</v>
      </c>
      <c r="C16003" s="2" t="str">
        <f t="shared" si="632"/>
        <v>UN</v>
      </c>
      <c r="D16003" s="7">
        <v>402</v>
      </c>
      <c r="E16003" s="3">
        <v>4</v>
      </c>
      <c r="F16003" s="3">
        <v>4</v>
      </c>
      <c r="G16003" t="s">
        <v>515</v>
      </c>
    </row>
    <row r="16004" spans="1:7" x14ac:dyDescent="0.25">
      <c r="A16004" s="1" t="str">
        <f>"526673"</f>
        <v>526673</v>
      </c>
      <c r="B16004" s="2" t="str">
        <f>"MOLA AZUL PILOTO P SERIES 210200424"</f>
        <v>MOLA AZUL PILOTO P SERIES 210200424</v>
      </c>
      <c r="C16004" s="2" t="str">
        <f>"BR"</f>
        <v>BR</v>
      </c>
      <c r="D16004" s="7">
        <v>808</v>
      </c>
      <c r="E16004" s="3">
        <v>10</v>
      </c>
      <c r="F16004" s="3">
        <v>10</v>
      </c>
      <c r="G16004" t="s">
        <v>512</v>
      </c>
    </row>
    <row r="16005" spans="1:7" x14ac:dyDescent="0.25">
      <c r="A16005" s="1" t="str">
        <f>"528150"</f>
        <v>528150</v>
      </c>
      <c r="B16005" s="2" t="str">
        <f>"MOLA C90MM-FIO 5MM PASSO 12,7MM DIAM INT 35MM SOLD. 8.000"</f>
        <v>MOLA C90MM-FIO 5MM PASSO 12,7MM DIAM INT 35MM SOLD. 8.000</v>
      </c>
      <c r="C16005" s="2" t="str">
        <f t="shared" ref="C16005:C16014" si="633">"UN"</f>
        <v>UN</v>
      </c>
      <c r="D16005" s="7">
        <v>918</v>
      </c>
      <c r="E16005" s="3">
        <v>11</v>
      </c>
      <c r="F16005" s="3">
        <v>11</v>
      </c>
      <c r="G16005" t="s">
        <v>516</v>
      </c>
    </row>
    <row r="16006" spans="1:7" x14ac:dyDescent="0.25">
      <c r="A16006" s="1" t="str">
        <f>"518073"</f>
        <v>518073</v>
      </c>
      <c r="B16006" s="2" t="str">
        <f>"MOLA CB6 CW ANTIBACK HORARIO 8008-6-0003 FACA"</f>
        <v>MOLA CB6 CW ANTIBACK HORARIO 8008-6-0003 FACA</v>
      </c>
      <c r="C16006" s="2" t="str">
        <f t="shared" si="633"/>
        <v>UN</v>
      </c>
      <c r="D16006" s="7">
        <v>918</v>
      </c>
      <c r="E16006" s="3">
        <v>11</v>
      </c>
      <c r="F16006" s="3">
        <v>11</v>
      </c>
      <c r="G16006" t="s">
        <v>515</v>
      </c>
    </row>
    <row r="16007" spans="1:7" x14ac:dyDescent="0.25">
      <c r="A16007" s="1" t="str">
        <f>"518074"</f>
        <v>518074</v>
      </c>
      <c r="B16007" s="2" t="str">
        <f>"MOLA CB6 CW ANTIO VERRUM HORARIO 8008-6-0005 FACA"</f>
        <v>MOLA CB6 CW ANTIO VERRUM HORARIO 8008-6-0005 FACA</v>
      </c>
      <c r="C16007" s="2" t="str">
        <f t="shared" si="633"/>
        <v>UN</v>
      </c>
      <c r="D16007" s="7">
        <v>918</v>
      </c>
      <c r="E16007" s="3">
        <v>11</v>
      </c>
      <c r="F16007" s="3">
        <v>11</v>
      </c>
      <c r="G16007" t="s">
        <v>514</v>
      </c>
    </row>
    <row r="16008" spans="1:7" x14ac:dyDescent="0.25">
      <c r="A16008" s="1" t="str">
        <f>"518072"</f>
        <v>518072</v>
      </c>
      <c r="B16008" s="2" t="str">
        <f>"MOLA CB6 CW HORARIO 8008-6-0001 FACA"</f>
        <v>MOLA CB6 CW HORARIO 8008-6-0001 FACA</v>
      </c>
      <c r="C16008" s="2" t="str">
        <f t="shared" si="633"/>
        <v>UN</v>
      </c>
      <c r="D16008" s="7">
        <v>918</v>
      </c>
      <c r="E16008" s="3">
        <v>11</v>
      </c>
      <c r="F16008" s="3">
        <v>11</v>
      </c>
      <c r="G16008" t="s">
        <v>512</v>
      </c>
    </row>
    <row r="16009" spans="1:7" x14ac:dyDescent="0.25">
      <c r="A16009" s="1" t="str">
        <f>"519536"</f>
        <v>519536</v>
      </c>
      <c r="B16009" s="2" t="str">
        <f>"MOLA CO-11026 POS11/1/1433/14"</f>
        <v>MOLA CO-11026 POS11/1/1433/14</v>
      </c>
      <c r="C16009" s="2" t="str">
        <f t="shared" si="633"/>
        <v>UN</v>
      </c>
      <c r="D16009" s="7">
        <v>918</v>
      </c>
      <c r="E16009" s="3">
        <v>11</v>
      </c>
      <c r="F16009" s="3">
        <v>11</v>
      </c>
      <c r="G16009" t="s">
        <v>513</v>
      </c>
    </row>
    <row r="16010" spans="1:7" x14ac:dyDescent="0.25">
      <c r="A16010" s="1" t="str">
        <f>"519539"</f>
        <v>519539</v>
      </c>
      <c r="B16010" s="2" t="str">
        <f>"MOLA CO-11084 POS 20/22/1433/22"</f>
        <v>MOLA CO-11084 POS 20/22/1433/22</v>
      </c>
      <c r="C16010" s="2" t="str">
        <f t="shared" si="633"/>
        <v>UN</v>
      </c>
      <c r="D16010" s="7">
        <v>918</v>
      </c>
      <c r="E16010" s="3">
        <v>11</v>
      </c>
      <c r="F16010" s="3">
        <v>11</v>
      </c>
      <c r="G16010" t="s">
        <v>514</v>
      </c>
    </row>
    <row r="16011" spans="1:7" x14ac:dyDescent="0.25">
      <c r="A16011" s="1" t="str">
        <f>"518034"</f>
        <v>518034</v>
      </c>
      <c r="B16011" s="2" t="str">
        <f>"MOLA CO-11084 POS 5/1/1433/77"</f>
        <v>MOLA CO-11084 POS 5/1/1433/77</v>
      </c>
      <c r="C16011" s="2" t="str">
        <f t="shared" si="633"/>
        <v>UN</v>
      </c>
      <c r="D16011" s="7">
        <v>918</v>
      </c>
      <c r="E16011" s="3">
        <v>11</v>
      </c>
      <c r="F16011" s="3">
        <v>11</v>
      </c>
      <c r="G16011" t="s">
        <v>514</v>
      </c>
    </row>
    <row r="16012" spans="1:7" x14ac:dyDescent="0.25">
      <c r="A16012" s="1" t="str">
        <f>"525277"</f>
        <v>525277</v>
      </c>
      <c r="B16012" s="2" t="str">
        <f>"MOLA COD. 001242  CONF. COD. 03-20-00-006"</f>
        <v>MOLA COD. 001242  CONF. COD. 03-20-00-006</v>
      </c>
      <c r="C16012" s="2" t="str">
        <f t="shared" si="633"/>
        <v>UN</v>
      </c>
      <c r="D16012" s="7">
        <v>918</v>
      </c>
      <c r="E16012" s="3">
        <v>11</v>
      </c>
      <c r="F16012" s="3">
        <v>11</v>
      </c>
      <c r="G16012" t="s">
        <v>512</v>
      </c>
    </row>
    <row r="16013" spans="1:7" x14ac:dyDescent="0.25">
      <c r="A16013" s="1" t="str">
        <f>"511674"</f>
        <v>511674</v>
      </c>
      <c r="B16013" s="2" t="str">
        <f>"MOLA COMPRESSAO 225474"</f>
        <v>MOLA COMPRESSAO 225474</v>
      </c>
      <c r="C16013" s="2" t="str">
        <f t="shared" si="633"/>
        <v>UN</v>
      </c>
      <c r="D16013" s="7">
        <v>402</v>
      </c>
      <c r="E16013" s="3">
        <v>4</v>
      </c>
      <c r="F16013" s="3">
        <v>4</v>
      </c>
      <c r="G16013" t="s">
        <v>513</v>
      </c>
    </row>
    <row r="16014" spans="1:7" x14ac:dyDescent="0.25">
      <c r="A16014" s="1" t="str">
        <f>"507138"</f>
        <v>507138</v>
      </c>
      <c r="B16014" s="2" t="str">
        <f>"MOLA CONJUNTO FACA COD. 05.3120.064.50"</f>
        <v>MOLA CONJUNTO FACA COD. 05.3120.064.50</v>
      </c>
      <c r="C16014" s="2" t="str">
        <f t="shared" si="633"/>
        <v>UN</v>
      </c>
      <c r="D16014" s="7">
        <v>918</v>
      </c>
      <c r="E16014" s="3">
        <v>11</v>
      </c>
      <c r="F16014" s="3">
        <v>11</v>
      </c>
      <c r="G16014" t="s">
        <v>514</v>
      </c>
    </row>
    <row r="16015" spans="1:7" x14ac:dyDescent="0.25">
      <c r="A16015" s="1" t="str">
        <f>"500076"</f>
        <v>500076</v>
      </c>
      <c r="B16015" s="2" t="str">
        <f>"MOLA CUICA (FREIO ESTACIONARIO)"</f>
        <v>MOLA CUICA (FREIO ESTACIONARIO)</v>
      </c>
      <c r="C16015" s="2" t="str">
        <f>"PC"</f>
        <v>PC</v>
      </c>
      <c r="D16015" s="7">
        <v>704</v>
      </c>
      <c r="E16015" s="3">
        <v>9</v>
      </c>
      <c r="F16015" s="3">
        <v>9</v>
      </c>
      <c r="G16015" t="s">
        <v>514</v>
      </c>
    </row>
    <row r="16016" spans="1:7" x14ac:dyDescent="0.25">
      <c r="A16016" s="1" t="str">
        <f>"512245"</f>
        <v>512245</v>
      </c>
      <c r="B16016" s="2" t="str">
        <f>"MOLA CUICA (FREIO ESTACIONARIO)"</f>
        <v>MOLA CUICA (FREIO ESTACIONARIO)</v>
      </c>
      <c r="C16016" s="2" t="str">
        <f>"UN"</f>
        <v>UN</v>
      </c>
      <c r="D16016" s="7">
        <v>704</v>
      </c>
      <c r="E16016" s="3">
        <v>9</v>
      </c>
      <c r="F16016" s="3">
        <v>9</v>
      </c>
      <c r="G16016" t="s">
        <v>514</v>
      </c>
    </row>
    <row r="16017" spans="1:7" x14ac:dyDescent="0.25">
      <c r="A16017" s="1" t="str">
        <f>"510324"</f>
        <v>510324</v>
      </c>
      <c r="B16017" s="2" t="str">
        <f>"MOLA DA AGULHA CONICA 008701000"</f>
        <v>MOLA DA AGULHA CONICA 008701000</v>
      </c>
      <c r="C16017" s="2" t="str">
        <f>"UN"</f>
        <v>UN</v>
      </c>
      <c r="D16017" s="7">
        <v>918</v>
      </c>
      <c r="E16017" s="3">
        <v>11</v>
      </c>
      <c r="F16017" s="3">
        <v>11</v>
      </c>
      <c r="G16017" t="s">
        <v>513</v>
      </c>
    </row>
    <row r="16018" spans="1:7" x14ac:dyDescent="0.25">
      <c r="A16018" s="1" t="str">
        <f>"516949"</f>
        <v>516949</v>
      </c>
      <c r="B16018" s="2" t="str">
        <f>"MOLA DA PINÇA (BANDEJA DINIEPER 550)"</f>
        <v>MOLA DA PINÇA (BANDEJA DINIEPER 550)</v>
      </c>
      <c r="C16018" s="2" t="str">
        <f>"UN"</f>
        <v>UN</v>
      </c>
      <c r="D16018" s="7">
        <v>812</v>
      </c>
      <c r="E16018" s="3">
        <v>11</v>
      </c>
      <c r="F16018" s="3">
        <v>11</v>
      </c>
      <c r="G16018" t="s">
        <v>512</v>
      </c>
    </row>
    <row r="16019" spans="1:7" x14ac:dyDescent="0.25">
      <c r="A16019" s="1" t="str">
        <f>"509183"</f>
        <v>509183</v>
      </c>
      <c r="B16019" s="8" t="s">
        <v>20</v>
      </c>
      <c r="C16019" s="2" t="str">
        <f>"PC"</f>
        <v>PC</v>
      </c>
      <c r="D16019" s="7">
        <v>900</v>
      </c>
      <c r="E16019" s="3">
        <v>11</v>
      </c>
      <c r="F16019" s="3">
        <v>11</v>
      </c>
      <c r="G16019" t="s">
        <v>513</v>
      </c>
    </row>
    <row r="16020" spans="1:7" x14ac:dyDescent="0.25">
      <c r="A16020" s="1" t="str">
        <f>"510319"</f>
        <v>510319</v>
      </c>
      <c r="B16020" s="2" t="str">
        <f>"MOLA DA VALVULA 008700500"</f>
        <v>MOLA DA VALVULA 008700500</v>
      </c>
      <c r="C16020" s="2" t="str">
        <f t="shared" ref="C16020:C16056" si="634">"UN"</f>
        <v>UN</v>
      </c>
      <c r="D16020" s="7">
        <v>918</v>
      </c>
      <c r="E16020" s="3">
        <v>11</v>
      </c>
      <c r="F16020" s="3">
        <v>11</v>
      </c>
      <c r="G16020" t="s">
        <v>514</v>
      </c>
    </row>
    <row r="16021" spans="1:7" x14ac:dyDescent="0.25">
      <c r="A16021" s="1" t="str">
        <f>"510756"</f>
        <v>510756</v>
      </c>
      <c r="B16021" s="2" t="str">
        <f>"MOLA DATADOR DINIEPER"</f>
        <v>MOLA DATADOR DINIEPER</v>
      </c>
      <c r="C16021" s="2" t="str">
        <f t="shared" si="634"/>
        <v>UN</v>
      </c>
      <c r="D16021" s="7">
        <v>918</v>
      </c>
      <c r="E16021" s="3">
        <v>11</v>
      </c>
      <c r="F16021" s="3">
        <v>11</v>
      </c>
      <c r="G16021" t="s">
        <v>514</v>
      </c>
    </row>
    <row r="16022" spans="1:7" x14ac:dyDescent="0.25">
      <c r="A16022" s="1" t="str">
        <f>"528106"</f>
        <v>528106</v>
      </c>
      <c r="B16022" s="2" t="str">
        <f>"MOLA DE COMPR DA GAIOLA A0.7 EXT 11,50 CT254 - MOD 01 100815"</f>
        <v>MOLA DE COMPR DA GAIOLA A0.7 EXT 11,50 CT254 - MOD 01 100815</v>
      </c>
      <c r="C16022" s="2" t="str">
        <f t="shared" si="634"/>
        <v>UN</v>
      </c>
      <c r="D16022" s="7">
        <v>402</v>
      </c>
      <c r="E16022" s="3">
        <v>11</v>
      </c>
      <c r="F16022" s="3">
        <v>11</v>
      </c>
      <c r="G16022" t="s">
        <v>514</v>
      </c>
    </row>
    <row r="16023" spans="1:7" x14ac:dyDescent="0.25">
      <c r="A16023" s="1" t="str">
        <f>"520367"</f>
        <v>520367</v>
      </c>
      <c r="B16023" s="2" t="str">
        <f>"MOLA DE COMPRESSAO  C35 D21 E4"</f>
        <v>MOLA DE COMPRESSAO  C35 D21 E4</v>
      </c>
      <c r="C16023" s="2" t="str">
        <f t="shared" si="634"/>
        <v>UN</v>
      </c>
      <c r="D16023" s="7">
        <v>99999</v>
      </c>
      <c r="E16023" s="3">
        <v>10</v>
      </c>
      <c r="F16023" s="3">
        <v>10</v>
      </c>
      <c r="G16023" t="s">
        <v>513</v>
      </c>
    </row>
    <row r="16024" spans="1:7" x14ac:dyDescent="0.25">
      <c r="A16024" s="1" t="str">
        <f>"520839"</f>
        <v>520839</v>
      </c>
      <c r="B16024" s="2" t="str">
        <f>"MOLA DE COMPRESSÃO C0-11084"</f>
        <v>MOLA DE COMPRESSÃO C0-11084</v>
      </c>
      <c r="C16024" s="2" t="str">
        <f t="shared" si="634"/>
        <v>UN</v>
      </c>
      <c r="D16024" s="7">
        <v>1300</v>
      </c>
      <c r="E16024" s="3">
        <v>11</v>
      </c>
      <c r="F16024" s="3">
        <v>11</v>
      </c>
      <c r="G16024" t="s">
        <v>513</v>
      </c>
    </row>
    <row r="16025" spans="1:7" x14ac:dyDescent="0.25">
      <c r="A16025" s="1" t="str">
        <f>"520364"</f>
        <v>520364</v>
      </c>
      <c r="B16025" s="2" t="str">
        <f>"MOLA DE COMPRESSAO C22 D11 E1,5"</f>
        <v>MOLA DE COMPRESSAO C22 D11 E1,5</v>
      </c>
      <c r="C16025" s="2" t="str">
        <f t="shared" si="634"/>
        <v>UN</v>
      </c>
      <c r="D16025" s="7">
        <v>99999</v>
      </c>
      <c r="E16025" s="3">
        <v>10</v>
      </c>
      <c r="F16025" s="3">
        <v>10</v>
      </c>
      <c r="G16025" t="s">
        <v>513</v>
      </c>
    </row>
    <row r="16026" spans="1:7" x14ac:dyDescent="0.25">
      <c r="A16026" s="1" t="str">
        <f>"520365"</f>
        <v>520365</v>
      </c>
      <c r="B16026" s="2" t="str">
        <f>"MOLA DE COMPRESSAO C25 D19 E2,5"</f>
        <v>MOLA DE COMPRESSAO C25 D19 E2,5</v>
      </c>
      <c r="C16026" s="2" t="str">
        <f t="shared" si="634"/>
        <v>UN</v>
      </c>
      <c r="D16026" s="7">
        <v>99999</v>
      </c>
      <c r="E16026" s="3">
        <v>10</v>
      </c>
      <c r="F16026" s="3">
        <v>10</v>
      </c>
      <c r="G16026" t="s">
        <v>512</v>
      </c>
    </row>
    <row r="16027" spans="1:7" x14ac:dyDescent="0.25">
      <c r="A16027" s="1" t="str">
        <f>"520372"</f>
        <v>520372</v>
      </c>
      <c r="B16027" s="2" t="str">
        <f>"MOLA DE COMPRESSAO C91 D35 E25"</f>
        <v>MOLA DE COMPRESSAO C91 D35 E25</v>
      </c>
      <c r="C16027" s="2" t="str">
        <f t="shared" si="634"/>
        <v>UN</v>
      </c>
      <c r="D16027" s="7">
        <v>99999</v>
      </c>
      <c r="E16027" s="3">
        <v>10</v>
      </c>
      <c r="F16027" s="3">
        <v>10</v>
      </c>
      <c r="G16027" t="s">
        <v>513</v>
      </c>
    </row>
    <row r="16028" spans="1:7" x14ac:dyDescent="0.25">
      <c r="A16028" s="1" t="str">
        <f>"520371"</f>
        <v>520371</v>
      </c>
      <c r="B16028" s="2" t="str">
        <f>"MOLA DE COMPRESSAO C92 D45 E5"</f>
        <v>MOLA DE COMPRESSAO C92 D45 E5</v>
      </c>
      <c r="C16028" s="2" t="str">
        <f t="shared" si="634"/>
        <v>UN</v>
      </c>
      <c r="D16028" s="7">
        <v>99999</v>
      </c>
      <c r="E16028" s="3">
        <v>10</v>
      </c>
      <c r="F16028" s="3">
        <v>10</v>
      </c>
      <c r="G16028" t="s">
        <v>514</v>
      </c>
    </row>
    <row r="16029" spans="1:7" x14ac:dyDescent="0.25">
      <c r="A16029" s="1" t="str">
        <f>"520370"</f>
        <v>520370</v>
      </c>
      <c r="B16029" s="2" t="str">
        <f>"MOLA DE COMPRESSAO QUADRADA C25 D18 E4"</f>
        <v>MOLA DE COMPRESSAO QUADRADA C25 D18 E4</v>
      </c>
      <c r="C16029" s="2" t="str">
        <f t="shared" si="634"/>
        <v>UN</v>
      </c>
      <c r="D16029" s="7">
        <v>99999</v>
      </c>
      <c r="E16029" s="3">
        <v>99</v>
      </c>
      <c r="F16029" s="3">
        <v>99</v>
      </c>
      <c r="G16029" t="s">
        <v>515</v>
      </c>
    </row>
    <row r="16030" spans="1:7" x14ac:dyDescent="0.25">
      <c r="A16030" s="1" t="str">
        <f>"501433"</f>
        <v>501433</v>
      </c>
      <c r="B16030" s="2" t="str">
        <f>"MOLA DE FREIO 20 NM"</f>
        <v>MOLA DE FREIO 20 NM</v>
      </c>
      <c r="C16030" s="2" t="str">
        <f t="shared" si="634"/>
        <v>UN</v>
      </c>
      <c r="D16030" s="7">
        <v>704</v>
      </c>
      <c r="E16030" s="3">
        <v>9</v>
      </c>
      <c r="F16030" s="3">
        <v>9</v>
      </c>
      <c r="G16030" t="s">
        <v>512</v>
      </c>
    </row>
    <row r="16031" spans="1:7" x14ac:dyDescent="0.25">
      <c r="A16031" s="1" t="str">
        <f>"504566"</f>
        <v>504566</v>
      </c>
      <c r="B16031" s="2" t="str">
        <f>"MOLA DE FREIO ESTACIONARIO (FORD 1622)"</f>
        <v>MOLA DE FREIO ESTACIONARIO (FORD 1622)</v>
      </c>
      <c r="C16031" s="2" t="str">
        <f t="shared" si="634"/>
        <v>UN</v>
      </c>
      <c r="D16031" s="7">
        <v>704</v>
      </c>
      <c r="E16031" s="3">
        <v>9</v>
      </c>
      <c r="F16031" s="3">
        <v>9</v>
      </c>
      <c r="G16031" t="s">
        <v>516</v>
      </c>
    </row>
    <row r="16032" spans="1:7" x14ac:dyDescent="0.25">
      <c r="A16032" s="1" t="str">
        <f>"509035"</f>
        <v>509035</v>
      </c>
      <c r="B16032" s="2" t="str">
        <f>"MOLA DE FRICÇAO 05.3120.067.50"</f>
        <v>MOLA DE FRICÇAO 05.3120.067.50</v>
      </c>
      <c r="C16032" s="2" t="str">
        <f t="shared" si="634"/>
        <v>UN</v>
      </c>
      <c r="D16032" s="7">
        <v>918</v>
      </c>
      <c r="E16032" s="3">
        <v>11</v>
      </c>
      <c r="F16032" s="3">
        <v>11</v>
      </c>
      <c r="G16032" t="s">
        <v>515</v>
      </c>
    </row>
    <row r="16033" spans="1:7" x14ac:dyDescent="0.25">
      <c r="A16033" s="1" t="str">
        <f>"510464"</f>
        <v>510464</v>
      </c>
      <c r="B16033" s="2" t="str">
        <f>"MOLA DE TORÇAO GRANDE  COD. 23.04.411-4"</f>
        <v>MOLA DE TORÇAO GRANDE  COD. 23.04.411-4</v>
      </c>
      <c r="C16033" s="2" t="str">
        <f t="shared" si="634"/>
        <v>UN</v>
      </c>
      <c r="D16033" s="7">
        <v>918</v>
      </c>
      <c r="E16033" s="3">
        <v>11</v>
      </c>
      <c r="F16033" s="3">
        <v>11</v>
      </c>
      <c r="G16033" t="s">
        <v>514</v>
      </c>
    </row>
    <row r="16034" spans="1:7" x14ac:dyDescent="0.25">
      <c r="A16034" s="1" t="str">
        <f>"520374"</f>
        <v>520374</v>
      </c>
      <c r="B16034" s="2" t="str">
        <f>"MOLA DE TORCAO HORARIO C105 D28 E3"</f>
        <v>MOLA DE TORCAO HORARIO C105 D28 E3</v>
      </c>
      <c r="C16034" s="2" t="str">
        <f t="shared" si="634"/>
        <v>UN</v>
      </c>
      <c r="D16034" s="7">
        <v>99999</v>
      </c>
      <c r="E16034" s="3">
        <v>10</v>
      </c>
      <c r="F16034" s="3">
        <v>10</v>
      </c>
      <c r="G16034" t="s">
        <v>512</v>
      </c>
    </row>
    <row r="16035" spans="1:7" x14ac:dyDescent="0.25">
      <c r="A16035" s="1" t="str">
        <f>"510465"</f>
        <v>510465</v>
      </c>
      <c r="B16035" s="2" t="str">
        <f>"MOLA DE TORÇAO PEQUENA COD. 23.04.410-4"</f>
        <v>MOLA DE TORÇAO PEQUENA COD. 23.04.410-4</v>
      </c>
      <c r="C16035" s="2" t="str">
        <f t="shared" si="634"/>
        <v>UN</v>
      </c>
      <c r="D16035" s="7">
        <v>918</v>
      </c>
      <c r="E16035" s="3">
        <v>11</v>
      </c>
      <c r="F16035" s="3">
        <v>11</v>
      </c>
      <c r="G16035" t="s">
        <v>513</v>
      </c>
    </row>
    <row r="16036" spans="1:7" x14ac:dyDescent="0.25">
      <c r="A16036" s="1" t="str">
        <f>"509652"</f>
        <v>509652</v>
      </c>
      <c r="B16036" s="2" t="str">
        <f>"MOLA DE VALVULA DE DESCARGA APC-4015R"</f>
        <v>MOLA DE VALVULA DE DESCARGA APC-4015R</v>
      </c>
      <c r="C16036" s="2" t="str">
        <f t="shared" si="634"/>
        <v>UN</v>
      </c>
      <c r="D16036" s="7">
        <v>918</v>
      </c>
      <c r="E16036" s="3">
        <v>11</v>
      </c>
      <c r="F16036" s="3">
        <v>11</v>
      </c>
      <c r="G16036" t="s">
        <v>514</v>
      </c>
    </row>
    <row r="16037" spans="1:7" x14ac:dyDescent="0.25">
      <c r="A16037" s="1" t="str">
        <f>"507734"</f>
        <v>507734</v>
      </c>
      <c r="B16037" s="2" t="str">
        <f>"MOLA DE VALVULA DE VAPOR SKU 80.09-10"</f>
        <v>MOLA DE VALVULA DE VAPOR SKU 80.09-10</v>
      </c>
      <c r="C16037" s="2" t="str">
        <f t="shared" si="634"/>
        <v>UN</v>
      </c>
      <c r="D16037" s="7">
        <v>402</v>
      </c>
      <c r="E16037" s="3">
        <v>4</v>
      </c>
      <c r="F16037" s="3">
        <v>4</v>
      </c>
      <c r="G16037" t="s">
        <v>514</v>
      </c>
    </row>
    <row r="16038" spans="1:7" x14ac:dyDescent="0.25">
      <c r="A16038" s="1" t="str">
        <f>"519778"</f>
        <v>519778</v>
      </c>
      <c r="B16038" s="8" t="s">
        <v>119</v>
      </c>
      <c r="C16038" s="2" t="str">
        <f t="shared" si="634"/>
        <v>UN</v>
      </c>
      <c r="D16038" s="7">
        <v>918</v>
      </c>
      <c r="E16038" s="3">
        <v>11</v>
      </c>
      <c r="F16038" s="3">
        <v>11</v>
      </c>
      <c r="G16038" t="s">
        <v>512</v>
      </c>
    </row>
    <row r="16039" spans="1:7" x14ac:dyDescent="0.25">
      <c r="A16039" s="1" t="str">
        <f>"519776"</f>
        <v>519776</v>
      </c>
      <c r="B16039" s="8" t="s">
        <v>117</v>
      </c>
      <c r="C16039" s="2" t="str">
        <f t="shared" si="634"/>
        <v>UN</v>
      </c>
      <c r="D16039" s="7">
        <v>918</v>
      </c>
      <c r="E16039" s="3">
        <v>11</v>
      </c>
      <c r="F16039" s="3">
        <v>11</v>
      </c>
      <c r="G16039" t="s">
        <v>513</v>
      </c>
    </row>
    <row r="16040" spans="1:7" x14ac:dyDescent="0.25">
      <c r="A16040" s="1" t="str">
        <f>"520366"</f>
        <v>520366</v>
      </c>
      <c r="B16040" s="8" t="s">
        <v>126</v>
      </c>
      <c r="C16040" s="2" t="str">
        <f t="shared" si="634"/>
        <v>UN</v>
      </c>
      <c r="D16040" s="7">
        <v>99999</v>
      </c>
      <c r="E16040" s="3">
        <v>10</v>
      </c>
      <c r="F16040" s="3">
        <v>10</v>
      </c>
      <c r="G16040" t="s">
        <v>514</v>
      </c>
    </row>
    <row r="16041" spans="1:7" x14ac:dyDescent="0.25">
      <c r="A16041" s="1" t="str">
        <f>"519775"</f>
        <v>519775</v>
      </c>
      <c r="B16041" s="8" t="s">
        <v>116</v>
      </c>
      <c r="C16041" s="2" t="str">
        <f t="shared" si="634"/>
        <v>UN</v>
      </c>
      <c r="D16041" s="7">
        <v>918</v>
      </c>
      <c r="E16041" s="3">
        <v>11</v>
      </c>
      <c r="F16041" s="3">
        <v>11</v>
      </c>
      <c r="G16041" t="s">
        <v>514</v>
      </c>
    </row>
    <row r="16042" spans="1:7" x14ac:dyDescent="0.25">
      <c r="A16042" s="1" t="str">
        <f>"520369"</f>
        <v>520369</v>
      </c>
      <c r="B16042" s="8" t="s">
        <v>128</v>
      </c>
      <c r="C16042" s="2" t="str">
        <f t="shared" si="634"/>
        <v>UN</v>
      </c>
      <c r="D16042" s="7">
        <v>99999</v>
      </c>
      <c r="E16042" s="3">
        <v>10</v>
      </c>
      <c r="F16042" s="3">
        <v>10</v>
      </c>
      <c r="G16042" t="s">
        <v>514</v>
      </c>
    </row>
    <row r="16043" spans="1:7" x14ac:dyDescent="0.25">
      <c r="A16043" s="1" t="str">
        <f>"519777"</f>
        <v>519777</v>
      </c>
      <c r="B16043" s="8" t="s">
        <v>118</v>
      </c>
      <c r="C16043" s="2" t="str">
        <f t="shared" si="634"/>
        <v>UN</v>
      </c>
      <c r="D16043" s="7">
        <v>918</v>
      </c>
      <c r="E16043" s="3">
        <v>11</v>
      </c>
      <c r="F16043" s="3">
        <v>11</v>
      </c>
      <c r="G16043" t="s">
        <v>513</v>
      </c>
    </row>
    <row r="16044" spans="1:7" x14ac:dyDescent="0.25">
      <c r="A16044" s="1" t="str">
        <f>"520373"</f>
        <v>520373</v>
      </c>
      <c r="B16044" s="8" t="s">
        <v>129</v>
      </c>
      <c r="C16044" s="2" t="str">
        <f t="shared" si="634"/>
        <v>UN</v>
      </c>
      <c r="D16044" s="7">
        <v>99999</v>
      </c>
      <c r="E16044" s="3">
        <v>10</v>
      </c>
      <c r="F16044" s="3">
        <v>10</v>
      </c>
      <c r="G16044" t="s">
        <v>512</v>
      </c>
    </row>
    <row r="16045" spans="1:7" x14ac:dyDescent="0.25">
      <c r="A16045" s="1" t="str">
        <f>"522602"</f>
        <v>522602</v>
      </c>
      <c r="B16045" s="2" t="str">
        <f>"MOLA DINI 550MM CO-11083 POS 2-22-1433-23"</f>
        <v>MOLA DINI 550MM CO-11083 POS 2-22-1433-23</v>
      </c>
      <c r="C16045" s="2" t="str">
        <f t="shared" si="634"/>
        <v>UN</v>
      </c>
      <c r="D16045" s="7">
        <v>918</v>
      </c>
      <c r="E16045" s="3">
        <v>11</v>
      </c>
      <c r="F16045" s="3">
        <v>11</v>
      </c>
      <c r="G16045" t="s">
        <v>513</v>
      </c>
    </row>
    <row r="16046" spans="1:7" x14ac:dyDescent="0.25">
      <c r="A16046" s="1" t="str">
        <f>"507652"</f>
        <v>507652</v>
      </c>
      <c r="B16046" s="2" t="str">
        <f>"MOLA DO CABECALHO (JULIETA)"</f>
        <v>MOLA DO CABECALHO (JULIETA)</v>
      </c>
      <c r="C16046" s="2" t="str">
        <f t="shared" si="634"/>
        <v>UN</v>
      </c>
      <c r="D16046" s="7">
        <v>704</v>
      </c>
      <c r="E16046" s="3">
        <v>9</v>
      </c>
      <c r="F16046" s="3">
        <v>9</v>
      </c>
      <c r="G16046" t="s">
        <v>514</v>
      </c>
    </row>
    <row r="16047" spans="1:7" x14ac:dyDescent="0.25">
      <c r="A16047" s="1" t="str">
        <f>"501715"</f>
        <v>501715</v>
      </c>
      <c r="B16047" s="2" t="str">
        <f>"MOLA DO PATIM"</f>
        <v>MOLA DO PATIM</v>
      </c>
      <c r="C16047" s="2" t="str">
        <f t="shared" si="634"/>
        <v>UN</v>
      </c>
      <c r="D16047" s="7">
        <v>704</v>
      </c>
      <c r="E16047" s="3">
        <v>9</v>
      </c>
      <c r="F16047" s="3">
        <v>9</v>
      </c>
      <c r="G16047" t="s">
        <v>514</v>
      </c>
    </row>
    <row r="16048" spans="1:7" x14ac:dyDescent="0.25">
      <c r="A16048" s="1" t="str">
        <f>"510312"</f>
        <v>510312</v>
      </c>
      <c r="B16048" s="2" t="str">
        <f>"MOLA DO PISTAO 008701205"</f>
        <v>MOLA DO PISTAO 008701205</v>
      </c>
      <c r="C16048" s="2" t="str">
        <f t="shared" si="634"/>
        <v>UN</v>
      </c>
      <c r="D16048" s="7">
        <v>918</v>
      </c>
      <c r="E16048" s="3">
        <v>11</v>
      </c>
      <c r="F16048" s="3">
        <v>11</v>
      </c>
      <c r="G16048" t="s">
        <v>514</v>
      </c>
    </row>
    <row r="16049" spans="1:7" x14ac:dyDescent="0.25">
      <c r="A16049" s="1" t="str">
        <f>"509109"</f>
        <v>509109</v>
      </c>
      <c r="B16049" s="2" t="str">
        <f>"MOLA DO PISTAO POS.020 APC-1153"</f>
        <v>MOLA DO PISTAO POS.020 APC-1153</v>
      </c>
      <c r="C16049" s="2" t="str">
        <f t="shared" si="634"/>
        <v>UN</v>
      </c>
      <c r="D16049" s="7">
        <v>918</v>
      </c>
      <c r="E16049" s="3">
        <v>11</v>
      </c>
      <c r="F16049" s="3">
        <v>11</v>
      </c>
      <c r="G16049" t="s">
        <v>513</v>
      </c>
    </row>
    <row r="16050" spans="1:7" x14ac:dyDescent="0.25">
      <c r="A16050" s="1" t="str">
        <f>"501412"</f>
        <v>501412</v>
      </c>
      <c r="B16050" s="2" t="str">
        <f>"MOLA DO SELO - ZM"</f>
        <v>MOLA DO SELO - ZM</v>
      </c>
      <c r="C16050" s="2" t="str">
        <f t="shared" si="634"/>
        <v>UN</v>
      </c>
      <c r="D16050" s="7">
        <v>918</v>
      </c>
      <c r="E16050" s="3">
        <v>9</v>
      </c>
      <c r="F16050" s="3">
        <v>9</v>
      </c>
      <c r="G16050" t="s">
        <v>513</v>
      </c>
    </row>
    <row r="16051" spans="1:7" x14ac:dyDescent="0.25">
      <c r="A16051" s="1" t="str">
        <f>"517946"</f>
        <v>517946</v>
      </c>
      <c r="B16051" s="2" t="str">
        <f>"MOLA DOBRAR CANO 3/4"""</f>
        <v>MOLA DOBRAR CANO 3/4"</v>
      </c>
      <c r="C16051" s="2" t="str">
        <f t="shared" si="634"/>
        <v>UN</v>
      </c>
      <c r="D16051" s="7">
        <v>916</v>
      </c>
      <c r="E16051" s="3">
        <v>4</v>
      </c>
      <c r="F16051" s="3">
        <v>4</v>
      </c>
      <c r="G16051" t="s">
        <v>513</v>
      </c>
    </row>
    <row r="16052" spans="1:7" x14ac:dyDescent="0.25">
      <c r="A16052" s="1" t="str">
        <f>"517945"</f>
        <v>517945</v>
      </c>
      <c r="B16052" s="2" t="str">
        <f>"MOLA DOBRAR CANO 5/8"""</f>
        <v>MOLA DOBRAR CANO 5/8"</v>
      </c>
      <c r="C16052" s="2" t="str">
        <f t="shared" si="634"/>
        <v>UN</v>
      </c>
      <c r="D16052" s="7">
        <v>916</v>
      </c>
      <c r="E16052" s="3">
        <v>4</v>
      </c>
      <c r="F16052" s="3">
        <v>4</v>
      </c>
      <c r="G16052" t="s">
        <v>512</v>
      </c>
    </row>
    <row r="16053" spans="1:7" x14ac:dyDescent="0.25">
      <c r="A16053" s="1" t="str">
        <f>"526812"</f>
        <v>526812</v>
      </c>
      <c r="B16053" s="2" t="str">
        <f>"MOLA E ANEL DE TRAVA P/ LIQUIVERTER P717835"</f>
        <v>MOLA E ANEL DE TRAVA P/ LIQUIVERTER P717835</v>
      </c>
      <c r="C16053" s="2" t="str">
        <f t="shared" si="634"/>
        <v>UN</v>
      </c>
      <c r="D16053" s="7">
        <v>909</v>
      </c>
      <c r="E16053" s="3">
        <v>11</v>
      </c>
      <c r="F16053" s="3">
        <v>11</v>
      </c>
      <c r="G16053" t="s">
        <v>513</v>
      </c>
    </row>
    <row r="16054" spans="1:7" x14ac:dyDescent="0.25">
      <c r="A16054" s="1" t="str">
        <f>"507811"</f>
        <v>507811</v>
      </c>
      <c r="B16054" s="2" t="str">
        <f>"MOLA ESPECIAL P/ VALVULA 19G65/100/CMO"</f>
        <v>MOLA ESPECIAL P/ VALVULA 19G65/100/CMO</v>
      </c>
      <c r="C16054" s="2" t="str">
        <f t="shared" si="634"/>
        <v>UN</v>
      </c>
      <c r="D16054" s="7">
        <v>918</v>
      </c>
      <c r="E16054" s="3">
        <v>11</v>
      </c>
      <c r="F16054" s="3">
        <v>11</v>
      </c>
      <c r="G16054" t="s">
        <v>514</v>
      </c>
    </row>
    <row r="16055" spans="1:7" x14ac:dyDescent="0.25">
      <c r="A16055" s="1" t="str">
        <f>"510034"</f>
        <v>510034</v>
      </c>
      <c r="B16055" s="2" t="str">
        <f>"MOLA ESPECIAL VOLUTA 65/100/CMO"</f>
        <v>MOLA ESPECIAL VOLUTA 65/100/CMO</v>
      </c>
      <c r="C16055" s="2" t="str">
        <f t="shared" si="634"/>
        <v>UN</v>
      </c>
      <c r="D16055" s="7">
        <v>918</v>
      </c>
      <c r="E16055" s="3">
        <v>11</v>
      </c>
      <c r="F16055" s="3">
        <v>11</v>
      </c>
      <c r="G16055" t="s">
        <v>515</v>
      </c>
    </row>
    <row r="16056" spans="1:7" x14ac:dyDescent="0.25">
      <c r="A16056" s="1" t="str">
        <f>"503265"</f>
        <v>503265</v>
      </c>
      <c r="B16056" s="2" t="str">
        <f>"MOLA ESTICADOR DISCO FREIO FILME SAQUI"</f>
        <v>MOLA ESTICADOR DISCO FREIO FILME SAQUI</v>
      </c>
      <c r="C16056" s="2" t="str">
        <f t="shared" si="634"/>
        <v>UN</v>
      </c>
      <c r="D16056" s="7">
        <v>918</v>
      </c>
      <c r="E16056" s="3">
        <v>11</v>
      </c>
      <c r="F16056" s="3">
        <v>11</v>
      </c>
      <c r="G16056" t="s">
        <v>512</v>
      </c>
    </row>
    <row r="16057" spans="1:7" x14ac:dyDescent="0.25">
      <c r="A16057" s="1" t="str">
        <f>"512361"</f>
        <v>512361</v>
      </c>
      <c r="B16057" s="2" t="str">
        <f>"MOLA EXT.10 FIO.1,3 COMP.25 ESP.8"</f>
        <v>MOLA EXT.10 FIO.1,3 COMP.25 ESP.8</v>
      </c>
      <c r="C16057" s="2" t="str">
        <f>"PC"</f>
        <v>PC</v>
      </c>
      <c r="D16057" s="7">
        <v>918</v>
      </c>
      <c r="E16057" s="3">
        <v>11</v>
      </c>
      <c r="F16057" s="3">
        <v>11</v>
      </c>
      <c r="G16057" t="s">
        <v>516</v>
      </c>
    </row>
    <row r="16058" spans="1:7" x14ac:dyDescent="0.25">
      <c r="A16058" s="1" t="str">
        <f>"512590"</f>
        <v>512590</v>
      </c>
      <c r="B16058" s="2" t="str">
        <f>"MOLA EXT.15 FIO.1,5 COMP.18 ESP.4"</f>
        <v>MOLA EXT.15 FIO.1,5 COMP.18 ESP.4</v>
      </c>
      <c r="C16058" s="2" t="str">
        <f>"PC"</f>
        <v>PC</v>
      </c>
      <c r="D16058" s="7">
        <v>918</v>
      </c>
      <c r="E16058" s="3">
        <v>11</v>
      </c>
      <c r="F16058" s="3">
        <v>11</v>
      </c>
      <c r="G16058" t="s">
        <v>515</v>
      </c>
    </row>
    <row r="16059" spans="1:7" x14ac:dyDescent="0.25">
      <c r="A16059" s="1" t="str">
        <f>"518036"</f>
        <v>518036</v>
      </c>
      <c r="B16059" s="2" t="str">
        <f>"MOLA EXT.19 FIO.2,5 COMP.25 ESP.5"</f>
        <v>MOLA EXT.19 FIO.2,5 COMP.25 ESP.5</v>
      </c>
      <c r="C16059" s="2" t="str">
        <f>"UN"</f>
        <v>UN</v>
      </c>
      <c r="D16059" s="7">
        <v>918</v>
      </c>
      <c r="E16059" s="3">
        <v>10</v>
      </c>
      <c r="F16059" s="3">
        <v>10</v>
      </c>
      <c r="G16059" t="s">
        <v>514</v>
      </c>
    </row>
    <row r="16060" spans="1:7" x14ac:dyDescent="0.25">
      <c r="A16060" s="1" t="str">
        <f>"518035"</f>
        <v>518035</v>
      </c>
      <c r="B16060" s="2" t="str">
        <f>"MOLA EXT.21 FIO.4 COMP.35 ESP.7"</f>
        <v>MOLA EXT.21 FIO.4 COMP.35 ESP.7</v>
      </c>
      <c r="C16060" s="2" t="str">
        <f>"UN"</f>
        <v>UN</v>
      </c>
      <c r="D16060" s="7">
        <v>918</v>
      </c>
      <c r="E16060" s="3">
        <v>11</v>
      </c>
      <c r="F16060" s="3">
        <v>11</v>
      </c>
      <c r="G16060" t="s">
        <v>512</v>
      </c>
    </row>
    <row r="16061" spans="1:7" x14ac:dyDescent="0.25">
      <c r="A16061" s="1" t="str">
        <f>"517200"</f>
        <v>517200</v>
      </c>
      <c r="B16061" s="2" t="str">
        <f>"MOLA EXT.34 FIO.4 COMP.90 ESP.14"</f>
        <v>MOLA EXT.34 FIO.4 COMP.90 ESP.14</v>
      </c>
      <c r="C16061" s="2" t="str">
        <f>"UN"</f>
        <v>UN</v>
      </c>
      <c r="D16061" s="7">
        <v>918</v>
      </c>
      <c r="E16061" s="3">
        <v>11</v>
      </c>
      <c r="F16061" s="3">
        <v>11</v>
      </c>
      <c r="G16061" t="s">
        <v>513</v>
      </c>
    </row>
    <row r="16062" spans="1:7" x14ac:dyDescent="0.25">
      <c r="A16062" s="1" t="str">
        <f>"512341"</f>
        <v>512341</v>
      </c>
      <c r="B16062" s="2" t="str">
        <f>"MOLA EXT.4,5 FIO.1,0 COMP.19 ESP.12"</f>
        <v>MOLA EXT.4,5 FIO.1,0 COMP.19 ESP.12</v>
      </c>
      <c r="C16062" s="2" t="str">
        <f>"PC"</f>
        <v>PC</v>
      </c>
      <c r="D16062" s="7">
        <v>918</v>
      </c>
      <c r="E16062" s="3">
        <v>11</v>
      </c>
      <c r="F16062" s="3">
        <v>11</v>
      </c>
      <c r="G16062" t="s">
        <v>514</v>
      </c>
    </row>
    <row r="16063" spans="1:7" x14ac:dyDescent="0.25">
      <c r="A16063" s="1" t="str">
        <f>"516561"</f>
        <v>516561</v>
      </c>
      <c r="B16063" s="2" t="str">
        <f>"MOLA EXT.44 X 32 FIO.3,0 COMP.25 ESP.5 (CONICA)"</f>
        <v>MOLA EXT.44 X 32 FIO.3,0 COMP.25 ESP.5 (CONICA)</v>
      </c>
      <c r="C16063" s="2" t="str">
        <f>"UN"</f>
        <v>UN</v>
      </c>
      <c r="D16063" s="7">
        <v>918</v>
      </c>
      <c r="E16063" s="3">
        <v>11</v>
      </c>
      <c r="F16063" s="3">
        <v>11</v>
      </c>
      <c r="G16063" t="s">
        <v>514</v>
      </c>
    </row>
    <row r="16064" spans="1:7" x14ac:dyDescent="0.25">
      <c r="A16064" s="1" t="str">
        <f>"516548"</f>
        <v>516548</v>
      </c>
      <c r="B16064" s="2" t="str">
        <f>"MOLA EXT.45 FIO.5 COMP.90 ESP.9"</f>
        <v>MOLA EXT.45 FIO.5 COMP.90 ESP.9</v>
      </c>
      <c r="C16064" s="2" t="str">
        <f>"UN"</f>
        <v>UN</v>
      </c>
      <c r="D16064" s="7">
        <v>918</v>
      </c>
      <c r="E16064" s="3">
        <v>11</v>
      </c>
      <c r="F16064" s="3">
        <v>11</v>
      </c>
      <c r="G16064" t="s">
        <v>512</v>
      </c>
    </row>
    <row r="16065" spans="1:7" x14ac:dyDescent="0.25">
      <c r="A16065" s="1" t="str">
        <f>"512362"</f>
        <v>512362</v>
      </c>
      <c r="B16065" s="2" t="str">
        <f>"MOLA EXT.6 FIO.1 COMP.12 ESP.8"</f>
        <v>MOLA EXT.6 FIO.1 COMP.12 ESP.8</v>
      </c>
      <c r="C16065" s="2" t="str">
        <f>"PC"</f>
        <v>PC</v>
      </c>
      <c r="D16065" s="7">
        <v>918</v>
      </c>
      <c r="E16065" s="3">
        <v>11</v>
      </c>
      <c r="F16065" s="3">
        <v>11</v>
      </c>
      <c r="G16065" t="s">
        <v>513</v>
      </c>
    </row>
    <row r="16066" spans="1:7" x14ac:dyDescent="0.25">
      <c r="A16066" s="1" t="str">
        <f>"512360"</f>
        <v>512360</v>
      </c>
      <c r="B16066" s="2" t="str">
        <f>"MOLA EXT.9 FIO.1,3 COMP.31 ESP.12"</f>
        <v>MOLA EXT.9 FIO.1,3 COMP.31 ESP.12</v>
      </c>
      <c r="C16066" s="2" t="str">
        <f>"PC"</f>
        <v>PC</v>
      </c>
      <c r="D16066" s="7">
        <v>918</v>
      </c>
      <c r="E16066" s="3">
        <v>11</v>
      </c>
      <c r="F16066" s="3">
        <v>11</v>
      </c>
      <c r="G16066" t="s">
        <v>514</v>
      </c>
    </row>
    <row r="16067" spans="1:7" x14ac:dyDescent="0.25">
      <c r="A16067" s="1" t="str">
        <f>"506958"</f>
        <v>506958</v>
      </c>
      <c r="B16067" s="2" t="str">
        <f>"MOLA FREIO ESTACIONARIO 2422/2428"</f>
        <v>MOLA FREIO ESTACIONARIO 2422/2428</v>
      </c>
      <c r="C16067" s="2" t="str">
        <f t="shared" ref="C16067:C16073" si="635">"UN"</f>
        <v>UN</v>
      </c>
      <c r="D16067" s="7">
        <v>704</v>
      </c>
      <c r="E16067" s="3">
        <v>9</v>
      </c>
      <c r="F16067" s="3">
        <v>9</v>
      </c>
      <c r="G16067" t="s">
        <v>514</v>
      </c>
    </row>
    <row r="16068" spans="1:7" x14ac:dyDescent="0.25">
      <c r="A16068" s="1" t="str">
        <f>"502547"</f>
        <v>502547</v>
      </c>
      <c r="B16068" s="2" t="str">
        <f>"MOLA FREIO MAGNETICO PUXADOR DE FILME"</f>
        <v>MOLA FREIO MAGNETICO PUXADOR DE FILME</v>
      </c>
      <c r="C16068" s="2" t="str">
        <f t="shared" si="635"/>
        <v>UN</v>
      </c>
      <c r="D16068" s="7">
        <v>918</v>
      </c>
      <c r="E16068" s="3">
        <v>11</v>
      </c>
      <c r="F16068" s="3">
        <v>11</v>
      </c>
      <c r="G16068" t="s">
        <v>514</v>
      </c>
    </row>
    <row r="16069" spans="1:7" x14ac:dyDescent="0.25">
      <c r="A16069" s="1" t="str">
        <f>"502404"</f>
        <v>502404</v>
      </c>
      <c r="B16069" s="2" t="str">
        <f>"MOLA GRANDE REQUEIJAO BITOLA 14MM"</f>
        <v>MOLA GRANDE REQUEIJAO BITOLA 14MM</v>
      </c>
      <c r="C16069" s="2" t="str">
        <f t="shared" si="635"/>
        <v>UN</v>
      </c>
      <c r="D16069" s="7">
        <v>918</v>
      </c>
      <c r="E16069" s="3">
        <v>11</v>
      </c>
      <c r="F16069" s="3">
        <v>11</v>
      </c>
      <c r="G16069" t="s">
        <v>513</v>
      </c>
    </row>
    <row r="16070" spans="1:7" x14ac:dyDescent="0.25">
      <c r="A16070" s="1" t="str">
        <f>"507139"</f>
        <v>507139</v>
      </c>
      <c r="B16070" s="2" t="str">
        <f>"MOLA GUIA FITA COD. 05.3120.065.50"</f>
        <v>MOLA GUIA FITA COD. 05.3120.065.50</v>
      </c>
      <c r="C16070" s="2" t="str">
        <f t="shared" si="635"/>
        <v>UN</v>
      </c>
      <c r="D16070" s="7">
        <v>918</v>
      </c>
      <c r="E16070" s="3">
        <v>11</v>
      </c>
      <c r="F16070" s="3">
        <v>11</v>
      </c>
      <c r="G16070" t="s">
        <v>512</v>
      </c>
    </row>
    <row r="16071" spans="1:7" x14ac:dyDescent="0.25">
      <c r="A16071" s="1" t="str">
        <f>"509497"</f>
        <v>509497</v>
      </c>
      <c r="B16071" s="2" t="str">
        <f>"MOLA HELIC COMPRESS FERM 13643703"</f>
        <v>MOLA HELIC COMPRESS FERM 13643703</v>
      </c>
      <c r="C16071" s="2" t="str">
        <f t="shared" si="635"/>
        <v>UN</v>
      </c>
      <c r="D16071" s="7">
        <v>918</v>
      </c>
      <c r="E16071" s="3">
        <v>11</v>
      </c>
      <c r="F16071" s="3">
        <v>11</v>
      </c>
      <c r="G16071" t="s">
        <v>513</v>
      </c>
    </row>
    <row r="16072" spans="1:7" x14ac:dyDescent="0.25">
      <c r="A16072" s="1" t="str">
        <f>"502965"</f>
        <v>502965</v>
      </c>
      <c r="B16072" s="2" t="str">
        <f>"MOLA HELIC.PRESSORA DES4988 COD.15017603"</f>
        <v>MOLA HELIC.PRESSORA DES4988 COD.15017603</v>
      </c>
      <c r="C16072" s="2" t="str">
        <f t="shared" si="635"/>
        <v>UN</v>
      </c>
      <c r="D16072" s="7">
        <v>918</v>
      </c>
      <c r="E16072" s="3">
        <v>11</v>
      </c>
      <c r="F16072" s="3">
        <v>11</v>
      </c>
      <c r="G16072" t="s">
        <v>514</v>
      </c>
    </row>
    <row r="16073" spans="1:7" x14ac:dyDescent="0.25">
      <c r="A16073" s="1" t="str">
        <f>"512368"</f>
        <v>512368</v>
      </c>
      <c r="B16073" s="2" t="str">
        <f>"MOLA HELICOIDAL 156965-3"</f>
        <v>MOLA HELICOIDAL 156965-3</v>
      </c>
      <c r="C16073" s="2" t="str">
        <f t="shared" si="635"/>
        <v>UN</v>
      </c>
      <c r="D16073" s="7">
        <v>918</v>
      </c>
      <c r="E16073" s="3">
        <v>11</v>
      </c>
      <c r="F16073" s="3">
        <v>11</v>
      </c>
      <c r="G16073" t="s">
        <v>514</v>
      </c>
    </row>
    <row r="16074" spans="1:7" x14ac:dyDescent="0.25">
      <c r="A16074" s="1" t="str">
        <f>"520413"</f>
        <v>520413</v>
      </c>
      <c r="B16074" s="8" t="s">
        <v>136</v>
      </c>
      <c r="C16074" s="2" t="str">
        <f>"PC"</f>
        <v>PC</v>
      </c>
      <c r="D16074" s="7">
        <v>812</v>
      </c>
      <c r="E16074" s="3">
        <v>11</v>
      </c>
      <c r="F16074" s="3">
        <v>11</v>
      </c>
      <c r="G16074" t="s">
        <v>514</v>
      </c>
    </row>
    <row r="16075" spans="1:7" x14ac:dyDescent="0.25">
      <c r="A16075" s="1" t="str">
        <f>"504239"</f>
        <v>504239</v>
      </c>
      <c r="B16075" s="2" t="str">
        <f>"MOLA HELICOIDAL DES.43734 COD.154762-3"</f>
        <v>MOLA HELICOIDAL DES.43734 COD.154762-3</v>
      </c>
      <c r="C16075" s="2" t="str">
        <f>"UN"</f>
        <v>UN</v>
      </c>
      <c r="D16075" s="7">
        <v>918</v>
      </c>
      <c r="E16075" s="3">
        <v>11</v>
      </c>
      <c r="F16075" s="3">
        <v>11</v>
      </c>
      <c r="G16075" t="s">
        <v>513</v>
      </c>
    </row>
    <row r="16076" spans="1:7" x14ac:dyDescent="0.25">
      <c r="A16076" s="1" t="str">
        <f>"505312"</f>
        <v>505312</v>
      </c>
      <c r="B16076" s="2" t="str">
        <f>"MOLA HELICOIDAL DES.48060 COD.165594-3"</f>
        <v>MOLA HELICOIDAL DES.48060 COD.165594-3</v>
      </c>
      <c r="C16076" s="2" t="str">
        <f>"UN"</f>
        <v>UN</v>
      </c>
      <c r="D16076" s="7">
        <v>918</v>
      </c>
      <c r="E16076" s="3">
        <v>11</v>
      </c>
      <c r="F16076" s="3">
        <v>11</v>
      </c>
      <c r="G16076" t="s">
        <v>513</v>
      </c>
    </row>
    <row r="16077" spans="1:7" x14ac:dyDescent="0.25">
      <c r="A16077" s="1" t="str">
        <f>"510841"</f>
        <v>510841</v>
      </c>
      <c r="B16077" s="2" t="str">
        <f>"MOLA HELICOIDAL ESTICADORA COD153335-3"</f>
        <v>MOLA HELICOIDAL ESTICADORA COD153335-3</v>
      </c>
      <c r="C16077" s="2" t="str">
        <f>"UN"</f>
        <v>UN</v>
      </c>
      <c r="D16077" s="7">
        <v>918</v>
      </c>
      <c r="E16077" s="3">
        <v>11</v>
      </c>
      <c r="F16077" s="3">
        <v>11</v>
      </c>
      <c r="G16077" t="s">
        <v>513</v>
      </c>
    </row>
    <row r="16078" spans="1:7" x14ac:dyDescent="0.25">
      <c r="A16078" s="1" t="str">
        <f>"500449"</f>
        <v>500449</v>
      </c>
      <c r="B16078" s="2" t="str">
        <f>"MOLA HELICOIDAL ESTICADORA COD154787-3"</f>
        <v>MOLA HELICOIDAL ESTICADORA COD154787-3</v>
      </c>
      <c r="C16078" s="2" t="str">
        <f>"UN"</f>
        <v>UN</v>
      </c>
      <c r="D16078" s="7">
        <v>918</v>
      </c>
      <c r="E16078" s="3">
        <v>11</v>
      </c>
      <c r="F16078" s="3">
        <v>11</v>
      </c>
      <c r="G16078" t="s">
        <v>512</v>
      </c>
    </row>
    <row r="16079" spans="1:7" x14ac:dyDescent="0.25">
      <c r="A16079" s="1" t="str">
        <f>"503851"</f>
        <v>503851</v>
      </c>
      <c r="B16079" s="2" t="str">
        <f>"MOLA HELICOIDAL SOLDADOR D42194 COD.15472103"</f>
        <v>MOLA HELICOIDAL SOLDADOR D42194 COD.15472103</v>
      </c>
      <c r="C16079" s="2" t="str">
        <f>"UN"</f>
        <v>UN</v>
      </c>
      <c r="D16079" s="7">
        <v>918</v>
      </c>
      <c r="E16079" s="3">
        <v>11</v>
      </c>
      <c r="F16079" s="3">
        <v>11</v>
      </c>
      <c r="G16079" t="s">
        <v>513</v>
      </c>
    </row>
    <row r="16080" spans="1:7" x14ac:dyDescent="0.25">
      <c r="A16080" s="1" t="str">
        <f>"502752"</f>
        <v>502752</v>
      </c>
      <c r="B16080" s="2" t="str">
        <f>"MOLA HELICOIDAL VALV DESVIO COD.155967"</f>
        <v>MOLA HELICOIDAL VALV DESVIO COD.155967</v>
      </c>
      <c r="C16080" s="2" t="str">
        <f>"PC"</f>
        <v>PC</v>
      </c>
      <c r="D16080" s="7">
        <v>918</v>
      </c>
      <c r="E16080" s="3">
        <v>11</v>
      </c>
      <c r="F16080" s="3">
        <v>11</v>
      </c>
      <c r="G16080" t="s">
        <v>514</v>
      </c>
    </row>
    <row r="16081" spans="1:7" x14ac:dyDescent="0.25">
      <c r="A16081" s="1" t="str">
        <f>"501215"</f>
        <v>501215</v>
      </c>
      <c r="B16081" s="2" t="str">
        <f>"MOLA HELICOIDAL VALVULA MAQ. 200/1000ml"</f>
        <v>MOLA HELICOIDAL VALVULA MAQ. 200/1000ml</v>
      </c>
      <c r="C16081" s="2" t="str">
        <f t="shared" ref="C16081:C16087" si="636">"UN"</f>
        <v>UN</v>
      </c>
      <c r="D16081" s="7">
        <v>918</v>
      </c>
      <c r="E16081" s="3">
        <v>11</v>
      </c>
      <c r="F16081" s="3">
        <v>11</v>
      </c>
      <c r="G16081" t="s">
        <v>515</v>
      </c>
    </row>
    <row r="16082" spans="1:7" x14ac:dyDescent="0.25">
      <c r="A16082" s="1" t="str">
        <f>"509013"</f>
        <v>509013</v>
      </c>
      <c r="B16082" s="2" t="str">
        <f>"MOLA HIDRAULICA DORMA MA-200 C/ SUPORTE"</f>
        <v>MOLA HIDRAULICA DORMA MA-200 C/ SUPORTE</v>
      </c>
      <c r="C16082" s="2" t="str">
        <f t="shared" si="636"/>
        <v>UN</v>
      </c>
      <c r="D16082" s="7">
        <v>402</v>
      </c>
      <c r="E16082" s="3">
        <v>4</v>
      </c>
      <c r="F16082" s="3">
        <v>4</v>
      </c>
      <c r="G16082" t="s">
        <v>512</v>
      </c>
    </row>
    <row r="16083" spans="1:7" x14ac:dyDescent="0.25">
      <c r="A16083" s="1" t="str">
        <f>"524592"</f>
        <v>524592</v>
      </c>
      <c r="B16083" s="2" t="str">
        <f>"MOLA HIDRAULICA DORMA P/ PISO"</f>
        <v>MOLA HIDRAULICA DORMA P/ PISO</v>
      </c>
      <c r="C16083" s="2" t="str">
        <f t="shared" si="636"/>
        <v>UN</v>
      </c>
      <c r="D16083" s="7">
        <v>917</v>
      </c>
      <c r="E16083" s="3">
        <v>10</v>
      </c>
      <c r="F16083" s="3">
        <v>10</v>
      </c>
      <c r="G16083" t="s">
        <v>516</v>
      </c>
    </row>
    <row r="16084" spans="1:7" x14ac:dyDescent="0.25">
      <c r="A16084" s="1" t="str">
        <f>"507295"</f>
        <v>507295</v>
      </c>
      <c r="B16084" s="2" t="str">
        <f>"MOLA HIDRAULICA P/ PORTA"</f>
        <v>MOLA HIDRAULICA P/ PORTA</v>
      </c>
      <c r="C16084" s="2" t="str">
        <f t="shared" si="636"/>
        <v>UN</v>
      </c>
      <c r="D16084" s="7">
        <v>402</v>
      </c>
      <c r="E16084" s="3">
        <v>4</v>
      </c>
      <c r="F16084" s="3">
        <v>4</v>
      </c>
      <c r="G16084" t="s">
        <v>515</v>
      </c>
    </row>
    <row r="16085" spans="1:7" x14ac:dyDescent="0.25">
      <c r="A16085" s="1" t="str">
        <f>"512777"</f>
        <v>512777</v>
      </c>
      <c r="B16085" s="2" t="str">
        <f>"MOLA HOMOGENEIZADOR 038200 APV CUBE 4600 APF-9626"</f>
        <v>MOLA HOMOGENEIZADOR 038200 APV CUBE 4600 APF-9626</v>
      </c>
      <c r="C16085" s="2" t="str">
        <f t="shared" si="636"/>
        <v>UN</v>
      </c>
      <c r="D16085" s="7">
        <v>918</v>
      </c>
      <c r="E16085" s="3">
        <v>11</v>
      </c>
      <c r="F16085" s="3">
        <v>11</v>
      </c>
      <c r="G16085" t="s">
        <v>514</v>
      </c>
    </row>
    <row r="16086" spans="1:7" x14ac:dyDescent="0.25">
      <c r="A16086" s="1" t="str">
        <f>"503334"</f>
        <v>503334</v>
      </c>
      <c r="B16086" s="2" t="str">
        <f>"MOLA INF POSICIONADORA ROSQ. DE TAMPA LT"</f>
        <v>MOLA INF POSICIONADORA ROSQ. DE TAMPA LT</v>
      </c>
      <c r="C16086" s="2" t="str">
        <f t="shared" si="636"/>
        <v>UN</v>
      </c>
      <c r="D16086" s="7">
        <v>918</v>
      </c>
      <c r="E16086" s="3">
        <v>11</v>
      </c>
      <c r="F16086" s="3">
        <v>11</v>
      </c>
      <c r="G16086" t="s">
        <v>512</v>
      </c>
    </row>
    <row r="16087" spans="1:7" x14ac:dyDescent="0.25">
      <c r="A16087" s="1" t="str">
        <f>"522532"</f>
        <v>522532</v>
      </c>
      <c r="B16087" s="8" t="s">
        <v>308</v>
      </c>
      <c r="C16087" s="2" t="str">
        <f t="shared" si="636"/>
        <v>UN</v>
      </c>
      <c r="D16087" s="7">
        <v>918</v>
      </c>
      <c r="E16087" s="3">
        <v>11</v>
      </c>
      <c r="F16087" s="3">
        <v>11</v>
      </c>
      <c r="G16087" t="s">
        <v>513</v>
      </c>
    </row>
    <row r="16088" spans="1:7" x14ac:dyDescent="0.25">
      <c r="A16088" s="1" t="str">
        <f>"520440"</f>
        <v>520440</v>
      </c>
      <c r="B16088" s="8" t="s">
        <v>139</v>
      </c>
      <c r="C16088" s="2" t="str">
        <f>"PC"</f>
        <v>PC</v>
      </c>
      <c r="D16088" s="7">
        <v>918</v>
      </c>
      <c r="E16088" s="3">
        <v>11</v>
      </c>
      <c r="F16088" s="3">
        <v>11</v>
      </c>
      <c r="G16088" t="s">
        <v>514</v>
      </c>
    </row>
    <row r="16089" spans="1:7" x14ac:dyDescent="0.25">
      <c r="A16089" s="1" t="str">
        <f>"519774"</f>
        <v>519774</v>
      </c>
      <c r="B16089" s="8" t="s">
        <v>115</v>
      </c>
      <c r="C16089" s="2" t="str">
        <f t="shared" ref="C16089:C16102" si="637">"UN"</f>
        <v>UN</v>
      </c>
      <c r="D16089" s="7">
        <v>918</v>
      </c>
      <c r="E16089" s="3">
        <v>11</v>
      </c>
      <c r="F16089" s="3">
        <v>11</v>
      </c>
      <c r="G16089" t="s">
        <v>514</v>
      </c>
    </row>
    <row r="16090" spans="1:7" x14ac:dyDescent="0.25">
      <c r="A16090" s="1" t="str">
        <f>"520368"</f>
        <v>520368</v>
      </c>
      <c r="B16090" s="8" t="s">
        <v>127</v>
      </c>
      <c r="C16090" s="2" t="str">
        <f t="shared" si="637"/>
        <v>UN</v>
      </c>
      <c r="D16090" s="7">
        <v>99999</v>
      </c>
      <c r="E16090" s="3">
        <v>10</v>
      </c>
      <c r="F16090" s="3">
        <v>10</v>
      </c>
      <c r="G16090" t="s">
        <v>512</v>
      </c>
    </row>
    <row r="16091" spans="1:7" x14ac:dyDescent="0.25">
      <c r="A16091" s="1" t="str">
        <f>"527215"</f>
        <v>527215</v>
      </c>
      <c r="B16091" s="2" t="str">
        <f>"MOLA INOX PASSO 5,5MM COMPRIMENTO 65MM DIAMETRO 10MM FIO 1MM"</f>
        <v>MOLA INOX PASSO 5,5MM COMPRIMENTO 65MM DIAMETRO 10MM FIO 1MM</v>
      </c>
      <c r="C16091" s="2" t="str">
        <f t="shared" si="637"/>
        <v>UN</v>
      </c>
      <c r="D16091" s="7">
        <v>918</v>
      </c>
      <c r="E16091" s="3">
        <v>11</v>
      </c>
      <c r="F16091" s="3">
        <v>11</v>
      </c>
      <c r="G16091" t="s">
        <v>513</v>
      </c>
    </row>
    <row r="16092" spans="1:7" x14ac:dyDescent="0.25">
      <c r="A16092" s="1" t="str">
        <f>"516643"</f>
        <v>516643</v>
      </c>
      <c r="B16092" s="2" t="str">
        <f>"MOLA JK 111490 RANNIE 132T-70.140 APF-9629"</f>
        <v>MOLA JK 111490 RANNIE 132T-70.140 APF-9629</v>
      </c>
      <c r="C16092" s="2" t="str">
        <f t="shared" si="637"/>
        <v>UN</v>
      </c>
      <c r="D16092" s="7">
        <v>918</v>
      </c>
      <c r="E16092" s="3">
        <v>11</v>
      </c>
      <c r="F16092" s="3">
        <v>11</v>
      </c>
      <c r="G16092" t="s">
        <v>514</v>
      </c>
    </row>
    <row r="16093" spans="1:7" x14ac:dyDescent="0.25">
      <c r="A16093" s="1" t="str">
        <f>"502441"</f>
        <v>502441</v>
      </c>
      <c r="B16093" s="2" t="str">
        <f>"MOLA MESTRE 80X12X1500"</f>
        <v>MOLA MESTRE 80X12X1500</v>
      </c>
      <c r="C16093" s="2" t="str">
        <f t="shared" si="637"/>
        <v>UN</v>
      </c>
      <c r="D16093" s="7">
        <v>704</v>
      </c>
      <c r="E16093" s="3">
        <v>9</v>
      </c>
      <c r="F16093" s="3">
        <v>9</v>
      </c>
      <c r="G16093" t="s">
        <v>514</v>
      </c>
    </row>
    <row r="16094" spans="1:7" x14ac:dyDescent="0.25">
      <c r="A16094" s="1" t="str">
        <f>"502433"</f>
        <v>502433</v>
      </c>
      <c r="B16094" s="2" t="str">
        <f>"MOLA MESTRE 80X16X1600"</f>
        <v>MOLA MESTRE 80X16X1600</v>
      </c>
      <c r="C16094" s="2" t="str">
        <f t="shared" si="637"/>
        <v>UN</v>
      </c>
      <c r="D16094" s="7">
        <v>704</v>
      </c>
      <c r="E16094" s="3">
        <v>9</v>
      </c>
      <c r="F16094" s="3">
        <v>9</v>
      </c>
      <c r="G16094" t="s">
        <v>514</v>
      </c>
    </row>
    <row r="16095" spans="1:7" x14ac:dyDescent="0.25">
      <c r="A16095" s="1" t="str">
        <f>"505923"</f>
        <v>505923</v>
      </c>
      <c r="B16095" s="2" t="str">
        <f>"MOLA MESTRE DIANT. FORD CARGO"</f>
        <v>MOLA MESTRE DIANT. FORD CARGO</v>
      </c>
      <c r="C16095" s="2" t="str">
        <f t="shared" si="637"/>
        <v>UN</v>
      </c>
      <c r="D16095" s="7">
        <v>704</v>
      </c>
      <c r="E16095" s="3">
        <v>9</v>
      </c>
      <c r="F16095" s="3">
        <v>9</v>
      </c>
      <c r="G16095" t="s">
        <v>513</v>
      </c>
    </row>
    <row r="16096" spans="1:7" x14ac:dyDescent="0.25">
      <c r="A16096" s="1" t="str">
        <f>"519274"</f>
        <v>519274</v>
      </c>
      <c r="B16096" s="2" t="str">
        <f>"MOLA P/ BALANCIN - 65"</f>
        <v>MOLA P/ BALANCIN - 65</v>
      </c>
      <c r="C16096" s="2" t="str">
        <f t="shared" si="637"/>
        <v>UN</v>
      </c>
      <c r="D16096" s="7">
        <v>918</v>
      </c>
      <c r="E16096" s="3">
        <v>11</v>
      </c>
      <c r="F16096" s="3">
        <v>11</v>
      </c>
      <c r="G16096" t="s">
        <v>512</v>
      </c>
    </row>
    <row r="16097" spans="1:7" x14ac:dyDescent="0.25">
      <c r="A16097" s="1" t="str">
        <f>"509182"</f>
        <v>509182</v>
      </c>
      <c r="B16097" s="2" t="str">
        <f>"MOLA P/ BRAÇOS 05.7120.062.51"</f>
        <v>MOLA P/ BRAÇOS 05.7120.062.51</v>
      </c>
      <c r="C16097" s="2" t="str">
        <f t="shared" si="637"/>
        <v>UN</v>
      </c>
      <c r="D16097" s="7">
        <v>918</v>
      </c>
      <c r="E16097" s="3">
        <v>11</v>
      </c>
      <c r="F16097" s="3">
        <v>11</v>
      </c>
      <c r="G16097" t="s">
        <v>513</v>
      </c>
    </row>
    <row r="16098" spans="1:7" x14ac:dyDescent="0.25">
      <c r="A16098" s="1" t="str">
        <f>"507108"</f>
        <v>507108</v>
      </c>
      <c r="B16098" s="2" t="str">
        <f>"MOLA P/ BRAÇOS COD. 05.3120.062.50"</f>
        <v>MOLA P/ BRAÇOS COD. 05.3120.062.50</v>
      </c>
      <c r="C16098" s="2" t="str">
        <f t="shared" si="637"/>
        <v>UN</v>
      </c>
      <c r="D16098" s="7">
        <v>918</v>
      </c>
      <c r="E16098" s="3">
        <v>11</v>
      </c>
      <c r="F16098" s="3">
        <v>11</v>
      </c>
      <c r="G16098" t="s">
        <v>514</v>
      </c>
    </row>
    <row r="16099" spans="1:7" x14ac:dyDescent="0.25">
      <c r="A16099" s="1" t="str">
        <f>"507146"</f>
        <v>507146</v>
      </c>
      <c r="B16099" s="2" t="str">
        <f>"MOLA P/ CARRELEL COD. 05.3120.070.50"</f>
        <v>MOLA P/ CARRELEL COD. 05.3120.070.50</v>
      </c>
      <c r="C16099" s="2" t="str">
        <f t="shared" si="637"/>
        <v>UN</v>
      </c>
      <c r="D16099" s="7">
        <v>918</v>
      </c>
      <c r="E16099" s="3">
        <v>11</v>
      </c>
      <c r="F16099" s="3">
        <v>11</v>
      </c>
      <c r="G16099" t="s">
        <v>514</v>
      </c>
    </row>
    <row r="16100" spans="1:7" x14ac:dyDescent="0.25">
      <c r="A16100" s="1" t="str">
        <f>"518505"</f>
        <v>518505</v>
      </c>
      <c r="B16100" s="2" t="str">
        <f>"MOLA P/ DOBRAR CANO COBRE 5/8"""</f>
        <v>MOLA P/ DOBRAR CANO COBRE 5/8"</v>
      </c>
      <c r="C16100" s="2" t="str">
        <f t="shared" si="637"/>
        <v>UN</v>
      </c>
      <c r="D16100" s="7">
        <v>920</v>
      </c>
      <c r="E16100" s="3">
        <v>4</v>
      </c>
      <c r="F16100" s="3">
        <v>4</v>
      </c>
      <c r="G16100" t="s">
        <v>514</v>
      </c>
    </row>
    <row r="16101" spans="1:7" x14ac:dyDescent="0.25">
      <c r="A16101" s="1" t="str">
        <f>"526025"</f>
        <v>526025</v>
      </c>
      <c r="B16101" s="2" t="str">
        <f>"MOLA P/ TRAVA HCA"</f>
        <v>MOLA P/ TRAVA HCA</v>
      </c>
      <c r="C16101" s="2" t="str">
        <f t="shared" si="637"/>
        <v>UN</v>
      </c>
      <c r="D16101" s="7">
        <v>501</v>
      </c>
      <c r="E16101" s="3">
        <v>4</v>
      </c>
      <c r="F16101" s="3">
        <v>4</v>
      </c>
      <c r="G16101" t="s">
        <v>513</v>
      </c>
    </row>
    <row r="16102" spans="1:7" x14ac:dyDescent="0.25">
      <c r="A16102" s="1" t="str">
        <f>"512113"</f>
        <v>512113</v>
      </c>
      <c r="B16102" s="2" t="str">
        <f>"MOLA P/ VALVULA SUCCAO"</f>
        <v>MOLA P/ VALVULA SUCCAO</v>
      </c>
      <c r="C16102" s="2" t="str">
        <f t="shared" si="637"/>
        <v>UN</v>
      </c>
      <c r="D16102" s="7">
        <v>918</v>
      </c>
      <c r="E16102" s="3">
        <v>11</v>
      </c>
      <c r="F16102" s="3">
        <v>11</v>
      </c>
      <c r="G16102" t="s">
        <v>513</v>
      </c>
    </row>
    <row r="16103" spans="1:7" x14ac:dyDescent="0.25">
      <c r="A16103" s="1" t="str">
        <f>"502473"</f>
        <v>502473</v>
      </c>
      <c r="B16103" s="2" t="str">
        <f>"MOLA P/VR 316 1""1/2 A 2""1/2"</f>
        <v>MOLA P/VR 316 1"1/2 A 2"1/2</v>
      </c>
      <c r="C16103" s="2" t="str">
        <f>"BR"</f>
        <v>BR</v>
      </c>
      <c r="D16103" s="7">
        <v>807</v>
      </c>
      <c r="E16103" s="3">
        <v>10</v>
      </c>
      <c r="F16103" s="3">
        <v>10</v>
      </c>
      <c r="G16103" t="s">
        <v>513</v>
      </c>
    </row>
    <row r="16104" spans="1:7" x14ac:dyDescent="0.25">
      <c r="A16104" s="1" t="str">
        <f>"504975"</f>
        <v>504975</v>
      </c>
      <c r="B16104" s="2" t="str">
        <f>"MOLA PATIM MASTER"</f>
        <v>MOLA PATIM MASTER</v>
      </c>
      <c r="C16104" s="2" t="str">
        <f>"UN"</f>
        <v>UN</v>
      </c>
      <c r="D16104" s="7">
        <v>704</v>
      </c>
      <c r="E16104" s="3">
        <v>9</v>
      </c>
      <c r="F16104" s="3">
        <v>9</v>
      </c>
      <c r="G16104" t="s">
        <v>512</v>
      </c>
    </row>
    <row r="16105" spans="1:7" x14ac:dyDescent="0.25">
      <c r="A16105" s="1" t="str">
        <f>"509327"</f>
        <v>509327</v>
      </c>
      <c r="B16105" s="2" t="str">
        <f>"MOLA PLACAS TEFLONADAS DINIEPER"</f>
        <v>MOLA PLACAS TEFLONADAS DINIEPER</v>
      </c>
      <c r="C16105" s="2" t="str">
        <f>"PC"</f>
        <v>PC</v>
      </c>
      <c r="D16105" s="7">
        <v>918</v>
      </c>
      <c r="E16105" s="3">
        <v>11</v>
      </c>
      <c r="F16105" s="3">
        <v>11</v>
      </c>
      <c r="G16105" t="s">
        <v>513</v>
      </c>
    </row>
    <row r="16106" spans="1:7" x14ac:dyDescent="0.25">
      <c r="A16106" s="1" t="str">
        <f>"509328"</f>
        <v>509328</v>
      </c>
      <c r="B16106" s="2" t="str">
        <f>"MOLA PLACAS TEFLONADAS DMAX"</f>
        <v>MOLA PLACAS TEFLONADAS DMAX</v>
      </c>
      <c r="C16106" s="2" t="str">
        <f t="shared" ref="C16106:C16137" si="638">"UN"</f>
        <v>UN</v>
      </c>
      <c r="D16106" s="7">
        <v>918</v>
      </c>
      <c r="E16106" s="3">
        <v>11</v>
      </c>
      <c r="F16106" s="3">
        <v>11</v>
      </c>
      <c r="G16106" t="s">
        <v>514</v>
      </c>
    </row>
    <row r="16107" spans="1:7" x14ac:dyDescent="0.25">
      <c r="A16107" s="1" t="str">
        <f>"517541"</f>
        <v>517541</v>
      </c>
      <c r="B16107" s="2" t="str">
        <f>"MOLA PRATO 41X40X3MM CO-11026 POS1/1/1433/140"</f>
        <v>MOLA PRATO 41X40X3MM CO-11026 POS1/1/1433/140</v>
      </c>
      <c r="C16107" s="2" t="str">
        <f t="shared" si="638"/>
        <v>UN</v>
      </c>
      <c r="D16107" s="7">
        <v>918</v>
      </c>
      <c r="E16107" s="3">
        <v>11</v>
      </c>
      <c r="F16107" s="3">
        <v>11</v>
      </c>
      <c r="G16107" t="s">
        <v>515</v>
      </c>
    </row>
    <row r="16108" spans="1:7" x14ac:dyDescent="0.25">
      <c r="A16108" s="1" t="str">
        <f>"520838"</f>
        <v>520838</v>
      </c>
      <c r="B16108" s="2" t="str">
        <f>"MOLA PRATO C0-11026"</f>
        <v>MOLA PRATO C0-11026</v>
      </c>
      <c r="C16108" s="2" t="str">
        <f t="shared" si="638"/>
        <v>UN</v>
      </c>
      <c r="D16108" s="7">
        <v>1300</v>
      </c>
      <c r="E16108" s="3">
        <v>11</v>
      </c>
      <c r="F16108" s="3">
        <v>11</v>
      </c>
      <c r="G16108" t="s">
        <v>512</v>
      </c>
    </row>
    <row r="16109" spans="1:7" x14ac:dyDescent="0.25">
      <c r="A16109" s="1" t="str">
        <f>"502792"</f>
        <v>502792</v>
      </c>
      <c r="B16109" s="2" t="str">
        <f>"MOLA PRESSORA COD.196214-03 BRASKOP 1000"</f>
        <v>MOLA PRESSORA COD.196214-03 BRASKOP 1000</v>
      </c>
      <c r="C16109" s="2" t="str">
        <f t="shared" si="638"/>
        <v>UN</v>
      </c>
      <c r="D16109" s="7">
        <v>918</v>
      </c>
      <c r="E16109" s="3">
        <v>11</v>
      </c>
      <c r="F16109" s="3">
        <v>11</v>
      </c>
      <c r="G16109" t="s">
        <v>516</v>
      </c>
    </row>
    <row r="16110" spans="1:7" x14ac:dyDescent="0.25">
      <c r="A16110" s="1" t="str">
        <f>"503659"</f>
        <v>503659</v>
      </c>
      <c r="B16110" s="2" t="str">
        <f>"MOLA PRESSORA ROL TINTA DATADOR DINIEPER"</f>
        <v>MOLA PRESSORA ROL TINTA DATADOR DINIEPER</v>
      </c>
      <c r="C16110" s="2" t="str">
        <f t="shared" si="638"/>
        <v>UN</v>
      </c>
      <c r="D16110" s="7">
        <v>918</v>
      </c>
      <c r="E16110" s="3">
        <v>11</v>
      </c>
      <c r="F16110" s="3">
        <v>11</v>
      </c>
      <c r="G16110" t="s">
        <v>515</v>
      </c>
    </row>
    <row r="16111" spans="1:7" x14ac:dyDescent="0.25">
      <c r="A16111" s="1" t="str">
        <f>"504479"</f>
        <v>504479</v>
      </c>
      <c r="B16111" s="2" t="str">
        <f>"MOLA PRIMARIA POSICAO POS.76 TM12"</f>
        <v>MOLA PRIMARIA POSICAO POS.76 TM12</v>
      </c>
      <c r="C16111" s="2" t="str">
        <f t="shared" si="638"/>
        <v>UN</v>
      </c>
      <c r="D16111" s="7">
        <v>918</v>
      </c>
      <c r="E16111" s="3">
        <v>11</v>
      </c>
      <c r="F16111" s="3">
        <v>11</v>
      </c>
      <c r="G16111" t="s">
        <v>514</v>
      </c>
    </row>
    <row r="16112" spans="1:7" x14ac:dyDescent="0.25">
      <c r="A16112" s="1" t="str">
        <f>"512194"</f>
        <v>512194</v>
      </c>
      <c r="B16112" s="2" t="str">
        <f>"MOLA RECUO POS.36"</f>
        <v>MOLA RECUO POS.36</v>
      </c>
      <c r="C16112" s="2" t="str">
        <f t="shared" si="638"/>
        <v>UN</v>
      </c>
      <c r="D16112" s="7">
        <v>918</v>
      </c>
      <c r="E16112" s="3">
        <v>11</v>
      </c>
      <c r="F16112" s="3">
        <v>11</v>
      </c>
      <c r="G16112" t="s">
        <v>512</v>
      </c>
    </row>
    <row r="16113" spans="1:7" x14ac:dyDescent="0.25">
      <c r="A16113" s="1" t="str">
        <f>"504919"</f>
        <v>504919</v>
      </c>
      <c r="B16113" s="2" t="str">
        <f>"MOLA REFORCO DIANTEIRO FORD CARGO"</f>
        <v>MOLA REFORCO DIANTEIRO FORD CARGO</v>
      </c>
      <c r="C16113" s="2" t="str">
        <f t="shared" si="638"/>
        <v>UN</v>
      </c>
      <c r="D16113" s="7">
        <v>704</v>
      </c>
      <c r="E16113" s="3">
        <v>9</v>
      </c>
      <c r="F16113" s="3">
        <v>9</v>
      </c>
      <c r="G16113" t="s">
        <v>513</v>
      </c>
    </row>
    <row r="16114" spans="1:7" x14ac:dyDescent="0.25">
      <c r="A16114" s="1" t="str">
        <f>"507140"</f>
        <v>507140</v>
      </c>
      <c r="B16114" s="2" t="str">
        <f>"MOLA ROLO CONT.RECUO COD. 05.3120.066.50"</f>
        <v>MOLA ROLO CONT.RECUO COD. 05.3120.066.50</v>
      </c>
      <c r="C16114" s="2" t="str">
        <f t="shared" si="638"/>
        <v>UN</v>
      </c>
      <c r="D16114" s="7">
        <v>918</v>
      </c>
      <c r="E16114" s="3">
        <v>11</v>
      </c>
      <c r="F16114" s="3">
        <v>11</v>
      </c>
      <c r="G16114" t="s">
        <v>514</v>
      </c>
    </row>
    <row r="16115" spans="1:7" x14ac:dyDescent="0.25">
      <c r="A16115" s="1" t="str">
        <f>"504974"</f>
        <v>504974</v>
      </c>
      <c r="B16115" s="2" t="str">
        <f>"MOLA SEG"</f>
        <v>MOLA SEG</v>
      </c>
      <c r="C16115" s="2" t="str">
        <f t="shared" si="638"/>
        <v>UN</v>
      </c>
      <c r="D16115" s="7">
        <v>704</v>
      </c>
      <c r="E16115" s="3">
        <v>9</v>
      </c>
      <c r="F16115" s="3">
        <v>9</v>
      </c>
      <c r="G16115" t="s">
        <v>514</v>
      </c>
    </row>
    <row r="16116" spans="1:7" x14ac:dyDescent="0.25">
      <c r="A16116" s="1" t="str">
        <f>"507810"</f>
        <v>507810</v>
      </c>
      <c r="B16116" s="2" t="str">
        <f>"MOLA SEGURANÇA CABEÇOTE - 100"</f>
        <v>MOLA SEGURANÇA CABEÇOTE - 100</v>
      </c>
      <c r="C16116" s="2" t="str">
        <f t="shared" si="638"/>
        <v>UN</v>
      </c>
      <c r="D16116" s="7">
        <v>918</v>
      </c>
      <c r="E16116" s="3">
        <v>11</v>
      </c>
      <c r="F16116" s="3">
        <v>11</v>
      </c>
      <c r="G16116" t="s">
        <v>512</v>
      </c>
    </row>
    <row r="16117" spans="1:7" x14ac:dyDescent="0.25">
      <c r="A16117" s="1" t="str">
        <f>"519276"</f>
        <v>519276</v>
      </c>
      <c r="B16117" s="2" t="str">
        <f>"MOLA SEGURANÇA CABEÇOTE - 65"</f>
        <v>MOLA SEGURANÇA CABEÇOTE - 65</v>
      </c>
      <c r="C16117" s="2" t="str">
        <f t="shared" si="638"/>
        <v>UN</v>
      </c>
      <c r="D16117" s="7">
        <v>918</v>
      </c>
      <c r="E16117" s="3">
        <v>11</v>
      </c>
      <c r="F16117" s="3">
        <v>11</v>
      </c>
      <c r="G16117" t="s">
        <v>513</v>
      </c>
    </row>
    <row r="16118" spans="1:7" x14ac:dyDescent="0.25">
      <c r="A16118" s="1" t="str">
        <f>"512791"</f>
        <v>512791</v>
      </c>
      <c r="B16118" s="2" t="str">
        <f>"MOLA SUCÇÃO/DESCARDGA 68910000 APV CUBE 4600 APF-9630"</f>
        <v>MOLA SUCÇÃO/DESCARDGA 68910000 APV CUBE 4600 APF-9630</v>
      </c>
      <c r="C16118" s="2" t="str">
        <f t="shared" si="638"/>
        <v>UN</v>
      </c>
      <c r="D16118" s="7">
        <v>918</v>
      </c>
      <c r="E16118" s="3">
        <v>11</v>
      </c>
      <c r="F16118" s="3">
        <v>11</v>
      </c>
      <c r="G16118" t="s">
        <v>514</v>
      </c>
    </row>
    <row r="16119" spans="1:7" x14ac:dyDescent="0.25">
      <c r="A16119" s="1" t="str">
        <f>"509022"</f>
        <v>509022</v>
      </c>
      <c r="B16119" s="2" t="str">
        <f>"MOLA TRASEIRA"</f>
        <v>MOLA TRASEIRA</v>
      </c>
      <c r="C16119" s="2" t="str">
        <f t="shared" si="638"/>
        <v>UN</v>
      </c>
      <c r="D16119" s="7">
        <v>918</v>
      </c>
      <c r="E16119" s="3">
        <v>11</v>
      </c>
      <c r="F16119" s="3">
        <v>11</v>
      </c>
      <c r="G16119" t="s">
        <v>514</v>
      </c>
    </row>
    <row r="16120" spans="1:7" x14ac:dyDescent="0.25">
      <c r="A16120" s="1" t="str">
        <f>"505489"</f>
        <v>505489</v>
      </c>
      <c r="B16120" s="2" t="str">
        <f>"MOLA V.R 2"" INOX 304"</f>
        <v>MOLA V.R 2" INOX 304</v>
      </c>
      <c r="C16120" s="2" t="str">
        <f t="shared" si="638"/>
        <v>UN</v>
      </c>
      <c r="D16120" s="7">
        <v>915</v>
      </c>
      <c r="E16120" s="3">
        <v>10</v>
      </c>
      <c r="F16120" s="3">
        <v>10</v>
      </c>
      <c r="G16120" t="s">
        <v>514</v>
      </c>
    </row>
    <row r="16121" spans="1:7" x14ac:dyDescent="0.25">
      <c r="A16121" s="1" t="str">
        <f>"509361"</f>
        <v>509361</v>
      </c>
      <c r="B16121" s="2" t="str">
        <f>"MOLA VALVULA DESCARGA A/B"</f>
        <v>MOLA VALVULA DESCARGA A/B</v>
      </c>
      <c r="C16121" s="2" t="str">
        <f t="shared" si="638"/>
        <v>UN</v>
      </c>
      <c r="D16121" s="7">
        <v>918</v>
      </c>
      <c r="E16121" s="3">
        <v>11</v>
      </c>
      <c r="F16121" s="3">
        <v>11</v>
      </c>
      <c r="G16121" t="s">
        <v>513</v>
      </c>
    </row>
    <row r="16122" spans="1:7" x14ac:dyDescent="0.25">
      <c r="A16122" s="1" t="str">
        <f>"512565"</f>
        <v>512565</v>
      </c>
      <c r="B16122" s="2" t="str">
        <f>"MOLA VALVULA SHL-30"</f>
        <v>MOLA VALVULA SHL-30</v>
      </c>
      <c r="C16122" s="2" t="str">
        <f t="shared" si="638"/>
        <v>UN</v>
      </c>
      <c r="D16122" s="7">
        <v>704</v>
      </c>
      <c r="E16122" s="3">
        <v>9</v>
      </c>
      <c r="F16122" s="3">
        <v>9</v>
      </c>
      <c r="G16122" t="s">
        <v>512</v>
      </c>
    </row>
    <row r="16123" spans="1:7" x14ac:dyDescent="0.25">
      <c r="A16123" s="1" t="str">
        <f>"509362"</f>
        <v>509362</v>
      </c>
      <c r="B16123" s="2" t="str">
        <f>"MOLA VALVULA SUCÇAO A/B"</f>
        <v>MOLA VALVULA SUCÇAO A/B</v>
      </c>
      <c r="C16123" s="2" t="str">
        <f t="shared" si="638"/>
        <v>UN</v>
      </c>
      <c r="D16123" s="7">
        <v>918</v>
      </c>
      <c r="E16123" s="3">
        <v>11</v>
      </c>
      <c r="F16123" s="3">
        <v>11</v>
      </c>
      <c r="G16123" t="s">
        <v>513</v>
      </c>
    </row>
    <row r="16124" spans="1:7" x14ac:dyDescent="0.25">
      <c r="A16124" s="1" t="str">
        <f>"524745"</f>
        <v>524745</v>
      </c>
      <c r="B16124" s="2" t="str">
        <f>"MOLA W60092 SPX"</f>
        <v>MOLA W60092 SPX</v>
      </c>
      <c r="C16124" s="2" t="str">
        <f t="shared" si="638"/>
        <v>UN</v>
      </c>
      <c r="D16124" s="7">
        <v>807</v>
      </c>
      <c r="E16124" s="3">
        <v>11</v>
      </c>
      <c r="F16124" s="3">
        <v>11</v>
      </c>
      <c r="G16124" t="s">
        <v>514</v>
      </c>
    </row>
    <row r="16125" spans="1:7" x14ac:dyDescent="0.25">
      <c r="A16125" s="1" t="str">
        <f>"509313"</f>
        <v>509313</v>
      </c>
      <c r="B16125" s="2" t="str">
        <f>"MOLDE 05 CAVIDADES FRASCO 80GR FERMENTAD"</f>
        <v>MOLDE 05 CAVIDADES FRASCO 80GR FERMENTAD</v>
      </c>
      <c r="C16125" s="2" t="str">
        <f t="shared" si="638"/>
        <v>UN</v>
      </c>
      <c r="D16125" s="7">
        <v>918</v>
      </c>
      <c r="E16125" s="3">
        <v>11</v>
      </c>
      <c r="F16125" s="3">
        <v>11</v>
      </c>
      <c r="G16125" t="s">
        <v>514</v>
      </c>
    </row>
    <row r="16126" spans="1:7" x14ac:dyDescent="0.25">
      <c r="A16126" s="1" t="str">
        <f>"523645"</f>
        <v>523645</v>
      </c>
      <c r="B16126" s="2" t="str">
        <f>"MOLDE 06 CAVIDADES FRASCO 75GR FERMENTADO"</f>
        <v>MOLDE 06 CAVIDADES FRASCO 75GR FERMENTADO</v>
      </c>
      <c r="C16126" s="2" t="str">
        <f t="shared" si="638"/>
        <v>UN</v>
      </c>
      <c r="D16126" s="7">
        <v>918</v>
      </c>
      <c r="E16126" s="3">
        <v>11</v>
      </c>
      <c r="F16126" s="3">
        <v>11</v>
      </c>
      <c r="G16126" t="s">
        <v>514</v>
      </c>
    </row>
    <row r="16127" spans="1:7" x14ac:dyDescent="0.25">
      <c r="A16127" s="1" t="str">
        <f>"509639"</f>
        <v>509639</v>
      </c>
      <c r="B16127" s="2" t="str">
        <f>"MOLDE BANDEJA 12 CAVIDADES"</f>
        <v>MOLDE BANDEJA 12 CAVIDADES</v>
      </c>
      <c r="C16127" s="2" t="str">
        <f t="shared" si="638"/>
        <v>UN</v>
      </c>
      <c r="D16127" s="7">
        <v>918</v>
      </c>
      <c r="E16127" s="3">
        <v>11</v>
      </c>
      <c r="F16127" s="3">
        <v>11</v>
      </c>
      <c r="G16127" t="s">
        <v>513</v>
      </c>
    </row>
    <row r="16128" spans="1:7" x14ac:dyDescent="0.25">
      <c r="A16128" s="1" t="str">
        <f>"525266"</f>
        <v>525266</v>
      </c>
      <c r="B16128" s="2" t="str">
        <f>"MOLDE DA FORMAGEM 24 CAVIDADES DINIEPER 550M"</f>
        <v>MOLDE DA FORMAGEM 24 CAVIDADES DINIEPER 550M</v>
      </c>
      <c r="C16128" s="2" t="str">
        <f t="shared" si="638"/>
        <v>UN</v>
      </c>
      <c r="D16128" s="7">
        <v>812</v>
      </c>
      <c r="E16128" s="3">
        <v>10</v>
      </c>
      <c r="F16128" s="3">
        <v>10</v>
      </c>
      <c r="G16128" t="s">
        <v>513</v>
      </c>
    </row>
    <row r="16129" spans="1:7" x14ac:dyDescent="0.25">
      <c r="A16129" s="1" t="str">
        <f>"507300"</f>
        <v>507300</v>
      </c>
      <c r="B16129" s="2" t="str">
        <f>"MOLDE DE FORMAGEM BANDEJA 24 CAVIDADES DMAX"</f>
        <v>MOLDE DE FORMAGEM BANDEJA 24 CAVIDADES DMAX</v>
      </c>
      <c r="C16129" s="2" t="str">
        <f t="shared" si="638"/>
        <v>UN</v>
      </c>
      <c r="D16129" s="7">
        <v>918</v>
      </c>
      <c r="E16129" s="3">
        <v>11</v>
      </c>
      <c r="F16129" s="3">
        <v>11</v>
      </c>
      <c r="G16129" t="s">
        <v>513</v>
      </c>
    </row>
    <row r="16130" spans="1:7" x14ac:dyDescent="0.25">
      <c r="A16130" s="1" t="str">
        <f>"524799"</f>
        <v>524799</v>
      </c>
      <c r="B16130" s="2" t="str">
        <f>"MOLDE DE SOPRO PILOTO P/ FRASCO LEITE FERMENTADO 75GR"</f>
        <v>MOLDE DE SOPRO PILOTO P/ FRASCO LEITE FERMENTADO 75GR</v>
      </c>
      <c r="C16130" s="2" t="str">
        <f t="shared" si="638"/>
        <v>UN</v>
      </c>
      <c r="D16130" s="7">
        <v>918</v>
      </c>
      <c r="E16130" s="3">
        <v>10</v>
      </c>
      <c r="F16130" s="3">
        <v>10</v>
      </c>
      <c r="G16130" t="s">
        <v>512</v>
      </c>
    </row>
    <row r="16131" spans="1:7" x14ac:dyDescent="0.25">
      <c r="A16131" s="1" t="str">
        <f>"1090"</f>
        <v>1090</v>
      </c>
      <c r="B16131" s="2" t="str">
        <f>"MOLDE FRASCO 900G"</f>
        <v>MOLDE FRASCO 900G</v>
      </c>
      <c r="C16131" s="2" t="str">
        <f t="shared" si="638"/>
        <v>UN</v>
      </c>
      <c r="D16131" s="7">
        <v>1300</v>
      </c>
      <c r="E16131" s="3">
        <v>13</v>
      </c>
      <c r="F16131" s="3">
        <v>13</v>
      </c>
      <c r="G16131" t="s">
        <v>513</v>
      </c>
    </row>
    <row r="16132" spans="1:7" x14ac:dyDescent="0.25">
      <c r="A16132" s="1" t="str">
        <f>"523147"</f>
        <v>523147</v>
      </c>
      <c r="B16132" s="2" t="str">
        <f>"MOLDE MOCKUP TAMPA 38MM"</f>
        <v>MOLDE MOCKUP TAMPA 38MM</v>
      </c>
      <c r="C16132" s="2" t="str">
        <f t="shared" si="638"/>
        <v>UN</v>
      </c>
      <c r="D16132" s="7">
        <v>1300</v>
      </c>
      <c r="E16132" s="3">
        <v>13</v>
      </c>
      <c r="F16132" s="3">
        <v>13</v>
      </c>
      <c r="G16132" t="s">
        <v>514</v>
      </c>
    </row>
    <row r="16133" spans="1:7" x14ac:dyDescent="0.25">
      <c r="A16133" s="1" t="str">
        <f>"521026"</f>
        <v>521026</v>
      </c>
      <c r="B16133" s="2" t="str">
        <f>"MOLDE PARA SOPRO 1 CAVID. FRASCO 900GR"</f>
        <v>MOLDE PARA SOPRO 1 CAVID. FRASCO 900GR</v>
      </c>
      <c r="C16133" s="2" t="str">
        <f t="shared" si="638"/>
        <v>UN</v>
      </c>
      <c r="D16133" s="7">
        <v>1300</v>
      </c>
      <c r="E16133" s="3">
        <v>13</v>
      </c>
      <c r="F16133" s="3">
        <v>13</v>
      </c>
      <c r="G16133" t="s">
        <v>515</v>
      </c>
    </row>
    <row r="16134" spans="1:7" x14ac:dyDescent="0.25">
      <c r="A16134" s="1" t="str">
        <f>"509404"</f>
        <v>509404</v>
      </c>
      <c r="B16134" s="2" t="str">
        <f>"MOLDE PARA SOPRO 2 CAVID. FRASCO 1000GR"</f>
        <v>MOLDE PARA SOPRO 2 CAVID. FRASCO 1000GR</v>
      </c>
      <c r="C16134" s="2" t="str">
        <f t="shared" si="638"/>
        <v>UN</v>
      </c>
      <c r="D16134" s="7">
        <v>1300</v>
      </c>
      <c r="E16134" s="3">
        <v>13</v>
      </c>
      <c r="F16134" s="3">
        <v>13</v>
      </c>
      <c r="G16134" t="s">
        <v>512</v>
      </c>
    </row>
    <row r="16135" spans="1:7" x14ac:dyDescent="0.25">
      <c r="A16135" s="1" t="str">
        <f>"505092"</f>
        <v>505092</v>
      </c>
      <c r="B16135" s="2" t="str">
        <f>"MOLDE PARA SOPRO 2 CAVID. FRASCO 900GR"</f>
        <v>MOLDE PARA SOPRO 2 CAVID. FRASCO 900GR</v>
      </c>
      <c r="C16135" s="2" t="str">
        <f t="shared" si="638"/>
        <v>UN</v>
      </c>
      <c r="D16135" s="7">
        <v>1300</v>
      </c>
      <c r="E16135" s="3">
        <v>13</v>
      </c>
      <c r="F16135" s="3">
        <v>13</v>
      </c>
      <c r="G16135" t="s">
        <v>516</v>
      </c>
    </row>
    <row r="16136" spans="1:7" x14ac:dyDescent="0.25">
      <c r="A16136" s="1" t="str">
        <f>"509911"</f>
        <v>509911</v>
      </c>
      <c r="B16136" s="2" t="str">
        <f>"MOLDE PARA SOPRO 3 CAVID. FRASCO 160GR"</f>
        <v>MOLDE PARA SOPRO 3 CAVID. FRASCO 160GR</v>
      </c>
      <c r="C16136" s="2" t="str">
        <f t="shared" si="638"/>
        <v>UN</v>
      </c>
      <c r="D16136" s="7">
        <v>918</v>
      </c>
      <c r="E16136" s="3">
        <v>11</v>
      </c>
      <c r="F16136" s="3">
        <v>11</v>
      </c>
      <c r="G16136" t="s">
        <v>515</v>
      </c>
    </row>
    <row r="16137" spans="1:7" x14ac:dyDescent="0.25">
      <c r="A16137" s="1" t="str">
        <f>"507840"</f>
        <v>507840</v>
      </c>
      <c r="B16137" s="2" t="str">
        <f>"MOLDE PARA SOPRO 3 CAVID. FRASCO 180GR"</f>
        <v>MOLDE PARA SOPRO 3 CAVID. FRASCO 180GR</v>
      </c>
      <c r="C16137" s="2" t="str">
        <f t="shared" si="638"/>
        <v>UN</v>
      </c>
      <c r="D16137" s="7">
        <v>918</v>
      </c>
      <c r="E16137" s="3">
        <v>11</v>
      </c>
      <c r="F16137" s="3">
        <v>11</v>
      </c>
      <c r="G16137" t="s">
        <v>514</v>
      </c>
    </row>
    <row r="16138" spans="1:7" x14ac:dyDescent="0.25">
      <c r="A16138" s="1" t="str">
        <f>"521234"</f>
        <v>521234</v>
      </c>
      <c r="B16138" s="2" t="str">
        <f>"MOLDE PARA SOPRO 3 CAVID. FRASCO 900GR EM PET"</f>
        <v>MOLDE PARA SOPRO 3 CAVID. FRASCO 900GR EM PET</v>
      </c>
      <c r="C16138" s="2" t="str">
        <f t="shared" ref="C16138:C16169" si="639">"UN"</f>
        <v>UN</v>
      </c>
      <c r="D16138" s="7">
        <v>1300</v>
      </c>
      <c r="E16138" s="3">
        <v>13</v>
      </c>
      <c r="F16138" s="3">
        <v>13</v>
      </c>
      <c r="G16138" t="s">
        <v>512</v>
      </c>
    </row>
    <row r="16139" spans="1:7" x14ac:dyDescent="0.25">
      <c r="A16139" s="1" t="str">
        <f>"519712"</f>
        <v>519712</v>
      </c>
      <c r="B16139" s="2" t="str">
        <f>"MOLDE PARA SOPRO 4 CAVID. FRASCO 900GR"</f>
        <v>MOLDE PARA SOPRO 4 CAVID. FRASCO 900GR</v>
      </c>
      <c r="C16139" s="2" t="str">
        <f t="shared" si="639"/>
        <v>UN</v>
      </c>
      <c r="D16139" s="7">
        <v>1300</v>
      </c>
      <c r="E16139" s="3">
        <v>13</v>
      </c>
      <c r="F16139" s="3">
        <v>13</v>
      </c>
      <c r="G16139" t="s">
        <v>513</v>
      </c>
    </row>
    <row r="16140" spans="1:7" x14ac:dyDescent="0.25">
      <c r="A16140" s="1" t="str">
        <f>"519711"</f>
        <v>519711</v>
      </c>
      <c r="B16140" s="2" t="str">
        <f>"MOLDE PARA SOPRO 5 CAVID. FRASCO 120GR"</f>
        <v>MOLDE PARA SOPRO 5 CAVID. FRASCO 120GR</v>
      </c>
      <c r="C16140" s="2" t="str">
        <f t="shared" si="639"/>
        <v>UN</v>
      </c>
      <c r="D16140" s="7">
        <v>1300</v>
      </c>
      <c r="E16140" s="3">
        <v>13</v>
      </c>
      <c r="F16140" s="3">
        <v>13</v>
      </c>
      <c r="G16140" t="s">
        <v>514</v>
      </c>
    </row>
    <row r="16141" spans="1:7" x14ac:dyDescent="0.25">
      <c r="A16141" s="1" t="str">
        <f>"519715"</f>
        <v>519715</v>
      </c>
      <c r="B16141" s="2" t="str">
        <f>"MOLDE PARA SOPRO 5 CAVID. FRASCO 170GR"</f>
        <v>MOLDE PARA SOPRO 5 CAVID. FRASCO 170GR</v>
      </c>
      <c r="C16141" s="2" t="str">
        <f t="shared" si="639"/>
        <v>UN</v>
      </c>
      <c r="D16141" s="7">
        <v>1300</v>
      </c>
      <c r="E16141" s="3">
        <v>13</v>
      </c>
      <c r="F16141" s="3">
        <v>13</v>
      </c>
      <c r="G16141" t="s">
        <v>514</v>
      </c>
    </row>
    <row r="16142" spans="1:7" x14ac:dyDescent="0.25">
      <c r="A16142" s="1" t="str">
        <f>"521804"</f>
        <v>521804</v>
      </c>
      <c r="B16142" s="2" t="str">
        <f>"MOLDE PARA SOPRO 5 CAVID. FRASCO 180GR"</f>
        <v>MOLDE PARA SOPRO 5 CAVID. FRASCO 180GR</v>
      </c>
      <c r="C16142" s="2" t="str">
        <f t="shared" si="639"/>
        <v>UN</v>
      </c>
      <c r="D16142" s="7">
        <v>1300</v>
      </c>
      <c r="E16142" s="3">
        <v>13</v>
      </c>
      <c r="F16142" s="3">
        <v>13</v>
      </c>
      <c r="G16142" t="s">
        <v>512</v>
      </c>
    </row>
    <row r="16143" spans="1:7" x14ac:dyDescent="0.25">
      <c r="A16143" s="1" t="str">
        <f>"519714"</f>
        <v>519714</v>
      </c>
      <c r="B16143" s="2" t="str">
        <f>"MOLDE PARA SOPRO 5 CAVID. FRASCO 500GR"</f>
        <v>MOLDE PARA SOPRO 5 CAVID. FRASCO 500GR</v>
      </c>
      <c r="C16143" s="2" t="str">
        <f t="shared" si="639"/>
        <v>UN</v>
      </c>
      <c r="D16143" s="7">
        <v>1300</v>
      </c>
      <c r="E16143" s="3">
        <v>13</v>
      </c>
      <c r="F16143" s="3">
        <v>13</v>
      </c>
      <c r="G16143" t="s">
        <v>513</v>
      </c>
    </row>
    <row r="16144" spans="1:7" x14ac:dyDescent="0.25">
      <c r="A16144" s="1" t="str">
        <f>"519713"</f>
        <v>519713</v>
      </c>
      <c r="B16144" s="2" t="str">
        <f>"MOLDE PARA SOPRO 5 CAVID. FRASCO 75GR"</f>
        <v>MOLDE PARA SOPRO 5 CAVID. FRASCO 75GR</v>
      </c>
      <c r="C16144" s="2" t="str">
        <f t="shared" si="639"/>
        <v>UN</v>
      </c>
      <c r="D16144" s="7">
        <v>1300</v>
      </c>
      <c r="E16144" s="3">
        <v>13</v>
      </c>
      <c r="F16144" s="3">
        <v>13</v>
      </c>
      <c r="G16144" t="s">
        <v>514</v>
      </c>
    </row>
    <row r="16145" spans="1:7" x14ac:dyDescent="0.25">
      <c r="A16145" s="1" t="str">
        <f>"521806"</f>
        <v>521806</v>
      </c>
      <c r="B16145" s="2" t="str">
        <f>"MOLDE PARA SOPRO 6 CAVID. FRASCO 160GR"</f>
        <v>MOLDE PARA SOPRO 6 CAVID. FRASCO 160GR</v>
      </c>
      <c r="C16145" s="2" t="str">
        <f t="shared" si="639"/>
        <v>UN</v>
      </c>
      <c r="D16145" s="7">
        <v>1300</v>
      </c>
      <c r="E16145" s="3">
        <v>13</v>
      </c>
      <c r="F16145" s="3">
        <v>13</v>
      </c>
      <c r="G16145" t="s">
        <v>514</v>
      </c>
    </row>
    <row r="16146" spans="1:7" x14ac:dyDescent="0.25">
      <c r="A16146" s="1" t="str">
        <f>"521805"</f>
        <v>521805</v>
      </c>
      <c r="B16146" s="2" t="str">
        <f>"MOLDE PARA SOPRO 6 CAVID. FRASCO 180GR"</f>
        <v>MOLDE PARA SOPRO 6 CAVID. FRASCO 180GR</v>
      </c>
      <c r="C16146" s="2" t="str">
        <f t="shared" si="639"/>
        <v>UN</v>
      </c>
      <c r="D16146" s="7">
        <v>1300</v>
      </c>
      <c r="E16146" s="3">
        <v>13</v>
      </c>
      <c r="F16146" s="3">
        <v>13</v>
      </c>
      <c r="G16146" t="s">
        <v>514</v>
      </c>
    </row>
    <row r="16147" spans="1:7" x14ac:dyDescent="0.25">
      <c r="A16147" s="1" t="str">
        <f>"513460"</f>
        <v>513460</v>
      </c>
      <c r="B16147" s="2" t="str">
        <f>"MOLDE PARA SOPRO 6 CAVID. FRASCO 75GR"</f>
        <v>MOLDE PARA SOPRO 6 CAVID. FRASCO 75GR</v>
      </c>
      <c r="C16147" s="2" t="str">
        <f t="shared" si="639"/>
        <v>UN</v>
      </c>
      <c r="D16147" s="7">
        <v>1300</v>
      </c>
      <c r="E16147" s="3">
        <v>13</v>
      </c>
      <c r="F16147" s="3">
        <v>13</v>
      </c>
      <c r="G16147" t="s">
        <v>513</v>
      </c>
    </row>
    <row r="16148" spans="1:7" x14ac:dyDescent="0.25">
      <c r="A16148" s="1" t="str">
        <f>"527291"</f>
        <v>527291</v>
      </c>
      <c r="B16148" s="2" t="str">
        <f>"MOLDE PILOTO DE SOPRO P/ FR. IOGURTE 170G 1 CAVIDADE"</f>
        <v>MOLDE PILOTO DE SOPRO P/ FR. IOGURTE 170G 1 CAVIDADE</v>
      </c>
      <c r="C16148" s="2" t="str">
        <f t="shared" si="639"/>
        <v>UN</v>
      </c>
      <c r="D16148" s="7">
        <v>918</v>
      </c>
      <c r="E16148" s="3">
        <v>11</v>
      </c>
      <c r="F16148" s="3">
        <v>11</v>
      </c>
      <c r="G16148" t="s">
        <v>512</v>
      </c>
    </row>
    <row r="16149" spans="1:7" x14ac:dyDescent="0.25">
      <c r="A16149" s="1" t="str">
        <f>"506559"</f>
        <v>506559</v>
      </c>
      <c r="B16149" s="2" t="str">
        <f>"MOLDE PUNCOES DINIEPER 2 GRAVIDADE VIVER"</f>
        <v>MOLDE PUNCOES DINIEPER 2 GRAVIDADE VIVER</v>
      </c>
      <c r="C16149" s="2" t="str">
        <f t="shared" si="639"/>
        <v>UN</v>
      </c>
      <c r="D16149" s="7">
        <v>918</v>
      </c>
      <c r="E16149" s="3">
        <v>11</v>
      </c>
      <c r="F16149" s="3">
        <v>11</v>
      </c>
      <c r="G16149" t="s">
        <v>513</v>
      </c>
    </row>
    <row r="16150" spans="1:7" x14ac:dyDescent="0.25">
      <c r="A16150" s="1" t="str">
        <f>"501554"</f>
        <v>501554</v>
      </c>
      <c r="B16150" s="2" t="str">
        <f>"MOLDE PUNÇOES FORMAGEM DINIEPER BANDEJA"</f>
        <v>MOLDE PUNÇOES FORMAGEM DINIEPER BANDEJA</v>
      </c>
      <c r="C16150" s="2" t="str">
        <f t="shared" si="639"/>
        <v>UN</v>
      </c>
      <c r="D16150" s="7">
        <v>918</v>
      </c>
      <c r="E16150" s="3">
        <v>11</v>
      </c>
      <c r="F16150" s="3">
        <v>11</v>
      </c>
      <c r="G16150" t="s">
        <v>514</v>
      </c>
    </row>
    <row r="16151" spans="1:7" x14ac:dyDescent="0.25">
      <c r="A16151" s="1" t="str">
        <f>"522163"</f>
        <v>522163</v>
      </c>
      <c r="B16151" s="2" t="str">
        <f>"MOLDE SOLDA EXOT. CARTUCHO 90 HASTE CABO DERIV TOPO JOELHO"</f>
        <v>MOLDE SOLDA EXOT. CARTUCHO 90 HASTE CABO DERIV TOPO JOELHO</v>
      </c>
      <c r="C16151" s="2" t="str">
        <f t="shared" si="639"/>
        <v>UN</v>
      </c>
      <c r="D16151" s="7">
        <v>918</v>
      </c>
      <c r="E16151" s="3">
        <v>11</v>
      </c>
      <c r="F16151" s="3">
        <v>11</v>
      </c>
      <c r="G16151" t="s">
        <v>514</v>
      </c>
    </row>
    <row r="16152" spans="1:7" x14ac:dyDescent="0.25">
      <c r="A16152" s="1" t="str">
        <f>"522159"</f>
        <v>522159</v>
      </c>
      <c r="B16152" s="2" t="str">
        <f>"MOLDE SOLTA EXOTERMICA CART. 90 HASTE CABO PASS DERIV T TOPO"</f>
        <v>MOLDE SOLTA EXOTERMICA CART. 90 HASTE CABO PASS DERIV T TOPO</v>
      </c>
      <c r="C16152" s="2" t="str">
        <f t="shared" si="639"/>
        <v>UN</v>
      </c>
      <c r="D16152" s="7">
        <v>918</v>
      </c>
      <c r="E16152" s="3">
        <v>11</v>
      </c>
      <c r="F16152" s="3">
        <v>11</v>
      </c>
      <c r="G16152" t="s">
        <v>514</v>
      </c>
    </row>
    <row r="16153" spans="1:7" x14ac:dyDescent="0.25">
      <c r="A16153" s="1" t="str">
        <f>"509635"</f>
        <v>509635</v>
      </c>
      <c r="B16153" s="2" t="str">
        <f>"MOLDE VIVER 12 CAVIDADES"</f>
        <v>MOLDE VIVER 12 CAVIDADES</v>
      </c>
      <c r="C16153" s="2" t="str">
        <f t="shared" si="639"/>
        <v>UN</v>
      </c>
      <c r="D16153" s="7">
        <v>918</v>
      </c>
      <c r="E16153" s="3">
        <v>11</v>
      </c>
      <c r="F16153" s="3">
        <v>11</v>
      </c>
      <c r="G16153" t="s">
        <v>513</v>
      </c>
    </row>
    <row r="16154" spans="1:7" x14ac:dyDescent="0.25">
      <c r="A16154" s="1" t="str">
        <f>"525244"</f>
        <v>525244</v>
      </c>
      <c r="B16154" s="2" t="str">
        <f>"MOLDURA"</f>
        <v>MOLDURA</v>
      </c>
      <c r="C16154" s="2" t="str">
        <f t="shared" si="639"/>
        <v>UN</v>
      </c>
      <c r="D16154" s="7">
        <v>704</v>
      </c>
      <c r="E16154" s="3">
        <v>9</v>
      </c>
      <c r="F16154" s="3">
        <v>9</v>
      </c>
      <c r="G16154" t="s">
        <v>513</v>
      </c>
    </row>
    <row r="16155" spans="1:7" x14ac:dyDescent="0.25">
      <c r="A16155" s="1" t="str">
        <f>"517892"</f>
        <v>517892</v>
      </c>
      <c r="B16155" s="2" t="str">
        <f>"MOLDURA ADAPTADORA P/ RJ45"</f>
        <v>MOLDURA ADAPTADORA P/ RJ45</v>
      </c>
      <c r="C16155" s="2" t="str">
        <f t="shared" si="639"/>
        <v>UN</v>
      </c>
      <c r="D16155" s="7">
        <v>811</v>
      </c>
      <c r="E16155" s="3">
        <v>8</v>
      </c>
      <c r="F16155" s="3">
        <v>8</v>
      </c>
      <c r="G16155" t="s">
        <v>513</v>
      </c>
    </row>
    <row r="16156" spans="1:7" x14ac:dyDescent="0.25">
      <c r="A16156" s="1" t="str">
        <f>"505306"</f>
        <v>505306</v>
      </c>
      <c r="B16156" s="2" t="str">
        <f>"MOLDURA CANTO FORRO PVC"</f>
        <v>MOLDURA CANTO FORRO PVC</v>
      </c>
      <c r="C16156" s="2" t="str">
        <f t="shared" si="639"/>
        <v>UN</v>
      </c>
      <c r="D16156" s="7">
        <v>917</v>
      </c>
      <c r="E16156" s="3">
        <v>10</v>
      </c>
      <c r="F16156" s="3">
        <v>10</v>
      </c>
      <c r="G16156" t="s">
        <v>512</v>
      </c>
    </row>
    <row r="16157" spans="1:7" x14ac:dyDescent="0.25">
      <c r="A16157" s="1" t="str">
        <f>"509629"</f>
        <v>509629</v>
      </c>
      <c r="B16157" s="2" t="str">
        <f>"MOLDURA FRONTAL 7D MTCO"</f>
        <v>MOLDURA FRONTAL 7D MTCO</v>
      </c>
      <c r="C16157" s="2" t="str">
        <f t="shared" si="639"/>
        <v>UN</v>
      </c>
      <c r="D16157" s="7">
        <v>917</v>
      </c>
      <c r="E16157" s="3">
        <v>11</v>
      </c>
      <c r="F16157" s="3">
        <v>11</v>
      </c>
      <c r="G16157" t="s">
        <v>513</v>
      </c>
    </row>
    <row r="16158" spans="1:7" x14ac:dyDescent="0.25">
      <c r="A16158" s="1" t="str">
        <f>"519891"</f>
        <v>519891</v>
      </c>
      <c r="B16158" s="2" t="str">
        <f>"MOLDURA PARACHOQUE CARGO"</f>
        <v>MOLDURA PARACHOQUE CARGO</v>
      </c>
      <c r="C16158" s="2" t="str">
        <f t="shared" si="639"/>
        <v>UN</v>
      </c>
      <c r="D16158" s="7">
        <v>704</v>
      </c>
      <c r="E16158" s="3">
        <v>9</v>
      </c>
      <c r="F16158" s="3">
        <v>9</v>
      </c>
      <c r="G16158" t="s">
        <v>514</v>
      </c>
    </row>
    <row r="16159" spans="1:7" x14ac:dyDescent="0.25">
      <c r="A16159" s="1" t="str">
        <f>"515245"</f>
        <v>515245</v>
      </c>
      <c r="B16159" s="2" t="str">
        <f>"MOLDURA PORTA"</f>
        <v>MOLDURA PORTA</v>
      </c>
      <c r="C16159" s="2" t="str">
        <f t="shared" si="639"/>
        <v>UN</v>
      </c>
      <c r="D16159" s="7">
        <v>704</v>
      </c>
      <c r="E16159" s="3">
        <v>9</v>
      </c>
      <c r="F16159" s="3">
        <v>9</v>
      </c>
      <c r="G16159" t="s">
        <v>515</v>
      </c>
    </row>
    <row r="16160" spans="1:7" x14ac:dyDescent="0.25">
      <c r="A16160" s="1" t="str">
        <f>"518139"</f>
        <v>518139</v>
      </c>
      <c r="B16160" s="2" t="str">
        <f>"MOLEJO COMPLETO"</f>
        <v>MOLEJO COMPLETO</v>
      </c>
      <c r="C16160" s="2" t="str">
        <f t="shared" si="639"/>
        <v>UN</v>
      </c>
      <c r="D16160" s="7">
        <v>704</v>
      </c>
      <c r="E16160" s="3">
        <v>9</v>
      </c>
      <c r="F16160" s="3">
        <v>9</v>
      </c>
      <c r="G16160" t="s">
        <v>512</v>
      </c>
    </row>
    <row r="16161" spans="1:7" x14ac:dyDescent="0.25">
      <c r="A16161" s="1" t="str">
        <f>"513290"</f>
        <v>513290</v>
      </c>
      <c r="B16161" s="2" t="str">
        <f>"MOLHA DEDO"</f>
        <v>MOLHA DEDO</v>
      </c>
      <c r="C16161" s="2" t="str">
        <f t="shared" si="639"/>
        <v>UN</v>
      </c>
      <c r="D16161" s="7">
        <v>401</v>
      </c>
      <c r="E16161" s="3">
        <v>4</v>
      </c>
      <c r="F16161" s="3">
        <v>4</v>
      </c>
      <c r="G16161" t="s">
        <v>516</v>
      </c>
    </row>
    <row r="16162" spans="1:7" x14ac:dyDescent="0.25">
      <c r="A16162" s="1" t="str">
        <f>"510525"</f>
        <v>510525</v>
      </c>
      <c r="B16162" s="2" t="str">
        <f>"MOLHO DE TOMATE"</f>
        <v>MOLHO DE TOMATE</v>
      </c>
      <c r="C16162" s="2" t="str">
        <f t="shared" si="639"/>
        <v>UN</v>
      </c>
      <c r="D16162" s="7">
        <v>401</v>
      </c>
      <c r="E16162" s="3">
        <v>4</v>
      </c>
      <c r="F16162" s="3">
        <v>4</v>
      </c>
      <c r="G16162" t="s">
        <v>515</v>
      </c>
    </row>
    <row r="16163" spans="1:7" x14ac:dyDescent="0.25">
      <c r="A16163" s="1" t="str">
        <f>"512937"</f>
        <v>512937</v>
      </c>
      <c r="B16163" s="2" t="str">
        <f>"MOLHO PIMENTA"</f>
        <v>MOLHO PIMENTA</v>
      </c>
      <c r="C16163" s="2" t="str">
        <f t="shared" si="639"/>
        <v>UN</v>
      </c>
      <c r="D16163" s="7">
        <v>401</v>
      </c>
      <c r="E16163" s="3">
        <v>4</v>
      </c>
      <c r="F16163" s="3">
        <v>4</v>
      </c>
      <c r="G16163" t="s">
        <v>514</v>
      </c>
    </row>
    <row r="16164" spans="1:7" x14ac:dyDescent="0.25">
      <c r="A16164" s="1" t="str">
        <f>"510902"</f>
        <v>510902</v>
      </c>
      <c r="B16164" s="2" t="str">
        <f>"MOLHO TRAD. POUCH TOMATE"</f>
        <v>MOLHO TRAD. POUCH TOMATE</v>
      </c>
      <c r="C16164" s="2" t="str">
        <f t="shared" si="639"/>
        <v>UN</v>
      </c>
      <c r="D16164" s="7">
        <v>401</v>
      </c>
      <c r="E16164" s="3">
        <v>4</v>
      </c>
      <c r="F16164" s="3">
        <v>4</v>
      </c>
      <c r="G16164" t="s">
        <v>512</v>
      </c>
    </row>
    <row r="16165" spans="1:7" x14ac:dyDescent="0.25">
      <c r="A16165" s="1" t="str">
        <f>"515014"</f>
        <v>515014</v>
      </c>
      <c r="B16165" s="2" t="str">
        <f>"MOLICO BEBIDA LAC."</f>
        <v>MOLICO BEBIDA LAC.</v>
      </c>
      <c r="C16165" s="2" t="str">
        <f t="shared" si="639"/>
        <v>UN</v>
      </c>
      <c r="D16165" s="7">
        <v>401</v>
      </c>
      <c r="E16165" s="3">
        <v>4</v>
      </c>
      <c r="F16165" s="3">
        <v>4</v>
      </c>
      <c r="G16165" t="s">
        <v>513</v>
      </c>
    </row>
    <row r="16166" spans="1:7" x14ac:dyDescent="0.25">
      <c r="A16166" s="1" t="str">
        <f>"514104"</f>
        <v>514104</v>
      </c>
      <c r="B16166" s="2" t="str">
        <f>"MOLYKOTE LONGHTERM"</f>
        <v>MOLYKOTE LONGHTERM</v>
      </c>
      <c r="C16166" s="2" t="str">
        <f t="shared" si="639"/>
        <v>UN</v>
      </c>
      <c r="D16166" s="7">
        <v>704</v>
      </c>
      <c r="E16166" s="3">
        <v>9</v>
      </c>
      <c r="F16166" s="3">
        <v>9</v>
      </c>
      <c r="G16166" t="s">
        <v>514</v>
      </c>
    </row>
    <row r="16167" spans="1:7" x14ac:dyDescent="0.25">
      <c r="A16167" s="1" t="str">
        <f>"516442"</f>
        <v>516442</v>
      </c>
      <c r="B16167" s="2" t="str">
        <f>"MONITOR"</f>
        <v>MONITOR</v>
      </c>
      <c r="C16167" s="2" t="str">
        <f t="shared" si="639"/>
        <v>UN</v>
      </c>
      <c r="D16167" s="7">
        <v>900</v>
      </c>
      <c r="E16167" s="3">
        <v>13</v>
      </c>
      <c r="F16167" s="3">
        <v>13</v>
      </c>
      <c r="G16167" t="s">
        <v>514</v>
      </c>
    </row>
    <row r="16168" spans="1:7" x14ac:dyDescent="0.25">
      <c r="A16168" s="1" t="str">
        <f>"519174"</f>
        <v>519174</v>
      </c>
      <c r="B16168" s="2" t="str">
        <f>"MONITOR 17"" LED"</f>
        <v>MONITOR 17" LED</v>
      </c>
      <c r="C16168" s="2" t="str">
        <f t="shared" si="639"/>
        <v>UN</v>
      </c>
      <c r="D16168" s="7">
        <v>401</v>
      </c>
      <c r="E16168" s="3">
        <v>4</v>
      </c>
      <c r="F16168" s="3">
        <v>4</v>
      </c>
      <c r="G16168" t="s">
        <v>512</v>
      </c>
    </row>
    <row r="16169" spans="1:7" x14ac:dyDescent="0.25">
      <c r="A16169" s="1" t="str">
        <f>"521129"</f>
        <v>521129</v>
      </c>
      <c r="B16169" s="2" t="str">
        <f>"MONITOR 19"" LED"</f>
        <v>MONITOR 19" LED</v>
      </c>
      <c r="C16169" s="2" t="str">
        <f t="shared" si="639"/>
        <v>UN</v>
      </c>
      <c r="D16169" s="7">
        <v>99999</v>
      </c>
      <c r="E16169" s="3">
        <v>99</v>
      </c>
      <c r="F16169" s="3">
        <v>99</v>
      </c>
      <c r="G16169" t="s">
        <v>513</v>
      </c>
    </row>
    <row r="16170" spans="1:7" x14ac:dyDescent="0.25">
      <c r="A16170" s="1" t="str">
        <f>"519123"</f>
        <v>519123</v>
      </c>
      <c r="B16170" s="2" t="str">
        <f>"MONITOR AOC 18,5"" LED E970SWNL JD"</f>
        <v>MONITOR AOC 18,5" LED E970SWNL JD</v>
      </c>
      <c r="C16170" s="2" t="str">
        <f t="shared" ref="C16170:C16190" si="640">"UN"</f>
        <v>UN</v>
      </c>
      <c r="D16170" s="7">
        <v>811</v>
      </c>
      <c r="E16170" s="3">
        <v>13</v>
      </c>
      <c r="F16170" s="3">
        <v>13</v>
      </c>
      <c r="G16170" t="s">
        <v>514</v>
      </c>
    </row>
    <row r="16171" spans="1:7" x14ac:dyDescent="0.25">
      <c r="A16171" s="1" t="str">
        <f>"514809"</f>
        <v>514809</v>
      </c>
      <c r="B16171" s="2" t="str">
        <f>"MONITOR AOC 5EN"</f>
        <v>MONITOR AOC 5EN</v>
      </c>
      <c r="C16171" s="2" t="str">
        <f t="shared" si="640"/>
        <v>UN</v>
      </c>
      <c r="D16171" s="7">
        <v>811</v>
      </c>
      <c r="E16171" s="3">
        <v>4</v>
      </c>
      <c r="F16171" s="3">
        <v>4</v>
      </c>
      <c r="G16171" t="s">
        <v>514</v>
      </c>
    </row>
    <row r="16172" spans="1:7" x14ac:dyDescent="0.25">
      <c r="A16172" s="1" t="str">
        <f>"514810"</f>
        <v>514810</v>
      </c>
      <c r="B16172" s="2" t="str">
        <f>"MONITOR AOC 5GLR"</f>
        <v>MONITOR AOC 5GLR</v>
      </c>
      <c r="C16172" s="2" t="str">
        <f t="shared" si="640"/>
        <v>UN</v>
      </c>
      <c r="D16172" s="7">
        <v>811</v>
      </c>
      <c r="E16172" s="3">
        <v>4</v>
      </c>
      <c r="F16172" s="3">
        <v>4</v>
      </c>
      <c r="G16172" t="s">
        <v>514</v>
      </c>
    </row>
    <row r="16173" spans="1:7" x14ac:dyDescent="0.25">
      <c r="A16173" s="1" t="str">
        <f>"514686"</f>
        <v>514686</v>
      </c>
      <c r="B16173" s="2" t="str">
        <f>"MONITOR DE FREQUENCIA B-100"</f>
        <v>MONITOR DE FREQUENCIA B-100</v>
      </c>
      <c r="C16173" s="2" t="str">
        <f t="shared" si="640"/>
        <v>UN</v>
      </c>
      <c r="D16173" s="7">
        <v>401</v>
      </c>
      <c r="E16173" s="3">
        <v>4</v>
      </c>
      <c r="F16173" s="3">
        <v>4</v>
      </c>
      <c r="G16173" t="s">
        <v>513</v>
      </c>
    </row>
    <row r="16174" spans="1:7" x14ac:dyDescent="0.25">
      <c r="A16174" s="1" t="str">
        <f>"516445"</f>
        <v>516445</v>
      </c>
      <c r="B16174" s="2" t="str">
        <f>"MONITOR DELL 17 E773C"</f>
        <v>MONITOR DELL 17 E773C</v>
      </c>
      <c r="C16174" s="2" t="str">
        <f t="shared" si="640"/>
        <v>UN</v>
      </c>
      <c r="D16174" s="7">
        <v>900</v>
      </c>
      <c r="E16174" s="3">
        <v>13</v>
      </c>
      <c r="F16174" s="3">
        <v>13</v>
      </c>
      <c r="G16174" t="s">
        <v>512</v>
      </c>
    </row>
    <row r="16175" spans="1:7" x14ac:dyDescent="0.25">
      <c r="A16175" s="1" t="str">
        <f>"516025"</f>
        <v>516025</v>
      </c>
      <c r="B16175" s="2" t="str">
        <f>"MONITOR DELL 17 E773C 16 AREA VISIVEL"</f>
        <v>MONITOR DELL 17 E773C 16 AREA VISIVEL</v>
      </c>
      <c r="C16175" s="2" t="str">
        <f t="shared" si="640"/>
        <v>UN</v>
      </c>
      <c r="D16175" s="7">
        <v>99999</v>
      </c>
      <c r="E16175" s="3">
        <v>99</v>
      </c>
      <c r="F16175" s="3">
        <v>99</v>
      </c>
      <c r="G16175" t="s">
        <v>513</v>
      </c>
    </row>
    <row r="16176" spans="1:7" x14ac:dyDescent="0.25">
      <c r="A16176" s="1" t="str">
        <f>"526625"</f>
        <v>526625</v>
      </c>
      <c r="B16176" s="2" t="str">
        <f>"MONITOR DELL 21,5"" P2219H"</f>
        <v>MONITOR DELL 21,5" P2219H</v>
      </c>
      <c r="C16176" s="2" t="str">
        <f t="shared" si="640"/>
        <v>UN</v>
      </c>
      <c r="D16176" s="7">
        <v>99999</v>
      </c>
      <c r="E16176" s="3">
        <v>99</v>
      </c>
      <c r="F16176" s="3">
        <v>99</v>
      </c>
      <c r="G16176" t="s">
        <v>514</v>
      </c>
    </row>
    <row r="16177" spans="1:7" x14ac:dyDescent="0.25">
      <c r="A16177" s="1" t="str">
        <f>"518407"</f>
        <v>518407</v>
      </c>
      <c r="B16177" s="2" t="str">
        <f>"MONITOR DELL LCD 18,5"""</f>
        <v>MONITOR DELL LCD 18,5"</v>
      </c>
      <c r="C16177" s="2" t="str">
        <f t="shared" si="640"/>
        <v>UN</v>
      </c>
      <c r="D16177" s="7">
        <v>401</v>
      </c>
      <c r="E16177" s="3">
        <v>4</v>
      </c>
      <c r="F16177" s="3">
        <v>4</v>
      </c>
      <c r="G16177" t="s">
        <v>514</v>
      </c>
    </row>
    <row r="16178" spans="1:7" x14ac:dyDescent="0.25">
      <c r="A16178" s="1" t="str">
        <f>"518100"</f>
        <v>518100</v>
      </c>
      <c r="B16178" s="2" t="str">
        <f>"MONITOR DELL SERIE S 23'' WIDESCREEN"</f>
        <v>MONITOR DELL SERIE S 23'' WIDESCREEN</v>
      </c>
      <c r="C16178" s="2" t="str">
        <f t="shared" si="640"/>
        <v>UN</v>
      </c>
      <c r="D16178" s="7">
        <v>900</v>
      </c>
      <c r="E16178" s="3">
        <v>13</v>
      </c>
      <c r="F16178" s="3">
        <v>13</v>
      </c>
      <c r="G16178" t="s">
        <v>514</v>
      </c>
    </row>
    <row r="16179" spans="1:7" x14ac:dyDescent="0.25">
      <c r="A16179" s="1" t="str">
        <f>"515734"</f>
        <v>515734</v>
      </c>
      <c r="B16179" s="2" t="str">
        <f>"MONITOR FLAT PAMEL DELL 15"""</f>
        <v>MONITOR FLAT PAMEL DELL 15"</v>
      </c>
      <c r="C16179" s="2" t="str">
        <f t="shared" si="640"/>
        <v>UN</v>
      </c>
      <c r="D16179" s="7">
        <v>401</v>
      </c>
      <c r="E16179" s="3">
        <v>4</v>
      </c>
      <c r="F16179" s="3">
        <v>4</v>
      </c>
      <c r="G16179" t="s">
        <v>513</v>
      </c>
    </row>
    <row r="16180" spans="1:7" x14ac:dyDescent="0.25">
      <c r="A16180" s="1" t="str">
        <f>"522617"</f>
        <v>522617</v>
      </c>
      <c r="B16180" s="2" t="str">
        <f>"MONITOR HP E202 20 VGA DP HDMI AJUSTE ALTXGIRO ROTAÇÃO"</f>
        <v>MONITOR HP E202 20 VGA DP HDMI AJUSTE ALTXGIRO ROTAÇÃO</v>
      </c>
      <c r="C16180" s="2" t="str">
        <f t="shared" si="640"/>
        <v>UN</v>
      </c>
      <c r="D16180" s="7">
        <v>1300</v>
      </c>
      <c r="E16180" s="3">
        <v>13</v>
      </c>
      <c r="F16180" s="3">
        <v>13</v>
      </c>
      <c r="G16180" t="s">
        <v>513</v>
      </c>
    </row>
    <row r="16181" spans="1:7" x14ac:dyDescent="0.25">
      <c r="A16181" s="1" t="str">
        <f>"513885"</f>
        <v>513885</v>
      </c>
      <c r="B16181" s="2" t="str">
        <f>"MONITOR HP LCD 18,5"""</f>
        <v>MONITOR HP LCD 18,5"</v>
      </c>
      <c r="C16181" s="2" t="str">
        <f t="shared" si="640"/>
        <v>UN</v>
      </c>
      <c r="D16181" s="7">
        <v>1300</v>
      </c>
      <c r="E16181" s="3">
        <v>13</v>
      </c>
      <c r="F16181" s="3">
        <v>13</v>
      </c>
      <c r="G16181" t="s">
        <v>513</v>
      </c>
    </row>
    <row r="16182" spans="1:7" x14ac:dyDescent="0.25">
      <c r="A16182" s="1" t="str">
        <f>"513927"</f>
        <v>513927</v>
      </c>
      <c r="B16182" s="2" t="str">
        <f>"MONITOR LCD 15,6"""</f>
        <v>MONITOR LCD 15,6"</v>
      </c>
      <c r="C16182" s="2" t="str">
        <f t="shared" si="640"/>
        <v>UN</v>
      </c>
      <c r="D16182" s="7">
        <v>99999</v>
      </c>
      <c r="E16182" s="3">
        <v>99</v>
      </c>
      <c r="F16182" s="3">
        <v>99</v>
      </c>
      <c r="G16182" t="s">
        <v>512</v>
      </c>
    </row>
    <row r="16183" spans="1:7" x14ac:dyDescent="0.25">
      <c r="A16183" s="1" t="str">
        <f>"510957"</f>
        <v>510957</v>
      </c>
      <c r="B16183" s="2" t="str">
        <f>"MONITOR LCD 17POL. ST WIDE LG"</f>
        <v>MONITOR LCD 17POL. ST WIDE LG</v>
      </c>
      <c r="C16183" s="2" t="str">
        <f t="shared" si="640"/>
        <v>UN</v>
      </c>
      <c r="D16183" s="7">
        <v>401</v>
      </c>
      <c r="E16183" s="3">
        <v>4</v>
      </c>
      <c r="F16183" s="3">
        <v>4</v>
      </c>
      <c r="G16183" t="s">
        <v>513</v>
      </c>
    </row>
    <row r="16184" spans="1:7" x14ac:dyDescent="0.25">
      <c r="A16184" s="1" t="str">
        <f>"512408"</f>
        <v>512408</v>
      </c>
      <c r="B16184" s="2" t="str">
        <f>"MONITOR LCD 18.5 WIDE B1930N SANSUNG"</f>
        <v>MONITOR LCD 18.5 WIDE B1930N SANSUNG</v>
      </c>
      <c r="C16184" s="2" t="str">
        <f t="shared" si="640"/>
        <v>UN</v>
      </c>
      <c r="D16184" s="7">
        <v>401</v>
      </c>
      <c r="E16184" s="3">
        <v>4</v>
      </c>
      <c r="F16184" s="3">
        <v>4</v>
      </c>
      <c r="G16184" t="s">
        <v>514</v>
      </c>
    </row>
    <row r="16185" spans="1:7" x14ac:dyDescent="0.25">
      <c r="A16185" s="1" t="str">
        <f>"511249"</f>
        <v>511249</v>
      </c>
      <c r="B16185" s="2" t="str">
        <f>"MONITOR LCD 20POL. LG ELETRONICS"</f>
        <v>MONITOR LCD 20POL. LG ELETRONICS</v>
      </c>
      <c r="C16185" s="2" t="str">
        <f t="shared" si="640"/>
        <v>UN</v>
      </c>
      <c r="D16185" s="7">
        <v>401</v>
      </c>
      <c r="E16185" s="3">
        <v>4</v>
      </c>
      <c r="F16185" s="3">
        <v>4</v>
      </c>
      <c r="G16185" t="s">
        <v>515</v>
      </c>
    </row>
    <row r="16186" spans="1:7" x14ac:dyDescent="0.25">
      <c r="A16186" s="1" t="str">
        <f>"510367"</f>
        <v>510367</v>
      </c>
      <c r="B16186" s="2" t="str">
        <f>"MONITOR LCD WIDESCREEN 15 W1542 S"</f>
        <v>MONITOR LCD WIDESCREEN 15 W1542 S</v>
      </c>
      <c r="C16186" s="2" t="str">
        <f t="shared" si="640"/>
        <v>UN</v>
      </c>
      <c r="D16186" s="7">
        <v>401</v>
      </c>
      <c r="E16186" s="3">
        <v>4</v>
      </c>
      <c r="F16186" s="3">
        <v>4</v>
      </c>
      <c r="G16186" t="s">
        <v>512</v>
      </c>
    </row>
    <row r="16187" spans="1:7" x14ac:dyDescent="0.25">
      <c r="A16187" s="1" t="str">
        <f>"509799"</f>
        <v>509799</v>
      </c>
      <c r="B16187" s="2" t="str">
        <f>"MONITOR LG 17LCD W1752T"</f>
        <v>MONITOR LG 17LCD W1752T</v>
      </c>
      <c r="C16187" s="2" t="str">
        <f t="shared" si="640"/>
        <v>UN</v>
      </c>
      <c r="D16187" s="7">
        <v>401</v>
      </c>
      <c r="E16187" s="3">
        <v>4</v>
      </c>
      <c r="F16187" s="3">
        <v>4</v>
      </c>
      <c r="G16187" t="s">
        <v>516</v>
      </c>
    </row>
    <row r="16188" spans="1:7" x14ac:dyDescent="0.25">
      <c r="A16188" s="1" t="str">
        <f>"518501"</f>
        <v>518501</v>
      </c>
      <c r="B16188" s="2" t="str">
        <f>"MONITOR LONOVO 18,5"" LED LS1921 WIDE"</f>
        <v>MONITOR LONOVO 18,5" LED LS1921 WIDE</v>
      </c>
      <c r="C16188" s="2" t="str">
        <f t="shared" si="640"/>
        <v>UN</v>
      </c>
      <c r="D16188" s="7">
        <v>811</v>
      </c>
      <c r="E16188" s="3">
        <v>13</v>
      </c>
      <c r="F16188" s="3">
        <v>13</v>
      </c>
      <c r="G16188" t="s">
        <v>515</v>
      </c>
    </row>
    <row r="16189" spans="1:7" x14ac:dyDescent="0.25">
      <c r="A16189" s="1" t="str">
        <f>"514817"</f>
        <v>514817</v>
      </c>
      <c r="B16189" s="2" t="str">
        <f>"MONITOR PROWIEL BA562NS"</f>
        <v>MONITOR PROWIEL BA562NS</v>
      </c>
      <c r="C16189" s="2" t="str">
        <f t="shared" si="640"/>
        <v>UN</v>
      </c>
      <c r="D16189" s="7">
        <v>811</v>
      </c>
      <c r="E16189" s="3">
        <v>4</v>
      </c>
      <c r="F16189" s="3">
        <v>4</v>
      </c>
      <c r="G16189" t="s">
        <v>514</v>
      </c>
    </row>
    <row r="16190" spans="1:7" x14ac:dyDescent="0.25">
      <c r="A16190" s="1" t="str">
        <f>"518647"</f>
        <v>518647</v>
      </c>
      <c r="B16190" s="2" t="str">
        <f>"MONITOR SS 18,5 LED LS19C301FSMZD"</f>
        <v>MONITOR SS 18,5 LED LS19C301FSMZD</v>
      </c>
      <c r="C16190" s="2" t="str">
        <f t="shared" si="640"/>
        <v>UN</v>
      </c>
      <c r="D16190" s="7">
        <v>401</v>
      </c>
      <c r="E16190" s="3">
        <v>4</v>
      </c>
      <c r="F16190" s="3">
        <v>4</v>
      </c>
      <c r="G16190" t="s">
        <v>512</v>
      </c>
    </row>
    <row r="16191" spans="1:7" x14ac:dyDescent="0.25">
      <c r="A16191" s="1" t="str">
        <f>"520888"</f>
        <v>520888</v>
      </c>
      <c r="B16191" s="2" t="str">
        <f>"MONITOR TV LED 32"" FULL HD"</f>
        <v>MONITOR TV LED 32" FULL HD</v>
      </c>
      <c r="C16191" s="2" t="str">
        <f>"MT"</f>
        <v>MT</v>
      </c>
      <c r="D16191" s="7">
        <v>602</v>
      </c>
      <c r="E16191" s="3">
        <v>8</v>
      </c>
      <c r="F16191" s="3">
        <v>8</v>
      </c>
      <c r="G16191" t="s">
        <v>513</v>
      </c>
    </row>
    <row r="16192" spans="1:7" x14ac:dyDescent="0.25">
      <c r="A16192" s="1" t="str">
        <f>"520889"</f>
        <v>520889</v>
      </c>
      <c r="B16192" s="2" t="str">
        <f>"MONITOR TV LED 40"" FULL HD"</f>
        <v>MONITOR TV LED 40" FULL HD</v>
      </c>
      <c r="C16192" s="2" t="str">
        <f>"MT"</f>
        <v>MT</v>
      </c>
      <c r="D16192" s="7">
        <v>602</v>
      </c>
      <c r="E16192" s="3">
        <v>8</v>
      </c>
      <c r="F16192" s="3">
        <v>8</v>
      </c>
      <c r="G16192" t="s">
        <v>514</v>
      </c>
    </row>
    <row r="16193" spans="1:7" x14ac:dyDescent="0.25">
      <c r="A16193" s="1" t="str">
        <f>"504888"</f>
        <v>504888</v>
      </c>
      <c r="B16193" s="2" t="str">
        <f>"MONOVACUOMETRO TAMPA IGE - M00006"</f>
        <v>MONOVACUOMETRO TAMPA IGE - M00006</v>
      </c>
      <c r="C16193" s="2" t="str">
        <f t="shared" ref="C16193:C16206" si="641">"UN"</f>
        <v>UN</v>
      </c>
      <c r="D16193" s="7">
        <v>918</v>
      </c>
      <c r="E16193" s="3">
        <v>11</v>
      </c>
      <c r="F16193" s="3">
        <v>11</v>
      </c>
      <c r="G16193" t="s">
        <v>514</v>
      </c>
    </row>
    <row r="16194" spans="1:7" x14ac:dyDescent="0.25">
      <c r="A16194" s="1" t="str">
        <f>"520694"</f>
        <v>520694</v>
      </c>
      <c r="B16194" s="2" t="str">
        <f>"MONTAGEM E DESMONTAGEM DE ARMARIOS E MESAS"</f>
        <v>MONTAGEM E DESMONTAGEM DE ARMARIOS E MESAS</v>
      </c>
      <c r="C16194" s="2" t="str">
        <f t="shared" si="641"/>
        <v>UN</v>
      </c>
      <c r="D16194" s="7">
        <v>99999</v>
      </c>
      <c r="E16194" s="3">
        <v>99</v>
      </c>
      <c r="F16194" s="3">
        <v>99</v>
      </c>
      <c r="G16194" t="s">
        <v>512</v>
      </c>
    </row>
    <row r="16195" spans="1:7" x14ac:dyDescent="0.25">
      <c r="A16195" s="1" t="str">
        <f>"526494"</f>
        <v>526494</v>
      </c>
      <c r="B16195" s="2" t="str">
        <f>"MONTANTE INF. PRENSA CORTE E PRÉ"</f>
        <v>MONTANTE INF. PRENSA CORTE E PRÉ</v>
      </c>
      <c r="C16195" s="2" t="str">
        <f t="shared" si="641"/>
        <v>UN</v>
      </c>
      <c r="D16195" s="7">
        <v>918</v>
      </c>
      <c r="E16195" s="3">
        <v>11</v>
      </c>
      <c r="F16195" s="3">
        <v>11</v>
      </c>
      <c r="G16195" t="s">
        <v>513</v>
      </c>
    </row>
    <row r="16196" spans="1:7" x14ac:dyDescent="0.25">
      <c r="A16196" s="1" t="str">
        <f>"526646"</f>
        <v>526646</v>
      </c>
      <c r="B16196" s="2" t="str">
        <f>"MONTANTE INFERIOR FORMAGEM"</f>
        <v>MONTANTE INFERIOR FORMAGEM</v>
      </c>
      <c r="C16196" s="2" t="str">
        <f t="shared" si="641"/>
        <v>UN</v>
      </c>
      <c r="D16196" s="7">
        <v>918</v>
      </c>
      <c r="E16196" s="3">
        <v>11</v>
      </c>
      <c r="F16196" s="3">
        <v>11</v>
      </c>
      <c r="G16196" t="s">
        <v>514</v>
      </c>
    </row>
    <row r="16197" spans="1:7" x14ac:dyDescent="0.25">
      <c r="A16197" s="1" t="str">
        <f>"526493"</f>
        <v>526493</v>
      </c>
      <c r="B16197" s="2" t="str">
        <f>"MONTANTE SUP. PRENSA CORTE E PRÉ"</f>
        <v>MONTANTE SUP. PRENSA CORTE E PRÉ</v>
      </c>
      <c r="C16197" s="2" t="str">
        <f t="shared" si="641"/>
        <v>UN</v>
      </c>
      <c r="D16197" s="7">
        <v>918</v>
      </c>
      <c r="E16197" s="3">
        <v>11</v>
      </c>
      <c r="F16197" s="3">
        <v>11</v>
      </c>
      <c r="G16197" t="s">
        <v>514</v>
      </c>
    </row>
    <row r="16198" spans="1:7" x14ac:dyDescent="0.25">
      <c r="A16198" s="1" t="str">
        <f>"526645"</f>
        <v>526645</v>
      </c>
      <c r="B16198" s="2" t="str">
        <f>"MONTANTE SUPERIOR FORMAGEM"</f>
        <v>MONTANTE SUPERIOR FORMAGEM</v>
      </c>
      <c r="C16198" s="2" t="str">
        <f t="shared" si="641"/>
        <v>UN</v>
      </c>
      <c r="D16198" s="7">
        <v>918</v>
      </c>
      <c r="E16198" s="3">
        <v>11</v>
      </c>
      <c r="F16198" s="3">
        <v>11</v>
      </c>
      <c r="G16198" t="s">
        <v>514</v>
      </c>
    </row>
    <row r="16199" spans="1:7" x14ac:dyDescent="0.25">
      <c r="A16199" s="1" t="str">
        <f>"515235"</f>
        <v>515235</v>
      </c>
      <c r="B16199" s="2" t="str">
        <f>"MORANGUINHO"</f>
        <v>MORANGUINHO</v>
      </c>
      <c r="C16199" s="2" t="str">
        <f t="shared" si="641"/>
        <v>UN</v>
      </c>
      <c r="D16199" s="7">
        <v>401</v>
      </c>
      <c r="E16199" s="3">
        <v>4</v>
      </c>
      <c r="F16199" s="3">
        <v>4</v>
      </c>
      <c r="G16199" t="s">
        <v>513</v>
      </c>
    </row>
    <row r="16200" spans="1:7" x14ac:dyDescent="0.25">
      <c r="A16200" s="1" t="str">
        <f>"515713"</f>
        <v>515713</v>
      </c>
      <c r="B16200" s="2" t="str">
        <f>"MORANGUINHO"</f>
        <v>MORANGUINHO</v>
      </c>
      <c r="C16200" s="2" t="str">
        <f t="shared" si="641"/>
        <v>UN</v>
      </c>
      <c r="D16200" s="7">
        <v>401</v>
      </c>
      <c r="E16200" s="3">
        <v>4</v>
      </c>
      <c r="F16200" s="3">
        <v>4</v>
      </c>
      <c r="G16200" t="s">
        <v>512</v>
      </c>
    </row>
    <row r="16201" spans="1:7" x14ac:dyDescent="0.25">
      <c r="A16201" s="1" t="str">
        <f>"511849"</f>
        <v>511849</v>
      </c>
      <c r="B16201" s="2" t="str">
        <f>"MORDAÇA HORI ENCARUCHADE"</f>
        <v>MORDAÇA HORI ENCARUCHADE</v>
      </c>
      <c r="C16201" s="2" t="str">
        <f t="shared" si="641"/>
        <v>UN</v>
      </c>
      <c r="D16201" s="7">
        <v>918</v>
      </c>
      <c r="E16201" s="3">
        <v>11</v>
      </c>
      <c r="F16201" s="3">
        <v>11</v>
      </c>
      <c r="G16201" t="s">
        <v>513</v>
      </c>
    </row>
    <row r="16202" spans="1:7" x14ac:dyDescent="0.25">
      <c r="A16202" s="1" t="str">
        <f>"512479"</f>
        <v>512479</v>
      </c>
      <c r="B16202" s="2" t="str">
        <f>"MORDAÇA HORIZONTAL EMBAÇADORA IMAR"</f>
        <v>MORDAÇA HORIZONTAL EMBAÇADORA IMAR</v>
      </c>
      <c r="C16202" s="2" t="str">
        <f t="shared" si="641"/>
        <v>UN</v>
      </c>
      <c r="D16202" s="7">
        <v>918</v>
      </c>
      <c r="E16202" s="3">
        <v>11</v>
      </c>
      <c r="F16202" s="3">
        <v>11</v>
      </c>
      <c r="G16202" t="s">
        <v>514</v>
      </c>
    </row>
    <row r="16203" spans="1:7" x14ac:dyDescent="0.25">
      <c r="A16203" s="1" t="str">
        <f>"511632"</f>
        <v>511632</v>
      </c>
      <c r="B16203" s="2" t="str">
        <f>"MORDAÇA HORIZONTAL ENCARUCHADEIRA GLOBAL"</f>
        <v>MORDAÇA HORIZONTAL ENCARUCHADEIRA GLOBAL</v>
      </c>
      <c r="C16203" s="2" t="str">
        <f t="shared" si="641"/>
        <v>UN</v>
      </c>
      <c r="D16203" s="7">
        <v>918</v>
      </c>
      <c r="E16203" s="3">
        <v>11</v>
      </c>
      <c r="F16203" s="3">
        <v>11</v>
      </c>
      <c r="G16203" t="s">
        <v>514</v>
      </c>
    </row>
    <row r="16204" spans="1:7" x14ac:dyDescent="0.25">
      <c r="A16204" s="1" t="str">
        <f>"510568"</f>
        <v>510568</v>
      </c>
      <c r="B16204" s="2" t="str">
        <f>"MORDAÇA MET 8"</f>
        <v>MORDAÇA MET 8</v>
      </c>
      <c r="C16204" s="2" t="str">
        <f t="shared" si="641"/>
        <v>UN</v>
      </c>
      <c r="D16204" s="7">
        <v>704</v>
      </c>
      <c r="E16204" s="3">
        <v>9</v>
      </c>
      <c r="F16204" s="3">
        <v>9</v>
      </c>
      <c r="G16204" t="s">
        <v>514</v>
      </c>
    </row>
    <row r="16205" spans="1:7" x14ac:dyDescent="0.25">
      <c r="A16205" s="1" t="str">
        <f>"523140"</f>
        <v>523140</v>
      </c>
      <c r="B16205" s="2" t="str">
        <f>"MORSA 100MM"</f>
        <v>MORSA 100MM</v>
      </c>
      <c r="C16205" s="2" t="str">
        <f t="shared" si="641"/>
        <v>UN</v>
      </c>
      <c r="D16205" s="7">
        <v>920</v>
      </c>
      <c r="E16205" s="3">
        <v>10</v>
      </c>
      <c r="F16205" s="3">
        <v>10</v>
      </c>
      <c r="G16205" t="s">
        <v>513</v>
      </c>
    </row>
    <row r="16206" spans="1:7" x14ac:dyDescent="0.25">
      <c r="A16206" s="1" t="str">
        <f>"514824"</f>
        <v>514824</v>
      </c>
      <c r="B16206" s="2" t="str">
        <f>"MORSA MAQUINA 2"</f>
        <v>MORSA MAQUINA 2</v>
      </c>
      <c r="C16206" s="2" t="str">
        <f t="shared" si="641"/>
        <v>UN</v>
      </c>
      <c r="D16206" s="7">
        <v>920</v>
      </c>
      <c r="E16206" s="3">
        <v>4</v>
      </c>
      <c r="F16206" s="3">
        <v>4</v>
      </c>
      <c r="G16206" t="s">
        <v>513</v>
      </c>
    </row>
    <row r="16207" spans="1:7" x14ac:dyDescent="0.25">
      <c r="A16207" s="1" t="str">
        <f>"521741"</f>
        <v>521741</v>
      </c>
      <c r="B16207" s="2" t="str">
        <f>"MORTADELA"</f>
        <v>MORTADELA</v>
      </c>
      <c r="C16207" s="2" t="str">
        <f>"KG"</f>
        <v>KG</v>
      </c>
      <c r="D16207" s="7">
        <v>99999</v>
      </c>
      <c r="E16207" s="3">
        <v>99</v>
      </c>
      <c r="F16207" s="3">
        <v>99</v>
      </c>
      <c r="G16207" t="s">
        <v>513</v>
      </c>
    </row>
    <row r="16208" spans="1:7" x14ac:dyDescent="0.25">
      <c r="A16208" s="1" t="str">
        <f>"515509"</f>
        <v>515509</v>
      </c>
      <c r="B16208" s="2" t="str">
        <f>"MOSQUETAO OVAL ROSCA AÇO HLM0400"</f>
        <v>MOSQUETAO OVAL ROSCA AÇO HLM0400</v>
      </c>
      <c r="C16208" s="2" t="str">
        <f t="shared" ref="C16208:C16254" si="642">"UN"</f>
        <v>UN</v>
      </c>
      <c r="D16208" s="7">
        <v>401</v>
      </c>
      <c r="E16208" s="3">
        <v>4</v>
      </c>
      <c r="F16208" s="3">
        <v>4</v>
      </c>
      <c r="G16208" t="s">
        <v>512</v>
      </c>
    </row>
    <row r="16209" spans="1:7" x14ac:dyDescent="0.25">
      <c r="A16209" s="1" t="str">
        <f>"526386"</f>
        <v>526386</v>
      </c>
      <c r="B16209" s="2" t="str">
        <f>"MOSTARDA"</f>
        <v>MOSTARDA</v>
      </c>
      <c r="C16209" s="2" t="str">
        <f t="shared" si="642"/>
        <v>UN</v>
      </c>
      <c r="D16209" s="7">
        <v>99999</v>
      </c>
      <c r="E16209" s="3">
        <v>99</v>
      </c>
      <c r="F16209" s="3">
        <v>99</v>
      </c>
      <c r="G16209" t="s">
        <v>513</v>
      </c>
    </row>
    <row r="16210" spans="1:7" x14ac:dyDescent="0.25">
      <c r="A16210" s="1" t="str">
        <f>"523995"</f>
        <v>523995</v>
      </c>
      <c r="B16210" s="2" t="str">
        <f>"MOTILEX - CX COM 60 CPS"</f>
        <v>MOTILEX - CX COM 60 CPS</v>
      </c>
      <c r="C16210" s="2" t="str">
        <f t="shared" si="642"/>
        <v>UN</v>
      </c>
      <c r="D16210" s="7">
        <v>99999</v>
      </c>
      <c r="E16210" s="3">
        <v>99</v>
      </c>
      <c r="F16210" s="3">
        <v>99</v>
      </c>
      <c r="G16210" t="s">
        <v>514</v>
      </c>
    </row>
    <row r="16211" spans="1:7" x14ac:dyDescent="0.25">
      <c r="A16211" s="1" t="str">
        <f>"526452"</f>
        <v>526452</v>
      </c>
      <c r="B16211" s="2" t="str">
        <f>"MOTO BOMBA KSB MEGNORM N 065-040-125 GG"</f>
        <v>MOTO BOMBA KSB MEGNORM N 065-040-125 GG</v>
      </c>
      <c r="C16211" s="2" t="str">
        <f t="shared" si="642"/>
        <v>UN</v>
      </c>
      <c r="D16211" s="7">
        <v>813</v>
      </c>
      <c r="E16211" s="3">
        <v>10</v>
      </c>
      <c r="F16211" s="3">
        <v>10</v>
      </c>
      <c r="G16211" t="s">
        <v>515</v>
      </c>
    </row>
    <row r="16212" spans="1:7" x14ac:dyDescent="0.25">
      <c r="A16212" s="1" t="str">
        <f>"523119"</f>
        <v>523119</v>
      </c>
      <c r="B16212" s="2" t="str">
        <f>"MOTO BOMBA KSB MEGNORM N 065-040-200 GG"</f>
        <v>MOTO BOMBA KSB MEGNORM N 065-040-200 GG</v>
      </c>
      <c r="C16212" s="2" t="str">
        <f t="shared" si="642"/>
        <v>UN</v>
      </c>
      <c r="D16212" s="7">
        <v>813</v>
      </c>
      <c r="E16212" s="3">
        <v>10</v>
      </c>
      <c r="F16212" s="3">
        <v>10</v>
      </c>
      <c r="G16212" t="s">
        <v>512</v>
      </c>
    </row>
    <row r="16213" spans="1:7" x14ac:dyDescent="0.25">
      <c r="A16213" s="1" t="str">
        <f>"523063"</f>
        <v>523063</v>
      </c>
      <c r="B16213" s="2" t="str">
        <f>"MOTO BOMBA XKALM60-1-M1/2CV-60MM-220V-2P-R-60HZ"</f>
        <v>MOTO BOMBA XKALM60-1-M1/2CV-60MM-220V-2P-R-60HZ</v>
      </c>
      <c r="C16213" s="2" t="str">
        <f t="shared" si="642"/>
        <v>UN</v>
      </c>
      <c r="D16213" s="7">
        <v>1400</v>
      </c>
      <c r="E16213" s="3">
        <v>10</v>
      </c>
      <c r="F16213" s="3">
        <v>10</v>
      </c>
      <c r="G16213" t="s">
        <v>516</v>
      </c>
    </row>
    <row r="16214" spans="1:7" x14ac:dyDescent="0.25">
      <c r="A16214" s="1" t="str">
        <f>"527545"</f>
        <v>527545</v>
      </c>
      <c r="B16214" s="2" t="str">
        <f>"MOTO FREIO TRIF 75CV 225S/M 4P  60HZ B35D 1000.28.99.589 340"</f>
        <v>MOTO FREIO TRIF 75CV 225S/M 4P  60HZ B35D 1000.28.99.589 340</v>
      </c>
      <c r="C16214" s="2" t="str">
        <f t="shared" si="642"/>
        <v>UN</v>
      </c>
      <c r="D16214" s="7">
        <v>99999</v>
      </c>
      <c r="E16214" s="3">
        <v>99</v>
      </c>
      <c r="F16214" s="3">
        <v>99</v>
      </c>
      <c r="G16214" t="s">
        <v>515</v>
      </c>
    </row>
    <row r="16215" spans="1:7" x14ac:dyDescent="0.25">
      <c r="A16215" s="1" t="str">
        <f>"515349"</f>
        <v>515349</v>
      </c>
      <c r="B16215" s="2" t="str">
        <f>"MOTO REDUTOR"</f>
        <v>MOTO REDUTOR</v>
      </c>
      <c r="C16215" s="2" t="str">
        <f t="shared" si="642"/>
        <v>UN</v>
      </c>
      <c r="D16215" s="7">
        <v>600</v>
      </c>
      <c r="E16215" s="3">
        <v>13</v>
      </c>
      <c r="F16215" s="3">
        <v>13</v>
      </c>
      <c r="G16215" t="s">
        <v>514</v>
      </c>
    </row>
    <row r="16216" spans="1:7" x14ac:dyDescent="0.25">
      <c r="A16216" s="1" t="str">
        <f>"507725"</f>
        <v>507725</v>
      </c>
      <c r="B16216" s="2" t="str">
        <f>"MOTO REDUTOR (MITRI)"</f>
        <v>MOTO REDUTOR (MITRI)</v>
      </c>
      <c r="C16216" s="2" t="str">
        <f t="shared" si="642"/>
        <v>UN</v>
      </c>
      <c r="D16216" s="7">
        <v>900</v>
      </c>
      <c r="E16216" s="3">
        <v>11</v>
      </c>
      <c r="F16216" s="3">
        <v>11</v>
      </c>
      <c r="G16216" t="s">
        <v>512</v>
      </c>
    </row>
    <row r="16217" spans="1:7" x14ac:dyDescent="0.25">
      <c r="A16217" s="1" t="str">
        <f>"515300"</f>
        <v>515300</v>
      </c>
      <c r="B16217" s="2" t="str">
        <f>"MOTO REDUTOR 16 RPM 2 HP"</f>
        <v>MOTO REDUTOR 16 RPM 2 HP</v>
      </c>
      <c r="C16217" s="2" t="str">
        <f t="shared" si="642"/>
        <v>UN</v>
      </c>
      <c r="D16217" s="7">
        <v>600</v>
      </c>
      <c r="E16217" s="3">
        <v>13</v>
      </c>
      <c r="F16217" s="3">
        <v>13</v>
      </c>
      <c r="G16217" t="s">
        <v>513</v>
      </c>
    </row>
    <row r="16218" spans="1:7" x14ac:dyDescent="0.25">
      <c r="A16218" s="1" t="str">
        <f>"512483"</f>
        <v>512483</v>
      </c>
      <c r="B16218" s="2" t="str">
        <f>"MOTO REDUTOR 2 CV 1720 RPM MOD.90 COM FREIO"</f>
        <v>MOTO REDUTOR 2 CV 1720 RPM MOD.90 COM FREIO</v>
      </c>
      <c r="C16218" s="2" t="str">
        <f t="shared" si="642"/>
        <v>UN</v>
      </c>
      <c r="D16218" s="7">
        <v>600</v>
      </c>
      <c r="E16218" s="3">
        <v>8</v>
      </c>
      <c r="F16218" s="3">
        <v>8</v>
      </c>
      <c r="G16218" t="s">
        <v>514</v>
      </c>
    </row>
    <row r="16219" spans="1:7" x14ac:dyDescent="0.25">
      <c r="A16219" s="1" t="str">
        <f>"525220"</f>
        <v>525220</v>
      </c>
      <c r="B16219" s="2" t="str">
        <f>"MOTO REDUTOR CONICO KH37 CMP50/PK/RH1M/SM1"</f>
        <v>MOTO REDUTOR CONICO KH37 CMP50/PK/RH1M/SM1</v>
      </c>
      <c r="C16219" s="2" t="str">
        <f t="shared" si="642"/>
        <v>UN</v>
      </c>
      <c r="D16219" s="7">
        <v>811</v>
      </c>
      <c r="E16219" s="3">
        <v>10</v>
      </c>
      <c r="F16219" s="3">
        <v>10</v>
      </c>
      <c r="G16219" t="s">
        <v>514</v>
      </c>
    </row>
    <row r="16220" spans="1:7" x14ac:dyDescent="0.25">
      <c r="A16220" s="1" t="str">
        <f>"514748"</f>
        <v>514748</v>
      </c>
      <c r="B16220" s="2" t="str">
        <f>"MOTO REDUTOR SIREM"</f>
        <v>MOTO REDUTOR SIREM</v>
      </c>
      <c r="C16220" s="2" t="str">
        <f t="shared" si="642"/>
        <v>UN</v>
      </c>
      <c r="D16220" s="7">
        <v>812</v>
      </c>
      <c r="E16220" s="3">
        <v>10</v>
      </c>
      <c r="F16220" s="3">
        <v>10</v>
      </c>
      <c r="G16220" t="s">
        <v>512</v>
      </c>
    </row>
    <row r="16221" spans="1:7" x14ac:dyDescent="0.25">
      <c r="A16221" s="1" t="str">
        <f>"519691"</f>
        <v>519691</v>
      </c>
      <c r="B16221" s="2" t="str">
        <f>"MOTO REDUTOR TANQUE LEITE ASTEM (GL16)"</f>
        <v>MOTO REDUTOR TANQUE LEITE ASTEM (GL16)</v>
      </c>
      <c r="C16221" s="2" t="str">
        <f t="shared" si="642"/>
        <v>UN</v>
      </c>
      <c r="D16221" s="7">
        <v>813</v>
      </c>
      <c r="E16221" s="3">
        <v>11</v>
      </c>
      <c r="F16221" s="3">
        <v>11</v>
      </c>
      <c r="G16221" t="s">
        <v>513</v>
      </c>
    </row>
    <row r="16222" spans="1:7" x14ac:dyDescent="0.25">
      <c r="A16222" s="1" t="str">
        <f>"521140"</f>
        <v>521140</v>
      </c>
      <c r="B16222" s="2" t="str">
        <f>"MOTOBOMBA 4H5 19EST 10HP 380V TRI"</f>
        <v>MOTOBOMBA 4H5 19EST 10HP 380V TRI</v>
      </c>
      <c r="C16222" s="2" t="str">
        <f t="shared" si="642"/>
        <v>UN</v>
      </c>
      <c r="D16222" s="7">
        <v>1000</v>
      </c>
      <c r="E16222" s="3">
        <v>8</v>
      </c>
      <c r="F16222" s="3">
        <v>8</v>
      </c>
      <c r="G16222" t="s">
        <v>514</v>
      </c>
    </row>
    <row r="16223" spans="1:7" x14ac:dyDescent="0.25">
      <c r="A16223" s="1" t="str">
        <f>"519505"</f>
        <v>519505</v>
      </c>
      <c r="B16223" s="2" t="str">
        <f>"MOTOBOMBA 4H5 19EST 6,5HP 380V TRI"</f>
        <v>MOTOBOMBA 4H5 19EST 6,5HP 380V TRI</v>
      </c>
      <c r="C16223" s="2" t="str">
        <f t="shared" si="642"/>
        <v>UN</v>
      </c>
      <c r="D16223" s="7">
        <v>1000</v>
      </c>
      <c r="E16223" s="3">
        <v>8</v>
      </c>
      <c r="F16223" s="3">
        <v>8</v>
      </c>
      <c r="G16223" t="s">
        <v>514</v>
      </c>
    </row>
    <row r="16224" spans="1:7" x14ac:dyDescent="0.25">
      <c r="A16224" s="1" t="str">
        <f>"519506"</f>
        <v>519506</v>
      </c>
      <c r="B16224" s="2" t="str">
        <f>"MOTOBOMBA CÓD. F9K75-BL 7,5CV-TRI.220/380/440V - 21/2"" X 2"""</f>
        <v>MOTOBOMBA CÓD. F9K75-BL 7,5CV-TRI.220/380/440V - 21/2" X 2"</v>
      </c>
      <c r="C16224" s="2" t="str">
        <f t="shared" si="642"/>
        <v>UN</v>
      </c>
      <c r="D16224" s="7">
        <v>1000</v>
      </c>
      <c r="E16224" s="3">
        <v>8</v>
      </c>
      <c r="F16224" s="3">
        <v>8</v>
      </c>
      <c r="G16224" t="s">
        <v>514</v>
      </c>
    </row>
    <row r="16225" spans="1:7" x14ac:dyDescent="0.25">
      <c r="A16225" s="1" t="str">
        <f>"517570"</f>
        <v>517570</v>
      </c>
      <c r="B16225" s="2" t="str">
        <f>"MOTOBOMBA FES8A T4,0CV 220/380/440V 60HZ"</f>
        <v>MOTOBOMBA FES8A T4,0CV 220/380/440V 60HZ</v>
      </c>
      <c r="C16225" s="2" t="str">
        <f t="shared" si="642"/>
        <v>UN</v>
      </c>
      <c r="D16225" s="7">
        <v>1400</v>
      </c>
      <c r="E16225" s="3">
        <v>8</v>
      </c>
      <c r="F16225" s="3">
        <v>8</v>
      </c>
      <c r="G16225" t="s">
        <v>513</v>
      </c>
    </row>
    <row r="16226" spans="1:7" x14ac:dyDescent="0.25">
      <c r="A16226" s="1" t="str">
        <f>"524578"</f>
        <v>524578</v>
      </c>
      <c r="B16226" s="2" t="str">
        <f>"MOTOBOMBA KSB MEGANORM N 080-050-315 GG NA"</f>
        <v>MOTOBOMBA KSB MEGANORM N 080-050-315 GG NA</v>
      </c>
      <c r="C16226" s="2" t="str">
        <f t="shared" si="642"/>
        <v>UN</v>
      </c>
      <c r="D16226" s="7">
        <v>813</v>
      </c>
      <c r="E16226" s="3">
        <v>13</v>
      </c>
      <c r="F16226" s="3">
        <v>13</v>
      </c>
      <c r="G16226" t="s">
        <v>512</v>
      </c>
    </row>
    <row r="16227" spans="1:7" x14ac:dyDescent="0.25">
      <c r="A16227" s="1" t="str">
        <f>"508441"</f>
        <v>508441</v>
      </c>
      <c r="B16227" s="2" t="str">
        <f>"MOTOBOMBA PERIFERICA LYNUS 220V LYN-50"</f>
        <v>MOTOBOMBA PERIFERICA LYNUS 220V LYN-50</v>
      </c>
      <c r="C16227" s="2" t="str">
        <f t="shared" si="642"/>
        <v>UN</v>
      </c>
      <c r="D16227" s="7">
        <v>813</v>
      </c>
      <c r="E16227" s="3">
        <v>10</v>
      </c>
      <c r="F16227" s="3">
        <v>10</v>
      </c>
      <c r="G16227" t="s">
        <v>513</v>
      </c>
    </row>
    <row r="16228" spans="1:7" x14ac:dyDescent="0.25">
      <c r="A16228" s="1" t="str">
        <f>"518297"</f>
        <v>518297</v>
      </c>
      <c r="B16228" s="2" t="str">
        <f>"MOTOBOMBA SANITARIA AUTO ASPIRANTE 3CV BSIAA 06 B 2X2SMS 304"</f>
        <v>MOTOBOMBA SANITARIA AUTO ASPIRANTE 3CV BSIAA 06 B 2X2SMS 304</v>
      </c>
      <c r="C16228" s="2" t="str">
        <f t="shared" si="642"/>
        <v>UN</v>
      </c>
      <c r="D16228" s="7">
        <v>1000</v>
      </c>
      <c r="E16228" s="3">
        <v>13</v>
      </c>
      <c r="F16228" s="3">
        <v>13</v>
      </c>
      <c r="G16228" t="s">
        <v>514</v>
      </c>
    </row>
    <row r="16229" spans="1:7" x14ac:dyDescent="0.25">
      <c r="A16229" s="1" t="str">
        <f>"522625"</f>
        <v>522625</v>
      </c>
      <c r="B16229" s="2" t="str">
        <f>"MOTOBOMBA SANITÁRIA AUTO ASPIRANTE AÇO INOX AISI 304"</f>
        <v>MOTOBOMBA SANITÁRIA AUTO ASPIRANTE AÇO INOX AISI 304</v>
      </c>
      <c r="C16229" s="2" t="str">
        <f t="shared" si="642"/>
        <v>UN</v>
      </c>
      <c r="D16229" s="7">
        <v>1000</v>
      </c>
      <c r="E16229" s="3">
        <v>13</v>
      </c>
      <c r="F16229" s="3">
        <v>13</v>
      </c>
      <c r="G16229" t="s">
        <v>514</v>
      </c>
    </row>
    <row r="16230" spans="1:7" x14ac:dyDescent="0.25">
      <c r="A16230" s="1" t="str">
        <f>"526539"</f>
        <v>526539</v>
      </c>
      <c r="B16230" s="2" t="str">
        <f>"MOTOBOMBA SCHINEIDER BCA C410 5CV 142MM 2 POLOS 3500RPM 380V"</f>
        <v>MOTOBOMBA SCHINEIDER BCA C410 5CV 142MM 2 POLOS 3500RPM 380V</v>
      </c>
      <c r="C16230" s="2" t="str">
        <f t="shared" si="642"/>
        <v>UN</v>
      </c>
      <c r="D16230" s="7">
        <v>813</v>
      </c>
      <c r="E16230" s="3">
        <v>10</v>
      </c>
      <c r="F16230" s="3">
        <v>10</v>
      </c>
      <c r="G16230" t="s">
        <v>514</v>
      </c>
    </row>
    <row r="16231" spans="1:7" x14ac:dyDescent="0.25">
      <c r="A16231" s="1" t="str">
        <f>"526453"</f>
        <v>526453</v>
      </c>
      <c r="B16231" s="2" t="str">
        <f>"MOTOBOMBA SCHINEIDER BCS C320/ 4CV 137MM 380V"</f>
        <v>MOTOBOMBA SCHINEIDER BCS C320/ 4CV 137MM 380V</v>
      </c>
      <c r="C16231" s="2" t="str">
        <f t="shared" si="642"/>
        <v>UN</v>
      </c>
      <c r="D16231" s="7">
        <v>813</v>
      </c>
      <c r="E16231" s="3">
        <v>10</v>
      </c>
      <c r="F16231" s="3">
        <v>10</v>
      </c>
      <c r="G16231" t="s">
        <v>513</v>
      </c>
    </row>
    <row r="16232" spans="1:7" x14ac:dyDescent="0.25">
      <c r="A16232" s="1" t="str">
        <f>"524964"</f>
        <v>524964</v>
      </c>
      <c r="B16232" s="2" t="str">
        <f>"MOTOBOMBA SCHINEIDER BCS365/CURVA FLANGEADA 1CV 137MM 380V"</f>
        <v>MOTOBOMBA SCHINEIDER BCS365/CURVA FLANGEADA 1CV 137MM 380V</v>
      </c>
      <c r="C16232" s="2" t="str">
        <f t="shared" si="642"/>
        <v>UN</v>
      </c>
      <c r="D16232" s="7">
        <v>813</v>
      </c>
      <c r="E16232" s="3">
        <v>10</v>
      </c>
      <c r="F16232" s="3">
        <v>10</v>
      </c>
      <c r="G16232" t="s">
        <v>513</v>
      </c>
    </row>
    <row r="16233" spans="1:7" x14ac:dyDescent="0.25">
      <c r="A16233" s="1" t="str">
        <f>"521298"</f>
        <v>521298</v>
      </c>
      <c r="B16233" s="2" t="str">
        <f>"MOTOBOMBA SEKO DOSADORA MS1B108A31C4000"</f>
        <v>MOTOBOMBA SEKO DOSADORA MS1B108A31C4000</v>
      </c>
      <c r="C16233" s="2" t="str">
        <f t="shared" si="642"/>
        <v>UN</v>
      </c>
      <c r="D16233" s="7">
        <v>813</v>
      </c>
      <c r="E16233" s="3">
        <v>11</v>
      </c>
      <c r="F16233" s="3">
        <v>11</v>
      </c>
      <c r="G16233" t="s">
        <v>513</v>
      </c>
    </row>
    <row r="16234" spans="1:7" x14ac:dyDescent="0.25">
      <c r="A16234" s="1" t="str">
        <f>"517294"</f>
        <v>517294</v>
      </c>
      <c r="B16234" s="2" t="str">
        <f>"MOTOBOMBA STANDART 2CV 60HZ 220V 50B"</f>
        <v>MOTOBOMBA STANDART 2CV 60HZ 220V 50B</v>
      </c>
      <c r="C16234" s="2" t="str">
        <f t="shared" si="642"/>
        <v>UN</v>
      </c>
      <c r="D16234" s="7">
        <v>811</v>
      </c>
      <c r="E16234" s="3">
        <v>8</v>
      </c>
      <c r="F16234" s="3">
        <v>8</v>
      </c>
      <c r="G16234" t="s">
        <v>512</v>
      </c>
    </row>
    <row r="16235" spans="1:7" x14ac:dyDescent="0.25">
      <c r="A16235" s="1" t="str">
        <f>"512106"</f>
        <v>512106</v>
      </c>
      <c r="B16235" s="2" t="str">
        <f>"MOTOBOMBA TRIFASICA 2CV 3500RPM FAMAC"</f>
        <v>MOTOBOMBA TRIFASICA 2CV 3500RPM FAMAC</v>
      </c>
      <c r="C16235" s="2" t="str">
        <f t="shared" si="642"/>
        <v>UN</v>
      </c>
      <c r="D16235" s="7">
        <v>1400</v>
      </c>
      <c r="E16235" s="3">
        <v>13</v>
      </c>
      <c r="F16235" s="3">
        <v>13</v>
      </c>
      <c r="G16235" t="s">
        <v>513</v>
      </c>
    </row>
    <row r="16236" spans="1:7" x14ac:dyDescent="0.25">
      <c r="A16236" s="1" t="str">
        <f>"516383"</f>
        <v>516383</v>
      </c>
      <c r="B16236" s="2" t="str">
        <f>"MOTOBOMBA TRIFASICA 3,0 CV FES6A 6 ESTAGIOS FAMAC"</f>
        <v>MOTOBOMBA TRIFASICA 3,0 CV FES6A 6 ESTAGIOS FAMAC</v>
      </c>
      <c r="C16236" s="2" t="str">
        <f t="shared" si="642"/>
        <v>UN</v>
      </c>
      <c r="D16236" s="7">
        <v>1000</v>
      </c>
      <c r="E16236" s="3">
        <v>11</v>
      </c>
      <c r="F16236" s="3">
        <v>11</v>
      </c>
      <c r="G16236" t="s">
        <v>514</v>
      </c>
    </row>
    <row r="16237" spans="1:7" x14ac:dyDescent="0.25">
      <c r="A16237" s="1" t="str">
        <f>"512164"</f>
        <v>512164</v>
      </c>
      <c r="B16237" s="2" t="str">
        <f>"MOTOBOMBA TRIFASICA 3CV 3500RPM FAMAC"</f>
        <v>MOTOBOMBA TRIFASICA 3CV 3500RPM FAMAC</v>
      </c>
      <c r="C16237" s="2" t="str">
        <f t="shared" si="642"/>
        <v>UN</v>
      </c>
      <c r="D16237" s="7">
        <v>1400</v>
      </c>
      <c r="E16237" s="3">
        <v>13</v>
      </c>
      <c r="F16237" s="3">
        <v>13</v>
      </c>
      <c r="G16237" t="s">
        <v>515</v>
      </c>
    </row>
    <row r="16238" spans="1:7" x14ac:dyDescent="0.25">
      <c r="A16238" s="1" t="str">
        <f>"519496"</f>
        <v>519496</v>
      </c>
      <c r="B16238" s="2" t="str">
        <f>"MOTOBOMBA TRIFASICA 4,0 CV FES 8A 8 ESTAGIOS FAMAC"</f>
        <v>MOTOBOMBA TRIFASICA 4,0 CV FES 8A 8 ESTAGIOS FAMAC</v>
      </c>
      <c r="C16238" s="2" t="str">
        <f t="shared" si="642"/>
        <v>UN</v>
      </c>
      <c r="D16238" s="7">
        <v>1000</v>
      </c>
      <c r="E16238" s="3">
        <v>11</v>
      </c>
      <c r="F16238" s="3">
        <v>11</v>
      </c>
      <c r="G16238" t="s">
        <v>512</v>
      </c>
    </row>
    <row r="16239" spans="1:7" x14ac:dyDescent="0.25">
      <c r="A16239" s="1" t="str">
        <f>"512105"</f>
        <v>512105</v>
      </c>
      <c r="B16239" s="2" t="str">
        <f>"MOTOBOMBA TRIFASICA 5CV 3500RPM FAMAC"</f>
        <v>MOTOBOMBA TRIFASICA 5CV 3500RPM FAMAC</v>
      </c>
      <c r="C16239" s="2" t="str">
        <f t="shared" si="642"/>
        <v>UN</v>
      </c>
      <c r="D16239" s="7">
        <v>1400</v>
      </c>
      <c r="E16239" s="3">
        <v>13</v>
      </c>
      <c r="F16239" s="3">
        <v>13</v>
      </c>
      <c r="G16239" t="s">
        <v>516</v>
      </c>
    </row>
    <row r="16240" spans="1:7" x14ac:dyDescent="0.25">
      <c r="A16240" s="1" t="str">
        <f>"516250"</f>
        <v>516250</v>
      </c>
      <c r="B16240" s="2" t="str">
        <f>"MOTOBOMBAF1075-BL-NM T7 5CV 220-380-440V 60HZ W-AR GCV BR"</f>
        <v>MOTOBOMBAF1075-BL-NM T7 5CV 220-380-440V 60HZ W-AR GCV BR</v>
      </c>
      <c r="C16240" s="2" t="str">
        <f t="shared" si="642"/>
        <v>UN</v>
      </c>
      <c r="D16240" s="7">
        <v>1000</v>
      </c>
      <c r="E16240" s="3">
        <v>8</v>
      </c>
      <c r="F16240" s="3">
        <v>8</v>
      </c>
      <c r="G16240" t="s">
        <v>515</v>
      </c>
    </row>
    <row r="16241" spans="1:7" x14ac:dyDescent="0.25">
      <c r="A16241" s="1" t="str">
        <f>"523566"</f>
        <v>523566</v>
      </c>
      <c r="B16241" s="2" t="str">
        <f>"MOTOCICLETA TITAN 150CC AZUL"</f>
        <v>MOTOCICLETA TITAN 150CC AZUL</v>
      </c>
      <c r="C16241" s="2" t="str">
        <f t="shared" si="642"/>
        <v>UN</v>
      </c>
      <c r="D16241" s="7">
        <v>502</v>
      </c>
      <c r="E16241" s="3">
        <v>5</v>
      </c>
      <c r="F16241" s="3">
        <v>5</v>
      </c>
      <c r="G16241" t="s">
        <v>514</v>
      </c>
    </row>
    <row r="16242" spans="1:7" x14ac:dyDescent="0.25">
      <c r="A16242" s="1" t="str">
        <f>"512823"</f>
        <v>512823</v>
      </c>
      <c r="B16242" s="2" t="str">
        <f>"MOTOCOMPRESSOR 7,6 2HP 110/220V CHIAPERINI"</f>
        <v>MOTOCOMPRESSOR 7,6 2HP 110/220V CHIAPERINI</v>
      </c>
      <c r="C16242" s="2" t="str">
        <f t="shared" si="642"/>
        <v>UN</v>
      </c>
      <c r="D16242" s="7">
        <v>600</v>
      </c>
      <c r="E16242" s="3">
        <v>8</v>
      </c>
      <c r="F16242" s="3">
        <v>8</v>
      </c>
      <c r="G16242" t="s">
        <v>512</v>
      </c>
    </row>
    <row r="16243" spans="1:7" x14ac:dyDescent="0.25">
      <c r="A16243" s="1" t="str">
        <f>"520659"</f>
        <v>520659</v>
      </c>
      <c r="B16243" s="2" t="str">
        <f>"MOTOCOMPRESSOR MOTOMIL 7,60 220V"</f>
        <v>MOTOCOMPRESSOR MOTOMIL 7,60 220V</v>
      </c>
      <c r="C16243" s="2" t="str">
        <f t="shared" si="642"/>
        <v>UN</v>
      </c>
      <c r="D16243" s="7">
        <v>99999</v>
      </c>
      <c r="E16243" s="3">
        <v>99</v>
      </c>
      <c r="F16243" s="3">
        <v>99</v>
      </c>
      <c r="G16243" t="s">
        <v>513</v>
      </c>
    </row>
    <row r="16244" spans="1:7" x14ac:dyDescent="0.25">
      <c r="A16244" s="1" t="str">
        <f>"514648"</f>
        <v>514648</v>
      </c>
      <c r="B16244" s="2" t="str">
        <f>"MOTOESMERIL"</f>
        <v>MOTOESMERIL</v>
      </c>
      <c r="C16244" s="2" t="str">
        <f t="shared" si="642"/>
        <v>UN</v>
      </c>
      <c r="D16244" s="7">
        <v>1300</v>
      </c>
      <c r="E16244" s="3">
        <v>4</v>
      </c>
      <c r="F16244" s="3">
        <v>4</v>
      </c>
      <c r="G16244" t="s">
        <v>514</v>
      </c>
    </row>
    <row r="16245" spans="1:7" x14ac:dyDescent="0.25">
      <c r="A16245" s="1" t="str">
        <f>"526940"</f>
        <v>526940</v>
      </c>
      <c r="B16245" s="2" t="str">
        <f>"MOTOR 0,75CV 1130RPM 220/380V 60HZ"</f>
        <v>MOTOR 0,75CV 1130RPM 220/380V 60HZ</v>
      </c>
      <c r="C16245" s="2" t="str">
        <f t="shared" si="642"/>
        <v>UN</v>
      </c>
      <c r="D16245" s="7">
        <v>918</v>
      </c>
      <c r="E16245" s="3">
        <v>11</v>
      </c>
      <c r="F16245" s="3">
        <v>11</v>
      </c>
      <c r="G16245" t="s">
        <v>514</v>
      </c>
    </row>
    <row r="16246" spans="1:7" x14ac:dyDescent="0.25">
      <c r="A16246" s="1" t="str">
        <f>"511034"</f>
        <v>511034</v>
      </c>
      <c r="B16246" s="2" t="str">
        <f>"MOTOR 10HP 3500 RPM 220/380 VOLTS"</f>
        <v>MOTOR 10HP 3500 RPM 220/380 VOLTS</v>
      </c>
      <c r="C16246" s="2" t="str">
        <f t="shared" si="642"/>
        <v>UN</v>
      </c>
      <c r="D16246" s="7">
        <v>900</v>
      </c>
      <c r="E16246" s="3">
        <v>11</v>
      </c>
      <c r="F16246" s="3">
        <v>11</v>
      </c>
      <c r="G16246" t="s">
        <v>512</v>
      </c>
    </row>
    <row r="16247" spans="1:7" x14ac:dyDescent="0.25">
      <c r="A16247" s="1" t="str">
        <f>"511035"</f>
        <v>511035</v>
      </c>
      <c r="B16247" s="2" t="str">
        <f>"MOTOR 12,5 HP 3500 RPM 220/380 VOLTS"</f>
        <v>MOTOR 12,5 HP 3500 RPM 220/380 VOLTS</v>
      </c>
      <c r="C16247" s="2" t="str">
        <f t="shared" si="642"/>
        <v>UN</v>
      </c>
      <c r="D16247" s="7">
        <v>900</v>
      </c>
      <c r="E16247" s="3">
        <v>11</v>
      </c>
      <c r="F16247" s="3">
        <v>11</v>
      </c>
      <c r="G16247" t="s">
        <v>513</v>
      </c>
    </row>
    <row r="16248" spans="1:7" x14ac:dyDescent="0.25">
      <c r="A16248" s="1" t="str">
        <f>"510123"</f>
        <v>510123</v>
      </c>
      <c r="B16248" s="2" t="str">
        <f>"MOTOR 1CV 8P TRIFASICO"</f>
        <v>MOTOR 1CV 8P TRIFASICO</v>
      </c>
      <c r="C16248" s="2" t="str">
        <f t="shared" si="642"/>
        <v>UN</v>
      </c>
      <c r="D16248" s="7">
        <v>600</v>
      </c>
      <c r="E16248" s="3">
        <v>8</v>
      </c>
      <c r="F16248" s="3">
        <v>8</v>
      </c>
      <c r="G16248" t="s">
        <v>514</v>
      </c>
    </row>
    <row r="16249" spans="1:7" x14ac:dyDescent="0.25">
      <c r="A16249" s="1" t="str">
        <f>"509688"</f>
        <v>509688</v>
      </c>
      <c r="B16249" s="2" t="str">
        <f>"MOTOR 1NMOT AL63 MONOFASICO 1/3CV 1630RP"</f>
        <v>MOTOR 1NMOT AL63 MONOFASICO 1/3CV 1630RP</v>
      </c>
      <c r="C16249" s="2" t="str">
        <f t="shared" si="642"/>
        <v>UN</v>
      </c>
      <c r="D16249" s="7">
        <v>813</v>
      </c>
      <c r="E16249" s="3">
        <v>10</v>
      </c>
      <c r="F16249" s="3">
        <v>10</v>
      </c>
      <c r="G16249" t="s">
        <v>514</v>
      </c>
    </row>
    <row r="16250" spans="1:7" x14ac:dyDescent="0.25">
      <c r="A16250" s="1" t="str">
        <f>"509991"</f>
        <v>509991</v>
      </c>
      <c r="B16250" s="2" t="str">
        <f>"MOTOR 3CV 2P TE-15"</f>
        <v>MOTOR 3CV 2P TE-15</v>
      </c>
      <c r="C16250" s="2" t="str">
        <f t="shared" si="642"/>
        <v>UN</v>
      </c>
      <c r="D16250" s="7">
        <v>600</v>
      </c>
      <c r="E16250" s="3">
        <v>8</v>
      </c>
      <c r="F16250" s="3">
        <v>8</v>
      </c>
      <c r="G16250" t="s">
        <v>514</v>
      </c>
    </row>
    <row r="16251" spans="1:7" x14ac:dyDescent="0.25">
      <c r="A16251" s="1" t="str">
        <f>"519582"</f>
        <v>519582</v>
      </c>
      <c r="B16251" s="2" t="str">
        <f>"MOTOR 4CV 4 POLO TRIFASICO 220/380V"</f>
        <v>MOTOR 4CV 4 POLO TRIFASICO 220/380V</v>
      </c>
      <c r="C16251" s="2" t="str">
        <f t="shared" si="642"/>
        <v>UN</v>
      </c>
      <c r="D16251" s="7">
        <v>1400</v>
      </c>
      <c r="E16251" s="3">
        <v>13</v>
      </c>
      <c r="F16251" s="3">
        <v>13</v>
      </c>
      <c r="G16251" t="s">
        <v>513</v>
      </c>
    </row>
    <row r="16252" spans="1:7" x14ac:dyDescent="0.25">
      <c r="A16252" s="1" t="str">
        <f>"516304"</f>
        <v>516304</v>
      </c>
      <c r="B16252" s="2" t="str">
        <f>"MOTOR 7,5HP BLINDADO 1700RPM C/ ACOPLAMENTO FF."</f>
        <v>MOTOR 7,5HP BLINDADO 1700RPM C/ ACOPLAMENTO FF.</v>
      </c>
      <c r="C16252" s="2" t="str">
        <f t="shared" si="642"/>
        <v>UN</v>
      </c>
      <c r="D16252" s="7">
        <v>813</v>
      </c>
      <c r="E16252" s="3">
        <v>10</v>
      </c>
      <c r="F16252" s="3">
        <v>10</v>
      </c>
      <c r="G16252" t="s">
        <v>512</v>
      </c>
    </row>
    <row r="16253" spans="1:7" x14ac:dyDescent="0.25">
      <c r="A16253" s="1" t="str">
        <f>"512184"</f>
        <v>512184</v>
      </c>
      <c r="B16253" s="2" t="str">
        <f>"MOTOR ACINAMENTO PORTATIL 220V"</f>
        <v>MOTOR ACINAMENTO PORTATIL 220V</v>
      </c>
      <c r="C16253" s="2" t="str">
        <f t="shared" si="642"/>
        <v>UN</v>
      </c>
      <c r="D16253" s="7">
        <v>402</v>
      </c>
      <c r="E16253" s="3">
        <v>4</v>
      </c>
      <c r="F16253" s="3">
        <v>4</v>
      </c>
      <c r="G16253" t="s">
        <v>513</v>
      </c>
    </row>
    <row r="16254" spans="1:7" x14ac:dyDescent="0.25">
      <c r="A16254" s="1" t="str">
        <f>"522348"</f>
        <v>522348</v>
      </c>
      <c r="B16254" s="2" t="str">
        <f>"MOTOR ARRANQUE"</f>
        <v>MOTOR ARRANQUE</v>
      </c>
      <c r="C16254" s="2" t="str">
        <f t="shared" si="642"/>
        <v>UN</v>
      </c>
      <c r="D16254" s="7">
        <v>704</v>
      </c>
      <c r="E16254" s="3">
        <v>9</v>
      </c>
      <c r="F16254" s="3">
        <v>9</v>
      </c>
      <c r="G16254" t="s">
        <v>514</v>
      </c>
    </row>
    <row r="16255" spans="1:7" x14ac:dyDescent="0.25">
      <c r="A16255" s="1" t="str">
        <f>"510516"</f>
        <v>510516</v>
      </c>
      <c r="B16255" s="2" t="str">
        <f>"MOTOR ARRANQUE EMPILHADEIRA MIT FG-25"</f>
        <v>MOTOR ARRANQUE EMPILHADEIRA MIT FG-25</v>
      </c>
      <c r="C16255" s="2" t="str">
        <f>"PC"</f>
        <v>PC</v>
      </c>
      <c r="D16255" s="7">
        <v>600</v>
      </c>
      <c r="E16255" s="3">
        <v>8</v>
      </c>
      <c r="F16255" s="3">
        <v>8</v>
      </c>
      <c r="G16255" t="s">
        <v>514</v>
      </c>
    </row>
    <row r="16256" spans="1:7" x14ac:dyDescent="0.25">
      <c r="A16256" s="1" t="str">
        <f>"527741"</f>
        <v>527741</v>
      </c>
      <c r="B16256" s="2" t="str">
        <f>"MOTOR ARRANQUE EMPILHADEIRA TOYOTA 8FUG25"</f>
        <v>MOTOR ARRANQUE EMPILHADEIRA TOYOTA 8FUG25</v>
      </c>
      <c r="C16256" s="2" t="str">
        <f>"PC"</f>
        <v>PC</v>
      </c>
      <c r="D16256" s="7">
        <v>600</v>
      </c>
      <c r="E16256" s="3">
        <v>8</v>
      </c>
      <c r="F16256" s="3">
        <v>8</v>
      </c>
      <c r="G16256" t="s">
        <v>514</v>
      </c>
    </row>
    <row r="16257" spans="1:7" x14ac:dyDescent="0.25">
      <c r="A16257" s="1" t="str">
        <f>"507065"</f>
        <v>507065</v>
      </c>
      <c r="B16257" s="2" t="str">
        <f>"MOTOR B71B4 3/4CV 60HZ 1680RPM 220/380"</f>
        <v>MOTOR B71B4 3/4CV 60HZ 1680RPM 220/380</v>
      </c>
      <c r="C16257" s="2" t="str">
        <f t="shared" ref="C16257:C16288" si="643">"UN"</f>
        <v>UN</v>
      </c>
      <c r="D16257" s="7">
        <v>1400</v>
      </c>
      <c r="E16257" s="3">
        <v>13</v>
      </c>
      <c r="F16257" s="3">
        <v>13</v>
      </c>
      <c r="G16257" t="s">
        <v>513</v>
      </c>
    </row>
    <row r="16258" spans="1:7" x14ac:dyDescent="0.25">
      <c r="A16258" s="1" t="str">
        <f>"526908"</f>
        <v>526908</v>
      </c>
      <c r="B16258" s="2" t="str">
        <f>"MOTOR BBA 3500 RPM 380 VOLTS 705CV"</f>
        <v>MOTOR BBA 3500 RPM 380 VOLTS 705CV</v>
      </c>
      <c r="C16258" s="2" t="str">
        <f t="shared" si="643"/>
        <v>UN</v>
      </c>
      <c r="D16258" s="7">
        <v>900</v>
      </c>
      <c r="E16258" s="3">
        <v>11</v>
      </c>
      <c r="F16258" s="3">
        <v>11</v>
      </c>
      <c r="G16258" t="s">
        <v>513</v>
      </c>
    </row>
    <row r="16259" spans="1:7" x14ac:dyDescent="0.25">
      <c r="A16259" s="1" t="str">
        <f>"507882"</f>
        <v>507882</v>
      </c>
      <c r="B16259" s="2" t="str">
        <f>"MOTOR BOSCH 24V Nº 9390453009"</f>
        <v>MOTOR BOSCH 24V Nº 9390453009</v>
      </c>
      <c r="C16259" s="2" t="str">
        <f t="shared" si="643"/>
        <v>UN</v>
      </c>
      <c r="D16259" s="7">
        <v>900</v>
      </c>
      <c r="E16259" s="3">
        <v>11</v>
      </c>
      <c r="F16259" s="3">
        <v>11</v>
      </c>
      <c r="G16259" t="s">
        <v>513</v>
      </c>
    </row>
    <row r="16260" spans="1:7" x14ac:dyDescent="0.25">
      <c r="A16260" s="1" t="str">
        <f>"519671"</f>
        <v>519671</v>
      </c>
      <c r="B16260" s="2" t="str">
        <f>"MOTOR CLIMATIZADOR 24V"</f>
        <v>MOTOR CLIMATIZADOR 24V</v>
      </c>
      <c r="C16260" s="2" t="str">
        <f t="shared" si="643"/>
        <v>UN</v>
      </c>
      <c r="D16260" s="7">
        <v>704</v>
      </c>
      <c r="E16260" s="3">
        <v>9</v>
      </c>
      <c r="F16260" s="3">
        <v>9</v>
      </c>
      <c r="G16260" t="s">
        <v>512</v>
      </c>
    </row>
    <row r="16261" spans="1:7" x14ac:dyDescent="0.25">
      <c r="A16261" s="1" t="str">
        <f>"519030"</f>
        <v>519030</v>
      </c>
      <c r="B16261" s="2" t="str">
        <f>"MOTOR COMPACTO PLUS C/ CABEÇOTE MB 380"</f>
        <v>MOTOR COMPACTO PLUS C/ CABEÇOTE MB 380</v>
      </c>
      <c r="C16261" s="2" t="str">
        <f t="shared" si="643"/>
        <v>UN</v>
      </c>
      <c r="D16261" s="7">
        <v>704</v>
      </c>
      <c r="E16261" s="3">
        <v>9</v>
      </c>
      <c r="F16261" s="3">
        <v>9</v>
      </c>
      <c r="G16261" t="s">
        <v>513</v>
      </c>
    </row>
    <row r="16262" spans="1:7" x14ac:dyDescent="0.25">
      <c r="A16262" s="1" t="str">
        <f>"527256"</f>
        <v>527256</v>
      </c>
      <c r="B16262" s="2" t="str">
        <f>"MOTOR DE PASSO AK34/100F8FN1.8-ID"</f>
        <v>MOTOR DE PASSO AK34/100F8FN1.8-ID</v>
      </c>
      <c r="C16262" s="2" t="str">
        <f t="shared" si="643"/>
        <v>UN</v>
      </c>
      <c r="D16262" s="7">
        <v>600</v>
      </c>
      <c r="E16262" s="3">
        <v>8</v>
      </c>
      <c r="F16262" s="3">
        <v>8</v>
      </c>
      <c r="G16262" t="s">
        <v>514</v>
      </c>
    </row>
    <row r="16263" spans="1:7" x14ac:dyDescent="0.25">
      <c r="A16263" s="1" t="str">
        <f>"514849"</f>
        <v>514849</v>
      </c>
      <c r="B16263" s="8" t="s">
        <v>46</v>
      </c>
      <c r="C16263" s="2" t="str">
        <f t="shared" si="643"/>
        <v>UN</v>
      </c>
      <c r="D16263" s="7">
        <v>811</v>
      </c>
      <c r="E16263" s="3">
        <v>8</v>
      </c>
      <c r="F16263" s="3">
        <v>8</v>
      </c>
      <c r="G16263" t="s">
        <v>515</v>
      </c>
    </row>
    <row r="16264" spans="1:7" x14ac:dyDescent="0.25">
      <c r="A16264" s="1" t="str">
        <f>"527701"</f>
        <v>527701</v>
      </c>
      <c r="B16264" s="2" t="str">
        <f>"MOTOR DE PORTAO PPA MODELO DZ RIO 1/3 PARA BOTOEIRA"</f>
        <v>MOTOR DE PORTAO PPA MODELO DZ RIO 1/3 PARA BOTOEIRA</v>
      </c>
      <c r="C16264" s="2" t="str">
        <f t="shared" si="643"/>
        <v>UN</v>
      </c>
      <c r="D16264" s="7">
        <v>1400</v>
      </c>
      <c r="E16264" s="3">
        <v>13</v>
      </c>
      <c r="F16264" s="3">
        <v>13</v>
      </c>
      <c r="G16264" t="s">
        <v>512</v>
      </c>
    </row>
    <row r="16265" spans="1:7" x14ac:dyDescent="0.25">
      <c r="A16265" s="1" t="str">
        <f>"515148"</f>
        <v>515148</v>
      </c>
      <c r="B16265" s="2" t="str">
        <f>"MOTOR DE SCANER"</f>
        <v>MOTOR DE SCANER</v>
      </c>
      <c r="C16265" s="2" t="str">
        <f t="shared" si="643"/>
        <v>UN</v>
      </c>
      <c r="D16265" s="7">
        <v>401</v>
      </c>
      <c r="E16265" s="3">
        <v>4</v>
      </c>
      <c r="F16265" s="3">
        <v>4</v>
      </c>
      <c r="G16265" t="s">
        <v>516</v>
      </c>
    </row>
    <row r="16266" spans="1:7" x14ac:dyDescent="0.25">
      <c r="A16266" s="1" t="str">
        <f>"513897"</f>
        <v>513897</v>
      </c>
      <c r="B16266" s="2" t="str">
        <f>"MOTOR ELETRICO 0,5HP 4P 220/380V60HZIP55"</f>
        <v>MOTOR ELETRICO 0,5HP 4P 220/380V60HZIP55</v>
      </c>
      <c r="C16266" s="2" t="str">
        <f t="shared" si="643"/>
        <v>UN</v>
      </c>
      <c r="D16266" s="7">
        <v>813</v>
      </c>
      <c r="E16266" s="3">
        <v>13</v>
      </c>
      <c r="F16266" s="3">
        <v>13</v>
      </c>
      <c r="G16266" t="s">
        <v>515</v>
      </c>
    </row>
    <row r="16267" spans="1:7" x14ac:dyDescent="0.25">
      <c r="A16267" s="1" t="str">
        <f>"509524"</f>
        <v>509524</v>
      </c>
      <c r="B16267" s="2" t="str">
        <f>"MOTOR ELETRICO 24V - EMPILHADEIRA"</f>
        <v>MOTOR ELETRICO 24V - EMPILHADEIRA</v>
      </c>
      <c r="C16267" s="2" t="str">
        <f t="shared" si="643"/>
        <v>UN</v>
      </c>
      <c r="D16267" s="7">
        <v>900</v>
      </c>
      <c r="E16267" s="3">
        <v>11</v>
      </c>
      <c r="F16267" s="3">
        <v>11</v>
      </c>
      <c r="G16267" t="s">
        <v>514</v>
      </c>
    </row>
    <row r="16268" spans="1:7" x14ac:dyDescent="0.25">
      <c r="A16268" s="1" t="str">
        <f>"505535"</f>
        <v>505535</v>
      </c>
      <c r="B16268" s="2" t="str">
        <f>"MOTOR ELETRICO 4 POLOS 1700 RPM"</f>
        <v>MOTOR ELETRICO 4 POLOS 1700 RPM</v>
      </c>
      <c r="C16268" s="2" t="str">
        <f t="shared" si="643"/>
        <v>UN</v>
      </c>
      <c r="D16268" s="7">
        <v>600</v>
      </c>
      <c r="E16268" s="3">
        <v>8</v>
      </c>
      <c r="F16268" s="3">
        <v>8</v>
      </c>
      <c r="G16268" t="s">
        <v>512</v>
      </c>
    </row>
    <row r="16269" spans="1:7" x14ac:dyDescent="0.25">
      <c r="A16269" s="1" t="str">
        <f>"526014"</f>
        <v>526014</v>
      </c>
      <c r="B16269" s="2" t="str">
        <f>"MOTOR ELETRICO 50HP 3500RPM 220/380/440 - WEG"</f>
        <v>MOTOR ELETRICO 50HP 3500RPM 220/380/440 - WEG</v>
      </c>
      <c r="C16269" s="2" t="str">
        <f t="shared" si="643"/>
        <v>UN</v>
      </c>
      <c r="D16269" s="7">
        <v>1300</v>
      </c>
      <c r="E16269" s="3">
        <v>10</v>
      </c>
      <c r="F16269" s="3">
        <v>10</v>
      </c>
      <c r="G16269" t="s">
        <v>513</v>
      </c>
    </row>
    <row r="16270" spans="1:7" x14ac:dyDescent="0.25">
      <c r="A16270" s="1" t="str">
        <f>"510668"</f>
        <v>510668</v>
      </c>
      <c r="B16270" s="2" t="str">
        <f>"MOTOR ELETRICO EMPILHADEIRA TOYOTA"</f>
        <v>MOTOR ELETRICO EMPILHADEIRA TOYOTA</v>
      </c>
      <c r="C16270" s="2" t="str">
        <f t="shared" si="643"/>
        <v>UN</v>
      </c>
      <c r="D16270" s="7">
        <v>811</v>
      </c>
      <c r="E16270" s="3">
        <v>8</v>
      </c>
      <c r="F16270" s="3">
        <v>8</v>
      </c>
      <c r="G16270" t="s">
        <v>514</v>
      </c>
    </row>
    <row r="16271" spans="1:7" x14ac:dyDescent="0.25">
      <c r="A16271" s="1" t="str">
        <f>"522678"</f>
        <v>522678</v>
      </c>
      <c r="B16271" s="8" t="s">
        <v>326</v>
      </c>
      <c r="C16271" s="2" t="str">
        <f t="shared" si="643"/>
        <v>UN</v>
      </c>
      <c r="D16271" s="7">
        <v>918</v>
      </c>
      <c r="E16271" s="3">
        <v>11</v>
      </c>
      <c r="F16271" s="3">
        <v>11</v>
      </c>
      <c r="G16271" t="s">
        <v>514</v>
      </c>
    </row>
    <row r="16272" spans="1:7" x14ac:dyDescent="0.25">
      <c r="A16272" s="1" t="str">
        <f>"509371"</f>
        <v>509371</v>
      </c>
      <c r="B16272" s="2" t="str">
        <f>"MOTOR ELETRICO TRIFASICO 380V 100HZ"</f>
        <v>MOTOR ELETRICO TRIFASICO 380V 100HZ</v>
      </c>
      <c r="C16272" s="2" t="str">
        <f t="shared" si="643"/>
        <v>UN</v>
      </c>
      <c r="D16272" s="7">
        <v>1400</v>
      </c>
      <c r="E16272" s="3">
        <v>13</v>
      </c>
      <c r="F16272" s="3">
        <v>13</v>
      </c>
      <c r="G16272" t="s">
        <v>512</v>
      </c>
    </row>
    <row r="16273" spans="1:7" x14ac:dyDescent="0.25">
      <c r="A16273" s="1" t="str">
        <f>"505303"</f>
        <v>505303</v>
      </c>
      <c r="B16273" s="2" t="str">
        <f>"MOTOR EMBRACO 1/4HP 220V"</f>
        <v>MOTOR EMBRACO 1/4HP 220V</v>
      </c>
      <c r="C16273" s="2" t="str">
        <f t="shared" si="643"/>
        <v>UN</v>
      </c>
      <c r="D16273" s="7">
        <v>813</v>
      </c>
      <c r="E16273" s="3">
        <v>10</v>
      </c>
      <c r="F16273" s="3">
        <v>10</v>
      </c>
      <c r="G16273" t="s">
        <v>513</v>
      </c>
    </row>
    <row r="16274" spans="1:7" x14ac:dyDescent="0.25">
      <c r="A16274" s="1" t="str">
        <f>"512358"</f>
        <v>512358</v>
      </c>
      <c r="B16274" s="2" t="str">
        <f>"MOTOR EMPILHADEIRA MIT. FG-25"</f>
        <v>MOTOR EMPILHADEIRA MIT. FG-25</v>
      </c>
      <c r="C16274" s="2" t="str">
        <f t="shared" si="643"/>
        <v>UN</v>
      </c>
      <c r="D16274" s="7">
        <v>600</v>
      </c>
      <c r="E16274" s="3">
        <v>8</v>
      </c>
      <c r="F16274" s="3">
        <v>8</v>
      </c>
      <c r="G16274" t="s">
        <v>514</v>
      </c>
    </row>
    <row r="16275" spans="1:7" x14ac:dyDescent="0.25">
      <c r="A16275" s="1" t="str">
        <f>"527687"</f>
        <v>527687</v>
      </c>
      <c r="B16275" s="2" t="str">
        <f>"MOTOR EMPILHADEIRA TOYOTA MOD;GTA9 02 2600 RPM 24V IP20 ARM2"</f>
        <v>MOTOR EMPILHADEIRA TOYOTA MOD;GTA9 02 2600 RPM 24V IP20 ARM2</v>
      </c>
      <c r="C16275" s="2" t="str">
        <f t="shared" si="643"/>
        <v>UN</v>
      </c>
      <c r="D16275" s="7">
        <v>900</v>
      </c>
      <c r="E16275" s="3">
        <v>11</v>
      </c>
      <c r="F16275" s="3">
        <v>11</v>
      </c>
      <c r="G16275" t="s">
        <v>514</v>
      </c>
    </row>
    <row r="16276" spans="1:7" x14ac:dyDescent="0.25">
      <c r="A16276" s="1" t="str">
        <f>"508935"</f>
        <v>508935</v>
      </c>
      <c r="B16276" s="2" t="str">
        <f>"MOTOR EVAPORADOR VM 12V ERA 413137"</f>
        <v>MOTOR EVAPORADOR VM 12V ERA 413137</v>
      </c>
      <c r="C16276" s="2" t="str">
        <f t="shared" si="643"/>
        <v>UN</v>
      </c>
      <c r="D16276" s="7">
        <v>704</v>
      </c>
      <c r="E16276" s="3">
        <v>9</v>
      </c>
      <c r="F16276" s="3">
        <v>9</v>
      </c>
      <c r="G16276" t="s">
        <v>514</v>
      </c>
    </row>
    <row r="16277" spans="1:7" x14ac:dyDescent="0.25">
      <c r="A16277" s="1" t="str">
        <f>"519038"</f>
        <v>519038</v>
      </c>
      <c r="B16277" s="2" t="str">
        <f>"MOTOR HID. EMP. STILL FMX17EKG1156325TR SERIE 341833001231"</f>
        <v>MOTOR HID. EMP. STILL FMX17EKG1156325TR SERIE 341833001231</v>
      </c>
      <c r="C16277" s="2" t="str">
        <f t="shared" si="643"/>
        <v>UN</v>
      </c>
      <c r="D16277" s="7">
        <v>811</v>
      </c>
      <c r="E16277" s="3">
        <v>8</v>
      </c>
      <c r="F16277" s="3">
        <v>8</v>
      </c>
      <c r="G16277" t="s">
        <v>513</v>
      </c>
    </row>
    <row r="16278" spans="1:7" x14ac:dyDescent="0.25">
      <c r="A16278" s="1" t="str">
        <f>"516532"</f>
        <v>516532</v>
      </c>
      <c r="B16278" s="2" t="str">
        <f>"MOTOR HIDRAULICO 548778 H06"</f>
        <v>MOTOR HIDRAULICO 548778 H06</v>
      </c>
      <c r="C16278" s="2" t="str">
        <f t="shared" si="643"/>
        <v>UN</v>
      </c>
      <c r="D16278" s="7">
        <v>914</v>
      </c>
      <c r="E16278" s="3">
        <v>11</v>
      </c>
      <c r="F16278" s="3">
        <v>11</v>
      </c>
      <c r="G16278" t="s">
        <v>512</v>
      </c>
    </row>
    <row r="16279" spans="1:7" x14ac:dyDescent="0.25">
      <c r="A16279" s="1" t="str">
        <f>"518277"</f>
        <v>518277</v>
      </c>
      <c r="B16279" s="2" t="str">
        <f>"MOTOR HIDRAULICO BIDIRECIONAL - EIXO A6 599524"</f>
        <v>MOTOR HIDRAULICO BIDIRECIONAL - EIXO A6 599524</v>
      </c>
      <c r="C16279" s="2" t="str">
        <f t="shared" si="643"/>
        <v>UN</v>
      </c>
      <c r="D16279" s="7">
        <v>1400</v>
      </c>
      <c r="E16279" s="3">
        <v>11</v>
      </c>
      <c r="F16279" s="3">
        <v>11</v>
      </c>
      <c r="G16279" t="s">
        <v>513</v>
      </c>
    </row>
    <row r="16280" spans="1:7" x14ac:dyDescent="0.25">
      <c r="A16280" s="1" t="str">
        <f>"518795"</f>
        <v>518795</v>
      </c>
      <c r="B16280" s="2" t="str">
        <f>"MOTOR HIDRAULICO EMPILHADEIRA TOYOTA FBRE"</f>
        <v>MOTOR HIDRAULICO EMPILHADEIRA TOYOTA FBRE</v>
      </c>
      <c r="C16280" s="2" t="str">
        <f t="shared" si="643"/>
        <v>UN</v>
      </c>
      <c r="D16280" s="7">
        <v>914</v>
      </c>
      <c r="E16280" s="3">
        <v>11</v>
      </c>
      <c r="F16280" s="3">
        <v>11</v>
      </c>
      <c r="G16280" t="s">
        <v>514</v>
      </c>
    </row>
    <row r="16281" spans="1:7" x14ac:dyDescent="0.25">
      <c r="A16281" s="1" t="str">
        <f>"506431"</f>
        <v>506431</v>
      </c>
      <c r="B16281" s="2" t="str">
        <f>"MOTOR HIDRAULICO SOPRADORA PACK 1"</f>
        <v>MOTOR HIDRAULICO SOPRADORA PACK 1</v>
      </c>
      <c r="C16281" s="2" t="str">
        <f t="shared" si="643"/>
        <v>UN</v>
      </c>
      <c r="D16281" s="7">
        <v>914</v>
      </c>
      <c r="E16281" s="3">
        <v>11</v>
      </c>
      <c r="F16281" s="3">
        <v>11</v>
      </c>
      <c r="G16281" t="s">
        <v>514</v>
      </c>
    </row>
    <row r="16282" spans="1:7" x14ac:dyDescent="0.25">
      <c r="A16282" s="1" t="str">
        <f>"507918"</f>
        <v>507918</v>
      </c>
      <c r="B16282" s="2" t="str">
        <f>"MOTOR LIMPADOR DE PARABRISAS"</f>
        <v>MOTOR LIMPADOR DE PARABRISAS</v>
      </c>
      <c r="C16282" s="2" t="str">
        <f t="shared" si="643"/>
        <v>UN</v>
      </c>
      <c r="D16282" s="7">
        <v>704</v>
      </c>
      <c r="E16282" s="3">
        <v>9</v>
      </c>
      <c r="F16282" s="3">
        <v>9</v>
      </c>
      <c r="G16282" t="s">
        <v>514</v>
      </c>
    </row>
    <row r="16283" spans="1:7" x14ac:dyDescent="0.25">
      <c r="A16283" s="1" t="str">
        <f>"519013"</f>
        <v>519013</v>
      </c>
      <c r="B16283" s="2" t="str">
        <f>"MOTOR LIMPADOR WMO 308 BOSCH"</f>
        <v>MOTOR LIMPADOR WMO 308 BOSCH</v>
      </c>
      <c r="C16283" s="2" t="str">
        <f t="shared" si="643"/>
        <v>UN</v>
      </c>
      <c r="D16283" s="7">
        <v>1400</v>
      </c>
      <c r="E16283" s="3">
        <v>4</v>
      </c>
      <c r="F16283" s="3">
        <v>4</v>
      </c>
      <c r="G16283" t="s">
        <v>513</v>
      </c>
    </row>
    <row r="16284" spans="1:7" x14ac:dyDescent="0.25">
      <c r="A16284" s="1" t="str">
        <f>"510494"</f>
        <v>510494</v>
      </c>
      <c r="B16284" s="2" t="str">
        <f>"MOTOR MC 1/8CV 1650RPM 220/380V B56a4 TR"</f>
        <v>MOTOR MC 1/8CV 1650RPM 220/380V B56a4 TR</v>
      </c>
      <c r="C16284" s="2" t="str">
        <f t="shared" si="643"/>
        <v>UN</v>
      </c>
      <c r="D16284" s="7">
        <v>900</v>
      </c>
      <c r="E16284" s="3">
        <v>11</v>
      </c>
      <c r="F16284" s="3">
        <v>11</v>
      </c>
      <c r="G16284" t="s">
        <v>513</v>
      </c>
    </row>
    <row r="16285" spans="1:7" x14ac:dyDescent="0.25">
      <c r="A16285" s="1" t="str">
        <f>"505222"</f>
        <v>505222</v>
      </c>
      <c r="B16285" s="2" t="str">
        <f>"MOTOR MOD.MT28JE1RVE SERIE MJ1033874602"</f>
        <v>MOTOR MOD.MT28JE1RVE SERIE MJ1033874602</v>
      </c>
      <c r="C16285" s="2" t="str">
        <f t="shared" si="643"/>
        <v>UN</v>
      </c>
      <c r="D16285" s="7">
        <v>900</v>
      </c>
      <c r="E16285" s="3">
        <v>11</v>
      </c>
      <c r="F16285" s="3">
        <v>11</v>
      </c>
      <c r="G16285" t="s">
        <v>513</v>
      </c>
    </row>
    <row r="16286" spans="1:7" x14ac:dyDescent="0.25">
      <c r="A16286" s="1" t="str">
        <f>"526915"</f>
        <v>526915</v>
      </c>
      <c r="B16286" s="2" t="str">
        <f>"MOTOR MODELO 63, 0,25KW, 1660 RPM BOMBA TAMPA PANELA"</f>
        <v>MOTOR MODELO 63, 0,25KW, 1660 RPM BOMBA TAMPA PANELA</v>
      </c>
      <c r="C16286" s="2" t="str">
        <f t="shared" si="643"/>
        <v>UN</v>
      </c>
      <c r="D16286" s="7">
        <v>1400</v>
      </c>
      <c r="E16286" s="3">
        <v>13</v>
      </c>
      <c r="F16286" s="3">
        <v>13</v>
      </c>
      <c r="G16286" t="s">
        <v>512</v>
      </c>
    </row>
    <row r="16287" spans="1:7" x14ac:dyDescent="0.25">
      <c r="A16287" s="1" t="str">
        <f>"522677"</f>
        <v>522677</v>
      </c>
      <c r="B16287" s="2" t="str">
        <f>"MOTOR MODIFICADO G4 24V C/ POLIA"</f>
        <v>MOTOR MODIFICADO G4 24V C/ POLIA</v>
      </c>
      <c r="C16287" s="2" t="str">
        <f t="shared" si="643"/>
        <v>UN</v>
      </c>
      <c r="D16287" s="7">
        <v>918</v>
      </c>
      <c r="E16287" s="3">
        <v>11</v>
      </c>
      <c r="F16287" s="3">
        <v>11</v>
      </c>
      <c r="G16287" t="s">
        <v>513</v>
      </c>
    </row>
    <row r="16288" spans="1:7" x14ac:dyDescent="0.25">
      <c r="A16288" s="1" t="str">
        <f>"513832"</f>
        <v>513832</v>
      </c>
      <c r="B16288" s="2" t="str">
        <f>"MOTOR N34-45F 220V"</f>
        <v>MOTOR N34-45F 220V</v>
      </c>
      <c r="C16288" s="2" t="str">
        <f t="shared" si="643"/>
        <v>UN</v>
      </c>
      <c r="D16288" s="7">
        <v>811</v>
      </c>
      <c r="E16288" s="3">
        <v>8</v>
      </c>
      <c r="F16288" s="3">
        <v>8</v>
      </c>
      <c r="G16288" t="s">
        <v>514</v>
      </c>
    </row>
    <row r="16289" spans="1:7" x14ac:dyDescent="0.25">
      <c r="A16289" s="1" t="str">
        <f>"507880"</f>
        <v>507880</v>
      </c>
      <c r="B16289" s="2" t="str">
        <f>"MOTOR P/ ESTEIRA (MITRI)"</f>
        <v>MOTOR P/ ESTEIRA (MITRI)</v>
      </c>
      <c r="C16289" s="2" t="str">
        <f t="shared" ref="C16289:C16320" si="644">"UN"</f>
        <v>UN</v>
      </c>
      <c r="D16289" s="7">
        <v>900</v>
      </c>
      <c r="E16289" s="3">
        <v>11</v>
      </c>
      <c r="F16289" s="3">
        <v>11</v>
      </c>
      <c r="G16289" t="s">
        <v>515</v>
      </c>
    </row>
    <row r="16290" spans="1:7" x14ac:dyDescent="0.25">
      <c r="A16290" s="1" t="str">
        <f>"517457"</f>
        <v>517457</v>
      </c>
      <c r="B16290" s="2" t="str">
        <f>"MOTOR P/ TROLE ELETRICO 0,25 - 0,08KW 380 v"</f>
        <v>MOTOR P/ TROLE ELETRICO 0,25 - 0,08KW 380 v</v>
      </c>
      <c r="C16290" s="2" t="str">
        <f t="shared" si="644"/>
        <v>UN</v>
      </c>
      <c r="D16290" s="7">
        <v>1400</v>
      </c>
      <c r="E16290" s="3">
        <v>8</v>
      </c>
      <c r="F16290" s="3">
        <v>8</v>
      </c>
      <c r="G16290" t="s">
        <v>512</v>
      </c>
    </row>
    <row r="16291" spans="1:7" x14ac:dyDescent="0.25">
      <c r="A16291" s="1" t="str">
        <f>"515460"</f>
        <v>515460</v>
      </c>
      <c r="B16291" s="2" t="str">
        <f>"MOTOR PARA TROLE ELETRICO"</f>
        <v>MOTOR PARA TROLE ELETRICO</v>
      </c>
      <c r="C16291" s="2" t="str">
        <f t="shared" si="644"/>
        <v>UN</v>
      </c>
      <c r="D16291" s="7">
        <v>1400</v>
      </c>
      <c r="E16291" s="3">
        <v>8</v>
      </c>
      <c r="F16291" s="3">
        <v>8</v>
      </c>
      <c r="G16291" t="s">
        <v>516</v>
      </c>
    </row>
    <row r="16292" spans="1:7" x14ac:dyDescent="0.25">
      <c r="A16292" s="1" t="str">
        <f>"505853"</f>
        <v>505853</v>
      </c>
      <c r="B16292" s="2" t="str">
        <f>"MOTOR PARTIDA"</f>
        <v>MOTOR PARTIDA</v>
      </c>
      <c r="C16292" s="2" t="str">
        <f t="shared" si="644"/>
        <v>UN</v>
      </c>
      <c r="D16292" s="7">
        <v>704</v>
      </c>
      <c r="E16292" s="3">
        <v>9</v>
      </c>
      <c r="F16292" s="3">
        <v>9</v>
      </c>
      <c r="G16292" t="s">
        <v>515</v>
      </c>
    </row>
    <row r="16293" spans="1:7" x14ac:dyDescent="0.25">
      <c r="A16293" s="1" t="str">
        <f>"513085"</f>
        <v>513085</v>
      </c>
      <c r="B16293" s="2" t="str">
        <f>"MOTOR PASSO AK34/52F4CN1.8 AKIYAMA"</f>
        <v>MOTOR PASSO AK34/52F4CN1.8 AKIYAMA</v>
      </c>
      <c r="C16293" s="2" t="str">
        <f t="shared" si="644"/>
        <v>UN</v>
      </c>
      <c r="D16293" s="7">
        <v>918</v>
      </c>
      <c r="E16293" s="3">
        <v>11</v>
      </c>
      <c r="F16293" s="3">
        <v>11</v>
      </c>
      <c r="G16293" t="s">
        <v>514</v>
      </c>
    </row>
    <row r="16294" spans="1:7" x14ac:dyDescent="0.25">
      <c r="A16294" s="1" t="str">
        <f>"515461"</f>
        <v>515461</v>
      </c>
      <c r="B16294" s="2" t="str">
        <f>"MOTOR SANDEIRO 1.6"</f>
        <v>MOTOR SANDEIRO 1.6</v>
      </c>
      <c r="C16294" s="2" t="str">
        <f t="shared" si="644"/>
        <v>UN</v>
      </c>
      <c r="D16294" s="7">
        <v>704</v>
      </c>
      <c r="E16294" s="3">
        <v>9</v>
      </c>
      <c r="F16294" s="3">
        <v>9</v>
      </c>
      <c r="G16294" t="s">
        <v>512</v>
      </c>
    </row>
    <row r="16295" spans="1:7" x14ac:dyDescent="0.25">
      <c r="A16295" s="1" t="str">
        <f>"517788"</f>
        <v>517788</v>
      </c>
      <c r="B16295" s="2" t="str">
        <f>"MOTOR SIROCO 1CV TRIFASICO 220/380V 60HZ 3400RPM IP55"</f>
        <v>MOTOR SIROCO 1CV TRIFASICO 220/380V 60HZ 3400RPM IP55</v>
      </c>
      <c r="C16295" s="2" t="str">
        <f t="shared" si="644"/>
        <v>UN</v>
      </c>
      <c r="D16295" s="7">
        <v>813</v>
      </c>
      <c r="E16295" s="3">
        <v>8</v>
      </c>
      <c r="F16295" s="3">
        <v>8</v>
      </c>
      <c r="G16295" t="s">
        <v>513</v>
      </c>
    </row>
    <row r="16296" spans="1:7" x14ac:dyDescent="0.25">
      <c r="A16296" s="1" t="str">
        <f>"510598"</f>
        <v>510598</v>
      </c>
      <c r="B16296" s="2" t="str">
        <f>"MOTOR SMRT COND-1159 1C74281H03"</f>
        <v>MOTOR SMRT COND-1159 1C74281H03</v>
      </c>
      <c r="C16296" s="2" t="str">
        <f t="shared" si="644"/>
        <v>UN</v>
      </c>
      <c r="D16296" s="7">
        <v>704</v>
      </c>
      <c r="E16296" s="3">
        <v>9</v>
      </c>
      <c r="F16296" s="3">
        <v>9</v>
      </c>
      <c r="G16296" t="s">
        <v>514</v>
      </c>
    </row>
    <row r="16297" spans="1:7" x14ac:dyDescent="0.25">
      <c r="A16297" s="1" t="str">
        <f>"508932"</f>
        <v>508932</v>
      </c>
      <c r="B16297" s="2" t="str">
        <f>"MOTOR SMRT COND-1159 1C74281HO3"</f>
        <v>MOTOR SMRT COND-1159 1C74281HO3</v>
      </c>
      <c r="C16297" s="2" t="str">
        <f t="shared" si="644"/>
        <v>UN</v>
      </c>
      <c r="D16297" s="7">
        <v>704</v>
      </c>
      <c r="E16297" s="3">
        <v>9</v>
      </c>
      <c r="F16297" s="3">
        <v>9</v>
      </c>
      <c r="G16297" t="s">
        <v>514</v>
      </c>
    </row>
    <row r="16298" spans="1:7" x14ac:dyDescent="0.25">
      <c r="A16298" s="1" t="str">
        <f>"524420"</f>
        <v>524420</v>
      </c>
      <c r="B16298" s="2" t="str">
        <f>"MOTOR SWING"</f>
        <v>MOTOR SWING</v>
      </c>
      <c r="C16298" s="2" t="str">
        <f t="shared" si="644"/>
        <v>UN</v>
      </c>
      <c r="D16298" s="7">
        <v>818</v>
      </c>
      <c r="E16298" s="3">
        <v>10</v>
      </c>
      <c r="F16298" s="3">
        <v>10</v>
      </c>
      <c r="G16298" t="s">
        <v>512</v>
      </c>
    </row>
    <row r="16299" spans="1:7" x14ac:dyDescent="0.25">
      <c r="A16299" s="1" t="str">
        <f>"516066"</f>
        <v>516066</v>
      </c>
      <c r="B16299" s="2" t="str">
        <f>"MOTOR TR 0,5 CV 4P 71 220/380V 60HZ B3D IP55 W22"</f>
        <v>MOTOR TR 0,5 CV 4P 71 220/380V 60HZ B3D IP55 W22</v>
      </c>
      <c r="C16299" s="2" t="str">
        <f t="shared" si="644"/>
        <v>UN</v>
      </c>
      <c r="D16299" s="7">
        <v>918</v>
      </c>
      <c r="E16299" s="3">
        <v>11</v>
      </c>
      <c r="F16299" s="3">
        <v>11</v>
      </c>
      <c r="G16299" t="s">
        <v>513</v>
      </c>
    </row>
    <row r="16300" spans="1:7" x14ac:dyDescent="0.25">
      <c r="A16300" s="1" t="str">
        <f>"517828"</f>
        <v>517828</v>
      </c>
      <c r="B16300" s="2" t="str">
        <f>"MOTOR TR 1CV 4P 80 220/380V 60HZ B34D IP55 W22 PLUS"</f>
        <v>MOTOR TR 1CV 4P 80 220/380V 60HZ B34D IP55 W22 PLUS</v>
      </c>
      <c r="C16300" s="2" t="str">
        <f t="shared" si="644"/>
        <v>UN</v>
      </c>
      <c r="D16300" s="7">
        <v>1400</v>
      </c>
      <c r="E16300" s="3">
        <v>8</v>
      </c>
      <c r="F16300" s="3">
        <v>8</v>
      </c>
      <c r="G16300" t="s">
        <v>514</v>
      </c>
    </row>
    <row r="16301" spans="1:7" x14ac:dyDescent="0.25">
      <c r="A16301" s="1" t="str">
        <f>"524397"</f>
        <v>524397</v>
      </c>
      <c r="B16301" s="2" t="str">
        <f>"MOTOR TRIFÁSICO 1/8 POLO 4 CARC. 56B 4 FLANGE B14 BN56-MT1/8"</f>
        <v>MOTOR TRIFÁSICO 1/8 POLO 4 CARC. 56B 4 FLANGE B14 BN56-MT1/8</v>
      </c>
      <c r="C16301" s="2" t="str">
        <f t="shared" si="644"/>
        <v>UN</v>
      </c>
      <c r="D16301" s="7">
        <v>811</v>
      </c>
      <c r="E16301" s="3">
        <v>11</v>
      </c>
      <c r="F16301" s="3">
        <v>11</v>
      </c>
      <c r="G16301" t="s">
        <v>514</v>
      </c>
    </row>
    <row r="16302" spans="1:7" x14ac:dyDescent="0.25">
      <c r="A16302" s="1" t="str">
        <f>"525969"</f>
        <v>525969</v>
      </c>
      <c r="B16302" s="2" t="str">
        <f>"MOTOR TRIFASICO 220/380 132KW 220A"</f>
        <v>MOTOR TRIFASICO 220/380 132KW 220A</v>
      </c>
      <c r="C16302" s="2" t="str">
        <f t="shared" si="644"/>
        <v>UN</v>
      </c>
      <c r="D16302" s="7">
        <v>600</v>
      </c>
      <c r="E16302" s="3">
        <v>8</v>
      </c>
      <c r="F16302" s="3">
        <v>8</v>
      </c>
      <c r="G16302" t="s">
        <v>514</v>
      </c>
    </row>
    <row r="16303" spans="1:7" x14ac:dyDescent="0.25">
      <c r="A16303" s="1" t="str">
        <f>"519081"</f>
        <v>519081</v>
      </c>
      <c r="B16303" s="2" t="str">
        <f>"MOTOR TRIFASICO 30CV 4 POLOS IP55 100HZ B3D E1766 (IFB180M4)"</f>
        <v>MOTOR TRIFASICO 30CV 4 POLOS IP55 100HZ B3D E1766 (IFB180M4)</v>
      </c>
      <c r="C16303" s="2" t="str">
        <f t="shared" si="644"/>
        <v>UN</v>
      </c>
      <c r="D16303" s="7">
        <v>1400</v>
      </c>
      <c r="E16303" s="3">
        <v>8</v>
      </c>
      <c r="F16303" s="3">
        <v>8</v>
      </c>
      <c r="G16303" t="s">
        <v>513</v>
      </c>
    </row>
    <row r="16304" spans="1:7" x14ac:dyDescent="0.25">
      <c r="A16304" s="1" t="str">
        <f>"521879"</f>
        <v>521879</v>
      </c>
      <c r="B16304" s="2" t="str">
        <f>"MOTOR VENT. UC 350MM 220V-1 EX ELGIN - UC2150/2200"</f>
        <v>MOTOR VENT. UC 350MM 220V-1 EX ELGIN - UC2150/2200</v>
      </c>
      <c r="C16304" s="2" t="str">
        <f t="shared" si="644"/>
        <v>UN</v>
      </c>
      <c r="D16304" s="7">
        <v>916</v>
      </c>
      <c r="E16304" s="3">
        <v>10</v>
      </c>
      <c r="F16304" s="3">
        <v>10</v>
      </c>
      <c r="G16304" t="s">
        <v>512</v>
      </c>
    </row>
    <row r="16305" spans="1:7" x14ac:dyDescent="0.25">
      <c r="A16305" s="1" t="str">
        <f>"519789"</f>
        <v>519789</v>
      </c>
      <c r="B16305" s="2" t="str">
        <f>"MOTOR VENTILADOR 115VAC"</f>
        <v>MOTOR VENTILADOR 115VAC</v>
      </c>
      <c r="C16305" s="2" t="str">
        <f t="shared" si="644"/>
        <v>UN</v>
      </c>
      <c r="D16305" s="7">
        <v>811</v>
      </c>
      <c r="E16305" s="3">
        <v>8</v>
      </c>
      <c r="F16305" s="3">
        <v>8</v>
      </c>
      <c r="G16305" t="s">
        <v>513</v>
      </c>
    </row>
    <row r="16306" spans="1:7" x14ac:dyDescent="0.25">
      <c r="A16306" s="1" t="str">
        <f>"525367"</f>
        <v>525367</v>
      </c>
      <c r="B16306" s="2" t="str">
        <f>"MOTOR VENTILADOR 24V"</f>
        <v>MOTOR VENTILADOR 24V</v>
      </c>
      <c r="C16306" s="2" t="str">
        <f t="shared" si="644"/>
        <v>UN</v>
      </c>
      <c r="D16306" s="7">
        <v>704</v>
      </c>
      <c r="E16306" s="3">
        <v>9</v>
      </c>
      <c r="F16306" s="3">
        <v>9</v>
      </c>
      <c r="G16306" t="s">
        <v>514</v>
      </c>
    </row>
    <row r="16307" spans="1:7" x14ac:dyDescent="0.25">
      <c r="A16307" s="1" t="str">
        <f>"521472"</f>
        <v>521472</v>
      </c>
      <c r="B16307" s="2" t="str">
        <f>"MOTOR VENTILADOR 450MM 220V"</f>
        <v>MOTOR VENTILADOR 450MM 220V</v>
      </c>
      <c r="C16307" s="2" t="str">
        <f t="shared" si="644"/>
        <v>UN</v>
      </c>
      <c r="D16307" s="7">
        <v>811</v>
      </c>
      <c r="E16307" s="3">
        <v>8</v>
      </c>
      <c r="F16307" s="3">
        <v>8</v>
      </c>
      <c r="G16307" t="s">
        <v>514</v>
      </c>
    </row>
    <row r="16308" spans="1:7" x14ac:dyDescent="0.25">
      <c r="A16308" s="1" t="str">
        <f>"512050"</f>
        <v>512050</v>
      </c>
      <c r="B16308" s="2" t="str">
        <f>"MOTOR VENTILADOR EOS 350MM 220V ESAUSTOR"</f>
        <v>MOTOR VENTILADOR EOS 350MM 220V ESAUSTOR</v>
      </c>
      <c r="C16308" s="2" t="str">
        <f t="shared" si="644"/>
        <v>UN</v>
      </c>
      <c r="D16308" s="7">
        <v>900</v>
      </c>
      <c r="E16308" s="3">
        <v>11</v>
      </c>
      <c r="F16308" s="3">
        <v>11</v>
      </c>
      <c r="G16308" t="s">
        <v>514</v>
      </c>
    </row>
    <row r="16309" spans="1:7" x14ac:dyDescent="0.25">
      <c r="A16309" s="1" t="str">
        <f>"504990"</f>
        <v>504990</v>
      </c>
      <c r="B16309" s="2" t="str">
        <f>"MOTOR VENTILADOR UC 350MM 220V ELGIN"</f>
        <v>MOTOR VENTILADOR UC 350MM 220V ELGIN</v>
      </c>
      <c r="C16309" s="2" t="str">
        <f t="shared" si="644"/>
        <v>UN</v>
      </c>
      <c r="D16309" s="7">
        <v>704</v>
      </c>
      <c r="E16309" s="3">
        <v>9</v>
      </c>
      <c r="F16309" s="3">
        <v>9</v>
      </c>
      <c r="G16309" t="s">
        <v>513</v>
      </c>
    </row>
    <row r="16310" spans="1:7" x14ac:dyDescent="0.25">
      <c r="A16310" s="1" t="str">
        <f>"508467"</f>
        <v>508467</v>
      </c>
      <c r="B16310" s="2" t="str">
        <f>"MOTOR WEG 0,25CV 04 POLOS"</f>
        <v>MOTOR WEG 0,25CV 04 POLOS</v>
      </c>
      <c r="C16310" s="2" t="str">
        <f t="shared" si="644"/>
        <v>UN</v>
      </c>
      <c r="D16310" s="7">
        <v>813</v>
      </c>
      <c r="E16310" s="3">
        <v>10</v>
      </c>
      <c r="F16310" s="3">
        <v>10</v>
      </c>
      <c r="G16310" t="s">
        <v>513</v>
      </c>
    </row>
    <row r="16311" spans="1:7" x14ac:dyDescent="0.25">
      <c r="A16311" s="1" t="str">
        <f>"526916"</f>
        <v>526916</v>
      </c>
      <c r="B16311" s="2" t="str">
        <f>"MOTOR WEG 1325 7,5 CV 3500 RPM CIP PRODUÇÃO"</f>
        <v>MOTOR WEG 1325 7,5 CV 3500 RPM CIP PRODUÇÃO</v>
      </c>
      <c r="C16311" s="2" t="str">
        <f t="shared" si="644"/>
        <v>UN</v>
      </c>
      <c r="D16311" s="7">
        <v>1400</v>
      </c>
      <c r="E16311" s="3">
        <v>13</v>
      </c>
      <c r="F16311" s="3">
        <v>13</v>
      </c>
      <c r="G16311" t="s">
        <v>513</v>
      </c>
    </row>
    <row r="16312" spans="1:7" x14ac:dyDescent="0.25">
      <c r="A16312" s="1" t="str">
        <f>"506158"</f>
        <v>506158</v>
      </c>
      <c r="B16312" s="2" t="str">
        <f>"MOTOR WEG 1CV TRIF.ISOL F TRIF.2P 220/38"</f>
        <v>MOTOR WEG 1CV TRIF.ISOL F TRIF.2P 220/38</v>
      </c>
      <c r="C16312" s="2" t="str">
        <f t="shared" si="644"/>
        <v>UN</v>
      </c>
      <c r="D16312" s="7">
        <v>1400</v>
      </c>
      <c r="E16312" s="3">
        <v>13</v>
      </c>
      <c r="F16312" s="3">
        <v>13</v>
      </c>
      <c r="G16312" t="s">
        <v>512</v>
      </c>
    </row>
    <row r="16313" spans="1:7" x14ac:dyDescent="0.25">
      <c r="A16313" s="1" t="str">
        <f>"524384"</f>
        <v>524384</v>
      </c>
      <c r="B16313" s="2" t="str">
        <f>"MOTOR WEG 350CV IP-23 TENSÃO 380/660 3550RPM"</f>
        <v>MOTOR WEG 350CV IP-23 TENSÃO 380/660 3550RPM</v>
      </c>
      <c r="C16313" s="2" t="str">
        <f t="shared" si="644"/>
        <v>UN</v>
      </c>
      <c r="D16313" s="7">
        <v>813</v>
      </c>
      <c r="E16313" s="3">
        <v>10</v>
      </c>
      <c r="F16313" s="3">
        <v>10</v>
      </c>
      <c r="G16313" t="s">
        <v>513</v>
      </c>
    </row>
    <row r="16314" spans="1:7" x14ac:dyDescent="0.25">
      <c r="A16314" s="1" t="str">
        <f>"508589"</f>
        <v>508589</v>
      </c>
      <c r="B16314" s="2" t="str">
        <f>"MOTOR WEG 50CV TRI 4P 1750RPM 4T-IP55"</f>
        <v>MOTOR WEG 50CV TRI 4P 1750RPM 4T-IP55</v>
      </c>
      <c r="C16314" s="2" t="str">
        <f t="shared" si="644"/>
        <v>UN</v>
      </c>
      <c r="D16314" s="7">
        <v>900</v>
      </c>
      <c r="E16314" s="3">
        <v>11</v>
      </c>
      <c r="F16314" s="3">
        <v>11</v>
      </c>
      <c r="G16314" t="s">
        <v>514</v>
      </c>
    </row>
    <row r="16315" spans="1:7" x14ac:dyDescent="0.25">
      <c r="A16315" s="1" t="str">
        <f>"510459"</f>
        <v>510459</v>
      </c>
      <c r="B16315" s="2" t="str">
        <f>"MOTOR WEG G56H 2CV 4 POLOS MONOFASICO"</f>
        <v>MOTOR WEG G56H 2CV 4 POLOS MONOFASICO</v>
      </c>
      <c r="C16315" s="2" t="str">
        <f t="shared" si="644"/>
        <v>UN</v>
      </c>
      <c r="D16315" s="7">
        <v>813</v>
      </c>
      <c r="E16315" s="3">
        <v>10</v>
      </c>
      <c r="F16315" s="3">
        <v>10</v>
      </c>
      <c r="G16315" t="s">
        <v>515</v>
      </c>
    </row>
    <row r="16316" spans="1:7" x14ac:dyDescent="0.25">
      <c r="A16316" s="1" t="str">
        <f>"508442"</f>
        <v>508442</v>
      </c>
      <c r="B16316" s="2" t="str">
        <f>"MOTOR WEG NBR7094 MONO AL63 0.25KW 220V"</f>
        <v>MOTOR WEG NBR7094 MONO AL63 0.25KW 220V</v>
      </c>
      <c r="C16316" s="2" t="str">
        <f t="shared" si="644"/>
        <v>UN</v>
      </c>
      <c r="D16316" s="7">
        <v>813</v>
      </c>
      <c r="E16316" s="3">
        <v>10</v>
      </c>
      <c r="F16316" s="3">
        <v>10</v>
      </c>
      <c r="G16316" t="s">
        <v>512</v>
      </c>
    </row>
    <row r="16317" spans="1:7" x14ac:dyDescent="0.25">
      <c r="A16317" s="1" t="str">
        <f>"523027"</f>
        <v>523027</v>
      </c>
      <c r="B16317" s="2" t="str">
        <f>"MOTOR WEG W22 3.7KW 5CV 3475RPM 60Hz 220/380V"</f>
        <v>MOTOR WEG W22 3.7KW 5CV 3475RPM 60Hz 220/380V</v>
      </c>
      <c r="C16317" s="2" t="str">
        <f t="shared" si="644"/>
        <v>UN</v>
      </c>
      <c r="D16317" s="7">
        <v>811</v>
      </c>
      <c r="E16317" s="3">
        <v>10</v>
      </c>
      <c r="F16317" s="3">
        <v>10</v>
      </c>
      <c r="G16317" t="s">
        <v>516</v>
      </c>
    </row>
    <row r="16318" spans="1:7" x14ac:dyDescent="0.25">
      <c r="A16318" s="1" t="str">
        <f>"521230"</f>
        <v>521230</v>
      </c>
      <c r="B16318" s="2" t="str">
        <f>"MOTORCRAFT"</f>
        <v>MOTORCRAFT</v>
      </c>
      <c r="C16318" s="2" t="str">
        <f t="shared" si="644"/>
        <v>UN</v>
      </c>
      <c r="D16318" s="7">
        <v>704</v>
      </c>
      <c r="E16318" s="3">
        <v>9</v>
      </c>
      <c r="F16318" s="3">
        <v>9</v>
      </c>
      <c r="G16318" t="s">
        <v>515</v>
      </c>
    </row>
    <row r="16319" spans="1:7" x14ac:dyDescent="0.25">
      <c r="A16319" s="1" t="str">
        <f>"515918"</f>
        <v>515918</v>
      </c>
      <c r="B16319" s="2" t="str">
        <f>"MOTORED. M06 EIXO ENT. VAS. EIXO SAI. FIXO RED.1..20 CESTARI"</f>
        <v>MOTORED. M06 EIXO ENT. VAS. EIXO SAI. FIXO RED.1..20 CESTARI</v>
      </c>
      <c r="C16319" s="2" t="str">
        <f t="shared" si="644"/>
        <v>UN</v>
      </c>
      <c r="D16319" s="7">
        <v>812</v>
      </c>
      <c r="E16319" s="3">
        <v>13</v>
      </c>
      <c r="F16319" s="3">
        <v>13</v>
      </c>
      <c r="G16319" t="s">
        <v>514</v>
      </c>
    </row>
    <row r="16320" spans="1:7" x14ac:dyDescent="0.25">
      <c r="A16320" s="1" t="str">
        <f>"524661"</f>
        <v>524661</v>
      </c>
      <c r="B16320" s="8" t="s">
        <v>410</v>
      </c>
      <c r="C16320" s="2" t="str">
        <f t="shared" si="644"/>
        <v>UN</v>
      </c>
      <c r="D16320" s="7">
        <v>813</v>
      </c>
      <c r="E16320" s="3">
        <v>10</v>
      </c>
      <c r="F16320" s="3">
        <v>10</v>
      </c>
      <c r="G16320" t="s">
        <v>512</v>
      </c>
    </row>
    <row r="16321" spans="1:7" x14ac:dyDescent="0.25">
      <c r="A16321" s="1" t="str">
        <f>"527481"</f>
        <v>527481</v>
      </c>
      <c r="B16321" s="2" t="str">
        <f>"MOTOREDUTOR COROA E SEM FIM 7,5CV REDUÇÃO 1/40 TIPO. MR8"</f>
        <v>MOTOREDUTOR COROA E SEM FIM 7,5CV REDUÇÃO 1/40 TIPO. MR8</v>
      </c>
      <c r="C16321" s="2" t="str">
        <f t="shared" ref="C16321:C16352" si="645">"UN"</f>
        <v>UN</v>
      </c>
      <c r="D16321" s="7">
        <v>813</v>
      </c>
      <c r="E16321" s="3">
        <v>10</v>
      </c>
      <c r="F16321" s="3">
        <v>10</v>
      </c>
      <c r="G16321" t="s">
        <v>513</v>
      </c>
    </row>
    <row r="16322" spans="1:7" x14ac:dyDescent="0.25">
      <c r="A16322" s="1" t="str">
        <f>"517515"</f>
        <v>517515</v>
      </c>
      <c r="B16322" s="8" t="s">
        <v>92</v>
      </c>
      <c r="C16322" s="2" t="str">
        <f t="shared" si="645"/>
        <v>UN</v>
      </c>
      <c r="D16322" s="7">
        <v>1400</v>
      </c>
      <c r="E16322" s="3">
        <v>11</v>
      </c>
      <c r="F16322" s="3">
        <v>11</v>
      </c>
      <c r="G16322" t="s">
        <v>514</v>
      </c>
    </row>
    <row r="16323" spans="1:7" x14ac:dyDescent="0.25">
      <c r="A16323" s="1" t="str">
        <f>"508747"</f>
        <v>508747</v>
      </c>
      <c r="B16323" s="2" t="str">
        <f>"MOTOREDUTOR M12244082V3FNW3 MAGMA S-M"</f>
        <v>MOTOREDUTOR M12244082V3FNW3 MAGMA S-M</v>
      </c>
      <c r="C16323" s="2" t="str">
        <f t="shared" si="645"/>
        <v>UN</v>
      </c>
      <c r="D16323" s="7">
        <v>813</v>
      </c>
      <c r="E16323" s="3">
        <v>10</v>
      </c>
      <c r="F16323" s="3">
        <v>10</v>
      </c>
      <c r="G16323" t="s">
        <v>514</v>
      </c>
    </row>
    <row r="16324" spans="1:7" x14ac:dyDescent="0.25">
      <c r="A16324" s="1" t="str">
        <f>"510704"</f>
        <v>510704</v>
      </c>
      <c r="B16324" s="2" t="str">
        <f>"MOTOREDUTOR NM90B NS77 I=17,49 N=101RPM"</f>
        <v>MOTOREDUTOR NM90B NS77 I=17,49 N=101RPM</v>
      </c>
      <c r="C16324" s="2" t="str">
        <f t="shared" si="645"/>
        <v>UN</v>
      </c>
      <c r="D16324" s="7">
        <v>900</v>
      </c>
      <c r="E16324" s="3">
        <v>11</v>
      </c>
      <c r="F16324" s="3">
        <v>11</v>
      </c>
      <c r="G16324" t="s">
        <v>512</v>
      </c>
    </row>
    <row r="16325" spans="1:7" x14ac:dyDescent="0.25">
      <c r="A16325" s="1" t="str">
        <f>"517833"</f>
        <v>517833</v>
      </c>
      <c r="B16325" s="2" t="str">
        <f>"MOTOREDUTOR R245D2B 25 RPM MOT1004"</f>
        <v>MOTOREDUTOR R245D2B 25 RPM MOT1004</v>
      </c>
      <c r="C16325" s="2" t="str">
        <f t="shared" si="645"/>
        <v>UN</v>
      </c>
      <c r="D16325" s="7">
        <v>916</v>
      </c>
      <c r="E16325" s="3">
        <v>10</v>
      </c>
      <c r="F16325" s="3">
        <v>10</v>
      </c>
      <c r="G16325" t="s">
        <v>513</v>
      </c>
    </row>
    <row r="16326" spans="1:7" x14ac:dyDescent="0.25">
      <c r="A16326" s="1" t="str">
        <f>"511569"</f>
        <v>511569</v>
      </c>
      <c r="B16326" s="2" t="str">
        <f>"MOTOREDUTOR YOK 10RP 48 103A MVB M 1CV 4P 2/3VT 6"</f>
        <v>MOTOREDUTOR YOK 10RP 48 103A MVB M 1CV 4P 2/3VT 6</v>
      </c>
      <c r="C16326" s="2" t="str">
        <f t="shared" si="645"/>
        <v>UN</v>
      </c>
      <c r="D16326" s="7">
        <v>900</v>
      </c>
      <c r="E16326" s="3">
        <v>11</v>
      </c>
      <c r="F16326" s="3">
        <v>11</v>
      </c>
      <c r="G16326" t="s">
        <v>514</v>
      </c>
    </row>
    <row r="16327" spans="1:7" x14ac:dyDescent="0.25">
      <c r="A16327" s="1" t="str">
        <f>"514908"</f>
        <v>514908</v>
      </c>
      <c r="B16327" s="2" t="str">
        <f>"MOTOROLA DEFT+MB526"</f>
        <v>MOTOROLA DEFT+MB526</v>
      </c>
      <c r="C16327" s="2" t="str">
        <f t="shared" si="645"/>
        <v>UN</v>
      </c>
      <c r="D16327" s="7">
        <v>401</v>
      </c>
      <c r="E16327" s="3">
        <v>4</v>
      </c>
      <c r="F16327" s="3">
        <v>4</v>
      </c>
      <c r="G16327" t="s">
        <v>514</v>
      </c>
    </row>
    <row r="16328" spans="1:7" x14ac:dyDescent="0.25">
      <c r="A16328" s="1" t="str">
        <f>"527869"</f>
        <v>527869</v>
      </c>
      <c r="B16328" s="2" t="str">
        <f>"MOTOROLA XT2019 SMARTPHONE AZUL"</f>
        <v>MOTOROLA XT2019 SMARTPHONE AZUL</v>
      </c>
      <c r="C16328" s="2" t="str">
        <f t="shared" si="645"/>
        <v>UN</v>
      </c>
      <c r="D16328" s="7">
        <v>99999</v>
      </c>
      <c r="E16328" s="3">
        <v>99</v>
      </c>
      <c r="F16328" s="3">
        <v>99</v>
      </c>
      <c r="G16328" t="s">
        <v>514</v>
      </c>
    </row>
    <row r="16329" spans="1:7" x14ac:dyDescent="0.25">
      <c r="A16329" s="1" t="str">
        <f>"527868"</f>
        <v>527868</v>
      </c>
      <c r="B16329" s="2" t="str">
        <f>"MOTOROLA XT2045 SMARTPHONE AZ"</f>
        <v>MOTOROLA XT2045 SMARTPHONE AZ</v>
      </c>
      <c r="C16329" s="2" t="str">
        <f t="shared" si="645"/>
        <v>UN</v>
      </c>
      <c r="D16329" s="7">
        <v>99999</v>
      </c>
      <c r="E16329" s="3">
        <v>99</v>
      </c>
      <c r="F16329" s="3">
        <v>99</v>
      </c>
      <c r="G16329" t="s">
        <v>513</v>
      </c>
    </row>
    <row r="16330" spans="1:7" x14ac:dyDescent="0.25">
      <c r="A16330" s="1" t="str">
        <f>"516427"</f>
        <v>516427</v>
      </c>
      <c r="B16330" s="8" t="s">
        <v>80</v>
      </c>
      <c r="C16330" s="2" t="str">
        <f t="shared" si="645"/>
        <v>UN</v>
      </c>
      <c r="D16330" s="7">
        <v>813</v>
      </c>
      <c r="E16330" s="3">
        <v>13</v>
      </c>
      <c r="F16330" s="3">
        <v>13</v>
      </c>
      <c r="G16330" t="s">
        <v>512</v>
      </c>
    </row>
    <row r="16331" spans="1:7" x14ac:dyDescent="0.25">
      <c r="A16331" s="1" t="str">
        <f>"512880"</f>
        <v>512880</v>
      </c>
      <c r="B16331" s="2" t="str">
        <f>"MOTORREDUTOR 39 X 1KW 1720 RPM2"</f>
        <v>MOTORREDUTOR 39 X 1KW 1720 RPM2</v>
      </c>
      <c r="C16331" s="2" t="str">
        <f t="shared" si="645"/>
        <v>UN</v>
      </c>
      <c r="D16331" s="7">
        <v>918</v>
      </c>
      <c r="E16331" s="3">
        <v>11</v>
      </c>
      <c r="F16331" s="3">
        <v>11</v>
      </c>
      <c r="G16331" t="s">
        <v>513</v>
      </c>
    </row>
    <row r="16332" spans="1:7" x14ac:dyDescent="0.25">
      <c r="A16332" s="1" t="str">
        <f>"518572"</f>
        <v>518572</v>
      </c>
      <c r="B16332" s="2" t="str">
        <f>"MOTORREDUTOR MOVIMENTADOR GL16 26,12RPM"</f>
        <v>MOTORREDUTOR MOVIMENTADOR GL16 26,12RPM</v>
      </c>
      <c r="C16332" s="2" t="str">
        <f t="shared" si="645"/>
        <v>UN</v>
      </c>
      <c r="D16332" s="7">
        <v>918</v>
      </c>
      <c r="E16332" s="3">
        <v>11</v>
      </c>
      <c r="F16332" s="3">
        <v>11</v>
      </c>
      <c r="G16332" t="s">
        <v>514</v>
      </c>
    </row>
    <row r="16333" spans="1:7" x14ac:dyDescent="0.25">
      <c r="A16333" s="1" t="str">
        <f>"519154"</f>
        <v>519154</v>
      </c>
      <c r="B16333" s="2" t="str">
        <f>"MOTORREDUTOR MOVIMENTADOR GL16 29,12RPM"</f>
        <v>MOTORREDUTOR MOVIMENTADOR GL16 29,12RPM</v>
      </c>
      <c r="C16333" s="2" t="str">
        <f t="shared" si="645"/>
        <v>UN</v>
      </c>
      <c r="D16333" s="7">
        <v>918</v>
      </c>
      <c r="E16333" s="3">
        <v>11</v>
      </c>
      <c r="F16333" s="3">
        <v>11</v>
      </c>
      <c r="G16333" t="s">
        <v>514</v>
      </c>
    </row>
    <row r="16334" spans="1:7" x14ac:dyDescent="0.25">
      <c r="A16334" s="1" t="str">
        <f>"512160"</f>
        <v>512160</v>
      </c>
      <c r="B16334" s="2" t="str">
        <f>"MOTORREDUTOR SEW EURO DRIVE RE07DT56L4"</f>
        <v>MOTORREDUTOR SEW EURO DRIVE RE07DT56L4</v>
      </c>
      <c r="C16334" s="2" t="str">
        <f t="shared" si="645"/>
        <v>UN</v>
      </c>
      <c r="D16334" s="7">
        <v>900</v>
      </c>
      <c r="E16334" s="3">
        <v>11</v>
      </c>
      <c r="F16334" s="3">
        <v>11</v>
      </c>
      <c r="G16334" t="s">
        <v>514</v>
      </c>
    </row>
    <row r="16335" spans="1:7" x14ac:dyDescent="0.25">
      <c r="A16335" s="1" t="str">
        <f>"518408"</f>
        <v>518408</v>
      </c>
      <c r="B16335" s="2" t="str">
        <f>"MOUSE DELL MS116"</f>
        <v>MOUSE DELL MS116</v>
      </c>
      <c r="C16335" s="2" t="str">
        <f t="shared" si="645"/>
        <v>UN</v>
      </c>
      <c r="D16335" s="7">
        <v>401</v>
      </c>
      <c r="E16335" s="3">
        <v>4</v>
      </c>
      <c r="F16335" s="3">
        <v>4</v>
      </c>
      <c r="G16335" t="s">
        <v>513</v>
      </c>
    </row>
    <row r="16336" spans="1:7" x14ac:dyDescent="0.25">
      <c r="A16336" s="1" t="str">
        <f>"518866"</f>
        <v>518866</v>
      </c>
      <c r="B16336" s="2" t="str">
        <f>"MOUSE DELL SEM FIO WM324"</f>
        <v>MOUSE DELL SEM FIO WM324</v>
      </c>
      <c r="C16336" s="2" t="str">
        <f t="shared" si="645"/>
        <v>UN</v>
      </c>
      <c r="D16336" s="7">
        <v>401</v>
      </c>
      <c r="E16336" s="3">
        <v>4</v>
      </c>
      <c r="F16336" s="3">
        <v>4</v>
      </c>
      <c r="G16336" t="s">
        <v>513</v>
      </c>
    </row>
    <row r="16337" spans="1:7" x14ac:dyDescent="0.25">
      <c r="A16337" s="1" t="str">
        <f>"515762"</f>
        <v>515762</v>
      </c>
      <c r="B16337" s="2" t="str">
        <f>"MOUSE HP"</f>
        <v>MOUSE HP</v>
      </c>
      <c r="C16337" s="2" t="str">
        <f t="shared" si="645"/>
        <v>UN</v>
      </c>
      <c r="D16337" s="7">
        <v>99999</v>
      </c>
      <c r="E16337" s="3">
        <v>13</v>
      </c>
      <c r="F16337" s="3">
        <v>13</v>
      </c>
      <c r="G16337" t="s">
        <v>513</v>
      </c>
    </row>
    <row r="16338" spans="1:7" x14ac:dyDescent="0.25">
      <c r="A16338" s="1" t="str">
        <f>"514034"</f>
        <v>514034</v>
      </c>
      <c r="B16338" s="2" t="str">
        <f>"MOUSE HP USB OPTICAL BLK 3130"</f>
        <v>MOUSE HP USB OPTICAL BLK 3130</v>
      </c>
      <c r="C16338" s="2" t="str">
        <f t="shared" si="645"/>
        <v>UN</v>
      </c>
      <c r="D16338" s="7">
        <v>1300</v>
      </c>
      <c r="E16338" s="3">
        <v>13</v>
      </c>
      <c r="F16338" s="3">
        <v>13</v>
      </c>
      <c r="G16338" t="s">
        <v>512</v>
      </c>
    </row>
    <row r="16339" spans="1:7" x14ac:dyDescent="0.25">
      <c r="A16339" s="1" t="str">
        <f>"518646"</f>
        <v>518646</v>
      </c>
      <c r="B16339" s="2" t="str">
        <f>"MOUSE LENOVO USB THINKCENTRE"</f>
        <v>MOUSE LENOVO USB THINKCENTRE</v>
      </c>
      <c r="C16339" s="2" t="str">
        <f t="shared" si="645"/>
        <v>UN</v>
      </c>
      <c r="D16339" s="7">
        <v>401</v>
      </c>
      <c r="E16339" s="3">
        <v>4</v>
      </c>
      <c r="F16339" s="3">
        <v>4</v>
      </c>
      <c r="G16339" t="s">
        <v>513</v>
      </c>
    </row>
    <row r="16340" spans="1:7" x14ac:dyDescent="0.25">
      <c r="A16340" s="1" t="str">
        <f>"524128"</f>
        <v>524128</v>
      </c>
      <c r="B16340" s="2" t="str">
        <f>"MOUSE OPTICO DELL MS116, COM FIO"</f>
        <v>MOUSE OPTICO DELL MS116, COM FIO</v>
      </c>
      <c r="C16340" s="2" t="str">
        <f t="shared" si="645"/>
        <v>UN</v>
      </c>
      <c r="D16340" s="7">
        <v>401</v>
      </c>
      <c r="E16340" s="3">
        <v>4</v>
      </c>
      <c r="F16340" s="3">
        <v>4</v>
      </c>
      <c r="G16340" t="s">
        <v>514</v>
      </c>
    </row>
    <row r="16341" spans="1:7" x14ac:dyDescent="0.25">
      <c r="A16341" s="1" t="str">
        <f>"510955"</f>
        <v>510955</v>
      </c>
      <c r="B16341" s="2" t="str">
        <f>"MOUSE OPTICO PTO P/PC HP"</f>
        <v>MOUSE OPTICO PTO P/PC HP</v>
      </c>
      <c r="C16341" s="2" t="str">
        <f t="shared" si="645"/>
        <v>UN</v>
      </c>
      <c r="D16341" s="7">
        <v>401</v>
      </c>
      <c r="E16341" s="3">
        <v>4</v>
      </c>
      <c r="F16341" s="3">
        <v>4</v>
      </c>
      <c r="G16341" t="s">
        <v>515</v>
      </c>
    </row>
    <row r="16342" spans="1:7" x14ac:dyDescent="0.25">
      <c r="A16342" s="1" t="str">
        <f>"513575"</f>
        <v>513575</v>
      </c>
      <c r="B16342" s="2" t="str">
        <f>"MOUSE OPTICO USB SEM FIO"</f>
        <v>MOUSE OPTICO USB SEM FIO</v>
      </c>
      <c r="C16342" s="2" t="str">
        <f t="shared" si="645"/>
        <v>UN</v>
      </c>
      <c r="D16342" s="7">
        <v>99999</v>
      </c>
      <c r="E16342" s="3">
        <v>99</v>
      </c>
      <c r="F16342" s="3">
        <v>99</v>
      </c>
      <c r="G16342" t="s">
        <v>512</v>
      </c>
    </row>
    <row r="16343" spans="1:7" x14ac:dyDescent="0.25">
      <c r="A16343" s="1" t="str">
        <f>"519801"</f>
        <v>519801</v>
      </c>
      <c r="B16343" s="2" t="str">
        <f>"MOUSE PAD ERG. SUPER MACIO GOTA PRETO"</f>
        <v>MOUSE PAD ERG. SUPER MACIO GOTA PRETO</v>
      </c>
      <c r="C16343" s="2" t="str">
        <f t="shared" si="645"/>
        <v>UN</v>
      </c>
      <c r="D16343" s="7">
        <v>401</v>
      </c>
      <c r="E16343" s="3">
        <v>4</v>
      </c>
      <c r="F16343" s="3">
        <v>4</v>
      </c>
      <c r="G16343" t="s">
        <v>516</v>
      </c>
    </row>
    <row r="16344" spans="1:7" x14ac:dyDescent="0.25">
      <c r="A16344" s="1" t="str">
        <f>"513267"</f>
        <v>513267</v>
      </c>
      <c r="B16344" s="2" t="str">
        <f>"MOUSE PAD WORK PRETO"</f>
        <v>MOUSE PAD WORK PRETO</v>
      </c>
      <c r="C16344" s="2" t="str">
        <f t="shared" si="645"/>
        <v>UN</v>
      </c>
      <c r="D16344" s="7">
        <v>401</v>
      </c>
      <c r="E16344" s="3">
        <v>4</v>
      </c>
      <c r="F16344" s="3">
        <v>4</v>
      </c>
      <c r="G16344" t="s">
        <v>515</v>
      </c>
    </row>
    <row r="16345" spans="1:7" x14ac:dyDescent="0.25">
      <c r="A16345" s="1" t="str">
        <f>"513440"</f>
        <v>513440</v>
      </c>
      <c r="B16345" s="2" t="str">
        <f>"MOUSSE"</f>
        <v>MOUSSE</v>
      </c>
      <c r="C16345" s="2" t="str">
        <f t="shared" si="645"/>
        <v>UN</v>
      </c>
      <c r="D16345" s="7">
        <v>401</v>
      </c>
      <c r="E16345" s="3">
        <v>4</v>
      </c>
      <c r="F16345" s="3">
        <v>4</v>
      </c>
      <c r="G16345" t="s">
        <v>514</v>
      </c>
    </row>
    <row r="16346" spans="1:7" x14ac:dyDescent="0.25">
      <c r="A16346" s="1" t="str">
        <f>"526261"</f>
        <v>526261</v>
      </c>
      <c r="B16346" s="2" t="str">
        <f>"MOVEIS MDF"</f>
        <v>MOVEIS MDF</v>
      </c>
      <c r="C16346" s="2" t="str">
        <f t="shared" si="645"/>
        <v>UN</v>
      </c>
      <c r="D16346" s="7">
        <v>99999</v>
      </c>
      <c r="E16346" s="3">
        <v>99</v>
      </c>
      <c r="F16346" s="3">
        <v>99</v>
      </c>
      <c r="G16346" t="s">
        <v>512</v>
      </c>
    </row>
    <row r="16347" spans="1:7" x14ac:dyDescent="0.25">
      <c r="A16347" s="1" t="str">
        <f>"522205"</f>
        <v>522205</v>
      </c>
      <c r="B16347" s="2" t="str">
        <f>"MOVEL 6G-6P INOX 600X3000X800 MDF"</f>
        <v>MOVEL 6G-6P INOX 600X3000X800 MDF</v>
      </c>
      <c r="C16347" s="2" t="str">
        <f t="shared" si="645"/>
        <v>UN</v>
      </c>
      <c r="D16347" s="7">
        <v>401</v>
      </c>
      <c r="E16347" s="3">
        <v>4</v>
      </c>
      <c r="F16347" s="3">
        <v>4</v>
      </c>
      <c r="G16347" t="s">
        <v>513</v>
      </c>
    </row>
    <row r="16348" spans="1:7" x14ac:dyDescent="0.25">
      <c r="A16348" s="1" t="str">
        <f>"525067"</f>
        <v>525067</v>
      </c>
      <c r="B16348" s="2" t="str">
        <f>"MOVEL PLANEJADO P/ ESCRITORIO FRATTO ARMARIO 02 PORTAS"</f>
        <v>MOVEL PLANEJADO P/ ESCRITORIO FRATTO ARMARIO 02 PORTAS</v>
      </c>
      <c r="C16348" s="2" t="str">
        <f t="shared" si="645"/>
        <v>UN</v>
      </c>
      <c r="D16348" s="7">
        <v>99999</v>
      </c>
      <c r="E16348" s="3">
        <v>99</v>
      </c>
      <c r="F16348" s="3">
        <v>99</v>
      </c>
      <c r="G16348" t="s">
        <v>514</v>
      </c>
    </row>
    <row r="16349" spans="1:7" x14ac:dyDescent="0.25">
      <c r="A16349" s="1" t="str">
        <f>"525068"</f>
        <v>525068</v>
      </c>
      <c r="B16349" s="2" t="str">
        <f>"MOVEL PLANEJADO P/ ESCRITORIO FRATTO P/ ARQ. 3 GAVETAS"</f>
        <v>MOVEL PLANEJADO P/ ESCRITORIO FRATTO P/ ARQ. 3 GAVETAS</v>
      </c>
      <c r="C16349" s="2" t="str">
        <f t="shared" si="645"/>
        <v>UN</v>
      </c>
      <c r="D16349" s="7">
        <v>99999</v>
      </c>
      <c r="E16349" s="3">
        <v>99</v>
      </c>
      <c r="F16349" s="3">
        <v>99</v>
      </c>
      <c r="G16349" t="s">
        <v>514</v>
      </c>
    </row>
    <row r="16350" spans="1:7" x14ac:dyDescent="0.25">
      <c r="A16350" s="1" t="str">
        <f>"517670"</f>
        <v>517670</v>
      </c>
      <c r="B16350" s="2" t="str">
        <f>"MOVIMENTAÇÕ APARELHO (INSTALR)"</f>
        <v>MOVIMENTAÇÕ APARELHO (INSTALR)</v>
      </c>
      <c r="C16350" s="2" t="str">
        <f t="shared" si="645"/>
        <v>UN</v>
      </c>
      <c r="D16350" s="7">
        <v>811</v>
      </c>
      <c r="E16350" s="3">
        <v>8</v>
      </c>
      <c r="F16350" s="3">
        <v>8</v>
      </c>
      <c r="G16350" t="s">
        <v>512</v>
      </c>
    </row>
    <row r="16351" spans="1:7" x14ac:dyDescent="0.25">
      <c r="A16351" s="1" t="str">
        <f>"514685"</f>
        <v>514685</v>
      </c>
      <c r="B16351" s="2" t="str">
        <f>"MP 4 MINIFLIP"</f>
        <v>MP 4 MINIFLIP</v>
      </c>
      <c r="C16351" s="2" t="str">
        <f t="shared" si="645"/>
        <v>UN</v>
      </c>
      <c r="D16351" s="7">
        <v>401</v>
      </c>
      <c r="E16351" s="3">
        <v>4</v>
      </c>
      <c r="F16351" s="3">
        <v>4</v>
      </c>
      <c r="G16351" t="s">
        <v>513</v>
      </c>
    </row>
    <row r="16352" spans="1:7" x14ac:dyDescent="0.25">
      <c r="A16352" s="1" t="str">
        <f>"2612"</f>
        <v>2612</v>
      </c>
      <c r="B16352" s="2" t="str">
        <f>"MP COALHADA INTEGRAL - 185G - QUALITA"</f>
        <v>MP COALHADA INTEGRAL - 185G - QUALITA</v>
      </c>
      <c r="C16352" s="2" t="str">
        <f t="shared" si="645"/>
        <v>UN</v>
      </c>
      <c r="D16352" s="7">
        <v>4</v>
      </c>
      <c r="E16352" s="3">
        <v>6</v>
      </c>
      <c r="F16352" s="3">
        <v>6</v>
      </c>
      <c r="G16352" t="s">
        <v>514</v>
      </c>
    </row>
    <row r="16353" spans="1:7" x14ac:dyDescent="0.25">
      <c r="A16353" s="1" t="str">
        <f>"2601"</f>
        <v>2601</v>
      </c>
      <c r="B16353" s="2" t="str">
        <f>"MP IOGURTE FRT.VERMELHAS 180G - QUALITA"</f>
        <v>MP IOGURTE FRT.VERMELHAS 180G - QUALITA</v>
      </c>
      <c r="C16353" s="2" t="str">
        <f t="shared" ref="C16353:C16384" si="646">"UN"</f>
        <v>UN</v>
      </c>
      <c r="D16353" s="7">
        <v>11</v>
      </c>
      <c r="E16353" s="3">
        <v>6</v>
      </c>
      <c r="F16353" s="3">
        <v>6</v>
      </c>
      <c r="G16353" t="s">
        <v>514</v>
      </c>
    </row>
    <row r="16354" spans="1:7" x14ac:dyDescent="0.25">
      <c r="A16354" s="1" t="str">
        <f>"2606"</f>
        <v>2606</v>
      </c>
      <c r="B16354" s="2" t="str">
        <f>"MP IOGURTE FRT.VERMELHAS 900G - QUALITA"</f>
        <v>MP IOGURTE FRT.VERMELHAS 900G - QUALITA</v>
      </c>
      <c r="C16354" s="2" t="str">
        <f t="shared" si="646"/>
        <v>UN</v>
      </c>
      <c r="D16354" s="7">
        <v>16</v>
      </c>
      <c r="E16354" s="3">
        <v>6</v>
      </c>
      <c r="F16354" s="3">
        <v>6</v>
      </c>
      <c r="G16354" t="s">
        <v>514</v>
      </c>
    </row>
    <row r="16355" spans="1:7" x14ac:dyDescent="0.25">
      <c r="A16355" s="1" t="str">
        <f>"2603"</f>
        <v>2603</v>
      </c>
      <c r="B16355" s="2" t="str">
        <f>"MP IOGURTE MACA C/CANELA 180G - QUALITA"</f>
        <v>MP IOGURTE MACA C/CANELA 180G - QUALITA</v>
      </c>
      <c r="C16355" s="2" t="str">
        <f t="shared" si="646"/>
        <v>UN</v>
      </c>
      <c r="D16355" s="7">
        <v>11</v>
      </c>
      <c r="E16355" s="3">
        <v>6</v>
      </c>
      <c r="F16355" s="3">
        <v>6</v>
      </c>
      <c r="G16355" t="s">
        <v>513</v>
      </c>
    </row>
    <row r="16356" spans="1:7" x14ac:dyDescent="0.25">
      <c r="A16356" s="1" t="str">
        <f>"2608"</f>
        <v>2608</v>
      </c>
      <c r="B16356" s="2" t="str">
        <f>"MP IOGURTE MACA C/CANELA 900G - QUALITA"</f>
        <v>MP IOGURTE MACA C/CANELA 900G - QUALITA</v>
      </c>
      <c r="C16356" s="2" t="str">
        <f t="shared" si="646"/>
        <v>UN</v>
      </c>
      <c r="D16356" s="7">
        <v>16</v>
      </c>
      <c r="E16356" s="3">
        <v>6</v>
      </c>
      <c r="F16356" s="3">
        <v>6</v>
      </c>
      <c r="G16356" t="s">
        <v>512</v>
      </c>
    </row>
    <row r="16357" spans="1:7" x14ac:dyDescent="0.25">
      <c r="A16357" s="1" t="str">
        <f>"2604"</f>
        <v>2604</v>
      </c>
      <c r="B16357" s="2" t="str">
        <f>"MP IOGURTE MOR/CHOCOLATE 180G - QUALITA"</f>
        <v>MP IOGURTE MOR/CHOCOLATE 180G - QUALITA</v>
      </c>
      <c r="C16357" s="2" t="str">
        <f t="shared" si="646"/>
        <v>UN</v>
      </c>
      <c r="D16357" s="7">
        <v>11</v>
      </c>
      <c r="E16357" s="3">
        <v>6</v>
      </c>
      <c r="F16357" s="3">
        <v>6</v>
      </c>
      <c r="G16357" t="s">
        <v>513</v>
      </c>
    </row>
    <row r="16358" spans="1:7" x14ac:dyDescent="0.25">
      <c r="A16358" s="1" t="str">
        <f>"2609"</f>
        <v>2609</v>
      </c>
      <c r="B16358" s="2" t="str">
        <f>"MP IOGURTE MOR/CHOCOLATE 900G - QUALITA"</f>
        <v>MP IOGURTE MOR/CHOCOLATE 900G - QUALITA</v>
      </c>
      <c r="C16358" s="2" t="str">
        <f t="shared" si="646"/>
        <v>UN</v>
      </c>
      <c r="D16358" s="7">
        <v>16</v>
      </c>
      <c r="E16358" s="3">
        <v>6</v>
      </c>
      <c r="F16358" s="3">
        <v>6</v>
      </c>
      <c r="G16358" t="s">
        <v>514</v>
      </c>
    </row>
    <row r="16359" spans="1:7" x14ac:dyDescent="0.25">
      <c r="A16359" s="1" t="str">
        <f>"2600"</f>
        <v>2600</v>
      </c>
      <c r="B16359" s="2" t="str">
        <f>"MP IOGURTE MORANGO 180G - QUALITA"</f>
        <v>MP IOGURTE MORANGO 180G - QUALITA</v>
      </c>
      <c r="C16359" s="2" t="str">
        <f t="shared" si="646"/>
        <v>UN</v>
      </c>
      <c r="D16359" s="7">
        <v>11</v>
      </c>
      <c r="E16359" s="3">
        <v>6</v>
      </c>
      <c r="F16359" s="3">
        <v>6</v>
      </c>
      <c r="G16359" t="s">
        <v>514</v>
      </c>
    </row>
    <row r="16360" spans="1:7" x14ac:dyDescent="0.25">
      <c r="A16360" s="1" t="str">
        <f>"2605"</f>
        <v>2605</v>
      </c>
      <c r="B16360" s="2" t="str">
        <f>"MP IOGURTE MORANGO 900G - QUALITA"</f>
        <v>MP IOGURTE MORANGO 900G - QUALITA</v>
      </c>
      <c r="C16360" s="2" t="str">
        <f t="shared" si="646"/>
        <v>UN</v>
      </c>
      <c r="D16360" s="7">
        <v>16</v>
      </c>
      <c r="E16360" s="3">
        <v>6</v>
      </c>
      <c r="F16360" s="3">
        <v>6</v>
      </c>
      <c r="G16360" t="s">
        <v>514</v>
      </c>
    </row>
    <row r="16361" spans="1:7" x14ac:dyDescent="0.25">
      <c r="A16361" s="1" t="str">
        <f>"2613"</f>
        <v>2613</v>
      </c>
      <c r="B16361" s="2" t="str">
        <f>"MP IOGURTE NAT. INTEGRAL 185G - TAEQ"</f>
        <v>MP IOGURTE NAT. INTEGRAL 185G - TAEQ</v>
      </c>
      <c r="C16361" s="2" t="str">
        <f t="shared" si="646"/>
        <v>UN</v>
      </c>
      <c r="D16361" s="7">
        <v>4</v>
      </c>
      <c r="E16361" s="3">
        <v>6</v>
      </c>
      <c r="F16361" s="3">
        <v>6</v>
      </c>
      <c r="G16361" t="s">
        <v>513</v>
      </c>
    </row>
    <row r="16362" spans="1:7" x14ac:dyDescent="0.25">
      <c r="A16362" s="1" t="str">
        <f>"2614"</f>
        <v>2614</v>
      </c>
      <c r="B16362" s="2" t="str">
        <f>"MP IOGURTE NAT.DESNATADO 185G - TAEQ"</f>
        <v>MP IOGURTE NAT.DESNATADO 185G - TAEQ</v>
      </c>
      <c r="C16362" s="2" t="str">
        <f t="shared" si="646"/>
        <v>UN</v>
      </c>
      <c r="D16362" s="7">
        <v>4</v>
      </c>
      <c r="E16362" s="3">
        <v>6</v>
      </c>
      <c r="F16362" s="3">
        <v>6</v>
      </c>
      <c r="G16362" t="s">
        <v>513</v>
      </c>
    </row>
    <row r="16363" spans="1:7" x14ac:dyDescent="0.25">
      <c r="A16363" s="1" t="str">
        <f>"2611"</f>
        <v>2611</v>
      </c>
      <c r="B16363" s="2" t="str">
        <f>"MP IOGURTE POLPA MOR/SAL 600G - QUALITA"</f>
        <v>MP IOGURTE POLPA MOR/SAL 600G - QUALITA</v>
      </c>
      <c r="C16363" s="2" t="str">
        <f t="shared" si="646"/>
        <v>UN</v>
      </c>
      <c r="D16363" s="7">
        <v>22</v>
      </c>
      <c r="E16363" s="3">
        <v>6</v>
      </c>
      <c r="F16363" s="3">
        <v>6</v>
      </c>
      <c r="G16363" t="s">
        <v>513</v>
      </c>
    </row>
    <row r="16364" spans="1:7" x14ac:dyDescent="0.25">
      <c r="A16364" s="1" t="str">
        <f>"2610"</f>
        <v>2610</v>
      </c>
      <c r="B16364" s="2" t="str">
        <f>"MP IOGURTE POLPA MORANGO 600G - QUALITA"</f>
        <v>MP IOGURTE POLPA MORANGO 600G - QUALITA</v>
      </c>
      <c r="C16364" s="2" t="str">
        <f t="shared" si="646"/>
        <v>UN</v>
      </c>
      <c r="D16364" s="7">
        <v>22</v>
      </c>
      <c r="E16364" s="3">
        <v>6</v>
      </c>
      <c r="F16364" s="3">
        <v>6</v>
      </c>
      <c r="G16364" t="s">
        <v>512</v>
      </c>
    </row>
    <row r="16365" spans="1:7" x14ac:dyDescent="0.25">
      <c r="A16365" s="1" t="str">
        <f>"2602"</f>
        <v>2602</v>
      </c>
      <c r="B16365" s="2" t="str">
        <f>"MP IOGURTE SALADA FRUTAS 180G - QUALITA"</f>
        <v>MP IOGURTE SALADA FRUTAS 180G - QUALITA</v>
      </c>
      <c r="C16365" s="2" t="str">
        <f t="shared" si="646"/>
        <v>UN</v>
      </c>
      <c r="D16365" s="7">
        <v>11</v>
      </c>
      <c r="E16365" s="3">
        <v>6</v>
      </c>
      <c r="F16365" s="3">
        <v>6</v>
      </c>
      <c r="G16365" t="s">
        <v>513</v>
      </c>
    </row>
    <row r="16366" spans="1:7" x14ac:dyDescent="0.25">
      <c r="A16366" s="1" t="str">
        <f>"2607"</f>
        <v>2607</v>
      </c>
      <c r="B16366" s="2" t="str">
        <f>"MP IOGURTE SALADA FRUTAS 900G - QUALITA"</f>
        <v>MP IOGURTE SALADA FRUTAS 900G - QUALITA</v>
      </c>
      <c r="C16366" s="2" t="str">
        <f t="shared" si="646"/>
        <v>UN</v>
      </c>
      <c r="D16366" s="7">
        <v>16</v>
      </c>
      <c r="E16366" s="3">
        <v>6</v>
      </c>
      <c r="F16366" s="3">
        <v>6</v>
      </c>
      <c r="G16366" t="s">
        <v>514</v>
      </c>
    </row>
    <row r="16367" spans="1:7" x14ac:dyDescent="0.25">
      <c r="A16367" s="1" t="str">
        <f>"2615"</f>
        <v>2615</v>
      </c>
      <c r="B16367" s="2" t="str">
        <f>"MP.IOGURTE DESNAT.C/ MEL 185G - TAEQ"</f>
        <v>MP.IOGURTE DESNAT.C/ MEL 185G - TAEQ</v>
      </c>
      <c r="C16367" s="2" t="str">
        <f t="shared" si="646"/>
        <v>UN</v>
      </c>
      <c r="D16367" s="7">
        <v>4</v>
      </c>
      <c r="E16367" s="3">
        <v>6</v>
      </c>
      <c r="F16367" s="3">
        <v>6</v>
      </c>
      <c r="G16367" t="s">
        <v>515</v>
      </c>
    </row>
    <row r="16368" spans="1:7" x14ac:dyDescent="0.25">
      <c r="A16368" s="1" t="str">
        <f>"522712"</f>
        <v>522712</v>
      </c>
      <c r="B16368" s="2" t="str">
        <f>"MSC - DESCALER (CAIXA COM 10 SACHES)"</f>
        <v>MSC - DESCALER (CAIXA COM 10 SACHES)</v>
      </c>
      <c r="C16368" s="2" t="str">
        <f t="shared" si="646"/>
        <v>UN</v>
      </c>
      <c r="D16368" s="7">
        <v>406</v>
      </c>
      <c r="E16368" s="3">
        <v>4</v>
      </c>
      <c r="F16368" s="3">
        <v>4</v>
      </c>
      <c r="G16368" t="s">
        <v>512</v>
      </c>
    </row>
    <row r="16369" spans="1:7" x14ac:dyDescent="0.25">
      <c r="A16369" s="1" t="str">
        <f>"522856"</f>
        <v>522856</v>
      </c>
      <c r="B16369" s="2" t="str">
        <f>"MST21 P/CSF16 1/4""BSP CAPS. NTS ""G"" (CORPO POLIDO)"</f>
        <v>MST21 P/CSF16 1/4"BSP CAPS. NTS "G" (CORPO POLIDO)</v>
      </c>
      <c r="C16369" s="2" t="str">
        <f t="shared" si="646"/>
        <v>UN</v>
      </c>
      <c r="D16369" s="7">
        <v>600</v>
      </c>
      <c r="E16369" s="3">
        <v>8</v>
      </c>
      <c r="F16369" s="3">
        <v>8</v>
      </c>
      <c r="G16369" t="s">
        <v>516</v>
      </c>
    </row>
    <row r="16370" spans="1:7" x14ac:dyDescent="0.25">
      <c r="A16370" s="1" t="str">
        <f>"510212"</f>
        <v>510212</v>
      </c>
      <c r="B16370" s="2" t="str">
        <f>"MTBOMBA FEMAC MOD.F8E-R-BLT5CV 380V MTBR"</f>
        <v>MTBOMBA FEMAC MOD.F8E-R-BLT5CV 380V MTBR</v>
      </c>
      <c r="C16370" s="2" t="str">
        <f t="shared" si="646"/>
        <v>UN</v>
      </c>
      <c r="D16370" s="7">
        <v>1400</v>
      </c>
      <c r="E16370" s="3">
        <v>13</v>
      </c>
      <c r="F16370" s="3">
        <v>13</v>
      </c>
      <c r="G16370" t="s">
        <v>515</v>
      </c>
    </row>
    <row r="16371" spans="1:7" x14ac:dyDescent="0.25">
      <c r="A16371" s="1" t="str">
        <f>"510532"</f>
        <v>510532</v>
      </c>
      <c r="B16371" s="2" t="str">
        <f>"MTREDUTOR GS160 1,30 G201E FREIO 15CV220"</f>
        <v>MTREDUTOR GS160 1,30 G201E FREIO 15CV220</v>
      </c>
      <c r="C16371" s="2" t="str">
        <f t="shared" si="646"/>
        <v>UN</v>
      </c>
      <c r="D16371" s="7">
        <v>1400</v>
      </c>
      <c r="E16371" s="3">
        <v>13</v>
      </c>
      <c r="F16371" s="3">
        <v>13</v>
      </c>
      <c r="G16371" t="s">
        <v>514</v>
      </c>
    </row>
    <row r="16372" spans="1:7" x14ac:dyDescent="0.25">
      <c r="A16372" s="1" t="str">
        <f>"518369"</f>
        <v>518369</v>
      </c>
      <c r="B16372" s="2" t="str">
        <f>"MUDA DE ARVORE"</f>
        <v>MUDA DE ARVORE</v>
      </c>
      <c r="C16372" s="2" t="str">
        <f t="shared" si="646"/>
        <v>UN</v>
      </c>
      <c r="D16372" s="7">
        <v>401</v>
      </c>
      <c r="E16372" s="3">
        <v>4</v>
      </c>
      <c r="F16372" s="3">
        <v>4</v>
      </c>
      <c r="G16372" t="s">
        <v>512</v>
      </c>
    </row>
    <row r="16373" spans="1:7" x14ac:dyDescent="0.25">
      <c r="A16373" s="1" t="str">
        <f>"509482"</f>
        <v>509482</v>
      </c>
      <c r="B16373" s="2" t="str">
        <f>"MUDAS CALANCHOE"</f>
        <v>MUDAS CALANCHOE</v>
      </c>
      <c r="C16373" s="2" t="str">
        <f t="shared" si="646"/>
        <v>UN</v>
      </c>
      <c r="D16373" s="7">
        <v>402</v>
      </c>
      <c r="E16373" s="3">
        <v>4</v>
      </c>
      <c r="F16373" s="3">
        <v>4</v>
      </c>
      <c r="G16373" t="s">
        <v>513</v>
      </c>
    </row>
    <row r="16374" spans="1:7" x14ac:dyDescent="0.25">
      <c r="A16374" s="1" t="str">
        <f>"515043"</f>
        <v>515043</v>
      </c>
      <c r="B16374" s="2" t="str">
        <f>"MUDAS DE GRAMA"</f>
        <v>MUDAS DE GRAMA</v>
      </c>
      <c r="C16374" s="2" t="str">
        <f t="shared" si="646"/>
        <v>UN</v>
      </c>
      <c r="D16374" s="7">
        <v>401</v>
      </c>
      <c r="E16374" s="3">
        <v>4</v>
      </c>
      <c r="F16374" s="3">
        <v>4</v>
      </c>
      <c r="G16374" t="s">
        <v>514</v>
      </c>
    </row>
    <row r="16375" spans="1:7" x14ac:dyDescent="0.25">
      <c r="A16375" s="1" t="str">
        <f>"509483"</f>
        <v>509483</v>
      </c>
      <c r="B16375" s="2" t="str">
        <f>"MUDAS RAFIA 3 HASTES"</f>
        <v>MUDAS RAFIA 3 HASTES</v>
      </c>
      <c r="C16375" s="2" t="str">
        <f t="shared" si="646"/>
        <v>UN</v>
      </c>
      <c r="D16375" s="7">
        <v>402</v>
      </c>
      <c r="E16375" s="3">
        <v>4</v>
      </c>
      <c r="F16375" s="3">
        <v>4</v>
      </c>
      <c r="G16375" t="s">
        <v>514</v>
      </c>
    </row>
    <row r="16376" spans="1:7" x14ac:dyDescent="0.25">
      <c r="A16376" s="1" t="str">
        <f>"524584"</f>
        <v>524584</v>
      </c>
      <c r="B16376" s="2" t="str">
        <f>"MUFLA EXTERNA P/ CABO 50 12/20"</f>
        <v>MUFLA EXTERNA P/ CABO 50 12/20</v>
      </c>
      <c r="C16376" s="2" t="str">
        <f t="shared" si="646"/>
        <v>UN</v>
      </c>
      <c r="D16376" s="7">
        <v>811</v>
      </c>
      <c r="E16376" s="3">
        <v>10</v>
      </c>
      <c r="F16376" s="3">
        <v>10</v>
      </c>
      <c r="G16376" t="s">
        <v>512</v>
      </c>
    </row>
    <row r="16377" spans="1:7" x14ac:dyDescent="0.25">
      <c r="A16377" s="1" t="str">
        <f>"519242"</f>
        <v>519242</v>
      </c>
      <c r="B16377" s="2" t="str">
        <f>"MUFLA PVC"</f>
        <v>MUFLA PVC</v>
      </c>
      <c r="C16377" s="2" t="str">
        <f t="shared" si="646"/>
        <v>UN</v>
      </c>
      <c r="D16377" s="7">
        <v>601</v>
      </c>
      <c r="E16377" s="3">
        <v>8</v>
      </c>
      <c r="F16377" s="3">
        <v>8</v>
      </c>
      <c r="G16377" t="s">
        <v>513</v>
      </c>
    </row>
    <row r="16378" spans="1:7" x14ac:dyDescent="0.25">
      <c r="A16378" s="1" t="str">
        <f>"515158"</f>
        <v>515158</v>
      </c>
      <c r="B16378" s="2" t="str">
        <f>"MULETA"</f>
        <v>MULETA</v>
      </c>
      <c r="C16378" s="2" t="str">
        <f t="shared" si="646"/>
        <v>UN</v>
      </c>
      <c r="D16378" s="7">
        <v>401</v>
      </c>
      <c r="E16378" s="3">
        <v>4</v>
      </c>
      <c r="F16378" s="3">
        <v>4</v>
      </c>
      <c r="G16378" t="s">
        <v>514</v>
      </c>
    </row>
    <row r="16379" spans="1:7" x14ac:dyDescent="0.25">
      <c r="A16379" s="1" t="str">
        <f>"518310"</f>
        <v>518310</v>
      </c>
      <c r="B16379" s="2" t="str">
        <f>"MULTAS"</f>
        <v>MULTAS</v>
      </c>
      <c r="C16379" s="2" t="str">
        <f t="shared" si="646"/>
        <v>UN</v>
      </c>
      <c r="D16379" s="7">
        <v>99999</v>
      </c>
      <c r="E16379" s="3">
        <v>99</v>
      </c>
      <c r="F16379" s="3">
        <v>99</v>
      </c>
      <c r="G16379" t="s">
        <v>514</v>
      </c>
    </row>
    <row r="16380" spans="1:7" x14ac:dyDescent="0.25">
      <c r="A16380" s="1" t="str">
        <f>"523772"</f>
        <v>523772</v>
      </c>
      <c r="B16380" s="2" t="str">
        <f>"MULTIDIRECIONAL DIAGONAL 48,30 X 3,00 X 2500MM"</f>
        <v>MULTIDIRECIONAL DIAGONAL 48,30 X 3,00 X 2500MM</v>
      </c>
      <c r="C16380" s="2" t="str">
        <f t="shared" si="646"/>
        <v>UN</v>
      </c>
      <c r="D16380" s="7">
        <v>99999</v>
      </c>
      <c r="E16380" s="3">
        <v>99</v>
      </c>
      <c r="F16380" s="3">
        <v>99</v>
      </c>
      <c r="G16380" t="s">
        <v>514</v>
      </c>
    </row>
    <row r="16381" spans="1:7" x14ac:dyDescent="0.25">
      <c r="A16381" s="1" t="str">
        <f>"523773"</f>
        <v>523773</v>
      </c>
      <c r="B16381" s="2" t="str">
        <f>"MULTIDIRECIONAL ESCADA 2000 TUBO"</f>
        <v>MULTIDIRECIONAL ESCADA 2000 TUBO</v>
      </c>
      <c r="C16381" s="2" t="str">
        <f t="shared" si="646"/>
        <v>UN</v>
      </c>
      <c r="D16381" s="7">
        <v>99999</v>
      </c>
      <c r="E16381" s="3">
        <v>99</v>
      </c>
      <c r="F16381" s="3">
        <v>99</v>
      </c>
      <c r="G16381" t="s">
        <v>513</v>
      </c>
    </row>
    <row r="16382" spans="1:7" x14ac:dyDescent="0.25">
      <c r="A16382" s="1" t="str">
        <f>"523774"</f>
        <v>523774</v>
      </c>
      <c r="B16382" s="2" t="str">
        <f>"MULTIDIRECIONAL PISO METALICO 240 X 3000MM GALVANIZADO"</f>
        <v>MULTIDIRECIONAL PISO METALICO 240 X 3000MM GALVANIZADO</v>
      </c>
      <c r="C16382" s="2" t="str">
        <f t="shared" si="646"/>
        <v>UN</v>
      </c>
      <c r="D16382" s="7">
        <v>99999</v>
      </c>
      <c r="E16382" s="3">
        <v>99</v>
      </c>
      <c r="F16382" s="3">
        <v>99</v>
      </c>
      <c r="G16382" t="s">
        <v>512</v>
      </c>
    </row>
    <row r="16383" spans="1:7" x14ac:dyDescent="0.25">
      <c r="A16383" s="1" t="str">
        <f>"523775"</f>
        <v>523775</v>
      </c>
      <c r="B16383" s="2" t="str">
        <f>"MULTIDIRECIONAL POSTE 48,30 X 3,00 X 1000MM"</f>
        <v>MULTIDIRECIONAL POSTE 48,30 X 3,00 X 1000MM</v>
      </c>
      <c r="C16383" s="2" t="str">
        <f t="shared" si="646"/>
        <v>UN</v>
      </c>
      <c r="D16383" s="7">
        <v>99999</v>
      </c>
      <c r="E16383" s="3">
        <v>99</v>
      </c>
      <c r="F16383" s="3">
        <v>99</v>
      </c>
      <c r="G16383" t="s">
        <v>513</v>
      </c>
    </row>
    <row r="16384" spans="1:7" x14ac:dyDescent="0.25">
      <c r="A16384" s="1" t="str">
        <f>"523776"</f>
        <v>523776</v>
      </c>
      <c r="B16384" s="2" t="str">
        <f>"MULTIDIRECIONAL POSTE 48,30 X 3,00 X 2000MM"</f>
        <v>MULTIDIRECIONAL POSTE 48,30 X 3,00 X 2000MM</v>
      </c>
      <c r="C16384" s="2" t="str">
        <f t="shared" si="646"/>
        <v>UN</v>
      </c>
      <c r="D16384" s="7">
        <v>99999</v>
      </c>
      <c r="E16384" s="3">
        <v>99</v>
      </c>
      <c r="F16384" s="3">
        <v>99</v>
      </c>
      <c r="G16384" t="s">
        <v>514</v>
      </c>
    </row>
    <row r="16385" spans="1:7" x14ac:dyDescent="0.25">
      <c r="A16385" s="1" t="str">
        <f>"523777"</f>
        <v>523777</v>
      </c>
      <c r="B16385" s="2" t="str">
        <f>"MULTIDIRECIONAL POSTE 48,30 X 3,00 X 3000MM"</f>
        <v>MULTIDIRECIONAL POSTE 48,30 X 3,00 X 3000MM</v>
      </c>
      <c r="C16385" s="2" t="str">
        <f t="shared" ref="C16385:C16394" si="647">"UN"</f>
        <v>UN</v>
      </c>
      <c r="D16385" s="7">
        <v>99999</v>
      </c>
      <c r="E16385" s="3">
        <v>99</v>
      </c>
      <c r="F16385" s="3">
        <v>99</v>
      </c>
      <c r="G16385" t="s">
        <v>514</v>
      </c>
    </row>
    <row r="16386" spans="1:7" x14ac:dyDescent="0.25">
      <c r="A16386" s="1" t="str">
        <f>"523778"</f>
        <v>523778</v>
      </c>
      <c r="B16386" s="2" t="str">
        <f>"MULTIDIRECIONAL RODAPÉ METALICO 200MM X 1500MM"</f>
        <v>MULTIDIRECIONAL RODAPÉ METALICO 200MM X 1500MM</v>
      </c>
      <c r="C16386" s="2" t="str">
        <f t="shared" si="647"/>
        <v>UN</v>
      </c>
      <c r="D16386" s="7">
        <v>99999</v>
      </c>
      <c r="E16386" s="3">
        <v>99</v>
      </c>
      <c r="F16386" s="3">
        <v>99</v>
      </c>
      <c r="G16386" t="s">
        <v>514</v>
      </c>
    </row>
    <row r="16387" spans="1:7" x14ac:dyDescent="0.25">
      <c r="A16387" s="1" t="str">
        <f>"523779"</f>
        <v>523779</v>
      </c>
      <c r="B16387" s="2" t="str">
        <f>"MULTIDIRECIONAL RODAPÉ METALICO 200MM X 3000MM GALVANIZADO"</f>
        <v>MULTIDIRECIONAL RODAPÉ METALICO 200MM X 3000MM GALVANIZADO</v>
      </c>
      <c r="C16387" s="2" t="str">
        <f t="shared" si="647"/>
        <v>UN</v>
      </c>
      <c r="D16387" s="7">
        <v>99999</v>
      </c>
      <c r="E16387" s="3">
        <v>99</v>
      </c>
      <c r="F16387" s="3">
        <v>99</v>
      </c>
      <c r="G16387" t="s">
        <v>513</v>
      </c>
    </row>
    <row r="16388" spans="1:7" x14ac:dyDescent="0.25">
      <c r="A16388" s="1" t="str">
        <f>"523780"</f>
        <v>523780</v>
      </c>
      <c r="B16388" s="2" t="str">
        <f>"MULTIDIRECIONAL TRAVESSA 48,30 X 3,00 X 1000MM"</f>
        <v>MULTIDIRECIONAL TRAVESSA 48,30 X 3,00 X 1000MM</v>
      </c>
      <c r="C16388" s="2" t="str">
        <f t="shared" si="647"/>
        <v>UN</v>
      </c>
      <c r="D16388" s="7">
        <v>99999</v>
      </c>
      <c r="E16388" s="3">
        <v>99</v>
      </c>
      <c r="F16388" s="3">
        <v>99</v>
      </c>
      <c r="G16388" t="s">
        <v>513</v>
      </c>
    </row>
    <row r="16389" spans="1:7" x14ac:dyDescent="0.25">
      <c r="A16389" s="1" t="str">
        <f>"523781"</f>
        <v>523781</v>
      </c>
      <c r="B16389" s="2" t="str">
        <f>"MULTIDIRECIONAL TRAVESSA 48,30 X 3,00 X 1500MM"</f>
        <v>MULTIDIRECIONAL TRAVESSA 48,30 X 3,00 X 1500MM</v>
      </c>
      <c r="C16389" s="2" t="str">
        <f t="shared" si="647"/>
        <v>UN</v>
      </c>
      <c r="D16389" s="7">
        <v>99999</v>
      </c>
      <c r="E16389" s="3">
        <v>99</v>
      </c>
      <c r="F16389" s="3">
        <v>99</v>
      </c>
      <c r="G16389" t="s">
        <v>513</v>
      </c>
    </row>
    <row r="16390" spans="1:7" x14ac:dyDescent="0.25">
      <c r="A16390" s="1" t="str">
        <f>"523782"</f>
        <v>523782</v>
      </c>
      <c r="B16390" s="2" t="str">
        <f>"MULTIDIRECIONAL TRAVESSA 48,30 X 3,00 X 3100MM"</f>
        <v>MULTIDIRECIONAL TRAVESSA 48,30 X 3,00 X 3100MM</v>
      </c>
      <c r="C16390" s="2" t="str">
        <f t="shared" si="647"/>
        <v>UN</v>
      </c>
      <c r="D16390" s="7">
        <v>99999</v>
      </c>
      <c r="E16390" s="3">
        <v>99</v>
      </c>
      <c r="F16390" s="3">
        <v>99</v>
      </c>
      <c r="G16390" t="s">
        <v>512</v>
      </c>
    </row>
    <row r="16391" spans="1:7" x14ac:dyDescent="0.25">
      <c r="A16391" s="1" t="str">
        <f>"509230"</f>
        <v>509230</v>
      </c>
      <c r="B16391" s="2" t="str">
        <f>"MULTIFLEX AMF 134X240"</f>
        <v>MULTIFLEX AMF 134X240</v>
      </c>
      <c r="C16391" s="2" t="str">
        <f t="shared" si="647"/>
        <v>UN</v>
      </c>
      <c r="D16391" s="7">
        <v>704</v>
      </c>
      <c r="E16391" s="3">
        <v>9</v>
      </c>
      <c r="F16391" s="3">
        <v>9</v>
      </c>
      <c r="G16391" t="s">
        <v>513</v>
      </c>
    </row>
    <row r="16392" spans="1:7" x14ac:dyDescent="0.25">
      <c r="A16392" s="1" t="str">
        <f>"523127"</f>
        <v>523127</v>
      </c>
      <c r="B16392" s="2" t="str">
        <f>"MULTIMETRO DIGITAL CAT 3 TRUE RMS MINIPA"</f>
        <v>MULTIMETRO DIGITAL CAT 3 TRUE RMS MINIPA</v>
      </c>
      <c r="C16392" s="2" t="str">
        <f t="shared" si="647"/>
        <v>UN</v>
      </c>
      <c r="D16392" s="7">
        <v>402</v>
      </c>
      <c r="E16392" s="3">
        <v>10</v>
      </c>
      <c r="F16392" s="3">
        <v>10</v>
      </c>
      <c r="G16392" t="s">
        <v>514</v>
      </c>
    </row>
    <row r="16393" spans="1:7" x14ac:dyDescent="0.25">
      <c r="A16393" s="1" t="str">
        <f>"510948"</f>
        <v>510948</v>
      </c>
      <c r="B16393" s="2" t="str">
        <f>"MULTIMETRO DIGITAL ET-1400 MINIPA"</f>
        <v>MULTIMETRO DIGITAL ET-1400 MINIPA</v>
      </c>
      <c r="C16393" s="2" t="str">
        <f t="shared" si="647"/>
        <v>UN</v>
      </c>
      <c r="D16393" s="7">
        <v>402</v>
      </c>
      <c r="E16393" s="3">
        <v>4</v>
      </c>
      <c r="F16393" s="3">
        <v>4</v>
      </c>
      <c r="G16393" t="s">
        <v>515</v>
      </c>
    </row>
    <row r="16394" spans="1:7" x14ac:dyDescent="0.25">
      <c r="A16394" s="1" t="str">
        <f>"526459"</f>
        <v>526459</v>
      </c>
      <c r="B16394" s="2" t="str">
        <f>"MULTIMETRO DIGITAL ET-1639 A MINIPA"</f>
        <v>MULTIMETRO DIGITAL ET-1639 A MINIPA</v>
      </c>
      <c r="C16394" s="2" t="str">
        <f t="shared" si="647"/>
        <v>UN</v>
      </c>
      <c r="D16394" s="7">
        <v>402</v>
      </c>
      <c r="E16394" s="3">
        <v>4</v>
      </c>
      <c r="F16394" s="3">
        <v>4</v>
      </c>
      <c r="G16394" t="s">
        <v>512</v>
      </c>
    </row>
    <row r="16395" spans="1:7" x14ac:dyDescent="0.25">
      <c r="A16395" s="1" t="str">
        <f>"514949"</f>
        <v>514949</v>
      </c>
      <c r="B16395" s="2" t="str">
        <f>"MULTI-PFAN 5 L"</f>
        <v>MULTI-PFAN 5 L</v>
      </c>
      <c r="C16395" s="2" t="str">
        <f>"LT"</f>
        <v>LT</v>
      </c>
      <c r="D16395" s="7">
        <v>407</v>
      </c>
      <c r="E16395" s="3">
        <v>4</v>
      </c>
      <c r="F16395" s="3">
        <v>4</v>
      </c>
      <c r="G16395" t="s">
        <v>516</v>
      </c>
    </row>
    <row r="16396" spans="1:7" x14ac:dyDescent="0.25">
      <c r="A16396" s="1" t="str">
        <f>"523072"</f>
        <v>523072</v>
      </c>
      <c r="B16396" s="2" t="str">
        <f>"MUPIROCINA 20MG"</f>
        <v>MUPIROCINA 20MG</v>
      </c>
      <c r="C16396" s="2" t="str">
        <f>"UN"</f>
        <v>UN</v>
      </c>
      <c r="D16396" s="7">
        <v>401</v>
      </c>
      <c r="E16396" s="3">
        <v>4</v>
      </c>
      <c r="F16396" s="3">
        <v>4</v>
      </c>
      <c r="G16396" t="s">
        <v>515</v>
      </c>
    </row>
    <row r="16397" spans="1:7" x14ac:dyDescent="0.25">
      <c r="A16397" s="1" t="str">
        <f>"515444"</f>
        <v>515444</v>
      </c>
      <c r="B16397" s="2" t="str">
        <f>"MUSSARELLA"</f>
        <v>MUSSARELLA</v>
      </c>
      <c r="C16397" s="2" t="str">
        <f>"UN"</f>
        <v>UN</v>
      </c>
      <c r="D16397" s="7">
        <v>401</v>
      </c>
      <c r="E16397" s="3">
        <v>4</v>
      </c>
      <c r="F16397" s="3">
        <v>4</v>
      </c>
      <c r="G16397" t="s">
        <v>514</v>
      </c>
    </row>
    <row r="16398" spans="1:7" x14ac:dyDescent="0.25">
      <c r="A16398" s="1" t="str">
        <f>"515135"</f>
        <v>515135</v>
      </c>
      <c r="B16398" s="2" t="str">
        <f>"MWM ANTICORROSIVO"</f>
        <v>MWM ANTICORROSIVO</v>
      </c>
      <c r="C16398" s="2" t="str">
        <f>"UN"</f>
        <v>UN</v>
      </c>
      <c r="D16398" s="7">
        <v>704</v>
      </c>
      <c r="E16398" s="3">
        <v>9</v>
      </c>
      <c r="F16398" s="3">
        <v>9</v>
      </c>
      <c r="G16398" t="s">
        <v>512</v>
      </c>
    </row>
    <row r="16399" spans="1:7" x14ac:dyDescent="0.25">
      <c r="A16399" s="1" t="str">
        <f>"515201"</f>
        <v>515201</v>
      </c>
      <c r="B16399" s="2" t="str">
        <f>"MYDRIACYL 1% COL"</f>
        <v>MYDRIACYL 1% COL</v>
      </c>
      <c r="C16399" s="2" t="str">
        <f>"UN"</f>
        <v>UN</v>
      </c>
      <c r="D16399" s="7">
        <v>401</v>
      </c>
      <c r="E16399" s="3">
        <v>4</v>
      </c>
      <c r="F16399" s="3">
        <v>4</v>
      </c>
      <c r="G16399" t="s">
        <v>513</v>
      </c>
    </row>
    <row r="16400" spans="1:7" x14ac:dyDescent="0.25">
      <c r="A16400" s="1" t="str">
        <f>"526358"</f>
        <v>526358</v>
      </c>
      <c r="B16400" s="2" t="str">
        <f>"NALCO 500044 100 LITROS"</f>
        <v>NALCO 500044 100 LITROS</v>
      </c>
      <c r="C16400" s="2" t="str">
        <f>"PC"</f>
        <v>PC</v>
      </c>
      <c r="D16400" s="7">
        <v>99999</v>
      </c>
      <c r="E16400" s="3">
        <v>99</v>
      </c>
      <c r="F16400" s="3">
        <v>99</v>
      </c>
      <c r="G16400" t="s">
        <v>514</v>
      </c>
    </row>
    <row r="16401" spans="1:7" x14ac:dyDescent="0.25">
      <c r="A16401" s="1" t="str">
        <f>"526357"</f>
        <v>526357</v>
      </c>
      <c r="B16401" s="2" t="str">
        <f>"NALCO 72053 25 LITROS"</f>
        <v>NALCO 72053 25 LITROS</v>
      </c>
      <c r="C16401" s="2" t="str">
        <f>"PC"</f>
        <v>PC</v>
      </c>
      <c r="D16401" s="7">
        <v>99999</v>
      </c>
      <c r="E16401" s="3">
        <v>99</v>
      </c>
      <c r="F16401" s="3">
        <v>99</v>
      </c>
      <c r="G16401" t="s">
        <v>514</v>
      </c>
    </row>
    <row r="16402" spans="1:7" x14ac:dyDescent="0.25">
      <c r="A16402" s="1" t="str">
        <f>"526356"</f>
        <v>526356</v>
      </c>
      <c r="B16402" s="2" t="str">
        <f>"NALCO AC 52214 25 LITROS"</f>
        <v>NALCO AC 52214 25 LITROS</v>
      </c>
      <c r="C16402" s="2" t="str">
        <f>"PC"</f>
        <v>PC</v>
      </c>
      <c r="D16402" s="7">
        <v>99999</v>
      </c>
      <c r="E16402" s="3">
        <v>99</v>
      </c>
      <c r="F16402" s="3">
        <v>99</v>
      </c>
      <c r="G16402" t="s">
        <v>512</v>
      </c>
    </row>
    <row r="16403" spans="1:7" x14ac:dyDescent="0.25">
      <c r="A16403" s="1" t="str">
        <f>"213"</f>
        <v>213</v>
      </c>
      <c r="B16403" s="2" t="str">
        <f>"NALCO BB 100L- (50KG) - CÓD.500029.25 (ECOLAB)"</f>
        <v>NALCO BB 100L- (50KG) - CÓD.500029.25 (ECOLAB)</v>
      </c>
      <c r="C16403" s="2" t="str">
        <f>"KG"</f>
        <v>KG</v>
      </c>
      <c r="D16403" s="7">
        <v>400</v>
      </c>
      <c r="E16403" s="3">
        <v>4</v>
      </c>
      <c r="F16403" s="3">
        <v>4</v>
      </c>
      <c r="G16403" t="s">
        <v>513</v>
      </c>
    </row>
    <row r="16404" spans="1:7" x14ac:dyDescent="0.25">
      <c r="A16404" s="1" t="str">
        <f>""</f>
        <v/>
      </c>
      <c r="B16404" s="2" t="str">
        <f>"NAO UTILIZAR - ITEM SISTEMA"</f>
        <v>NAO UTILIZAR - ITEM SISTEMA</v>
      </c>
      <c r="C16404" s="2" t="str">
        <f>"UN"</f>
        <v>UN</v>
      </c>
      <c r="D16404" s="7">
        <v>99999</v>
      </c>
      <c r="E16404" s="3">
        <v>99</v>
      </c>
      <c r="F16404" s="3">
        <v>99</v>
      </c>
      <c r="G16404" t="s">
        <v>514</v>
      </c>
    </row>
    <row r="16405" spans="1:7" x14ac:dyDescent="0.25">
      <c r="A16405" s="1" t="str">
        <f>"504404"</f>
        <v>504404</v>
      </c>
      <c r="B16405" s="2" t="str">
        <f>"NAPA"</f>
        <v>NAPA</v>
      </c>
      <c r="C16405" s="2" t="str">
        <f>"UN"</f>
        <v>UN</v>
      </c>
      <c r="D16405" s="7">
        <v>704</v>
      </c>
      <c r="E16405" s="3">
        <v>9</v>
      </c>
      <c r="F16405" s="3">
        <v>9</v>
      </c>
      <c r="G16405" t="s">
        <v>514</v>
      </c>
    </row>
    <row r="16406" spans="1:7" x14ac:dyDescent="0.25">
      <c r="A16406" s="1" t="str">
        <f>"516636"</f>
        <v>516636</v>
      </c>
      <c r="B16406" s="2" t="str">
        <f>"NAPA ROYAL"</f>
        <v>NAPA ROYAL</v>
      </c>
      <c r="C16406" s="2" t="str">
        <f>"UN"</f>
        <v>UN</v>
      </c>
      <c r="D16406" s="7">
        <v>401</v>
      </c>
      <c r="E16406" s="3">
        <v>4</v>
      </c>
      <c r="F16406" s="3">
        <v>4</v>
      </c>
      <c r="G16406" t="s">
        <v>514</v>
      </c>
    </row>
    <row r="16407" spans="1:7" x14ac:dyDescent="0.25">
      <c r="A16407" s="1" t="str">
        <f>"6221"</f>
        <v>6221</v>
      </c>
      <c r="B16407" s="2" t="str">
        <f>"NATAMICINA EM PO NATACID"</f>
        <v>NATAMICINA EM PO NATACID</v>
      </c>
      <c r="C16407" s="2" t="str">
        <f>"KG"</f>
        <v>KG</v>
      </c>
      <c r="D16407" s="7">
        <v>209</v>
      </c>
      <c r="E16407" s="3">
        <v>2</v>
      </c>
      <c r="F16407" s="3">
        <v>2</v>
      </c>
      <c r="G16407" t="s">
        <v>513</v>
      </c>
    </row>
    <row r="16408" spans="1:7" x14ac:dyDescent="0.25">
      <c r="A16408" s="1" t="str">
        <f>"518732"</f>
        <v>518732</v>
      </c>
      <c r="B16408" s="2" t="str">
        <f>"NATUR WOMAN SEXY 45ML"</f>
        <v>NATUR WOMAN SEXY 45ML</v>
      </c>
      <c r="C16408" s="2" t="str">
        <f t="shared" ref="C16408:C16414" si="648">"UN"</f>
        <v>UN</v>
      </c>
      <c r="D16408" s="7">
        <v>99999</v>
      </c>
      <c r="E16408" s="3">
        <v>99</v>
      </c>
      <c r="F16408" s="3">
        <v>99</v>
      </c>
      <c r="G16408" t="s">
        <v>512</v>
      </c>
    </row>
    <row r="16409" spans="1:7" x14ac:dyDescent="0.25">
      <c r="A16409" s="1" t="str">
        <f>"511247"</f>
        <v>511247</v>
      </c>
      <c r="B16409" s="2" t="str">
        <f>"NB CORE2DUO 4G/320G/14.1/WINZ"</f>
        <v>NB CORE2DUO 4G/320G/14.1/WINZ</v>
      </c>
      <c r="C16409" s="2" t="str">
        <f t="shared" si="648"/>
        <v>UN</v>
      </c>
      <c r="D16409" s="7">
        <v>401</v>
      </c>
      <c r="E16409" s="3">
        <v>4</v>
      </c>
      <c r="F16409" s="3">
        <v>4</v>
      </c>
      <c r="G16409" t="s">
        <v>513</v>
      </c>
    </row>
    <row r="16410" spans="1:7" x14ac:dyDescent="0.25">
      <c r="A16410" s="1" t="str">
        <f>"523758"</f>
        <v>523758</v>
      </c>
      <c r="B16410" s="2" t="str">
        <f>"NEBACETIN POMADA DERMATOLOGICA 10GR"</f>
        <v>NEBACETIN POMADA DERMATOLOGICA 10GR</v>
      </c>
      <c r="C16410" s="2" t="str">
        <f t="shared" si="648"/>
        <v>UN</v>
      </c>
      <c r="D16410" s="7">
        <v>99999</v>
      </c>
      <c r="E16410" s="3">
        <v>99</v>
      </c>
      <c r="F16410" s="3">
        <v>99</v>
      </c>
      <c r="G16410" t="s">
        <v>514</v>
      </c>
    </row>
    <row r="16411" spans="1:7" x14ac:dyDescent="0.25">
      <c r="A16411" s="1" t="str">
        <f>"525078"</f>
        <v>525078</v>
      </c>
      <c r="B16411" s="2" t="str">
        <f>"NEBULIZADOR 910 FOG"</f>
        <v>NEBULIZADOR 910 FOG</v>
      </c>
      <c r="C16411" s="2" t="str">
        <f t="shared" si="648"/>
        <v>UN</v>
      </c>
      <c r="D16411" s="7">
        <v>912</v>
      </c>
      <c r="E16411" s="3">
        <v>10</v>
      </c>
      <c r="F16411" s="3">
        <v>10</v>
      </c>
      <c r="G16411" t="s">
        <v>514</v>
      </c>
    </row>
    <row r="16412" spans="1:7" x14ac:dyDescent="0.25">
      <c r="A16412" s="1" t="str">
        <f>"518343"</f>
        <v>518343</v>
      </c>
      <c r="B16412" s="2" t="str">
        <f>"NEBULIZADOR NA-01 C/ ROSCA 1/4"""</f>
        <v>NEBULIZADOR NA-01 C/ ROSCA 1/4"</v>
      </c>
      <c r="C16412" s="2" t="str">
        <f t="shared" si="648"/>
        <v>UN</v>
      </c>
      <c r="D16412" s="7">
        <v>912</v>
      </c>
      <c r="E16412" s="3">
        <v>10</v>
      </c>
      <c r="F16412" s="3">
        <v>10</v>
      </c>
      <c r="G16412" t="s">
        <v>514</v>
      </c>
    </row>
    <row r="16413" spans="1:7" x14ac:dyDescent="0.25">
      <c r="A16413" s="1" t="str">
        <f>"519439"</f>
        <v>519439</v>
      </c>
      <c r="B16413" s="2" t="str">
        <f>"NECESSAIRES DIVERSAS"</f>
        <v>NECESSAIRES DIVERSAS</v>
      </c>
      <c r="C16413" s="2" t="str">
        <f t="shared" si="648"/>
        <v>UN</v>
      </c>
      <c r="D16413" s="7">
        <v>500</v>
      </c>
      <c r="E16413" s="3">
        <v>4</v>
      </c>
      <c r="F16413" s="3">
        <v>4</v>
      </c>
      <c r="G16413" t="s">
        <v>513</v>
      </c>
    </row>
    <row r="16414" spans="1:7" x14ac:dyDescent="0.25">
      <c r="A16414" s="1" t="str">
        <f>"517425"</f>
        <v>517425</v>
      </c>
      <c r="B16414" s="2" t="str">
        <f>"NEGATOSCOPIO 2 COPOS"</f>
        <v>NEGATOSCOPIO 2 COPOS</v>
      </c>
      <c r="C16414" s="2" t="str">
        <f t="shared" si="648"/>
        <v>UN</v>
      </c>
      <c r="D16414" s="7">
        <v>1300</v>
      </c>
      <c r="E16414" s="3">
        <v>13</v>
      </c>
      <c r="F16414" s="3">
        <v>13</v>
      </c>
      <c r="G16414" t="s">
        <v>513</v>
      </c>
    </row>
    <row r="16415" spans="1:7" x14ac:dyDescent="0.25">
      <c r="A16415" s="1" t="str">
        <f>"115"</f>
        <v>115</v>
      </c>
      <c r="B16415" s="2" t="str">
        <f>"NEOBIODINE GALÃO DE 20 LTS."</f>
        <v>NEOBIODINE GALÃO DE 20 LTS.</v>
      </c>
      <c r="C16415" s="2" t="str">
        <f>"LT"</f>
        <v>LT</v>
      </c>
      <c r="D16415" s="7">
        <v>302</v>
      </c>
      <c r="E16415" s="3">
        <v>3</v>
      </c>
      <c r="F16415" s="3">
        <v>3</v>
      </c>
      <c r="G16415" t="s">
        <v>513</v>
      </c>
    </row>
    <row r="16416" spans="1:7" x14ac:dyDescent="0.25">
      <c r="A16416" s="1" t="str">
        <f>"513227"</f>
        <v>513227</v>
      </c>
      <c r="B16416" s="2" t="str">
        <f>"NEOCOFLAN 10MG GEL BG 60GR"</f>
        <v>NEOCOFLAN 10MG GEL BG 60GR</v>
      </c>
      <c r="C16416" s="2" t="str">
        <f>"UN"</f>
        <v>UN</v>
      </c>
      <c r="D16416" s="7">
        <v>401</v>
      </c>
      <c r="E16416" s="3">
        <v>4</v>
      </c>
      <c r="F16416" s="3">
        <v>4</v>
      </c>
      <c r="G16416" t="s">
        <v>512</v>
      </c>
    </row>
    <row r="16417" spans="1:7" x14ac:dyDescent="0.25">
      <c r="A16417" s="1" t="str">
        <f>"517340"</f>
        <v>517340</v>
      </c>
      <c r="B16417" s="2" t="str">
        <f>"NEOFILM PARA CONTAGEM GLOBAL (100 TESTES)"</f>
        <v>NEOFILM PARA CONTAGEM GLOBAL (100 TESTES)</v>
      </c>
      <c r="C16417" s="2" t="str">
        <f>"FR"</f>
        <v>FR</v>
      </c>
      <c r="D16417" s="7">
        <v>406</v>
      </c>
      <c r="E16417" s="3">
        <v>4</v>
      </c>
      <c r="F16417" s="3">
        <v>4</v>
      </c>
      <c r="G16417" t="s">
        <v>513</v>
      </c>
    </row>
    <row r="16418" spans="1:7" x14ac:dyDescent="0.25">
      <c r="A16418" s="1" t="str">
        <f>"513136"</f>
        <v>513136</v>
      </c>
      <c r="B16418" s="2" t="str">
        <f>"NEOSALDOR"</f>
        <v>NEOSALDOR</v>
      </c>
      <c r="C16418" s="2" t="str">
        <f>"UN"</f>
        <v>UN</v>
      </c>
      <c r="D16418" s="7">
        <v>401</v>
      </c>
      <c r="E16418" s="3">
        <v>4</v>
      </c>
      <c r="F16418" s="3">
        <v>4</v>
      </c>
      <c r="G16418" t="s">
        <v>514</v>
      </c>
    </row>
    <row r="16419" spans="1:7" x14ac:dyDescent="0.25">
      <c r="A16419" s="1" t="str">
        <f>"515155"</f>
        <v>515155</v>
      </c>
      <c r="B16419" s="2" t="str">
        <f>"NEOSULIDA"</f>
        <v>NEOSULIDA</v>
      </c>
      <c r="C16419" s="2" t="str">
        <f>"UN"</f>
        <v>UN</v>
      </c>
      <c r="D16419" s="7">
        <v>401</v>
      </c>
      <c r="E16419" s="3">
        <v>4</v>
      </c>
      <c r="F16419" s="3">
        <v>4</v>
      </c>
      <c r="G16419" t="s">
        <v>515</v>
      </c>
    </row>
    <row r="16420" spans="1:7" x14ac:dyDescent="0.25">
      <c r="A16420" s="1" t="str">
        <f>"515226"</f>
        <v>515226</v>
      </c>
      <c r="B16420" s="2" t="str">
        <f>"NEOTAREN 50MG"</f>
        <v>NEOTAREN 50MG</v>
      </c>
      <c r="C16420" s="2" t="str">
        <f>"UN"</f>
        <v>UN</v>
      </c>
      <c r="D16420" s="7">
        <v>401</v>
      </c>
      <c r="E16420" s="3">
        <v>4</v>
      </c>
      <c r="F16420" s="3">
        <v>4</v>
      </c>
      <c r="G16420" t="s">
        <v>512</v>
      </c>
    </row>
    <row r="16421" spans="1:7" x14ac:dyDescent="0.25">
      <c r="A16421" s="1" t="str">
        <f>"515013"</f>
        <v>515013</v>
      </c>
      <c r="B16421" s="2" t="str">
        <f>"NESTON BEBIDA LAC."</f>
        <v>NESTON BEBIDA LAC.</v>
      </c>
      <c r="C16421" s="2" t="str">
        <f>"UN"</f>
        <v>UN</v>
      </c>
      <c r="D16421" s="7">
        <v>401</v>
      </c>
      <c r="E16421" s="3">
        <v>4</v>
      </c>
      <c r="F16421" s="3">
        <v>4</v>
      </c>
      <c r="G16421" t="s">
        <v>516</v>
      </c>
    </row>
    <row r="16422" spans="1:7" x14ac:dyDescent="0.25">
      <c r="A16422" s="1" t="str">
        <f>"521404"</f>
        <v>521404</v>
      </c>
      <c r="B16422" s="2" t="str">
        <f>"NEUTAREN 50MG"</f>
        <v>NEUTAREN 50MG</v>
      </c>
      <c r="C16422" s="2" t="str">
        <f>"UN"</f>
        <v>UN</v>
      </c>
      <c r="D16422" s="7">
        <v>406</v>
      </c>
      <c r="E16422" s="3">
        <v>4</v>
      </c>
      <c r="F16422" s="3">
        <v>4</v>
      </c>
      <c r="G16422" t="s">
        <v>515</v>
      </c>
    </row>
    <row r="16423" spans="1:7" x14ac:dyDescent="0.25">
      <c r="A16423" s="1" t="str">
        <f>"1517"</f>
        <v>1517</v>
      </c>
      <c r="B16423" s="2" t="str">
        <f>"NEUTRAGEO MAIS"</f>
        <v>NEUTRAGEO MAIS</v>
      </c>
      <c r="C16423" s="2" t="str">
        <f>"KG"</f>
        <v>KG</v>
      </c>
      <c r="D16423" s="7">
        <v>99999</v>
      </c>
      <c r="E16423" s="3">
        <v>99</v>
      </c>
      <c r="F16423" s="3">
        <v>99</v>
      </c>
      <c r="G16423" t="s">
        <v>514</v>
      </c>
    </row>
    <row r="16424" spans="1:7" x14ac:dyDescent="0.25">
      <c r="A16424" s="1" t="str">
        <f>"6253"</f>
        <v>6253</v>
      </c>
      <c r="B16424" s="2" t="str">
        <f>"NEUTRAGEO MAIS"</f>
        <v>NEUTRAGEO MAIS</v>
      </c>
      <c r="C16424" s="2" t="str">
        <f>"KG"</f>
        <v>KG</v>
      </c>
      <c r="D16424" s="7">
        <v>400</v>
      </c>
      <c r="E16424" s="3">
        <v>10</v>
      </c>
      <c r="F16424" s="3">
        <v>10</v>
      </c>
      <c r="G16424" t="s">
        <v>512</v>
      </c>
    </row>
    <row r="16425" spans="1:7" x14ac:dyDescent="0.25">
      <c r="A16425" s="1" t="str">
        <f>"503859"</f>
        <v>503859</v>
      </c>
      <c r="B16425" s="2" t="str">
        <f>"NEUTROL 18 LITROS"</f>
        <v>NEUTROL 18 LITROS</v>
      </c>
      <c r="C16425" s="2" t="str">
        <f>"UN"</f>
        <v>UN</v>
      </c>
      <c r="D16425" s="7">
        <v>403</v>
      </c>
      <c r="E16425" s="3">
        <v>4</v>
      </c>
      <c r="F16425" s="3">
        <v>4</v>
      </c>
      <c r="G16425" t="s">
        <v>513</v>
      </c>
    </row>
    <row r="16426" spans="1:7" x14ac:dyDescent="0.25">
      <c r="A16426" s="1" t="str">
        <f>"526359"</f>
        <v>526359</v>
      </c>
      <c r="B16426" s="2" t="str">
        <f>"NEXGUARD 22310 25 LITROS"</f>
        <v>NEXGUARD 22310 25 LITROS</v>
      </c>
      <c r="C16426" s="2" t="str">
        <f>"PC"</f>
        <v>PC</v>
      </c>
      <c r="D16426" s="7">
        <v>99999</v>
      </c>
      <c r="E16426" s="3">
        <v>99</v>
      </c>
      <c r="F16426" s="3">
        <v>99</v>
      </c>
      <c r="G16426" t="s">
        <v>514</v>
      </c>
    </row>
    <row r="16427" spans="1:7" x14ac:dyDescent="0.25">
      <c r="A16427" s="1" t="str">
        <f>"512768"</f>
        <v>512768</v>
      </c>
      <c r="B16427" s="2" t="str">
        <f>"NF COMPLEMENTAR"</f>
        <v>NF COMPLEMENTAR</v>
      </c>
      <c r="C16427" s="2" t="str">
        <f>"UN"</f>
        <v>UN</v>
      </c>
      <c r="D16427" s="7">
        <v>99999</v>
      </c>
      <c r="E16427" s="3">
        <v>99</v>
      </c>
      <c r="F16427" s="3">
        <v>99</v>
      </c>
      <c r="G16427" t="s">
        <v>514</v>
      </c>
    </row>
    <row r="16428" spans="1:7" x14ac:dyDescent="0.25">
      <c r="A16428" s="1" t="str">
        <f>"521148"</f>
        <v>521148</v>
      </c>
      <c r="B16428" s="2" t="str">
        <f>"NICHOS P/ GUARNIÇÕES"</f>
        <v>NICHOS P/ GUARNIÇÕES</v>
      </c>
      <c r="C16428" s="2" t="str">
        <f>"UN"</f>
        <v>UN</v>
      </c>
      <c r="D16428" s="7">
        <v>1200</v>
      </c>
      <c r="E16428" s="3">
        <v>4</v>
      </c>
      <c r="F16428" s="3">
        <v>4</v>
      </c>
      <c r="G16428" t="s">
        <v>512</v>
      </c>
    </row>
    <row r="16429" spans="1:7" x14ac:dyDescent="0.25">
      <c r="A16429" s="1" t="str">
        <f>"522719"</f>
        <v>522719</v>
      </c>
      <c r="B16429" s="2" t="str">
        <f>"NIMESULIDA 100MG"</f>
        <v>NIMESULIDA 100MG</v>
      </c>
      <c r="C16429" s="2" t="str">
        <f>"UN"</f>
        <v>UN</v>
      </c>
      <c r="D16429" s="7">
        <v>99999</v>
      </c>
      <c r="E16429" s="3">
        <v>99</v>
      </c>
      <c r="F16429" s="3">
        <v>99</v>
      </c>
      <c r="G16429" t="s">
        <v>513</v>
      </c>
    </row>
    <row r="16430" spans="1:7" x14ac:dyDescent="0.25">
      <c r="A16430" s="1" t="str">
        <f>"514164"</f>
        <v>514164</v>
      </c>
      <c r="B16430" s="2" t="str">
        <f>"NIPEL"</f>
        <v>NIPEL</v>
      </c>
      <c r="C16430" s="2" t="str">
        <f>"UN"</f>
        <v>UN</v>
      </c>
      <c r="D16430" s="7">
        <v>704</v>
      </c>
      <c r="E16430" s="3">
        <v>9</v>
      </c>
      <c r="F16430" s="3">
        <v>9</v>
      </c>
      <c r="G16430" t="s">
        <v>514</v>
      </c>
    </row>
    <row r="16431" spans="1:7" x14ac:dyDescent="0.25">
      <c r="A16431" s="1" t="str">
        <f>"515452"</f>
        <v>515452</v>
      </c>
      <c r="B16431" s="2" t="str">
        <f>"NIPHOKAM"</f>
        <v>NIPHOKAM</v>
      </c>
      <c r="C16431" s="2" t="str">
        <f>"LT"</f>
        <v>LT</v>
      </c>
      <c r="D16431" s="7">
        <v>407</v>
      </c>
      <c r="E16431" s="3">
        <v>4</v>
      </c>
      <c r="F16431" s="3">
        <v>4</v>
      </c>
      <c r="G16431" t="s">
        <v>514</v>
      </c>
    </row>
    <row r="16432" spans="1:7" x14ac:dyDescent="0.25">
      <c r="A16432" s="1" t="str">
        <f>"518300"</f>
        <v>518300</v>
      </c>
      <c r="B16432" s="2" t="str">
        <f>"NIPLE ACETILENO CONDOR"</f>
        <v>NIPLE ACETILENO CONDOR</v>
      </c>
      <c r="C16432" s="2" t="str">
        <f>"UN"</f>
        <v>UN</v>
      </c>
      <c r="D16432" s="7">
        <v>918</v>
      </c>
      <c r="E16432" s="3">
        <v>11</v>
      </c>
      <c r="F16432" s="3">
        <v>11</v>
      </c>
      <c r="G16432" t="s">
        <v>514</v>
      </c>
    </row>
    <row r="16433" spans="1:7" x14ac:dyDescent="0.25">
      <c r="A16433" s="1" t="str">
        <f>"519908"</f>
        <v>519908</v>
      </c>
      <c r="B16433" s="2" t="str">
        <f>"NIPLE C/ ROSCA 3"" - PVC"</f>
        <v>NIPLE C/ ROSCA 3" - PVC</v>
      </c>
      <c r="C16433" s="2" t="str">
        <f>"UN"</f>
        <v>UN</v>
      </c>
      <c r="D16433" s="7">
        <v>808</v>
      </c>
      <c r="E16433" s="3">
        <v>10</v>
      </c>
      <c r="F16433" s="3">
        <v>10</v>
      </c>
      <c r="G16433" t="s">
        <v>513</v>
      </c>
    </row>
    <row r="16434" spans="1:7" x14ac:dyDescent="0.25">
      <c r="A16434" s="1" t="str">
        <f>"501510"</f>
        <v>501510</v>
      </c>
      <c r="B16434" s="2" t="str">
        <f>"NIPLE DE F.G.   1"""</f>
        <v>NIPLE DE F.G.   1"</v>
      </c>
      <c r="C16434" s="2" t="str">
        <f>"BR"</f>
        <v>BR</v>
      </c>
      <c r="D16434" s="7">
        <v>808</v>
      </c>
      <c r="E16434" s="3">
        <v>10</v>
      </c>
      <c r="F16434" s="3">
        <v>10</v>
      </c>
      <c r="G16434" t="s">
        <v>512</v>
      </c>
    </row>
    <row r="16435" spans="1:7" x14ac:dyDescent="0.25">
      <c r="A16435" s="1" t="str">
        <f>"502102"</f>
        <v>502102</v>
      </c>
      <c r="B16435" s="2" t="str">
        <f>"NIPLE DE F.G. 1.1/2"""</f>
        <v>NIPLE DE F.G. 1.1/2"</v>
      </c>
      <c r="C16435" s="2" t="str">
        <f>"BR"</f>
        <v>BR</v>
      </c>
      <c r="D16435" s="7">
        <v>808</v>
      </c>
      <c r="E16435" s="3">
        <v>10</v>
      </c>
      <c r="F16435" s="3">
        <v>10</v>
      </c>
      <c r="G16435" t="s">
        <v>513</v>
      </c>
    </row>
    <row r="16436" spans="1:7" x14ac:dyDescent="0.25">
      <c r="A16436" s="1" t="str">
        <f>"505049"</f>
        <v>505049</v>
      </c>
      <c r="B16436" s="2" t="str">
        <f>"NIPLE DE F.G. 1/2"""</f>
        <v>NIPLE DE F.G. 1/2"</v>
      </c>
      <c r="C16436" s="2" t="str">
        <f>"BR"</f>
        <v>BR</v>
      </c>
      <c r="D16436" s="7">
        <v>808</v>
      </c>
      <c r="E16436" s="3">
        <v>10</v>
      </c>
      <c r="F16436" s="3">
        <v>10</v>
      </c>
      <c r="G16436" t="s">
        <v>514</v>
      </c>
    </row>
    <row r="16437" spans="1:7" x14ac:dyDescent="0.25">
      <c r="A16437" s="1" t="str">
        <f>"503347"</f>
        <v>503347</v>
      </c>
      <c r="B16437" s="2" t="str">
        <f>"NIPLE DE F.G. 1/4"""</f>
        <v>NIPLE DE F.G. 1/4"</v>
      </c>
      <c r="C16437" s="2" t="str">
        <f>"BR"</f>
        <v>BR</v>
      </c>
      <c r="D16437" s="7">
        <v>808</v>
      </c>
      <c r="E16437" s="3">
        <v>10</v>
      </c>
      <c r="F16437" s="3">
        <v>10</v>
      </c>
      <c r="G16437" t="s">
        <v>514</v>
      </c>
    </row>
    <row r="16438" spans="1:7" x14ac:dyDescent="0.25">
      <c r="A16438" s="1" t="str">
        <f>"517319"</f>
        <v>517319</v>
      </c>
      <c r="B16438" s="2" t="str">
        <f>"NIPLE DE F.G. 1/8"""</f>
        <v>NIPLE DE F.G. 1/8"</v>
      </c>
      <c r="C16438" s="2" t="str">
        <f>"UN"</f>
        <v>UN</v>
      </c>
      <c r="D16438" s="7">
        <v>912</v>
      </c>
      <c r="E16438" s="3">
        <v>10</v>
      </c>
      <c r="F16438" s="3">
        <v>10</v>
      </c>
      <c r="G16438" t="s">
        <v>514</v>
      </c>
    </row>
    <row r="16439" spans="1:7" x14ac:dyDescent="0.25">
      <c r="A16439" s="1" t="str">
        <f>"500083"</f>
        <v>500083</v>
      </c>
      <c r="B16439" s="2" t="str">
        <f>"NIPLE DE F.G. 2"""</f>
        <v>NIPLE DE F.G. 2"</v>
      </c>
      <c r="C16439" s="2" t="str">
        <f>"UN"</f>
        <v>UN</v>
      </c>
      <c r="D16439" s="7">
        <v>912</v>
      </c>
      <c r="E16439" s="3">
        <v>10</v>
      </c>
      <c r="F16439" s="3">
        <v>10</v>
      </c>
      <c r="G16439" t="s">
        <v>513</v>
      </c>
    </row>
    <row r="16440" spans="1:7" x14ac:dyDescent="0.25">
      <c r="A16440" s="1" t="str">
        <f>"500082"</f>
        <v>500082</v>
      </c>
      <c r="B16440" s="2" t="str">
        <f>"NIPLE DE F.G. 2.1/2"""</f>
        <v>NIPLE DE F.G. 2.1/2"</v>
      </c>
      <c r="C16440" s="2" t="str">
        <f>"BR"</f>
        <v>BR</v>
      </c>
      <c r="D16440" s="7">
        <v>808</v>
      </c>
      <c r="E16440" s="3">
        <v>10</v>
      </c>
      <c r="F16440" s="3">
        <v>10</v>
      </c>
      <c r="G16440" t="s">
        <v>513</v>
      </c>
    </row>
    <row r="16441" spans="1:7" x14ac:dyDescent="0.25">
      <c r="A16441" s="1" t="str">
        <f>"500155"</f>
        <v>500155</v>
      </c>
      <c r="B16441" s="2" t="str">
        <f>"NIPLE DE F.G. 3"""</f>
        <v>NIPLE DE F.G. 3"</v>
      </c>
      <c r="C16441" s="2" t="str">
        <f>"BR"</f>
        <v>BR</v>
      </c>
      <c r="D16441" s="7">
        <v>808</v>
      </c>
      <c r="E16441" s="3">
        <v>10</v>
      </c>
      <c r="F16441" s="3">
        <v>10</v>
      </c>
      <c r="G16441" t="s">
        <v>513</v>
      </c>
    </row>
    <row r="16442" spans="1:7" x14ac:dyDescent="0.25">
      <c r="A16442" s="1" t="str">
        <f>"500031"</f>
        <v>500031</v>
      </c>
      <c r="B16442" s="2" t="str">
        <f>"NIPLE DE F.G. 3/4"""</f>
        <v>NIPLE DE F.G. 3/4"</v>
      </c>
      <c r="C16442" s="2" t="str">
        <f>"LT"</f>
        <v>LT</v>
      </c>
      <c r="D16442" s="7">
        <v>808</v>
      </c>
      <c r="E16442" s="3">
        <v>10</v>
      </c>
      <c r="F16442" s="3">
        <v>10</v>
      </c>
      <c r="G16442" t="s">
        <v>512</v>
      </c>
    </row>
    <row r="16443" spans="1:7" x14ac:dyDescent="0.25">
      <c r="A16443" s="1" t="str">
        <f>"503340"</f>
        <v>503340</v>
      </c>
      <c r="B16443" s="2" t="str">
        <f>"NIPLE DE F.G. 3/8"""</f>
        <v>NIPLE DE F.G. 3/8"</v>
      </c>
      <c r="C16443" s="2" t="str">
        <f>"BR"</f>
        <v>BR</v>
      </c>
      <c r="D16443" s="7">
        <v>808</v>
      </c>
      <c r="E16443" s="3">
        <v>10</v>
      </c>
      <c r="F16443" s="3">
        <v>10</v>
      </c>
      <c r="G16443" t="s">
        <v>513</v>
      </c>
    </row>
    <row r="16444" spans="1:7" x14ac:dyDescent="0.25">
      <c r="A16444" s="1" t="str">
        <f>"502506"</f>
        <v>502506</v>
      </c>
      <c r="B16444" s="2" t="str">
        <f>"NIPLE DE F.G. 4"""</f>
        <v>NIPLE DE F.G. 4"</v>
      </c>
      <c r="C16444" s="2" t="str">
        <f>"UN"</f>
        <v>UN</v>
      </c>
      <c r="D16444" s="7">
        <v>402</v>
      </c>
      <c r="E16444" s="3">
        <v>10</v>
      </c>
      <c r="F16444" s="3">
        <v>10</v>
      </c>
      <c r="G16444" t="s">
        <v>514</v>
      </c>
    </row>
    <row r="16445" spans="1:7" x14ac:dyDescent="0.25">
      <c r="A16445" s="1" t="str">
        <f>"502257"</f>
        <v>502257</v>
      </c>
      <c r="B16445" s="2" t="str">
        <f>"NIPLE DE SOLDA DIN DE 2"""</f>
        <v>NIPLE DE SOLDA DIN DE 2"</v>
      </c>
      <c r="C16445" s="2" t="str">
        <f>"BR"</f>
        <v>BR</v>
      </c>
      <c r="D16445" s="7">
        <v>807</v>
      </c>
      <c r="E16445" s="3">
        <v>10</v>
      </c>
      <c r="F16445" s="3">
        <v>10</v>
      </c>
      <c r="G16445" t="s">
        <v>515</v>
      </c>
    </row>
    <row r="16446" spans="1:7" x14ac:dyDescent="0.25">
      <c r="A16446" s="1" t="str">
        <f>"502594"</f>
        <v>502594</v>
      </c>
      <c r="B16446" s="2" t="str">
        <f>"NIPLE DE SOLDA SMS DE 3"""</f>
        <v>NIPLE DE SOLDA SMS DE 3"</v>
      </c>
      <c r="C16446" s="2" t="str">
        <f>"BR"</f>
        <v>BR</v>
      </c>
      <c r="D16446" s="7">
        <v>807</v>
      </c>
      <c r="E16446" s="3">
        <v>10</v>
      </c>
      <c r="F16446" s="3">
        <v>10</v>
      </c>
      <c r="G16446" t="s">
        <v>512</v>
      </c>
    </row>
    <row r="16447" spans="1:7" x14ac:dyDescent="0.25">
      <c r="A16447" s="1" t="str">
        <f>"526894"</f>
        <v>526894</v>
      </c>
      <c r="B16447" s="2" t="str">
        <f>"NIPLE DUPLA ROSCA 1/4 NPT INOX"</f>
        <v>NIPLE DUPLA ROSCA 1/4 NPT INOX</v>
      </c>
      <c r="C16447" s="2" t="str">
        <f>"BR"</f>
        <v>BR</v>
      </c>
      <c r="D16447" s="7">
        <v>808</v>
      </c>
      <c r="E16447" s="3">
        <v>10</v>
      </c>
      <c r="F16447" s="3">
        <v>10</v>
      </c>
      <c r="G16447" t="s">
        <v>516</v>
      </c>
    </row>
    <row r="16448" spans="1:7" x14ac:dyDescent="0.25">
      <c r="A16448" s="1" t="str">
        <f>"505560"</f>
        <v>505560</v>
      </c>
      <c r="B16448" s="2" t="str">
        <f>"NIPLE DUPLO 1/8X1/4 FESTO"</f>
        <v>NIPLE DUPLO 1/8X1/4 FESTO</v>
      </c>
      <c r="C16448" s="2" t="str">
        <f>"UN"</f>
        <v>UN</v>
      </c>
      <c r="D16448" s="7">
        <v>913</v>
      </c>
      <c r="E16448" s="3">
        <v>11</v>
      </c>
      <c r="F16448" s="3">
        <v>11</v>
      </c>
      <c r="G16448" t="s">
        <v>515</v>
      </c>
    </row>
    <row r="16449" spans="1:7" x14ac:dyDescent="0.25">
      <c r="A16449" s="1" t="str">
        <f>"526142"</f>
        <v>526142</v>
      </c>
      <c r="B16449" s="2" t="str">
        <f>"NIPLE DUPLO 2.1/2"</f>
        <v>NIPLE DUPLO 2.1/2</v>
      </c>
      <c r="C16449" s="2" t="str">
        <f>"BR"</f>
        <v>BR</v>
      </c>
      <c r="D16449" s="7">
        <v>808</v>
      </c>
      <c r="E16449" s="3">
        <v>10</v>
      </c>
      <c r="F16449" s="3">
        <v>10</v>
      </c>
      <c r="G16449" t="s">
        <v>514</v>
      </c>
    </row>
    <row r="16450" spans="1:7" x14ac:dyDescent="0.25">
      <c r="A16450" s="1" t="str">
        <f>"520553"</f>
        <v>520553</v>
      </c>
      <c r="B16450" s="2" t="str">
        <f>"NIPLE E PORCA INOX 1"""</f>
        <v>NIPLE E PORCA INOX 1"</v>
      </c>
      <c r="C16450" s="2" t="str">
        <f>"BR"</f>
        <v>BR</v>
      </c>
      <c r="D16450" s="7">
        <v>807</v>
      </c>
      <c r="E16450" s="3">
        <v>10</v>
      </c>
      <c r="F16450" s="3">
        <v>10</v>
      </c>
      <c r="G16450" t="s">
        <v>512</v>
      </c>
    </row>
    <row r="16451" spans="1:7" x14ac:dyDescent="0.25">
      <c r="A16451" s="1" t="str">
        <f>"520551"</f>
        <v>520551</v>
      </c>
      <c r="B16451" s="2" t="str">
        <f>"NIPLE E PORCA INOX 2 1/2"""</f>
        <v>NIPLE E PORCA INOX 2 1/2"</v>
      </c>
      <c r="C16451" s="2" t="str">
        <f>"BR"</f>
        <v>BR</v>
      </c>
      <c r="D16451" s="7">
        <v>807</v>
      </c>
      <c r="E16451" s="3">
        <v>10</v>
      </c>
      <c r="F16451" s="3">
        <v>10</v>
      </c>
      <c r="G16451" t="s">
        <v>513</v>
      </c>
    </row>
    <row r="16452" spans="1:7" x14ac:dyDescent="0.25">
      <c r="A16452" s="1" t="str">
        <f>"520552"</f>
        <v>520552</v>
      </c>
      <c r="B16452" s="2" t="str">
        <f>"NIPLE E PORCA INOX 2"""</f>
        <v>NIPLE E PORCA INOX 2"</v>
      </c>
      <c r="C16452" s="2" t="str">
        <f>"BR"</f>
        <v>BR</v>
      </c>
      <c r="D16452" s="7">
        <v>807</v>
      </c>
      <c r="E16452" s="3">
        <v>10</v>
      </c>
      <c r="F16452" s="3">
        <v>10</v>
      </c>
      <c r="G16452" t="s">
        <v>514</v>
      </c>
    </row>
    <row r="16453" spans="1:7" x14ac:dyDescent="0.25">
      <c r="A16453" s="1" t="str">
        <f>"505500"</f>
        <v>505500</v>
      </c>
      <c r="B16453" s="2" t="str">
        <f>"NIPLE ESP. DE AÇO ESPIGÃO 3/4"" X 2"" NPT"</f>
        <v>NIPLE ESP. DE AÇO ESPIGÃO 3/4" X 2" NPT</v>
      </c>
      <c r="C16453" s="2" t="str">
        <f>"LT"</f>
        <v>LT</v>
      </c>
      <c r="D16453" s="7">
        <v>702</v>
      </c>
      <c r="E16453" s="3">
        <v>9</v>
      </c>
      <c r="F16453" s="3">
        <v>9</v>
      </c>
      <c r="G16453" t="s">
        <v>514</v>
      </c>
    </row>
    <row r="16454" spans="1:7" x14ac:dyDescent="0.25">
      <c r="A16454" s="1" t="str">
        <f>"500880"</f>
        <v>500880</v>
      </c>
      <c r="B16454" s="2" t="str">
        <f>"NIPLE GALV. DUPLO 3/8"</f>
        <v>NIPLE GALV. DUPLO 3/8</v>
      </c>
      <c r="C16454" s="2" t="str">
        <f>"BR"</f>
        <v>BR</v>
      </c>
      <c r="D16454" s="7">
        <v>808</v>
      </c>
      <c r="E16454" s="3">
        <v>10</v>
      </c>
      <c r="F16454" s="3">
        <v>10</v>
      </c>
      <c r="G16454" t="s">
        <v>512</v>
      </c>
    </row>
    <row r="16455" spans="1:7" x14ac:dyDescent="0.25">
      <c r="A16455" s="1" t="str">
        <f>"509902"</f>
        <v>509902</v>
      </c>
      <c r="B16455" s="2" t="str">
        <f>"NIPLE GALVANIZADO 2"""</f>
        <v>NIPLE GALVANIZADO 2"</v>
      </c>
      <c r="C16455" s="2" t="str">
        <f>"UN"</f>
        <v>UN</v>
      </c>
      <c r="D16455" s="7">
        <v>912</v>
      </c>
      <c r="E16455" s="3">
        <v>11</v>
      </c>
      <c r="F16455" s="3">
        <v>11</v>
      </c>
      <c r="G16455" t="s">
        <v>513</v>
      </c>
    </row>
    <row r="16456" spans="1:7" x14ac:dyDescent="0.25">
      <c r="A16456" s="1" t="str">
        <f>"514699"</f>
        <v>514699</v>
      </c>
      <c r="B16456" s="2" t="str">
        <f>"NIPLE LUVA FREIO"</f>
        <v>NIPLE LUVA FREIO</v>
      </c>
      <c r="C16456" s="2" t="str">
        <f>"UN"</f>
        <v>UN</v>
      </c>
      <c r="D16456" s="7">
        <v>704</v>
      </c>
      <c r="E16456" s="3">
        <v>9</v>
      </c>
      <c r="F16456" s="3">
        <v>9</v>
      </c>
      <c r="G16456" t="s">
        <v>514</v>
      </c>
    </row>
    <row r="16457" spans="1:7" x14ac:dyDescent="0.25">
      <c r="A16457" s="1" t="str">
        <f>"502959"</f>
        <v>502959</v>
      </c>
      <c r="B16457" s="2" t="str">
        <f>"NIPLE METAL 1/2"</f>
        <v>NIPLE METAL 1/2</v>
      </c>
      <c r="C16457" s="2" t="str">
        <f>"BR"</f>
        <v>BR</v>
      </c>
      <c r="D16457" s="7">
        <v>808</v>
      </c>
      <c r="E16457" s="3">
        <v>10</v>
      </c>
      <c r="F16457" s="3">
        <v>10</v>
      </c>
      <c r="G16457" t="s">
        <v>514</v>
      </c>
    </row>
    <row r="16458" spans="1:7" x14ac:dyDescent="0.25">
      <c r="A16458" s="1" t="str">
        <f>"502960"</f>
        <v>502960</v>
      </c>
      <c r="B16458" s="2" t="str">
        <f>"NIPLE METAL 3/4"</f>
        <v>NIPLE METAL 3/4</v>
      </c>
      <c r="C16458" s="2" t="str">
        <f>"BR"</f>
        <v>BR</v>
      </c>
      <c r="D16458" s="7">
        <v>808</v>
      </c>
      <c r="E16458" s="3">
        <v>10</v>
      </c>
      <c r="F16458" s="3">
        <v>10</v>
      </c>
      <c r="G16458" t="s">
        <v>514</v>
      </c>
    </row>
    <row r="16459" spans="1:7" x14ac:dyDescent="0.25">
      <c r="A16459" s="1" t="str">
        <f>"502958"</f>
        <v>502958</v>
      </c>
      <c r="B16459" s="2" t="str">
        <f>"NIPLE METAL 3/8"</f>
        <v>NIPLE METAL 3/8</v>
      </c>
      <c r="C16459" s="2" t="str">
        <f>"BR"</f>
        <v>BR</v>
      </c>
      <c r="D16459" s="7">
        <v>808</v>
      </c>
      <c r="E16459" s="3">
        <v>10</v>
      </c>
      <c r="F16459" s="3">
        <v>10</v>
      </c>
      <c r="G16459" t="s">
        <v>513</v>
      </c>
    </row>
    <row r="16460" spans="1:7" x14ac:dyDescent="0.25">
      <c r="A16460" s="1" t="str">
        <f>"502961"</f>
        <v>502961</v>
      </c>
      <c r="B16460" s="2" t="str">
        <f>"NIPLE METAL 5/16"</f>
        <v>NIPLE METAL 5/16</v>
      </c>
      <c r="C16460" s="2" t="str">
        <f>"BR"</f>
        <v>BR</v>
      </c>
      <c r="D16460" s="7">
        <v>808</v>
      </c>
      <c r="E16460" s="3">
        <v>10</v>
      </c>
      <c r="F16460" s="3">
        <v>10</v>
      </c>
      <c r="G16460" t="s">
        <v>512</v>
      </c>
    </row>
    <row r="16461" spans="1:7" x14ac:dyDescent="0.25">
      <c r="A16461" s="1" t="str">
        <f>"503393"</f>
        <v>503393</v>
      </c>
      <c r="B16461" s="2" t="str">
        <f>"NIPLE PNEUMATICO G1/8"""</f>
        <v>NIPLE PNEUMATICO G1/8"</v>
      </c>
      <c r="C16461" s="2" t="str">
        <f>"BR"</f>
        <v>BR</v>
      </c>
      <c r="D16461" s="7">
        <v>808</v>
      </c>
      <c r="E16461" s="3">
        <v>10</v>
      </c>
      <c r="F16461" s="3">
        <v>10</v>
      </c>
      <c r="G16461" t="s">
        <v>513</v>
      </c>
    </row>
    <row r="16462" spans="1:7" x14ac:dyDescent="0.25">
      <c r="A16462" s="1" t="str">
        <f>"509561"</f>
        <v>509561</v>
      </c>
      <c r="B16462" s="2" t="str">
        <f>"NIPLE PORCA P/ OXIGENIO/ACETILENO"</f>
        <v>NIPLE PORCA P/ OXIGENIO/ACETILENO</v>
      </c>
      <c r="C16462" s="2" t="str">
        <f t="shared" ref="C16462:C16470" si="649">"UN"</f>
        <v>UN</v>
      </c>
      <c r="D16462" s="7">
        <v>402</v>
      </c>
      <c r="E16462" s="3">
        <v>4</v>
      </c>
      <c r="F16462" s="3">
        <v>4</v>
      </c>
      <c r="G16462" t="s">
        <v>514</v>
      </c>
    </row>
    <row r="16463" spans="1:7" x14ac:dyDescent="0.25">
      <c r="A16463" s="1" t="str">
        <f>"510074"</f>
        <v>510074</v>
      </c>
      <c r="B16463" s="2" t="str">
        <f>"NIPLE PORCA SMS X ADAP BSP 304 3"""</f>
        <v>NIPLE PORCA SMS X ADAP BSP 304 3"</v>
      </c>
      <c r="C16463" s="2" t="str">
        <f t="shared" si="649"/>
        <v>UN</v>
      </c>
      <c r="D16463" s="7">
        <v>915</v>
      </c>
      <c r="E16463" s="3">
        <v>11</v>
      </c>
      <c r="F16463" s="3">
        <v>11</v>
      </c>
      <c r="G16463" t="s">
        <v>514</v>
      </c>
    </row>
    <row r="16464" spans="1:7" x14ac:dyDescent="0.25">
      <c r="A16464" s="1" t="str">
        <f>"510073"</f>
        <v>510073</v>
      </c>
      <c r="B16464" s="2" t="str">
        <f>"NIPLE PORCA SMS X ADAP BSP/L 304 4"""</f>
        <v>NIPLE PORCA SMS X ADAP BSP/L 304 4"</v>
      </c>
      <c r="C16464" s="2" t="str">
        <f t="shared" si="649"/>
        <v>UN</v>
      </c>
      <c r="D16464" s="7">
        <v>915</v>
      </c>
      <c r="E16464" s="3">
        <v>11</v>
      </c>
      <c r="F16464" s="3">
        <v>11</v>
      </c>
      <c r="G16464" t="s">
        <v>514</v>
      </c>
    </row>
    <row r="16465" spans="1:7" x14ac:dyDescent="0.25">
      <c r="A16465" s="1" t="str">
        <f>"510254"</f>
        <v>510254</v>
      </c>
      <c r="B16465" s="2" t="str">
        <f>"NIPLE PVC 1"""</f>
        <v>NIPLE PVC 1"</v>
      </c>
      <c r="C16465" s="2" t="str">
        <f t="shared" si="649"/>
        <v>UN</v>
      </c>
      <c r="D16465" s="7">
        <v>912</v>
      </c>
      <c r="E16465" s="3">
        <v>11</v>
      </c>
      <c r="F16465" s="3">
        <v>11</v>
      </c>
      <c r="G16465" t="s">
        <v>513</v>
      </c>
    </row>
    <row r="16466" spans="1:7" x14ac:dyDescent="0.25">
      <c r="A16466" s="1" t="str">
        <f>"502038"</f>
        <v>502038</v>
      </c>
      <c r="B16466" s="2" t="str">
        <f>"NIPLE PVC 1/2"""</f>
        <v>NIPLE PVC 1/2"</v>
      </c>
      <c r="C16466" s="2" t="str">
        <f t="shared" si="649"/>
        <v>UN</v>
      </c>
      <c r="D16466" s="7">
        <v>912</v>
      </c>
      <c r="E16466" s="3">
        <v>10</v>
      </c>
      <c r="F16466" s="3">
        <v>10</v>
      </c>
      <c r="G16466" t="s">
        <v>513</v>
      </c>
    </row>
    <row r="16467" spans="1:7" x14ac:dyDescent="0.25">
      <c r="A16467" s="1" t="str">
        <f>"516496"</f>
        <v>516496</v>
      </c>
      <c r="B16467" s="2" t="str">
        <f>"NIPLE PVC 2"" ROSCA"</f>
        <v>NIPLE PVC 2" ROSCA</v>
      </c>
      <c r="C16467" s="2" t="str">
        <f t="shared" si="649"/>
        <v>UN</v>
      </c>
      <c r="D16467" s="7">
        <v>811</v>
      </c>
      <c r="E16467" s="3">
        <v>8</v>
      </c>
      <c r="F16467" s="3">
        <v>8</v>
      </c>
      <c r="G16467" t="s">
        <v>513</v>
      </c>
    </row>
    <row r="16468" spans="1:7" x14ac:dyDescent="0.25">
      <c r="A16468" s="1" t="str">
        <f>"518891"</f>
        <v>518891</v>
      </c>
      <c r="B16468" s="2" t="str">
        <f>"NIPLE PVC 3/4"""</f>
        <v>NIPLE PVC 3/4"</v>
      </c>
      <c r="C16468" s="2" t="str">
        <f t="shared" si="649"/>
        <v>UN</v>
      </c>
      <c r="D16468" s="7">
        <v>912</v>
      </c>
      <c r="E16468" s="3">
        <v>11</v>
      </c>
      <c r="F16468" s="3">
        <v>11</v>
      </c>
      <c r="G16468" t="s">
        <v>512</v>
      </c>
    </row>
    <row r="16469" spans="1:7" x14ac:dyDescent="0.25">
      <c r="A16469" s="1" t="str">
        <f>"512458"</f>
        <v>512458</v>
      </c>
      <c r="B16469" s="2" t="str">
        <f>"NIPLE PVC BRANCO ROSCA 3/4"""</f>
        <v>NIPLE PVC BRANCO ROSCA 3/4"</v>
      </c>
      <c r="C16469" s="2" t="str">
        <f t="shared" si="649"/>
        <v>UN</v>
      </c>
      <c r="D16469" s="7">
        <v>403</v>
      </c>
      <c r="E16469" s="3">
        <v>4</v>
      </c>
      <c r="F16469" s="3">
        <v>4</v>
      </c>
      <c r="G16469" t="s">
        <v>513</v>
      </c>
    </row>
    <row r="16470" spans="1:7" x14ac:dyDescent="0.25">
      <c r="A16470" s="1" t="str">
        <f>"527476"</f>
        <v>527476</v>
      </c>
      <c r="B16470" s="2" t="str">
        <f>"NIPLE PVC ROSCA 1 1/2"""</f>
        <v>NIPLE PVC ROSCA 1 1/2"</v>
      </c>
      <c r="C16470" s="2" t="str">
        <f t="shared" si="649"/>
        <v>UN</v>
      </c>
      <c r="D16470" s="7">
        <v>808</v>
      </c>
      <c r="E16470" s="3">
        <v>10</v>
      </c>
      <c r="F16470" s="3">
        <v>10</v>
      </c>
      <c r="G16470" t="s">
        <v>514</v>
      </c>
    </row>
    <row r="16471" spans="1:7" x14ac:dyDescent="0.25">
      <c r="A16471" s="1" t="str">
        <f>"505254"</f>
        <v>505254</v>
      </c>
      <c r="B16471" s="2" t="str">
        <f>"NIPLE PVC ROSCA 85MM"</f>
        <v>NIPLE PVC ROSCA 85MM</v>
      </c>
      <c r="C16471" s="2" t="str">
        <f>"BR"</f>
        <v>BR</v>
      </c>
      <c r="D16471" s="7">
        <v>808</v>
      </c>
      <c r="E16471" s="3">
        <v>10</v>
      </c>
      <c r="F16471" s="3">
        <v>10</v>
      </c>
      <c r="G16471" t="s">
        <v>515</v>
      </c>
    </row>
    <row r="16472" spans="1:7" x14ac:dyDescent="0.25">
      <c r="A16472" s="1" t="str">
        <f>"509490"</f>
        <v>509490</v>
      </c>
      <c r="B16472" s="2" t="str">
        <f>"NIPLE R FST D1/4 I3/8 40212103"</f>
        <v>NIPLE R FST D1/4 I3/8 40212103</v>
      </c>
      <c r="C16472" s="2" t="str">
        <f>"UN"</f>
        <v>UN</v>
      </c>
      <c r="D16472" s="7">
        <v>913</v>
      </c>
      <c r="E16472" s="3">
        <v>11</v>
      </c>
      <c r="F16472" s="3">
        <v>11</v>
      </c>
      <c r="G16472" t="s">
        <v>512</v>
      </c>
    </row>
    <row r="16473" spans="1:7" x14ac:dyDescent="0.25">
      <c r="A16473" s="1" t="str">
        <f>"503325"</f>
        <v>503325</v>
      </c>
      <c r="B16473" s="2" t="str">
        <f>"NIPLE REDUCAO SOLDA SMS 3""X2"""</f>
        <v>NIPLE REDUCAO SOLDA SMS 3"X2"</v>
      </c>
      <c r="C16473" s="2" t="str">
        <f t="shared" ref="C16473:C16483" si="650">"BR"</f>
        <v>BR</v>
      </c>
      <c r="D16473" s="7">
        <v>807</v>
      </c>
      <c r="E16473" s="3">
        <v>10</v>
      </c>
      <c r="F16473" s="3">
        <v>10</v>
      </c>
      <c r="G16473" t="s">
        <v>516</v>
      </c>
    </row>
    <row r="16474" spans="1:7" x14ac:dyDescent="0.25">
      <c r="A16474" s="1" t="str">
        <f>"504034"</f>
        <v>504034</v>
      </c>
      <c r="B16474" s="2" t="str">
        <f>"NIPLE RJT 2 1/2"""</f>
        <v>NIPLE RJT 2 1/2"</v>
      </c>
      <c r="C16474" s="2" t="str">
        <f t="shared" si="650"/>
        <v>BR</v>
      </c>
      <c r="D16474" s="7">
        <v>807</v>
      </c>
      <c r="E16474" s="3">
        <v>10</v>
      </c>
      <c r="F16474" s="3">
        <v>10</v>
      </c>
      <c r="G16474" t="s">
        <v>515</v>
      </c>
    </row>
    <row r="16475" spans="1:7" x14ac:dyDescent="0.25">
      <c r="A16475" s="1" t="str">
        <f>"502704"</f>
        <v>502704</v>
      </c>
      <c r="B16475" s="2" t="str">
        <f>"NIPLE SMS 304 1"""</f>
        <v>NIPLE SMS 304 1"</v>
      </c>
      <c r="C16475" s="2" t="str">
        <f t="shared" si="650"/>
        <v>BR</v>
      </c>
      <c r="D16475" s="7">
        <v>807</v>
      </c>
      <c r="E16475" s="3">
        <v>10</v>
      </c>
      <c r="F16475" s="3">
        <v>10</v>
      </c>
      <c r="G16475" t="s">
        <v>514</v>
      </c>
    </row>
    <row r="16476" spans="1:7" x14ac:dyDescent="0.25">
      <c r="A16476" s="1" t="str">
        <f>"503320"</f>
        <v>503320</v>
      </c>
      <c r="B16476" s="2" t="str">
        <f>"NIPLE SMS 304 1""1/2"</f>
        <v>NIPLE SMS 304 1"1/2</v>
      </c>
      <c r="C16476" s="2" t="str">
        <f t="shared" si="650"/>
        <v>BR</v>
      </c>
      <c r="D16476" s="7">
        <v>807</v>
      </c>
      <c r="E16476" s="3">
        <v>10</v>
      </c>
      <c r="F16476" s="3">
        <v>10</v>
      </c>
      <c r="G16476" t="s">
        <v>512</v>
      </c>
    </row>
    <row r="16477" spans="1:7" x14ac:dyDescent="0.25">
      <c r="A16477" s="1" t="str">
        <f>"502112"</f>
        <v>502112</v>
      </c>
      <c r="B16477" s="2" t="str">
        <f>"NIPLE SMS 304 2"""</f>
        <v>NIPLE SMS 304 2"</v>
      </c>
      <c r="C16477" s="2" t="str">
        <f t="shared" si="650"/>
        <v>BR</v>
      </c>
      <c r="D16477" s="7">
        <v>807</v>
      </c>
      <c r="E16477" s="3">
        <v>10</v>
      </c>
      <c r="F16477" s="3">
        <v>10</v>
      </c>
      <c r="G16477" t="s">
        <v>513</v>
      </c>
    </row>
    <row r="16478" spans="1:7" x14ac:dyDescent="0.25">
      <c r="A16478" s="1" t="str">
        <f>"502231"</f>
        <v>502231</v>
      </c>
      <c r="B16478" s="2" t="str">
        <f>"NIPLE SMS 304 2""1/2"</f>
        <v>NIPLE SMS 304 2"1/2</v>
      </c>
      <c r="C16478" s="2" t="str">
        <f t="shared" si="650"/>
        <v>BR</v>
      </c>
      <c r="D16478" s="7">
        <v>807</v>
      </c>
      <c r="E16478" s="3">
        <v>10</v>
      </c>
      <c r="F16478" s="3">
        <v>10</v>
      </c>
      <c r="G16478" t="s">
        <v>514</v>
      </c>
    </row>
    <row r="16479" spans="1:7" x14ac:dyDescent="0.25">
      <c r="A16479" s="1" t="str">
        <f>"504353"</f>
        <v>504353</v>
      </c>
      <c r="B16479" s="2" t="str">
        <f>"NIPLE SMS 304 3"""</f>
        <v>NIPLE SMS 304 3"</v>
      </c>
      <c r="C16479" s="2" t="str">
        <f t="shared" si="650"/>
        <v>BR</v>
      </c>
      <c r="D16479" s="7">
        <v>807</v>
      </c>
      <c r="E16479" s="3">
        <v>10</v>
      </c>
      <c r="F16479" s="3">
        <v>10</v>
      </c>
      <c r="G16479" t="s">
        <v>514</v>
      </c>
    </row>
    <row r="16480" spans="1:7" x14ac:dyDescent="0.25">
      <c r="A16480" s="1" t="str">
        <f>"505199"</f>
        <v>505199</v>
      </c>
      <c r="B16480" s="2" t="str">
        <f>"NIPLE SMS 304 4"""</f>
        <v>NIPLE SMS 304 4"</v>
      </c>
      <c r="C16480" s="2" t="str">
        <f t="shared" si="650"/>
        <v>BR</v>
      </c>
      <c r="D16480" s="7">
        <v>807</v>
      </c>
      <c r="E16480" s="3">
        <v>10</v>
      </c>
      <c r="F16480" s="3">
        <v>10</v>
      </c>
      <c r="G16480" t="s">
        <v>512</v>
      </c>
    </row>
    <row r="16481" spans="1:7" x14ac:dyDescent="0.25">
      <c r="A16481" s="1" t="str">
        <f>"504072"</f>
        <v>504072</v>
      </c>
      <c r="B16481" s="2" t="str">
        <f>"NIPLE SOLDA SMS 1.1/2"" X 1"" 304"</f>
        <v>NIPLE SOLDA SMS 1.1/2" X 1" 304</v>
      </c>
      <c r="C16481" s="2" t="str">
        <f t="shared" si="650"/>
        <v>BR</v>
      </c>
      <c r="D16481" s="7">
        <v>807</v>
      </c>
      <c r="E16481" s="3">
        <v>10</v>
      </c>
      <c r="F16481" s="3">
        <v>10</v>
      </c>
      <c r="G16481" t="s">
        <v>513</v>
      </c>
    </row>
    <row r="16482" spans="1:7" x14ac:dyDescent="0.25">
      <c r="A16482" s="1" t="str">
        <f>"503372"</f>
        <v>503372</v>
      </c>
      <c r="B16482" s="2" t="str">
        <f>"NIPLE SOLDA SMS 304 2""1/2 X 2"""</f>
        <v>NIPLE SOLDA SMS 304 2"1/2 X 2"</v>
      </c>
      <c r="C16482" s="2" t="str">
        <f t="shared" si="650"/>
        <v>BR</v>
      </c>
      <c r="D16482" s="7">
        <v>807</v>
      </c>
      <c r="E16482" s="3">
        <v>10</v>
      </c>
      <c r="F16482" s="3">
        <v>10</v>
      </c>
      <c r="G16482" t="s">
        <v>514</v>
      </c>
    </row>
    <row r="16483" spans="1:7" x14ac:dyDescent="0.25">
      <c r="A16483" s="1" t="str">
        <f>"512037"</f>
        <v>512037</v>
      </c>
      <c r="B16483" s="2" t="str">
        <f>"NIPLE SOLDA SMS 4"" X 2"" 304"</f>
        <v>NIPLE SOLDA SMS 4" X 2" 304</v>
      </c>
      <c r="C16483" s="2" t="str">
        <f t="shared" si="650"/>
        <v>BR</v>
      </c>
      <c r="D16483" s="7">
        <v>807</v>
      </c>
      <c r="E16483" s="3">
        <v>10</v>
      </c>
      <c r="F16483" s="3">
        <v>10</v>
      </c>
      <c r="G16483" t="s">
        <v>514</v>
      </c>
    </row>
    <row r="16484" spans="1:7" x14ac:dyDescent="0.25">
      <c r="A16484" s="1" t="str">
        <f>"507801"</f>
        <v>507801</v>
      </c>
      <c r="B16484" s="2" t="str">
        <f>"NIPLE TAMPA DE AGUA MK2/3"</f>
        <v>NIPLE TAMPA DE AGUA MK2/3</v>
      </c>
      <c r="C16484" s="2" t="str">
        <f>"UN"</f>
        <v>UN</v>
      </c>
      <c r="D16484" s="7">
        <v>912</v>
      </c>
      <c r="E16484" s="3">
        <v>11</v>
      </c>
      <c r="F16484" s="3">
        <v>11</v>
      </c>
      <c r="G16484" t="s">
        <v>514</v>
      </c>
    </row>
    <row r="16485" spans="1:7" x14ac:dyDescent="0.25">
      <c r="A16485" s="1" t="str">
        <f>"512138"</f>
        <v>512138</v>
      </c>
      <c r="B16485" s="2" t="str">
        <f>"NIPLE TC SOLDA 3"""</f>
        <v>NIPLE TC SOLDA 3"</v>
      </c>
      <c r="C16485" s="2" t="str">
        <f>"UN"</f>
        <v>UN</v>
      </c>
      <c r="D16485" s="7">
        <v>915</v>
      </c>
      <c r="E16485" s="3">
        <v>11</v>
      </c>
      <c r="F16485" s="3">
        <v>11</v>
      </c>
      <c r="G16485" t="s">
        <v>513</v>
      </c>
    </row>
    <row r="16486" spans="1:7" x14ac:dyDescent="0.25">
      <c r="A16486" s="1" t="str">
        <f>"523428"</f>
        <v>523428</v>
      </c>
      <c r="B16486" s="2" t="str">
        <f>"NIPLE TC SOLDA 4"""</f>
        <v>NIPLE TC SOLDA 4"</v>
      </c>
      <c r="C16486" s="2" t="str">
        <f>"UN"</f>
        <v>UN</v>
      </c>
      <c r="D16486" s="7">
        <v>915</v>
      </c>
      <c r="E16486" s="3">
        <v>11</v>
      </c>
      <c r="F16486" s="3">
        <v>11</v>
      </c>
      <c r="G16486" t="s">
        <v>512</v>
      </c>
    </row>
    <row r="16487" spans="1:7" x14ac:dyDescent="0.25">
      <c r="A16487" s="1" t="str">
        <f>"2690"</f>
        <v>2690</v>
      </c>
      <c r="B16487" s="2" t="str">
        <f>"NIPPO LAT 1000 ASA1 (ADITIVO PARA SODA)"</f>
        <v>NIPPO LAT 1000 ASA1 (ADITIVO PARA SODA)</v>
      </c>
      <c r="C16487" s="2" t="str">
        <f>"KG"</f>
        <v>KG</v>
      </c>
      <c r="D16487" s="7">
        <v>302</v>
      </c>
      <c r="E16487" s="3">
        <v>3</v>
      </c>
      <c r="F16487" s="3">
        <v>3</v>
      </c>
      <c r="G16487" t="s">
        <v>513</v>
      </c>
    </row>
    <row r="16488" spans="1:7" x14ac:dyDescent="0.25">
      <c r="A16488" s="1" t="str">
        <f>"514"</f>
        <v>514</v>
      </c>
      <c r="B16488" s="2" t="str">
        <f>"NIPPO LAT 700"</f>
        <v>NIPPO LAT 700</v>
      </c>
      <c r="C16488" s="2" t="str">
        <f>"LT"</f>
        <v>LT</v>
      </c>
      <c r="D16488" s="7">
        <v>400</v>
      </c>
      <c r="E16488" s="3">
        <v>4</v>
      </c>
      <c r="F16488" s="3">
        <v>4</v>
      </c>
      <c r="G16488" t="s">
        <v>514</v>
      </c>
    </row>
    <row r="16489" spans="1:7" x14ac:dyDescent="0.25">
      <c r="A16489" s="1" t="str">
        <f>"5947"</f>
        <v>5947</v>
      </c>
      <c r="B16489" s="2" t="str">
        <f>"NIPPO LAT IB (SANITIZANTE 1%)"</f>
        <v>NIPPO LAT IB (SANITIZANTE 1%)</v>
      </c>
      <c r="C16489" s="2" t="str">
        <f>"LT"</f>
        <v>LT</v>
      </c>
      <c r="D16489" s="7">
        <v>400</v>
      </c>
      <c r="E16489" s="3">
        <v>4</v>
      </c>
      <c r="F16489" s="3">
        <v>4</v>
      </c>
      <c r="G16489" t="s">
        <v>514</v>
      </c>
    </row>
    <row r="16490" spans="1:7" x14ac:dyDescent="0.25">
      <c r="A16490" s="1" t="str">
        <f>"516310"</f>
        <v>516310</v>
      </c>
      <c r="B16490" s="2" t="str">
        <f>"NIQUEL CROMO 8020 10MM"</f>
        <v>NIQUEL CROMO 8020 10MM</v>
      </c>
      <c r="C16490" s="2" t="str">
        <f>"KG"</f>
        <v>KG</v>
      </c>
      <c r="D16490" s="7">
        <v>812</v>
      </c>
      <c r="E16490" s="3">
        <v>11</v>
      </c>
      <c r="F16490" s="3">
        <v>11</v>
      </c>
      <c r="G16490" t="s">
        <v>514</v>
      </c>
    </row>
    <row r="16491" spans="1:7" x14ac:dyDescent="0.25">
      <c r="A16491" s="1" t="str">
        <f>"6673"</f>
        <v>6673</v>
      </c>
      <c r="B16491" s="2" t="str">
        <f>"NISINA - 500G"</f>
        <v>NISINA - 500G</v>
      </c>
      <c r="C16491" s="2" t="str">
        <f>"KG"</f>
        <v>KG</v>
      </c>
      <c r="D16491" s="7">
        <v>209</v>
      </c>
      <c r="E16491" s="3">
        <v>2</v>
      </c>
      <c r="F16491" s="3">
        <v>2</v>
      </c>
      <c r="G16491" t="s">
        <v>513</v>
      </c>
    </row>
    <row r="16492" spans="1:7" x14ac:dyDescent="0.25">
      <c r="A16492" s="1" t="str">
        <f>"514831"</f>
        <v>514831</v>
      </c>
      <c r="B16492" s="2" t="str">
        <f>"NITRATO DE PRATA"</f>
        <v>NITRATO DE PRATA</v>
      </c>
      <c r="C16492" s="2" t="str">
        <f>"UN"</f>
        <v>UN</v>
      </c>
      <c r="D16492" s="7">
        <v>406</v>
      </c>
      <c r="E16492" s="3">
        <v>4</v>
      </c>
      <c r="F16492" s="3">
        <v>4</v>
      </c>
      <c r="G16492" t="s">
        <v>513</v>
      </c>
    </row>
    <row r="16493" spans="1:7" x14ac:dyDescent="0.25">
      <c r="A16493" s="1" t="str">
        <f>"2769"</f>
        <v>2769</v>
      </c>
      <c r="B16493" s="2" t="str">
        <f>"NITRATO DE SODIO"</f>
        <v>NITRATO DE SODIO</v>
      </c>
      <c r="C16493" s="2" t="str">
        <f>"KG"</f>
        <v>KG</v>
      </c>
      <c r="D16493" s="7">
        <v>209</v>
      </c>
      <c r="E16493" s="3">
        <v>2</v>
      </c>
      <c r="F16493" s="3">
        <v>2</v>
      </c>
      <c r="G16493" t="s">
        <v>513</v>
      </c>
    </row>
    <row r="16494" spans="1:7" x14ac:dyDescent="0.25">
      <c r="A16494" s="1" t="str">
        <f>"524659"</f>
        <v>524659</v>
      </c>
      <c r="B16494" s="2" t="str">
        <f>"NITROGENIO TOTAL CONJ RGTS TNT 0,5+25MG/L 50UN HX0001-00802"</f>
        <v>NITROGENIO TOTAL CONJ RGTS TNT 0,5+25MG/L 50UN HX0001-00802</v>
      </c>
      <c r="C16494" s="2" t="str">
        <f t="shared" ref="C16494:C16525" si="651">"UN"</f>
        <v>UN</v>
      </c>
      <c r="D16494" s="7">
        <v>406</v>
      </c>
      <c r="E16494" s="3">
        <v>10</v>
      </c>
      <c r="F16494" s="3">
        <v>10</v>
      </c>
      <c r="G16494" t="s">
        <v>512</v>
      </c>
    </row>
    <row r="16495" spans="1:7" x14ac:dyDescent="0.25">
      <c r="A16495" s="1" t="str">
        <f>"514678"</f>
        <v>514678</v>
      </c>
      <c r="B16495" s="2" t="str">
        <f>"NIVEL ALUMINIO 35CM"</f>
        <v>NIVEL ALUMINIO 35CM</v>
      </c>
      <c r="C16495" s="2" t="str">
        <f t="shared" si="651"/>
        <v>UN</v>
      </c>
      <c r="D16495" s="7">
        <v>919</v>
      </c>
      <c r="E16495" s="3">
        <v>4</v>
      </c>
      <c r="F16495" s="3">
        <v>4</v>
      </c>
      <c r="G16495" t="s">
        <v>513</v>
      </c>
    </row>
    <row r="16496" spans="1:7" x14ac:dyDescent="0.25">
      <c r="A16496" s="1" t="str">
        <f>"519652"</f>
        <v>519652</v>
      </c>
      <c r="B16496" s="2" t="str">
        <f>"NIVEL DIGITAL ANGULAR 34CM"</f>
        <v>NIVEL DIGITAL ANGULAR 34CM</v>
      </c>
      <c r="C16496" s="2" t="str">
        <f t="shared" si="651"/>
        <v>UN</v>
      </c>
      <c r="D16496" s="7">
        <v>99999</v>
      </c>
      <c r="E16496" s="3">
        <v>99</v>
      </c>
      <c r="F16496" s="3">
        <v>99</v>
      </c>
      <c r="G16496" t="s">
        <v>514</v>
      </c>
    </row>
    <row r="16497" spans="1:7" x14ac:dyDescent="0.25">
      <c r="A16497" s="1" t="str">
        <f>"526464"</f>
        <v>526464</v>
      </c>
      <c r="B16497" s="2" t="str">
        <f>"NIVELADOR P/ ACENTAR PORCELANATO 1,5MM"</f>
        <v>NIVELADOR P/ ACENTAR PORCELANATO 1,5MM</v>
      </c>
      <c r="C16497" s="2" t="str">
        <f t="shared" si="651"/>
        <v>UN</v>
      </c>
      <c r="D16497" s="7">
        <v>803</v>
      </c>
      <c r="E16497" s="3">
        <v>10</v>
      </c>
      <c r="F16497" s="3">
        <v>10</v>
      </c>
      <c r="G16497" t="s">
        <v>515</v>
      </c>
    </row>
    <row r="16498" spans="1:7" x14ac:dyDescent="0.25">
      <c r="A16498" s="1" t="str">
        <f>"518393"</f>
        <v>518393</v>
      </c>
      <c r="B16498" s="2" t="str">
        <f>"NO DE REDE CPX-FB32"</f>
        <v>NO DE REDE CPX-FB32</v>
      </c>
      <c r="C16498" s="2" t="str">
        <f t="shared" si="651"/>
        <v>UN</v>
      </c>
      <c r="D16498" s="7">
        <v>913</v>
      </c>
      <c r="E16498" s="3">
        <v>11</v>
      </c>
      <c r="F16498" s="3">
        <v>11</v>
      </c>
      <c r="G16498" t="s">
        <v>512</v>
      </c>
    </row>
    <row r="16499" spans="1:7" x14ac:dyDescent="0.25">
      <c r="A16499" s="1" t="str">
        <f>"524110"</f>
        <v>524110</v>
      </c>
      <c r="B16499" s="2" t="str">
        <f>"NOBREAK - HPE R/T3000 ERM"</f>
        <v>NOBREAK - HPE R/T3000 ERM</v>
      </c>
      <c r="C16499" s="2" t="str">
        <f t="shared" si="651"/>
        <v>UN</v>
      </c>
      <c r="D16499" s="7">
        <v>811</v>
      </c>
      <c r="E16499" s="3">
        <v>8</v>
      </c>
      <c r="F16499" s="3">
        <v>8</v>
      </c>
      <c r="G16499" t="s">
        <v>516</v>
      </c>
    </row>
    <row r="16500" spans="1:7" x14ac:dyDescent="0.25">
      <c r="A16500" s="1" t="str">
        <f>"521504"</f>
        <v>521504</v>
      </c>
      <c r="B16500" s="2" t="str">
        <f>"NOBREAK 1400 VA BIVOLT E-110/220V S-110V"</f>
        <v>NOBREAK 1400 VA BIVOLT E-110/220V S-110V</v>
      </c>
      <c r="C16500" s="2" t="str">
        <f t="shared" si="651"/>
        <v>UN</v>
      </c>
      <c r="D16500" s="7">
        <v>811</v>
      </c>
      <c r="E16500" s="3">
        <v>8</v>
      </c>
      <c r="F16500" s="3">
        <v>8</v>
      </c>
      <c r="G16500" t="s">
        <v>515</v>
      </c>
    </row>
    <row r="16501" spans="1:7" x14ac:dyDescent="0.25">
      <c r="A16501" s="1" t="str">
        <f>"517324"</f>
        <v>517324</v>
      </c>
      <c r="B16501" s="2" t="str">
        <f>"NO-BREAK 1400VA-220VAC"</f>
        <v>NO-BREAK 1400VA-220VAC</v>
      </c>
      <c r="C16501" s="2" t="str">
        <f t="shared" si="651"/>
        <v>UN</v>
      </c>
      <c r="D16501" s="7">
        <v>811</v>
      </c>
      <c r="E16501" s="3">
        <v>8</v>
      </c>
      <c r="F16501" s="3">
        <v>8</v>
      </c>
      <c r="G16501" t="s">
        <v>514</v>
      </c>
    </row>
    <row r="16502" spans="1:7" x14ac:dyDescent="0.25">
      <c r="A16502" s="1" t="str">
        <f>"518499"</f>
        <v>518499</v>
      </c>
      <c r="B16502" s="2" t="str">
        <f>"NOBREAK 600VA E-110/220V S-110V"</f>
        <v>NOBREAK 600VA E-110/220V S-110V</v>
      </c>
      <c r="C16502" s="2" t="str">
        <f t="shared" si="651"/>
        <v>UN</v>
      </c>
      <c r="D16502" s="7">
        <v>811</v>
      </c>
      <c r="E16502" s="3">
        <v>8</v>
      </c>
      <c r="F16502" s="3">
        <v>8</v>
      </c>
      <c r="G16502" t="s">
        <v>512</v>
      </c>
    </row>
    <row r="16503" spans="1:7" x14ac:dyDescent="0.25">
      <c r="A16503" s="1" t="str">
        <f>"503371"</f>
        <v>503371</v>
      </c>
      <c r="B16503" s="2" t="str">
        <f>"NO-BREAK 600VA ENTRADA BIVOLT SAIDA 110V"</f>
        <v>NO-BREAK 600VA ENTRADA BIVOLT SAIDA 110V</v>
      </c>
      <c r="C16503" s="2" t="str">
        <f t="shared" si="651"/>
        <v>UN</v>
      </c>
      <c r="D16503" s="7">
        <v>600</v>
      </c>
      <c r="E16503" s="3">
        <v>8</v>
      </c>
      <c r="F16503" s="3">
        <v>8</v>
      </c>
      <c r="G16503" t="s">
        <v>513</v>
      </c>
    </row>
    <row r="16504" spans="1:7" x14ac:dyDescent="0.25">
      <c r="A16504" s="1" t="str">
        <f>"512536"</f>
        <v>512536</v>
      </c>
      <c r="B16504" s="2" t="str">
        <f>"NOBREAK 600VA SMS E-115/220V S-127V"</f>
        <v>NOBREAK 600VA SMS E-115/220V S-127V</v>
      </c>
      <c r="C16504" s="2" t="str">
        <f t="shared" si="651"/>
        <v>UN</v>
      </c>
      <c r="D16504" s="7">
        <v>600</v>
      </c>
      <c r="E16504" s="3">
        <v>8</v>
      </c>
      <c r="F16504" s="3">
        <v>8</v>
      </c>
      <c r="G16504" t="s">
        <v>514</v>
      </c>
    </row>
    <row r="16505" spans="1:7" x14ac:dyDescent="0.25">
      <c r="A16505" s="1" t="str">
        <f>"511424"</f>
        <v>511424</v>
      </c>
      <c r="B16505" s="2" t="str">
        <f>"NOBREAK 700VA ENTRADA 110/220V SAIDA 220V"</f>
        <v>NOBREAK 700VA ENTRADA 110/220V SAIDA 220V</v>
      </c>
      <c r="C16505" s="2" t="str">
        <f t="shared" si="651"/>
        <v>UN</v>
      </c>
      <c r="D16505" s="7">
        <v>1500</v>
      </c>
      <c r="E16505" s="3">
        <v>13</v>
      </c>
      <c r="F16505" s="3">
        <v>13</v>
      </c>
      <c r="G16505" t="s">
        <v>514</v>
      </c>
    </row>
    <row r="16506" spans="1:7" x14ac:dyDescent="0.25">
      <c r="A16506" s="1" t="str">
        <f>"511242"</f>
        <v>511242</v>
      </c>
      <c r="B16506" s="2" t="str">
        <f>"NOBREAK NET 3 1400VA 110V"</f>
        <v>NOBREAK NET 3 1400VA 110V</v>
      </c>
      <c r="C16506" s="2" t="str">
        <f t="shared" si="651"/>
        <v>UN</v>
      </c>
      <c r="D16506" s="7">
        <v>600</v>
      </c>
      <c r="E16506" s="3">
        <v>8</v>
      </c>
      <c r="F16506" s="3">
        <v>8</v>
      </c>
      <c r="G16506" t="s">
        <v>512</v>
      </c>
    </row>
    <row r="16507" spans="1:7" x14ac:dyDescent="0.25">
      <c r="A16507" s="1" t="str">
        <f>"505281"</f>
        <v>505281</v>
      </c>
      <c r="B16507" s="2" t="str">
        <f>"NOBREAK NET 3 1400VA 220V"</f>
        <v>NOBREAK NET 3 1400VA 220V</v>
      </c>
      <c r="C16507" s="2" t="str">
        <f t="shared" si="651"/>
        <v>UN</v>
      </c>
      <c r="D16507" s="7">
        <v>600</v>
      </c>
      <c r="E16507" s="3">
        <v>8</v>
      </c>
      <c r="F16507" s="3">
        <v>8</v>
      </c>
      <c r="G16507" t="s">
        <v>513</v>
      </c>
    </row>
    <row r="16508" spans="1:7" x14ac:dyDescent="0.25">
      <c r="A16508" s="1" t="str">
        <f>"517156"</f>
        <v>517156</v>
      </c>
      <c r="B16508" s="2" t="str">
        <f>"NOBREAK NET STATION UST600BI 115 4NT"</f>
        <v>NOBREAK NET STATION UST600BI 115 4NT</v>
      </c>
      <c r="C16508" s="2" t="str">
        <f t="shared" si="651"/>
        <v>UN</v>
      </c>
      <c r="D16508" s="7">
        <v>811</v>
      </c>
      <c r="E16508" s="3">
        <v>8</v>
      </c>
      <c r="F16508" s="3">
        <v>8</v>
      </c>
      <c r="G16508" t="s">
        <v>514</v>
      </c>
    </row>
    <row r="16509" spans="1:7" x14ac:dyDescent="0.25">
      <c r="A16509" s="1" t="str">
        <f>"517171"</f>
        <v>517171</v>
      </c>
      <c r="B16509" s="2" t="str">
        <f>"NOBREAK NET STATION UST600BI 115 4NT"</f>
        <v>NOBREAK NET STATION UST600BI 115 4NT</v>
      </c>
      <c r="C16509" s="2" t="str">
        <f t="shared" si="651"/>
        <v>UN</v>
      </c>
      <c r="D16509" s="7">
        <v>811</v>
      </c>
      <c r="E16509" s="3">
        <v>8</v>
      </c>
      <c r="F16509" s="3">
        <v>8</v>
      </c>
      <c r="G16509" t="s">
        <v>514</v>
      </c>
    </row>
    <row r="16510" spans="1:7" x14ac:dyDescent="0.25">
      <c r="A16510" s="1" t="str">
        <f>"522352"</f>
        <v>522352</v>
      </c>
      <c r="B16510" s="2" t="str">
        <f>"NOBREAK NHS PREMIUM SENOIDAL XXXX-Y GII 2000VA 6 BAT.7AH/12V"</f>
        <v>NOBREAK NHS PREMIUM SENOIDAL XXXX-Y GII 2000VA 6 BAT.7AH/12V</v>
      </c>
      <c r="C16510" s="2" t="str">
        <f t="shared" si="651"/>
        <v>UN</v>
      </c>
      <c r="D16510" s="7">
        <v>811</v>
      </c>
      <c r="E16510" s="3">
        <v>11</v>
      </c>
      <c r="F16510" s="3">
        <v>11</v>
      </c>
      <c r="G16510" t="s">
        <v>514</v>
      </c>
    </row>
    <row r="16511" spans="1:7" x14ac:dyDescent="0.25">
      <c r="A16511" s="1" t="str">
        <f>"521564"</f>
        <v>521564</v>
      </c>
      <c r="B16511" s="2" t="str">
        <f>"NOBREAK SMART-UPS 3KVA 2.7KW 230V"</f>
        <v>NOBREAK SMART-UPS 3KVA 2.7KW 230V</v>
      </c>
      <c r="C16511" s="2" t="str">
        <f t="shared" si="651"/>
        <v>UN</v>
      </c>
      <c r="D16511" s="7">
        <v>99999</v>
      </c>
      <c r="E16511" s="3">
        <v>99</v>
      </c>
      <c r="F16511" s="3">
        <v>99</v>
      </c>
      <c r="G16511" t="s">
        <v>513</v>
      </c>
    </row>
    <row r="16512" spans="1:7" x14ac:dyDescent="0.25">
      <c r="A16512" s="1" t="str">
        <f>"519864"</f>
        <v>519864</v>
      </c>
      <c r="B16512" s="2" t="str">
        <f>"NOOBREAK STATION II 600 VA ENTRADA BIV SAIDA 115V"</f>
        <v>NOOBREAK STATION II 600 VA ENTRADA BIV SAIDA 115V</v>
      </c>
      <c r="C16512" s="2" t="str">
        <f t="shared" si="651"/>
        <v>UN</v>
      </c>
      <c r="D16512" s="7">
        <v>814</v>
      </c>
      <c r="E16512" s="3">
        <v>8</v>
      </c>
      <c r="F16512" s="3">
        <v>8</v>
      </c>
      <c r="G16512" t="s">
        <v>512</v>
      </c>
    </row>
    <row r="16513" spans="1:7" x14ac:dyDescent="0.25">
      <c r="A16513" s="1" t="str">
        <f>"515563"</f>
        <v>515563</v>
      </c>
      <c r="B16513" s="2" t="str">
        <f>"NORMOGRAFO"</f>
        <v>NORMOGRAFO</v>
      </c>
      <c r="C16513" s="2" t="str">
        <f t="shared" si="651"/>
        <v>UN</v>
      </c>
      <c r="D16513" s="7">
        <v>401</v>
      </c>
      <c r="E16513" s="3">
        <v>4</v>
      </c>
      <c r="F16513" s="3">
        <v>4</v>
      </c>
      <c r="G16513" t="s">
        <v>513</v>
      </c>
    </row>
    <row r="16514" spans="1:7" x14ac:dyDescent="0.25">
      <c r="A16514" s="1" t="str">
        <f>"2408"</f>
        <v>2408</v>
      </c>
      <c r="B16514" s="2" t="str">
        <f>"NOTA FISCAL COMPLEMENTAR"</f>
        <v>NOTA FISCAL COMPLEMENTAR</v>
      </c>
      <c r="C16514" s="2" t="str">
        <f t="shared" si="651"/>
        <v>UN</v>
      </c>
      <c r="D16514" s="7">
        <v>401</v>
      </c>
      <c r="E16514" s="3">
        <v>4</v>
      </c>
      <c r="F16514" s="3">
        <v>4</v>
      </c>
      <c r="G16514" t="s">
        <v>514</v>
      </c>
    </row>
    <row r="16515" spans="1:7" x14ac:dyDescent="0.25">
      <c r="A16515" s="1" t="str">
        <f>"510366"</f>
        <v>510366</v>
      </c>
      <c r="B16515" s="2" t="str">
        <f>"NOTE LG R410 PDC 2GB 160HD VHB WC 14.1"</f>
        <v>NOTE LG R410 PDC 2GB 160HD VHB WC 14.1</v>
      </c>
      <c r="C16515" s="2" t="str">
        <f t="shared" si="651"/>
        <v>UN</v>
      </c>
      <c r="D16515" s="7">
        <v>401</v>
      </c>
      <c r="E16515" s="3">
        <v>4</v>
      </c>
      <c r="F16515" s="3">
        <v>4</v>
      </c>
      <c r="G16515" t="s">
        <v>514</v>
      </c>
    </row>
    <row r="16516" spans="1:7" x14ac:dyDescent="0.25">
      <c r="A16516" s="1" t="str">
        <f>"514816"</f>
        <v>514816</v>
      </c>
      <c r="B16516" s="2" t="str">
        <f>"NOTEBOK ACER GREEN733"</f>
        <v>NOTEBOK ACER GREEN733</v>
      </c>
      <c r="C16516" s="2" t="str">
        <f t="shared" si="651"/>
        <v>UN</v>
      </c>
      <c r="D16516" s="7">
        <v>811</v>
      </c>
      <c r="E16516" s="3">
        <v>4</v>
      </c>
      <c r="F16516" s="3">
        <v>4</v>
      </c>
      <c r="G16516" t="s">
        <v>514</v>
      </c>
    </row>
    <row r="16517" spans="1:7" x14ac:dyDescent="0.25">
      <c r="A16517" s="1" t="str">
        <f>"516601"</f>
        <v>516601</v>
      </c>
      <c r="B16517" s="2" t="str">
        <f>"NOTEBOOK 1000 - HP 146BR INTEL CORE I5 4GB"</f>
        <v>NOTEBOOK 1000 - HP 146BR INTEL CORE I5 4GB</v>
      </c>
      <c r="C16517" s="2" t="str">
        <f t="shared" si="651"/>
        <v>UN</v>
      </c>
      <c r="D16517" s="7">
        <v>900</v>
      </c>
      <c r="E16517" s="3">
        <v>13</v>
      </c>
      <c r="F16517" s="3">
        <v>13</v>
      </c>
      <c r="G16517" t="s">
        <v>513</v>
      </c>
    </row>
    <row r="16518" spans="1:7" x14ac:dyDescent="0.25">
      <c r="A16518" s="1" t="str">
        <f>"514734"</f>
        <v>514734</v>
      </c>
      <c r="B16518" s="2" t="str">
        <f>"NOTEBOOK CCE W7 DUAL"</f>
        <v>NOTEBOOK CCE W7 DUAL</v>
      </c>
      <c r="C16518" s="2" t="str">
        <f t="shared" si="651"/>
        <v>UN</v>
      </c>
      <c r="D16518" s="7">
        <v>401</v>
      </c>
      <c r="E16518" s="3">
        <v>4</v>
      </c>
      <c r="F16518" s="3">
        <v>4</v>
      </c>
      <c r="G16518" t="s">
        <v>513</v>
      </c>
    </row>
    <row r="16519" spans="1:7" x14ac:dyDescent="0.25">
      <c r="A16519" s="1" t="str">
        <f>"514841"</f>
        <v>514841</v>
      </c>
      <c r="B16519" s="2" t="str">
        <f>"NOTEBOOK CCE W7 DUAL CORE 2GB 320HD BPS PRETO"</f>
        <v>NOTEBOOK CCE W7 DUAL CORE 2GB 320HD BPS PRETO</v>
      </c>
      <c r="C16519" s="2" t="str">
        <f t="shared" si="651"/>
        <v>UN</v>
      </c>
      <c r="D16519" s="7">
        <v>811</v>
      </c>
      <c r="E16519" s="3">
        <v>8</v>
      </c>
      <c r="F16519" s="3">
        <v>8</v>
      </c>
      <c r="G16519" t="s">
        <v>513</v>
      </c>
    </row>
    <row r="16520" spans="1:7" x14ac:dyDescent="0.25">
      <c r="A16520" s="1" t="str">
        <f>"518101"</f>
        <v>518101</v>
      </c>
      <c r="B16520" s="2" t="str">
        <f>"NOTEBOOK CORE17 8GB1TB 14PPTA"</f>
        <v>NOTEBOOK CORE17 8GB1TB 14PPTA</v>
      </c>
      <c r="C16520" s="2" t="str">
        <f t="shared" si="651"/>
        <v>UN</v>
      </c>
      <c r="D16520" s="7">
        <v>401</v>
      </c>
      <c r="E16520" s="3">
        <v>4</v>
      </c>
      <c r="F16520" s="3">
        <v>4</v>
      </c>
      <c r="G16520" t="s">
        <v>512</v>
      </c>
    </row>
    <row r="16521" spans="1:7" x14ac:dyDescent="0.25">
      <c r="A16521" s="1" t="str">
        <f>"526337"</f>
        <v>526337</v>
      </c>
      <c r="B16521" s="2" t="str">
        <f>"NOTEBOOK HP 640 G 57300U 8GB 1X8GB"</f>
        <v>NOTEBOOK HP 640 G 57300U 8GB 1X8GB</v>
      </c>
      <c r="C16521" s="2" t="str">
        <f t="shared" si="651"/>
        <v>UN</v>
      </c>
      <c r="D16521" s="7">
        <v>1300</v>
      </c>
      <c r="E16521" s="3">
        <v>13</v>
      </c>
      <c r="F16521" s="3">
        <v>13</v>
      </c>
      <c r="G16521" t="s">
        <v>513</v>
      </c>
    </row>
    <row r="16522" spans="1:7" x14ac:dyDescent="0.25">
      <c r="A16522" s="1" t="str">
        <f>"524266"</f>
        <v>524266</v>
      </c>
      <c r="B16522" s="2" t="str">
        <f>"NOTEBOOK HP 640 G2 I5 6300U 8GB 1X8GB DDR4 500GB"</f>
        <v>NOTEBOOK HP 640 G2 I5 6300U 8GB 1X8GB DDR4 500GB</v>
      </c>
      <c r="C16522" s="2" t="str">
        <f t="shared" si="651"/>
        <v>UN</v>
      </c>
      <c r="D16522" s="7">
        <v>1300</v>
      </c>
      <c r="E16522" s="3">
        <v>13</v>
      </c>
      <c r="F16522" s="3">
        <v>13</v>
      </c>
      <c r="G16522" t="s">
        <v>514</v>
      </c>
    </row>
    <row r="16523" spans="1:7" x14ac:dyDescent="0.25">
      <c r="A16523" s="1" t="str">
        <f>"522619"</f>
        <v>522619</v>
      </c>
      <c r="B16523" s="2" t="str">
        <f>"NOTEBOOK HP 640 G2 I5 6300U VPRO 16GB 2X8GB DDR4 256GB SSD"</f>
        <v>NOTEBOOK HP 640 G2 I5 6300U VPRO 16GB 2X8GB DDR4 256GB SSD</v>
      </c>
      <c r="C16523" s="2" t="str">
        <f t="shared" si="651"/>
        <v>UN</v>
      </c>
      <c r="D16523" s="7">
        <v>1300</v>
      </c>
      <c r="E16523" s="3">
        <v>13</v>
      </c>
      <c r="F16523" s="3">
        <v>13</v>
      </c>
      <c r="G16523" t="s">
        <v>515</v>
      </c>
    </row>
    <row r="16524" spans="1:7" x14ac:dyDescent="0.25">
      <c r="A16524" s="1" t="str">
        <f>"527612"</f>
        <v>527612</v>
      </c>
      <c r="B16524" s="2" t="str">
        <f>"NOTEBOOK HP 645 G1 AMD A6-5350M 4Gb"</f>
        <v>NOTEBOOK HP 645 G1 AMD A6-5350M 4Gb</v>
      </c>
      <c r="C16524" s="2" t="str">
        <f t="shared" si="651"/>
        <v>UN</v>
      </c>
      <c r="D16524" s="7">
        <v>99999</v>
      </c>
      <c r="E16524" s="3">
        <v>99</v>
      </c>
      <c r="F16524" s="3">
        <v>99</v>
      </c>
      <c r="G16524" t="s">
        <v>512</v>
      </c>
    </row>
    <row r="16525" spans="1:7" x14ac:dyDescent="0.25">
      <c r="A16525" s="1" t="str">
        <f>"523331"</f>
        <v>523331</v>
      </c>
      <c r="B16525" s="2" t="str">
        <f>"NOTEBOOK HP 810 G3 I55300U VPRO 4GB DDR3 256GB W10"</f>
        <v>NOTEBOOK HP 810 G3 I55300U VPRO 4GB DDR3 256GB W10</v>
      </c>
      <c r="C16525" s="2" t="str">
        <f t="shared" si="651"/>
        <v>UN</v>
      </c>
      <c r="D16525" s="7">
        <v>1300</v>
      </c>
      <c r="E16525" s="3">
        <v>13</v>
      </c>
      <c r="F16525" s="3">
        <v>13</v>
      </c>
      <c r="G16525" t="s">
        <v>516</v>
      </c>
    </row>
    <row r="16526" spans="1:7" x14ac:dyDescent="0.25">
      <c r="A16526" s="1" t="str">
        <f>"527310"</f>
        <v>527310</v>
      </c>
      <c r="B16526" s="2" t="str">
        <f>"NOTEBOOK HP 840 G4 I7 8650U 16GB 2X8GB"</f>
        <v>NOTEBOOK HP 840 G4 I7 8650U 16GB 2X8GB</v>
      </c>
      <c r="C16526" s="2" t="str">
        <f t="shared" ref="C16526:C16556" si="652">"UN"</f>
        <v>UN</v>
      </c>
      <c r="D16526" s="7">
        <v>99999</v>
      </c>
      <c r="E16526" s="3">
        <v>99</v>
      </c>
      <c r="F16526" s="3">
        <v>99</v>
      </c>
      <c r="G16526" t="s">
        <v>515</v>
      </c>
    </row>
    <row r="16527" spans="1:7" x14ac:dyDescent="0.25">
      <c r="A16527" s="1" t="str">
        <f>"522882"</f>
        <v>522882</v>
      </c>
      <c r="B16527" s="8" t="s">
        <v>348</v>
      </c>
      <c r="C16527" s="2" t="str">
        <f t="shared" si="652"/>
        <v>UN</v>
      </c>
      <c r="D16527" s="7">
        <v>918</v>
      </c>
      <c r="E16527" s="3">
        <v>11</v>
      </c>
      <c r="F16527" s="3">
        <v>11</v>
      </c>
      <c r="G16527" t="s">
        <v>514</v>
      </c>
    </row>
    <row r="16528" spans="1:7" x14ac:dyDescent="0.25">
      <c r="A16528" s="1" t="str">
        <f>"524684"</f>
        <v>524684</v>
      </c>
      <c r="B16528" s="2" t="str">
        <f>"NÓZ CARGA LODESTAR V2 84835090"</f>
        <v>NÓZ CARGA LODESTAR V2 84835090</v>
      </c>
      <c r="C16528" s="2" t="str">
        <f t="shared" si="652"/>
        <v>UN</v>
      </c>
      <c r="D16528" s="7">
        <v>918</v>
      </c>
      <c r="E16528" s="3">
        <v>10</v>
      </c>
      <c r="F16528" s="3">
        <v>10</v>
      </c>
      <c r="G16528" t="s">
        <v>512</v>
      </c>
    </row>
    <row r="16529" spans="1:7" x14ac:dyDescent="0.25">
      <c r="A16529" s="1" t="str">
        <f>"513123"</f>
        <v>513123</v>
      </c>
      <c r="B16529" s="2" t="str">
        <f>"NP1 CARB BRANCO 0,357KG"</f>
        <v>NP1 CARB BRANCO 0,357KG</v>
      </c>
      <c r="C16529" s="2" t="str">
        <f t="shared" si="652"/>
        <v>UN</v>
      </c>
      <c r="D16529" s="7">
        <v>803</v>
      </c>
      <c r="E16529" s="3">
        <v>10</v>
      </c>
      <c r="F16529" s="3">
        <v>10</v>
      </c>
      <c r="G16529" t="s">
        <v>513</v>
      </c>
    </row>
    <row r="16530" spans="1:7" x14ac:dyDescent="0.25">
      <c r="A16530" s="1" t="str">
        <f>"515157"</f>
        <v>515157</v>
      </c>
      <c r="B16530" s="2" t="str">
        <f>"NUCLEO DE TINTA 9000 HS S/ BOMBA 1510"</f>
        <v>NUCLEO DE TINTA 9000 HS S/ BOMBA 1510</v>
      </c>
      <c r="C16530" s="2" t="str">
        <f t="shared" si="652"/>
        <v>UN</v>
      </c>
      <c r="D16530" s="7">
        <v>1500</v>
      </c>
      <c r="E16530" s="3">
        <v>11</v>
      </c>
      <c r="F16530" s="3">
        <v>11</v>
      </c>
      <c r="G16530" t="s">
        <v>514</v>
      </c>
    </row>
    <row r="16531" spans="1:7" x14ac:dyDescent="0.25">
      <c r="A16531" s="1" t="str">
        <f>"520739"</f>
        <v>520739</v>
      </c>
      <c r="B16531" s="2" t="str">
        <f>"NUCLEO DO EMBOLO"</f>
        <v>NUCLEO DO EMBOLO</v>
      </c>
      <c r="C16531" s="2" t="str">
        <f t="shared" si="652"/>
        <v>UN</v>
      </c>
      <c r="D16531" s="7">
        <v>918</v>
      </c>
      <c r="E16531" s="3">
        <v>11</v>
      </c>
      <c r="F16531" s="3">
        <v>11</v>
      </c>
      <c r="G16531" t="s">
        <v>514</v>
      </c>
    </row>
    <row r="16532" spans="1:7" x14ac:dyDescent="0.25">
      <c r="A16532" s="1" t="str">
        <f>"509037"</f>
        <v>509037</v>
      </c>
      <c r="B16532" s="2" t="str">
        <f>"NUCLEO EXTERNO 05.3120.009.53"</f>
        <v>NUCLEO EXTERNO 05.3120.009.53</v>
      </c>
      <c r="C16532" s="2" t="str">
        <f t="shared" si="652"/>
        <v>UN</v>
      </c>
      <c r="D16532" s="7">
        <v>918</v>
      </c>
      <c r="E16532" s="3">
        <v>11</v>
      </c>
      <c r="F16532" s="3">
        <v>11</v>
      </c>
      <c r="G16532" t="s">
        <v>512</v>
      </c>
    </row>
    <row r="16533" spans="1:7" x14ac:dyDescent="0.25">
      <c r="A16533" s="1" t="str">
        <f>"509036"</f>
        <v>509036</v>
      </c>
      <c r="B16533" s="2" t="str">
        <f>"NUCLEO INTERNO 05.3120.010.53"</f>
        <v>NUCLEO INTERNO 05.3120.010.53</v>
      </c>
      <c r="C16533" s="2" t="str">
        <f t="shared" si="652"/>
        <v>UN</v>
      </c>
      <c r="D16533" s="7">
        <v>918</v>
      </c>
      <c r="E16533" s="3">
        <v>11</v>
      </c>
      <c r="F16533" s="3">
        <v>11</v>
      </c>
      <c r="G16533" t="s">
        <v>513</v>
      </c>
    </row>
    <row r="16534" spans="1:7" x14ac:dyDescent="0.25">
      <c r="A16534" s="1" t="str">
        <f>"507120"</f>
        <v>507120</v>
      </c>
      <c r="B16534" s="2" t="str">
        <f>"NUCLEO INTERNO COD. 05.3120.010.53"</f>
        <v>NUCLEO INTERNO COD. 05.3120.010.53</v>
      </c>
      <c r="C16534" s="2" t="str">
        <f t="shared" si="652"/>
        <v>UN</v>
      </c>
      <c r="D16534" s="7">
        <v>918</v>
      </c>
      <c r="E16534" s="3">
        <v>11</v>
      </c>
      <c r="F16534" s="3">
        <v>11</v>
      </c>
      <c r="G16534" t="s">
        <v>514</v>
      </c>
    </row>
    <row r="16535" spans="1:7" x14ac:dyDescent="0.25">
      <c r="A16535" s="1" t="str">
        <f>"520570"</f>
        <v>520570</v>
      </c>
      <c r="B16535" s="8" t="s">
        <v>164</v>
      </c>
      <c r="C16535" s="2" t="str">
        <f t="shared" si="652"/>
        <v>UN</v>
      </c>
      <c r="D16535" s="7">
        <v>918</v>
      </c>
      <c r="E16535" s="3">
        <v>11</v>
      </c>
      <c r="F16535" s="3">
        <v>11</v>
      </c>
      <c r="G16535" t="s">
        <v>514</v>
      </c>
    </row>
    <row r="16536" spans="1:7" x14ac:dyDescent="0.25">
      <c r="A16536" s="1" t="str">
        <f>"518294"</f>
        <v>518294</v>
      </c>
      <c r="B16536" s="2" t="str">
        <f>"NUCLEO VJ 1520 S/ BOMBA 12000H"</f>
        <v>NUCLEO VJ 1520 S/ BOMBA 12000H</v>
      </c>
      <c r="C16536" s="2" t="str">
        <f t="shared" si="652"/>
        <v>UN</v>
      </c>
      <c r="D16536" s="7">
        <v>918</v>
      </c>
      <c r="E16536" s="3">
        <v>11</v>
      </c>
      <c r="F16536" s="3">
        <v>11</v>
      </c>
      <c r="G16536" t="s">
        <v>514</v>
      </c>
    </row>
    <row r="16537" spans="1:7" x14ac:dyDescent="0.25">
      <c r="A16537" s="1" t="str">
        <f>"516634"</f>
        <v>516634</v>
      </c>
      <c r="B16537" s="2" t="str">
        <f>"NUDSPAN MARINHO"</f>
        <v>NUDSPAN MARINHO</v>
      </c>
      <c r="C16537" s="2" t="str">
        <f t="shared" si="652"/>
        <v>UN</v>
      </c>
      <c r="D16537" s="7">
        <v>401</v>
      </c>
      <c r="E16537" s="3">
        <v>4</v>
      </c>
      <c r="F16537" s="3">
        <v>4</v>
      </c>
      <c r="G16537" t="s">
        <v>513</v>
      </c>
    </row>
    <row r="16538" spans="1:7" x14ac:dyDescent="0.25">
      <c r="A16538" s="1" t="str">
        <f>"515705"</f>
        <v>515705</v>
      </c>
      <c r="B16538" s="2" t="str">
        <f>"NUGGET"</f>
        <v>NUGGET</v>
      </c>
      <c r="C16538" s="2" t="str">
        <f t="shared" si="652"/>
        <v>UN</v>
      </c>
      <c r="D16538" s="7">
        <v>401</v>
      </c>
      <c r="E16538" s="3">
        <v>4</v>
      </c>
      <c r="F16538" s="3">
        <v>4</v>
      </c>
      <c r="G16538" t="s">
        <v>512</v>
      </c>
    </row>
    <row r="16539" spans="1:7" x14ac:dyDescent="0.25">
      <c r="A16539" s="1" t="str">
        <f>"510647"</f>
        <v>510647</v>
      </c>
      <c r="B16539" s="2" t="str">
        <f>"NUMERO EM PVC ""5"""</f>
        <v>NUMERO EM PVC "5"</v>
      </c>
      <c r="C16539" s="2" t="str">
        <f t="shared" si="652"/>
        <v>UN</v>
      </c>
      <c r="D16539" s="7">
        <v>402</v>
      </c>
      <c r="E16539" s="3">
        <v>4</v>
      </c>
      <c r="F16539" s="3">
        <v>4</v>
      </c>
      <c r="G16539" t="s">
        <v>513</v>
      </c>
    </row>
    <row r="16540" spans="1:7" x14ac:dyDescent="0.25">
      <c r="A16540" s="1" t="str">
        <f>"510648"</f>
        <v>510648</v>
      </c>
      <c r="B16540" s="2" t="str">
        <f>"NUMERO EM PVC ""9"""</f>
        <v>NUMERO EM PVC "9"</v>
      </c>
      <c r="C16540" s="2" t="str">
        <f t="shared" si="652"/>
        <v>UN</v>
      </c>
      <c r="D16540" s="7">
        <v>403</v>
      </c>
      <c r="E16540" s="3">
        <v>4</v>
      </c>
      <c r="F16540" s="3">
        <v>4</v>
      </c>
      <c r="G16540" t="s">
        <v>514</v>
      </c>
    </row>
    <row r="16541" spans="1:7" x14ac:dyDescent="0.25">
      <c r="A16541" s="1" t="str">
        <f>"513838"</f>
        <v>513838</v>
      </c>
      <c r="B16541" s="2" t="str">
        <f>"NUMERO RESIDENCIAL"</f>
        <v>NUMERO RESIDENCIAL</v>
      </c>
      <c r="C16541" s="2" t="str">
        <f t="shared" si="652"/>
        <v>UN</v>
      </c>
      <c r="D16541" s="7">
        <v>917</v>
      </c>
      <c r="E16541" s="3">
        <v>99</v>
      </c>
      <c r="F16541" s="3">
        <v>99</v>
      </c>
      <c r="G16541" t="s">
        <v>514</v>
      </c>
    </row>
    <row r="16542" spans="1:7" x14ac:dyDescent="0.25">
      <c r="A16542" s="1" t="str">
        <f>"515956"</f>
        <v>515956</v>
      </c>
      <c r="B16542" s="2" t="str">
        <f>"NUMEROS P/ CONECTOR SAK 1 A 100"</f>
        <v>NUMEROS P/ CONECTOR SAK 1 A 100</v>
      </c>
      <c r="C16542" s="2" t="str">
        <f t="shared" si="652"/>
        <v>UN</v>
      </c>
      <c r="D16542" s="7">
        <v>99999</v>
      </c>
      <c r="E16542" s="3">
        <v>99</v>
      </c>
      <c r="F16542" s="3">
        <v>99</v>
      </c>
      <c r="G16542" t="s">
        <v>514</v>
      </c>
    </row>
    <row r="16543" spans="1:7" x14ac:dyDescent="0.25">
      <c r="A16543" s="1" t="str">
        <f>"510307"</f>
        <v>510307</v>
      </c>
      <c r="B16543" s="2" t="str">
        <f>"NUMEROS P/ CONECTOR SAK 1 A 30"</f>
        <v>NUMEROS P/ CONECTOR SAK 1 A 30</v>
      </c>
      <c r="C16543" s="2" t="str">
        <f t="shared" si="652"/>
        <v>UN</v>
      </c>
      <c r="D16543" s="7">
        <v>600</v>
      </c>
      <c r="E16543" s="3">
        <v>8</v>
      </c>
      <c r="F16543" s="3">
        <v>8</v>
      </c>
      <c r="G16543" t="s">
        <v>513</v>
      </c>
    </row>
    <row r="16544" spans="1:7" x14ac:dyDescent="0.25">
      <c r="A16544" s="1" t="str">
        <f>"510308"</f>
        <v>510308</v>
      </c>
      <c r="B16544" s="2" t="str">
        <f>"NUMEROS P/ CONECTOR SAK 1 A 60"</f>
        <v>NUMEROS P/ CONECTOR SAK 1 A 60</v>
      </c>
      <c r="C16544" s="2" t="str">
        <f t="shared" si="652"/>
        <v>UN</v>
      </c>
      <c r="D16544" s="7">
        <v>600</v>
      </c>
      <c r="E16544" s="3">
        <v>8</v>
      </c>
      <c r="F16544" s="3">
        <v>8</v>
      </c>
      <c r="G16544" t="s">
        <v>513</v>
      </c>
    </row>
    <row r="16545" spans="1:7" x14ac:dyDescent="0.25">
      <c r="A16545" s="1" t="str">
        <f>"528038"</f>
        <v>528038</v>
      </c>
      <c r="B16545" s="2" t="str">
        <f>"NVR NVD 1232 - INTELBRAS"</f>
        <v>NVR NVD 1232 - INTELBRAS</v>
      </c>
      <c r="C16545" s="2" t="str">
        <f t="shared" si="652"/>
        <v>UN</v>
      </c>
      <c r="D16545" s="7">
        <v>814</v>
      </c>
      <c r="E16545" s="3">
        <v>10</v>
      </c>
      <c r="F16545" s="3">
        <v>10</v>
      </c>
      <c r="G16545" t="s">
        <v>513</v>
      </c>
    </row>
    <row r="16546" spans="1:7" x14ac:dyDescent="0.25">
      <c r="A16546" s="1" t="str">
        <f>"528037"</f>
        <v>528037</v>
      </c>
      <c r="B16546" s="2" t="str">
        <f>"NVR NVD 1316 - INTELBRAS"</f>
        <v>NVR NVD 1316 - INTELBRAS</v>
      </c>
      <c r="C16546" s="2" t="str">
        <f t="shared" si="652"/>
        <v>UN</v>
      </c>
      <c r="D16546" s="7">
        <v>814</v>
      </c>
      <c r="E16546" s="3">
        <v>10</v>
      </c>
      <c r="F16546" s="3">
        <v>10</v>
      </c>
      <c r="G16546" t="s">
        <v>512</v>
      </c>
    </row>
    <row r="16547" spans="1:7" x14ac:dyDescent="0.25">
      <c r="A16547" s="1" t="str">
        <f>"511208"</f>
        <v>511208</v>
      </c>
      <c r="B16547" s="2" t="str">
        <f>"O RING COD. 22318"</f>
        <v>O RING COD. 22318</v>
      </c>
      <c r="C16547" s="2" t="str">
        <f t="shared" si="652"/>
        <v>UN</v>
      </c>
      <c r="D16547" s="7">
        <v>918</v>
      </c>
      <c r="E16547" s="3">
        <v>11</v>
      </c>
      <c r="F16547" s="3">
        <v>11</v>
      </c>
      <c r="G16547" t="s">
        <v>513</v>
      </c>
    </row>
    <row r="16548" spans="1:7" x14ac:dyDescent="0.25">
      <c r="A16548" s="1" t="str">
        <f>"511200"</f>
        <v>511200</v>
      </c>
      <c r="B16548" s="2" t="str">
        <f>"O RING COD. 24213"</f>
        <v>O RING COD. 24213</v>
      </c>
      <c r="C16548" s="2" t="str">
        <f t="shared" si="652"/>
        <v>UN</v>
      </c>
      <c r="D16548" s="7">
        <v>909</v>
      </c>
      <c r="E16548" s="3">
        <v>11</v>
      </c>
      <c r="F16548" s="3">
        <v>11</v>
      </c>
      <c r="G16548" t="s">
        <v>514</v>
      </c>
    </row>
    <row r="16549" spans="1:7" x14ac:dyDescent="0.25">
      <c r="A16549" s="1" t="str">
        <f>"516642"</f>
        <v>516642</v>
      </c>
      <c r="B16549" s="2" t="str">
        <f>"O RING HASTE JK 000012 RANNIE 132T-70.140 APF-9103"</f>
        <v>O RING HASTE JK 000012 RANNIE 132T-70.140 APF-9103</v>
      </c>
      <c r="C16549" s="2" t="str">
        <f t="shared" si="652"/>
        <v>UN</v>
      </c>
      <c r="D16549" s="7">
        <v>918</v>
      </c>
      <c r="E16549" s="3">
        <v>11</v>
      </c>
      <c r="F16549" s="3">
        <v>11</v>
      </c>
      <c r="G16549" t="s">
        <v>515</v>
      </c>
    </row>
    <row r="16550" spans="1:7" x14ac:dyDescent="0.25">
      <c r="A16550" s="1" t="str">
        <f>"516638"</f>
        <v>516638</v>
      </c>
      <c r="B16550" s="2" t="str">
        <f>"O RING JK 002987 RANNIE 132T-70.140 APF-8494"</f>
        <v>O RING JK 002987 RANNIE 132T-70.140 APF-8494</v>
      </c>
      <c r="C16550" s="2" t="str">
        <f t="shared" si="652"/>
        <v>UN</v>
      </c>
      <c r="D16550" s="7">
        <v>918</v>
      </c>
      <c r="E16550" s="3">
        <v>11</v>
      </c>
      <c r="F16550" s="3">
        <v>11</v>
      </c>
      <c r="G16550" t="s">
        <v>512</v>
      </c>
    </row>
    <row r="16551" spans="1:7" x14ac:dyDescent="0.25">
      <c r="A16551" s="1" t="str">
        <f>"524819"</f>
        <v>524819</v>
      </c>
      <c r="B16551" s="2" t="str">
        <f>"OASIS PRO BOTAO SEKO S/ KITS"</f>
        <v>OASIS PRO BOTAO SEKO S/ KITS</v>
      </c>
      <c r="C16551" s="2" t="str">
        <f t="shared" si="652"/>
        <v>UN</v>
      </c>
      <c r="D16551" s="7">
        <v>99999</v>
      </c>
      <c r="E16551" s="3">
        <v>99</v>
      </c>
      <c r="F16551" s="3">
        <v>99</v>
      </c>
      <c r="G16551" t="s">
        <v>516</v>
      </c>
    </row>
    <row r="16552" spans="1:7" x14ac:dyDescent="0.25">
      <c r="A16552" s="1" t="str">
        <f>"514224"</f>
        <v>514224</v>
      </c>
      <c r="B16552" s="2" t="str">
        <f>"OCULOS"</f>
        <v>OCULOS</v>
      </c>
      <c r="C16552" s="2" t="str">
        <f t="shared" si="652"/>
        <v>UN</v>
      </c>
      <c r="D16552" s="7">
        <v>401</v>
      </c>
      <c r="E16552" s="3">
        <v>4</v>
      </c>
      <c r="F16552" s="3">
        <v>4</v>
      </c>
      <c r="G16552" t="s">
        <v>515</v>
      </c>
    </row>
    <row r="16553" spans="1:7" x14ac:dyDescent="0.25">
      <c r="A16553" s="1" t="str">
        <f>"522478"</f>
        <v>522478</v>
      </c>
      <c r="B16553" s="2" t="str">
        <f>"OCULOS DE PROTECAO INCOLOR MARCA KALIPSO CA-10346"</f>
        <v>OCULOS DE PROTECAO INCOLOR MARCA KALIPSO CA-10346</v>
      </c>
      <c r="C16553" s="2" t="str">
        <f t="shared" si="652"/>
        <v>UN</v>
      </c>
      <c r="D16553" s="7">
        <v>501</v>
      </c>
      <c r="E16553" s="3">
        <v>5</v>
      </c>
      <c r="F16553" s="3">
        <v>5</v>
      </c>
      <c r="G16553" t="s">
        <v>514</v>
      </c>
    </row>
    <row r="16554" spans="1:7" x14ac:dyDescent="0.25">
      <c r="A16554" s="1" t="str">
        <f>"3352"</f>
        <v>3352</v>
      </c>
      <c r="B16554" s="2" t="str">
        <f>"OCULOS DE PROTECAO LEOPARDO INCOLOR CA-36032"</f>
        <v>OCULOS DE PROTECAO LEOPARDO INCOLOR CA-36032</v>
      </c>
      <c r="C16554" s="2" t="str">
        <f t="shared" si="652"/>
        <v>UN</v>
      </c>
      <c r="D16554" s="7">
        <v>501</v>
      </c>
      <c r="E16554" s="3">
        <v>5</v>
      </c>
      <c r="F16554" s="3">
        <v>5</v>
      </c>
      <c r="G16554" t="s">
        <v>512</v>
      </c>
    </row>
    <row r="16555" spans="1:7" x14ac:dyDescent="0.25">
      <c r="A16555" s="1" t="str">
        <f>"5780"</f>
        <v>5780</v>
      </c>
      <c r="B16555" s="2" t="str">
        <f>"OCULOS DE PROTECAO LEOPOARDO VERDE"</f>
        <v>OCULOS DE PROTECAO LEOPOARDO VERDE</v>
      </c>
      <c r="C16555" s="2" t="str">
        <f t="shared" si="652"/>
        <v>UN</v>
      </c>
      <c r="D16555" s="7">
        <v>501</v>
      </c>
      <c r="E16555" s="3">
        <v>5</v>
      </c>
      <c r="F16555" s="3">
        <v>5</v>
      </c>
      <c r="G16555" t="s">
        <v>513</v>
      </c>
    </row>
    <row r="16556" spans="1:7" x14ac:dyDescent="0.25">
      <c r="A16556" s="1" t="str">
        <f>"523875"</f>
        <v>523875</v>
      </c>
      <c r="B16556" s="2" t="str">
        <f>"OCULOS DE PROTECAO PRETO MARCA KALIPSO CA-11268"</f>
        <v>OCULOS DE PROTECAO PRETO MARCA KALIPSO CA-11268</v>
      </c>
      <c r="C16556" s="2" t="str">
        <f t="shared" si="652"/>
        <v>UN</v>
      </c>
      <c r="D16556" s="7">
        <v>501</v>
      </c>
      <c r="E16556" s="3">
        <v>5</v>
      </c>
      <c r="F16556" s="3">
        <v>5</v>
      </c>
      <c r="G16556" t="s">
        <v>514</v>
      </c>
    </row>
    <row r="16557" spans="1:7" x14ac:dyDescent="0.25">
      <c r="A16557" s="1" t="str">
        <f>"5959"</f>
        <v>5959</v>
      </c>
      <c r="B16557" s="2" t="str">
        <f>"OCULOS POLIC. ANTI-RISCO ANTIEMBAÇ. VICSA CA-20702 INCOLOR"</f>
        <v>OCULOS POLIC. ANTI-RISCO ANTIEMBAÇ. VICSA CA-20702 INCOLOR</v>
      </c>
      <c r="C16557" s="2" t="str">
        <f>"PC"</f>
        <v>PC</v>
      </c>
      <c r="D16557" s="7">
        <v>501</v>
      </c>
      <c r="E16557" s="3">
        <v>5</v>
      </c>
      <c r="F16557" s="3">
        <v>5</v>
      </c>
      <c r="G16557" t="s">
        <v>514</v>
      </c>
    </row>
    <row r="16558" spans="1:7" x14ac:dyDescent="0.25">
      <c r="A16558" s="1" t="str">
        <f>"5968"</f>
        <v>5968</v>
      </c>
      <c r="B16558" s="2" t="str">
        <f>"OCULOS POLIC. ANTI-RISCO ANTIEMBAÇ. VICSA CA-20716 IN-OUT"</f>
        <v>OCULOS POLIC. ANTI-RISCO ANTIEMBAÇ. VICSA CA-20716 IN-OUT</v>
      </c>
      <c r="C16558" s="2" t="str">
        <f>"PC"</f>
        <v>PC</v>
      </c>
      <c r="D16558" s="7">
        <v>501</v>
      </c>
      <c r="E16558" s="3">
        <v>5</v>
      </c>
      <c r="F16558" s="3">
        <v>5</v>
      </c>
      <c r="G16558" t="s">
        <v>512</v>
      </c>
    </row>
    <row r="16559" spans="1:7" x14ac:dyDescent="0.25">
      <c r="A16559" s="1" t="str">
        <f>"522516"</f>
        <v>522516</v>
      </c>
      <c r="B16559" s="2" t="str">
        <f>"OCULOS SEG. AMPLA VISÃO INCOLOR MSA CA-18070"</f>
        <v>OCULOS SEG. AMPLA VISÃO INCOLOR MSA CA-18070</v>
      </c>
      <c r="C16559" s="2" t="str">
        <f>"UN"</f>
        <v>UN</v>
      </c>
      <c r="D16559" s="7">
        <v>501</v>
      </c>
      <c r="E16559" s="3">
        <v>5</v>
      </c>
      <c r="F16559" s="3">
        <v>5</v>
      </c>
      <c r="G16559" t="s">
        <v>513</v>
      </c>
    </row>
    <row r="16560" spans="1:7" x14ac:dyDescent="0.25">
      <c r="A16560" s="1" t="str">
        <f>"522515"</f>
        <v>522515</v>
      </c>
      <c r="B16560" s="2" t="str">
        <f>"OCULOS SEG. POLIC. SOBREPOSIÇÃO OCUL. GRAU 3M CA-18080"</f>
        <v>OCULOS SEG. POLIC. SOBREPOSIÇÃO OCUL. GRAU 3M CA-18080</v>
      </c>
      <c r="C16560" s="2" t="str">
        <f>"UN"</f>
        <v>UN</v>
      </c>
      <c r="D16560" s="7">
        <v>501</v>
      </c>
      <c r="E16560" s="3">
        <v>5</v>
      </c>
      <c r="F16560" s="3">
        <v>5</v>
      </c>
      <c r="G16560" t="s">
        <v>514</v>
      </c>
    </row>
    <row r="16561" spans="1:7" x14ac:dyDescent="0.25">
      <c r="A16561" s="1" t="str">
        <f>"526380"</f>
        <v>526380</v>
      </c>
      <c r="B16561" s="2" t="str">
        <f>"OCULOS SOLUS 1000 SCOTCHGARD 3M C/ HASTE/ELASTICO CA-39190"</f>
        <v>OCULOS SOLUS 1000 SCOTCHGARD 3M C/ HASTE/ELASTICO CA-39190</v>
      </c>
      <c r="C16561" s="2" t="str">
        <f>"PC"</f>
        <v>PC</v>
      </c>
      <c r="D16561" s="7">
        <v>501</v>
      </c>
      <c r="E16561" s="3">
        <v>5</v>
      </c>
      <c r="F16561" s="3">
        <v>5</v>
      </c>
      <c r="G16561" t="s">
        <v>514</v>
      </c>
    </row>
    <row r="16562" spans="1:7" x14ac:dyDescent="0.25">
      <c r="A16562" s="1" t="str">
        <f>"509473"</f>
        <v>509473</v>
      </c>
      <c r="B16562" s="2" t="str">
        <f>"ODORIZADOR AR"</f>
        <v>ODORIZADOR AR</v>
      </c>
      <c r="C16562" s="2" t="str">
        <f>"UN"</f>
        <v>UN</v>
      </c>
      <c r="D16562" s="7">
        <v>400</v>
      </c>
      <c r="E16562" s="3">
        <v>4</v>
      </c>
      <c r="F16562" s="3">
        <v>4</v>
      </c>
      <c r="G16562" t="s">
        <v>514</v>
      </c>
    </row>
    <row r="16563" spans="1:7" x14ac:dyDescent="0.25">
      <c r="A16563" s="1" t="str">
        <f>"518338"</f>
        <v>518338</v>
      </c>
      <c r="B16563" s="2" t="str">
        <f>"ODORIZANTE PURO AR LAVANDA 360"</f>
        <v>ODORIZANTE PURO AR LAVANDA 360</v>
      </c>
      <c r="C16563" s="2" t="str">
        <f>"UN"</f>
        <v>UN</v>
      </c>
      <c r="D16563" s="7">
        <v>704</v>
      </c>
      <c r="E16563" s="3">
        <v>10</v>
      </c>
      <c r="F16563" s="3">
        <v>10</v>
      </c>
      <c r="G16563" t="s">
        <v>513</v>
      </c>
    </row>
    <row r="16564" spans="1:7" x14ac:dyDescent="0.25">
      <c r="A16564" s="1" t="str">
        <f>"504436"</f>
        <v>504436</v>
      </c>
      <c r="B16564" s="2" t="str">
        <f>"OLEO"</f>
        <v>OLEO</v>
      </c>
      <c r="C16564" s="2" t="str">
        <f>"UN"</f>
        <v>UN</v>
      </c>
      <c r="D16564" s="7">
        <v>914</v>
      </c>
      <c r="E16564" s="3">
        <v>11</v>
      </c>
      <c r="F16564" s="3">
        <v>11</v>
      </c>
      <c r="G16564" t="s">
        <v>512</v>
      </c>
    </row>
    <row r="16565" spans="1:7" x14ac:dyDescent="0.25">
      <c r="A16565" s="1" t="str">
        <f>"514101"</f>
        <v>514101</v>
      </c>
      <c r="B16565" s="2" t="str">
        <f>"OLEO"</f>
        <v>OLEO</v>
      </c>
      <c r="C16565" s="2" t="str">
        <f>"UN"</f>
        <v>UN</v>
      </c>
      <c r="D16565" s="7">
        <v>704</v>
      </c>
      <c r="E16565" s="3">
        <v>9</v>
      </c>
      <c r="F16565" s="3">
        <v>9</v>
      </c>
      <c r="G16565" t="s">
        <v>513</v>
      </c>
    </row>
    <row r="16566" spans="1:7" x14ac:dyDescent="0.25">
      <c r="A16566" s="1" t="str">
        <f>"505516"</f>
        <v>505516</v>
      </c>
      <c r="B16566" s="2" t="str">
        <f>"OLEO  2T - 1/2 L. MARCA STIHL"</f>
        <v>OLEO  2T - 1/2 L. MARCA STIHL</v>
      </c>
      <c r="C16566" s="2" t="str">
        <f>"UN"</f>
        <v>UN</v>
      </c>
      <c r="D16566" s="7">
        <v>99999</v>
      </c>
      <c r="E16566" s="3">
        <v>10</v>
      </c>
      <c r="F16566" s="3">
        <v>10</v>
      </c>
      <c r="G16566" t="s">
        <v>514</v>
      </c>
    </row>
    <row r="16567" spans="1:7" x14ac:dyDescent="0.25">
      <c r="A16567" s="1" t="str">
        <f>"507424"</f>
        <v>507424</v>
      </c>
      <c r="B16567" s="2" t="str">
        <f>"OLEO 20 W 50"</f>
        <v>OLEO 20 W 50</v>
      </c>
      <c r="C16567" s="2" t="str">
        <f>"LT"</f>
        <v>LT</v>
      </c>
      <c r="D16567" s="7">
        <v>702</v>
      </c>
      <c r="E16567" s="3">
        <v>9</v>
      </c>
      <c r="F16567" s="3">
        <v>9</v>
      </c>
      <c r="G16567" t="s">
        <v>514</v>
      </c>
    </row>
    <row r="16568" spans="1:7" x14ac:dyDescent="0.25">
      <c r="A16568" s="1" t="str">
        <f>"500732"</f>
        <v>500732</v>
      </c>
      <c r="B16568" s="2" t="str">
        <f>"OLEO 220 LUBRAX 20 LITROS"</f>
        <v>OLEO 220 LUBRAX 20 LITROS</v>
      </c>
      <c r="C16568" s="2" t="str">
        <f>"BD"</f>
        <v>BD</v>
      </c>
      <c r="D16568" s="7">
        <v>819</v>
      </c>
      <c r="E16568" s="3">
        <v>10</v>
      </c>
      <c r="F16568" s="3">
        <v>10</v>
      </c>
      <c r="G16568" t="s">
        <v>514</v>
      </c>
    </row>
    <row r="16569" spans="1:7" x14ac:dyDescent="0.25">
      <c r="A16569" s="1" t="str">
        <f>"504245"</f>
        <v>504245</v>
      </c>
      <c r="B16569" s="2" t="str">
        <f>"OLEO 320 - (20 LITROS)"</f>
        <v>OLEO 320 - (20 LITROS)</v>
      </c>
      <c r="C16569" s="2" t="str">
        <f>"BD"</f>
        <v>BD</v>
      </c>
      <c r="D16569" s="7">
        <v>819</v>
      </c>
      <c r="E16569" s="3">
        <v>10</v>
      </c>
      <c r="F16569" s="3">
        <v>10</v>
      </c>
      <c r="G16569" t="s">
        <v>513</v>
      </c>
    </row>
    <row r="16570" spans="1:7" x14ac:dyDescent="0.25">
      <c r="A16570" s="1" t="str">
        <f>"514061"</f>
        <v>514061</v>
      </c>
      <c r="B16570" s="2" t="str">
        <f>"OLEO 50W"</f>
        <v>OLEO 50W</v>
      </c>
      <c r="C16570" s="2" t="str">
        <f>"UN"</f>
        <v>UN</v>
      </c>
      <c r="D16570" s="7">
        <v>704</v>
      </c>
      <c r="E16570" s="3">
        <v>9</v>
      </c>
      <c r="F16570" s="3">
        <v>9</v>
      </c>
      <c r="G16570" t="s">
        <v>513</v>
      </c>
    </row>
    <row r="16571" spans="1:7" x14ac:dyDescent="0.25">
      <c r="A16571" s="1" t="str">
        <f>"504447"</f>
        <v>504447</v>
      </c>
      <c r="B16571" s="2" t="str">
        <f>"OLEO 68 CAPELA"</f>
        <v>OLEO 68 CAPELA</v>
      </c>
      <c r="C16571" s="2" t="str">
        <f>"BD"</f>
        <v>BD</v>
      </c>
      <c r="D16571" s="7">
        <v>903</v>
      </c>
      <c r="E16571" s="3">
        <v>11</v>
      </c>
      <c r="F16571" s="3">
        <v>11</v>
      </c>
      <c r="G16571" t="s">
        <v>513</v>
      </c>
    </row>
    <row r="16572" spans="1:7" x14ac:dyDescent="0.25">
      <c r="A16572" s="1" t="str">
        <f>"517531"</f>
        <v>517531</v>
      </c>
      <c r="B16572" s="2" t="str">
        <f>"OLEO 68 DEITON - COMPRESSOR AMONIA BD 20LTS"</f>
        <v>OLEO 68 DEITON - COMPRESSOR AMONIA BD 20LTS</v>
      </c>
      <c r="C16572" s="2" t="str">
        <f>"LT"</f>
        <v>LT</v>
      </c>
      <c r="D16572" s="7">
        <v>819</v>
      </c>
      <c r="E16572" s="3">
        <v>10</v>
      </c>
      <c r="F16572" s="3">
        <v>10</v>
      </c>
      <c r="G16572" t="s">
        <v>512</v>
      </c>
    </row>
    <row r="16573" spans="1:7" x14ac:dyDescent="0.25">
      <c r="A16573" s="1" t="str">
        <f>"500480"</f>
        <v>500480</v>
      </c>
      <c r="B16573" s="2" t="str">
        <f>"OLEO 68 HD LYNIX 20 LITROS"</f>
        <v>OLEO 68 HD LYNIX 20 LITROS</v>
      </c>
      <c r="C16573" s="2" t="str">
        <f>"LT"</f>
        <v>LT</v>
      </c>
      <c r="D16573" s="7">
        <v>819</v>
      </c>
      <c r="E16573" s="3">
        <v>10</v>
      </c>
      <c r="F16573" s="3">
        <v>10</v>
      </c>
      <c r="G16573" t="s">
        <v>513</v>
      </c>
    </row>
    <row r="16574" spans="1:7" x14ac:dyDescent="0.25">
      <c r="A16574" s="1" t="str">
        <f>"517621"</f>
        <v>517621</v>
      </c>
      <c r="B16574" s="2" t="str">
        <f>"OLEO 68 TEXACO 20 LITROS"</f>
        <v>OLEO 68 TEXACO 20 LITROS</v>
      </c>
      <c r="C16574" s="2" t="str">
        <f>"UN"</f>
        <v>UN</v>
      </c>
      <c r="D16574" s="7">
        <v>914</v>
      </c>
      <c r="E16574" s="3">
        <v>10</v>
      </c>
      <c r="F16574" s="3">
        <v>10</v>
      </c>
      <c r="G16574" t="s">
        <v>514</v>
      </c>
    </row>
    <row r="16575" spans="1:7" x14ac:dyDescent="0.25">
      <c r="A16575" s="1" t="str">
        <f>"501983"</f>
        <v>501983</v>
      </c>
      <c r="B16575" s="2" t="str">
        <f>"OLEO 80 CAMBIO (20 LITROS)"</f>
        <v>OLEO 80 CAMBIO (20 LITROS)</v>
      </c>
      <c r="C16575" s="2" t="str">
        <f>"GL"</f>
        <v>GL</v>
      </c>
      <c r="D16575" s="7">
        <v>702</v>
      </c>
      <c r="E16575" s="3">
        <v>9</v>
      </c>
      <c r="F16575" s="3">
        <v>9</v>
      </c>
      <c r="G16575" t="s">
        <v>515</v>
      </c>
    </row>
    <row r="16576" spans="1:7" x14ac:dyDescent="0.25">
      <c r="A16576" s="1" t="str">
        <f>"516124"</f>
        <v>516124</v>
      </c>
      <c r="B16576" s="2" t="str">
        <f>"OLEO ALIMENTICIO ALTA VISCOSIDADE WO-31-460-FG 500ML"</f>
        <v>OLEO ALIMENTICIO ALTA VISCOSIDADE WO-31-460-FG 500ML</v>
      </c>
      <c r="C16576" s="2" t="str">
        <f t="shared" ref="C16576:C16586" si="653">"UN"</f>
        <v>UN</v>
      </c>
      <c r="D16576" s="7">
        <v>812</v>
      </c>
      <c r="E16576" s="3">
        <v>10</v>
      </c>
      <c r="F16576" s="3">
        <v>10</v>
      </c>
      <c r="G16576" t="s">
        <v>512</v>
      </c>
    </row>
    <row r="16577" spans="1:7" x14ac:dyDescent="0.25">
      <c r="A16577" s="1" t="str">
        <f>"518520"</f>
        <v>518520</v>
      </c>
      <c r="B16577" s="2" t="str">
        <f>"OLEO ATF TA - 1 LITRO"</f>
        <v>OLEO ATF TA - 1 LITRO</v>
      </c>
      <c r="C16577" s="2" t="str">
        <f t="shared" si="653"/>
        <v>UN</v>
      </c>
      <c r="D16577" s="7">
        <v>704</v>
      </c>
      <c r="E16577" s="3">
        <v>9</v>
      </c>
      <c r="F16577" s="3">
        <v>9</v>
      </c>
      <c r="G16577" t="s">
        <v>516</v>
      </c>
    </row>
    <row r="16578" spans="1:7" x14ac:dyDescent="0.25">
      <c r="A16578" s="1" t="str">
        <f>"514423"</f>
        <v>514423</v>
      </c>
      <c r="B16578" s="2" t="str">
        <f>"OLEO ATF TA - BALDE 20LT"</f>
        <v>OLEO ATF TA - BALDE 20LT</v>
      </c>
      <c r="C16578" s="2" t="str">
        <f t="shared" si="653"/>
        <v>UN</v>
      </c>
      <c r="D16578" s="7">
        <v>704</v>
      </c>
      <c r="E16578" s="3">
        <v>9</v>
      </c>
      <c r="F16578" s="3">
        <v>9</v>
      </c>
      <c r="G16578" t="s">
        <v>515</v>
      </c>
    </row>
    <row r="16579" spans="1:7" x14ac:dyDescent="0.25">
      <c r="A16579" s="1" t="str">
        <f>"517498"</f>
        <v>517498</v>
      </c>
      <c r="B16579" s="2" t="str">
        <f>"OLEO DANFOSS 160P 2LT MINERAL MT/LT/SM"</f>
        <v>OLEO DANFOSS 160P 2LT MINERAL MT/LT/SM</v>
      </c>
      <c r="C16579" s="2" t="str">
        <f t="shared" si="653"/>
        <v>UN</v>
      </c>
      <c r="D16579" s="7">
        <v>918</v>
      </c>
      <c r="E16579" s="3">
        <v>10</v>
      </c>
      <c r="F16579" s="3">
        <v>10</v>
      </c>
      <c r="G16579" t="s">
        <v>514</v>
      </c>
    </row>
    <row r="16580" spans="1:7" x14ac:dyDescent="0.25">
      <c r="A16580" s="1" t="str">
        <f>"515212"</f>
        <v>515212</v>
      </c>
      <c r="B16580" s="2" t="str">
        <f>"OLEO DE FREIO"</f>
        <v>OLEO DE FREIO</v>
      </c>
      <c r="C16580" s="2" t="str">
        <f t="shared" si="653"/>
        <v>UN</v>
      </c>
      <c r="D16580" s="7">
        <v>704</v>
      </c>
      <c r="E16580" s="3">
        <v>9</v>
      </c>
      <c r="F16580" s="3">
        <v>9</v>
      </c>
      <c r="G16580" t="s">
        <v>512</v>
      </c>
    </row>
    <row r="16581" spans="1:7" x14ac:dyDescent="0.25">
      <c r="A16581" s="1" t="str">
        <f>"521405"</f>
        <v>521405</v>
      </c>
      <c r="B16581" s="2" t="str">
        <f>"OLEO DE GIRASSOL 200ML"</f>
        <v>OLEO DE GIRASSOL 200ML</v>
      </c>
      <c r="C16581" s="2" t="str">
        <f t="shared" si="653"/>
        <v>UN</v>
      </c>
      <c r="D16581" s="7">
        <v>406</v>
      </c>
      <c r="E16581" s="3">
        <v>4</v>
      </c>
      <c r="F16581" s="3">
        <v>4</v>
      </c>
      <c r="G16581" t="s">
        <v>513</v>
      </c>
    </row>
    <row r="16582" spans="1:7" x14ac:dyDescent="0.25">
      <c r="A16582" s="1" t="str">
        <f>"501645"</f>
        <v>501645</v>
      </c>
      <c r="B16582" s="2" t="str">
        <f>"OLEO DE MOTOR 15W40 BD 20L"</f>
        <v>OLEO DE MOTOR 15W40 BD 20L</v>
      </c>
      <c r="C16582" s="2" t="str">
        <f t="shared" si="653"/>
        <v>UN</v>
      </c>
      <c r="D16582" s="7">
        <v>704</v>
      </c>
      <c r="E16582" s="3">
        <v>9</v>
      </c>
      <c r="F16582" s="3">
        <v>9</v>
      </c>
      <c r="G16582" t="s">
        <v>514</v>
      </c>
    </row>
    <row r="16583" spans="1:7" x14ac:dyDescent="0.25">
      <c r="A16583" s="1" t="str">
        <f>"515651"</f>
        <v>515651</v>
      </c>
      <c r="B16583" s="2" t="str">
        <f>"OLEO DE PEROBA"</f>
        <v>OLEO DE PEROBA</v>
      </c>
      <c r="C16583" s="2" t="str">
        <f t="shared" si="653"/>
        <v>UN</v>
      </c>
      <c r="D16583" s="7">
        <v>401</v>
      </c>
      <c r="E16583" s="3">
        <v>4</v>
      </c>
      <c r="F16583" s="3">
        <v>4</v>
      </c>
      <c r="G16583" t="s">
        <v>514</v>
      </c>
    </row>
    <row r="16584" spans="1:7" x14ac:dyDescent="0.25">
      <c r="A16584" s="1" t="str">
        <f>"510862"</f>
        <v>510862</v>
      </c>
      <c r="B16584" s="2" t="str">
        <f>"OLEO DE SOJA LISA"</f>
        <v>OLEO DE SOJA LISA</v>
      </c>
      <c r="C16584" s="2" t="str">
        <f t="shared" si="653"/>
        <v>UN</v>
      </c>
      <c r="D16584" s="7">
        <v>402</v>
      </c>
      <c r="E16584" s="3">
        <v>4</v>
      </c>
      <c r="F16584" s="3">
        <v>4</v>
      </c>
      <c r="G16584" t="s">
        <v>512</v>
      </c>
    </row>
    <row r="16585" spans="1:7" x14ac:dyDescent="0.25">
      <c r="A16585" s="1" t="str">
        <f>"527131"</f>
        <v>527131</v>
      </c>
      <c r="B16585" s="2" t="str">
        <f>"ÓLEO DE TRANSMISSÃO"</f>
        <v>ÓLEO DE TRANSMISSÃO</v>
      </c>
      <c r="C16585" s="2" t="str">
        <f t="shared" si="653"/>
        <v>UN</v>
      </c>
      <c r="D16585" s="7">
        <v>917</v>
      </c>
      <c r="E16585" s="3">
        <v>11</v>
      </c>
      <c r="F16585" s="3">
        <v>11</v>
      </c>
      <c r="G16585" t="s">
        <v>513</v>
      </c>
    </row>
    <row r="16586" spans="1:7" x14ac:dyDescent="0.25">
      <c r="A16586" s="1" t="str">
        <f>"523578"</f>
        <v>523578</v>
      </c>
      <c r="B16586" s="2" t="str">
        <f>"ÓLEO DIESEL B S-10 (EFLUENTE)"</f>
        <v>ÓLEO DIESEL B S-10 (EFLUENTE)</v>
      </c>
      <c r="C16586" s="2" t="str">
        <f t="shared" si="653"/>
        <v>UN</v>
      </c>
      <c r="D16586" s="7">
        <v>99999</v>
      </c>
      <c r="E16586" s="3">
        <v>99</v>
      </c>
      <c r="F16586" s="3">
        <v>99</v>
      </c>
      <c r="G16586" t="s">
        <v>514</v>
      </c>
    </row>
    <row r="16587" spans="1:7" x14ac:dyDescent="0.25">
      <c r="A16587" s="1" t="str">
        <f>"517762"</f>
        <v>517762</v>
      </c>
      <c r="B16587" s="2" t="str">
        <f>"OLEO DIESEL COMUM (EXTERNO)"</f>
        <v>OLEO DIESEL COMUM (EXTERNO)</v>
      </c>
      <c r="C16587" s="2" t="str">
        <f>"LT"</f>
        <v>LT</v>
      </c>
      <c r="D16587" s="7">
        <v>702</v>
      </c>
      <c r="E16587" s="3">
        <v>4</v>
      </c>
      <c r="F16587" s="3">
        <v>4</v>
      </c>
      <c r="G16587" t="s">
        <v>514</v>
      </c>
    </row>
    <row r="16588" spans="1:7" x14ac:dyDescent="0.25">
      <c r="A16588" s="1" t="str">
        <f>"24"</f>
        <v>24</v>
      </c>
      <c r="B16588" s="2" t="str">
        <f>"OLEO DIESEL S-10"</f>
        <v>OLEO DIESEL S-10</v>
      </c>
      <c r="C16588" s="2" t="str">
        <f>"LT"</f>
        <v>LT</v>
      </c>
      <c r="D16588" s="7">
        <v>702</v>
      </c>
      <c r="E16588" s="3">
        <v>4</v>
      </c>
      <c r="F16588" s="3">
        <v>4</v>
      </c>
      <c r="G16588" t="s">
        <v>514</v>
      </c>
    </row>
    <row r="16589" spans="1:7" x14ac:dyDescent="0.25">
      <c r="A16589" s="1" t="str">
        <f>"519057"</f>
        <v>519057</v>
      </c>
      <c r="B16589" s="2" t="str">
        <f>"OLEO DIFERENCIAL TOYOTA 8FGU25"</f>
        <v>OLEO DIFERENCIAL TOYOTA 8FGU25</v>
      </c>
      <c r="C16589" s="2" t="str">
        <f>"UN"</f>
        <v>UN</v>
      </c>
      <c r="D16589" s="7">
        <v>918</v>
      </c>
      <c r="E16589" s="3">
        <v>11</v>
      </c>
      <c r="F16589" s="3">
        <v>11</v>
      </c>
      <c r="G16589" t="s">
        <v>513</v>
      </c>
    </row>
    <row r="16590" spans="1:7" x14ac:dyDescent="0.25">
      <c r="A16590" s="1" t="str">
        <f>"514072"</f>
        <v>514072</v>
      </c>
      <c r="B16590" s="2" t="str">
        <f>"OLEO DO MOTOR"</f>
        <v>OLEO DO MOTOR</v>
      </c>
      <c r="C16590" s="2" t="str">
        <f>"UN"</f>
        <v>UN</v>
      </c>
      <c r="D16590" s="7">
        <v>704</v>
      </c>
      <c r="E16590" s="3">
        <v>9</v>
      </c>
      <c r="F16590" s="3">
        <v>9</v>
      </c>
      <c r="G16590" t="s">
        <v>512</v>
      </c>
    </row>
    <row r="16591" spans="1:7" x14ac:dyDescent="0.25">
      <c r="A16591" s="1" t="str">
        <f>"513835"</f>
        <v>513835</v>
      </c>
      <c r="B16591" s="2" t="str">
        <f>"OLEO HD 40 MAXI"</f>
        <v>OLEO HD 40 MAXI</v>
      </c>
      <c r="C16591" s="2" t="str">
        <f>"UN"</f>
        <v>UN</v>
      </c>
      <c r="D16591" s="7">
        <v>704</v>
      </c>
      <c r="E16591" s="3">
        <v>9</v>
      </c>
      <c r="F16591" s="3">
        <v>9</v>
      </c>
      <c r="G16591" t="s">
        <v>513</v>
      </c>
    </row>
    <row r="16592" spans="1:7" x14ac:dyDescent="0.25">
      <c r="A16592" s="1" t="str">
        <f>"527132"</f>
        <v>527132</v>
      </c>
      <c r="B16592" s="2" t="str">
        <f>"ÓLEO HIDRÁULICO"</f>
        <v>ÓLEO HIDRÁULICO</v>
      </c>
      <c r="C16592" s="2" t="str">
        <f>"UN"</f>
        <v>UN</v>
      </c>
      <c r="D16592" s="7">
        <v>917</v>
      </c>
      <c r="E16592" s="3">
        <v>11</v>
      </c>
      <c r="F16592" s="3">
        <v>11</v>
      </c>
      <c r="G16592" t="s">
        <v>514</v>
      </c>
    </row>
    <row r="16593" spans="1:7" x14ac:dyDescent="0.25">
      <c r="A16593" s="1" t="str">
        <f>"510156"</f>
        <v>510156</v>
      </c>
      <c r="B16593" s="2" t="str">
        <f>"OLEO HIDRAULICO 10W - CAT. 416E 309-6942"</f>
        <v>OLEO HIDRAULICO 10W - CAT. 416E 309-6942</v>
      </c>
      <c r="C16593" s="2" t="str">
        <f>"LT"</f>
        <v>LT</v>
      </c>
      <c r="D16593" s="7">
        <v>702</v>
      </c>
      <c r="E16593" s="3">
        <v>9</v>
      </c>
      <c r="F16593" s="3">
        <v>9</v>
      </c>
      <c r="G16593" t="s">
        <v>514</v>
      </c>
    </row>
    <row r="16594" spans="1:7" x14ac:dyDescent="0.25">
      <c r="A16594" s="1" t="str">
        <f>"500913"</f>
        <v>500913</v>
      </c>
      <c r="B16594" s="2" t="str">
        <f>"OLEO HYSPIN AWS100 CASTROL (BOMBA VACUO)"</f>
        <v>OLEO HYSPIN AWS100 CASTROL (BOMBA VACUO)</v>
      </c>
      <c r="C16594" s="2" t="str">
        <f>"GL"</f>
        <v>GL</v>
      </c>
      <c r="D16594" s="7">
        <v>903</v>
      </c>
      <c r="E16594" s="3">
        <v>11</v>
      </c>
      <c r="F16594" s="3">
        <v>11</v>
      </c>
      <c r="G16594" t="s">
        <v>514</v>
      </c>
    </row>
    <row r="16595" spans="1:7" x14ac:dyDescent="0.25">
      <c r="A16595" s="1" t="str">
        <f>"520154"</f>
        <v>520154</v>
      </c>
      <c r="B16595" s="2" t="str">
        <f>"OLEO LUBRAX CF40"</f>
        <v>OLEO LUBRAX CF40</v>
      </c>
      <c r="C16595" s="2" t="str">
        <f>"UN"</f>
        <v>UN</v>
      </c>
      <c r="D16595" s="7">
        <v>704</v>
      </c>
      <c r="E16595" s="3">
        <v>9</v>
      </c>
      <c r="F16595" s="3">
        <v>9</v>
      </c>
      <c r="G16595" t="s">
        <v>513</v>
      </c>
    </row>
    <row r="16596" spans="1:7" x14ac:dyDescent="0.25">
      <c r="A16596" s="1" t="str">
        <f>"511794"</f>
        <v>511794</v>
      </c>
      <c r="B16596" s="2" t="str">
        <f>"OLEO LUBRAX MD 400 SAE 50 20LTS"</f>
        <v>OLEO LUBRAX MD 400 SAE 50 20LTS</v>
      </c>
      <c r="C16596" s="2" t="str">
        <f>"LT"</f>
        <v>LT</v>
      </c>
      <c r="D16596" s="7">
        <v>702</v>
      </c>
      <c r="E16596" s="3">
        <v>9</v>
      </c>
      <c r="F16596" s="3">
        <v>9</v>
      </c>
      <c r="G16596" t="s">
        <v>513</v>
      </c>
    </row>
    <row r="16597" spans="1:7" x14ac:dyDescent="0.25">
      <c r="A16597" s="1" t="str">
        <f>"508783"</f>
        <v>508783</v>
      </c>
      <c r="B16597" s="2" t="str">
        <f>"OLEO MEROPA 150 - TEXACO (20 LITROS)"</f>
        <v>OLEO MEROPA 150 - TEXACO (20 LITROS)</v>
      </c>
      <c r="C16597" s="2" t="str">
        <f>"BD"</f>
        <v>BD</v>
      </c>
      <c r="D16597" s="7">
        <v>819</v>
      </c>
      <c r="E16597" s="3">
        <v>10</v>
      </c>
      <c r="F16597" s="3">
        <v>10</v>
      </c>
      <c r="G16597" t="s">
        <v>513</v>
      </c>
    </row>
    <row r="16598" spans="1:7" x14ac:dyDescent="0.25">
      <c r="A16598" s="1" t="str">
        <f>"517622"</f>
        <v>517622</v>
      </c>
      <c r="B16598" s="2" t="str">
        <f>"OLEO MEROPA 220 - TEXACO (20 LITROS)"</f>
        <v>OLEO MEROPA 220 - TEXACO (20 LITROS)</v>
      </c>
      <c r="C16598" s="2" t="str">
        <f>"UN"</f>
        <v>UN</v>
      </c>
      <c r="D16598" s="7">
        <v>914</v>
      </c>
      <c r="E16598" s="3">
        <v>10</v>
      </c>
      <c r="F16598" s="3">
        <v>10</v>
      </c>
      <c r="G16598" t="s">
        <v>512</v>
      </c>
    </row>
    <row r="16599" spans="1:7" x14ac:dyDescent="0.25">
      <c r="A16599" s="1" t="str">
        <f>"516009"</f>
        <v>516009</v>
      </c>
      <c r="B16599" s="2" t="str">
        <f>"OLEO MINERAL BRANCO 200LT"</f>
        <v>OLEO MINERAL BRANCO 200LT</v>
      </c>
      <c r="C16599" s="2" t="str">
        <f>"UN"</f>
        <v>UN</v>
      </c>
      <c r="D16599" s="7">
        <v>99999</v>
      </c>
      <c r="E16599" s="3">
        <v>99</v>
      </c>
      <c r="F16599" s="3">
        <v>99</v>
      </c>
      <c r="G16599" t="s">
        <v>513</v>
      </c>
    </row>
    <row r="16600" spans="1:7" x14ac:dyDescent="0.25">
      <c r="A16600" s="1" t="str">
        <f>"521880"</f>
        <v>521880</v>
      </c>
      <c r="B16600" s="2" t="str">
        <f>"OLEO MONTERAL 160P MINERAL"</f>
        <v>OLEO MONTERAL 160P MINERAL</v>
      </c>
      <c r="C16600" s="2" t="str">
        <f>"LT"</f>
        <v>LT</v>
      </c>
      <c r="D16600" s="7">
        <v>916</v>
      </c>
      <c r="E16600" s="3">
        <v>10</v>
      </c>
      <c r="F16600" s="3">
        <v>10</v>
      </c>
      <c r="G16600" t="s">
        <v>514</v>
      </c>
    </row>
    <row r="16601" spans="1:7" x14ac:dyDescent="0.25">
      <c r="A16601" s="1" t="str">
        <f>"513096"</f>
        <v>513096</v>
      </c>
      <c r="B16601" s="2" t="str">
        <f>"OLEO MONTREAL 160P MINERAL"</f>
        <v>OLEO MONTREAL 160P MINERAL</v>
      </c>
      <c r="C16601" s="2" t="str">
        <f>"UN"</f>
        <v>UN</v>
      </c>
      <c r="D16601" s="7">
        <v>903</v>
      </c>
      <c r="E16601" s="3">
        <v>10</v>
      </c>
      <c r="F16601" s="3">
        <v>10</v>
      </c>
      <c r="G16601" t="s">
        <v>515</v>
      </c>
    </row>
    <row r="16602" spans="1:7" x14ac:dyDescent="0.25">
      <c r="A16602" s="1" t="str">
        <f>"504832"</f>
        <v>504832</v>
      </c>
      <c r="B16602" s="2" t="str">
        <f>"OLEO MULTIGEAR EP 85W140-BALDE"</f>
        <v>OLEO MULTIGEAR EP 85W140-BALDE</v>
      </c>
      <c r="C16602" s="2" t="str">
        <f>"LT"</f>
        <v>LT</v>
      </c>
      <c r="D16602" s="7">
        <v>702</v>
      </c>
      <c r="E16602" s="3">
        <v>9</v>
      </c>
      <c r="F16602" s="3">
        <v>9</v>
      </c>
      <c r="G16602" t="s">
        <v>512</v>
      </c>
    </row>
    <row r="16603" spans="1:7" x14ac:dyDescent="0.25">
      <c r="A16603" s="1" t="str">
        <f>"511499"</f>
        <v>511499</v>
      </c>
      <c r="B16603" s="2" t="str">
        <f>"OLEO NEVASTANE EP 220 - GRAU ALIMENTICIO"</f>
        <v>OLEO NEVASTANE EP 220 - GRAU ALIMENTICIO</v>
      </c>
      <c r="C16603" s="2" t="str">
        <f>"GL"</f>
        <v>GL</v>
      </c>
      <c r="D16603" s="7">
        <v>903</v>
      </c>
      <c r="E16603" s="3">
        <v>11</v>
      </c>
      <c r="F16603" s="3">
        <v>11</v>
      </c>
      <c r="G16603" t="s">
        <v>516</v>
      </c>
    </row>
    <row r="16604" spans="1:7" x14ac:dyDescent="0.25">
      <c r="A16604" s="1" t="str">
        <f>"513746"</f>
        <v>513746</v>
      </c>
      <c r="B16604" s="2" t="str">
        <f>"OLEO OH 50 VERMELHO"</f>
        <v>OLEO OH 50 VERMELHO</v>
      </c>
      <c r="C16604" s="2" t="str">
        <f>"UN"</f>
        <v>UN</v>
      </c>
      <c r="D16604" s="7">
        <v>702</v>
      </c>
      <c r="E16604" s="3">
        <v>4</v>
      </c>
      <c r="F16604" s="3">
        <v>4</v>
      </c>
      <c r="G16604" t="s">
        <v>515</v>
      </c>
    </row>
    <row r="16605" spans="1:7" x14ac:dyDescent="0.25">
      <c r="A16605" s="1" t="str">
        <f>"520243"</f>
        <v>520243</v>
      </c>
      <c r="B16605" s="2" t="str">
        <f>"OLEO P/ ENGRENAGENS API GL-5 US MIL-L-2015D SAE 90"</f>
        <v>OLEO P/ ENGRENAGENS API GL-5 US MIL-L-2015D SAE 90</v>
      </c>
      <c r="C16605" s="2" t="str">
        <f>"LT"</f>
        <v>LT</v>
      </c>
      <c r="D16605" s="7">
        <v>702</v>
      </c>
      <c r="E16605" s="3">
        <v>9</v>
      </c>
      <c r="F16605" s="3">
        <v>9</v>
      </c>
      <c r="G16605" t="s">
        <v>514</v>
      </c>
    </row>
    <row r="16606" spans="1:7" x14ac:dyDescent="0.25">
      <c r="A16606" s="1" t="str">
        <f>"504414"</f>
        <v>504414</v>
      </c>
      <c r="B16606" s="2" t="str">
        <f>"OLEO PAO 46 - BALDE 20LT"</f>
        <v>OLEO PAO 46 - BALDE 20LT</v>
      </c>
      <c r="C16606" s="2" t="str">
        <f>"GL"</f>
        <v>GL</v>
      </c>
      <c r="D16606" s="7">
        <v>903</v>
      </c>
      <c r="E16606" s="3">
        <v>11</v>
      </c>
      <c r="F16606" s="3">
        <v>11</v>
      </c>
      <c r="G16606" t="s">
        <v>512</v>
      </c>
    </row>
    <row r="16607" spans="1:7" x14ac:dyDescent="0.25">
      <c r="A16607" s="1" t="str">
        <f>"508299"</f>
        <v>508299</v>
      </c>
      <c r="B16607" s="2" t="str">
        <f>"OLEO PARA TRANSFORMADOR"</f>
        <v>OLEO PARA TRANSFORMADOR</v>
      </c>
      <c r="C16607" s="2" t="str">
        <f>"LT"</f>
        <v>LT</v>
      </c>
      <c r="D16607" s="7">
        <v>819</v>
      </c>
      <c r="E16607" s="3">
        <v>10</v>
      </c>
      <c r="F16607" s="3">
        <v>10</v>
      </c>
      <c r="G16607" t="s">
        <v>513</v>
      </c>
    </row>
    <row r="16608" spans="1:7" x14ac:dyDescent="0.25">
      <c r="A16608" s="1" t="str">
        <f>"509759"</f>
        <v>509759</v>
      </c>
      <c r="B16608" s="2" t="str">
        <f>"OLEO ROTO-SYNTHETIC XTREND DUTY 20LT GA-132 2901170100-J"</f>
        <v>OLEO ROTO-SYNTHETIC XTREND DUTY 20LT GA-132 2901170100-J</v>
      </c>
      <c r="C16608" s="2" t="str">
        <f>"GL"</f>
        <v>GL</v>
      </c>
      <c r="D16608" s="7">
        <v>903</v>
      </c>
      <c r="E16608" s="3">
        <v>11</v>
      </c>
      <c r="F16608" s="3">
        <v>11</v>
      </c>
      <c r="G16608" t="s">
        <v>514</v>
      </c>
    </row>
    <row r="16609" spans="1:7" x14ac:dyDescent="0.25">
      <c r="A16609" s="1" t="str">
        <f>"526752"</f>
        <v>526752</v>
      </c>
      <c r="B16609" s="2" t="str">
        <f>"OLEO SAE10W 20LT"</f>
        <v>OLEO SAE10W 20LT</v>
      </c>
      <c r="C16609" s="2" t="str">
        <f>"LT"</f>
        <v>LT</v>
      </c>
      <c r="D16609" s="7">
        <v>819</v>
      </c>
      <c r="E16609" s="3">
        <v>10</v>
      </c>
      <c r="F16609" s="3">
        <v>10</v>
      </c>
      <c r="G16609" t="s">
        <v>514</v>
      </c>
    </row>
    <row r="16610" spans="1:7" x14ac:dyDescent="0.25">
      <c r="A16610" s="1" t="str">
        <f>"510482"</f>
        <v>510482</v>
      </c>
      <c r="B16610" s="2" t="str">
        <f>"OLEO SAE-40 - CAMBIO CARGO 1722"</f>
        <v>OLEO SAE-40 - CAMBIO CARGO 1722</v>
      </c>
      <c r="C16610" s="2" t="str">
        <f>"LT"</f>
        <v>LT</v>
      </c>
      <c r="D16610" s="7">
        <v>702</v>
      </c>
      <c r="E16610" s="3">
        <v>9</v>
      </c>
      <c r="F16610" s="3">
        <v>9</v>
      </c>
      <c r="G16610" t="s">
        <v>512</v>
      </c>
    </row>
    <row r="16611" spans="1:7" x14ac:dyDescent="0.25">
      <c r="A16611" s="1" t="str">
        <f>"504873"</f>
        <v>504873</v>
      </c>
      <c r="B16611" s="2" t="str">
        <f>"OLEO SAE-80W"</f>
        <v>OLEO SAE-80W</v>
      </c>
      <c r="C16611" s="2" t="str">
        <f>"LT"</f>
        <v>LT</v>
      </c>
      <c r="D16611" s="7">
        <v>702</v>
      </c>
      <c r="E16611" s="3">
        <v>9</v>
      </c>
      <c r="F16611" s="3">
        <v>9</v>
      </c>
      <c r="G16611" t="s">
        <v>513</v>
      </c>
    </row>
    <row r="16612" spans="1:7" x14ac:dyDescent="0.25">
      <c r="A16612" s="1" t="str">
        <f>"521201"</f>
        <v>521201</v>
      </c>
      <c r="B16612" s="2" t="str">
        <f>"OLEO SHELL REFRIGERATION OIL S4 FR-V BALDE 20LT"</f>
        <v>OLEO SHELL REFRIGERATION OIL S4 FR-V BALDE 20LT</v>
      </c>
      <c r="C16612" s="2" t="str">
        <f>"GL"</f>
        <v>GL</v>
      </c>
      <c r="D16612" s="7">
        <v>903</v>
      </c>
      <c r="E16612" s="3">
        <v>11</v>
      </c>
      <c r="F16612" s="3">
        <v>11</v>
      </c>
      <c r="G16612" t="s">
        <v>514</v>
      </c>
    </row>
    <row r="16613" spans="1:7" x14ac:dyDescent="0.25">
      <c r="A16613" s="1" t="str">
        <f>"500771"</f>
        <v>500771</v>
      </c>
      <c r="B16613" s="2" t="str">
        <f>"OLEO SINTETICO CP-46 COD 1031401261 40HP"</f>
        <v>OLEO SINTETICO CP-46 COD 1031401261 40HP</v>
      </c>
      <c r="C16613" s="2" t="str">
        <f>"LT"</f>
        <v>LT</v>
      </c>
      <c r="D16613" s="7">
        <v>903</v>
      </c>
      <c r="E16613" s="3">
        <v>11</v>
      </c>
      <c r="F16613" s="3">
        <v>11</v>
      </c>
      <c r="G16613" t="s">
        <v>514</v>
      </c>
    </row>
    <row r="16614" spans="1:7" x14ac:dyDescent="0.25">
      <c r="A16614" s="1" t="str">
        <f>"501770"</f>
        <v>501770</v>
      </c>
      <c r="B16614" s="2" t="str">
        <f>"OLEO SPINDURA 10 (BALDE 20 LITROS)"</f>
        <v>OLEO SPINDURA 10 (BALDE 20 LITROS)</v>
      </c>
      <c r="C16614" s="2" t="str">
        <f>"LT"</f>
        <v>LT</v>
      </c>
      <c r="D16614" s="7">
        <v>819</v>
      </c>
      <c r="E16614" s="3">
        <v>10</v>
      </c>
      <c r="F16614" s="3">
        <v>10</v>
      </c>
      <c r="G16614" t="s">
        <v>514</v>
      </c>
    </row>
    <row r="16615" spans="1:7" x14ac:dyDescent="0.25">
      <c r="A16615" s="1" t="str">
        <f>"505464"</f>
        <v>505464</v>
      </c>
      <c r="B16615" s="2" t="str">
        <f>"OLEO TEXACO 32 BOMBA HIDRAULICA"</f>
        <v>OLEO TEXACO 32 BOMBA HIDRAULICA</v>
      </c>
      <c r="C16615" s="2" t="str">
        <f t="shared" ref="C16615:C16623" si="654">"UN"</f>
        <v>UN</v>
      </c>
      <c r="D16615" s="7">
        <v>903</v>
      </c>
      <c r="E16615" s="3">
        <v>11</v>
      </c>
      <c r="F16615" s="3">
        <v>11</v>
      </c>
      <c r="G16615" t="s">
        <v>513</v>
      </c>
    </row>
    <row r="16616" spans="1:7" x14ac:dyDescent="0.25">
      <c r="A16616" s="1" t="str">
        <f>"519058"</f>
        <v>519058</v>
      </c>
      <c r="B16616" s="2" t="str">
        <f>"OLEO TRANSMISSÃO TOYOTA 8FGU25"</f>
        <v>OLEO TRANSMISSÃO TOYOTA 8FGU25</v>
      </c>
      <c r="C16616" s="2" t="str">
        <f t="shared" si="654"/>
        <v>UN</v>
      </c>
      <c r="D16616" s="7">
        <v>918</v>
      </c>
      <c r="E16616" s="3">
        <v>11</v>
      </c>
      <c r="F16616" s="3">
        <v>11</v>
      </c>
      <c r="G16616" t="s">
        <v>512</v>
      </c>
    </row>
    <row r="16617" spans="1:7" x14ac:dyDescent="0.25">
      <c r="A16617" s="1" t="str">
        <f>"514428"</f>
        <v>514428</v>
      </c>
      <c r="B16617" s="2" t="str">
        <f>"OLEO TUTELA W140 GL5 DIFEENCIAL (20 LITROS)"</f>
        <v>OLEO TUTELA W140 GL5 DIFEENCIAL (20 LITROS)</v>
      </c>
      <c r="C16617" s="2" t="str">
        <f t="shared" si="654"/>
        <v>UN</v>
      </c>
      <c r="D16617" s="7">
        <v>704</v>
      </c>
      <c r="E16617" s="3">
        <v>9</v>
      </c>
      <c r="F16617" s="3">
        <v>9</v>
      </c>
      <c r="G16617" t="s">
        <v>513</v>
      </c>
    </row>
    <row r="16618" spans="1:7" x14ac:dyDescent="0.25">
      <c r="A16618" s="1" t="str">
        <f>"502549"</f>
        <v>502549</v>
      </c>
      <c r="B16618" s="2" t="str">
        <f>"OLEO TUTELA ZC90 80W90 GL3 CAMBIO (20 LITROS)"</f>
        <v>OLEO TUTELA ZC90 80W90 GL3 CAMBIO (20 LITROS)</v>
      </c>
      <c r="C16618" s="2" t="str">
        <f t="shared" si="654"/>
        <v>UN</v>
      </c>
      <c r="D16618" s="7">
        <v>99999</v>
      </c>
      <c r="E16618" s="3">
        <v>99</v>
      </c>
      <c r="F16618" s="3">
        <v>99</v>
      </c>
      <c r="G16618" t="s">
        <v>514</v>
      </c>
    </row>
    <row r="16619" spans="1:7" x14ac:dyDescent="0.25">
      <c r="A16619" s="1" t="str">
        <f>"521693"</f>
        <v>521693</v>
      </c>
      <c r="B16619" s="2" t="str">
        <f>"OLHAL"</f>
        <v>OLHAL</v>
      </c>
      <c r="C16619" s="2" t="str">
        <f t="shared" si="654"/>
        <v>UN</v>
      </c>
      <c r="D16619" s="7">
        <v>704</v>
      </c>
      <c r="E16619" s="3">
        <v>9</v>
      </c>
      <c r="F16619" s="3">
        <v>9</v>
      </c>
      <c r="G16619" t="s">
        <v>514</v>
      </c>
    </row>
    <row r="16620" spans="1:7" x14ac:dyDescent="0.25">
      <c r="A16620" s="1" t="str">
        <f>"519307"</f>
        <v>519307</v>
      </c>
      <c r="B16620" s="2" t="str">
        <f>"OLHAL 12 X 09MM"</f>
        <v>OLHAL 12 X 09MM</v>
      </c>
      <c r="C16620" s="2" t="str">
        <f t="shared" si="654"/>
        <v>UN</v>
      </c>
      <c r="D16620" s="7">
        <v>704</v>
      </c>
      <c r="E16620" s="3">
        <v>9</v>
      </c>
      <c r="F16620" s="3">
        <v>9</v>
      </c>
      <c r="G16620" t="s">
        <v>514</v>
      </c>
    </row>
    <row r="16621" spans="1:7" x14ac:dyDescent="0.25">
      <c r="A16621" s="1" t="str">
        <f>"505109"</f>
        <v>505109</v>
      </c>
      <c r="B16621" s="2" t="str">
        <f>"OLHAL 14 X 10"</f>
        <v>OLHAL 14 X 10</v>
      </c>
      <c r="C16621" s="2" t="str">
        <f t="shared" si="654"/>
        <v>UN</v>
      </c>
      <c r="D16621" s="7">
        <v>704</v>
      </c>
      <c r="E16621" s="3">
        <v>9</v>
      </c>
      <c r="F16621" s="3">
        <v>9</v>
      </c>
      <c r="G16621" t="s">
        <v>513</v>
      </c>
    </row>
    <row r="16622" spans="1:7" x14ac:dyDescent="0.25">
      <c r="A16622" s="1" t="str">
        <f>"519595"</f>
        <v>519595</v>
      </c>
      <c r="B16622" s="2" t="str">
        <f>"OLHAL 16 X 10MM"</f>
        <v>OLHAL 16 X 10MM</v>
      </c>
      <c r="C16622" s="2" t="str">
        <f t="shared" si="654"/>
        <v>UN</v>
      </c>
      <c r="D16622" s="7">
        <v>918</v>
      </c>
      <c r="E16622" s="3">
        <v>11</v>
      </c>
      <c r="F16622" s="3">
        <v>11</v>
      </c>
      <c r="G16622" t="s">
        <v>513</v>
      </c>
    </row>
    <row r="16623" spans="1:7" x14ac:dyDescent="0.25">
      <c r="A16623" s="1" t="str">
        <f>"519594"</f>
        <v>519594</v>
      </c>
      <c r="B16623" s="2" t="str">
        <f>"OLHAL 16 X 12MM"</f>
        <v>OLHAL 16 X 12MM</v>
      </c>
      <c r="C16623" s="2" t="str">
        <f t="shared" si="654"/>
        <v>UN</v>
      </c>
      <c r="D16623" s="7">
        <v>918</v>
      </c>
      <c r="E16623" s="3">
        <v>11</v>
      </c>
      <c r="F16623" s="3">
        <v>11</v>
      </c>
      <c r="G16623" t="s">
        <v>513</v>
      </c>
    </row>
    <row r="16624" spans="1:7" x14ac:dyDescent="0.25">
      <c r="A16624" s="1" t="str">
        <f>"521480"</f>
        <v>521480</v>
      </c>
      <c r="B16624" s="2" t="str">
        <f>"OLHAL DE TRAVA QUEDA #1/4"</f>
        <v>OLHAL DE TRAVA QUEDA #1/4</v>
      </c>
      <c r="C16624" s="2" t="str">
        <f>"MT"</f>
        <v>MT</v>
      </c>
      <c r="D16624" s="7">
        <v>1600</v>
      </c>
      <c r="E16624" s="3">
        <v>10</v>
      </c>
      <c r="F16624" s="3">
        <v>10</v>
      </c>
      <c r="G16624" t="s">
        <v>512</v>
      </c>
    </row>
    <row r="16625" spans="1:7" x14ac:dyDescent="0.25">
      <c r="A16625" s="1" t="str">
        <f>"519127"</f>
        <v>519127</v>
      </c>
      <c r="B16625" s="2" t="str">
        <f>"OLHETE 38MM"</f>
        <v>OLHETE 38MM</v>
      </c>
      <c r="C16625" s="2" t="str">
        <f>"UN"</f>
        <v>UN</v>
      </c>
      <c r="D16625" s="7">
        <v>704</v>
      </c>
      <c r="E16625" s="3">
        <v>9</v>
      </c>
      <c r="F16625" s="3">
        <v>9</v>
      </c>
      <c r="G16625" t="s">
        <v>513</v>
      </c>
    </row>
    <row r="16626" spans="1:7" x14ac:dyDescent="0.25">
      <c r="A16626" s="1" t="str">
        <f>"526883"</f>
        <v>526883</v>
      </c>
      <c r="B16626" s="2" t="str">
        <f>"OMEGA FLUID SB220 5"</f>
        <v>OMEGA FLUID SB220 5</v>
      </c>
      <c r="C16626" s="2" t="str">
        <f>"UN"</f>
        <v>UN</v>
      </c>
      <c r="D16626" s="7">
        <v>1300</v>
      </c>
      <c r="E16626" s="3">
        <v>13</v>
      </c>
      <c r="F16626" s="3">
        <v>13</v>
      </c>
      <c r="G16626" t="s">
        <v>514</v>
      </c>
    </row>
    <row r="16627" spans="1:7" x14ac:dyDescent="0.25">
      <c r="A16627" s="1" t="str">
        <f>"523927"</f>
        <v>523927</v>
      </c>
      <c r="B16627" s="2" t="str">
        <f>"OMEOPRAZOL 20MG"</f>
        <v>OMEOPRAZOL 20MG</v>
      </c>
      <c r="C16627" s="2" t="str">
        <f>"UN"</f>
        <v>UN</v>
      </c>
      <c r="D16627" s="7">
        <v>99999</v>
      </c>
      <c r="E16627" s="3">
        <v>99</v>
      </c>
      <c r="F16627" s="3">
        <v>99</v>
      </c>
      <c r="G16627" t="s">
        <v>515</v>
      </c>
    </row>
    <row r="16628" spans="1:7" x14ac:dyDescent="0.25">
      <c r="A16628" s="1" t="str">
        <f>"527826"</f>
        <v>527826</v>
      </c>
      <c r="B16628" s="2" t="str">
        <f>"ONDASETRONA"</f>
        <v>ONDASETRONA</v>
      </c>
      <c r="C16628" s="2" t="str">
        <f>"UN"</f>
        <v>UN</v>
      </c>
      <c r="D16628" s="7">
        <v>99999</v>
      </c>
      <c r="E16628" s="3">
        <v>99</v>
      </c>
      <c r="F16628" s="3">
        <v>99</v>
      </c>
      <c r="G16628" t="s">
        <v>512</v>
      </c>
    </row>
    <row r="16629" spans="1:7" x14ac:dyDescent="0.25">
      <c r="A16629" s="1" t="str">
        <f>"526914"</f>
        <v>526914</v>
      </c>
      <c r="B16629" s="2" t="str">
        <f>"OP-03-I (4A10MA OU 0-A0V)"</f>
        <v>OP-03-I (4A10MA OU 0-A0V)</v>
      </c>
      <c r="C16629" s="2" t="str">
        <f>"PC"</f>
        <v>PC</v>
      </c>
      <c r="D16629" s="7">
        <v>600</v>
      </c>
      <c r="E16629" s="3">
        <v>8</v>
      </c>
      <c r="F16629" s="3">
        <v>8</v>
      </c>
      <c r="G16629" t="s">
        <v>516</v>
      </c>
    </row>
    <row r="16630" spans="1:7" x14ac:dyDescent="0.25">
      <c r="A16630" s="1" t="str">
        <f>"522850"</f>
        <v>522850</v>
      </c>
      <c r="B16630" s="2" t="str">
        <f>"OPCIONAIS P/ LANCHES"</f>
        <v>OPCIONAIS P/ LANCHES</v>
      </c>
      <c r="C16630" s="2" t="str">
        <f>"UN"</f>
        <v>UN</v>
      </c>
      <c r="D16630" s="7">
        <v>99999</v>
      </c>
      <c r="E16630" s="3">
        <v>99</v>
      </c>
      <c r="F16630" s="3">
        <v>99</v>
      </c>
      <c r="G16630" t="s">
        <v>515</v>
      </c>
    </row>
    <row r="16631" spans="1:7" x14ac:dyDescent="0.25">
      <c r="A16631" s="1" t="str">
        <f>"511037"</f>
        <v>511037</v>
      </c>
      <c r="B16631" s="2" t="str">
        <f>"OPEN WIN SVR 2008 SNGL DEVICE R18-02729"</f>
        <v>OPEN WIN SVR 2008 SNGL DEVICE R18-02729</v>
      </c>
      <c r="C16631" s="2" t="str">
        <f>"UN"</f>
        <v>UN</v>
      </c>
      <c r="D16631" s="7">
        <v>401</v>
      </c>
      <c r="E16631" s="3">
        <v>4</v>
      </c>
      <c r="F16631" s="3">
        <v>4</v>
      </c>
      <c r="G16631" t="s">
        <v>514</v>
      </c>
    </row>
    <row r="16632" spans="1:7" x14ac:dyDescent="0.25">
      <c r="A16632" s="1" t="str">
        <f>"511036"</f>
        <v>511036</v>
      </c>
      <c r="B16632" s="2" t="str">
        <f>"OPEN WIN SVR STD 2008 R2 SNGL P73-04982"</f>
        <v>OPEN WIN SVR STD 2008 R2 SNGL P73-04982</v>
      </c>
      <c r="C16632" s="2" t="str">
        <f>"UN"</f>
        <v>UN</v>
      </c>
      <c r="D16632" s="7">
        <v>401</v>
      </c>
      <c r="E16632" s="3">
        <v>4</v>
      </c>
      <c r="F16632" s="3">
        <v>4</v>
      </c>
      <c r="G16632" t="s">
        <v>512</v>
      </c>
    </row>
    <row r="16633" spans="1:7" x14ac:dyDescent="0.25">
      <c r="A16633" s="1" t="str">
        <f>"523555"</f>
        <v>523555</v>
      </c>
      <c r="B16633" s="2" t="str">
        <f>"OPENSTAGE 15 HFA"</f>
        <v>OPENSTAGE 15 HFA</v>
      </c>
      <c r="C16633" s="2" t="str">
        <f>"UN"</f>
        <v>UN</v>
      </c>
      <c r="D16633" s="7">
        <v>811</v>
      </c>
      <c r="E16633" s="3">
        <v>8</v>
      </c>
      <c r="F16633" s="3">
        <v>8</v>
      </c>
      <c r="G16633" t="s">
        <v>513</v>
      </c>
    </row>
    <row r="16634" spans="1:7" x14ac:dyDescent="0.25">
      <c r="A16634" s="1" t="str">
        <f>"506114"</f>
        <v>506114</v>
      </c>
      <c r="B16634" s="2" t="str">
        <f>"OPLC 2186-V570-57-T40B"</f>
        <v>OPLC 2186-V570-57-T40B</v>
      </c>
      <c r="C16634" s="2" t="str">
        <f>"BR"</f>
        <v>BR</v>
      </c>
      <c r="D16634" s="7">
        <v>808</v>
      </c>
      <c r="E16634" s="3">
        <v>10</v>
      </c>
      <c r="F16634" s="3">
        <v>10</v>
      </c>
      <c r="G16634" t="s">
        <v>514</v>
      </c>
    </row>
    <row r="16635" spans="1:7" x14ac:dyDescent="0.25">
      <c r="A16635" s="1" t="str">
        <f>"514431"</f>
        <v>514431</v>
      </c>
      <c r="B16635" s="2" t="str">
        <f>"OPTAMAX 50MG"</f>
        <v>OPTAMAX 50MG</v>
      </c>
      <c r="C16635" s="2" t="str">
        <f t="shared" ref="C16635:C16649" si="655">"UN"</f>
        <v>UN</v>
      </c>
      <c r="D16635" s="7">
        <v>401</v>
      </c>
      <c r="E16635" s="3">
        <v>4</v>
      </c>
      <c r="F16635" s="3">
        <v>4</v>
      </c>
      <c r="G16635" t="s">
        <v>514</v>
      </c>
    </row>
    <row r="16636" spans="1:7" x14ac:dyDescent="0.25">
      <c r="A16636" s="1" t="str">
        <f>"515730"</f>
        <v>515730</v>
      </c>
      <c r="B16636" s="2" t="str">
        <f>"OPTIKLEN"</f>
        <v>OPTIKLEN</v>
      </c>
      <c r="C16636" s="2" t="str">
        <f t="shared" si="655"/>
        <v>UN</v>
      </c>
      <c r="D16636" s="7">
        <v>704</v>
      </c>
      <c r="E16636" s="3">
        <v>9</v>
      </c>
      <c r="F16636" s="3">
        <v>9</v>
      </c>
      <c r="G16636" t="s">
        <v>512</v>
      </c>
    </row>
    <row r="16637" spans="1:7" x14ac:dyDescent="0.25">
      <c r="A16637" s="1" t="str">
        <f>"513770"</f>
        <v>513770</v>
      </c>
      <c r="B16637" s="2" t="str">
        <f>"ORDEM / REGISTRO TRABALHO"</f>
        <v>ORDEM / REGISTRO TRABALHO</v>
      </c>
      <c r="C16637" s="2" t="str">
        <f t="shared" si="655"/>
        <v>UN</v>
      </c>
      <c r="D16637" s="7">
        <v>411</v>
      </c>
      <c r="E16637" s="3">
        <v>4</v>
      </c>
      <c r="F16637" s="3">
        <v>4</v>
      </c>
      <c r="G16637" t="s">
        <v>513</v>
      </c>
    </row>
    <row r="16638" spans="1:7" x14ac:dyDescent="0.25">
      <c r="A16638" s="1" t="str">
        <f>"510864"</f>
        <v>510864</v>
      </c>
      <c r="B16638" s="2" t="str">
        <f>"OREGANO"</f>
        <v>OREGANO</v>
      </c>
      <c r="C16638" s="2" t="str">
        <f t="shared" si="655"/>
        <v>UN</v>
      </c>
      <c r="D16638" s="7">
        <v>401</v>
      </c>
      <c r="E16638" s="3">
        <v>4</v>
      </c>
      <c r="F16638" s="3">
        <v>4</v>
      </c>
      <c r="G16638" t="s">
        <v>514</v>
      </c>
    </row>
    <row r="16639" spans="1:7" x14ac:dyDescent="0.25">
      <c r="A16639" s="1" t="str">
        <f>"514025"</f>
        <v>514025</v>
      </c>
      <c r="B16639" s="2" t="str">
        <f>"ORELHA"</f>
        <v>ORELHA</v>
      </c>
      <c r="C16639" s="2" t="str">
        <f t="shared" si="655"/>
        <v>UN</v>
      </c>
      <c r="D16639" s="7">
        <v>918</v>
      </c>
      <c r="E16639" s="3">
        <v>11</v>
      </c>
      <c r="F16639" s="3">
        <v>11</v>
      </c>
      <c r="G16639" t="s">
        <v>514</v>
      </c>
    </row>
    <row r="16640" spans="1:7" x14ac:dyDescent="0.25">
      <c r="A16640" s="1" t="str">
        <f>"523009"</f>
        <v>523009</v>
      </c>
      <c r="B16640" s="2" t="str">
        <f>"ORGANIZ. ESCR. ELEGANCE TECIDO MET. STAPLES PRETO CACSBTM3C"</f>
        <v>ORGANIZ. ESCR. ELEGANCE TECIDO MET. STAPLES PRETO CACSBTM3C</v>
      </c>
      <c r="C16640" s="2" t="str">
        <f t="shared" si="655"/>
        <v>UN</v>
      </c>
      <c r="D16640" s="7">
        <v>401</v>
      </c>
      <c r="E16640" s="3">
        <v>4</v>
      </c>
      <c r="F16640" s="3">
        <v>4</v>
      </c>
      <c r="G16640" t="s">
        <v>514</v>
      </c>
    </row>
    <row r="16641" spans="1:7" x14ac:dyDescent="0.25">
      <c r="A16641" s="1" t="str">
        <f>"515489"</f>
        <v>515489</v>
      </c>
      <c r="B16641" s="2" t="str">
        <f>"ORGANIZADOR"</f>
        <v>ORGANIZADOR</v>
      </c>
      <c r="C16641" s="2" t="str">
        <f t="shared" si="655"/>
        <v>UN</v>
      </c>
      <c r="D16641" s="7">
        <v>811</v>
      </c>
      <c r="E16641" s="3">
        <v>8</v>
      </c>
      <c r="F16641" s="3">
        <v>8</v>
      </c>
      <c r="G16641" t="s">
        <v>513</v>
      </c>
    </row>
    <row r="16642" spans="1:7" x14ac:dyDescent="0.25">
      <c r="A16642" s="1" t="str">
        <f>"521637"</f>
        <v>521637</v>
      </c>
      <c r="B16642" s="2" t="str">
        <f>"ORGANIZADOR 10 LITROS"</f>
        <v>ORGANIZADOR 10 LITROS</v>
      </c>
      <c r="C16642" s="2" t="str">
        <f t="shared" si="655"/>
        <v>UN</v>
      </c>
      <c r="D16642" s="7">
        <v>99999</v>
      </c>
      <c r="E16642" s="3">
        <v>99</v>
      </c>
      <c r="F16642" s="3">
        <v>99</v>
      </c>
      <c r="G16642" t="s">
        <v>512</v>
      </c>
    </row>
    <row r="16643" spans="1:7" x14ac:dyDescent="0.25">
      <c r="A16643" s="1" t="str">
        <f>"516971"</f>
        <v>516971</v>
      </c>
      <c r="B16643" s="2" t="str">
        <f>"ORGANIZADOR BRALIMPA AZUL P/ 4 CABOS"</f>
        <v>ORGANIZADOR BRALIMPA AZUL P/ 4 CABOS</v>
      </c>
      <c r="C16643" s="2" t="str">
        <f t="shared" si="655"/>
        <v>UN</v>
      </c>
      <c r="D16643" s="7">
        <v>400</v>
      </c>
      <c r="E16643" s="3">
        <v>4</v>
      </c>
      <c r="F16643" s="3">
        <v>4</v>
      </c>
      <c r="G16643" t="s">
        <v>513</v>
      </c>
    </row>
    <row r="16644" spans="1:7" x14ac:dyDescent="0.25">
      <c r="A16644" s="1" t="str">
        <f>"512853"</f>
        <v>512853</v>
      </c>
      <c r="B16644" s="2" t="str">
        <f>"ORGANIZADOR BRALIMPA AZUL P/ 6 CABOS"</f>
        <v>ORGANIZADOR BRALIMPA AZUL P/ 6 CABOS</v>
      </c>
      <c r="C16644" s="2" t="str">
        <f t="shared" si="655"/>
        <v>UN</v>
      </c>
      <c r="D16644" s="7">
        <v>400</v>
      </c>
      <c r="E16644" s="3">
        <v>4</v>
      </c>
      <c r="F16644" s="3">
        <v>4</v>
      </c>
      <c r="G16644" t="s">
        <v>514</v>
      </c>
    </row>
    <row r="16645" spans="1:7" x14ac:dyDescent="0.25">
      <c r="A16645" s="1" t="str">
        <f>"515385"</f>
        <v>515385</v>
      </c>
      <c r="B16645" s="2" t="str">
        <f>"ORGANIZADOR DE CHAVES"</f>
        <v>ORGANIZADOR DE CHAVES</v>
      </c>
      <c r="C16645" s="2" t="str">
        <f t="shared" si="655"/>
        <v>UN</v>
      </c>
      <c r="D16645" s="7">
        <v>401</v>
      </c>
      <c r="E16645" s="3">
        <v>4</v>
      </c>
      <c r="F16645" s="3">
        <v>4</v>
      </c>
      <c r="G16645" t="s">
        <v>514</v>
      </c>
    </row>
    <row r="16646" spans="1:7" x14ac:dyDescent="0.25">
      <c r="A16646" s="1" t="str">
        <f>"515493"</f>
        <v>515493</v>
      </c>
      <c r="B16646" s="2" t="str">
        <f>"ORGANIZADOR DE MALA"</f>
        <v>ORGANIZADOR DE MALA</v>
      </c>
      <c r="C16646" s="2" t="str">
        <f t="shared" si="655"/>
        <v>UN</v>
      </c>
      <c r="D16646" s="7">
        <v>401</v>
      </c>
      <c r="E16646" s="3">
        <v>4</v>
      </c>
      <c r="F16646" s="3">
        <v>4</v>
      </c>
      <c r="G16646" t="s">
        <v>514</v>
      </c>
    </row>
    <row r="16647" spans="1:7" x14ac:dyDescent="0.25">
      <c r="A16647" s="1" t="str">
        <f>"518240"</f>
        <v>518240</v>
      </c>
      <c r="B16647" s="2" t="str">
        <f>"ORGANIZADOR GRANDE MALA NATY"</f>
        <v>ORGANIZADOR GRANDE MALA NATY</v>
      </c>
      <c r="C16647" s="2" t="str">
        <f t="shared" si="655"/>
        <v>UN</v>
      </c>
      <c r="D16647" s="7">
        <v>817</v>
      </c>
      <c r="E16647" s="3">
        <v>4</v>
      </c>
      <c r="F16647" s="3">
        <v>4</v>
      </c>
      <c r="G16647" t="s">
        <v>513</v>
      </c>
    </row>
    <row r="16648" spans="1:7" x14ac:dyDescent="0.25">
      <c r="A16648" s="1" t="str">
        <f>"573808"</f>
        <v>573808</v>
      </c>
      <c r="B16648" s="2" t="str">
        <f>"ORGANIZADOR NITRONBOX MEGA 10L REF097"</f>
        <v>ORGANIZADOR NITRONBOX MEGA 10L REF097</v>
      </c>
      <c r="C16648" s="2" t="str">
        <f t="shared" si="655"/>
        <v>UN</v>
      </c>
      <c r="D16648" s="7">
        <v>811</v>
      </c>
      <c r="E16648" s="3">
        <v>8</v>
      </c>
      <c r="F16648" s="3">
        <v>8</v>
      </c>
      <c r="G16648" t="s">
        <v>513</v>
      </c>
    </row>
    <row r="16649" spans="1:7" x14ac:dyDescent="0.25">
      <c r="A16649" s="1" t="str">
        <f>"517475"</f>
        <v>517475</v>
      </c>
      <c r="B16649" s="2" t="str">
        <f>"ORIF T2/TE2 N.05 R TF-2.0 TX-3.0 TY-2 (P-05)"</f>
        <v>ORIF T2/TE2 N.05 R TF-2.0 TX-3.0 TY-2 (P-05)</v>
      </c>
      <c r="C16649" s="2" t="str">
        <f t="shared" si="655"/>
        <v>UN</v>
      </c>
      <c r="D16649" s="7">
        <v>918</v>
      </c>
      <c r="E16649" s="3">
        <v>10</v>
      </c>
      <c r="F16649" s="3">
        <v>10</v>
      </c>
      <c r="G16649" t="s">
        <v>513</v>
      </c>
    </row>
    <row r="16650" spans="1:7" x14ac:dyDescent="0.25">
      <c r="A16650" s="1" t="str">
        <f>"509144"</f>
        <v>509144</v>
      </c>
      <c r="B16650" s="2" t="str">
        <f>"ORIFICIO NR 4 TEX2 DANFFOS"</f>
        <v>ORIFICIO NR 4 TEX2 DANFFOS</v>
      </c>
      <c r="C16650" s="2" t="str">
        <f>"BR"</f>
        <v>BR</v>
      </c>
      <c r="D16650" s="7">
        <v>808</v>
      </c>
      <c r="E16650" s="3">
        <v>10</v>
      </c>
      <c r="F16650" s="3">
        <v>10</v>
      </c>
      <c r="G16650" t="s">
        <v>512</v>
      </c>
    </row>
    <row r="16651" spans="1:7" x14ac:dyDescent="0.25">
      <c r="A16651" s="1" t="str">
        <f>"508925"</f>
        <v>508925</v>
      </c>
      <c r="B16651" s="2" t="str">
        <f>"O'RING 1,5MM P/ METRO"</f>
        <v>O'RING 1,5MM P/ METRO</v>
      </c>
      <c r="C16651" s="2" t="str">
        <f t="shared" ref="C16651:C16682" si="656">"UN"</f>
        <v>UN</v>
      </c>
      <c r="D16651" s="7">
        <v>402</v>
      </c>
      <c r="E16651" s="3">
        <v>4</v>
      </c>
      <c r="F16651" s="3">
        <v>4</v>
      </c>
      <c r="G16651" t="s">
        <v>513</v>
      </c>
    </row>
    <row r="16652" spans="1:7" x14ac:dyDescent="0.25">
      <c r="A16652" s="1" t="str">
        <f>"508973"</f>
        <v>508973</v>
      </c>
      <c r="B16652" s="2" t="str">
        <f>"ORING 1.1/2 X 3/16"</f>
        <v>ORING 1.1/2 X 3/16</v>
      </c>
      <c r="C16652" s="2" t="str">
        <f t="shared" si="656"/>
        <v>UN</v>
      </c>
      <c r="D16652" s="7">
        <v>812</v>
      </c>
      <c r="E16652" s="3">
        <v>10</v>
      </c>
      <c r="F16652" s="3">
        <v>10</v>
      </c>
      <c r="G16652" t="s">
        <v>514</v>
      </c>
    </row>
    <row r="16653" spans="1:7" x14ac:dyDescent="0.25">
      <c r="A16653" s="1" t="str">
        <f>"508396"</f>
        <v>508396</v>
      </c>
      <c r="B16653" s="2" t="str">
        <f>"O'RING 100X50 REF-517350 - NETTZCH"</f>
        <v>O'RING 100X50 REF-517350 - NETTZCH</v>
      </c>
      <c r="C16653" s="2" t="str">
        <f t="shared" si="656"/>
        <v>UN</v>
      </c>
      <c r="D16653" s="7">
        <v>909</v>
      </c>
      <c r="E16653" s="3">
        <v>11</v>
      </c>
      <c r="F16653" s="3">
        <v>11</v>
      </c>
      <c r="G16653" t="s">
        <v>515</v>
      </c>
    </row>
    <row r="16654" spans="1:7" x14ac:dyDescent="0.25">
      <c r="A16654" s="1" t="str">
        <f>"500996"</f>
        <v>500996</v>
      </c>
      <c r="B16654" s="2" t="str">
        <f>"O'RING 2MM P/ METRO"</f>
        <v>O'RING 2MM P/ METRO</v>
      </c>
      <c r="C16654" s="2" t="str">
        <f t="shared" si="656"/>
        <v>UN</v>
      </c>
      <c r="D16654" s="7">
        <v>402</v>
      </c>
      <c r="E16654" s="3">
        <v>4</v>
      </c>
      <c r="F16654" s="3">
        <v>4</v>
      </c>
      <c r="G16654" t="s">
        <v>512</v>
      </c>
    </row>
    <row r="16655" spans="1:7" x14ac:dyDescent="0.25">
      <c r="A16655" s="1" t="str">
        <f>"508972"</f>
        <v>508972</v>
      </c>
      <c r="B16655" s="2" t="str">
        <f>"ORING 3/8X1/16"</f>
        <v>ORING 3/8X1/16</v>
      </c>
      <c r="C16655" s="2" t="str">
        <f t="shared" si="656"/>
        <v>UN</v>
      </c>
      <c r="D16655" s="7">
        <v>812</v>
      </c>
      <c r="E16655" s="3">
        <v>10</v>
      </c>
      <c r="F16655" s="3">
        <v>10</v>
      </c>
      <c r="G16655" t="s">
        <v>516</v>
      </c>
    </row>
    <row r="16656" spans="1:7" x14ac:dyDescent="0.25">
      <c r="A16656" s="1" t="str">
        <f>"500995"</f>
        <v>500995</v>
      </c>
      <c r="B16656" s="2" t="str">
        <f>"O'RING 3MM P/ METRO"</f>
        <v>O'RING 3MM P/ METRO</v>
      </c>
      <c r="C16656" s="2" t="str">
        <f t="shared" si="656"/>
        <v>UN</v>
      </c>
      <c r="D16656" s="7">
        <v>402</v>
      </c>
      <c r="E16656" s="3">
        <v>4</v>
      </c>
      <c r="F16656" s="3">
        <v>4</v>
      </c>
      <c r="G16656" t="s">
        <v>515</v>
      </c>
    </row>
    <row r="16657" spans="1:7" x14ac:dyDescent="0.25">
      <c r="A16657" s="1" t="str">
        <f>"510412"</f>
        <v>510412</v>
      </c>
      <c r="B16657" s="2" t="str">
        <f>"O'RING 4MM P/ METRO"</f>
        <v>O'RING 4MM P/ METRO</v>
      </c>
      <c r="C16657" s="2" t="str">
        <f t="shared" si="656"/>
        <v>UN</v>
      </c>
      <c r="D16657" s="7">
        <v>402</v>
      </c>
      <c r="E16657" s="3">
        <v>4</v>
      </c>
      <c r="F16657" s="3">
        <v>4</v>
      </c>
      <c r="G16657" t="s">
        <v>514</v>
      </c>
    </row>
    <row r="16658" spans="1:7" x14ac:dyDescent="0.25">
      <c r="A16658" s="1" t="str">
        <f>"511992"</f>
        <v>511992</v>
      </c>
      <c r="B16658" s="2" t="str">
        <f>"O'RING 5MM P/ METRO"</f>
        <v>O'RING 5MM P/ METRO</v>
      </c>
      <c r="C16658" s="2" t="str">
        <f t="shared" si="656"/>
        <v>UN</v>
      </c>
      <c r="D16658" s="7">
        <v>812</v>
      </c>
      <c r="E16658" s="3">
        <v>10</v>
      </c>
      <c r="F16658" s="3">
        <v>10</v>
      </c>
      <c r="G16658" t="s">
        <v>512</v>
      </c>
    </row>
    <row r="16659" spans="1:7" x14ac:dyDescent="0.25">
      <c r="A16659" s="1" t="str">
        <f>"508536"</f>
        <v>508536</v>
      </c>
      <c r="B16659" s="2" t="str">
        <f>"O'RING 6MM P/ METRO"</f>
        <v>O'RING 6MM P/ METRO</v>
      </c>
      <c r="C16659" s="2" t="str">
        <f t="shared" si="656"/>
        <v>UN</v>
      </c>
      <c r="D16659" s="7">
        <v>402</v>
      </c>
      <c r="E16659" s="3">
        <v>4</v>
      </c>
      <c r="F16659" s="3">
        <v>4</v>
      </c>
      <c r="G16659" t="s">
        <v>513</v>
      </c>
    </row>
    <row r="16660" spans="1:7" x14ac:dyDescent="0.25">
      <c r="A16660" s="1" t="str">
        <f>"505147"</f>
        <v>505147</v>
      </c>
      <c r="B16660" s="2" t="str">
        <f>"O'RING 7MM P/ METRO"</f>
        <v>O'RING 7MM P/ METRO</v>
      </c>
      <c r="C16660" s="2" t="str">
        <f t="shared" si="656"/>
        <v>UN</v>
      </c>
      <c r="D16660" s="7">
        <v>909</v>
      </c>
      <c r="E16660" s="3">
        <v>11</v>
      </c>
      <c r="F16660" s="3">
        <v>11</v>
      </c>
      <c r="G16660" t="s">
        <v>514</v>
      </c>
    </row>
    <row r="16661" spans="1:7" x14ac:dyDescent="0.25">
      <c r="A16661" s="1" t="str">
        <f>"503253"</f>
        <v>503253</v>
      </c>
      <c r="B16661" s="2" t="str">
        <f>"O'RING 8MM TIPO CORDAO NITRILICA"</f>
        <v>O'RING 8MM TIPO CORDAO NITRILICA</v>
      </c>
      <c r="C16661" s="2" t="str">
        <f t="shared" si="656"/>
        <v>UN</v>
      </c>
      <c r="D16661" s="7">
        <v>402</v>
      </c>
      <c r="E16661" s="3">
        <v>4</v>
      </c>
      <c r="F16661" s="3">
        <v>4</v>
      </c>
      <c r="G16661" t="s">
        <v>514</v>
      </c>
    </row>
    <row r="16662" spans="1:7" x14ac:dyDescent="0.25">
      <c r="A16662" s="1" t="str">
        <f>"525858"</f>
        <v>525858</v>
      </c>
      <c r="B16662" s="2" t="str">
        <f>"O'RING BOMBA NETZSCH 23X11MM"</f>
        <v>O'RING BOMBA NETZSCH 23X11MM</v>
      </c>
      <c r="C16662" s="2" t="str">
        <f t="shared" si="656"/>
        <v>UN</v>
      </c>
      <c r="D16662" s="7">
        <v>909</v>
      </c>
      <c r="E16662" s="3">
        <v>11</v>
      </c>
      <c r="F16662" s="3">
        <v>11</v>
      </c>
      <c r="G16662" t="s">
        <v>512</v>
      </c>
    </row>
    <row r="16663" spans="1:7" x14ac:dyDescent="0.25">
      <c r="A16663" s="1" t="str">
        <f>"500785"</f>
        <v>500785</v>
      </c>
      <c r="B16663" s="2" t="str">
        <f>"O'RING BOMBA NETZSCH 70 X 3,5 PB"</f>
        <v>O'RING BOMBA NETZSCH 70 X 3,5 PB</v>
      </c>
      <c r="C16663" s="2" t="str">
        <f t="shared" si="656"/>
        <v>UN</v>
      </c>
      <c r="D16663" s="7">
        <v>909</v>
      </c>
      <c r="E16663" s="3">
        <v>11</v>
      </c>
      <c r="F16663" s="3">
        <v>11</v>
      </c>
      <c r="G16663" t="s">
        <v>513</v>
      </c>
    </row>
    <row r="16664" spans="1:7" x14ac:dyDescent="0.25">
      <c r="A16664" s="1" t="str">
        <f>"501238"</f>
        <v>501238</v>
      </c>
      <c r="B16664" s="2" t="str">
        <f>"O'RING BOMBA POS. WALKESHA C. WCD0079V0"</f>
        <v>O'RING BOMBA POS. WALKESHA C. WCD0079V0</v>
      </c>
      <c r="C16664" s="2" t="str">
        <f t="shared" si="656"/>
        <v>UN</v>
      </c>
      <c r="D16664" s="7">
        <v>909</v>
      </c>
      <c r="E16664" s="3">
        <v>11</v>
      </c>
      <c r="F16664" s="3">
        <v>11</v>
      </c>
      <c r="G16664" t="s">
        <v>514</v>
      </c>
    </row>
    <row r="16665" spans="1:7" x14ac:dyDescent="0.25">
      <c r="A16665" s="1" t="str">
        <f>"501241"</f>
        <v>501241</v>
      </c>
      <c r="B16665" s="2" t="str">
        <f>"O'RING BOMBA POS. WALKESHA C. WV70126"</f>
        <v>O'RING BOMBA POS. WALKESHA C. WV70126</v>
      </c>
      <c r="C16665" s="2" t="str">
        <f t="shared" si="656"/>
        <v>UN</v>
      </c>
      <c r="D16665" s="7">
        <v>909</v>
      </c>
      <c r="E16665" s="3">
        <v>11</v>
      </c>
      <c r="F16665" s="3">
        <v>11</v>
      </c>
      <c r="G16665" t="s">
        <v>514</v>
      </c>
    </row>
    <row r="16666" spans="1:7" x14ac:dyDescent="0.25">
      <c r="A16666" s="1" t="str">
        <f>"501240"</f>
        <v>501240</v>
      </c>
      <c r="B16666" s="2" t="str">
        <f>"O'RING BOMBA POS. WALKESHA WV 70028"</f>
        <v>O'RING BOMBA POS. WALKESHA WV 70028</v>
      </c>
      <c r="C16666" s="2" t="str">
        <f t="shared" si="656"/>
        <v>UN</v>
      </c>
      <c r="D16666" s="7">
        <v>909</v>
      </c>
      <c r="E16666" s="3">
        <v>11</v>
      </c>
      <c r="F16666" s="3">
        <v>11</v>
      </c>
      <c r="G16666" t="s">
        <v>514</v>
      </c>
    </row>
    <row r="16667" spans="1:7" x14ac:dyDescent="0.25">
      <c r="A16667" s="1" t="str">
        <f>"501244"</f>
        <v>501244</v>
      </c>
      <c r="B16667" s="2" t="str">
        <f>"O'RING BOMBA POS. WALKESHA WV 7002P"</f>
        <v>O'RING BOMBA POS. WALKESHA WV 7002P</v>
      </c>
      <c r="C16667" s="2" t="str">
        <f t="shared" si="656"/>
        <v>UN</v>
      </c>
      <c r="D16667" s="7">
        <v>909</v>
      </c>
      <c r="E16667" s="3">
        <v>11</v>
      </c>
      <c r="F16667" s="3">
        <v>11</v>
      </c>
      <c r="G16667" t="s">
        <v>513</v>
      </c>
    </row>
    <row r="16668" spans="1:7" x14ac:dyDescent="0.25">
      <c r="A16668" s="1" t="str">
        <f>"501245"</f>
        <v>501245</v>
      </c>
      <c r="B16668" s="2" t="str">
        <f>"O'RING BOMBA POS. WALKESHA WV 70327"</f>
        <v>O'RING BOMBA POS. WALKESHA WV 70327</v>
      </c>
      <c r="C16668" s="2" t="str">
        <f t="shared" si="656"/>
        <v>UN</v>
      </c>
      <c r="D16668" s="7">
        <v>909</v>
      </c>
      <c r="E16668" s="3">
        <v>11</v>
      </c>
      <c r="F16668" s="3">
        <v>11</v>
      </c>
      <c r="G16668" t="s">
        <v>512</v>
      </c>
    </row>
    <row r="16669" spans="1:7" x14ac:dyDescent="0.25">
      <c r="A16669" s="1" t="str">
        <f>"501243"</f>
        <v>501243</v>
      </c>
      <c r="B16669" s="2" t="str">
        <f>"O'RING BOMBA POS. WALKESHA WV 70373"</f>
        <v>O'RING BOMBA POS. WALKESHA WV 70373</v>
      </c>
      <c r="C16669" s="2" t="str">
        <f t="shared" si="656"/>
        <v>UN</v>
      </c>
      <c r="D16669" s="7">
        <v>909</v>
      </c>
      <c r="E16669" s="3">
        <v>11</v>
      </c>
      <c r="F16669" s="3">
        <v>11</v>
      </c>
      <c r="G16669" t="s">
        <v>513</v>
      </c>
    </row>
    <row r="16670" spans="1:7" x14ac:dyDescent="0.25">
      <c r="A16670" s="1" t="str">
        <f>"511864"</f>
        <v>511864</v>
      </c>
      <c r="B16670" s="2" t="str">
        <f>"O'RING CNB MOD.ZM220.2 AMONIA"</f>
        <v>O'RING CNB MOD.ZM220.2 AMONIA</v>
      </c>
      <c r="C16670" s="2" t="str">
        <f t="shared" si="656"/>
        <v>UN</v>
      </c>
      <c r="D16670" s="7">
        <v>909</v>
      </c>
      <c r="E16670" s="3">
        <v>11</v>
      </c>
      <c r="F16670" s="3">
        <v>11</v>
      </c>
      <c r="G16670" t="s">
        <v>514</v>
      </c>
    </row>
    <row r="16671" spans="1:7" x14ac:dyDescent="0.25">
      <c r="A16671" s="1" t="str">
        <f>"504241"</f>
        <v>504241</v>
      </c>
      <c r="B16671" s="2" t="str">
        <f>"O'RING HASTE CENTRAL 96752-03090-40 FBRE"</f>
        <v>O'RING HASTE CENTRAL 96752-03090-40 FBRE</v>
      </c>
      <c r="C16671" s="2" t="str">
        <f t="shared" si="656"/>
        <v>UN</v>
      </c>
      <c r="D16671" s="7">
        <v>909</v>
      </c>
      <c r="E16671" s="3">
        <v>11</v>
      </c>
      <c r="F16671" s="3">
        <v>11</v>
      </c>
      <c r="G16671" t="s">
        <v>514</v>
      </c>
    </row>
    <row r="16672" spans="1:7" x14ac:dyDescent="0.25">
      <c r="A16672" s="1" t="str">
        <f>"517847"</f>
        <v>517847</v>
      </c>
      <c r="B16672" s="2" t="str">
        <f>"O'RING J80110103"</f>
        <v>O'RING J80110103</v>
      </c>
      <c r="C16672" s="2" t="str">
        <f t="shared" si="656"/>
        <v>UN</v>
      </c>
      <c r="D16672" s="7">
        <v>918</v>
      </c>
      <c r="E16672" s="3">
        <v>11</v>
      </c>
      <c r="F16672" s="3">
        <v>11</v>
      </c>
      <c r="G16672" t="s">
        <v>514</v>
      </c>
    </row>
    <row r="16673" spans="1:7" x14ac:dyDescent="0.25">
      <c r="A16673" s="1" t="str">
        <f>"505635"</f>
        <v>505635</v>
      </c>
      <c r="B16673" s="2" t="str">
        <f>"O'RING NITRILICO 6MM TIPO CORDAO"</f>
        <v>O'RING NITRILICO 6MM TIPO CORDAO</v>
      </c>
      <c r="C16673" s="2" t="str">
        <f t="shared" si="656"/>
        <v>UN</v>
      </c>
      <c r="D16673" s="7">
        <v>402</v>
      </c>
      <c r="E16673" s="3">
        <v>4</v>
      </c>
      <c r="F16673" s="3">
        <v>4</v>
      </c>
      <c r="G16673" t="s">
        <v>513</v>
      </c>
    </row>
    <row r="16674" spans="1:7" x14ac:dyDescent="0.25">
      <c r="A16674" s="1" t="str">
        <f>"506164"</f>
        <v>506164</v>
      </c>
      <c r="B16674" s="2" t="str">
        <f>"O'RING OR1 035 COD.1100040"</f>
        <v>O'RING OR1 035 COD.1100040</v>
      </c>
      <c r="C16674" s="2" t="str">
        <f t="shared" si="656"/>
        <v>UN</v>
      </c>
      <c r="D16674" s="7">
        <v>909</v>
      </c>
      <c r="E16674" s="3">
        <v>11</v>
      </c>
      <c r="F16674" s="3">
        <v>11</v>
      </c>
      <c r="G16674" t="s">
        <v>513</v>
      </c>
    </row>
    <row r="16675" spans="1:7" x14ac:dyDescent="0.25">
      <c r="A16675" s="1" t="str">
        <f>"524705"</f>
        <v>524705</v>
      </c>
      <c r="B16675" s="2" t="str">
        <f>"O-RING P/ FLANGE DE VALVULA BORB. OD 1"" EPDM 2009422"</f>
        <v>O-RING P/ FLANGE DE VALVULA BORB. OD 1" EPDM 2009422</v>
      </c>
      <c r="C16675" s="2" t="str">
        <f t="shared" si="656"/>
        <v>UN</v>
      </c>
      <c r="D16675" s="7">
        <v>807</v>
      </c>
      <c r="E16675" s="3">
        <v>11</v>
      </c>
      <c r="F16675" s="3">
        <v>11</v>
      </c>
      <c r="G16675" t="s">
        <v>513</v>
      </c>
    </row>
    <row r="16676" spans="1:7" x14ac:dyDescent="0.25">
      <c r="A16676" s="1" t="str">
        <f>"524695"</f>
        <v>524695</v>
      </c>
      <c r="B16676" s="2" t="str">
        <f>"O-RING P/ FLANGE DE VALVULA BORB. OD 2 1/2"" EPDM 2010192"</f>
        <v>O-RING P/ FLANGE DE VALVULA BORB. OD 2 1/2" EPDM 2010192</v>
      </c>
      <c r="C16676" s="2" t="str">
        <f t="shared" si="656"/>
        <v>UN</v>
      </c>
      <c r="D16676" s="7">
        <v>807</v>
      </c>
      <c r="E16676" s="3">
        <v>11</v>
      </c>
      <c r="F16676" s="3">
        <v>11</v>
      </c>
      <c r="G16676" t="s">
        <v>512</v>
      </c>
    </row>
    <row r="16677" spans="1:7" x14ac:dyDescent="0.25">
      <c r="A16677" s="1" t="str">
        <f>"524708"</f>
        <v>524708</v>
      </c>
      <c r="B16677" s="2" t="str">
        <f>"O-RING P/ FLANGE DE VALVULA BORB. OD 2"" EPDM 2044157"</f>
        <v>O-RING P/ FLANGE DE VALVULA BORB. OD 2" EPDM 2044157</v>
      </c>
      <c r="C16677" s="2" t="str">
        <f t="shared" si="656"/>
        <v>UN</v>
      </c>
      <c r="D16677" s="7">
        <v>807</v>
      </c>
      <c r="E16677" s="3">
        <v>11</v>
      </c>
      <c r="F16677" s="3">
        <v>11</v>
      </c>
      <c r="G16677" t="s">
        <v>513</v>
      </c>
    </row>
    <row r="16678" spans="1:7" x14ac:dyDescent="0.25">
      <c r="A16678" s="1" t="str">
        <f>"524694"</f>
        <v>524694</v>
      </c>
      <c r="B16678" s="2" t="str">
        <f>"O-RING P/ FLANGE DE VALVULA BORB. OD 3"" EPDM 2010783"</f>
        <v>O-RING P/ FLANGE DE VALVULA BORB. OD 3" EPDM 2010783</v>
      </c>
      <c r="C16678" s="2" t="str">
        <f t="shared" si="656"/>
        <v>UN</v>
      </c>
      <c r="D16678" s="7">
        <v>807</v>
      </c>
      <c r="E16678" s="3">
        <v>11</v>
      </c>
      <c r="F16678" s="3">
        <v>11</v>
      </c>
      <c r="G16678" t="s">
        <v>514</v>
      </c>
    </row>
    <row r="16679" spans="1:7" x14ac:dyDescent="0.25">
      <c r="A16679" s="1" t="str">
        <f>"524710"</f>
        <v>524710</v>
      </c>
      <c r="B16679" s="2" t="str">
        <f>"O-RING P/ FLANGE DE VALVULA BORB. OD 4"" EPDM 2004537"</f>
        <v>O-RING P/ FLANGE DE VALVULA BORB. OD 4" EPDM 2004537</v>
      </c>
      <c r="C16679" s="2" t="str">
        <f t="shared" si="656"/>
        <v>UN</v>
      </c>
      <c r="D16679" s="7">
        <v>807</v>
      </c>
      <c r="E16679" s="3">
        <v>11</v>
      </c>
      <c r="F16679" s="3">
        <v>11</v>
      </c>
      <c r="G16679" t="s">
        <v>515</v>
      </c>
    </row>
    <row r="16680" spans="1:7" x14ac:dyDescent="0.25">
      <c r="A16680" s="1" t="str">
        <f>"505826"</f>
        <v>505826</v>
      </c>
      <c r="B16680" s="2" t="str">
        <f>"O'RING P/AP PO 04/12KG EXTINTOR"</f>
        <v>O'RING P/AP PO 04/12KG EXTINTOR</v>
      </c>
      <c r="C16680" s="2" t="str">
        <f t="shared" si="656"/>
        <v>UN</v>
      </c>
      <c r="D16680" s="7">
        <v>402</v>
      </c>
      <c r="E16680" s="3">
        <v>4</v>
      </c>
      <c r="F16680" s="3">
        <v>4</v>
      </c>
      <c r="G16680" t="s">
        <v>512</v>
      </c>
    </row>
    <row r="16681" spans="1:7" x14ac:dyDescent="0.25">
      <c r="A16681" s="1" t="str">
        <f>"506104"</f>
        <v>506104</v>
      </c>
      <c r="B16681" s="2" t="str">
        <f>"O'RING PISTAO EMPIL. TOYOTA OR1 210"</f>
        <v>O'RING PISTAO EMPIL. TOYOTA OR1 210</v>
      </c>
      <c r="C16681" s="2" t="str">
        <f t="shared" si="656"/>
        <v>UN</v>
      </c>
      <c r="D16681" s="7">
        <v>909</v>
      </c>
      <c r="E16681" s="3">
        <v>11</v>
      </c>
      <c r="F16681" s="3">
        <v>11</v>
      </c>
      <c r="G16681" t="s">
        <v>516</v>
      </c>
    </row>
    <row r="16682" spans="1:7" x14ac:dyDescent="0.25">
      <c r="A16682" s="1" t="str">
        <f>"506105"</f>
        <v>506105</v>
      </c>
      <c r="B16682" s="2" t="str">
        <f>"O'RING PISTAO EMPIL. TOYOTA OR1 218"</f>
        <v>O'RING PISTAO EMPIL. TOYOTA OR1 218</v>
      </c>
      <c r="C16682" s="2" t="str">
        <f t="shared" si="656"/>
        <v>UN</v>
      </c>
      <c r="D16682" s="7">
        <v>909</v>
      </c>
      <c r="E16682" s="3">
        <v>11</v>
      </c>
      <c r="F16682" s="3">
        <v>11</v>
      </c>
      <c r="G16682" t="s">
        <v>515</v>
      </c>
    </row>
    <row r="16683" spans="1:7" x14ac:dyDescent="0.25">
      <c r="A16683" s="1" t="str">
        <f>"505634"</f>
        <v>505634</v>
      </c>
      <c r="B16683" s="2" t="str">
        <f>"O'RING SILICONE 5MM TIPO CORDAO"</f>
        <v>O'RING SILICONE 5MM TIPO CORDAO</v>
      </c>
      <c r="C16683" s="2" t="str">
        <f t="shared" ref="C16683:C16714" si="657">"UN"</f>
        <v>UN</v>
      </c>
      <c r="D16683" s="7">
        <v>402</v>
      </c>
      <c r="E16683" s="3">
        <v>4</v>
      </c>
      <c r="F16683" s="3">
        <v>4</v>
      </c>
      <c r="G16683" t="s">
        <v>514</v>
      </c>
    </row>
    <row r="16684" spans="1:7" x14ac:dyDescent="0.25">
      <c r="A16684" s="1" t="str">
        <f>"501741"</f>
        <v>501741</v>
      </c>
      <c r="B16684" s="2" t="str">
        <f>"O'RING VEDACAO 08X2,5MM DOSADOR VITON"</f>
        <v>O'RING VEDACAO 08X2,5MM DOSADOR VITON</v>
      </c>
      <c r="C16684" s="2" t="str">
        <f t="shared" si="657"/>
        <v>UN</v>
      </c>
      <c r="D16684" s="7">
        <v>402</v>
      </c>
      <c r="E16684" s="3">
        <v>4</v>
      </c>
      <c r="F16684" s="3">
        <v>4</v>
      </c>
      <c r="G16684" t="s">
        <v>512</v>
      </c>
    </row>
    <row r="16685" spans="1:7" x14ac:dyDescent="0.25">
      <c r="A16685" s="1" t="str">
        <f>"503263"</f>
        <v>503263</v>
      </c>
      <c r="B16685" s="2" t="str">
        <f>"O'RING VEDACAO 08X2MM VITON BRASKOP 1000"</f>
        <v>O'RING VEDACAO 08X2MM VITON BRASKOP 1000</v>
      </c>
      <c r="C16685" s="2" t="str">
        <f t="shared" si="657"/>
        <v>UN</v>
      </c>
      <c r="D16685" s="7">
        <v>909</v>
      </c>
      <c r="E16685" s="3">
        <v>11</v>
      </c>
      <c r="F16685" s="3">
        <v>11</v>
      </c>
      <c r="G16685" t="s">
        <v>513</v>
      </c>
    </row>
    <row r="16686" spans="1:7" x14ac:dyDescent="0.25">
      <c r="A16686" s="1" t="str">
        <f>"503898"</f>
        <v>503898</v>
      </c>
      <c r="B16686" s="2" t="str">
        <f>"O'RING VEDACAO 10X2,5MM NITRILICA"</f>
        <v>O'RING VEDACAO 10X2,5MM NITRILICA</v>
      </c>
      <c r="C16686" s="2" t="str">
        <f t="shared" si="657"/>
        <v>UN</v>
      </c>
      <c r="D16686" s="7">
        <v>402</v>
      </c>
      <c r="E16686" s="3">
        <v>4</v>
      </c>
      <c r="F16686" s="3">
        <v>4</v>
      </c>
      <c r="G16686" t="s">
        <v>514</v>
      </c>
    </row>
    <row r="16687" spans="1:7" x14ac:dyDescent="0.25">
      <c r="A16687" s="1" t="str">
        <f>"503566"</f>
        <v>503566</v>
      </c>
      <c r="B16687" s="2" t="str">
        <f>"O'RING VEDACAO 10X2MM NITRILICA REXROTH"</f>
        <v>O'RING VEDACAO 10X2MM NITRILICA REXROTH</v>
      </c>
      <c r="C16687" s="2" t="str">
        <f t="shared" si="657"/>
        <v>UN</v>
      </c>
      <c r="D16687" s="7">
        <v>402</v>
      </c>
      <c r="E16687" s="3">
        <v>4</v>
      </c>
      <c r="F16687" s="3">
        <v>4</v>
      </c>
      <c r="G16687" t="s">
        <v>514</v>
      </c>
    </row>
    <row r="16688" spans="1:7" x14ac:dyDescent="0.25">
      <c r="A16688" s="1" t="str">
        <f>"503623"</f>
        <v>503623</v>
      </c>
      <c r="B16688" s="2" t="str">
        <f>"O'RING VEDACAO 11,5X2MM NITRILICA SOPRO"</f>
        <v>O'RING VEDACAO 11,5X2MM NITRILICA SOPRO</v>
      </c>
      <c r="C16688" s="2" t="str">
        <f t="shared" si="657"/>
        <v>UN</v>
      </c>
      <c r="D16688" s="7">
        <v>909</v>
      </c>
      <c r="E16688" s="3">
        <v>11</v>
      </c>
      <c r="F16688" s="3">
        <v>11</v>
      </c>
      <c r="G16688" t="s">
        <v>512</v>
      </c>
    </row>
    <row r="16689" spans="1:7" x14ac:dyDescent="0.25">
      <c r="A16689" s="1" t="str">
        <f>"503477"</f>
        <v>503477</v>
      </c>
      <c r="B16689" s="2" t="str">
        <f>"O'RING VEDACAO 13,5X2,5MM SILICONE"</f>
        <v>O'RING VEDACAO 13,5X2,5MM SILICONE</v>
      </c>
      <c r="C16689" s="2" t="str">
        <f t="shared" si="657"/>
        <v>UN</v>
      </c>
      <c r="D16689" s="7">
        <v>402</v>
      </c>
      <c r="E16689" s="3">
        <v>4</v>
      </c>
      <c r="F16689" s="3">
        <v>4</v>
      </c>
      <c r="G16689" t="s">
        <v>513</v>
      </c>
    </row>
    <row r="16690" spans="1:7" x14ac:dyDescent="0.25">
      <c r="A16690" s="1" t="str">
        <f>"504129"</f>
        <v>504129</v>
      </c>
      <c r="B16690" s="2" t="str">
        <f>"O'RING VEDACAO 13X2MM NITRILICA"</f>
        <v>O'RING VEDACAO 13X2MM NITRILICA</v>
      </c>
      <c r="C16690" s="2" t="str">
        <f t="shared" si="657"/>
        <v>UN</v>
      </c>
      <c r="D16690" s="7">
        <v>402</v>
      </c>
      <c r="E16690" s="3">
        <v>4</v>
      </c>
      <c r="F16690" s="3">
        <v>4</v>
      </c>
      <c r="G16690" t="s">
        <v>514</v>
      </c>
    </row>
    <row r="16691" spans="1:7" x14ac:dyDescent="0.25">
      <c r="A16691" s="1" t="str">
        <f>"505724"</f>
        <v>505724</v>
      </c>
      <c r="B16691" s="2" t="str">
        <f>"O'RING VEDACAO 14X3,0MM NITRILICA"</f>
        <v>O'RING VEDACAO 14X3,0MM NITRILICA</v>
      </c>
      <c r="C16691" s="2" t="str">
        <f t="shared" si="657"/>
        <v>UN</v>
      </c>
      <c r="D16691" s="7">
        <v>402</v>
      </c>
      <c r="E16691" s="3">
        <v>4</v>
      </c>
      <c r="F16691" s="3">
        <v>4</v>
      </c>
      <c r="G16691" t="s">
        <v>514</v>
      </c>
    </row>
    <row r="16692" spans="1:7" x14ac:dyDescent="0.25">
      <c r="A16692" s="1" t="str">
        <f>"504138"</f>
        <v>504138</v>
      </c>
      <c r="B16692" s="2" t="str">
        <f>"O'RING VEDACAO 150X4MM"</f>
        <v>O'RING VEDACAO 150X4MM</v>
      </c>
      <c r="C16692" s="2" t="str">
        <f t="shared" si="657"/>
        <v>UN</v>
      </c>
      <c r="D16692" s="7">
        <v>402</v>
      </c>
      <c r="E16692" s="3">
        <v>4</v>
      </c>
      <c r="F16692" s="3">
        <v>4</v>
      </c>
      <c r="G16692" t="s">
        <v>514</v>
      </c>
    </row>
    <row r="16693" spans="1:7" x14ac:dyDescent="0.25">
      <c r="A16693" s="1" t="str">
        <f>"505723"</f>
        <v>505723</v>
      </c>
      <c r="B16693" s="2" t="str">
        <f>"O'RING VEDACAO 16X2,5MM NITRILICA"</f>
        <v>O'RING VEDACAO 16X2,5MM NITRILICA</v>
      </c>
      <c r="C16693" s="2" t="str">
        <f t="shared" si="657"/>
        <v>UN</v>
      </c>
      <c r="D16693" s="7">
        <v>402</v>
      </c>
      <c r="E16693" s="3">
        <v>4</v>
      </c>
      <c r="F16693" s="3">
        <v>4</v>
      </c>
      <c r="G16693" t="s">
        <v>513</v>
      </c>
    </row>
    <row r="16694" spans="1:7" x14ac:dyDescent="0.25">
      <c r="A16694" s="1" t="str">
        <f>"504139"</f>
        <v>504139</v>
      </c>
      <c r="B16694" s="2" t="str">
        <f>"O'RING VEDACAO 200X5MM"</f>
        <v>O'RING VEDACAO 200X5MM</v>
      </c>
      <c r="C16694" s="2" t="str">
        <f t="shared" si="657"/>
        <v>UN</v>
      </c>
      <c r="D16694" s="7">
        <v>402</v>
      </c>
      <c r="E16694" s="3">
        <v>4</v>
      </c>
      <c r="F16694" s="3">
        <v>4</v>
      </c>
      <c r="G16694" t="s">
        <v>512</v>
      </c>
    </row>
    <row r="16695" spans="1:7" x14ac:dyDescent="0.25">
      <c r="A16695" s="1" t="str">
        <f>"501194"</f>
        <v>501194</v>
      </c>
      <c r="B16695" s="2" t="str">
        <f>"O'RING VEDACAO 216X3MM CILINDRO SELAGEM"</f>
        <v>O'RING VEDACAO 216X3MM CILINDRO SELAGEM</v>
      </c>
      <c r="C16695" s="2" t="str">
        <f t="shared" si="657"/>
        <v>UN</v>
      </c>
      <c r="D16695" s="7">
        <v>909</v>
      </c>
      <c r="E16695" s="3">
        <v>11</v>
      </c>
      <c r="F16695" s="3">
        <v>11</v>
      </c>
      <c r="G16695" t="s">
        <v>513</v>
      </c>
    </row>
    <row r="16696" spans="1:7" x14ac:dyDescent="0.25">
      <c r="A16696" s="1" t="str">
        <f>"504130"</f>
        <v>504130</v>
      </c>
      <c r="B16696" s="2" t="str">
        <f>"O'RING VEDACAO 22X2,5MM NITRILICA"</f>
        <v>O'RING VEDACAO 22X2,5MM NITRILICA</v>
      </c>
      <c r="C16696" s="2" t="str">
        <f t="shared" si="657"/>
        <v>UN</v>
      </c>
      <c r="D16696" s="7">
        <v>402</v>
      </c>
      <c r="E16696" s="3">
        <v>4</v>
      </c>
      <c r="F16696" s="3">
        <v>4</v>
      </c>
      <c r="G16696" t="s">
        <v>514</v>
      </c>
    </row>
    <row r="16697" spans="1:7" x14ac:dyDescent="0.25">
      <c r="A16697" s="1" t="str">
        <f>"504205"</f>
        <v>504205</v>
      </c>
      <c r="B16697" s="2" t="str">
        <f>"O'RING VEDACAO 25X3MM NITRILICA"</f>
        <v>O'RING VEDACAO 25X3MM NITRILICA</v>
      </c>
      <c r="C16697" s="2" t="str">
        <f t="shared" si="657"/>
        <v>UN</v>
      </c>
      <c r="D16697" s="7">
        <v>402</v>
      </c>
      <c r="E16697" s="3">
        <v>4</v>
      </c>
      <c r="F16697" s="3">
        <v>4</v>
      </c>
      <c r="G16697" t="s">
        <v>514</v>
      </c>
    </row>
    <row r="16698" spans="1:7" x14ac:dyDescent="0.25">
      <c r="A16698" s="1" t="str">
        <f>"504265"</f>
        <v>504265</v>
      </c>
      <c r="B16698" s="2" t="str">
        <f>"O'RING VEDACAO 31X4,5MM NITRILICA"</f>
        <v>O'RING VEDACAO 31X4,5MM NITRILICA</v>
      </c>
      <c r="C16698" s="2" t="str">
        <f t="shared" si="657"/>
        <v>UN</v>
      </c>
      <c r="D16698" s="7">
        <v>909</v>
      </c>
      <c r="E16698" s="3">
        <v>11</v>
      </c>
      <c r="F16698" s="3">
        <v>11</v>
      </c>
      <c r="G16698" t="s">
        <v>514</v>
      </c>
    </row>
    <row r="16699" spans="1:7" x14ac:dyDescent="0.25">
      <c r="A16699" s="1" t="str">
        <f>"504266"</f>
        <v>504266</v>
      </c>
      <c r="B16699" s="2" t="str">
        <f>"O'RING VEDACAO 370X6MM NITRILICA TAMPA"</f>
        <v>O'RING VEDACAO 370X6MM NITRILICA TAMPA</v>
      </c>
      <c r="C16699" s="2" t="str">
        <f t="shared" si="657"/>
        <v>UN</v>
      </c>
      <c r="D16699" s="7">
        <v>909</v>
      </c>
      <c r="E16699" s="3">
        <v>11</v>
      </c>
      <c r="F16699" s="3">
        <v>11</v>
      </c>
      <c r="G16699" t="s">
        <v>513</v>
      </c>
    </row>
    <row r="16700" spans="1:7" x14ac:dyDescent="0.25">
      <c r="A16700" s="1" t="str">
        <f>"504953"</f>
        <v>504953</v>
      </c>
      <c r="B16700" s="2" t="str">
        <f>"O'RING VEDACAO 40X3,0MM"</f>
        <v>O'RING VEDACAO 40X3,0MM</v>
      </c>
      <c r="C16700" s="2" t="str">
        <f t="shared" si="657"/>
        <v>UN</v>
      </c>
      <c r="D16700" s="7">
        <v>402</v>
      </c>
      <c r="E16700" s="3">
        <v>4</v>
      </c>
      <c r="F16700" s="3">
        <v>4</v>
      </c>
      <c r="G16700" t="s">
        <v>513</v>
      </c>
    </row>
    <row r="16701" spans="1:7" x14ac:dyDescent="0.25">
      <c r="A16701" s="1" t="str">
        <f>"504951"</f>
        <v>504951</v>
      </c>
      <c r="B16701" s="2" t="str">
        <f>"O'RING VEDACAO 42X1,5MM"</f>
        <v>O'RING VEDACAO 42X1,5MM</v>
      </c>
      <c r="C16701" s="2" t="str">
        <f t="shared" si="657"/>
        <v>UN</v>
      </c>
      <c r="D16701" s="7">
        <v>402</v>
      </c>
      <c r="E16701" s="3">
        <v>4</v>
      </c>
      <c r="F16701" s="3">
        <v>4</v>
      </c>
      <c r="G16701" t="s">
        <v>513</v>
      </c>
    </row>
    <row r="16702" spans="1:7" x14ac:dyDescent="0.25">
      <c r="A16702" s="1" t="str">
        <f>"504952"</f>
        <v>504952</v>
      </c>
      <c r="B16702" s="2" t="str">
        <f>"O'RING VEDACAO 42X2,5MM"</f>
        <v>O'RING VEDACAO 42X2,5MM</v>
      </c>
      <c r="C16702" s="2" t="str">
        <f t="shared" si="657"/>
        <v>UN</v>
      </c>
      <c r="D16702" s="7">
        <v>402</v>
      </c>
      <c r="E16702" s="3">
        <v>4</v>
      </c>
      <c r="F16702" s="3">
        <v>4</v>
      </c>
      <c r="G16702" t="s">
        <v>512</v>
      </c>
    </row>
    <row r="16703" spans="1:7" x14ac:dyDescent="0.25">
      <c r="A16703" s="1" t="str">
        <f>"505311"</f>
        <v>505311</v>
      </c>
      <c r="B16703" s="2" t="str">
        <f>"O'RING VEDACAO 42X4,5MM"</f>
        <v>O'RING VEDACAO 42X4,5MM</v>
      </c>
      <c r="C16703" s="2" t="str">
        <f t="shared" si="657"/>
        <v>UN</v>
      </c>
      <c r="D16703" s="7">
        <v>402</v>
      </c>
      <c r="E16703" s="3">
        <v>4</v>
      </c>
      <c r="F16703" s="3">
        <v>4</v>
      </c>
      <c r="G16703" t="s">
        <v>513</v>
      </c>
    </row>
    <row r="16704" spans="1:7" x14ac:dyDescent="0.25">
      <c r="A16704" s="1" t="str">
        <f>"503147"</f>
        <v>503147</v>
      </c>
      <c r="B16704" s="2" t="str">
        <f>"O'RING VEDACAO 42X4MM SILICONE"</f>
        <v>O'RING VEDACAO 42X4MM SILICONE</v>
      </c>
      <c r="C16704" s="2" t="str">
        <f t="shared" si="657"/>
        <v>UN</v>
      </c>
      <c r="D16704" s="7">
        <v>402</v>
      </c>
      <c r="E16704" s="3">
        <v>4</v>
      </c>
      <c r="F16704" s="3">
        <v>4</v>
      </c>
      <c r="G16704" t="s">
        <v>514</v>
      </c>
    </row>
    <row r="16705" spans="1:7" x14ac:dyDescent="0.25">
      <c r="A16705" s="1" t="str">
        <f>"500930"</f>
        <v>500930</v>
      </c>
      <c r="B16705" s="2" t="str">
        <f>"O'RING VEDACAO 47,5X4MM SILICONE"</f>
        <v>O'RING VEDACAO 47,5X4MM SILICONE</v>
      </c>
      <c r="C16705" s="2" t="str">
        <f t="shared" si="657"/>
        <v>UN</v>
      </c>
      <c r="D16705" s="7">
        <v>402</v>
      </c>
      <c r="E16705" s="3">
        <v>4</v>
      </c>
      <c r="F16705" s="3">
        <v>4</v>
      </c>
      <c r="G16705" t="s">
        <v>515</v>
      </c>
    </row>
    <row r="16706" spans="1:7" x14ac:dyDescent="0.25">
      <c r="A16706" s="1" t="str">
        <f>"500931"</f>
        <v>500931</v>
      </c>
      <c r="B16706" s="2" t="str">
        <f>"O'RING VEDACAO 50X1,5MM SILICONE"</f>
        <v>O'RING VEDACAO 50X1,5MM SILICONE</v>
      </c>
      <c r="C16706" s="2" t="str">
        <f t="shared" si="657"/>
        <v>UN</v>
      </c>
      <c r="D16706" s="7">
        <v>402</v>
      </c>
      <c r="E16706" s="3">
        <v>4</v>
      </c>
      <c r="F16706" s="3">
        <v>4</v>
      </c>
      <c r="G16706" t="s">
        <v>512</v>
      </c>
    </row>
    <row r="16707" spans="1:7" x14ac:dyDescent="0.25">
      <c r="A16707" s="1" t="str">
        <f>"503496"</f>
        <v>503496</v>
      </c>
      <c r="B16707" s="2" t="str">
        <f>"O'RING VEDACAO 50X4MM SILICONE DINIEPER"</f>
        <v>O'RING VEDACAO 50X4MM SILICONE DINIEPER</v>
      </c>
      <c r="C16707" s="2" t="str">
        <f t="shared" si="657"/>
        <v>UN</v>
      </c>
      <c r="D16707" s="7">
        <v>909</v>
      </c>
      <c r="E16707" s="3">
        <v>11</v>
      </c>
      <c r="F16707" s="3">
        <v>11</v>
      </c>
      <c r="G16707" t="s">
        <v>516</v>
      </c>
    </row>
    <row r="16708" spans="1:7" x14ac:dyDescent="0.25">
      <c r="A16708" s="1" t="str">
        <f>"503423"</f>
        <v>503423</v>
      </c>
      <c r="B16708" s="2" t="str">
        <f>"O'RING VEDACAO 60X5,5MM SILICONE"</f>
        <v>O'RING VEDACAO 60X5,5MM SILICONE</v>
      </c>
      <c r="C16708" s="2" t="str">
        <f t="shared" si="657"/>
        <v>UN</v>
      </c>
      <c r="D16708" s="7">
        <v>402</v>
      </c>
      <c r="E16708" s="3">
        <v>4</v>
      </c>
      <c r="F16708" s="3">
        <v>4</v>
      </c>
      <c r="G16708" t="s">
        <v>515</v>
      </c>
    </row>
    <row r="16709" spans="1:7" x14ac:dyDescent="0.25">
      <c r="A16709" s="1" t="str">
        <f>"505725"</f>
        <v>505725</v>
      </c>
      <c r="B16709" s="2" t="str">
        <f>"O'RING VEDACAO 62X2MM NITRILICA"</f>
        <v>O'RING VEDACAO 62X2MM NITRILICA</v>
      </c>
      <c r="C16709" s="2" t="str">
        <f t="shared" si="657"/>
        <v>UN</v>
      </c>
      <c r="D16709" s="7">
        <v>402</v>
      </c>
      <c r="E16709" s="3">
        <v>4</v>
      </c>
      <c r="F16709" s="3">
        <v>4</v>
      </c>
      <c r="G16709" t="s">
        <v>514</v>
      </c>
    </row>
    <row r="16710" spans="1:7" x14ac:dyDescent="0.25">
      <c r="A16710" s="1" t="str">
        <f>"500933"</f>
        <v>500933</v>
      </c>
      <c r="B16710" s="2" t="str">
        <f>"O'RING VEDACAO 62X4MM SILICONE"</f>
        <v>O'RING VEDACAO 62X4MM SILICONE</v>
      </c>
      <c r="C16710" s="2" t="str">
        <f t="shared" si="657"/>
        <v>UN</v>
      </c>
      <c r="D16710" s="7">
        <v>402</v>
      </c>
      <c r="E16710" s="3">
        <v>4</v>
      </c>
      <c r="F16710" s="3">
        <v>4</v>
      </c>
      <c r="G16710" t="s">
        <v>512</v>
      </c>
    </row>
    <row r="16711" spans="1:7" x14ac:dyDescent="0.25">
      <c r="A16711" s="1" t="str">
        <f>"500939"</f>
        <v>500939</v>
      </c>
      <c r="B16711" s="2" t="str">
        <f>"O'RING VEDACAO 62X6MM SILICONE"</f>
        <v>O'RING VEDACAO 62X6MM SILICONE</v>
      </c>
      <c r="C16711" s="2" t="str">
        <f t="shared" si="657"/>
        <v>UN</v>
      </c>
      <c r="D16711" s="7">
        <v>402</v>
      </c>
      <c r="E16711" s="3">
        <v>4</v>
      </c>
      <c r="F16711" s="3">
        <v>4</v>
      </c>
      <c r="G16711" t="s">
        <v>513</v>
      </c>
    </row>
    <row r="16712" spans="1:7" x14ac:dyDescent="0.25">
      <c r="A16712" s="1" t="str">
        <f>"500934"</f>
        <v>500934</v>
      </c>
      <c r="B16712" s="2" t="str">
        <f>"O'RING VEDACAO 66,5X4MM SILICONE"</f>
        <v>O'RING VEDACAO 66,5X4MM SILICONE</v>
      </c>
      <c r="C16712" s="2" t="str">
        <f t="shared" si="657"/>
        <v>UN</v>
      </c>
      <c r="D16712" s="7">
        <v>402</v>
      </c>
      <c r="E16712" s="3">
        <v>4</v>
      </c>
      <c r="F16712" s="3">
        <v>4</v>
      </c>
      <c r="G16712" t="s">
        <v>514</v>
      </c>
    </row>
    <row r="16713" spans="1:7" x14ac:dyDescent="0.25">
      <c r="A16713" s="1" t="str">
        <f>"505169"</f>
        <v>505169</v>
      </c>
      <c r="B16713" s="2" t="str">
        <f>"O'RING VEDACAO 68X4MM HOMO"</f>
        <v>O'RING VEDACAO 68X4MM HOMO</v>
      </c>
      <c r="C16713" s="2" t="str">
        <f t="shared" si="657"/>
        <v>UN</v>
      </c>
      <c r="D16713" s="7">
        <v>909</v>
      </c>
      <c r="E16713" s="3">
        <v>11</v>
      </c>
      <c r="F16713" s="3">
        <v>11</v>
      </c>
      <c r="G16713" t="s">
        <v>514</v>
      </c>
    </row>
    <row r="16714" spans="1:7" x14ac:dyDescent="0.25">
      <c r="A16714" s="1" t="str">
        <f>"500932"</f>
        <v>500932</v>
      </c>
      <c r="B16714" s="2" t="str">
        <f>"O'RING VEDACAO 68X5MM SILICONE"</f>
        <v>O'RING VEDACAO 68X5MM SILICONE</v>
      </c>
      <c r="C16714" s="2" t="str">
        <f t="shared" si="657"/>
        <v>UN</v>
      </c>
      <c r="D16714" s="7">
        <v>402</v>
      </c>
      <c r="E16714" s="3">
        <v>4</v>
      </c>
      <c r="F16714" s="3">
        <v>4</v>
      </c>
      <c r="G16714" t="s">
        <v>512</v>
      </c>
    </row>
    <row r="16715" spans="1:7" x14ac:dyDescent="0.25">
      <c r="A16715" s="1" t="str">
        <f>"505171"</f>
        <v>505171</v>
      </c>
      <c r="B16715" s="2" t="str">
        <f>"O'RING VEDACAO 71X4MM SILICONE HOMO ALFA"</f>
        <v>O'RING VEDACAO 71X4MM SILICONE HOMO ALFA</v>
      </c>
      <c r="C16715" s="2" t="str">
        <f t="shared" ref="C16715:C16746" si="658">"UN"</f>
        <v>UN</v>
      </c>
      <c r="D16715" s="7">
        <v>909</v>
      </c>
      <c r="E16715" s="3">
        <v>11</v>
      </c>
      <c r="F16715" s="3">
        <v>11</v>
      </c>
      <c r="G16715" t="s">
        <v>513</v>
      </c>
    </row>
    <row r="16716" spans="1:7" x14ac:dyDescent="0.25">
      <c r="A16716" s="1" t="str">
        <f>"500935"</f>
        <v>500935</v>
      </c>
      <c r="B16716" s="2" t="str">
        <f>"O'RING VEDACAO 82X4,75MM NITRILICA HOMO"</f>
        <v>O'RING VEDACAO 82X4,75MM NITRILICA HOMO</v>
      </c>
      <c r="C16716" s="2" t="str">
        <f t="shared" si="658"/>
        <v>UN</v>
      </c>
      <c r="D16716" s="7">
        <v>909</v>
      </c>
      <c r="E16716" s="3">
        <v>11</v>
      </c>
      <c r="F16716" s="3">
        <v>11</v>
      </c>
      <c r="G16716" t="s">
        <v>514</v>
      </c>
    </row>
    <row r="16717" spans="1:7" x14ac:dyDescent="0.25">
      <c r="A16717" s="1" t="str">
        <f>"505170"</f>
        <v>505170</v>
      </c>
      <c r="B16717" s="2" t="str">
        <f>"O'RING VEDACAO 84X4MM SILICONE HOMO ALFA"</f>
        <v>O'RING VEDACAO 84X4MM SILICONE HOMO ALFA</v>
      </c>
      <c r="C16717" s="2" t="str">
        <f t="shared" si="658"/>
        <v>UN</v>
      </c>
      <c r="D16717" s="7">
        <v>909</v>
      </c>
      <c r="E16717" s="3">
        <v>11</v>
      </c>
      <c r="F16717" s="3">
        <v>11</v>
      </c>
      <c r="G16717" t="s">
        <v>514</v>
      </c>
    </row>
    <row r="16718" spans="1:7" x14ac:dyDescent="0.25">
      <c r="A16718" s="1" t="str">
        <f>"501193"</f>
        <v>501193</v>
      </c>
      <c r="B16718" s="2" t="str">
        <f>"O'RING VEDACAO 84X6MM CIL.SELAGEM DINI"</f>
        <v>O'RING VEDACAO 84X6MM CIL.SELAGEM DINI</v>
      </c>
      <c r="C16718" s="2" t="str">
        <f t="shared" si="658"/>
        <v>UN</v>
      </c>
      <c r="D16718" s="7">
        <v>909</v>
      </c>
      <c r="E16718" s="3">
        <v>11</v>
      </c>
      <c r="F16718" s="3">
        <v>11</v>
      </c>
      <c r="G16718" t="s">
        <v>514</v>
      </c>
    </row>
    <row r="16719" spans="1:7" x14ac:dyDescent="0.25">
      <c r="A16719" s="1" t="str">
        <f>"500928"</f>
        <v>500928</v>
      </c>
      <c r="B16719" s="2" t="str">
        <f>"O'RING VEDACAO COD.014339 DES2110"</f>
        <v>O'RING VEDACAO COD.014339 DES2110</v>
      </c>
      <c r="C16719" s="2" t="str">
        <f t="shared" si="658"/>
        <v>UN</v>
      </c>
      <c r="D16719" s="7">
        <v>909</v>
      </c>
      <c r="E16719" s="3">
        <v>11</v>
      </c>
      <c r="F16719" s="3">
        <v>11</v>
      </c>
      <c r="G16719" t="s">
        <v>513</v>
      </c>
    </row>
    <row r="16720" spans="1:7" x14ac:dyDescent="0.25">
      <c r="A16720" s="1" t="str">
        <f>"501530"</f>
        <v>501530</v>
      </c>
      <c r="B16720" s="2" t="str">
        <f>"O'RING VEDACAO COD.121700-3 SILICONE"</f>
        <v>O'RING VEDACAO COD.121700-3 SILICONE</v>
      </c>
      <c r="C16720" s="2" t="str">
        <f t="shared" si="658"/>
        <v>UN</v>
      </c>
      <c r="D16720" s="7">
        <v>909</v>
      </c>
      <c r="E16720" s="3">
        <v>11</v>
      </c>
      <c r="F16720" s="3">
        <v>11</v>
      </c>
      <c r="G16720" t="s">
        <v>512</v>
      </c>
    </row>
    <row r="16721" spans="1:7" x14ac:dyDescent="0.25">
      <c r="A16721" s="1" t="str">
        <f>"502753"</f>
        <v>502753</v>
      </c>
      <c r="B16721" s="2" t="str">
        <f>"O'RING VEDACAO COD.382355 16,2X2,50MM"</f>
        <v>O'RING VEDACAO COD.382355 16,2X2,50MM</v>
      </c>
      <c r="C16721" s="2" t="str">
        <f t="shared" si="658"/>
        <v>UN</v>
      </c>
      <c r="D16721" s="7">
        <v>909</v>
      </c>
      <c r="E16721" s="3">
        <v>11</v>
      </c>
      <c r="F16721" s="3">
        <v>11</v>
      </c>
      <c r="G16721" t="s">
        <v>513</v>
      </c>
    </row>
    <row r="16722" spans="1:7" x14ac:dyDescent="0.25">
      <c r="A16722" s="1" t="str">
        <f>"502754"</f>
        <v>502754</v>
      </c>
      <c r="B16722" s="2" t="str">
        <f>"O'RING VEDACAO COD.383262 72,69X2,62MM"</f>
        <v>O'RING VEDACAO COD.383262 72,69X2,62MM</v>
      </c>
      <c r="C16722" s="2" t="str">
        <f t="shared" si="658"/>
        <v>UN</v>
      </c>
      <c r="D16722" s="7">
        <v>909</v>
      </c>
      <c r="E16722" s="3">
        <v>11</v>
      </c>
      <c r="F16722" s="3">
        <v>11</v>
      </c>
      <c r="G16722" t="s">
        <v>514</v>
      </c>
    </row>
    <row r="16723" spans="1:7" x14ac:dyDescent="0.25">
      <c r="A16723" s="1" t="str">
        <f>"502755"</f>
        <v>502755</v>
      </c>
      <c r="B16723" s="2" t="str">
        <f>"O'RING VEDACAO COD.383312 73,0 X 5,0MM"</f>
        <v>O'RING VEDACAO COD.383312 73,0 X 5,0MM</v>
      </c>
      <c r="C16723" s="2" t="str">
        <f t="shared" si="658"/>
        <v>UN</v>
      </c>
      <c r="D16723" s="7">
        <v>909</v>
      </c>
      <c r="E16723" s="3">
        <v>11</v>
      </c>
      <c r="F16723" s="3">
        <v>11</v>
      </c>
      <c r="G16723" t="s">
        <v>514</v>
      </c>
    </row>
    <row r="16724" spans="1:7" x14ac:dyDescent="0.25">
      <c r="A16724" s="1" t="str">
        <f>"500917"</f>
        <v>500917</v>
      </c>
      <c r="B16724" s="2" t="str">
        <f>"O'RING VEDACAO COD.385812"</f>
        <v>O'RING VEDACAO COD.385812</v>
      </c>
      <c r="C16724" s="2" t="str">
        <f t="shared" si="658"/>
        <v>UN</v>
      </c>
      <c r="D16724" s="7">
        <v>909</v>
      </c>
      <c r="E16724" s="3">
        <v>11</v>
      </c>
      <c r="F16724" s="3">
        <v>11</v>
      </c>
      <c r="G16724" t="s">
        <v>514</v>
      </c>
    </row>
    <row r="16725" spans="1:7" x14ac:dyDescent="0.25">
      <c r="A16725" s="1" t="str">
        <f>"504227"</f>
        <v>504227</v>
      </c>
      <c r="B16725" s="2" t="str">
        <f>"O'RING VEDACAO COD.386653-3 DOSADOR200ML"</f>
        <v>O'RING VEDACAO COD.386653-3 DOSADOR200ML</v>
      </c>
      <c r="C16725" s="2" t="str">
        <f t="shared" si="658"/>
        <v>UN</v>
      </c>
      <c r="D16725" s="7">
        <v>909</v>
      </c>
      <c r="E16725" s="3">
        <v>11</v>
      </c>
      <c r="F16725" s="3">
        <v>11</v>
      </c>
      <c r="G16725" t="s">
        <v>513</v>
      </c>
    </row>
    <row r="16726" spans="1:7" x14ac:dyDescent="0.25">
      <c r="A16726" s="1" t="str">
        <f>"502074"</f>
        <v>502074</v>
      </c>
      <c r="B16726" s="2" t="str">
        <f>"O'RING VEDACAO COD.386661"</f>
        <v>O'RING VEDACAO COD.386661</v>
      </c>
      <c r="C16726" s="2" t="str">
        <f t="shared" si="658"/>
        <v>UN</v>
      </c>
      <c r="D16726" s="7">
        <v>909</v>
      </c>
      <c r="E16726" s="3">
        <v>11</v>
      </c>
      <c r="F16726" s="3">
        <v>11</v>
      </c>
      <c r="G16726" t="s">
        <v>513</v>
      </c>
    </row>
    <row r="16727" spans="1:7" x14ac:dyDescent="0.25">
      <c r="A16727" s="1" t="str">
        <f>"501007"</f>
        <v>501007</v>
      </c>
      <c r="B16727" s="2" t="str">
        <f>"O'RING VEDACAO COD.387156-03"</f>
        <v>O'RING VEDACAO COD.387156-03</v>
      </c>
      <c r="C16727" s="2" t="str">
        <f t="shared" si="658"/>
        <v>UN</v>
      </c>
      <c r="D16727" s="7">
        <v>909</v>
      </c>
      <c r="E16727" s="3">
        <v>11</v>
      </c>
      <c r="F16727" s="3">
        <v>11</v>
      </c>
      <c r="G16727" t="s">
        <v>513</v>
      </c>
    </row>
    <row r="16728" spans="1:7" x14ac:dyDescent="0.25">
      <c r="A16728" s="1" t="str">
        <f>"504225"</f>
        <v>504225</v>
      </c>
      <c r="B16728" s="2" t="str">
        <f>"O'RING VEDACAO COD.388641-3 DOSADOR200ML"</f>
        <v>O'RING VEDACAO COD.388641-3 DOSADOR200ML</v>
      </c>
      <c r="C16728" s="2" t="str">
        <f t="shared" si="658"/>
        <v>UN</v>
      </c>
      <c r="D16728" s="7">
        <v>909</v>
      </c>
      <c r="E16728" s="3">
        <v>11</v>
      </c>
      <c r="F16728" s="3">
        <v>11</v>
      </c>
      <c r="G16728" t="s">
        <v>512</v>
      </c>
    </row>
    <row r="16729" spans="1:7" x14ac:dyDescent="0.25">
      <c r="A16729" s="1" t="str">
        <f>"504226"</f>
        <v>504226</v>
      </c>
      <c r="B16729" s="2" t="str">
        <f>"O'RING VEDACAO COD.389631-3 DOSADOR200ML"</f>
        <v>O'RING VEDACAO COD.389631-3 DOSADOR200ML</v>
      </c>
      <c r="C16729" s="2" t="str">
        <f t="shared" si="658"/>
        <v>UN</v>
      </c>
      <c r="D16729" s="7">
        <v>909</v>
      </c>
      <c r="E16729" s="3">
        <v>11</v>
      </c>
      <c r="F16729" s="3">
        <v>11</v>
      </c>
      <c r="G16729" t="s">
        <v>513</v>
      </c>
    </row>
    <row r="16730" spans="1:7" x14ac:dyDescent="0.25">
      <c r="A16730" s="1" t="str">
        <f>"500808"</f>
        <v>500808</v>
      </c>
      <c r="B16730" s="2" t="str">
        <f>"O'RING VEDACAO COD.389821-3 MAQ 200ML"</f>
        <v>O'RING VEDACAO COD.389821-3 MAQ 200ML</v>
      </c>
      <c r="C16730" s="2" t="str">
        <f t="shared" si="658"/>
        <v>UN</v>
      </c>
      <c r="D16730" s="7">
        <v>909</v>
      </c>
      <c r="E16730" s="3">
        <v>11</v>
      </c>
      <c r="F16730" s="3">
        <v>11</v>
      </c>
      <c r="G16730" t="s">
        <v>514</v>
      </c>
    </row>
    <row r="16731" spans="1:7" x14ac:dyDescent="0.25">
      <c r="A16731" s="1" t="str">
        <f>"501202"</f>
        <v>501202</v>
      </c>
      <c r="B16731" s="2" t="str">
        <f>"O'RING VEDACAO DOSADOR 42X2.5MM"</f>
        <v>O'RING VEDACAO DOSADOR 42X2.5MM</v>
      </c>
      <c r="C16731" s="2" t="str">
        <f t="shared" si="658"/>
        <v>UN</v>
      </c>
      <c r="D16731" s="7">
        <v>909</v>
      </c>
      <c r="E16731" s="3">
        <v>11</v>
      </c>
      <c r="F16731" s="3">
        <v>11</v>
      </c>
      <c r="G16731" t="s">
        <v>515</v>
      </c>
    </row>
    <row r="16732" spans="1:7" x14ac:dyDescent="0.25">
      <c r="A16732" s="1" t="str">
        <f>"500782"</f>
        <v>500782</v>
      </c>
      <c r="B16732" s="2" t="str">
        <f>"O'RING VEDACAO EIXO PR60/125"</f>
        <v>O'RING VEDACAO EIXO PR60/125</v>
      </c>
      <c r="C16732" s="2" t="str">
        <f t="shared" si="658"/>
        <v>UN</v>
      </c>
      <c r="D16732" s="7">
        <v>909</v>
      </c>
      <c r="E16732" s="3">
        <v>11</v>
      </c>
      <c r="F16732" s="3">
        <v>11</v>
      </c>
      <c r="G16732" t="s">
        <v>512</v>
      </c>
    </row>
    <row r="16733" spans="1:7" x14ac:dyDescent="0.25">
      <c r="A16733" s="1" t="str">
        <f>"504273"</f>
        <v>504273</v>
      </c>
      <c r="B16733" s="2" t="str">
        <f>"O'RING VEDACAO REXROTH REF.572740000-2"</f>
        <v>O'RING VEDACAO REXROTH REF.572740000-2</v>
      </c>
      <c r="C16733" s="2" t="str">
        <f t="shared" si="658"/>
        <v>UN</v>
      </c>
      <c r="D16733" s="7">
        <v>812</v>
      </c>
      <c r="E16733" s="3">
        <v>10</v>
      </c>
      <c r="F16733" s="3">
        <v>10</v>
      </c>
      <c r="G16733" t="s">
        <v>516</v>
      </c>
    </row>
    <row r="16734" spans="1:7" x14ac:dyDescent="0.25">
      <c r="A16734" s="1" t="str">
        <f>"518230"</f>
        <v>518230</v>
      </c>
      <c r="B16734" s="2" t="str">
        <f>"ORQUIDEA"</f>
        <v>ORQUIDEA</v>
      </c>
      <c r="C16734" s="2" t="str">
        <f t="shared" si="658"/>
        <v>UN</v>
      </c>
      <c r="D16734" s="7">
        <v>1200</v>
      </c>
      <c r="E16734" s="3">
        <v>4</v>
      </c>
      <c r="F16734" s="3">
        <v>4</v>
      </c>
      <c r="G16734" t="s">
        <v>515</v>
      </c>
    </row>
    <row r="16735" spans="1:7" x14ac:dyDescent="0.25">
      <c r="A16735" s="1" t="str">
        <f>"513331"</f>
        <v>513331</v>
      </c>
      <c r="B16735" s="2" t="str">
        <f>"ORTO TOLIDINA S/I"</f>
        <v>ORTO TOLIDINA S/I</v>
      </c>
      <c r="C16735" s="2" t="str">
        <f t="shared" si="658"/>
        <v>UN</v>
      </c>
      <c r="D16735" s="7">
        <v>406</v>
      </c>
      <c r="E16735" s="3">
        <v>4</v>
      </c>
      <c r="F16735" s="3">
        <v>4</v>
      </c>
      <c r="G16735" t="s">
        <v>514</v>
      </c>
    </row>
    <row r="16736" spans="1:7" x14ac:dyDescent="0.25">
      <c r="A16736" s="1" t="str">
        <f>"527320"</f>
        <v>527320</v>
      </c>
      <c r="B16736" s="2" t="str">
        <f>"OTOSCOPIO POCKET JUNIOR 22840 WELCH ALLYN"</f>
        <v>OTOSCOPIO POCKET JUNIOR 22840 WELCH ALLYN</v>
      </c>
      <c r="C16736" s="2" t="str">
        <f t="shared" si="658"/>
        <v>UN</v>
      </c>
      <c r="D16736" s="7">
        <v>99999</v>
      </c>
      <c r="E16736" s="3">
        <v>99</v>
      </c>
      <c r="F16736" s="3">
        <v>99</v>
      </c>
      <c r="G16736" t="s">
        <v>512</v>
      </c>
    </row>
    <row r="16737" spans="1:7" x14ac:dyDescent="0.25">
      <c r="A16737" s="1" t="str">
        <f>"516920"</f>
        <v>516920</v>
      </c>
      <c r="B16737" s="2" t="str">
        <f>"OTOSCOPIO TK"</f>
        <v>OTOSCOPIO TK</v>
      </c>
      <c r="C16737" s="2" t="str">
        <f t="shared" si="658"/>
        <v>UN</v>
      </c>
      <c r="D16737" s="7">
        <v>817</v>
      </c>
      <c r="E16737" s="3">
        <v>4</v>
      </c>
      <c r="F16737" s="3">
        <v>4</v>
      </c>
      <c r="G16737" t="s">
        <v>513</v>
      </c>
    </row>
    <row r="16738" spans="1:7" x14ac:dyDescent="0.25">
      <c r="A16738" s="1" t="str">
        <f>"523643"</f>
        <v>523643</v>
      </c>
      <c r="B16738" s="2" t="str">
        <f>"OTOSCÓPIO TK MIKATOS"</f>
        <v>OTOSCÓPIO TK MIKATOS</v>
      </c>
      <c r="C16738" s="2" t="str">
        <f t="shared" si="658"/>
        <v>UN</v>
      </c>
      <c r="D16738" s="7">
        <v>99999</v>
      </c>
      <c r="E16738" s="3">
        <v>99</v>
      </c>
      <c r="F16738" s="3">
        <v>99</v>
      </c>
      <c r="G16738" t="s">
        <v>514</v>
      </c>
    </row>
    <row r="16739" spans="1:7" x14ac:dyDescent="0.25">
      <c r="A16739" s="1" t="str">
        <f>"517893"</f>
        <v>517893</v>
      </c>
      <c r="B16739" s="2" t="str">
        <f>"OTTO ACQUELLA 18LT 63420"</f>
        <v>OTTO ACQUELLA 18LT 63420</v>
      </c>
      <c r="C16739" s="2" t="str">
        <f t="shared" si="658"/>
        <v>UN</v>
      </c>
      <c r="D16739" s="7">
        <v>917</v>
      </c>
      <c r="E16739" s="3">
        <v>10</v>
      </c>
      <c r="F16739" s="3">
        <v>10</v>
      </c>
      <c r="G16739" t="s">
        <v>514</v>
      </c>
    </row>
    <row r="16740" spans="1:7" x14ac:dyDescent="0.25">
      <c r="A16740" s="1" t="str">
        <f>"508074"</f>
        <v>508074</v>
      </c>
      <c r="B16740" s="2" t="str">
        <f>"OURIFICIO CALIBRADO - INGERSOLL 50HP"</f>
        <v>OURIFICIO CALIBRADO - INGERSOLL 50HP</v>
      </c>
      <c r="C16740" s="2" t="str">
        <f t="shared" si="658"/>
        <v>UN</v>
      </c>
      <c r="D16740" s="7">
        <v>913</v>
      </c>
      <c r="E16740" s="3">
        <v>11</v>
      </c>
      <c r="F16740" s="3">
        <v>11</v>
      </c>
      <c r="G16740" t="s">
        <v>512</v>
      </c>
    </row>
    <row r="16741" spans="1:7" x14ac:dyDescent="0.25">
      <c r="A16741" s="1" t="str">
        <f>"526739"</f>
        <v>526739</v>
      </c>
      <c r="B16741" s="2" t="str">
        <f>"OURIFICIO DANFFOS"</f>
        <v>OURIFICIO DANFFOS</v>
      </c>
      <c r="C16741" s="2" t="str">
        <f t="shared" si="658"/>
        <v>UN</v>
      </c>
      <c r="D16741" s="7">
        <v>913</v>
      </c>
      <c r="E16741" s="3">
        <v>11</v>
      </c>
      <c r="F16741" s="3">
        <v>11</v>
      </c>
      <c r="G16741" t="s">
        <v>513</v>
      </c>
    </row>
    <row r="16742" spans="1:7" x14ac:dyDescent="0.25">
      <c r="A16742" s="1" t="str">
        <f>"515184"</f>
        <v>515184</v>
      </c>
      <c r="B16742" s="2" t="str">
        <f>"OVER LIFE 450ML"</f>
        <v>OVER LIFE 450ML</v>
      </c>
      <c r="C16742" s="2" t="str">
        <f t="shared" si="658"/>
        <v>UN</v>
      </c>
      <c r="D16742" s="7">
        <v>704</v>
      </c>
      <c r="E16742" s="3">
        <v>9</v>
      </c>
      <c r="F16742" s="3">
        <v>9</v>
      </c>
      <c r="G16742" t="s">
        <v>514</v>
      </c>
    </row>
    <row r="16743" spans="1:7" x14ac:dyDescent="0.25">
      <c r="A16743" s="1" t="str">
        <f>"515639"</f>
        <v>515639</v>
      </c>
      <c r="B16743" s="2" t="str">
        <f>"OVOS"</f>
        <v>OVOS</v>
      </c>
      <c r="C16743" s="2" t="str">
        <f t="shared" si="658"/>
        <v>UN</v>
      </c>
      <c r="D16743" s="7">
        <v>401</v>
      </c>
      <c r="E16743" s="3">
        <v>4</v>
      </c>
      <c r="F16743" s="3">
        <v>4</v>
      </c>
      <c r="G16743" t="s">
        <v>514</v>
      </c>
    </row>
    <row r="16744" spans="1:7" x14ac:dyDescent="0.25">
      <c r="A16744" s="1" t="str">
        <f>"515208"</f>
        <v>515208</v>
      </c>
      <c r="B16744" s="2" t="str">
        <f>"OXIDO DE VANADIO 1%"</f>
        <v>OXIDO DE VANADIO 1%</v>
      </c>
      <c r="C16744" s="2" t="str">
        <f t="shared" si="658"/>
        <v>UN</v>
      </c>
      <c r="D16744" s="7">
        <v>406</v>
      </c>
      <c r="E16744" s="3">
        <v>4</v>
      </c>
      <c r="F16744" s="3">
        <v>4</v>
      </c>
      <c r="G16744" t="s">
        <v>514</v>
      </c>
    </row>
    <row r="16745" spans="1:7" x14ac:dyDescent="0.25">
      <c r="A16745" s="1" t="str">
        <f>"524892"</f>
        <v>524892</v>
      </c>
      <c r="B16745" s="2" t="str">
        <f>"OXIMETRO DE PULSO DE DECO DELLAMED"</f>
        <v>OXIMETRO DE PULSO DE DECO DELLAMED</v>
      </c>
      <c r="C16745" s="2" t="str">
        <f t="shared" si="658"/>
        <v>UN</v>
      </c>
      <c r="D16745" s="7">
        <v>99999</v>
      </c>
      <c r="E16745" s="3">
        <v>99</v>
      </c>
      <c r="F16745" s="3">
        <v>99</v>
      </c>
      <c r="G16745" t="s">
        <v>513</v>
      </c>
    </row>
    <row r="16746" spans="1:7" x14ac:dyDescent="0.25">
      <c r="A16746" s="1" t="str">
        <f>"516167"</f>
        <v>516167</v>
      </c>
      <c r="B16746" s="2" t="str">
        <f>"OXIMIG ACIONADOR TIG TG544"</f>
        <v>OXIMIG ACIONADOR TIG TG544</v>
      </c>
      <c r="C16746" s="2" t="str">
        <f t="shared" si="658"/>
        <v>UN</v>
      </c>
      <c r="D16746" s="7">
        <v>816</v>
      </c>
      <c r="E16746" s="3">
        <v>11</v>
      </c>
      <c r="F16746" s="3">
        <v>11</v>
      </c>
      <c r="G16746" t="s">
        <v>512</v>
      </c>
    </row>
    <row r="16747" spans="1:7" x14ac:dyDescent="0.25">
      <c r="A16747" s="1" t="str">
        <f>"198"</f>
        <v>198</v>
      </c>
      <c r="B16747" s="2" t="str">
        <f>"OXÔNIA ATIVO 150 -  20L (21KG) - (ECOLAB)"</f>
        <v>OXÔNIA ATIVO 150 -  20L (21KG) - (ECOLAB)</v>
      </c>
      <c r="C16747" s="2" t="str">
        <f>"KG"</f>
        <v>KG</v>
      </c>
      <c r="D16747" s="7">
        <v>400</v>
      </c>
      <c r="E16747" s="3">
        <v>4</v>
      </c>
      <c r="F16747" s="3">
        <v>4</v>
      </c>
      <c r="G16747" t="s">
        <v>513</v>
      </c>
    </row>
    <row r="16748" spans="1:7" x14ac:dyDescent="0.25">
      <c r="A16748" s="1" t="str">
        <f>"525187"</f>
        <v>525187</v>
      </c>
      <c r="B16748" s="2" t="str">
        <f>"OXONIA TITULANTE 2/069"</f>
        <v>OXONIA TITULANTE 2/069</v>
      </c>
      <c r="C16748" s="2" t="str">
        <f>"UN"</f>
        <v>UN</v>
      </c>
      <c r="D16748" s="7">
        <v>99999</v>
      </c>
      <c r="E16748" s="3">
        <v>99</v>
      </c>
      <c r="F16748" s="3">
        <v>99</v>
      </c>
      <c r="G16748" t="s">
        <v>514</v>
      </c>
    </row>
    <row r="16749" spans="1:7" x14ac:dyDescent="0.25">
      <c r="A16749" s="1" t="str">
        <f>"202"</f>
        <v>202</v>
      </c>
      <c r="B16749" s="2" t="str">
        <f>"OXYSAN CM 60L (67,2KG) - (ECOLAB)"</f>
        <v>OXYSAN CM 60L (67,2KG) - (ECOLAB)</v>
      </c>
      <c r="C16749" s="2" t="str">
        <f>"KG"</f>
        <v>KG</v>
      </c>
      <c r="D16749" s="7">
        <v>400</v>
      </c>
      <c r="E16749" s="3">
        <v>4</v>
      </c>
      <c r="F16749" s="3">
        <v>4</v>
      </c>
      <c r="G16749" t="s">
        <v>514</v>
      </c>
    </row>
    <row r="16750" spans="1:7" x14ac:dyDescent="0.25">
      <c r="A16750" s="1" t="str">
        <f>"524831"</f>
        <v>524831</v>
      </c>
      <c r="B16750" s="2" t="str">
        <f>"OXYSAN CM BB 60L"</f>
        <v>OXYSAN CM BB 60L</v>
      </c>
      <c r="C16750" s="2" t="str">
        <f>"UN"</f>
        <v>UN</v>
      </c>
      <c r="D16750" s="7">
        <v>99999</v>
      </c>
      <c r="E16750" s="3">
        <v>99</v>
      </c>
      <c r="F16750" s="3">
        <v>99</v>
      </c>
      <c r="G16750" t="s">
        <v>514</v>
      </c>
    </row>
    <row r="16751" spans="1:7" x14ac:dyDescent="0.25">
      <c r="A16751" s="1" t="str">
        <f>"526454"</f>
        <v>526454</v>
      </c>
      <c r="B16751" s="2" t="str">
        <f>"OXY-SANITIZATION"</f>
        <v>OXY-SANITIZATION</v>
      </c>
      <c r="C16751" s="2" t="str">
        <f>"UN"</f>
        <v>UN</v>
      </c>
      <c r="D16751" s="7">
        <v>812</v>
      </c>
      <c r="E16751" s="3">
        <v>4</v>
      </c>
      <c r="F16751" s="3">
        <v>4</v>
      </c>
      <c r="G16751" t="s">
        <v>513</v>
      </c>
    </row>
    <row r="16752" spans="1:7" x14ac:dyDescent="0.25">
      <c r="A16752" s="1" t="str">
        <f>"514238"</f>
        <v>514238</v>
      </c>
      <c r="B16752" s="2" t="str">
        <f>"P 13"</f>
        <v>P 13</v>
      </c>
      <c r="C16752" s="2" t="str">
        <f>"UN"</f>
        <v>UN</v>
      </c>
      <c r="D16752" s="7">
        <v>818</v>
      </c>
      <c r="E16752" s="3">
        <v>10</v>
      </c>
      <c r="F16752" s="3">
        <v>10</v>
      </c>
      <c r="G16752" t="s">
        <v>513</v>
      </c>
    </row>
    <row r="16753" spans="1:7" x14ac:dyDescent="0.25">
      <c r="A16753" s="1" t="str">
        <f>"406"</f>
        <v>406</v>
      </c>
      <c r="B16753" s="2" t="str">
        <f>"P.S. BIC AZUL/BRANCO A.B. GREGO ZERO 301X0,90"</f>
        <v>P.S. BIC AZUL/BRANCO A.B. GREGO ZERO 301X0,90</v>
      </c>
      <c r="C16753" s="2" t="str">
        <f>"KG"</f>
        <v>KG</v>
      </c>
      <c r="D16753" s="7">
        <v>102</v>
      </c>
      <c r="E16753" s="3">
        <v>1</v>
      </c>
      <c r="F16753" s="3">
        <v>1</v>
      </c>
      <c r="G16753" t="s">
        <v>513</v>
      </c>
    </row>
    <row r="16754" spans="1:7" x14ac:dyDescent="0.25">
      <c r="A16754" s="1" t="str">
        <f>"4173"</f>
        <v>4173</v>
      </c>
      <c r="B16754" s="2" t="str">
        <f>"P.S. BICOLOR LILAS 546/BRANCO 0,80 X 322 DINI 300M PETIT"</f>
        <v>P.S. BICOLOR LILAS 546/BRANCO 0,80 X 322 DINI 300M PETIT</v>
      </c>
      <c r="C16754" s="2" t="str">
        <f>"UN"</f>
        <v>UN</v>
      </c>
      <c r="D16754" s="7">
        <v>102</v>
      </c>
      <c r="E16754" s="3">
        <v>1</v>
      </c>
      <c r="F16754" s="3">
        <v>1</v>
      </c>
      <c r="G16754" t="s">
        <v>512</v>
      </c>
    </row>
    <row r="16755" spans="1:7" x14ac:dyDescent="0.25">
      <c r="A16755" s="1" t="str">
        <f>"4034"</f>
        <v>4034</v>
      </c>
      <c r="B16755" s="2" t="str">
        <f>"P.S. BICOLOR VERM/BRANCO 0,80 X 322 DINI 300M PETIT"</f>
        <v>P.S. BICOLOR VERM/BRANCO 0,80 X 322 DINI 300M PETIT</v>
      </c>
      <c r="C16755" s="2" t="str">
        <f>"UN"</f>
        <v>UN</v>
      </c>
      <c r="D16755" s="7">
        <v>102</v>
      </c>
      <c r="E16755" s="3">
        <v>1</v>
      </c>
      <c r="F16755" s="3">
        <v>1</v>
      </c>
      <c r="G16755" t="s">
        <v>513</v>
      </c>
    </row>
    <row r="16756" spans="1:7" x14ac:dyDescent="0.25">
      <c r="A16756" s="1" t="str">
        <f>"397"</f>
        <v>397</v>
      </c>
      <c r="B16756" s="2" t="str">
        <f>"P.S. BICOLOR VERM/BRANCO A.BRILHO PETIT"</f>
        <v>P.S. BICOLOR VERM/BRANCO A.BRILHO PETIT</v>
      </c>
      <c r="C16756" s="2" t="str">
        <f t="shared" ref="C16756:C16764" si="659">"KG"</f>
        <v>KG</v>
      </c>
      <c r="D16756" s="7">
        <v>102</v>
      </c>
      <c r="E16756" s="3">
        <v>1</v>
      </c>
      <c r="F16756" s="3">
        <v>1</v>
      </c>
      <c r="G16756" t="s">
        <v>514</v>
      </c>
    </row>
    <row r="16757" spans="1:7" x14ac:dyDescent="0.25">
      <c r="A16757" s="1" t="str">
        <f>"1302"</f>
        <v>1302</v>
      </c>
      <c r="B16757" s="2" t="str">
        <f>"P.S. BRANCO C/BRILHO 403X0,85MM"</f>
        <v>P.S. BRANCO C/BRILHO 403X0,85MM</v>
      </c>
      <c r="C16757" s="2" t="str">
        <f t="shared" si="659"/>
        <v>KG</v>
      </c>
      <c r="D16757" s="7">
        <v>102</v>
      </c>
      <c r="E16757" s="3">
        <v>1</v>
      </c>
      <c r="F16757" s="3">
        <v>1</v>
      </c>
      <c r="G16757" t="s">
        <v>515</v>
      </c>
    </row>
    <row r="16758" spans="1:7" x14ac:dyDescent="0.25">
      <c r="A16758" s="1" t="str">
        <f>"1301"</f>
        <v>1301</v>
      </c>
      <c r="B16758" s="2" t="str">
        <f>"P.S. BRANCO C/BRILHO 403X0,87MM"</f>
        <v>P.S. BRANCO C/BRILHO 403X0,87MM</v>
      </c>
      <c r="C16758" s="2" t="str">
        <f t="shared" si="659"/>
        <v>KG</v>
      </c>
      <c r="D16758" s="7">
        <v>102</v>
      </c>
      <c r="E16758" s="3">
        <v>1</v>
      </c>
      <c r="F16758" s="3">
        <v>1</v>
      </c>
      <c r="G16758" t="s">
        <v>512</v>
      </c>
    </row>
    <row r="16759" spans="1:7" x14ac:dyDescent="0.25">
      <c r="A16759" s="1" t="str">
        <f>"1299"</f>
        <v>1299</v>
      </c>
      <c r="B16759" s="2" t="str">
        <f>"P.S. BRANCO C/BRILHO 403X0,90MM"</f>
        <v>P.S. BRANCO C/BRILHO 403X0,90MM</v>
      </c>
      <c r="C16759" s="2" t="str">
        <f t="shared" si="659"/>
        <v>KG</v>
      </c>
      <c r="D16759" s="7">
        <v>102</v>
      </c>
      <c r="E16759" s="3">
        <v>1</v>
      </c>
      <c r="F16759" s="3">
        <v>1</v>
      </c>
      <c r="G16759" t="s">
        <v>516</v>
      </c>
    </row>
    <row r="16760" spans="1:7" x14ac:dyDescent="0.25">
      <c r="A16760" s="1" t="str">
        <f>"1297"</f>
        <v>1297</v>
      </c>
      <c r="B16760" s="2" t="str">
        <f>"P.S. BRANCO C/BRILHO 403X0,95MM"</f>
        <v>P.S. BRANCO C/BRILHO 403X0,95MM</v>
      </c>
      <c r="C16760" s="2" t="str">
        <f t="shared" si="659"/>
        <v>KG</v>
      </c>
      <c r="D16760" s="7">
        <v>102</v>
      </c>
      <c r="E16760" s="3">
        <v>1</v>
      </c>
      <c r="F16760" s="3">
        <v>1</v>
      </c>
      <c r="G16760" t="s">
        <v>515</v>
      </c>
    </row>
    <row r="16761" spans="1:7" x14ac:dyDescent="0.25">
      <c r="A16761" s="1" t="str">
        <f>"4087"</f>
        <v>4087</v>
      </c>
      <c r="B16761" s="2" t="str">
        <f>"P.S. BRANCO C/BRILHO 524X0,90 - DMAX NOVA"</f>
        <v>P.S. BRANCO C/BRILHO 524X0,90 - DMAX NOVA</v>
      </c>
      <c r="C16761" s="2" t="str">
        <f t="shared" si="659"/>
        <v>KG</v>
      </c>
      <c r="D16761" s="7">
        <v>102</v>
      </c>
      <c r="E16761" s="3">
        <v>1</v>
      </c>
      <c r="F16761" s="3">
        <v>1</v>
      </c>
      <c r="G16761" t="s">
        <v>514</v>
      </c>
    </row>
    <row r="16762" spans="1:7" x14ac:dyDescent="0.25">
      <c r="A16762" s="1" t="str">
        <f>"7123"</f>
        <v>7123</v>
      </c>
      <c r="B16762" s="2" t="str">
        <f>"P.S. MARROM C/ BRILHO 424X1,25"</f>
        <v>P.S. MARROM C/ BRILHO 424X1,25</v>
      </c>
      <c r="C16762" s="2" t="str">
        <f t="shared" si="659"/>
        <v>KG</v>
      </c>
      <c r="D16762" s="7">
        <v>102</v>
      </c>
      <c r="E16762" s="3">
        <v>1</v>
      </c>
      <c r="F16762" s="3">
        <v>1</v>
      </c>
      <c r="G16762" t="s">
        <v>512</v>
      </c>
    </row>
    <row r="16763" spans="1:7" x14ac:dyDescent="0.25">
      <c r="A16763" s="1" t="str">
        <f>"4083"</f>
        <v>4083</v>
      </c>
      <c r="B16763" s="2" t="str">
        <f>"P.S. NATURAL C/ BRILHO 524X0,95"</f>
        <v>P.S. NATURAL C/ BRILHO 524X0,95</v>
      </c>
      <c r="C16763" s="2" t="str">
        <f t="shared" si="659"/>
        <v>KG</v>
      </c>
      <c r="D16763" s="7">
        <v>102</v>
      </c>
      <c r="E16763" s="3">
        <v>1</v>
      </c>
      <c r="F16763" s="3">
        <v>1</v>
      </c>
      <c r="G16763" t="s">
        <v>513</v>
      </c>
    </row>
    <row r="16764" spans="1:7" x14ac:dyDescent="0.25">
      <c r="A16764" s="1" t="str">
        <f>"4084"</f>
        <v>4084</v>
      </c>
      <c r="B16764" s="2" t="str">
        <f>"P.S. NATURAL C/ BRILHO 524X1,00"</f>
        <v>P.S. NATURAL C/ BRILHO 524X1,00</v>
      </c>
      <c r="C16764" s="2" t="str">
        <f t="shared" si="659"/>
        <v>KG</v>
      </c>
      <c r="D16764" s="7">
        <v>102</v>
      </c>
      <c r="E16764" s="3">
        <v>1</v>
      </c>
      <c r="F16764" s="3">
        <v>1</v>
      </c>
      <c r="G16764" t="s">
        <v>514</v>
      </c>
    </row>
    <row r="16765" spans="1:7" x14ac:dyDescent="0.25">
      <c r="A16765" s="1" t="str">
        <f>"3046"</f>
        <v>3046</v>
      </c>
      <c r="B16765" s="2" t="str">
        <f>"P.S. NATURAL C/BRILHO 0,80 X 322 DINI 300M PETI"</f>
        <v>P.S. NATURAL C/BRILHO 0,80 X 322 DINI 300M PETI</v>
      </c>
      <c r="C16765" s="2" t="str">
        <f>"UN"</f>
        <v>UN</v>
      </c>
      <c r="D16765" s="7">
        <v>102</v>
      </c>
      <c r="E16765" s="3">
        <v>1</v>
      </c>
      <c r="F16765" s="3">
        <v>1</v>
      </c>
      <c r="G16765" t="s">
        <v>514</v>
      </c>
    </row>
    <row r="16766" spans="1:7" x14ac:dyDescent="0.25">
      <c r="A16766" s="1" t="str">
        <f>"1296"</f>
        <v>1296</v>
      </c>
      <c r="B16766" s="2" t="str">
        <f>"P.S. NATURAL C/BRILHO 403X0,95MM"</f>
        <v>P.S. NATURAL C/BRILHO 403X0,95MM</v>
      </c>
      <c r="C16766" s="2" t="str">
        <f t="shared" ref="C16766:C16776" si="660">"KG"</f>
        <v>KG</v>
      </c>
      <c r="D16766" s="7">
        <v>102</v>
      </c>
      <c r="E16766" s="3">
        <v>1</v>
      </c>
      <c r="F16766" s="3">
        <v>1</v>
      </c>
      <c r="G16766" t="s">
        <v>512</v>
      </c>
    </row>
    <row r="16767" spans="1:7" x14ac:dyDescent="0.25">
      <c r="A16767" s="1" t="str">
        <f>"1298"</f>
        <v>1298</v>
      </c>
      <c r="B16767" s="2" t="str">
        <f>"P.S. NATURAL C/BRILHO 403X0,95MM"</f>
        <v>P.S. NATURAL C/BRILHO 403X0,95MM</v>
      </c>
      <c r="C16767" s="2" t="str">
        <f t="shared" si="660"/>
        <v>KG</v>
      </c>
      <c r="D16767" s="7">
        <v>102</v>
      </c>
      <c r="E16767" s="3">
        <v>1</v>
      </c>
      <c r="F16767" s="3">
        <v>1</v>
      </c>
      <c r="G16767" t="s">
        <v>513</v>
      </c>
    </row>
    <row r="16768" spans="1:7" x14ac:dyDescent="0.25">
      <c r="A16768" s="1" t="str">
        <f>"7152"</f>
        <v>7152</v>
      </c>
      <c r="B16768" s="2" t="str">
        <f>"P.S. NATURAL C/BRILHO 524X0,85"</f>
        <v>P.S. NATURAL C/BRILHO 524X0,85</v>
      </c>
      <c r="C16768" s="2" t="str">
        <f t="shared" si="660"/>
        <v>KG</v>
      </c>
      <c r="D16768" s="7">
        <v>102</v>
      </c>
      <c r="E16768" s="3">
        <v>1</v>
      </c>
      <c r="F16768" s="3">
        <v>1</v>
      </c>
      <c r="G16768" t="s">
        <v>514</v>
      </c>
    </row>
    <row r="16769" spans="1:7" x14ac:dyDescent="0.25">
      <c r="A16769" s="1" t="str">
        <f>"6780"</f>
        <v>6780</v>
      </c>
      <c r="B16769" s="2" t="str">
        <f>"P.S. NATURAL C/BRILHO 524X0,90"</f>
        <v>P.S. NATURAL C/BRILHO 524X0,90</v>
      </c>
      <c r="C16769" s="2" t="str">
        <f t="shared" si="660"/>
        <v>KG</v>
      </c>
      <c r="D16769" s="7">
        <v>102</v>
      </c>
      <c r="E16769" s="3">
        <v>1</v>
      </c>
      <c r="F16769" s="3">
        <v>1</v>
      </c>
      <c r="G16769" t="s">
        <v>514</v>
      </c>
    </row>
    <row r="16770" spans="1:7" x14ac:dyDescent="0.25">
      <c r="A16770" s="1" t="str">
        <f>"7153"</f>
        <v>7153</v>
      </c>
      <c r="B16770" s="2" t="str">
        <f>"P.S. NATURAL C/BRILHO 524X0,90"</f>
        <v>P.S. NATURAL C/BRILHO 524X0,90</v>
      </c>
      <c r="C16770" s="2" t="str">
        <f t="shared" si="660"/>
        <v>KG</v>
      </c>
      <c r="D16770" s="7">
        <v>102</v>
      </c>
      <c r="E16770" s="3">
        <v>1</v>
      </c>
      <c r="F16770" s="3">
        <v>1</v>
      </c>
      <c r="G16770" t="s">
        <v>514</v>
      </c>
    </row>
    <row r="16771" spans="1:7" x14ac:dyDescent="0.25">
      <c r="A16771" s="1" t="str">
        <f>"7128"</f>
        <v>7128</v>
      </c>
      <c r="B16771" s="2" t="str">
        <f>"P.S. NATURAL C/BRILHO 524X0,95"</f>
        <v>P.S. NATURAL C/BRILHO 524X0,95</v>
      </c>
      <c r="C16771" s="2" t="str">
        <f t="shared" si="660"/>
        <v>KG</v>
      </c>
      <c r="D16771" s="7">
        <v>102</v>
      </c>
      <c r="E16771" s="3">
        <v>1</v>
      </c>
      <c r="F16771" s="3">
        <v>1</v>
      </c>
      <c r="G16771" t="s">
        <v>513</v>
      </c>
    </row>
    <row r="16772" spans="1:7" x14ac:dyDescent="0.25">
      <c r="A16772" s="1" t="str">
        <f>"6829"</f>
        <v>6829</v>
      </c>
      <c r="B16772" s="2" t="str">
        <f>"P.S. NATURAL C/BRILHO GREGO 301X0,80"</f>
        <v>P.S. NATURAL C/BRILHO GREGO 301X0,80</v>
      </c>
      <c r="C16772" s="2" t="str">
        <f t="shared" si="660"/>
        <v>KG</v>
      </c>
      <c r="D16772" s="7">
        <v>102</v>
      </c>
      <c r="E16772" s="3">
        <v>1</v>
      </c>
      <c r="F16772" s="3">
        <v>1</v>
      </c>
      <c r="G16772" t="s">
        <v>512</v>
      </c>
    </row>
    <row r="16773" spans="1:7" x14ac:dyDescent="0.25">
      <c r="A16773" s="1" t="str">
        <f>"6865"</f>
        <v>6865</v>
      </c>
      <c r="B16773" s="2" t="str">
        <f>"P.S. NATURAL C/BRILHO GREGO 301X0,80"</f>
        <v>P.S. NATURAL C/BRILHO GREGO 301X0,80</v>
      </c>
      <c r="C16773" s="2" t="str">
        <f t="shared" si="660"/>
        <v>KG</v>
      </c>
      <c r="D16773" s="7">
        <v>102</v>
      </c>
      <c r="E16773" s="3">
        <v>1</v>
      </c>
      <c r="F16773" s="3">
        <v>1</v>
      </c>
      <c r="G16773" t="s">
        <v>513</v>
      </c>
    </row>
    <row r="16774" spans="1:7" x14ac:dyDescent="0.25">
      <c r="A16774" s="1" t="str">
        <f>"3330"</f>
        <v>3330</v>
      </c>
      <c r="B16774" s="2" t="str">
        <f>"P.S. NATURAL C/BRILHO PETIT 424X0,85"</f>
        <v>P.S. NATURAL C/BRILHO PETIT 424X0,85</v>
      </c>
      <c r="C16774" s="2" t="str">
        <f t="shared" si="660"/>
        <v>KG</v>
      </c>
      <c r="D16774" s="7">
        <v>102</v>
      </c>
      <c r="E16774" s="3">
        <v>1</v>
      </c>
      <c r="F16774" s="3">
        <v>1</v>
      </c>
      <c r="G16774" t="s">
        <v>514</v>
      </c>
    </row>
    <row r="16775" spans="1:7" x14ac:dyDescent="0.25">
      <c r="A16775" s="1" t="str">
        <f>"5986"</f>
        <v>5986</v>
      </c>
      <c r="B16775" s="2" t="str">
        <f>"P.S. NATURAL C/BRILHO PETIT 424X0,90"</f>
        <v>P.S. NATURAL C/BRILHO PETIT 424X0,90</v>
      </c>
      <c r="C16775" s="2" t="str">
        <f t="shared" si="660"/>
        <v>KG</v>
      </c>
      <c r="D16775" s="7">
        <v>102</v>
      </c>
      <c r="E16775" s="3">
        <v>1</v>
      </c>
      <c r="F16775" s="3">
        <v>1</v>
      </c>
      <c r="G16775" t="s">
        <v>514</v>
      </c>
    </row>
    <row r="16776" spans="1:7" x14ac:dyDescent="0.25">
      <c r="A16776" s="1" t="str">
        <f>"7151"</f>
        <v>7151</v>
      </c>
      <c r="B16776" s="2" t="str">
        <f>"P.S. NATURAL FOSCAO EXPANDIDO 524X1,05"</f>
        <v>P.S. NATURAL FOSCAO EXPANDIDO 524X1,05</v>
      </c>
      <c r="C16776" s="2" t="str">
        <f t="shared" si="660"/>
        <v>KG</v>
      </c>
      <c r="D16776" s="7">
        <v>102</v>
      </c>
      <c r="E16776" s="3">
        <v>1</v>
      </c>
      <c r="F16776" s="3">
        <v>1</v>
      </c>
      <c r="G16776" t="s">
        <v>514</v>
      </c>
    </row>
    <row r="16777" spans="1:7" x14ac:dyDescent="0.25">
      <c r="A16777" s="1" t="str">
        <f>"506567"</f>
        <v>506567</v>
      </c>
      <c r="B16777" s="2" t="str">
        <f>"P.U B R - 9617"</f>
        <v>P.U B R - 9617</v>
      </c>
      <c r="C16777" s="2" t="str">
        <f t="shared" ref="C16777:C16784" si="661">"UN"</f>
        <v>UN</v>
      </c>
      <c r="D16777" s="7">
        <v>917</v>
      </c>
      <c r="E16777" s="3">
        <v>11</v>
      </c>
      <c r="F16777" s="3">
        <v>11</v>
      </c>
      <c r="G16777" t="s">
        <v>513</v>
      </c>
    </row>
    <row r="16778" spans="1:7" x14ac:dyDescent="0.25">
      <c r="A16778" s="1" t="str">
        <f>"517516"</f>
        <v>517516</v>
      </c>
      <c r="B16778" s="2" t="str">
        <f>"P3.SR 10BAR TC.38"</f>
        <v>P3.SR 10BAR TC.38</v>
      </c>
      <c r="C16778" s="2" t="str">
        <f t="shared" si="661"/>
        <v>UN</v>
      </c>
      <c r="D16778" s="7">
        <v>918</v>
      </c>
      <c r="E16778" s="3">
        <v>11</v>
      </c>
      <c r="F16778" s="3">
        <v>11</v>
      </c>
      <c r="G16778" t="s">
        <v>513</v>
      </c>
    </row>
    <row r="16779" spans="1:7" x14ac:dyDescent="0.25">
      <c r="A16779" s="1" t="str">
        <f>"522706"</f>
        <v>522706</v>
      </c>
      <c r="B16779" s="2" t="str">
        <f>"PÁ COLETORA SEM CABO (COR AMARELO CÓD. 80201)"</f>
        <v>PÁ COLETORA SEM CABO (COR AMARELO CÓD. 80201)</v>
      </c>
      <c r="C16779" s="2" t="str">
        <f t="shared" si="661"/>
        <v>UN</v>
      </c>
      <c r="D16779" s="7">
        <v>400</v>
      </c>
      <c r="E16779" s="3">
        <v>4</v>
      </c>
      <c r="F16779" s="3">
        <v>4</v>
      </c>
      <c r="G16779" t="s">
        <v>513</v>
      </c>
    </row>
    <row r="16780" spans="1:7" x14ac:dyDescent="0.25">
      <c r="A16780" s="1" t="str">
        <f>"521261"</f>
        <v>521261</v>
      </c>
      <c r="B16780" s="2" t="str">
        <f>"PÁ COLETORA SEM CABO (COR MARROM CÓD. 80201)"</f>
        <v>PÁ COLETORA SEM CABO (COR MARROM CÓD. 80201)</v>
      </c>
      <c r="C16780" s="2" t="str">
        <f t="shared" si="661"/>
        <v>UN</v>
      </c>
      <c r="D16780" s="7">
        <v>400</v>
      </c>
      <c r="E16780" s="3">
        <v>4</v>
      </c>
      <c r="F16780" s="3">
        <v>4</v>
      </c>
      <c r="G16780" t="s">
        <v>512</v>
      </c>
    </row>
    <row r="16781" spans="1:7" x14ac:dyDescent="0.25">
      <c r="A16781" s="1" t="str">
        <f>"522209"</f>
        <v>522209</v>
      </c>
      <c r="B16781" s="2" t="str">
        <f>"PÁ COLETORA SEM CABO (COR ROXO CÓD. 80201)"</f>
        <v>PÁ COLETORA SEM CABO (COR ROXO CÓD. 80201)</v>
      </c>
      <c r="C16781" s="2" t="str">
        <f t="shared" si="661"/>
        <v>UN</v>
      </c>
      <c r="D16781" s="7">
        <v>400</v>
      </c>
      <c r="E16781" s="3">
        <v>4</v>
      </c>
      <c r="F16781" s="3">
        <v>4</v>
      </c>
      <c r="G16781" t="s">
        <v>513</v>
      </c>
    </row>
    <row r="16782" spans="1:7" x14ac:dyDescent="0.25">
      <c r="A16782" s="1" t="str">
        <f>"521231"</f>
        <v>521231</v>
      </c>
      <c r="B16782" s="2" t="str">
        <f>"PÁ COLETORA SEM CABO (COR VERDE CÓD. 80201)"</f>
        <v>PÁ COLETORA SEM CABO (COR VERDE CÓD. 80201)</v>
      </c>
      <c r="C16782" s="2" t="str">
        <f t="shared" si="661"/>
        <v>UN</v>
      </c>
      <c r="D16782" s="7">
        <v>400</v>
      </c>
      <c r="E16782" s="3">
        <v>4</v>
      </c>
      <c r="F16782" s="3">
        <v>4</v>
      </c>
      <c r="G16782" t="s">
        <v>514</v>
      </c>
    </row>
    <row r="16783" spans="1:7" x14ac:dyDescent="0.25">
      <c r="A16783" s="1" t="str">
        <f>"523504"</f>
        <v>523504</v>
      </c>
      <c r="B16783" s="2" t="str">
        <f>"PÁ COLETORA SEM CABO (COR VERMELHO CÓD. 80201)"</f>
        <v>PÁ COLETORA SEM CABO (COR VERMELHO CÓD. 80201)</v>
      </c>
      <c r="C16783" s="2" t="str">
        <f t="shared" si="661"/>
        <v>UN</v>
      </c>
      <c r="D16783" s="7">
        <v>400</v>
      </c>
      <c r="E16783" s="3">
        <v>4</v>
      </c>
      <c r="F16783" s="3">
        <v>4</v>
      </c>
      <c r="G16783" t="s">
        <v>515</v>
      </c>
    </row>
    <row r="16784" spans="1:7" x14ac:dyDescent="0.25">
      <c r="A16784" s="1" t="str">
        <f>"521072"</f>
        <v>521072</v>
      </c>
      <c r="B16784" s="2" t="str">
        <f>"PÁ DE LIXO (COR ROXO CÓD. 80301)"</f>
        <v>PÁ DE LIXO (COR ROXO CÓD. 80301)</v>
      </c>
      <c r="C16784" s="2" t="str">
        <f t="shared" si="661"/>
        <v>UN</v>
      </c>
      <c r="D16784" s="7">
        <v>400</v>
      </c>
      <c r="E16784" s="3">
        <v>4</v>
      </c>
      <c r="F16784" s="3">
        <v>4</v>
      </c>
      <c r="G16784" t="s">
        <v>512</v>
      </c>
    </row>
    <row r="16785" spans="1:7" x14ac:dyDescent="0.25">
      <c r="A16785" s="1" t="str">
        <f>"3466"</f>
        <v>3466</v>
      </c>
      <c r="B16785" s="2" t="str">
        <f>"PA DE LIXO C/ CABO LONGO"</f>
        <v>PA DE LIXO C/ CABO LONGO</v>
      </c>
      <c r="C16785" s="2" t="str">
        <f>"PC"</f>
        <v>PC</v>
      </c>
      <c r="D16785" s="7">
        <v>400</v>
      </c>
      <c r="E16785" s="3">
        <v>4</v>
      </c>
      <c r="F16785" s="3">
        <v>4</v>
      </c>
      <c r="G16785" t="s">
        <v>516</v>
      </c>
    </row>
    <row r="16786" spans="1:7" x14ac:dyDescent="0.25">
      <c r="A16786" s="1" t="str">
        <f>"521250"</f>
        <v>521250</v>
      </c>
      <c r="B16786" s="2" t="str">
        <f>"PÁ DE MÃO (COR CINZA CÓD. 15106)"</f>
        <v>PÁ DE MÃO (COR CINZA CÓD. 15106)</v>
      </c>
      <c r="C16786" s="2" t="str">
        <f t="shared" ref="C16786:C16817" si="662">"UN"</f>
        <v>UN</v>
      </c>
      <c r="D16786" s="7">
        <v>400</v>
      </c>
      <c r="E16786" s="3">
        <v>4</v>
      </c>
      <c r="F16786" s="3">
        <v>4</v>
      </c>
      <c r="G16786" t="s">
        <v>515</v>
      </c>
    </row>
    <row r="16787" spans="1:7" x14ac:dyDescent="0.25">
      <c r="A16787" s="1" t="str">
        <f>"516030"</f>
        <v>516030</v>
      </c>
      <c r="B16787" s="2" t="str">
        <f>"PÁ DE PEDREIRO"</f>
        <v>PÁ DE PEDREIRO</v>
      </c>
      <c r="C16787" s="2" t="str">
        <f t="shared" si="662"/>
        <v>UN</v>
      </c>
      <c r="D16787" s="7">
        <v>403</v>
      </c>
      <c r="E16787" s="3">
        <v>10</v>
      </c>
      <c r="F16787" s="3">
        <v>10</v>
      </c>
      <c r="G16787" t="s">
        <v>514</v>
      </c>
    </row>
    <row r="16788" spans="1:7" x14ac:dyDescent="0.25">
      <c r="A16788" s="1" t="str">
        <f>"573819"</f>
        <v>573819</v>
      </c>
      <c r="B16788" s="2" t="str">
        <f>"PA PARA BOLO"</f>
        <v>PA PARA BOLO</v>
      </c>
      <c r="C16788" s="2" t="str">
        <f t="shared" si="662"/>
        <v>UN</v>
      </c>
      <c r="D16788" s="7">
        <v>99999</v>
      </c>
      <c r="E16788" s="3">
        <v>99</v>
      </c>
      <c r="F16788" s="3">
        <v>99</v>
      </c>
      <c r="G16788" t="s">
        <v>512</v>
      </c>
    </row>
    <row r="16789" spans="1:7" x14ac:dyDescent="0.25">
      <c r="A16789" s="1" t="str">
        <f>"PA PARA BOLO"</f>
        <v>PA PARA BOLO</v>
      </c>
      <c r="B16789" s="2" t="str">
        <f>"PA PARA BOLO"</f>
        <v>PA PARA BOLO</v>
      </c>
      <c r="C16789" s="2" t="str">
        <f t="shared" si="662"/>
        <v>UN</v>
      </c>
      <c r="D16789" s="7">
        <v>99999</v>
      </c>
      <c r="E16789" s="3">
        <v>99</v>
      </c>
      <c r="F16789" s="3">
        <v>99</v>
      </c>
      <c r="G16789" t="s">
        <v>513</v>
      </c>
    </row>
    <row r="16790" spans="1:7" x14ac:dyDescent="0.25">
      <c r="A16790" s="1" t="str">
        <f>"514813"</f>
        <v>514813</v>
      </c>
      <c r="B16790" s="2" t="str">
        <f>"PABX 16 PORTAS ENCORE"</f>
        <v>PABX 16 PORTAS ENCORE</v>
      </c>
      <c r="C16790" s="2" t="str">
        <f t="shared" si="662"/>
        <v>UN</v>
      </c>
      <c r="D16790" s="7">
        <v>811</v>
      </c>
      <c r="E16790" s="3">
        <v>4</v>
      </c>
      <c r="F16790" s="3">
        <v>4</v>
      </c>
      <c r="G16790" t="s">
        <v>514</v>
      </c>
    </row>
    <row r="16791" spans="1:7" x14ac:dyDescent="0.25">
      <c r="A16791" s="1" t="str">
        <f>"513664"</f>
        <v>513664</v>
      </c>
      <c r="B16791" s="2" t="str">
        <f>"PABX INTELBRAS IMPACTA 16 2TR 4RAM"</f>
        <v>PABX INTELBRAS IMPACTA 16 2TR 4RAM</v>
      </c>
      <c r="C16791" s="2" t="str">
        <f t="shared" si="662"/>
        <v>UN</v>
      </c>
      <c r="D16791" s="7">
        <v>811</v>
      </c>
      <c r="E16791" s="3">
        <v>8</v>
      </c>
      <c r="F16791" s="3">
        <v>8</v>
      </c>
      <c r="G16791" t="s">
        <v>514</v>
      </c>
    </row>
    <row r="16792" spans="1:7" x14ac:dyDescent="0.25">
      <c r="A16792" s="1" t="str">
        <f>"514655"</f>
        <v>514655</v>
      </c>
      <c r="B16792" s="2" t="str">
        <f>"PABX MODULARE"</f>
        <v>PABX MODULARE</v>
      </c>
      <c r="C16792" s="2" t="str">
        <f t="shared" si="662"/>
        <v>UN</v>
      </c>
      <c r="D16792" s="7">
        <v>601</v>
      </c>
      <c r="E16792" s="3">
        <v>8</v>
      </c>
      <c r="F16792" s="3">
        <v>8</v>
      </c>
      <c r="G16792" t="s">
        <v>512</v>
      </c>
    </row>
    <row r="16793" spans="1:7" x14ac:dyDescent="0.25">
      <c r="A16793" s="1" t="str">
        <f>"515238"</f>
        <v>515238</v>
      </c>
      <c r="B16793" s="2" t="str">
        <f>"PACE AÇAO TOTAL"</f>
        <v>PACE AÇAO TOTAL</v>
      </c>
      <c r="C16793" s="2" t="str">
        <f t="shared" si="662"/>
        <v>UN</v>
      </c>
      <c r="D16793" s="7">
        <v>401</v>
      </c>
      <c r="E16793" s="3">
        <v>4</v>
      </c>
      <c r="F16793" s="3">
        <v>4</v>
      </c>
      <c r="G16793" t="s">
        <v>513</v>
      </c>
    </row>
    <row r="16794" spans="1:7" x14ac:dyDescent="0.25">
      <c r="A16794" s="1" t="str">
        <f>"520726"</f>
        <v>520726</v>
      </c>
      <c r="B16794" s="2" t="str">
        <f>"PAÇOQUINHA TABLETE"</f>
        <v>PAÇOQUINHA TABLETE</v>
      </c>
      <c r="C16794" s="2" t="str">
        <f t="shared" si="662"/>
        <v>UN</v>
      </c>
      <c r="D16794" s="7">
        <v>99999</v>
      </c>
      <c r="E16794" s="3">
        <v>99</v>
      </c>
      <c r="F16794" s="3">
        <v>99</v>
      </c>
      <c r="G16794" t="s">
        <v>514</v>
      </c>
    </row>
    <row r="16795" spans="1:7" x14ac:dyDescent="0.25">
      <c r="A16795" s="1" t="str">
        <f>"518226"</f>
        <v>518226</v>
      </c>
      <c r="B16795" s="2" t="str">
        <f>"PACOTE SERVIÇO (REVISÃO)"</f>
        <v>PACOTE SERVIÇO (REVISÃO)</v>
      </c>
      <c r="C16795" s="2" t="str">
        <f t="shared" si="662"/>
        <v>UN</v>
      </c>
      <c r="D16795" s="7">
        <v>704</v>
      </c>
      <c r="E16795" s="3">
        <v>10</v>
      </c>
      <c r="F16795" s="3">
        <v>10</v>
      </c>
      <c r="G16795" t="s">
        <v>514</v>
      </c>
    </row>
    <row r="16796" spans="1:7" x14ac:dyDescent="0.25">
      <c r="A16796" s="1" t="str">
        <f>"512428"</f>
        <v>512428</v>
      </c>
      <c r="B16796" s="2" t="str">
        <f>"PAD MOUSE APOIO ERG. GEL BLACK LEADER"</f>
        <v>PAD MOUSE APOIO ERG. GEL BLACK LEADER</v>
      </c>
      <c r="C16796" s="2" t="str">
        <f t="shared" si="662"/>
        <v>UN</v>
      </c>
      <c r="D16796" s="7">
        <v>401</v>
      </c>
      <c r="E16796" s="3">
        <v>4</v>
      </c>
      <c r="F16796" s="3">
        <v>4</v>
      </c>
      <c r="G16796" t="s">
        <v>514</v>
      </c>
    </row>
    <row r="16797" spans="1:7" x14ac:dyDescent="0.25">
      <c r="A16797" s="1" t="str">
        <f>"523918"</f>
        <v>523918</v>
      </c>
      <c r="B16797" s="2" t="str">
        <f>"PADRAO DQO 1000 MG/L EMBALAGEM DE 200 ML"</f>
        <v>PADRAO DQO 1000 MG/L EMBALAGEM DE 200 ML</v>
      </c>
      <c r="C16797" s="2" t="str">
        <f t="shared" si="662"/>
        <v>UN</v>
      </c>
      <c r="D16797" s="7">
        <v>99999</v>
      </c>
      <c r="E16797" s="3">
        <v>99</v>
      </c>
      <c r="F16797" s="3">
        <v>99</v>
      </c>
      <c r="G16797" t="s">
        <v>513</v>
      </c>
    </row>
    <row r="16798" spans="1:7" x14ac:dyDescent="0.25">
      <c r="A16798" s="1" t="str">
        <f>"512268"</f>
        <v>512268</v>
      </c>
      <c r="B16798" s="2" t="str">
        <f>"PADRONIZADORA MRPX309"</f>
        <v>PADRONIZADORA MRPX309</v>
      </c>
      <c r="C16798" s="2" t="str">
        <f t="shared" si="662"/>
        <v>UN</v>
      </c>
      <c r="D16798" s="7">
        <v>915</v>
      </c>
      <c r="E16798" s="3">
        <v>11</v>
      </c>
      <c r="F16798" s="3">
        <v>11</v>
      </c>
      <c r="G16798" t="s">
        <v>512</v>
      </c>
    </row>
    <row r="16799" spans="1:7" x14ac:dyDescent="0.25">
      <c r="A16799" s="1" t="str">
        <f>"516632"</f>
        <v>516632</v>
      </c>
      <c r="B16799" s="2" t="str">
        <f>"PAETE MARINHO"</f>
        <v>PAETE MARINHO</v>
      </c>
      <c r="C16799" s="2" t="str">
        <f t="shared" si="662"/>
        <v>UN</v>
      </c>
      <c r="D16799" s="7">
        <v>401</v>
      </c>
      <c r="E16799" s="3">
        <v>4</v>
      </c>
      <c r="F16799" s="3">
        <v>4</v>
      </c>
      <c r="G16799" t="s">
        <v>513</v>
      </c>
    </row>
    <row r="16800" spans="1:7" x14ac:dyDescent="0.25">
      <c r="A16800" s="1" t="str">
        <f>"516633"</f>
        <v>516633</v>
      </c>
      <c r="B16800" s="2" t="str">
        <f>"PAETE VISCOLY"</f>
        <v>PAETE VISCOLY</v>
      </c>
      <c r="C16800" s="2" t="str">
        <f t="shared" si="662"/>
        <v>UN</v>
      </c>
      <c r="D16800" s="7">
        <v>401</v>
      </c>
      <c r="E16800" s="3">
        <v>4</v>
      </c>
      <c r="F16800" s="3">
        <v>4</v>
      </c>
      <c r="G16800" t="s">
        <v>514</v>
      </c>
    </row>
    <row r="16801" spans="1:7" x14ac:dyDescent="0.25">
      <c r="A16801" s="1" t="str">
        <f>"525289"</f>
        <v>525289</v>
      </c>
      <c r="B16801" s="2" t="str">
        <f>"PAINEL"</f>
        <v>PAINEL</v>
      </c>
      <c r="C16801" s="2" t="str">
        <f t="shared" si="662"/>
        <v>UN</v>
      </c>
      <c r="D16801" s="7">
        <v>99999</v>
      </c>
      <c r="E16801" s="3">
        <v>99</v>
      </c>
      <c r="F16801" s="3">
        <v>99</v>
      </c>
      <c r="G16801" t="s">
        <v>514</v>
      </c>
    </row>
    <row r="16802" spans="1:7" x14ac:dyDescent="0.25">
      <c r="A16802" s="1" t="str">
        <f>"527433"</f>
        <v>527433</v>
      </c>
      <c r="B16802" s="2" t="str">
        <f>"PAINEL - 6211696 P/ BALANÇA"</f>
        <v>PAINEL - 6211696 P/ BALANÇA</v>
      </c>
      <c r="C16802" s="2" t="str">
        <f t="shared" si="662"/>
        <v>UN</v>
      </c>
      <c r="D16802" s="7">
        <v>900</v>
      </c>
      <c r="E16802" s="3">
        <v>11</v>
      </c>
      <c r="F16802" s="3">
        <v>11</v>
      </c>
      <c r="G16802" t="s">
        <v>514</v>
      </c>
    </row>
    <row r="16803" spans="1:7" x14ac:dyDescent="0.25">
      <c r="A16803" s="1" t="str">
        <f>"526059"</f>
        <v>526059</v>
      </c>
      <c r="B16803" s="2" t="str">
        <f>"PAINEL 1000 X 1200 X400MM"</f>
        <v>PAINEL 1000 X 1200 X400MM</v>
      </c>
      <c r="C16803" s="2" t="str">
        <f t="shared" si="662"/>
        <v>UN</v>
      </c>
      <c r="D16803" s="7">
        <v>600</v>
      </c>
      <c r="E16803" s="3">
        <v>8</v>
      </c>
      <c r="F16803" s="3">
        <v>8</v>
      </c>
      <c r="G16803" t="s">
        <v>513</v>
      </c>
    </row>
    <row r="16804" spans="1:7" x14ac:dyDescent="0.25">
      <c r="A16804" s="1" t="str">
        <f>"520473"</f>
        <v>520473</v>
      </c>
      <c r="B16804" s="2" t="str">
        <f>"PAINEL 1000X1200X350MM"</f>
        <v>PAINEL 1000X1200X350MM</v>
      </c>
      <c r="C16804" s="2" t="str">
        <f t="shared" si="662"/>
        <v>UN</v>
      </c>
      <c r="D16804" s="7">
        <v>600</v>
      </c>
      <c r="E16804" s="3">
        <v>8</v>
      </c>
      <c r="F16804" s="3">
        <v>8</v>
      </c>
      <c r="G16804" t="s">
        <v>513</v>
      </c>
    </row>
    <row r="16805" spans="1:7" x14ac:dyDescent="0.25">
      <c r="A16805" s="1" t="str">
        <f>"509776"</f>
        <v>509776</v>
      </c>
      <c r="B16805" s="2" t="str">
        <f>"PAINEL 1000X600X350MM"</f>
        <v>PAINEL 1000X600X350MM</v>
      </c>
      <c r="C16805" s="2" t="str">
        <f t="shared" si="662"/>
        <v>UN</v>
      </c>
      <c r="D16805" s="7">
        <v>600</v>
      </c>
      <c r="E16805" s="3">
        <v>8</v>
      </c>
      <c r="F16805" s="3">
        <v>8</v>
      </c>
      <c r="G16805" t="s">
        <v>513</v>
      </c>
    </row>
    <row r="16806" spans="1:7" x14ac:dyDescent="0.25">
      <c r="A16806" s="1" t="str">
        <f>"511977"</f>
        <v>511977</v>
      </c>
      <c r="B16806" s="2" t="str">
        <f>"PAINEL 1000X800X200MM"</f>
        <v>PAINEL 1000X800X200MM</v>
      </c>
      <c r="C16806" s="2" t="str">
        <f t="shared" si="662"/>
        <v>UN</v>
      </c>
      <c r="D16806" s="7">
        <v>600</v>
      </c>
      <c r="E16806" s="3">
        <v>8</v>
      </c>
      <c r="F16806" s="3">
        <v>8</v>
      </c>
      <c r="G16806" t="s">
        <v>512</v>
      </c>
    </row>
    <row r="16807" spans="1:7" x14ac:dyDescent="0.25">
      <c r="A16807" s="1" t="str">
        <f>"506040"</f>
        <v>506040</v>
      </c>
      <c r="B16807" s="2" t="str">
        <f>"PAINEL 1200X1000X250MM"</f>
        <v>PAINEL 1200X1000X250MM</v>
      </c>
      <c r="C16807" s="2" t="str">
        <f t="shared" si="662"/>
        <v>UN</v>
      </c>
      <c r="D16807" s="7">
        <v>600</v>
      </c>
      <c r="E16807" s="3">
        <v>8</v>
      </c>
      <c r="F16807" s="3">
        <v>8</v>
      </c>
      <c r="G16807" t="s">
        <v>513</v>
      </c>
    </row>
    <row r="16808" spans="1:7" x14ac:dyDescent="0.25">
      <c r="A16808" s="1" t="str">
        <f>"511252"</f>
        <v>511252</v>
      </c>
      <c r="B16808" s="2" t="str">
        <f>"PAINEL 1200X1000X350MM"</f>
        <v>PAINEL 1200X1000X350MM</v>
      </c>
      <c r="C16808" s="2" t="str">
        <f t="shared" si="662"/>
        <v>UN</v>
      </c>
      <c r="D16808" s="7">
        <v>600</v>
      </c>
      <c r="E16808" s="3">
        <v>8</v>
      </c>
      <c r="F16808" s="3">
        <v>8</v>
      </c>
      <c r="G16808" t="s">
        <v>514</v>
      </c>
    </row>
    <row r="16809" spans="1:7" x14ac:dyDescent="0.25">
      <c r="A16809" s="1" t="str">
        <f>"516524"</f>
        <v>516524</v>
      </c>
      <c r="B16809" s="2" t="str">
        <f>"PAINEL 1200X1200X350MM"</f>
        <v>PAINEL 1200X1200X350MM</v>
      </c>
      <c r="C16809" s="2" t="str">
        <f t="shared" si="662"/>
        <v>UN</v>
      </c>
      <c r="D16809" s="7">
        <v>811</v>
      </c>
      <c r="E16809" s="3">
        <v>8</v>
      </c>
      <c r="F16809" s="3">
        <v>8</v>
      </c>
      <c r="G16809" t="s">
        <v>515</v>
      </c>
    </row>
    <row r="16810" spans="1:7" x14ac:dyDescent="0.25">
      <c r="A16810" s="1" t="str">
        <f>"507064"</f>
        <v>507064</v>
      </c>
      <c r="B16810" s="2" t="str">
        <f>"PAINEL 1200X1900X400MM"</f>
        <v>PAINEL 1200X1900X400MM</v>
      </c>
      <c r="C16810" s="2" t="str">
        <f t="shared" si="662"/>
        <v>UN</v>
      </c>
      <c r="D16810" s="7">
        <v>811</v>
      </c>
      <c r="E16810" s="3">
        <v>8</v>
      </c>
      <c r="F16810" s="3">
        <v>8</v>
      </c>
      <c r="G16810" t="s">
        <v>512</v>
      </c>
    </row>
    <row r="16811" spans="1:7" x14ac:dyDescent="0.25">
      <c r="A16811" s="1" t="str">
        <f>"508597"</f>
        <v>508597</v>
      </c>
      <c r="B16811" s="2" t="str">
        <f>"PAINEL 1200X800X250MM"</f>
        <v>PAINEL 1200X800X250MM</v>
      </c>
      <c r="C16811" s="2" t="str">
        <f t="shared" si="662"/>
        <v>UN</v>
      </c>
      <c r="D16811" s="7">
        <v>900</v>
      </c>
      <c r="E16811" s="3">
        <v>11</v>
      </c>
      <c r="F16811" s="3">
        <v>11</v>
      </c>
      <c r="G16811" t="s">
        <v>516</v>
      </c>
    </row>
    <row r="16812" spans="1:7" x14ac:dyDescent="0.25">
      <c r="A16812" s="1" t="str">
        <f>"516560"</f>
        <v>516560</v>
      </c>
      <c r="B16812" s="2" t="str">
        <f>"PAINEL 1200X800X350MM"</f>
        <v>PAINEL 1200X800X350MM</v>
      </c>
      <c r="C16812" s="2" t="str">
        <f t="shared" si="662"/>
        <v>UN</v>
      </c>
      <c r="D16812" s="7">
        <v>811</v>
      </c>
      <c r="E16812" s="3">
        <v>8</v>
      </c>
      <c r="F16812" s="3">
        <v>8</v>
      </c>
      <c r="G16812" t="s">
        <v>515</v>
      </c>
    </row>
    <row r="16813" spans="1:7" x14ac:dyDescent="0.25">
      <c r="A16813" s="1" t="str">
        <f>"509775"</f>
        <v>509775</v>
      </c>
      <c r="B16813" s="2" t="str">
        <f>"PAINEL 1500LARGURA X 1900 ALTURA X 600 PROFUNDIDADE"</f>
        <v>PAINEL 1500LARGURA X 1900 ALTURA X 600 PROFUNDIDADE</v>
      </c>
      <c r="C16813" s="2" t="str">
        <f t="shared" si="662"/>
        <v>UN</v>
      </c>
      <c r="D16813" s="7">
        <v>600</v>
      </c>
      <c r="E16813" s="3">
        <v>8</v>
      </c>
      <c r="F16813" s="3">
        <v>8</v>
      </c>
      <c r="G16813" t="s">
        <v>514</v>
      </c>
    </row>
    <row r="16814" spans="1:7" x14ac:dyDescent="0.25">
      <c r="A16814" s="1" t="str">
        <f>"517059"</f>
        <v>517059</v>
      </c>
      <c r="B16814" s="2" t="str">
        <f>"PAINEL 150X150X150MM"</f>
        <v>PAINEL 150X150X150MM</v>
      </c>
      <c r="C16814" s="2" t="str">
        <f t="shared" si="662"/>
        <v>UN</v>
      </c>
      <c r="D16814" s="7">
        <v>811</v>
      </c>
      <c r="E16814" s="3">
        <v>8</v>
      </c>
      <c r="F16814" s="3">
        <v>8</v>
      </c>
      <c r="G16814" t="s">
        <v>512</v>
      </c>
    </row>
    <row r="16815" spans="1:7" x14ac:dyDescent="0.25">
      <c r="A16815" s="1" t="str">
        <f>"515939"</f>
        <v>515939</v>
      </c>
      <c r="B16815" s="2" t="str">
        <f>"PAINEL 1900X1200X600MM"</f>
        <v>PAINEL 1900X1200X600MM</v>
      </c>
      <c r="C16815" s="2" t="str">
        <f t="shared" si="662"/>
        <v>UN</v>
      </c>
      <c r="D16815" s="7">
        <v>99999</v>
      </c>
      <c r="E16815" s="3">
        <v>99</v>
      </c>
      <c r="F16815" s="3">
        <v>99</v>
      </c>
      <c r="G16815" t="s">
        <v>513</v>
      </c>
    </row>
    <row r="16816" spans="1:7" x14ac:dyDescent="0.25">
      <c r="A16816" s="1" t="str">
        <f>"516227"</f>
        <v>516227</v>
      </c>
      <c r="B16816" s="2" t="str">
        <f>"PAINEL 1900X800X400MM"</f>
        <v>PAINEL 1900X800X400MM</v>
      </c>
      <c r="C16816" s="2" t="str">
        <f t="shared" si="662"/>
        <v>UN</v>
      </c>
      <c r="D16816" s="7">
        <v>600</v>
      </c>
      <c r="E16816" s="3">
        <v>8</v>
      </c>
      <c r="F16816" s="3">
        <v>8</v>
      </c>
      <c r="G16816" t="s">
        <v>514</v>
      </c>
    </row>
    <row r="16817" spans="1:7" x14ac:dyDescent="0.25">
      <c r="A16817" s="1" t="str">
        <f>"516189"</f>
        <v>516189</v>
      </c>
      <c r="B16817" s="2" t="str">
        <f>"PAINEL 2000X1200X400MM"</f>
        <v>PAINEL 2000X1200X400MM</v>
      </c>
      <c r="C16817" s="2" t="str">
        <f t="shared" si="662"/>
        <v>UN</v>
      </c>
      <c r="D16817" s="7">
        <v>600</v>
      </c>
      <c r="E16817" s="3">
        <v>8</v>
      </c>
      <c r="F16817" s="3">
        <v>8</v>
      </c>
      <c r="G16817" t="s">
        <v>514</v>
      </c>
    </row>
    <row r="16818" spans="1:7" x14ac:dyDescent="0.25">
      <c r="A16818" s="1" t="str">
        <f>"509728"</f>
        <v>509728</v>
      </c>
      <c r="B16818" s="2" t="str">
        <f>"PAINEL 2000X1200X460MM"</f>
        <v>PAINEL 2000X1200X460MM</v>
      </c>
      <c r="C16818" s="2" t="str">
        <f t="shared" ref="C16818:C16841" si="663">"UN"</f>
        <v>UN</v>
      </c>
      <c r="D16818" s="7">
        <v>811</v>
      </c>
      <c r="E16818" s="3">
        <v>10</v>
      </c>
      <c r="F16818" s="3">
        <v>10</v>
      </c>
      <c r="G16818" t="s">
        <v>512</v>
      </c>
    </row>
    <row r="16819" spans="1:7" x14ac:dyDescent="0.25">
      <c r="A16819" s="1" t="str">
        <f>"517401"</f>
        <v>517401</v>
      </c>
      <c r="B16819" s="2" t="str">
        <f>"PAINEL 2000X1500X600MM"</f>
        <v>PAINEL 2000X1500X600MM</v>
      </c>
      <c r="C16819" s="2" t="str">
        <f t="shared" si="663"/>
        <v>UN</v>
      </c>
      <c r="D16819" s="7">
        <v>811</v>
      </c>
      <c r="E16819" s="3">
        <v>8</v>
      </c>
      <c r="F16819" s="3">
        <v>8</v>
      </c>
      <c r="G16819" t="s">
        <v>513</v>
      </c>
    </row>
    <row r="16820" spans="1:7" x14ac:dyDescent="0.25">
      <c r="A16820" s="1" t="str">
        <f>"517367"</f>
        <v>517367</v>
      </c>
      <c r="B16820" s="2" t="str">
        <f>"PAINEL 200X200X150MM"</f>
        <v>PAINEL 200X200X150MM</v>
      </c>
      <c r="C16820" s="2" t="str">
        <f t="shared" si="663"/>
        <v>UN</v>
      </c>
      <c r="D16820" s="7">
        <v>811</v>
      </c>
      <c r="E16820" s="3">
        <v>8</v>
      </c>
      <c r="F16820" s="3">
        <v>8</v>
      </c>
      <c r="G16820" t="s">
        <v>514</v>
      </c>
    </row>
    <row r="16821" spans="1:7" x14ac:dyDescent="0.25">
      <c r="A16821" s="1" t="str">
        <f>"522600"</f>
        <v>522600</v>
      </c>
      <c r="B16821" s="2" t="str">
        <f>"PAINEL 2200X800X600MM S/ CLCB/TPTR/CBA"</f>
        <v>PAINEL 2200X800X600MM S/ CLCB/TPTR/CBA</v>
      </c>
      <c r="C16821" s="2" t="str">
        <f t="shared" si="663"/>
        <v>UN</v>
      </c>
      <c r="D16821" s="7">
        <v>811</v>
      </c>
      <c r="E16821" s="3">
        <v>10</v>
      </c>
      <c r="F16821" s="3">
        <v>10</v>
      </c>
      <c r="G16821" t="s">
        <v>514</v>
      </c>
    </row>
    <row r="16822" spans="1:7" x14ac:dyDescent="0.25">
      <c r="A16822" s="1" t="str">
        <f>"509999"</f>
        <v>509999</v>
      </c>
      <c r="B16822" s="2" t="str">
        <f>"PAINEL 300X200X200MM"</f>
        <v>PAINEL 300X200X200MM</v>
      </c>
      <c r="C16822" s="2" t="str">
        <f t="shared" si="663"/>
        <v>UN</v>
      </c>
      <c r="D16822" s="7">
        <v>600</v>
      </c>
      <c r="E16822" s="3">
        <v>8</v>
      </c>
      <c r="F16822" s="3">
        <v>8</v>
      </c>
      <c r="G16822" t="s">
        <v>514</v>
      </c>
    </row>
    <row r="16823" spans="1:7" x14ac:dyDescent="0.25">
      <c r="A16823" s="1" t="str">
        <f>"512893"</f>
        <v>512893</v>
      </c>
      <c r="B16823" s="2" t="str">
        <f>"PAINEL 300X300X200MM"</f>
        <v>PAINEL 300X300X200MM</v>
      </c>
      <c r="C16823" s="2" t="str">
        <f t="shared" si="663"/>
        <v>UN</v>
      </c>
      <c r="D16823" s="7">
        <v>600</v>
      </c>
      <c r="E16823" s="3">
        <v>8</v>
      </c>
      <c r="F16823" s="3">
        <v>8</v>
      </c>
      <c r="G16823" t="s">
        <v>513</v>
      </c>
    </row>
    <row r="16824" spans="1:7" x14ac:dyDescent="0.25">
      <c r="A16824" s="1" t="str">
        <f>"510168"</f>
        <v>510168</v>
      </c>
      <c r="B16824" s="2" t="str">
        <f>"PAINEL 300X400X250MM"</f>
        <v>PAINEL 300X400X250MM</v>
      </c>
      <c r="C16824" s="2" t="str">
        <f t="shared" si="663"/>
        <v>UN</v>
      </c>
      <c r="D16824" s="7">
        <v>600</v>
      </c>
      <c r="E16824" s="3">
        <v>8</v>
      </c>
      <c r="F16824" s="3">
        <v>8</v>
      </c>
      <c r="G16824" t="s">
        <v>512</v>
      </c>
    </row>
    <row r="16825" spans="1:7" x14ac:dyDescent="0.25">
      <c r="A16825" s="1" t="str">
        <f>"511532"</f>
        <v>511532</v>
      </c>
      <c r="B16825" s="2" t="str">
        <f>"PAINEL 400X400X250MM"</f>
        <v>PAINEL 400X400X250MM</v>
      </c>
      <c r="C16825" s="2" t="str">
        <f t="shared" si="663"/>
        <v>UN</v>
      </c>
      <c r="D16825" s="7">
        <v>600</v>
      </c>
      <c r="E16825" s="3">
        <v>8</v>
      </c>
      <c r="F16825" s="3">
        <v>8</v>
      </c>
      <c r="G16825" t="s">
        <v>513</v>
      </c>
    </row>
    <row r="16826" spans="1:7" x14ac:dyDescent="0.25">
      <c r="A16826" s="1" t="str">
        <f>"519018"</f>
        <v>519018</v>
      </c>
      <c r="B16826" s="2" t="str">
        <f>"PAINEL 400X400X300MM"</f>
        <v>PAINEL 400X400X300MM</v>
      </c>
      <c r="C16826" s="2" t="str">
        <f t="shared" si="663"/>
        <v>UN</v>
      </c>
      <c r="D16826" s="7">
        <v>600</v>
      </c>
      <c r="E16826" s="3">
        <v>8</v>
      </c>
      <c r="F16826" s="3">
        <v>8</v>
      </c>
      <c r="G16826" t="s">
        <v>514</v>
      </c>
    </row>
    <row r="16827" spans="1:7" x14ac:dyDescent="0.25">
      <c r="A16827" s="1" t="str">
        <f>"511043"</f>
        <v>511043</v>
      </c>
      <c r="B16827" s="2" t="str">
        <f>"PAINEL 500X300X200MM"</f>
        <v>PAINEL 500X300X200MM</v>
      </c>
      <c r="C16827" s="2" t="str">
        <f t="shared" si="663"/>
        <v>UN</v>
      </c>
      <c r="D16827" s="7">
        <v>600</v>
      </c>
      <c r="E16827" s="3">
        <v>8</v>
      </c>
      <c r="F16827" s="3">
        <v>8</v>
      </c>
      <c r="G16827" t="s">
        <v>514</v>
      </c>
    </row>
    <row r="16828" spans="1:7" x14ac:dyDescent="0.25">
      <c r="A16828" s="1" t="str">
        <f>"511441"</f>
        <v>511441</v>
      </c>
      <c r="B16828" s="2" t="str">
        <f>"PAINEL 500X400X200MM"</f>
        <v>PAINEL 500X400X200MM</v>
      </c>
      <c r="C16828" s="2" t="str">
        <f t="shared" si="663"/>
        <v>UN</v>
      </c>
      <c r="D16828" s="7">
        <v>600</v>
      </c>
      <c r="E16828" s="3">
        <v>8</v>
      </c>
      <c r="F16828" s="3">
        <v>8</v>
      </c>
      <c r="G16828" t="s">
        <v>514</v>
      </c>
    </row>
    <row r="16829" spans="1:7" x14ac:dyDescent="0.25">
      <c r="A16829" s="1" t="str">
        <f>"511578"</f>
        <v>511578</v>
      </c>
      <c r="B16829" s="2" t="str">
        <f>"PAINEL 500X500X250MM"</f>
        <v>PAINEL 500X500X250MM</v>
      </c>
      <c r="C16829" s="2" t="str">
        <f t="shared" si="663"/>
        <v>UN</v>
      </c>
      <c r="D16829" s="7">
        <v>600</v>
      </c>
      <c r="E16829" s="3">
        <v>8</v>
      </c>
      <c r="F16829" s="3">
        <v>8</v>
      </c>
      <c r="G16829" t="s">
        <v>513</v>
      </c>
    </row>
    <row r="16830" spans="1:7" x14ac:dyDescent="0.25">
      <c r="A16830" s="1" t="str">
        <f>"516889"</f>
        <v>516889</v>
      </c>
      <c r="B16830" s="2" t="str">
        <f>"PAINEL 500X600X250MM"</f>
        <v>PAINEL 500X600X250MM</v>
      </c>
      <c r="C16830" s="2" t="str">
        <f t="shared" si="663"/>
        <v>UN</v>
      </c>
      <c r="D16830" s="7">
        <v>811</v>
      </c>
      <c r="E16830" s="3">
        <v>8</v>
      </c>
      <c r="F16830" s="3">
        <v>8</v>
      </c>
      <c r="G16830" t="s">
        <v>513</v>
      </c>
    </row>
    <row r="16831" spans="1:7" x14ac:dyDescent="0.25">
      <c r="A16831" s="1" t="str">
        <f>"510301"</f>
        <v>510301</v>
      </c>
      <c r="B16831" s="2" t="str">
        <f>"PAINEL 500X600X300MM"</f>
        <v>PAINEL 500X600X300MM</v>
      </c>
      <c r="C16831" s="2" t="str">
        <f t="shared" si="663"/>
        <v>UN</v>
      </c>
      <c r="D16831" s="7">
        <v>600</v>
      </c>
      <c r="E16831" s="3">
        <v>8</v>
      </c>
      <c r="F16831" s="3">
        <v>8</v>
      </c>
      <c r="G16831" t="s">
        <v>513</v>
      </c>
    </row>
    <row r="16832" spans="1:7" x14ac:dyDescent="0.25">
      <c r="A16832" s="1" t="str">
        <f>"516432"</f>
        <v>516432</v>
      </c>
      <c r="B16832" s="2" t="str">
        <f>"PAINEL 600X500X250MM"</f>
        <v>PAINEL 600X500X250MM</v>
      </c>
      <c r="C16832" s="2" t="str">
        <f t="shared" si="663"/>
        <v>UN</v>
      </c>
      <c r="D16832" s="7">
        <v>811</v>
      </c>
      <c r="E16832" s="3">
        <v>8</v>
      </c>
      <c r="F16832" s="3">
        <v>8</v>
      </c>
      <c r="G16832" t="s">
        <v>512</v>
      </c>
    </row>
    <row r="16833" spans="1:7" x14ac:dyDescent="0.25">
      <c r="A16833" s="1" t="str">
        <f>"509707"</f>
        <v>509707</v>
      </c>
      <c r="B16833" s="2" t="str">
        <f>"PAINEL 600X600X200MM"</f>
        <v>PAINEL 600X600X200MM</v>
      </c>
      <c r="C16833" s="2" t="str">
        <f t="shared" si="663"/>
        <v>UN</v>
      </c>
      <c r="D16833" s="7">
        <v>600</v>
      </c>
      <c r="E16833" s="3">
        <v>8</v>
      </c>
      <c r="F16833" s="3">
        <v>8</v>
      </c>
      <c r="G16833" t="s">
        <v>513</v>
      </c>
    </row>
    <row r="16834" spans="1:7" x14ac:dyDescent="0.25">
      <c r="A16834" s="1" t="str">
        <f>"512473"</f>
        <v>512473</v>
      </c>
      <c r="B16834" s="2" t="str">
        <f>"PAINEL 600X800X300MM"</f>
        <v>PAINEL 600X800X300MM</v>
      </c>
      <c r="C16834" s="2" t="str">
        <f t="shared" si="663"/>
        <v>UN</v>
      </c>
      <c r="D16834" s="7">
        <v>600</v>
      </c>
      <c r="E16834" s="3">
        <v>8</v>
      </c>
      <c r="F16834" s="3">
        <v>8</v>
      </c>
      <c r="G16834" t="s">
        <v>514</v>
      </c>
    </row>
    <row r="16835" spans="1:7" x14ac:dyDescent="0.25">
      <c r="A16835" s="1" t="str">
        <f>"516433"</f>
        <v>516433</v>
      </c>
      <c r="B16835" s="2" t="str">
        <f>"PAINEL 800X1200X250MM"</f>
        <v>PAINEL 800X1200X250MM</v>
      </c>
      <c r="C16835" s="2" t="str">
        <f t="shared" si="663"/>
        <v>UN</v>
      </c>
      <c r="D16835" s="7">
        <v>811</v>
      </c>
      <c r="E16835" s="3">
        <v>8</v>
      </c>
      <c r="F16835" s="3">
        <v>8</v>
      </c>
      <c r="G16835" t="s">
        <v>515</v>
      </c>
    </row>
    <row r="16836" spans="1:7" x14ac:dyDescent="0.25">
      <c r="A16836" s="1" t="str">
        <f>"511827"</f>
        <v>511827</v>
      </c>
      <c r="B16836" s="2" t="str">
        <f>"PAINEL 800X400X200MM"</f>
        <v>PAINEL 800X400X200MM</v>
      </c>
      <c r="C16836" s="2" t="str">
        <f t="shared" si="663"/>
        <v>UN</v>
      </c>
      <c r="D16836" s="7">
        <v>600</v>
      </c>
      <c r="E16836" s="3">
        <v>8</v>
      </c>
      <c r="F16836" s="3">
        <v>8</v>
      </c>
      <c r="G16836" t="s">
        <v>512</v>
      </c>
    </row>
    <row r="16837" spans="1:7" x14ac:dyDescent="0.25">
      <c r="A16837" s="1" t="str">
        <f>"507972"</f>
        <v>507972</v>
      </c>
      <c r="B16837" s="2" t="str">
        <f>"PAINEL 800X600X250MM"</f>
        <v>PAINEL 800X600X250MM</v>
      </c>
      <c r="C16837" s="2" t="str">
        <f t="shared" si="663"/>
        <v>UN</v>
      </c>
      <c r="D16837" s="7">
        <v>600</v>
      </c>
      <c r="E16837" s="3">
        <v>8</v>
      </c>
      <c r="F16837" s="3">
        <v>8</v>
      </c>
      <c r="G16837" t="s">
        <v>516</v>
      </c>
    </row>
    <row r="16838" spans="1:7" x14ac:dyDescent="0.25">
      <c r="A16838" s="1" t="str">
        <f>"525445"</f>
        <v>525445</v>
      </c>
      <c r="B16838" s="2" t="str">
        <f>"PAINEL ACESS. PORTA DOC. A4 71160 TASCO - 12290013"</f>
        <v>PAINEL ACESS. PORTA DOC. A4 71160 TASCO - 12290013</v>
      </c>
      <c r="C16838" s="2" t="str">
        <f t="shared" si="663"/>
        <v>UN</v>
      </c>
      <c r="D16838" s="7">
        <v>811</v>
      </c>
      <c r="E16838" s="3">
        <v>11</v>
      </c>
      <c r="F16838" s="3">
        <v>11</v>
      </c>
      <c r="G16838" t="s">
        <v>515</v>
      </c>
    </row>
    <row r="16839" spans="1:7" x14ac:dyDescent="0.25">
      <c r="A16839" s="1" t="str">
        <f>"513822"</f>
        <v>513822</v>
      </c>
      <c r="B16839" s="2" t="str">
        <f>"PAINEL ACIONAMENTO"</f>
        <v>PAINEL ACIONAMENTO</v>
      </c>
      <c r="C16839" s="2" t="str">
        <f t="shared" si="663"/>
        <v>UN</v>
      </c>
      <c r="D16839" s="7">
        <v>1300</v>
      </c>
      <c r="E16839" s="3">
        <v>13</v>
      </c>
      <c r="F16839" s="3">
        <v>13</v>
      </c>
      <c r="G16839" t="s">
        <v>514</v>
      </c>
    </row>
    <row r="16840" spans="1:7" x14ac:dyDescent="0.25">
      <c r="A16840" s="1" t="str">
        <f>"522930"</f>
        <v>522930</v>
      </c>
      <c r="B16840" s="2" t="str">
        <f>"PAINEL ADAPTAÇÃO NR10 NR12"</f>
        <v>PAINEL ADAPTAÇÃO NR10 NR12</v>
      </c>
      <c r="C16840" s="2" t="str">
        <f t="shared" si="663"/>
        <v>UN</v>
      </c>
      <c r="D16840" s="7">
        <v>811</v>
      </c>
      <c r="E16840" s="3">
        <v>8</v>
      </c>
      <c r="F16840" s="3">
        <v>8</v>
      </c>
      <c r="G16840" t="s">
        <v>512</v>
      </c>
    </row>
    <row r="16841" spans="1:7" x14ac:dyDescent="0.25">
      <c r="A16841" s="1" t="str">
        <f>"519833"</f>
        <v>519833</v>
      </c>
      <c r="B16841" s="2" t="str">
        <f>"PAINEL ANDAIME 1,0 X 1,50M"</f>
        <v>PAINEL ANDAIME 1,0 X 1,50M</v>
      </c>
      <c r="C16841" s="2" t="str">
        <f t="shared" si="663"/>
        <v>UN</v>
      </c>
      <c r="D16841" s="7">
        <v>919</v>
      </c>
      <c r="E16841" s="3">
        <v>4</v>
      </c>
      <c r="F16841" s="3">
        <v>4</v>
      </c>
      <c r="G16841" t="s">
        <v>513</v>
      </c>
    </row>
    <row r="16842" spans="1:7" x14ac:dyDescent="0.25">
      <c r="A16842" s="1" t="str">
        <f>"513063"</f>
        <v>513063</v>
      </c>
      <c r="B16842" s="2" t="str">
        <f>"PAINEL CELDEK 6560/15 8P X 12P X 48P - MITEDGE"</f>
        <v>PAINEL CELDEK 6560/15 8P X 12P X 48P - MITEDGE</v>
      </c>
      <c r="C16842" s="2" t="str">
        <f>"PC"</f>
        <v>PC</v>
      </c>
      <c r="D16842" s="7">
        <v>408</v>
      </c>
      <c r="E16842" s="3">
        <v>10</v>
      </c>
      <c r="F16842" s="3">
        <v>10</v>
      </c>
      <c r="G16842" t="s">
        <v>514</v>
      </c>
    </row>
    <row r="16843" spans="1:7" x14ac:dyDescent="0.25">
      <c r="A16843" s="1" t="str">
        <f>"501500"</f>
        <v>501500</v>
      </c>
      <c r="B16843" s="2" t="str">
        <f>"PAINEL CEMAR CE-12080-25 1200X800X250MM"</f>
        <v>PAINEL CEMAR CE-12080-25 1200X800X250MM</v>
      </c>
      <c r="C16843" s="2" t="str">
        <f t="shared" ref="C16843:C16852" si="664">"UN"</f>
        <v>UN</v>
      </c>
      <c r="D16843" s="7">
        <v>600</v>
      </c>
      <c r="E16843" s="3">
        <v>8</v>
      </c>
      <c r="F16843" s="3">
        <v>8</v>
      </c>
      <c r="G16843" t="s">
        <v>514</v>
      </c>
    </row>
    <row r="16844" spans="1:7" x14ac:dyDescent="0.25">
      <c r="A16844" s="1" t="str">
        <f>"503311"</f>
        <v>503311</v>
      </c>
      <c r="B16844" s="2" t="str">
        <f>"PAINEL CEMAR CE-12080-35 1200X800X350MM"</f>
        <v>PAINEL CEMAR CE-12080-35 1200X800X350MM</v>
      </c>
      <c r="C16844" s="2" t="str">
        <f t="shared" si="664"/>
        <v>UN</v>
      </c>
      <c r="D16844" s="7">
        <v>600</v>
      </c>
      <c r="E16844" s="3">
        <v>8</v>
      </c>
      <c r="F16844" s="3">
        <v>8</v>
      </c>
      <c r="G16844" t="s">
        <v>512</v>
      </c>
    </row>
    <row r="16845" spans="1:7" x14ac:dyDescent="0.25">
      <c r="A16845" s="1" t="str">
        <f>"503307"</f>
        <v>503307</v>
      </c>
      <c r="B16845" s="2" t="str">
        <f>"PAINEL CEMAR CE-3020-20 300X200X200MM"</f>
        <v>PAINEL CEMAR CE-3020-20 300X200X200MM</v>
      </c>
      <c r="C16845" s="2" t="str">
        <f t="shared" si="664"/>
        <v>UN</v>
      </c>
      <c r="D16845" s="7">
        <v>600</v>
      </c>
      <c r="E16845" s="3">
        <v>8</v>
      </c>
      <c r="F16845" s="3">
        <v>8</v>
      </c>
      <c r="G16845" t="s">
        <v>513</v>
      </c>
    </row>
    <row r="16846" spans="1:7" x14ac:dyDescent="0.25">
      <c r="A16846" s="1" t="str">
        <f>"503306"</f>
        <v>503306</v>
      </c>
      <c r="B16846" s="2" t="str">
        <f>"PAINEL CEMAR CE-5050-20 500X400X200MM"</f>
        <v>PAINEL CEMAR CE-5050-20 500X400X200MM</v>
      </c>
      <c r="C16846" s="2" t="str">
        <f t="shared" si="664"/>
        <v>UN</v>
      </c>
      <c r="D16846" s="7">
        <v>600</v>
      </c>
      <c r="E16846" s="3">
        <v>8</v>
      </c>
      <c r="F16846" s="3">
        <v>8</v>
      </c>
      <c r="G16846" t="s">
        <v>514</v>
      </c>
    </row>
    <row r="16847" spans="1:7" x14ac:dyDescent="0.25">
      <c r="A16847" s="1" t="str">
        <f>"501694"</f>
        <v>501694</v>
      </c>
      <c r="B16847" s="2" t="str">
        <f>"PAINEL CEMAR CE-8060-20 800X600X200MM"</f>
        <v>PAINEL CEMAR CE-8060-20 800X600X200MM</v>
      </c>
      <c r="C16847" s="2" t="str">
        <f t="shared" si="664"/>
        <v>UN</v>
      </c>
      <c r="D16847" s="7">
        <v>600</v>
      </c>
      <c r="E16847" s="3">
        <v>8</v>
      </c>
      <c r="F16847" s="3">
        <v>8</v>
      </c>
      <c r="G16847" t="s">
        <v>514</v>
      </c>
    </row>
    <row r="16848" spans="1:7" x14ac:dyDescent="0.25">
      <c r="A16848" s="1" t="str">
        <f>"523336"</f>
        <v>523336</v>
      </c>
      <c r="B16848" s="2" t="str">
        <f>"PAINEL COMANDO 20A  C/ INVERSOR FREQUENCIA"</f>
        <v>PAINEL COMANDO 20A  C/ INVERSOR FREQUENCIA</v>
      </c>
      <c r="C16848" s="2" t="str">
        <f t="shared" si="664"/>
        <v>UN</v>
      </c>
      <c r="D16848" s="7">
        <v>99999</v>
      </c>
      <c r="E16848" s="3">
        <v>99</v>
      </c>
      <c r="F16848" s="3">
        <v>99</v>
      </c>
      <c r="G16848" t="s">
        <v>514</v>
      </c>
    </row>
    <row r="16849" spans="1:7" x14ac:dyDescent="0.25">
      <c r="A16849" s="1" t="str">
        <f>"510995"</f>
        <v>510995</v>
      </c>
      <c r="B16849" s="2" t="str">
        <f>"PAINEL COMANDO TRIFASICO 380V"</f>
        <v>PAINEL COMANDO TRIFASICO 380V</v>
      </c>
      <c r="C16849" s="2" t="str">
        <f t="shared" si="664"/>
        <v>UN</v>
      </c>
      <c r="D16849" s="7">
        <v>600</v>
      </c>
      <c r="E16849" s="3">
        <v>8</v>
      </c>
      <c r="F16849" s="3">
        <v>8</v>
      </c>
      <c r="G16849" t="s">
        <v>513</v>
      </c>
    </row>
    <row r="16850" spans="1:7" x14ac:dyDescent="0.25">
      <c r="A16850" s="1" t="str">
        <f>"523768"</f>
        <v>523768</v>
      </c>
      <c r="B16850" s="2" t="str">
        <f>"PAINEL CONVENSÃO VALORES GENERAL MILLS"</f>
        <v>PAINEL CONVENSÃO VALORES GENERAL MILLS</v>
      </c>
      <c r="C16850" s="2" t="str">
        <f t="shared" si="664"/>
        <v>UN</v>
      </c>
      <c r="D16850" s="7">
        <v>99999</v>
      </c>
      <c r="E16850" s="3">
        <v>99</v>
      </c>
      <c r="F16850" s="3">
        <v>99</v>
      </c>
      <c r="G16850" t="s">
        <v>512</v>
      </c>
    </row>
    <row r="16851" spans="1:7" x14ac:dyDescent="0.25">
      <c r="A16851" s="1" t="str">
        <f>"500738"</f>
        <v>500738</v>
      </c>
      <c r="B16851" s="2" t="str">
        <f>"PAINEL CX PLAST 154X110X70MM"</f>
        <v>PAINEL CX PLAST 154X110X70MM</v>
      </c>
      <c r="C16851" s="2" t="str">
        <f t="shared" si="664"/>
        <v>UN</v>
      </c>
      <c r="D16851" s="7">
        <v>600</v>
      </c>
      <c r="E16851" s="3">
        <v>8</v>
      </c>
      <c r="F16851" s="3">
        <v>8</v>
      </c>
      <c r="G16851" t="s">
        <v>513</v>
      </c>
    </row>
    <row r="16852" spans="1:7" x14ac:dyDescent="0.25">
      <c r="A16852" s="1" t="str">
        <f>"501609"</f>
        <v>501609</v>
      </c>
      <c r="B16852" s="2" t="str">
        <f>"PAINEL CX PLAST. EV-171 170X145X90"</f>
        <v>PAINEL CX PLAST. EV-171 170X145X90</v>
      </c>
      <c r="C16852" s="2" t="str">
        <f t="shared" si="664"/>
        <v>UN</v>
      </c>
      <c r="D16852" s="7">
        <v>811</v>
      </c>
      <c r="E16852" s="3">
        <v>10</v>
      </c>
      <c r="F16852" s="3">
        <v>10</v>
      </c>
      <c r="G16852" t="s">
        <v>514</v>
      </c>
    </row>
    <row r="16853" spans="1:7" x14ac:dyDescent="0.25">
      <c r="A16853" s="1" t="str">
        <f>"512548"</f>
        <v>512548</v>
      </c>
      <c r="B16853" s="2" t="str">
        <f>"PAINEL DATADOR IMAJE S8 MASTER"</f>
        <v>PAINEL DATADOR IMAJE S8 MASTER</v>
      </c>
      <c r="C16853" s="2" t="str">
        <f>"PC"</f>
        <v>PC</v>
      </c>
      <c r="D16853" s="7">
        <v>907</v>
      </c>
      <c r="E16853" s="3">
        <v>11</v>
      </c>
      <c r="F16853" s="3">
        <v>11</v>
      </c>
      <c r="G16853" t="s">
        <v>514</v>
      </c>
    </row>
    <row r="16854" spans="1:7" x14ac:dyDescent="0.25">
      <c r="A16854" s="1" t="str">
        <f>"527958"</f>
        <v>527958</v>
      </c>
      <c r="B16854" s="2" t="str">
        <f>"PAINEL DE COMANDO 1800X800X600MM C/ SOLEIRA"</f>
        <v>PAINEL DE COMANDO 1800X800X600MM C/ SOLEIRA</v>
      </c>
      <c r="C16854" s="2" t="str">
        <f t="shared" ref="C16854:C16863" si="665">"UN"</f>
        <v>UN</v>
      </c>
      <c r="D16854" s="7">
        <v>600</v>
      </c>
      <c r="E16854" s="3">
        <v>8</v>
      </c>
      <c r="F16854" s="3">
        <v>8</v>
      </c>
      <c r="G16854" t="s">
        <v>514</v>
      </c>
    </row>
    <row r="16855" spans="1:7" x14ac:dyDescent="0.25">
      <c r="A16855" s="1" t="str">
        <f>"520390"</f>
        <v>520390</v>
      </c>
      <c r="B16855" s="2" t="str">
        <f>"PAINEL DE COMANDO 1900X1500X600"</f>
        <v>PAINEL DE COMANDO 1900X1500X600</v>
      </c>
      <c r="C16855" s="2" t="str">
        <f t="shared" si="665"/>
        <v>UN</v>
      </c>
      <c r="D16855" s="7">
        <v>600</v>
      </c>
      <c r="E16855" s="3">
        <v>13</v>
      </c>
      <c r="F16855" s="3">
        <v>13</v>
      </c>
      <c r="G16855" t="s">
        <v>513</v>
      </c>
    </row>
    <row r="16856" spans="1:7" x14ac:dyDescent="0.25">
      <c r="A16856" s="1" t="str">
        <f>"526508"</f>
        <v>526508</v>
      </c>
      <c r="B16856" s="2" t="str">
        <f>"PAINEL DE COMANDO 250X250X200MM"</f>
        <v>PAINEL DE COMANDO 250X250X200MM</v>
      </c>
      <c r="C16856" s="2" t="str">
        <f t="shared" si="665"/>
        <v>UN</v>
      </c>
      <c r="D16856" s="7">
        <v>600</v>
      </c>
      <c r="E16856" s="3">
        <v>8</v>
      </c>
      <c r="F16856" s="3">
        <v>8</v>
      </c>
      <c r="G16856" t="s">
        <v>513</v>
      </c>
    </row>
    <row r="16857" spans="1:7" x14ac:dyDescent="0.25">
      <c r="A16857" s="1" t="str">
        <f>"524633"</f>
        <v>524633</v>
      </c>
      <c r="B16857" s="2" t="str">
        <f>"PAINEL DE COMANDO C/ INVERSOR POWERFLEX 753 AC DRIVE"</f>
        <v>PAINEL DE COMANDO C/ INVERSOR POWERFLEX 753 AC DRIVE</v>
      </c>
      <c r="C16857" s="2" t="str">
        <f t="shared" si="665"/>
        <v>UN</v>
      </c>
      <c r="D16857" s="7">
        <v>811</v>
      </c>
      <c r="E16857" s="3">
        <v>13</v>
      </c>
      <c r="F16857" s="3">
        <v>13</v>
      </c>
      <c r="G16857" t="s">
        <v>513</v>
      </c>
    </row>
    <row r="16858" spans="1:7" x14ac:dyDescent="0.25">
      <c r="A16858" s="1" t="str">
        <f>"515301"</f>
        <v>515301</v>
      </c>
      <c r="B16858" s="2" t="str">
        <f>"PAINEL DE COMANDO ELETRICO 06 CONTACTORES"</f>
        <v>PAINEL DE COMANDO ELETRICO 06 CONTACTORES</v>
      </c>
      <c r="C16858" s="2" t="str">
        <f t="shared" si="665"/>
        <v>UN</v>
      </c>
      <c r="D16858" s="7">
        <v>600</v>
      </c>
      <c r="E16858" s="3">
        <v>13</v>
      </c>
      <c r="F16858" s="3">
        <v>13</v>
      </c>
      <c r="G16858" t="s">
        <v>512</v>
      </c>
    </row>
    <row r="16859" spans="1:7" x14ac:dyDescent="0.25">
      <c r="A16859" s="1" t="str">
        <f>"513818"</f>
        <v>513818</v>
      </c>
      <c r="B16859" s="2" t="str">
        <f>"PAINEL DE FECHAMENTO 19"""</f>
        <v>PAINEL DE FECHAMENTO 19"</v>
      </c>
      <c r="C16859" s="2" t="str">
        <f t="shared" si="665"/>
        <v>UN</v>
      </c>
      <c r="D16859" s="7">
        <v>99999</v>
      </c>
      <c r="E16859" s="3">
        <v>99</v>
      </c>
      <c r="F16859" s="3">
        <v>99</v>
      </c>
      <c r="G16859" t="s">
        <v>513</v>
      </c>
    </row>
    <row r="16860" spans="1:7" x14ac:dyDescent="0.25">
      <c r="A16860" s="1" t="str">
        <f>"506448"</f>
        <v>506448</v>
      </c>
      <c r="B16860" s="2" t="str">
        <f>"PAINEL DE FERRO 800X600X200"</f>
        <v>PAINEL DE FERRO 800X600X200</v>
      </c>
      <c r="C16860" s="2" t="str">
        <f t="shared" si="665"/>
        <v>UN</v>
      </c>
      <c r="D16860" s="7">
        <v>900</v>
      </c>
      <c r="E16860" s="3">
        <v>11</v>
      </c>
      <c r="F16860" s="3">
        <v>11</v>
      </c>
      <c r="G16860" t="s">
        <v>514</v>
      </c>
    </row>
    <row r="16861" spans="1:7" x14ac:dyDescent="0.25">
      <c r="A16861" s="1" t="str">
        <f>"510201"</f>
        <v>510201</v>
      </c>
      <c r="B16861" s="2" t="str">
        <f>"PAINEL DE INOX"</f>
        <v>PAINEL DE INOX</v>
      </c>
      <c r="C16861" s="2" t="str">
        <f t="shared" si="665"/>
        <v>UN</v>
      </c>
      <c r="D16861" s="7">
        <v>402</v>
      </c>
      <c r="E16861" s="3">
        <v>4</v>
      </c>
      <c r="F16861" s="3">
        <v>4</v>
      </c>
      <c r="G16861" t="s">
        <v>515</v>
      </c>
    </row>
    <row r="16862" spans="1:7" x14ac:dyDescent="0.25">
      <c r="A16862" s="1" t="str">
        <f>"519899"</f>
        <v>519899</v>
      </c>
      <c r="B16862" s="2" t="str">
        <f>"PAINEL DIANT CARGO INF"</f>
        <v>PAINEL DIANT CARGO INF</v>
      </c>
      <c r="C16862" s="2" t="str">
        <f t="shared" si="665"/>
        <v>UN</v>
      </c>
      <c r="D16862" s="7">
        <v>704</v>
      </c>
      <c r="E16862" s="3">
        <v>9</v>
      </c>
      <c r="F16862" s="3">
        <v>9</v>
      </c>
      <c r="G16862" t="s">
        <v>512</v>
      </c>
    </row>
    <row r="16863" spans="1:7" x14ac:dyDescent="0.25">
      <c r="A16863" s="1" t="str">
        <f>"525291"</f>
        <v>525291</v>
      </c>
      <c r="B16863" s="2" t="str">
        <f>"PAINEL DISPLAY"</f>
        <v>PAINEL DISPLAY</v>
      </c>
      <c r="C16863" s="2" t="str">
        <f t="shared" si="665"/>
        <v>UN</v>
      </c>
      <c r="D16863" s="7">
        <v>99999</v>
      </c>
      <c r="E16863" s="3">
        <v>99</v>
      </c>
      <c r="F16863" s="3">
        <v>99</v>
      </c>
      <c r="G16863" t="s">
        <v>516</v>
      </c>
    </row>
    <row r="16864" spans="1:7" x14ac:dyDescent="0.25">
      <c r="A16864" s="1" t="str">
        <f>"513064"</f>
        <v>513064</v>
      </c>
      <c r="B16864" s="2" t="str">
        <f>"PAINEL DISTRIB. CELDEK 6590 2 X 8 X 12"</f>
        <v>PAINEL DISTRIB. CELDEK 6590 2 X 8 X 12</v>
      </c>
      <c r="C16864" s="2" t="str">
        <f>"PC"</f>
        <v>PC</v>
      </c>
      <c r="D16864" s="7">
        <v>408</v>
      </c>
      <c r="E16864" s="3">
        <v>10</v>
      </c>
      <c r="F16864" s="3">
        <v>10</v>
      </c>
      <c r="G16864" t="s">
        <v>515</v>
      </c>
    </row>
    <row r="16865" spans="1:7" x14ac:dyDescent="0.25">
      <c r="A16865" s="1" t="str">
        <f>"515605"</f>
        <v>515605</v>
      </c>
      <c r="B16865" s="2" t="str">
        <f>"PAINEL DIVISORIA CELULAR"</f>
        <v>PAINEL DIVISORIA CELULAR</v>
      </c>
      <c r="C16865" s="2" t="str">
        <f t="shared" ref="C16865:C16874" si="666">"UN"</f>
        <v>UN</v>
      </c>
      <c r="D16865" s="7">
        <v>408</v>
      </c>
      <c r="E16865" s="3">
        <v>4</v>
      </c>
      <c r="F16865" s="3">
        <v>4</v>
      </c>
      <c r="G16865" t="s">
        <v>514</v>
      </c>
    </row>
    <row r="16866" spans="1:7" x14ac:dyDescent="0.25">
      <c r="A16866" s="1" t="str">
        <f>"513972"</f>
        <v>513972</v>
      </c>
      <c r="B16866" s="2" t="str">
        <f>"PAINEL DO TECLADO"</f>
        <v>PAINEL DO TECLADO</v>
      </c>
      <c r="C16866" s="2" t="str">
        <f t="shared" si="666"/>
        <v>UN</v>
      </c>
      <c r="D16866" s="7">
        <v>811</v>
      </c>
      <c r="E16866" s="3">
        <v>11</v>
      </c>
      <c r="F16866" s="3">
        <v>11</v>
      </c>
      <c r="G16866" t="s">
        <v>512</v>
      </c>
    </row>
    <row r="16867" spans="1:7" x14ac:dyDescent="0.25">
      <c r="A16867" s="1" t="str">
        <f>"521525"</f>
        <v>521525</v>
      </c>
      <c r="B16867" s="2" t="str">
        <f>"PAINEL ELET. ELETRICAL CABINET (25% FREE SPACE) + AUTOMATOM"</f>
        <v>PAINEL ELET. ELETRICAL CABINET (25% FREE SPACE) + AUTOMATOM</v>
      </c>
      <c r="C16867" s="2" t="str">
        <f t="shared" si="666"/>
        <v>UN</v>
      </c>
      <c r="D16867" s="7">
        <v>99999</v>
      </c>
      <c r="E16867" s="3">
        <v>99</v>
      </c>
      <c r="F16867" s="3">
        <v>99</v>
      </c>
      <c r="G16867" t="s">
        <v>513</v>
      </c>
    </row>
    <row r="16868" spans="1:7" x14ac:dyDescent="0.25">
      <c r="A16868" s="1" t="str">
        <f>"525232"</f>
        <v>525232</v>
      </c>
      <c r="B16868" s="2" t="str">
        <f>"PAINEL ELETRICO"</f>
        <v>PAINEL ELETRICO</v>
      </c>
      <c r="C16868" s="2" t="str">
        <f t="shared" si="666"/>
        <v>UN</v>
      </c>
      <c r="D16868" s="7">
        <v>811</v>
      </c>
      <c r="E16868" s="3">
        <v>10</v>
      </c>
      <c r="F16868" s="3">
        <v>10</v>
      </c>
      <c r="G16868" t="s">
        <v>514</v>
      </c>
    </row>
    <row r="16869" spans="1:7" x14ac:dyDescent="0.25">
      <c r="A16869" s="1" t="str">
        <f>"522656"</f>
        <v>522656</v>
      </c>
      <c r="B16869" s="2" t="str">
        <f>"PAINEL ELETRICO 380V PARTIDA DIRETA"</f>
        <v>PAINEL ELETRICO 380V PARTIDA DIRETA</v>
      </c>
      <c r="C16869" s="2" t="str">
        <f t="shared" si="666"/>
        <v>UN</v>
      </c>
      <c r="D16869" s="7">
        <v>811</v>
      </c>
      <c r="E16869" s="3">
        <v>11</v>
      </c>
      <c r="F16869" s="3">
        <v>11</v>
      </c>
      <c r="G16869" t="s">
        <v>514</v>
      </c>
    </row>
    <row r="16870" spans="1:7" x14ac:dyDescent="0.25">
      <c r="A16870" s="1" t="str">
        <f>"573777"</f>
        <v>573777</v>
      </c>
      <c r="B16870" s="2" t="str">
        <f>"PAINEL ELETRICO BT CCM ALT. 1900 X LARG. 800 X  PROF. 400"</f>
        <v>PAINEL ELETRICO BT CCM ALT. 1900 X LARG. 800 X  PROF. 400</v>
      </c>
      <c r="C16870" s="2" t="str">
        <f t="shared" si="666"/>
        <v>UN</v>
      </c>
      <c r="D16870" s="7">
        <v>401</v>
      </c>
      <c r="E16870" s="3">
        <v>4</v>
      </c>
      <c r="F16870" s="3">
        <v>4</v>
      </c>
      <c r="G16870" t="s">
        <v>512</v>
      </c>
    </row>
    <row r="16871" spans="1:7" x14ac:dyDescent="0.25">
      <c r="A16871" s="1" t="str">
        <f>"515312"</f>
        <v>515312</v>
      </c>
      <c r="B16871" s="2" t="str">
        <f>"PAINEL ELETRICO CCM CONTROLE MAQ. PETIT NOVA"</f>
        <v>PAINEL ELETRICO CCM CONTROLE MAQ. PETIT NOVA</v>
      </c>
      <c r="C16871" s="2" t="str">
        <f t="shared" si="666"/>
        <v>UN</v>
      </c>
      <c r="D16871" s="7">
        <v>600</v>
      </c>
      <c r="E16871" s="3">
        <v>13</v>
      </c>
      <c r="F16871" s="3">
        <v>13</v>
      </c>
      <c r="G16871" t="s">
        <v>513</v>
      </c>
    </row>
    <row r="16872" spans="1:7" x14ac:dyDescent="0.25">
      <c r="A16872" s="1" t="str">
        <f>"515318"</f>
        <v>515318</v>
      </c>
      <c r="B16872" s="2" t="str">
        <f>"PAINEL ELETRICO COMANDO CAMARA FRIA"</f>
        <v>PAINEL ELETRICO COMANDO CAMARA FRIA</v>
      </c>
      <c r="C16872" s="2" t="str">
        <f t="shared" si="666"/>
        <v>UN</v>
      </c>
      <c r="D16872" s="7">
        <v>600</v>
      </c>
      <c r="E16872" s="3">
        <v>13</v>
      </c>
      <c r="F16872" s="3">
        <v>13</v>
      </c>
      <c r="G16872" t="s">
        <v>514</v>
      </c>
    </row>
    <row r="16873" spans="1:7" x14ac:dyDescent="0.25">
      <c r="A16873" s="1" t="str">
        <f>"515331"</f>
        <v>515331</v>
      </c>
      <c r="B16873" s="2" t="str">
        <f>"PAINEL ELETRICO DE COMANDO P/ BOMBA"</f>
        <v>PAINEL ELETRICO DE COMANDO P/ BOMBA</v>
      </c>
      <c r="C16873" s="2" t="str">
        <f t="shared" si="666"/>
        <v>UN</v>
      </c>
      <c r="D16873" s="7">
        <v>600</v>
      </c>
      <c r="E16873" s="3">
        <v>13</v>
      </c>
      <c r="F16873" s="3">
        <v>13</v>
      </c>
      <c r="G16873" t="s">
        <v>514</v>
      </c>
    </row>
    <row r="16874" spans="1:7" x14ac:dyDescent="0.25">
      <c r="A16874" s="1" t="str">
        <f>"515309"</f>
        <v>515309</v>
      </c>
      <c r="B16874" s="2" t="str">
        <f>"PAINEL ELETRICO DE CONTROLE DE PASTEURIZAÇÃO C/ CARTA GRAFIC"</f>
        <v>PAINEL ELETRICO DE CONTROLE DE PASTEURIZAÇÃO C/ CARTA GRAFIC</v>
      </c>
      <c r="C16874" s="2" t="str">
        <f t="shared" si="666"/>
        <v>UN</v>
      </c>
      <c r="D16874" s="7">
        <v>600</v>
      </c>
      <c r="E16874" s="3">
        <v>13</v>
      </c>
      <c r="F16874" s="3">
        <v>13</v>
      </c>
      <c r="G16874" t="s">
        <v>514</v>
      </c>
    </row>
    <row r="16875" spans="1:7" x14ac:dyDescent="0.25">
      <c r="A16875" s="1" t="str">
        <f>"521906"</f>
        <v>521906</v>
      </c>
      <c r="B16875" s="2" t="str">
        <f>"PAINEL ELETRICO EPT-2280B"</f>
        <v>PAINEL ELETRICO EPT-2280B</v>
      </c>
      <c r="C16875" s="2" t="str">
        <f>"M2"</f>
        <v>M2</v>
      </c>
      <c r="D16875" s="7">
        <v>811</v>
      </c>
      <c r="E16875" s="3">
        <v>8</v>
      </c>
      <c r="F16875" s="3">
        <v>8</v>
      </c>
      <c r="G16875" t="s">
        <v>513</v>
      </c>
    </row>
    <row r="16876" spans="1:7" x14ac:dyDescent="0.25">
      <c r="A16876" s="1" t="str">
        <f>"515328"</f>
        <v>515328</v>
      </c>
      <c r="B16876" s="2" t="str">
        <f>"PAINEL ELETRICO P/ COMANDO CONJUNTO AGUA GELADA"</f>
        <v>PAINEL ELETRICO P/ COMANDO CONJUNTO AGUA GELADA</v>
      </c>
      <c r="C16876" s="2" t="str">
        <f t="shared" ref="C16876:C16898" si="667">"UN"</f>
        <v>UN</v>
      </c>
      <c r="D16876" s="7">
        <v>600</v>
      </c>
      <c r="E16876" s="3">
        <v>13</v>
      </c>
      <c r="F16876" s="3">
        <v>13</v>
      </c>
      <c r="G16876" t="s">
        <v>512</v>
      </c>
    </row>
    <row r="16877" spans="1:7" x14ac:dyDescent="0.25">
      <c r="A16877" s="1" t="str">
        <f>"526340"</f>
        <v>526340</v>
      </c>
      <c r="B16877" s="2" t="str">
        <f>"PAINEL ELETRICO P/ SKID MOD. 14B"</f>
        <v>PAINEL ELETRICO P/ SKID MOD. 14B</v>
      </c>
      <c r="C16877" s="2" t="str">
        <f t="shared" si="667"/>
        <v>UN</v>
      </c>
      <c r="D16877" s="7">
        <v>99999</v>
      </c>
      <c r="E16877" s="3">
        <v>99</v>
      </c>
      <c r="F16877" s="3">
        <v>99</v>
      </c>
      <c r="G16877" t="s">
        <v>513</v>
      </c>
    </row>
    <row r="16878" spans="1:7" x14ac:dyDescent="0.25">
      <c r="A16878" s="1" t="str">
        <f>"525015"</f>
        <v>525015</v>
      </c>
      <c r="B16878" s="2" t="str">
        <f>"PAINEL ELETRICO QGBT 1600A"</f>
        <v>PAINEL ELETRICO QGBT 1600A</v>
      </c>
      <c r="C16878" s="2" t="str">
        <f t="shared" si="667"/>
        <v>UN</v>
      </c>
      <c r="D16878" s="7">
        <v>1300</v>
      </c>
      <c r="E16878" s="3">
        <v>13</v>
      </c>
      <c r="F16878" s="3">
        <v>13</v>
      </c>
      <c r="G16878" t="s">
        <v>514</v>
      </c>
    </row>
    <row r="16879" spans="1:7" x14ac:dyDescent="0.25">
      <c r="A16879" s="1" t="str">
        <f>"514617"</f>
        <v>514617</v>
      </c>
      <c r="B16879" s="2" t="str">
        <f>"PAINEL ELETRICO QGBT 500A"</f>
        <v>PAINEL ELETRICO QGBT 500A</v>
      </c>
      <c r="C16879" s="2" t="str">
        <f t="shared" si="667"/>
        <v>UN</v>
      </c>
      <c r="D16879" s="7">
        <v>1300</v>
      </c>
      <c r="E16879" s="3">
        <v>13</v>
      </c>
      <c r="F16879" s="3">
        <v>13</v>
      </c>
      <c r="G16879" t="s">
        <v>514</v>
      </c>
    </row>
    <row r="16880" spans="1:7" x14ac:dyDescent="0.25">
      <c r="A16880" s="1" t="str">
        <f>"520477"</f>
        <v>520477</v>
      </c>
      <c r="B16880" s="8" t="s">
        <v>143</v>
      </c>
      <c r="C16880" s="2" t="str">
        <f t="shared" si="667"/>
        <v>UN</v>
      </c>
      <c r="D16880" s="7">
        <v>900</v>
      </c>
      <c r="E16880" s="3">
        <v>11</v>
      </c>
      <c r="F16880" s="3">
        <v>11</v>
      </c>
      <c r="G16880" t="s">
        <v>514</v>
      </c>
    </row>
    <row r="16881" spans="1:7" x14ac:dyDescent="0.25">
      <c r="A16881" s="1" t="str">
        <f>"507172"</f>
        <v>507172</v>
      </c>
      <c r="B16881" s="2" t="str">
        <f>"PAINEL ELETRONICO GERAÇÃO 5 TOUCH SCREEN"</f>
        <v>PAINEL ELETRONICO GERAÇÃO 5 TOUCH SCREEN</v>
      </c>
      <c r="C16881" s="2" t="str">
        <f t="shared" si="667"/>
        <v>UN</v>
      </c>
      <c r="D16881" s="7">
        <v>811</v>
      </c>
      <c r="E16881" s="3">
        <v>11</v>
      </c>
      <c r="F16881" s="3">
        <v>11</v>
      </c>
      <c r="G16881" t="s">
        <v>513</v>
      </c>
    </row>
    <row r="16882" spans="1:7" x14ac:dyDescent="0.25">
      <c r="A16882" s="1" t="str">
        <f>"514141"</f>
        <v>514141</v>
      </c>
      <c r="B16882" s="2" t="str">
        <f>"PAINEL EM COMPENSADO COM CHAVE"</f>
        <v>PAINEL EM COMPENSADO COM CHAVE</v>
      </c>
      <c r="C16882" s="2" t="str">
        <f t="shared" si="667"/>
        <v>UN</v>
      </c>
      <c r="D16882" s="7">
        <v>99999</v>
      </c>
      <c r="E16882" s="3">
        <v>99</v>
      </c>
      <c r="F16882" s="3">
        <v>99</v>
      </c>
      <c r="G16882" t="s">
        <v>513</v>
      </c>
    </row>
    <row r="16883" spans="1:7" x14ac:dyDescent="0.25">
      <c r="A16883" s="1" t="str">
        <f>"507171"</f>
        <v>507171</v>
      </c>
      <c r="B16883" s="2" t="str">
        <f>"PAINEL FERRO MED. 400X400X200"</f>
        <v>PAINEL FERRO MED. 400X400X200</v>
      </c>
      <c r="C16883" s="2" t="str">
        <f t="shared" si="667"/>
        <v>UN</v>
      </c>
      <c r="D16883" s="7">
        <v>600</v>
      </c>
      <c r="E16883" s="3">
        <v>8</v>
      </c>
      <c r="F16883" s="3">
        <v>8</v>
      </c>
      <c r="G16883" t="s">
        <v>513</v>
      </c>
    </row>
    <row r="16884" spans="1:7" x14ac:dyDescent="0.25">
      <c r="A16884" s="1" t="str">
        <f>"508106"</f>
        <v>508106</v>
      </c>
      <c r="B16884" s="2" t="str">
        <f>"PAINEL FERRO MED. 600X500X250MM"</f>
        <v>PAINEL FERRO MED. 600X500X250MM</v>
      </c>
      <c r="C16884" s="2" t="str">
        <f t="shared" si="667"/>
        <v>UN</v>
      </c>
      <c r="D16884" s="7">
        <v>811</v>
      </c>
      <c r="E16884" s="3">
        <v>10</v>
      </c>
      <c r="F16884" s="3">
        <v>10</v>
      </c>
      <c r="G16884" t="s">
        <v>512</v>
      </c>
    </row>
    <row r="16885" spans="1:7" x14ac:dyDescent="0.25">
      <c r="A16885" s="1" t="str">
        <f>"508832"</f>
        <v>508832</v>
      </c>
      <c r="B16885" s="2" t="str">
        <f>"PAINEL FRIGO EPS - RAL9003 - 0,50X0,50MM 3200MM"</f>
        <v>PAINEL FRIGO EPS - RAL9003 - 0,50X0,50MM 3200MM</v>
      </c>
      <c r="C16885" s="2" t="str">
        <f t="shared" si="667"/>
        <v>UN</v>
      </c>
      <c r="D16885" s="7">
        <v>600</v>
      </c>
      <c r="E16885" s="3">
        <v>8</v>
      </c>
      <c r="F16885" s="3">
        <v>8</v>
      </c>
      <c r="G16885" t="s">
        <v>513</v>
      </c>
    </row>
    <row r="16886" spans="1:7" x14ac:dyDescent="0.25">
      <c r="A16886" s="1" t="str">
        <f>"509585"</f>
        <v>509585</v>
      </c>
      <c r="B16886" s="2" t="str">
        <f>"PAINEL FRIGO EPS - RAL9003 - 0,50X0,50MM 5200MM"</f>
        <v>PAINEL FRIGO EPS - RAL9003 - 0,50X0,50MM 5200MM</v>
      </c>
      <c r="C16886" s="2" t="str">
        <f t="shared" si="667"/>
        <v>UN</v>
      </c>
      <c r="D16886" s="7">
        <v>600</v>
      </c>
      <c r="E16886" s="3">
        <v>8</v>
      </c>
      <c r="F16886" s="3">
        <v>8</v>
      </c>
      <c r="G16886" t="s">
        <v>514</v>
      </c>
    </row>
    <row r="16887" spans="1:7" x14ac:dyDescent="0.25">
      <c r="A16887" s="1" t="str">
        <f>"520937"</f>
        <v>520937</v>
      </c>
      <c r="B16887" s="2" t="str">
        <f>"PAINEL FRIGO EPS 100MM - RAL9003 - 0,50X0,50MM 2100MM"</f>
        <v>PAINEL FRIGO EPS 100MM - RAL9003 - 0,50X0,50MM 2100MM</v>
      </c>
      <c r="C16887" s="2" t="str">
        <f t="shared" si="667"/>
        <v>UN</v>
      </c>
      <c r="D16887" s="7">
        <v>803</v>
      </c>
      <c r="E16887" s="3">
        <v>10</v>
      </c>
      <c r="F16887" s="3">
        <v>10</v>
      </c>
      <c r="G16887" t="s">
        <v>515</v>
      </c>
    </row>
    <row r="16888" spans="1:7" x14ac:dyDescent="0.25">
      <c r="A16888" s="1" t="str">
        <f>"520938"</f>
        <v>520938</v>
      </c>
      <c r="B16888" s="2" t="str">
        <f>"PAINEL FRIGO EPS 100MM - RAL9003 - 0,50X0,50MM 5200MM"</f>
        <v>PAINEL FRIGO EPS 100MM - RAL9003 - 0,50X0,50MM 5200MM</v>
      </c>
      <c r="C16888" s="2" t="str">
        <f t="shared" si="667"/>
        <v>UN</v>
      </c>
      <c r="D16888" s="7">
        <v>803</v>
      </c>
      <c r="E16888" s="3">
        <v>10</v>
      </c>
      <c r="F16888" s="3">
        <v>10</v>
      </c>
      <c r="G16888" t="s">
        <v>512</v>
      </c>
    </row>
    <row r="16889" spans="1:7" x14ac:dyDescent="0.25">
      <c r="A16889" s="1" t="str">
        <f>"517761"</f>
        <v>517761</v>
      </c>
      <c r="B16889" s="2" t="str">
        <f>"PAINEL FRIGO EPS 100MM 0,50 X 0,50MM"</f>
        <v>PAINEL FRIGO EPS 100MM 0,50 X 0,50MM</v>
      </c>
      <c r="C16889" s="2" t="str">
        <f t="shared" si="667"/>
        <v>UN</v>
      </c>
      <c r="D16889" s="7">
        <v>1700</v>
      </c>
      <c r="E16889" s="3">
        <v>10</v>
      </c>
      <c r="F16889" s="3">
        <v>10</v>
      </c>
      <c r="G16889" t="s">
        <v>516</v>
      </c>
    </row>
    <row r="16890" spans="1:7" x14ac:dyDescent="0.25">
      <c r="A16890" s="1" t="str">
        <f>"522211"</f>
        <v>522211</v>
      </c>
      <c r="B16890" s="2" t="str">
        <f>"PAINEL FRIGO PIR 100MM RAL9003 0,50 X 0,50MM"</f>
        <v>PAINEL FRIGO PIR 100MM RAL9003 0,50 X 0,50MM</v>
      </c>
      <c r="C16890" s="2" t="str">
        <f t="shared" si="667"/>
        <v>UN</v>
      </c>
      <c r="D16890" s="7">
        <v>803</v>
      </c>
      <c r="E16890" s="3">
        <v>10</v>
      </c>
      <c r="F16890" s="3">
        <v>10</v>
      </c>
      <c r="G16890" t="s">
        <v>515</v>
      </c>
    </row>
    <row r="16891" spans="1:7" x14ac:dyDescent="0.25">
      <c r="A16891" s="1" t="str">
        <f>"523232"</f>
        <v>523232</v>
      </c>
      <c r="B16891" s="2" t="str">
        <f>"PAINEL FRIGO PIR 120MM RAL 9003 05,50 X 0,50"</f>
        <v>PAINEL FRIGO PIR 120MM RAL 9003 05,50 X 0,50</v>
      </c>
      <c r="C16891" s="2" t="str">
        <f t="shared" si="667"/>
        <v>UN</v>
      </c>
      <c r="D16891" s="7">
        <v>803</v>
      </c>
      <c r="E16891" s="3">
        <v>10</v>
      </c>
      <c r="F16891" s="3">
        <v>10</v>
      </c>
      <c r="G16891" t="s">
        <v>514</v>
      </c>
    </row>
    <row r="16892" spans="1:7" x14ac:dyDescent="0.25">
      <c r="A16892" s="1" t="str">
        <f>"522918"</f>
        <v>522918</v>
      </c>
      <c r="B16892" s="2" t="str">
        <f>"PAINEL FRIGO PIR 50MM RAL9003 0,50 X 0,50MM"</f>
        <v>PAINEL FRIGO PIR 50MM RAL9003 0,50 X 0,50MM</v>
      </c>
      <c r="C16892" s="2" t="str">
        <f t="shared" si="667"/>
        <v>UN</v>
      </c>
      <c r="D16892" s="7">
        <v>803</v>
      </c>
      <c r="E16892" s="3">
        <v>10</v>
      </c>
      <c r="F16892" s="3">
        <v>10</v>
      </c>
      <c r="G16892" t="s">
        <v>512</v>
      </c>
    </row>
    <row r="16893" spans="1:7" x14ac:dyDescent="0.25">
      <c r="A16893" s="1" t="str">
        <f>"522210"</f>
        <v>522210</v>
      </c>
      <c r="B16893" s="2" t="str">
        <f>"PAINEL FRIGO PIR 70MM RAL9003 0,50 X 0,50MM"</f>
        <v>PAINEL FRIGO PIR 70MM RAL9003 0,50 X 0,50MM</v>
      </c>
      <c r="C16893" s="2" t="str">
        <f t="shared" si="667"/>
        <v>UN</v>
      </c>
      <c r="D16893" s="7">
        <v>803</v>
      </c>
      <c r="E16893" s="3">
        <v>10</v>
      </c>
      <c r="F16893" s="3">
        <v>10</v>
      </c>
      <c r="G16893" t="s">
        <v>513</v>
      </c>
    </row>
    <row r="16894" spans="1:7" x14ac:dyDescent="0.25">
      <c r="A16894" s="1" t="str">
        <f>"527742"</f>
        <v>527742</v>
      </c>
      <c r="B16894" s="2" t="str">
        <f>"PAINEL FRONTAL C/ TECLADO EUROPEU IMPRESSORA VJ1000"</f>
        <v>PAINEL FRONTAL C/ TECLADO EUROPEU IMPRESSORA VJ1000</v>
      </c>
      <c r="C16894" s="2" t="str">
        <f t="shared" si="667"/>
        <v>UN</v>
      </c>
      <c r="D16894" s="7">
        <v>811</v>
      </c>
      <c r="E16894" s="3">
        <v>8</v>
      </c>
      <c r="F16894" s="3">
        <v>8</v>
      </c>
      <c r="G16894" t="s">
        <v>514</v>
      </c>
    </row>
    <row r="16895" spans="1:7" x14ac:dyDescent="0.25">
      <c r="A16895" s="1" t="str">
        <f>"514009"</f>
        <v>514009</v>
      </c>
      <c r="B16895" s="2" t="str">
        <f>"PAINEL FRONTAL C/ TECLADO EUROPEU VJ 1510"</f>
        <v>PAINEL FRONTAL C/ TECLADO EUROPEU VJ 1510</v>
      </c>
      <c r="C16895" s="2" t="str">
        <f t="shared" si="667"/>
        <v>UN</v>
      </c>
      <c r="D16895" s="7">
        <v>811</v>
      </c>
      <c r="E16895" s="3">
        <v>8</v>
      </c>
      <c r="F16895" s="3">
        <v>8</v>
      </c>
      <c r="G16895" t="s">
        <v>514</v>
      </c>
    </row>
    <row r="16896" spans="1:7" x14ac:dyDescent="0.25">
      <c r="A16896" s="1" t="str">
        <f>"522379"</f>
        <v>522379</v>
      </c>
      <c r="B16896" s="2" t="str">
        <f>"PAINEL FRONTAL DO CIP"</f>
        <v>PAINEL FRONTAL DO CIP</v>
      </c>
      <c r="C16896" s="2" t="str">
        <f t="shared" si="667"/>
        <v>UN</v>
      </c>
      <c r="D16896" s="7">
        <v>1300</v>
      </c>
      <c r="E16896" s="3">
        <v>11</v>
      </c>
      <c r="F16896" s="3">
        <v>11</v>
      </c>
      <c r="G16896" t="s">
        <v>512</v>
      </c>
    </row>
    <row r="16897" spans="1:7" x14ac:dyDescent="0.25">
      <c r="A16897" s="1" t="str">
        <f>"518883"</f>
        <v>518883</v>
      </c>
      <c r="B16897" s="2" t="str">
        <f>"PAINEL GERAL C/ 01 DISJUNTOR 1600A MULTIMEDIDOR GRANDEZAS"</f>
        <v>PAINEL GERAL C/ 01 DISJUNTOR 1600A MULTIMEDIDOR GRANDEZAS</v>
      </c>
      <c r="C16897" s="2" t="str">
        <f t="shared" si="667"/>
        <v>UN</v>
      </c>
      <c r="D16897" s="7">
        <v>811</v>
      </c>
      <c r="E16897" s="3">
        <v>8</v>
      </c>
      <c r="F16897" s="3">
        <v>8</v>
      </c>
      <c r="G16897" t="s">
        <v>513</v>
      </c>
    </row>
    <row r="16898" spans="1:7" x14ac:dyDescent="0.25">
      <c r="A16898" s="1" t="str">
        <f>"519618"</f>
        <v>519618</v>
      </c>
      <c r="B16898" s="2" t="str">
        <f>"PAINEL LÃ DE ROCHA 1200X600X50MM"</f>
        <v>PAINEL LÃ DE ROCHA 1200X600X50MM</v>
      </c>
      <c r="C16898" s="2" t="str">
        <f t="shared" si="667"/>
        <v>UN</v>
      </c>
      <c r="D16898" s="7">
        <v>918</v>
      </c>
      <c r="E16898" s="3">
        <v>11</v>
      </c>
      <c r="F16898" s="3">
        <v>11</v>
      </c>
      <c r="G16898" t="s">
        <v>514</v>
      </c>
    </row>
    <row r="16899" spans="1:7" x14ac:dyDescent="0.25">
      <c r="A16899" s="1" t="str">
        <f>"511602"</f>
        <v>511602</v>
      </c>
      <c r="B16899" s="2" t="str">
        <f>"PAINEL LAMBRIL 2000X870X #20"</f>
        <v>PAINEL LAMBRIL 2000X870X #20</v>
      </c>
      <c r="C16899" s="2" t="str">
        <f>"PC"</f>
        <v>PC</v>
      </c>
      <c r="D16899" s="7">
        <v>806</v>
      </c>
      <c r="E16899" s="3">
        <v>10</v>
      </c>
      <c r="F16899" s="3">
        <v>10</v>
      </c>
      <c r="G16899" t="s">
        <v>514</v>
      </c>
    </row>
    <row r="16900" spans="1:7" x14ac:dyDescent="0.25">
      <c r="A16900" s="1" t="str">
        <f>"527996"</f>
        <v>527996</v>
      </c>
      <c r="B16900" s="2" t="str">
        <f>"PAINEL LED 45W 6500K BV 3600LM SOBR 600X600MM"</f>
        <v>PAINEL LED 45W 6500K BV 3600LM SOBR 600X600MM</v>
      </c>
      <c r="C16900" s="2" t="str">
        <f t="shared" ref="C16900:C16936" si="668">"UN"</f>
        <v>UN</v>
      </c>
      <c r="D16900" s="7">
        <v>601</v>
      </c>
      <c r="E16900" s="3">
        <v>8</v>
      </c>
      <c r="F16900" s="3">
        <v>8</v>
      </c>
      <c r="G16900" t="s">
        <v>514</v>
      </c>
    </row>
    <row r="16901" spans="1:7" x14ac:dyDescent="0.25">
      <c r="A16901" s="1" t="str">
        <f>"507149"</f>
        <v>507149</v>
      </c>
      <c r="B16901" s="2" t="str">
        <f>"PAINEL MED 1200X800X250 CE12080-25 CEMAR"</f>
        <v>PAINEL MED 1200X800X250 CE12080-25 CEMAR</v>
      </c>
      <c r="C16901" s="2" t="str">
        <f t="shared" si="668"/>
        <v>UN</v>
      </c>
      <c r="D16901" s="7">
        <v>900</v>
      </c>
      <c r="E16901" s="3">
        <v>11</v>
      </c>
      <c r="F16901" s="3">
        <v>11</v>
      </c>
      <c r="G16901" t="s">
        <v>513</v>
      </c>
    </row>
    <row r="16902" spans="1:7" x14ac:dyDescent="0.25">
      <c r="A16902" s="1" t="str">
        <f>"520928"</f>
        <v>520928</v>
      </c>
      <c r="B16902" s="2" t="str">
        <f>"PAINEL MEDIÇÃO/FATURAMENTO"</f>
        <v>PAINEL MEDIÇÃO/FATURAMENTO</v>
      </c>
      <c r="C16902" s="2" t="str">
        <f t="shared" si="668"/>
        <v>UN</v>
      </c>
      <c r="D16902" s="7">
        <v>811</v>
      </c>
      <c r="E16902" s="3">
        <v>10</v>
      </c>
      <c r="F16902" s="3">
        <v>10</v>
      </c>
      <c r="G16902" t="s">
        <v>512</v>
      </c>
    </row>
    <row r="16903" spans="1:7" x14ac:dyDescent="0.25">
      <c r="A16903" s="1" t="str">
        <f>"514844"</f>
        <v>514844</v>
      </c>
      <c r="B16903" s="2" t="str">
        <f>"PAINEL P/ DESCARGA 4 VALVULAS 220V"</f>
        <v>PAINEL P/ DESCARGA 4 VALVULAS 220V</v>
      </c>
      <c r="C16903" s="2" t="str">
        <f t="shared" si="668"/>
        <v>UN</v>
      </c>
      <c r="D16903" s="7">
        <v>811</v>
      </c>
      <c r="E16903" s="3">
        <v>8</v>
      </c>
      <c r="F16903" s="3">
        <v>8</v>
      </c>
      <c r="G16903" t="s">
        <v>513</v>
      </c>
    </row>
    <row r="16904" spans="1:7" x14ac:dyDescent="0.25">
      <c r="A16904" s="1" t="str">
        <f>"514145"</f>
        <v>514145</v>
      </c>
      <c r="B16904" s="2" t="str">
        <f>"PAINEL PARA PRANCHETAS EM MDF"</f>
        <v>PAINEL PARA PRANCHETAS EM MDF</v>
      </c>
      <c r="C16904" s="2" t="str">
        <f t="shared" si="668"/>
        <v>UN</v>
      </c>
      <c r="D16904" s="7">
        <v>99999</v>
      </c>
      <c r="E16904" s="3">
        <v>99</v>
      </c>
      <c r="F16904" s="3">
        <v>99</v>
      </c>
      <c r="G16904" t="s">
        <v>514</v>
      </c>
    </row>
    <row r="16905" spans="1:7" x14ac:dyDescent="0.25">
      <c r="A16905" s="1" t="str">
        <f>"521228"</f>
        <v>521228</v>
      </c>
      <c r="B16905" s="8" t="s">
        <v>196</v>
      </c>
      <c r="C16905" s="2" t="str">
        <f t="shared" si="668"/>
        <v>UN</v>
      </c>
      <c r="D16905" s="7">
        <v>99999</v>
      </c>
      <c r="E16905" s="3">
        <v>10</v>
      </c>
      <c r="F16905" s="3">
        <v>10</v>
      </c>
      <c r="G16905" t="s">
        <v>514</v>
      </c>
    </row>
    <row r="16906" spans="1:7" x14ac:dyDescent="0.25">
      <c r="A16906" s="1" t="str">
        <f>"511321"</f>
        <v>511321</v>
      </c>
      <c r="B16906" s="2" t="str">
        <f>"PAINEL PVC 200X300X200"</f>
        <v>PAINEL PVC 200X300X200</v>
      </c>
      <c r="C16906" s="2" t="str">
        <f t="shared" si="668"/>
        <v>UN</v>
      </c>
      <c r="D16906" s="7">
        <v>600</v>
      </c>
      <c r="E16906" s="3">
        <v>8</v>
      </c>
      <c r="F16906" s="3">
        <v>8</v>
      </c>
      <c r="G16906" t="s">
        <v>514</v>
      </c>
    </row>
    <row r="16907" spans="1:7" x14ac:dyDescent="0.25">
      <c r="A16907" s="1" t="str">
        <f>"502757"</f>
        <v>502757</v>
      </c>
      <c r="B16907" s="2" t="str">
        <f>"PAINEL PVC 300X300X200MM"</f>
        <v>PAINEL PVC 300X300X200MM</v>
      </c>
      <c r="C16907" s="2" t="str">
        <f t="shared" si="668"/>
        <v>UN</v>
      </c>
      <c r="D16907" s="7">
        <v>600</v>
      </c>
      <c r="E16907" s="3">
        <v>8</v>
      </c>
      <c r="F16907" s="3">
        <v>8</v>
      </c>
      <c r="G16907" t="s">
        <v>513</v>
      </c>
    </row>
    <row r="16908" spans="1:7" x14ac:dyDescent="0.25">
      <c r="A16908" s="1" t="str">
        <f>"512295"</f>
        <v>512295</v>
      </c>
      <c r="B16908" s="2" t="str">
        <f>"PAINEL PVC 300X300X200MM TAMPA ACRILICO"</f>
        <v>PAINEL PVC 300X300X200MM TAMPA ACRILICO</v>
      </c>
      <c r="C16908" s="2" t="str">
        <f t="shared" si="668"/>
        <v>UN</v>
      </c>
      <c r="D16908" s="7">
        <v>600</v>
      </c>
      <c r="E16908" s="3">
        <v>8</v>
      </c>
      <c r="F16908" s="3">
        <v>8</v>
      </c>
      <c r="G16908" t="s">
        <v>513</v>
      </c>
    </row>
    <row r="16909" spans="1:7" x14ac:dyDescent="0.25">
      <c r="A16909" s="1" t="str">
        <f>"512326"</f>
        <v>512326</v>
      </c>
      <c r="B16909" s="2" t="str">
        <f>"PAINEL PVC 300X450X200MM TAMPA ACRILICO"</f>
        <v>PAINEL PVC 300X450X200MM TAMPA ACRILICO</v>
      </c>
      <c r="C16909" s="2" t="str">
        <f t="shared" si="668"/>
        <v>UN</v>
      </c>
      <c r="D16909" s="7">
        <v>600</v>
      </c>
      <c r="E16909" s="3">
        <v>8</v>
      </c>
      <c r="F16909" s="3">
        <v>8</v>
      </c>
      <c r="G16909" t="s">
        <v>513</v>
      </c>
    </row>
    <row r="16910" spans="1:7" x14ac:dyDescent="0.25">
      <c r="A16910" s="1" t="str">
        <f>"511160"</f>
        <v>511160</v>
      </c>
      <c r="B16910" s="2" t="str">
        <f>"PAINEL PVC 500X400X200MM"</f>
        <v>PAINEL PVC 500X400X200MM</v>
      </c>
      <c r="C16910" s="2" t="str">
        <f t="shared" si="668"/>
        <v>UN</v>
      </c>
      <c r="D16910" s="7">
        <v>600</v>
      </c>
      <c r="E16910" s="3">
        <v>8</v>
      </c>
      <c r="F16910" s="3">
        <v>8</v>
      </c>
      <c r="G16910" t="s">
        <v>512</v>
      </c>
    </row>
    <row r="16911" spans="1:7" x14ac:dyDescent="0.25">
      <c r="A16911" s="1" t="str">
        <f>"502758"</f>
        <v>502758</v>
      </c>
      <c r="B16911" s="2" t="str">
        <f>"PAINEL PVC 600X400X200MM"</f>
        <v>PAINEL PVC 600X400X200MM</v>
      </c>
      <c r="C16911" s="2" t="str">
        <f t="shared" si="668"/>
        <v>UN</v>
      </c>
      <c r="D16911" s="7">
        <v>600</v>
      </c>
      <c r="E16911" s="3">
        <v>8</v>
      </c>
      <c r="F16911" s="3">
        <v>8</v>
      </c>
      <c r="G16911" t="s">
        <v>513</v>
      </c>
    </row>
    <row r="16912" spans="1:7" x14ac:dyDescent="0.25">
      <c r="A16912" s="1" t="str">
        <f>"503422"</f>
        <v>503422</v>
      </c>
      <c r="B16912" s="2" t="str">
        <f>"PAINEL PVC P/ 4 DISJUNTORES"</f>
        <v>PAINEL PVC P/ 4 DISJUNTORES</v>
      </c>
      <c r="C16912" s="2" t="str">
        <f t="shared" si="668"/>
        <v>UN</v>
      </c>
      <c r="D16912" s="7">
        <v>600</v>
      </c>
      <c r="E16912" s="3">
        <v>8</v>
      </c>
      <c r="F16912" s="3">
        <v>8</v>
      </c>
      <c r="G16912" t="s">
        <v>514</v>
      </c>
    </row>
    <row r="16913" spans="1:7" x14ac:dyDescent="0.25">
      <c r="A16913" s="1" t="str">
        <f>"503211"</f>
        <v>503211</v>
      </c>
      <c r="B16913" s="2" t="str">
        <f>"PAINEL PVC TAMPA TRANSP 37X30X15"</f>
        <v>PAINEL PVC TAMPA TRANSP 37X30X15</v>
      </c>
      <c r="C16913" s="2" t="str">
        <f t="shared" si="668"/>
        <v>UN</v>
      </c>
      <c r="D16913" s="7">
        <v>600</v>
      </c>
      <c r="E16913" s="3">
        <v>8</v>
      </c>
      <c r="F16913" s="3">
        <v>8</v>
      </c>
      <c r="G16913" t="s">
        <v>515</v>
      </c>
    </row>
    <row r="16914" spans="1:7" x14ac:dyDescent="0.25">
      <c r="A16914" s="1" t="str">
        <f>"525357"</f>
        <v>525357</v>
      </c>
      <c r="B16914" s="2" t="str">
        <f>"PAINEL QDFL PROCESSO - PRISMA G"</f>
        <v>PAINEL QDFL PROCESSO - PRISMA G</v>
      </c>
      <c r="C16914" s="2" t="str">
        <f t="shared" si="668"/>
        <v>UN</v>
      </c>
      <c r="D16914" s="7">
        <v>811</v>
      </c>
      <c r="E16914" s="3">
        <v>11</v>
      </c>
      <c r="F16914" s="3">
        <v>11</v>
      </c>
      <c r="G16914" t="s">
        <v>512</v>
      </c>
    </row>
    <row r="16915" spans="1:7" x14ac:dyDescent="0.25">
      <c r="A16915" s="1" t="str">
        <f>"519238"</f>
        <v>519238</v>
      </c>
      <c r="B16915" s="2" t="str">
        <f>"PAINEL RODOAR TACO AR FLEX BI-VOLT"</f>
        <v>PAINEL RODOAR TACO AR FLEX BI-VOLT</v>
      </c>
      <c r="C16915" s="2" t="str">
        <f t="shared" si="668"/>
        <v>UN</v>
      </c>
      <c r="D16915" s="7">
        <v>812</v>
      </c>
      <c r="E16915" s="3">
        <v>9</v>
      </c>
      <c r="F16915" s="3">
        <v>9</v>
      </c>
      <c r="G16915" t="s">
        <v>516</v>
      </c>
    </row>
    <row r="16916" spans="1:7" x14ac:dyDescent="0.25">
      <c r="A16916" s="1" t="str">
        <f>"527228"</f>
        <v>527228</v>
      </c>
      <c r="B16916" s="2" t="str">
        <f>"PAINEL SIMATIC HMI KTP700 BASIC - SIEMENS"</f>
        <v>PAINEL SIMATIC HMI KTP700 BASIC - SIEMENS</v>
      </c>
      <c r="C16916" s="2" t="str">
        <f t="shared" si="668"/>
        <v>UN</v>
      </c>
      <c r="D16916" s="7">
        <v>811</v>
      </c>
      <c r="E16916" s="3">
        <v>8</v>
      </c>
      <c r="F16916" s="3">
        <v>8</v>
      </c>
      <c r="G16916" t="s">
        <v>515</v>
      </c>
    </row>
    <row r="16917" spans="1:7" x14ac:dyDescent="0.25">
      <c r="A16917" s="1" t="str">
        <f>"524996"</f>
        <v>524996</v>
      </c>
      <c r="B16917" s="2" t="str">
        <f>"PAINEL TERMICO PIR #70MM"</f>
        <v>PAINEL TERMICO PIR #70MM</v>
      </c>
      <c r="C16917" s="2" t="str">
        <f t="shared" si="668"/>
        <v>UN</v>
      </c>
      <c r="D16917" s="7">
        <v>916</v>
      </c>
      <c r="E16917" s="3">
        <v>10</v>
      </c>
      <c r="F16917" s="3">
        <v>10</v>
      </c>
      <c r="G16917" t="s">
        <v>514</v>
      </c>
    </row>
    <row r="16918" spans="1:7" x14ac:dyDescent="0.25">
      <c r="A16918" s="1" t="str">
        <f>"519124"</f>
        <v>519124</v>
      </c>
      <c r="B16918" s="2" t="str">
        <f>"PAINEL VIEW PLUS 1000 24VCC ALLEN BRADLEY"</f>
        <v>PAINEL VIEW PLUS 1000 24VCC ALLEN BRADLEY</v>
      </c>
      <c r="C16918" s="2" t="str">
        <f t="shared" si="668"/>
        <v>UN</v>
      </c>
      <c r="D16918" s="7">
        <v>811</v>
      </c>
      <c r="E16918" s="3">
        <v>8</v>
      </c>
      <c r="F16918" s="3">
        <v>8</v>
      </c>
      <c r="G16918" t="s">
        <v>512</v>
      </c>
    </row>
    <row r="16919" spans="1:7" x14ac:dyDescent="0.25">
      <c r="A16919" s="1" t="str">
        <f>"527432"</f>
        <v>527432</v>
      </c>
      <c r="B16919" s="8" t="s">
        <v>502</v>
      </c>
      <c r="C16919" s="2" t="str">
        <f t="shared" si="668"/>
        <v>UN</v>
      </c>
      <c r="D16919" s="7">
        <v>900</v>
      </c>
      <c r="E16919" s="3">
        <v>11</v>
      </c>
      <c r="F16919" s="3">
        <v>11</v>
      </c>
      <c r="G16919" t="s">
        <v>513</v>
      </c>
    </row>
    <row r="16920" spans="1:7" x14ac:dyDescent="0.25">
      <c r="A16920" s="1" t="str">
        <f>"CO73089090"</f>
        <v>CO73089090</v>
      </c>
      <c r="B16920" s="2" t="str">
        <f>"PAINEL/PERFIL"</f>
        <v>PAINEL/PERFIL</v>
      </c>
      <c r="C16920" s="2" t="str">
        <f t="shared" si="668"/>
        <v>UN</v>
      </c>
      <c r="D16920" s="7">
        <v>99999</v>
      </c>
      <c r="E16920" s="3">
        <v>99</v>
      </c>
      <c r="F16920" s="3">
        <v>99</v>
      </c>
      <c r="G16920" t="s">
        <v>514</v>
      </c>
    </row>
    <row r="16921" spans="1:7" x14ac:dyDescent="0.25">
      <c r="A16921" s="1" t="str">
        <f>"515580"</f>
        <v>515580</v>
      </c>
      <c r="B16921" s="2" t="str">
        <f>"PALANQUE 12 X 12 X 3,00M"</f>
        <v>PALANQUE 12 X 12 X 3,00M</v>
      </c>
      <c r="C16921" s="2" t="str">
        <f t="shared" si="668"/>
        <v>UN</v>
      </c>
      <c r="D16921" s="7">
        <v>917</v>
      </c>
      <c r="E16921" s="3">
        <v>10</v>
      </c>
      <c r="F16921" s="3">
        <v>10</v>
      </c>
      <c r="G16921" t="s">
        <v>514</v>
      </c>
    </row>
    <row r="16922" spans="1:7" x14ac:dyDescent="0.25">
      <c r="A16922" s="1" t="str">
        <f>"523151"</f>
        <v>523151</v>
      </c>
      <c r="B16922" s="2" t="str">
        <f>"PALETEIRA ELETRICA PALETRANS LE1026"</f>
        <v>PALETEIRA ELETRICA PALETRANS LE1026</v>
      </c>
      <c r="C16922" s="2" t="str">
        <f t="shared" si="668"/>
        <v>UN</v>
      </c>
      <c r="D16922" s="7">
        <v>1500</v>
      </c>
      <c r="E16922" s="3">
        <v>13</v>
      </c>
      <c r="F16922" s="3">
        <v>13</v>
      </c>
      <c r="G16922" t="s">
        <v>512</v>
      </c>
    </row>
    <row r="16923" spans="1:7" x14ac:dyDescent="0.25">
      <c r="A16923" s="1" t="str">
        <f>"512949"</f>
        <v>512949</v>
      </c>
      <c r="B16923" s="2" t="str">
        <f>"PALETES DESCARTAVEIS"</f>
        <v>PALETES DESCARTAVEIS</v>
      </c>
      <c r="C16923" s="2" t="str">
        <f t="shared" si="668"/>
        <v>UN</v>
      </c>
      <c r="D16923" s="7">
        <v>408</v>
      </c>
      <c r="E16923" s="3">
        <v>4</v>
      </c>
      <c r="F16923" s="3">
        <v>4</v>
      </c>
      <c r="G16923" t="s">
        <v>513</v>
      </c>
    </row>
    <row r="16924" spans="1:7" x14ac:dyDescent="0.25">
      <c r="A16924" s="1" t="str">
        <f>"2794"</f>
        <v>2794</v>
      </c>
      <c r="B16924" s="2" t="str">
        <f>"PALETES PADRAO (PBR)"</f>
        <v>PALETES PADRAO (PBR)</v>
      </c>
      <c r="C16924" s="2" t="str">
        <f t="shared" si="668"/>
        <v>UN</v>
      </c>
      <c r="D16924" s="7">
        <v>408</v>
      </c>
      <c r="E16924" s="3">
        <v>4</v>
      </c>
      <c r="F16924" s="3">
        <v>4</v>
      </c>
      <c r="G16924" t="s">
        <v>514</v>
      </c>
    </row>
    <row r="16925" spans="1:7" x14ac:dyDescent="0.25">
      <c r="A16925" s="1" t="str">
        <f>"513363"</f>
        <v>513363</v>
      </c>
      <c r="B16925" s="2" t="str">
        <f>"PALHA CLIMATIZADOR"</f>
        <v>PALHA CLIMATIZADOR</v>
      </c>
      <c r="C16925" s="2" t="str">
        <f t="shared" si="668"/>
        <v>UN</v>
      </c>
      <c r="D16925" s="7">
        <v>918</v>
      </c>
      <c r="E16925" s="3">
        <v>11</v>
      </c>
      <c r="F16925" s="3">
        <v>11</v>
      </c>
      <c r="G16925" t="s">
        <v>514</v>
      </c>
    </row>
    <row r="16926" spans="1:7" x14ac:dyDescent="0.25">
      <c r="A16926" s="1" t="str">
        <f>"515498"</f>
        <v>515498</v>
      </c>
      <c r="B16926" s="2" t="str">
        <f>"PALHA DE AÇO"</f>
        <v>PALHA DE AÇO</v>
      </c>
      <c r="C16926" s="2" t="str">
        <f t="shared" si="668"/>
        <v>UN</v>
      </c>
      <c r="D16926" s="7">
        <v>803</v>
      </c>
      <c r="E16926" s="3">
        <v>4</v>
      </c>
      <c r="F16926" s="3">
        <v>4</v>
      </c>
      <c r="G16926" t="s">
        <v>514</v>
      </c>
    </row>
    <row r="16927" spans="1:7" x14ac:dyDescent="0.25">
      <c r="A16927" s="1" t="str">
        <f>"517647"</f>
        <v>517647</v>
      </c>
      <c r="B16927" s="2" t="str">
        <f>"PALHA DECORATIVA PCT"</f>
        <v>PALHA DECORATIVA PCT</v>
      </c>
      <c r="C16927" s="2" t="str">
        <f t="shared" si="668"/>
        <v>UN</v>
      </c>
      <c r="D16927" s="7">
        <v>1200</v>
      </c>
      <c r="E16927" s="3">
        <v>10</v>
      </c>
      <c r="F16927" s="3">
        <v>10</v>
      </c>
      <c r="G16927" t="s">
        <v>513</v>
      </c>
    </row>
    <row r="16928" spans="1:7" x14ac:dyDescent="0.25">
      <c r="A16928" s="1" t="str">
        <f>"518180"</f>
        <v>518180</v>
      </c>
      <c r="B16928" s="2" t="str">
        <f>"PALHETA 220X52X5,9MM R50250A-R50305"</f>
        <v>PALHETA 220X52X5,9MM R50250A-R50305</v>
      </c>
      <c r="C16928" s="2" t="str">
        <f t="shared" si="668"/>
        <v>UN</v>
      </c>
      <c r="D16928" s="7">
        <v>918</v>
      </c>
      <c r="E16928" s="3">
        <v>11</v>
      </c>
      <c r="F16928" s="3">
        <v>11</v>
      </c>
      <c r="G16928" t="s">
        <v>512</v>
      </c>
    </row>
    <row r="16929" spans="1:7" x14ac:dyDescent="0.25">
      <c r="A16929" s="1" t="str">
        <f>"506239"</f>
        <v>506239</v>
      </c>
      <c r="B16929" s="2" t="str">
        <f>"PALHETA B.SELOVAC MOD SBV250/Nº4368604"</f>
        <v>PALHETA B.SELOVAC MOD SBV250/Nº4368604</v>
      </c>
      <c r="C16929" s="2" t="str">
        <f t="shared" si="668"/>
        <v>UN</v>
      </c>
      <c r="D16929" s="7">
        <v>918</v>
      </c>
      <c r="E16929" s="3">
        <v>11</v>
      </c>
      <c r="F16929" s="3">
        <v>11</v>
      </c>
      <c r="G16929" t="s">
        <v>513</v>
      </c>
    </row>
    <row r="16930" spans="1:7" x14ac:dyDescent="0.25">
      <c r="A16930" s="1" t="str">
        <f>"517222"</f>
        <v>517222</v>
      </c>
      <c r="B16930" s="2" t="str">
        <f>"PALHETA BBA VACUO BUSCH TIPO RA0250 D S63 DKXX Nº C052400376"</f>
        <v>PALHETA BBA VACUO BUSCH TIPO RA0250 D S63 DKXX Nº C052400376</v>
      </c>
      <c r="C16930" s="2" t="str">
        <f t="shared" si="668"/>
        <v>UN</v>
      </c>
      <c r="D16930" s="7">
        <v>918</v>
      </c>
      <c r="E16930" s="3">
        <v>11</v>
      </c>
      <c r="F16930" s="3">
        <v>11</v>
      </c>
      <c r="G16930" t="s">
        <v>514</v>
      </c>
    </row>
    <row r="16931" spans="1:7" x14ac:dyDescent="0.25">
      <c r="A16931" s="1" t="str">
        <f>"513867"</f>
        <v>513867</v>
      </c>
      <c r="B16931" s="2" t="str">
        <f>"PALHETA PARABRISA"</f>
        <v>PALHETA PARABRISA</v>
      </c>
      <c r="C16931" s="2" t="str">
        <f t="shared" si="668"/>
        <v>UN</v>
      </c>
      <c r="D16931" s="7">
        <v>99999</v>
      </c>
      <c r="E16931" s="3">
        <v>99</v>
      </c>
      <c r="F16931" s="3">
        <v>99</v>
      </c>
      <c r="G16931" t="s">
        <v>514</v>
      </c>
    </row>
    <row r="16932" spans="1:7" x14ac:dyDescent="0.25">
      <c r="A16932" s="1" t="str">
        <f>"518261"</f>
        <v>518261</v>
      </c>
      <c r="B16932" s="2" t="str">
        <f>"PALHETA SBV250059N - SELOVAC"</f>
        <v>PALHETA SBV250059N - SELOVAC</v>
      </c>
      <c r="C16932" s="2" t="str">
        <f t="shared" si="668"/>
        <v>UN</v>
      </c>
      <c r="D16932" s="7">
        <v>918</v>
      </c>
      <c r="E16932" s="3">
        <v>11</v>
      </c>
      <c r="F16932" s="3">
        <v>11</v>
      </c>
      <c r="G16932" t="s">
        <v>514</v>
      </c>
    </row>
    <row r="16933" spans="1:7" x14ac:dyDescent="0.25">
      <c r="A16933" s="1" t="str">
        <f>"509741"</f>
        <v>509741</v>
      </c>
      <c r="B16933" s="2" t="str">
        <f>"PALHETA VENTILADA # 16"</f>
        <v>PALHETA VENTILADA # 16</v>
      </c>
      <c r="C16933" s="2" t="str">
        <f t="shared" si="668"/>
        <v>UN</v>
      </c>
      <c r="D16933" s="7">
        <v>918</v>
      </c>
      <c r="E16933" s="3">
        <v>11</v>
      </c>
      <c r="F16933" s="3">
        <v>11</v>
      </c>
      <c r="G16933" t="s">
        <v>513</v>
      </c>
    </row>
    <row r="16934" spans="1:7" x14ac:dyDescent="0.25">
      <c r="A16934" s="1" t="str">
        <f>"520946"</f>
        <v>520946</v>
      </c>
      <c r="B16934" s="2" t="str">
        <f>"PALITO DE DENTE"</f>
        <v>PALITO DE DENTE</v>
      </c>
      <c r="C16934" s="2" t="str">
        <f t="shared" si="668"/>
        <v>UN</v>
      </c>
      <c r="D16934" s="7">
        <v>99999</v>
      </c>
      <c r="E16934" s="3">
        <v>99</v>
      </c>
      <c r="F16934" s="3">
        <v>99</v>
      </c>
      <c r="G16934" t="s">
        <v>513</v>
      </c>
    </row>
    <row r="16935" spans="1:7" x14ac:dyDescent="0.25">
      <c r="A16935" s="1" t="str">
        <f>"512938"</f>
        <v>512938</v>
      </c>
      <c r="B16935" s="2" t="str">
        <f>"PALITO P/ CHIRRASCO"</f>
        <v>PALITO P/ CHIRRASCO</v>
      </c>
      <c r="C16935" s="2" t="str">
        <f t="shared" si="668"/>
        <v>UN</v>
      </c>
      <c r="D16935" s="7">
        <v>401</v>
      </c>
      <c r="E16935" s="3">
        <v>4</v>
      </c>
      <c r="F16935" s="3">
        <v>4</v>
      </c>
      <c r="G16935" t="s">
        <v>513</v>
      </c>
    </row>
    <row r="16936" spans="1:7" x14ac:dyDescent="0.25">
      <c r="A16936" s="1" t="str">
        <f>"517006"</f>
        <v>517006</v>
      </c>
      <c r="B16936" s="2" t="str">
        <f>"PALLET 041 C/ DESLIZADOR PLASTICO COR BRANCO PEAD NATURAL"</f>
        <v>PALLET 041 C/ DESLIZADOR PLASTICO COR BRANCO PEAD NATURAL</v>
      </c>
      <c r="C16936" s="2" t="str">
        <f t="shared" si="668"/>
        <v>UN</v>
      </c>
      <c r="D16936" s="7">
        <v>915</v>
      </c>
      <c r="E16936" s="3">
        <v>4</v>
      </c>
      <c r="F16936" s="3">
        <v>4</v>
      </c>
      <c r="G16936" t="s">
        <v>512</v>
      </c>
    </row>
    <row r="16937" spans="1:7" x14ac:dyDescent="0.25">
      <c r="A16937" s="1" t="str">
        <f>"510351"</f>
        <v>510351</v>
      </c>
      <c r="B16937" s="2" t="str">
        <f>"PALLET 1600 X 1300 X 145"</f>
        <v>PALLET 1600 X 1300 X 145</v>
      </c>
      <c r="C16937" s="2" t="str">
        <f>"PC"</f>
        <v>PC</v>
      </c>
      <c r="D16937" s="7">
        <v>402</v>
      </c>
      <c r="E16937" s="3">
        <v>4</v>
      </c>
      <c r="F16937" s="3">
        <v>4</v>
      </c>
      <c r="G16937" t="s">
        <v>513</v>
      </c>
    </row>
    <row r="16938" spans="1:7" x14ac:dyDescent="0.25">
      <c r="A16938" s="1" t="str">
        <f>"526266"</f>
        <v>526266</v>
      </c>
      <c r="B16938" s="2" t="str">
        <f>"PALLET CONTENÇÃO 4 TAMBORES 420LT 1,30X1,30X0,45MT"</f>
        <v>PALLET CONTENÇÃO 4 TAMBORES 420LT 1,30X1,30X0,45MT</v>
      </c>
      <c r="C16938" s="2" t="str">
        <f t="shared" ref="C16938:C16969" si="669">"UN"</f>
        <v>UN</v>
      </c>
      <c r="D16938" s="7">
        <v>99999</v>
      </c>
      <c r="E16938" s="3">
        <v>99</v>
      </c>
      <c r="F16938" s="3">
        <v>99</v>
      </c>
      <c r="G16938" t="s">
        <v>514</v>
      </c>
    </row>
    <row r="16939" spans="1:7" x14ac:dyDescent="0.25">
      <c r="A16939" s="1" t="str">
        <f>"523962"</f>
        <v>523962</v>
      </c>
      <c r="B16939" s="2" t="str">
        <f>"PALLET CONTENÇÃO 4TB 150L 1,3X1,3X0,21 AM UBL 542"</f>
        <v>PALLET CONTENÇÃO 4TB 150L 1,3X1,3X0,21 AM UBL 542</v>
      </c>
      <c r="C16939" s="2" t="str">
        <f t="shared" si="669"/>
        <v>UN</v>
      </c>
      <c r="D16939" s="7">
        <v>400</v>
      </c>
      <c r="E16939" s="3">
        <v>4</v>
      </c>
      <c r="F16939" s="3">
        <v>4</v>
      </c>
      <c r="G16939" t="s">
        <v>515</v>
      </c>
    </row>
    <row r="16940" spans="1:7" x14ac:dyDescent="0.25">
      <c r="A16940" s="1" t="str">
        <f>"524087"</f>
        <v>524087</v>
      </c>
      <c r="B16940" s="2" t="str">
        <f>"PALMILHA AJUSTE PERFEITO MEIO NUMERO GEL IMPEC CINZA TAM G"</f>
        <v>PALMILHA AJUSTE PERFEITO MEIO NUMERO GEL IMPEC CINZA TAM G</v>
      </c>
      <c r="C16940" s="2" t="str">
        <f t="shared" si="669"/>
        <v>UN</v>
      </c>
      <c r="D16940" s="7">
        <v>99999</v>
      </c>
      <c r="E16940" s="3">
        <v>99</v>
      </c>
      <c r="F16940" s="3">
        <v>99</v>
      </c>
      <c r="G16940" t="s">
        <v>512</v>
      </c>
    </row>
    <row r="16941" spans="1:7" x14ac:dyDescent="0.25">
      <c r="A16941" s="1" t="str">
        <f>"524086"</f>
        <v>524086</v>
      </c>
      <c r="B16941" s="2" t="str">
        <f>"PALMILHA AJUSTE PERFEITO MEIO NUMERO GEL IMPEC CINZA TAM M"</f>
        <v>PALMILHA AJUSTE PERFEITO MEIO NUMERO GEL IMPEC CINZA TAM M</v>
      </c>
      <c r="C16941" s="2" t="str">
        <f t="shared" si="669"/>
        <v>UN</v>
      </c>
      <c r="D16941" s="7">
        <v>99999</v>
      </c>
      <c r="E16941" s="3">
        <v>99</v>
      </c>
      <c r="F16941" s="3">
        <v>99</v>
      </c>
      <c r="G16941" t="s">
        <v>516</v>
      </c>
    </row>
    <row r="16942" spans="1:7" x14ac:dyDescent="0.25">
      <c r="A16942" s="1" t="str">
        <f>"524297"</f>
        <v>524297</v>
      </c>
      <c r="B16942" s="2" t="str">
        <f>"PALMILHA AJUSTE PERFEITO MEIO NUMERO GEL IMPEC CINZA TAM P"</f>
        <v>PALMILHA AJUSTE PERFEITO MEIO NUMERO GEL IMPEC CINZA TAM P</v>
      </c>
      <c r="C16942" s="2" t="str">
        <f t="shared" si="669"/>
        <v>UN</v>
      </c>
      <c r="D16942" s="7">
        <v>99999</v>
      </c>
      <c r="E16942" s="3">
        <v>99</v>
      </c>
      <c r="F16942" s="3">
        <v>99</v>
      </c>
      <c r="G16942" t="s">
        <v>515</v>
      </c>
    </row>
    <row r="16943" spans="1:7" x14ac:dyDescent="0.25">
      <c r="A16943" s="1" t="str">
        <f>"524088"</f>
        <v>524088</v>
      </c>
      <c r="B16943" s="2" t="str">
        <f>"PALMILHA AJUSTE PERFEITO MEIO NUMERO GEL IMPEC CINZA TAM PP"</f>
        <v>PALMILHA AJUSTE PERFEITO MEIO NUMERO GEL IMPEC CINZA TAM PP</v>
      </c>
      <c r="C16943" s="2" t="str">
        <f t="shared" si="669"/>
        <v>UN</v>
      </c>
      <c r="D16943" s="7">
        <v>99999</v>
      </c>
      <c r="E16943" s="3">
        <v>99</v>
      </c>
      <c r="F16943" s="3">
        <v>99</v>
      </c>
      <c r="G16943" t="s">
        <v>514</v>
      </c>
    </row>
    <row r="16944" spans="1:7" x14ac:dyDescent="0.25">
      <c r="A16944" s="1" t="str">
        <f>"526361"</f>
        <v>526361</v>
      </c>
      <c r="B16944" s="2" t="str">
        <f>"PALMILHA AJUSTE PERFEITO MEIO NUMERO GEL IMPEC CINZA TAM XG"</f>
        <v>PALMILHA AJUSTE PERFEITO MEIO NUMERO GEL IMPEC CINZA TAM XG</v>
      </c>
      <c r="C16944" s="2" t="str">
        <f t="shared" si="669"/>
        <v>UN</v>
      </c>
      <c r="D16944" s="7">
        <v>99999</v>
      </c>
      <c r="E16944" s="3">
        <v>99</v>
      </c>
      <c r="F16944" s="3">
        <v>99</v>
      </c>
      <c r="G16944" t="s">
        <v>512</v>
      </c>
    </row>
    <row r="16945" spans="1:7" x14ac:dyDescent="0.25">
      <c r="A16945" s="1" t="str">
        <f>"526293"</f>
        <v>526293</v>
      </c>
      <c r="B16945" s="2" t="str">
        <f>"PALMITO"</f>
        <v>PALMITO</v>
      </c>
      <c r="C16945" s="2" t="str">
        <f t="shared" si="669"/>
        <v>UN</v>
      </c>
      <c r="D16945" s="7">
        <v>99999</v>
      </c>
      <c r="E16945" s="3">
        <v>99</v>
      </c>
      <c r="F16945" s="3">
        <v>99</v>
      </c>
      <c r="G16945" t="s">
        <v>513</v>
      </c>
    </row>
    <row r="16946" spans="1:7" x14ac:dyDescent="0.25">
      <c r="A16946" s="1" t="str">
        <f>"518116"</f>
        <v>518116</v>
      </c>
      <c r="B16946" s="2" t="str">
        <f>"PALTERM APOIO PLANTAR"</f>
        <v>PALTERM APOIO PLANTAR</v>
      </c>
      <c r="C16946" s="2" t="str">
        <f t="shared" si="669"/>
        <v>UN</v>
      </c>
      <c r="D16946" s="7">
        <v>500</v>
      </c>
      <c r="E16946" s="3">
        <v>4</v>
      </c>
      <c r="F16946" s="3">
        <v>4</v>
      </c>
      <c r="G16946" t="s">
        <v>514</v>
      </c>
    </row>
    <row r="16947" spans="1:7" x14ac:dyDescent="0.25">
      <c r="A16947" s="1" t="str">
        <f>"523241"</f>
        <v>523241</v>
      </c>
      <c r="B16947" s="2" t="str">
        <f>"PANELA DE ARROZ"</f>
        <v>PANELA DE ARROZ</v>
      </c>
      <c r="C16947" s="2" t="str">
        <f t="shared" si="669"/>
        <v>UN</v>
      </c>
      <c r="D16947" s="7">
        <v>401</v>
      </c>
      <c r="E16947" s="3">
        <v>4</v>
      </c>
      <c r="F16947" s="3">
        <v>4</v>
      </c>
      <c r="G16947" t="s">
        <v>514</v>
      </c>
    </row>
    <row r="16948" spans="1:7" x14ac:dyDescent="0.25">
      <c r="A16948" s="1" t="str">
        <f>"523802"</f>
        <v>523802</v>
      </c>
      <c r="B16948" s="2" t="str">
        <f>"PANELA ELETRICA ARROZ"</f>
        <v>PANELA ELETRICA ARROZ</v>
      </c>
      <c r="C16948" s="2" t="str">
        <f t="shared" si="669"/>
        <v>UN</v>
      </c>
      <c r="D16948" s="7">
        <v>99999</v>
      </c>
      <c r="E16948" s="3">
        <v>99</v>
      </c>
      <c r="F16948" s="3">
        <v>99</v>
      </c>
      <c r="G16948" t="s">
        <v>512</v>
      </c>
    </row>
    <row r="16949" spans="1:7" x14ac:dyDescent="0.25">
      <c r="A16949" s="1" t="str">
        <f>"518944"</f>
        <v>518944</v>
      </c>
      <c r="B16949" s="2" t="str">
        <f>"PANELA EM ALUMINIO"</f>
        <v>PANELA EM ALUMINIO</v>
      </c>
      <c r="C16949" s="2" t="str">
        <f t="shared" si="669"/>
        <v>UN</v>
      </c>
      <c r="D16949" s="7">
        <v>401</v>
      </c>
      <c r="E16949" s="3">
        <v>4</v>
      </c>
      <c r="F16949" s="3">
        <v>4</v>
      </c>
      <c r="G16949" t="s">
        <v>513</v>
      </c>
    </row>
    <row r="16950" spans="1:7" x14ac:dyDescent="0.25">
      <c r="A16950" s="1" t="str">
        <f>"514731"</f>
        <v>514731</v>
      </c>
      <c r="B16950" s="2" t="str">
        <f>"PANELA GRILL MONDIAL"</f>
        <v>PANELA GRILL MONDIAL</v>
      </c>
      <c r="C16950" s="2" t="str">
        <f t="shared" si="669"/>
        <v>UN</v>
      </c>
      <c r="D16950" s="7">
        <v>401</v>
      </c>
      <c r="E16950" s="3">
        <v>4</v>
      </c>
      <c r="F16950" s="3">
        <v>4</v>
      </c>
      <c r="G16950" t="s">
        <v>514</v>
      </c>
    </row>
    <row r="16951" spans="1:7" x14ac:dyDescent="0.25">
      <c r="A16951" s="1" t="str">
        <f>"514246"</f>
        <v>514246</v>
      </c>
      <c r="B16951" s="2" t="str">
        <f>"PANELA HOR. PORQ. 100KG BIASTINOX 2000+PAI"</f>
        <v>PANELA HOR. PORQ. 100KG BIASTINOX 2000+PAI</v>
      </c>
      <c r="C16951" s="2" t="str">
        <f t="shared" si="669"/>
        <v>UN</v>
      </c>
      <c r="D16951" s="7">
        <v>915</v>
      </c>
      <c r="E16951" s="3">
        <v>10</v>
      </c>
      <c r="F16951" s="3">
        <v>10</v>
      </c>
      <c r="G16951" t="s">
        <v>514</v>
      </c>
    </row>
    <row r="16952" spans="1:7" x14ac:dyDescent="0.25">
      <c r="A16952" s="1" t="str">
        <f>"524054"</f>
        <v>524054</v>
      </c>
      <c r="B16952" s="2" t="str">
        <f>"PANELA PRESSÃO FECHAMENTO ESTERNO 20,8 LITROS ROCHEDO"</f>
        <v>PANELA PRESSÃO FECHAMENTO ESTERNO 20,8 LITROS ROCHEDO</v>
      </c>
      <c r="C16952" s="2" t="str">
        <f t="shared" si="669"/>
        <v>UN</v>
      </c>
      <c r="D16952" s="7">
        <v>99999</v>
      </c>
      <c r="E16952" s="3">
        <v>99</v>
      </c>
      <c r="F16952" s="3">
        <v>99</v>
      </c>
      <c r="G16952" t="s">
        <v>514</v>
      </c>
    </row>
    <row r="16953" spans="1:7" x14ac:dyDescent="0.25">
      <c r="A16953" s="1" t="str">
        <f>"514704"</f>
        <v>514704</v>
      </c>
      <c r="B16953" s="2" t="str">
        <f>"PANETONE"</f>
        <v>PANETONE</v>
      </c>
      <c r="C16953" s="2" t="str">
        <f t="shared" si="669"/>
        <v>UN</v>
      </c>
      <c r="D16953" s="7">
        <v>401</v>
      </c>
      <c r="E16953" s="3">
        <v>4</v>
      </c>
      <c r="F16953" s="3">
        <v>4</v>
      </c>
      <c r="G16953" t="s">
        <v>513</v>
      </c>
    </row>
    <row r="16954" spans="1:7" x14ac:dyDescent="0.25">
      <c r="A16954" s="1" t="str">
        <f>"526260"</f>
        <v>526260</v>
      </c>
      <c r="B16954" s="2" t="str">
        <f>"PANFLETO"</f>
        <v>PANFLETO</v>
      </c>
      <c r="C16954" s="2" t="str">
        <f t="shared" si="669"/>
        <v>UN</v>
      </c>
      <c r="D16954" s="7">
        <v>99999</v>
      </c>
      <c r="E16954" s="3">
        <v>99</v>
      </c>
      <c r="F16954" s="3">
        <v>99</v>
      </c>
      <c r="G16954" t="s">
        <v>512</v>
      </c>
    </row>
    <row r="16955" spans="1:7" x14ac:dyDescent="0.25">
      <c r="A16955" s="1" t="str">
        <f>"526281"</f>
        <v>526281</v>
      </c>
      <c r="B16955" s="2" t="str">
        <f>"PANFLETO 15 X 10CM"</f>
        <v>PANFLETO 15 X 10CM</v>
      </c>
      <c r="C16955" s="2" t="str">
        <f t="shared" si="669"/>
        <v>UN</v>
      </c>
      <c r="D16955" s="7">
        <v>99999</v>
      </c>
      <c r="E16955" s="3">
        <v>99</v>
      </c>
      <c r="F16955" s="3">
        <v>99</v>
      </c>
      <c r="G16955" t="s">
        <v>513</v>
      </c>
    </row>
    <row r="16956" spans="1:7" x14ac:dyDescent="0.25">
      <c r="A16956" s="1" t="str">
        <f>"510285"</f>
        <v>510285</v>
      </c>
      <c r="B16956" s="2" t="str">
        <f>"PANO C/ CHINIL"</f>
        <v>PANO C/ CHINIL</v>
      </c>
      <c r="C16956" s="2" t="str">
        <f t="shared" si="669"/>
        <v>UN</v>
      </c>
      <c r="D16956" s="7">
        <v>704</v>
      </c>
      <c r="E16956" s="3">
        <v>9</v>
      </c>
      <c r="F16956" s="3">
        <v>9</v>
      </c>
      <c r="G16956" t="s">
        <v>514</v>
      </c>
    </row>
    <row r="16957" spans="1:7" x14ac:dyDescent="0.25">
      <c r="A16957" s="1" t="str">
        <f>"6159"</f>
        <v>6159</v>
      </c>
      <c r="B16957" s="2" t="str">
        <f>"PANO DE CHÃO ECO CLEAN XADREZ 70X40CM"</f>
        <v>PANO DE CHÃO ECO CLEAN XADREZ 70X40CM</v>
      </c>
      <c r="C16957" s="2" t="str">
        <f t="shared" si="669"/>
        <v>UN</v>
      </c>
      <c r="D16957" s="7">
        <v>400</v>
      </c>
      <c r="E16957" s="3">
        <v>4</v>
      </c>
      <c r="F16957" s="3">
        <v>4</v>
      </c>
      <c r="G16957" t="s">
        <v>514</v>
      </c>
    </row>
    <row r="16958" spans="1:7" x14ac:dyDescent="0.25">
      <c r="A16958" s="1" t="str">
        <f>"521188"</f>
        <v>521188</v>
      </c>
      <c r="B16958" s="2" t="str">
        <f>"PANO DE PRATO"</f>
        <v>PANO DE PRATO</v>
      </c>
      <c r="C16958" s="2" t="str">
        <f t="shared" si="669"/>
        <v>UN</v>
      </c>
      <c r="D16958" s="7">
        <v>99999</v>
      </c>
      <c r="E16958" s="3">
        <v>99</v>
      </c>
      <c r="F16958" s="3">
        <v>99</v>
      </c>
      <c r="G16958" t="s">
        <v>514</v>
      </c>
    </row>
    <row r="16959" spans="1:7" x14ac:dyDescent="0.25">
      <c r="A16959" s="1" t="str">
        <f>"513911"</f>
        <v>513911</v>
      </c>
      <c r="B16959" s="2" t="str">
        <f>"PANO PARA LIMPEZA"</f>
        <v>PANO PARA LIMPEZA</v>
      </c>
      <c r="C16959" s="2" t="str">
        <f t="shared" si="669"/>
        <v>UN</v>
      </c>
      <c r="D16959" s="7">
        <v>99999</v>
      </c>
      <c r="E16959" s="3">
        <v>99</v>
      </c>
      <c r="F16959" s="3">
        <v>99</v>
      </c>
      <c r="G16959" t="s">
        <v>513</v>
      </c>
    </row>
    <row r="16960" spans="1:7" x14ac:dyDescent="0.25">
      <c r="A16960" s="1" t="str">
        <f>"523508"</f>
        <v>523508</v>
      </c>
      <c r="B16960" s="2" t="str">
        <f>"PANO ROLO BIG/LIMPEZA LEVE 300M"</f>
        <v>PANO ROLO BIG/LIMPEZA LEVE 300M</v>
      </c>
      <c r="C16960" s="2" t="str">
        <f t="shared" si="669"/>
        <v>UN</v>
      </c>
      <c r="D16960" s="7">
        <v>400</v>
      </c>
      <c r="E16960" s="3">
        <v>4</v>
      </c>
      <c r="F16960" s="3">
        <v>4</v>
      </c>
      <c r="G16960" t="s">
        <v>513</v>
      </c>
    </row>
    <row r="16961" spans="1:7" x14ac:dyDescent="0.25">
      <c r="A16961" s="1" t="str">
        <f>"523509"</f>
        <v>523509</v>
      </c>
      <c r="B16961" s="2" t="str">
        <f>"PANO ROLO BIG/LIMPEZA PESADA 300M"</f>
        <v>PANO ROLO BIG/LIMPEZA PESADA 300M</v>
      </c>
      <c r="C16961" s="2" t="str">
        <f t="shared" si="669"/>
        <v>UN</v>
      </c>
      <c r="D16961" s="7">
        <v>400</v>
      </c>
      <c r="E16961" s="3">
        <v>4</v>
      </c>
      <c r="F16961" s="3">
        <v>4</v>
      </c>
      <c r="G16961" t="s">
        <v>513</v>
      </c>
    </row>
    <row r="16962" spans="1:7" x14ac:dyDescent="0.25">
      <c r="A16962" s="1" t="str">
        <f>"524447"</f>
        <v>524447</v>
      </c>
      <c r="B16962" s="2" t="str">
        <f>"PANTOGRAFICA"</f>
        <v>PANTOGRAFICA</v>
      </c>
      <c r="C16962" s="2" t="str">
        <f t="shared" si="669"/>
        <v>UN</v>
      </c>
      <c r="D16962" s="7">
        <v>99999</v>
      </c>
      <c r="E16962" s="3">
        <v>99</v>
      </c>
      <c r="F16962" s="3">
        <v>99</v>
      </c>
      <c r="G16962" t="s">
        <v>512</v>
      </c>
    </row>
    <row r="16963" spans="1:7" x14ac:dyDescent="0.25">
      <c r="A16963" s="1" t="str">
        <f>"519007"</f>
        <v>519007</v>
      </c>
      <c r="B16963" s="2" t="str">
        <f>"PAO CACHORRO QUENTE"</f>
        <v>PAO CACHORRO QUENTE</v>
      </c>
      <c r="C16963" s="2" t="str">
        <f t="shared" si="669"/>
        <v>UN</v>
      </c>
      <c r="D16963" s="7">
        <v>401</v>
      </c>
      <c r="E16963" s="3">
        <v>4</v>
      </c>
      <c r="F16963" s="3">
        <v>4</v>
      </c>
      <c r="G16963" t="s">
        <v>513</v>
      </c>
    </row>
    <row r="16964" spans="1:7" x14ac:dyDescent="0.25">
      <c r="A16964" s="1" t="str">
        <f>"515712"</f>
        <v>515712</v>
      </c>
      <c r="B16964" s="2" t="str">
        <f>"PAO CASEIRO"</f>
        <v>PAO CASEIRO</v>
      </c>
      <c r="C16964" s="2" t="str">
        <f t="shared" si="669"/>
        <v>UN</v>
      </c>
      <c r="D16964" s="7">
        <v>401</v>
      </c>
      <c r="E16964" s="3">
        <v>4</v>
      </c>
      <c r="F16964" s="3">
        <v>4</v>
      </c>
      <c r="G16964" t="s">
        <v>514</v>
      </c>
    </row>
    <row r="16965" spans="1:7" x14ac:dyDescent="0.25">
      <c r="A16965" s="1" t="str">
        <f>"515230"</f>
        <v>515230</v>
      </c>
      <c r="B16965" s="2" t="str">
        <f>"PAO DE ALHO SANTA MASSA"</f>
        <v>PAO DE ALHO SANTA MASSA</v>
      </c>
      <c r="C16965" s="2" t="str">
        <f t="shared" si="669"/>
        <v>UN</v>
      </c>
      <c r="D16965" s="7">
        <v>401</v>
      </c>
      <c r="E16965" s="3">
        <v>4</v>
      </c>
      <c r="F16965" s="3">
        <v>4</v>
      </c>
      <c r="G16965" t="s">
        <v>515</v>
      </c>
    </row>
    <row r="16966" spans="1:7" x14ac:dyDescent="0.25">
      <c r="A16966" s="1" t="str">
        <f>"512940"</f>
        <v>512940</v>
      </c>
      <c r="B16966" s="2" t="str">
        <f>"PAO DE FORMA"</f>
        <v>PAO DE FORMA</v>
      </c>
      <c r="C16966" s="2" t="str">
        <f t="shared" si="669"/>
        <v>UN</v>
      </c>
      <c r="D16966" s="7">
        <v>401</v>
      </c>
      <c r="E16966" s="3">
        <v>4</v>
      </c>
      <c r="F16966" s="3">
        <v>4</v>
      </c>
      <c r="G16966" t="s">
        <v>512</v>
      </c>
    </row>
    <row r="16967" spans="1:7" x14ac:dyDescent="0.25">
      <c r="A16967" s="1" t="str">
        <f>"520630"</f>
        <v>520630</v>
      </c>
      <c r="B16967" s="2" t="str">
        <f>"PÃO DE MEL"</f>
        <v>PÃO DE MEL</v>
      </c>
      <c r="C16967" s="2" t="str">
        <f t="shared" si="669"/>
        <v>UN</v>
      </c>
      <c r="D16967" s="7">
        <v>401</v>
      </c>
      <c r="E16967" s="3">
        <v>4</v>
      </c>
      <c r="F16967" s="3">
        <v>4</v>
      </c>
      <c r="G16967" t="s">
        <v>516</v>
      </c>
    </row>
    <row r="16968" spans="1:7" x14ac:dyDescent="0.25">
      <c r="A16968" s="1" t="str">
        <f>"515575"</f>
        <v>515575</v>
      </c>
      <c r="B16968" s="2" t="str">
        <f>"PAO DE QUEIJO"</f>
        <v>PAO DE QUEIJO</v>
      </c>
      <c r="C16968" s="2" t="str">
        <f t="shared" si="669"/>
        <v>UN</v>
      </c>
      <c r="D16968" s="7">
        <v>401</v>
      </c>
      <c r="E16968" s="3">
        <v>4</v>
      </c>
      <c r="F16968" s="3">
        <v>4</v>
      </c>
      <c r="G16968" t="s">
        <v>515</v>
      </c>
    </row>
    <row r="16969" spans="1:7" x14ac:dyDescent="0.25">
      <c r="A16969" s="1" t="str">
        <f>"522386"</f>
        <v>522386</v>
      </c>
      <c r="B16969" s="2" t="str">
        <f>"PAO DOCE"</f>
        <v>PAO DOCE</v>
      </c>
      <c r="C16969" s="2" t="str">
        <f t="shared" si="669"/>
        <v>UN</v>
      </c>
      <c r="D16969" s="7">
        <v>410</v>
      </c>
      <c r="E16969" s="3">
        <v>4</v>
      </c>
      <c r="F16969" s="3">
        <v>4</v>
      </c>
      <c r="G16969" t="s">
        <v>514</v>
      </c>
    </row>
    <row r="16970" spans="1:7" x14ac:dyDescent="0.25">
      <c r="A16970" s="1" t="str">
        <f>"513747"</f>
        <v>513747</v>
      </c>
      <c r="B16970" s="2" t="str">
        <f>"PAO FRANCES"</f>
        <v>PAO FRANCES</v>
      </c>
      <c r="C16970" s="2" t="str">
        <f t="shared" ref="C16970:C17000" si="670">"UN"</f>
        <v>UN</v>
      </c>
      <c r="D16970" s="7">
        <v>410</v>
      </c>
      <c r="E16970" s="3">
        <v>4</v>
      </c>
      <c r="F16970" s="3">
        <v>4</v>
      </c>
      <c r="G16970" t="s">
        <v>512</v>
      </c>
    </row>
    <row r="16971" spans="1:7" x14ac:dyDescent="0.25">
      <c r="A16971" s="1" t="str">
        <f>"519066"</f>
        <v>519066</v>
      </c>
      <c r="B16971" s="2" t="str">
        <f>"PAP CARTÃO LEITE UHT TP INT"</f>
        <v>PAP CARTÃO LEITE UHT TP INT</v>
      </c>
      <c r="C16971" s="2" t="str">
        <f t="shared" si="670"/>
        <v>UN</v>
      </c>
      <c r="D16971" s="7">
        <v>301</v>
      </c>
      <c r="E16971" s="3">
        <v>1</v>
      </c>
      <c r="F16971" s="3">
        <v>1</v>
      </c>
      <c r="G16971" t="s">
        <v>513</v>
      </c>
    </row>
    <row r="16972" spans="1:7" x14ac:dyDescent="0.25">
      <c r="A16972" s="1" t="str">
        <f>"510527"</f>
        <v>510527</v>
      </c>
      <c r="B16972" s="2" t="str">
        <f>"PAPEL ALUMINIO"</f>
        <v>PAPEL ALUMINIO</v>
      </c>
      <c r="C16972" s="2" t="str">
        <f t="shared" si="670"/>
        <v>UN</v>
      </c>
      <c r="D16972" s="7">
        <v>401</v>
      </c>
      <c r="E16972" s="3">
        <v>4</v>
      </c>
      <c r="F16972" s="3">
        <v>4</v>
      </c>
      <c r="G16972" t="s">
        <v>514</v>
      </c>
    </row>
    <row r="16973" spans="1:7" x14ac:dyDescent="0.25">
      <c r="A16973" s="1" t="str">
        <f>"513388"</f>
        <v>513388</v>
      </c>
      <c r="B16973" s="2" t="str">
        <f>"PAPEL CARBONO"</f>
        <v>PAPEL CARBONO</v>
      </c>
      <c r="C16973" s="2" t="str">
        <f t="shared" si="670"/>
        <v>UN</v>
      </c>
      <c r="D16973" s="7">
        <v>401</v>
      </c>
      <c r="E16973" s="3">
        <v>4</v>
      </c>
      <c r="F16973" s="3">
        <v>4</v>
      </c>
      <c r="G16973" t="s">
        <v>514</v>
      </c>
    </row>
    <row r="16974" spans="1:7" x14ac:dyDescent="0.25">
      <c r="A16974" s="1" t="str">
        <f>"838"</f>
        <v>838</v>
      </c>
      <c r="B16974" s="2" t="str">
        <f>"PAPEL CARTÃO LEITE UHT DESNATADO 1.000ML"</f>
        <v>PAPEL CARTÃO LEITE UHT DESNATADO 1.000ML</v>
      </c>
      <c r="C16974" s="2" t="str">
        <f t="shared" si="670"/>
        <v>UN</v>
      </c>
      <c r="D16974" s="7">
        <v>301</v>
      </c>
      <c r="E16974" s="3">
        <v>1</v>
      </c>
      <c r="F16974" s="3">
        <v>1</v>
      </c>
      <c r="G16974" t="s">
        <v>512</v>
      </c>
    </row>
    <row r="16975" spans="1:7" x14ac:dyDescent="0.25">
      <c r="A16975" s="1" t="str">
        <f>"837"</f>
        <v>837</v>
      </c>
      <c r="B16975" s="2" t="str">
        <f>"PAPEL CARTÃO LEITE UHT INTEGRAL 1.000ML"</f>
        <v>PAPEL CARTÃO LEITE UHT INTEGRAL 1.000ML</v>
      </c>
      <c r="C16975" s="2" t="str">
        <f t="shared" si="670"/>
        <v>UN</v>
      </c>
      <c r="D16975" s="7">
        <v>301</v>
      </c>
      <c r="E16975" s="3">
        <v>1</v>
      </c>
      <c r="F16975" s="3">
        <v>1</v>
      </c>
      <c r="G16975" t="s">
        <v>513</v>
      </c>
    </row>
    <row r="16976" spans="1:7" x14ac:dyDescent="0.25">
      <c r="A16976" s="1" t="str">
        <f>"514468"</f>
        <v>514468</v>
      </c>
      <c r="B16976" s="2" t="str">
        <f>"PAPEL CELOFANE"</f>
        <v>PAPEL CELOFANE</v>
      </c>
      <c r="C16976" s="2" t="str">
        <f t="shared" si="670"/>
        <v>UN</v>
      </c>
      <c r="D16976" s="7">
        <v>401</v>
      </c>
      <c r="E16976" s="3">
        <v>4</v>
      </c>
      <c r="F16976" s="3">
        <v>4</v>
      </c>
      <c r="G16976" t="s">
        <v>514</v>
      </c>
    </row>
    <row r="16977" spans="1:7" x14ac:dyDescent="0.25">
      <c r="A16977" s="1" t="str">
        <f>"514162"</f>
        <v>514162</v>
      </c>
      <c r="B16977" s="2" t="str">
        <f>"PAPEL CONTACT"</f>
        <v>PAPEL CONTACT</v>
      </c>
      <c r="C16977" s="2" t="str">
        <f t="shared" si="670"/>
        <v>UN</v>
      </c>
      <c r="D16977" s="7">
        <v>401</v>
      </c>
      <c r="E16977" s="3">
        <v>4</v>
      </c>
      <c r="F16977" s="3">
        <v>4</v>
      </c>
      <c r="G16977" t="s">
        <v>514</v>
      </c>
    </row>
    <row r="16978" spans="1:7" x14ac:dyDescent="0.25">
      <c r="A16978" s="1" t="str">
        <f>"520797"</f>
        <v>520797</v>
      </c>
      <c r="B16978" s="2" t="str">
        <f>"PAPEL COUCHÊ"</f>
        <v>PAPEL COUCHÊ</v>
      </c>
      <c r="C16978" s="2" t="str">
        <f t="shared" si="670"/>
        <v>UN</v>
      </c>
      <c r="D16978" s="7">
        <v>401</v>
      </c>
      <c r="E16978" s="3">
        <v>4</v>
      </c>
      <c r="F16978" s="3">
        <v>4</v>
      </c>
      <c r="G16978" t="s">
        <v>514</v>
      </c>
    </row>
    <row r="16979" spans="1:7" x14ac:dyDescent="0.25">
      <c r="A16979" s="1" t="str">
        <f>"514467"</f>
        <v>514467</v>
      </c>
      <c r="B16979" s="2" t="str">
        <f>"PAPEL CREPOM"</f>
        <v>PAPEL CREPOM</v>
      </c>
      <c r="C16979" s="2" t="str">
        <f t="shared" si="670"/>
        <v>UN</v>
      </c>
      <c r="D16979" s="7">
        <v>401</v>
      </c>
      <c r="E16979" s="3">
        <v>4</v>
      </c>
      <c r="F16979" s="3">
        <v>4</v>
      </c>
      <c r="G16979" t="s">
        <v>513</v>
      </c>
    </row>
    <row r="16980" spans="1:7" x14ac:dyDescent="0.25">
      <c r="A16980" s="1" t="str">
        <f>"524660"</f>
        <v>524660</v>
      </c>
      <c r="B16980" s="2" t="str">
        <f>"PAPEL FILTRO FIBRA DE VIDRO A/E 47MM CX100UN. HX0057-00058"</f>
        <v>PAPEL FILTRO FIBRA DE VIDRO A/E 47MM CX100UN. HX0057-00058</v>
      </c>
      <c r="C16980" s="2" t="str">
        <f t="shared" si="670"/>
        <v>UN</v>
      </c>
      <c r="D16980" s="7">
        <v>406</v>
      </c>
      <c r="E16980" s="3">
        <v>10</v>
      </c>
      <c r="F16980" s="3">
        <v>10</v>
      </c>
      <c r="G16980" t="s">
        <v>512</v>
      </c>
    </row>
    <row r="16981" spans="1:7" x14ac:dyDescent="0.25">
      <c r="A16981" s="1" t="str">
        <f>"518816"</f>
        <v>518816</v>
      </c>
      <c r="B16981" s="2" t="str">
        <f>"PAPEL FILTRO QUALITATIVO 125G 100FLS"</f>
        <v>PAPEL FILTRO QUALITATIVO 125G 100FLS</v>
      </c>
      <c r="C16981" s="2" t="str">
        <f t="shared" si="670"/>
        <v>UN</v>
      </c>
      <c r="D16981" s="7">
        <v>406</v>
      </c>
      <c r="E16981" s="3">
        <v>4</v>
      </c>
      <c r="F16981" s="3">
        <v>4</v>
      </c>
      <c r="G16981" t="s">
        <v>513</v>
      </c>
    </row>
    <row r="16982" spans="1:7" x14ac:dyDescent="0.25">
      <c r="A16982" s="1" t="str">
        <f>"3535"</f>
        <v>3535</v>
      </c>
      <c r="B16982" s="2" t="str">
        <f>"PAPEL FILTRO QUALITATIVO 80G 125MM (100 UNIDADES)"</f>
        <v>PAPEL FILTRO QUALITATIVO 80G 125MM (100 UNIDADES)</v>
      </c>
      <c r="C16982" s="2" t="str">
        <f t="shared" si="670"/>
        <v>UN</v>
      </c>
      <c r="D16982" s="7">
        <v>406</v>
      </c>
      <c r="E16982" s="3">
        <v>4</v>
      </c>
      <c r="F16982" s="3">
        <v>4</v>
      </c>
      <c r="G16982" t="s">
        <v>514</v>
      </c>
    </row>
    <row r="16983" spans="1:7" x14ac:dyDescent="0.25">
      <c r="A16983" s="1" t="str">
        <f>"5911"</f>
        <v>5911</v>
      </c>
      <c r="B16983" s="2" t="str">
        <f>"PAPEL HIGIENICO 8 ROLOS 500 METROS (LUXO"</f>
        <v>PAPEL HIGIENICO 8 ROLOS 500 METROS (LUXO</v>
      </c>
      <c r="C16983" s="2" t="str">
        <f t="shared" si="670"/>
        <v>UN</v>
      </c>
      <c r="D16983" s="7">
        <v>400</v>
      </c>
      <c r="E16983" s="3">
        <v>4</v>
      </c>
      <c r="F16983" s="3">
        <v>4</v>
      </c>
      <c r="G16983" t="s">
        <v>514</v>
      </c>
    </row>
    <row r="16984" spans="1:7" x14ac:dyDescent="0.25">
      <c r="A16984" s="1" t="str">
        <f>"2781"</f>
        <v>2781</v>
      </c>
      <c r="B16984" s="2" t="str">
        <f>"PAPEL HIGIENICO FOLHA DUPLA  FARDO 16 X 4 UNID."</f>
        <v>PAPEL HIGIENICO FOLHA DUPLA  FARDO 16 X 4 UNID.</v>
      </c>
      <c r="C16984" s="2" t="str">
        <f t="shared" si="670"/>
        <v>UN</v>
      </c>
      <c r="D16984" s="7">
        <v>400</v>
      </c>
      <c r="E16984" s="3">
        <v>4</v>
      </c>
      <c r="F16984" s="3">
        <v>4</v>
      </c>
      <c r="G16984" t="s">
        <v>514</v>
      </c>
    </row>
    <row r="16985" spans="1:7" x14ac:dyDescent="0.25">
      <c r="A16985" s="1" t="str">
        <f>"515400"</f>
        <v>515400</v>
      </c>
      <c r="B16985" s="2" t="str">
        <f>"PAPEL KRAFT 80"</f>
        <v>PAPEL KRAFT 80</v>
      </c>
      <c r="C16985" s="2" t="str">
        <f t="shared" si="670"/>
        <v>UN</v>
      </c>
      <c r="D16985" s="7">
        <v>406</v>
      </c>
      <c r="E16985" s="3">
        <v>4</v>
      </c>
      <c r="F16985" s="3">
        <v>4</v>
      </c>
      <c r="G16985" t="s">
        <v>513</v>
      </c>
    </row>
    <row r="16986" spans="1:7" x14ac:dyDescent="0.25">
      <c r="A16986" s="1" t="str">
        <f>"509502"</f>
        <v>509502</v>
      </c>
      <c r="B16986" s="2" t="str">
        <f>"PAPEL LINHO"</f>
        <v>PAPEL LINHO</v>
      </c>
      <c r="C16986" s="2" t="str">
        <f t="shared" si="670"/>
        <v>UN</v>
      </c>
      <c r="D16986" s="7">
        <v>402</v>
      </c>
      <c r="E16986" s="3">
        <v>4</v>
      </c>
      <c r="F16986" s="3">
        <v>4</v>
      </c>
      <c r="G16986" t="s">
        <v>513</v>
      </c>
    </row>
    <row r="16987" spans="1:7" x14ac:dyDescent="0.25">
      <c r="A16987" s="1" t="str">
        <f>"528002"</f>
        <v>528002</v>
      </c>
      <c r="B16987" s="2" t="str">
        <f>"PAPEL MANTEIGA"</f>
        <v>PAPEL MANTEIGA</v>
      </c>
      <c r="C16987" s="2" t="str">
        <f t="shared" si="670"/>
        <v>UN</v>
      </c>
      <c r="D16987" s="7">
        <v>99999</v>
      </c>
      <c r="E16987" s="3">
        <v>99</v>
      </c>
      <c r="F16987" s="3">
        <v>99</v>
      </c>
      <c r="G16987" t="s">
        <v>513</v>
      </c>
    </row>
    <row r="16988" spans="1:7" x14ac:dyDescent="0.25">
      <c r="A16988" s="1" t="str">
        <f>"2251"</f>
        <v>2251</v>
      </c>
      <c r="B16988" s="2" t="str">
        <f>"PAPEL OFIC.A-4/500FLS(210X297)BR/CHAMEX"</f>
        <v>PAPEL OFIC.A-4/500FLS(210X297)BR/CHAMEX</v>
      </c>
      <c r="C16988" s="2" t="str">
        <f t="shared" si="670"/>
        <v>UN</v>
      </c>
      <c r="D16988" s="7">
        <v>401</v>
      </c>
      <c r="E16988" s="3">
        <v>4</v>
      </c>
      <c r="F16988" s="3">
        <v>4</v>
      </c>
      <c r="G16988" t="s">
        <v>512</v>
      </c>
    </row>
    <row r="16989" spans="1:7" x14ac:dyDescent="0.25">
      <c r="A16989" s="1" t="str">
        <f>"515749"</f>
        <v>515749</v>
      </c>
      <c r="B16989" s="2" t="str">
        <f>"PAPEL POLIMENTO"</f>
        <v>PAPEL POLIMENTO</v>
      </c>
      <c r="C16989" s="2" t="str">
        <f t="shared" si="670"/>
        <v>UN</v>
      </c>
      <c r="D16989" s="7">
        <v>704</v>
      </c>
      <c r="E16989" s="3">
        <v>9</v>
      </c>
      <c r="F16989" s="3">
        <v>9</v>
      </c>
      <c r="G16989" t="s">
        <v>513</v>
      </c>
    </row>
    <row r="16990" spans="1:7" x14ac:dyDescent="0.25">
      <c r="A16990" s="1" t="str">
        <f>"514595"</f>
        <v>514595</v>
      </c>
      <c r="B16990" s="2" t="str">
        <f>"PAPEL SEDA"</f>
        <v>PAPEL SEDA</v>
      </c>
      <c r="C16990" s="2" t="str">
        <f t="shared" si="670"/>
        <v>UN</v>
      </c>
      <c r="D16990" s="7">
        <v>401</v>
      </c>
      <c r="E16990" s="3">
        <v>4</v>
      </c>
      <c r="F16990" s="3">
        <v>4</v>
      </c>
      <c r="G16990" t="s">
        <v>514</v>
      </c>
    </row>
    <row r="16991" spans="1:7" x14ac:dyDescent="0.25">
      <c r="A16991" s="1" t="str">
        <f>"524068"</f>
        <v>524068</v>
      </c>
      <c r="B16991" s="2" t="str">
        <f>"PAPEL SEMI KRAFT 32X28 1KG 100UN"</f>
        <v>PAPEL SEMI KRAFT 32X28 1KG 100UN</v>
      </c>
      <c r="C16991" s="2" t="str">
        <f t="shared" si="670"/>
        <v>UN</v>
      </c>
      <c r="D16991" s="7">
        <v>99999</v>
      </c>
      <c r="E16991" s="3">
        <v>99</v>
      </c>
      <c r="F16991" s="3">
        <v>99</v>
      </c>
      <c r="G16991" t="s">
        <v>515</v>
      </c>
    </row>
    <row r="16992" spans="1:7" x14ac:dyDescent="0.25">
      <c r="A16992" s="1" t="str">
        <f>"6333"</f>
        <v>6333</v>
      </c>
      <c r="B16992" s="2" t="str">
        <f>"PAPEL SULFITE A4 75GR ALCALINO AZUL"</f>
        <v>PAPEL SULFITE A4 75GR ALCALINO AZUL</v>
      </c>
      <c r="C16992" s="2" t="str">
        <f t="shared" si="670"/>
        <v>UN</v>
      </c>
      <c r="D16992" s="7">
        <v>401</v>
      </c>
      <c r="E16992" s="3">
        <v>4</v>
      </c>
      <c r="F16992" s="3">
        <v>4</v>
      </c>
      <c r="G16992" t="s">
        <v>512</v>
      </c>
    </row>
    <row r="16993" spans="1:7" x14ac:dyDescent="0.25">
      <c r="A16993" s="1" t="str">
        <f>"6339"</f>
        <v>6339</v>
      </c>
      <c r="B16993" s="2" t="str">
        <f>"PAPEL SULFITE A4 75GR AMARELO"</f>
        <v>PAPEL SULFITE A4 75GR AMARELO</v>
      </c>
      <c r="C16993" s="2" t="str">
        <f t="shared" si="670"/>
        <v>UN</v>
      </c>
      <c r="D16993" s="7">
        <v>401</v>
      </c>
      <c r="E16993" s="3">
        <v>4</v>
      </c>
      <c r="F16993" s="3">
        <v>4</v>
      </c>
      <c r="G16993" t="s">
        <v>516</v>
      </c>
    </row>
    <row r="16994" spans="1:7" x14ac:dyDescent="0.25">
      <c r="A16994" s="1" t="str">
        <f>"526376"</f>
        <v>526376</v>
      </c>
      <c r="B16994" s="2" t="str">
        <f>"PAPEL TERMICO P/ PLASTIFICAÇÃO A4"</f>
        <v>PAPEL TERMICO P/ PLASTIFICAÇÃO A4</v>
      </c>
      <c r="C16994" s="2" t="str">
        <f t="shared" si="670"/>
        <v>UN</v>
      </c>
      <c r="D16994" s="7">
        <v>401</v>
      </c>
      <c r="E16994" s="3">
        <v>4</v>
      </c>
      <c r="F16994" s="3">
        <v>4</v>
      </c>
      <c r="G16994" t="s">
        <v>515</v>
      </c>
    </row>
    <row r="16995" spans="1:7" x14ac:dyDescent="0.25">
      <c r="A16995" s="1" t="str">
        <f>"513083"</f>
        <v>513083</v>
      </c>
      <c r="B16995" s="2" t="str">
        <f>"PAPEL TOALHA BRANCO 1000 FOLHAS"</f>
        <v>PAPEL TOALHA BRANCO 1000 FOLHAS</v>
      </c>
      <c r="C16995" s="2" t="str">
        <f t="shared" si="670"/>
        <v>UN</v>
      </c>
      <c r="D16995" s="7">
        <v>400</v>
      </c>
      <c r="E16995" s="3">
        <v>4</v>
      </c>
      <c r="F16995" s="3">
        <v>4</v>
      </c>
      <c r="G16995" t="s">
        <v>514</v>
      </c>
    </row>
    <row r="16996" spans="1:7" x14ac:dyDescent="0.25">
      <c r="A16996" s="1" t="str">
        <f>"5774"</f>
        <v>5774</v>
      </c>
      <c r="B16996" s="2" t="str">
        <f>"PAPEL TOALHA BRANCO 2DB 100% CELULOSE VIRGEM 22,5X20,5-4800F"</f>
        <v>PAPEL TOALHA BRANCO 2DB 100% CELULOSE VIRGEM 22,5X20,5-4800F</v>
      </c>
      <c r="C16996" s="2" t="str">
        <f t="shared" si="670"/>
        <v>UN</v>
      </c>
      <c r="D16996" s="7">
        <v>400</v>
      </c>
      <c r="E16996" s="3">
        <v>4</v>
      </c>
      <c r="F16996" s="3">
        <v>4</v>
      </c>
      <c r="G16996" t="s">
        <v>512</v>
      </c>
    </row>
    <row r="16997" spans="1:7" x14ac:dyDescent="0.25">
      <c r="A16997" s="1" t="str">
        <f>"5957"</f>
        <v>5957</v>
      </c>
      <c r="B16997" s="2" t="str">
        <f>"PAPEL TOALHA ROLO 20CMX200 MTS-MELHORAME"</f>
        <v>PAPEL TOALHA ROLO 20CMX200 MTS-MELHORAME</v>
      </c>
      <c r="C16997" s="2" t="str">
        <f t="shared" si="670"/>
        <v>UN</v>
      </c>
      <c r="D16997" s="7">
        <v>400</v>
      </c>
      <c r="E16997" s="3">
        <v>4</v>
      </c>
      <c r="F16997" s="3">
        <v>4</v>
      </c>
      <c r="G16997" t="s">
        <v>513</v>
      </c>
    </row>
    <row r="16998" spans="1:7" x14ac:dyDescent="0.25">
      <c r="A16998" s="1" t="str">
        <f>"510919"</f>
        <v>510919</v>
      </c>
      <c r="B16998" s="2" t="str">
        <f>"PAPEL VERGE"</f>
        <v>PAPEL VERGE</v>
      </c>
      <c r="C16998" s="2" t="str">
        <f t="shared" si="670"/>
        <v>UN</v>
      </c>
      <c r="D16998" s="7">
        <v>402</v>
      </c>
      <c r="E16998" s="3">
        <v>4</v>
      </c>
      <c r="F16998" s="3">
        <v>4</v>
      </c>
      <c r="G16998" t="s">
        <v>514</v>
      </c>
    </row>
    <row r="16999" spans="1:7" x14ac:dyDescent="0.25">
      <c r="A16999" s="1" t="str">
        <f>"522136"</f>
        <v>522136</v>
      </c>
      <c r="B16999" s="2" t="str">
        <f>"PAPELAO GRAFITADO 1/4"</f>
        <v>PAPELAO GRAFITADO 1/4</v>
      </c>
      <c r="C16999" s="2" t="str">
        <f t="shared" si="670"/>
        <v>UN</v>
      </c>
      <c r="D16999" s="7">
        <v>918</v>
      </c>
      <c r="E16999" s="3">
        <v>11</v>
      </c>
      <c r="F16999" s="3">
        <v>11</v>
      </c>
      <c r="G16999" t="s">
        <v>514</v>
      </c>
    </row>
    <row r="17000" spans="1:7" x14ac:dyDescent="0.25">
      <c r="A17000" s="1" t="str">
        <f>"507023"</f>
        <v>507023</v>
      </c>
      <c r="B17000" s="2" t="str">
        <f>"PAPELAO GRAFITADO 1/8"""</f>
        <v>PAPELAO GRAFITADO 1/8"</v>
      </c>
      <c r="C17000" s="2" t="str">
        <f t="shared" si="670"/>
        <v>UN</v>
      </c>
      <c r="D17000" s="7">
        <v>918</v>
      </c>
      <c r="E17000" s="3">
        <v>11</v>
      </c>
      <c r="F17000" s="3">
        <v>11</v>
      </c>
      <c r="G17000" t="s">
        <v>512</v>
      </c>
    </row>
    <row r="17001" spans="1:7" x14ac:dyDescent="0.25">
      <c r="A17001" s="1" t="str">
        <f>"522555"</f>
        <v>522555</v>
      </c>
      <c r="B17001" s="2" t="str">
        <f>"PAPELÃO GRAFITADO 1MT X 1MT X 4,8MM C/ TELA"</f>
        <v>PAPELÃO GRAFITADO 1MT X 1MT X 4,8MM C/ TELA</v>
      </c>
      <c r="C17001" s="2" t="str">
        <f>"BR"</f>
        <v>BR</v>
      </c>
      <c r="D17001" s="7">
        <v>808</v>
      </c>
      <c r="E17001" s="3">
        <v>10</v>
      </c>
      <c r="F17001" s="3">
        <v>10</v>
      </c>
      <c r="G17001" t="s">
        <v>513</v>
      </c>
    </row>
    <row r="17002" spans="1:7" x14ac:dyDescent="0.25">
      <c r="A17002" s="1" t="str">
        <f>"526106"</f>
        <v>526106</v>
      </c>
      <c r="B17002" s="2" t="str">
        <f>"PAPELÃO HIDRAULICO NA1100 1500MM X 1600MM X 1/8"</f>
        <v>PAPELÃO HIDRAULICO NA1100 1500MM X 1600MM X 1/8</v>
      </c>
      <c r="C17002" s="2" t="str">
        <f t="shared" ref="C17002:C17033" si="671">"UN"</f>
        <v>UN</v>
      </c>
      <c r="D17002" s="7">
        <v>918</v>
      </c>
      <c r="E17002" s="3">
        <v>11</v>
      </c>
      <c r="F17002" s="3">
        <v>11</v>
      </c>
      <c r="G17002" t="s">
        <v>514</v>
      </c>
    </row>
    <row r="17003" spans="1:7" x14ac:dyDescent="0.25">
      <c r="A17003" s="1" t="str">
        <f>"519699"</f>
        <v>519699</v>
      </c>
      <c r="B17003" s="2" t="str">
        <f>"PAPELÃO NA1040 C/TELA 3,2MM TEADIT"</f>
        <v>PAPELÃO NA1040 C/TELA 3,2MM TEADIT</v>
      </c>
      <c r="C17003" s="2" t="str">
        <f t="shared" si="671"/>
        <v>UN</v>
      </c>
      <c r="D17003" s="7">
        <v>918</v>
      </c>
      <c r="E17003" s="3">
        <v>11</v>
      </c>
      <c r="F17003" s="3">
        <v>11</v>
      </c>
      <c r="G17003" t="s">
        <v>514</v>
      </c>
    </row>
    <row r="17004" spans="1:7" x14ac:dyDescent="0.25">
      <c r="A17004" s="1" t="str">
        <f>"511891"</f>
        <v>511891</v>
      </c>
      <c r="B17004" s="2" t="str">
        <f>"PAPELAO VELUMOID GUARNITAL 1/32"</f>
        <v>PAPELAO VELUMOID GUARNITAL 1/32</v>
      </c>
      <c r="C17004" s="2" t="str">
        <f t="shared" si="671"/>
        <v>UN</v>
      </c>
      <c r="D17004" s="7">
        <v>918</v>
      </c>
      <c r="E17004" s="3">
        <v>11</v>
      </c>
      <c r="F17004" s="3">
        <v>11</v>
      </c>
      <c r="G17004" t="s">
        <v>514</v>
      </c>
    </row>
    <row r="17005" spans="1:7" x14ac:dyDescent="0.25">
      <c r="A17005" s="1" t="str">
        <f>"511892"</f>
        <v>511892</v>
      </c>
      <c r="B17005" s="2" t="str">
        <f>"PAPELAO VELUMOID GUARNITAL 1/64"</f>
        <v>PAPELAO VELUMOID GUARNITAL 1/64</v>
      </c>
      <c r="C17005" s="2" t="str">
        <f t="shared" si="671"/>
        <v>UN</v>
      </c>
      <c r="D17005" s="7">
        <v>918</v>
      </c>
      <c r="E17005" s="3">
        <v>11</v>
      </c>
      <c r="F17005" s="3">
        <v>11</v>
      </c>
      <c r="G17005" t="s">
        <v>513</v>
      </c>
    </row>
    <row r="17006" spans="1:7" x14ac:dyDescent="0.25">
      <c r="A17006" s="1" t="str">
        <f>"517058"</f>
        <v>517058</v>
      </c>
      <c r="B17006" s="2" t="str">
        <f>"PAPELEIRA C/ TAMPA ASTRA"</f>
        <v>PAPELEIRA C/ TAMPA ASTRA</v>
      </c>
      <c r="C17006" s="2" t="str">
        <f t="shared" si="671"/>
        <v>UN</v>
      </c>
      <c r="D17006" s="7">
        <v>1200</v>
      </c>
      <c r="E17006" s="3">
        <v>4</v>
      </c>
      <c r="F17006" s="3">
        <v>4</v>
      </c>
      <c r="G17006" t="s">
        <v>512</v>
      </c>
    </row>
    <row r="17007" spans="1:7" x14ac:dyDescent="0.25">
      <c r="A17007" s="1" t="str">
        <f>"174"</f>
        <v>174</v>
      </c>
      <c r="B17007" s="2" t="str">
        <f>"PAPELEIRAS (PORTA TOALHAS)"</f>
        <v>PAPELEIRAS (PORTA TOALHAS)</v>
      </c>
      <c r="C17007" s="2" t="str">
        <f t="shared" si="671"/>
        <v>UN</v>
      </c>
      <c r="D17007" s="7">
        <v>400</v>
      </c>
      <c r="E17007" s="3">
        <v>4</v>
      </c>
      <c r="F17007" s="3">
        <v>4</v>
      </c>
      <c r="G17007" t="s">
        <v>513</v>
      </c>
    </row>
    <row r="17008" spans="1:7" x14ac:dyDescent="0.25">
      <c r="A17008" s="1" t="str">
        <f>"502487"</f>
        <v>502487</v>
      </c>
      <c r="B17008" s="2" t="str">
        <f>"PAQUIMETRO ANALOGICO (STARRET)"</f>
        <v>PAQUIMETRO ANALOGICO (STARRET)</v>
      </c>
      <c r="C17008" s="2" t="str">
        <f t="shared" si="671"/>
        <v>UN</v>
      </c>
      <c r="D17008" s="7">
        <v>402</v>
      </c>
      <c r="E17008" s="3">
        <v>4</v>
      </c>
      <c r="F17008" s="3">
        <v>4</v>
      </c>
      <c r="G17008" t="s">
        <v>514</v>
      </c>
    </row>
    <row r="17009" spans="1:7" x14ac:dyDescent="0.25">
      <c r="A17009" s="1" t="str">
        <f>"523166"</f>
        <v>523166</v>
      </c>
      <c r="B17009" s="2" t="str">
        <f>"PAQUIMETRO DIGIMESS 150MM 100.174BL"</f>
        <v>PAQUIMETRO DIGIMESS 150MM 100.174BL</v>
      </c>
      <c r="C17009" s="2" t="str">
        <f t="shared" si="671"/>
        <v>UN</v>
      </c>
      <c r="D17009" s="7">
        <v>920</v>
      </c>
      <c r="E17009" s="3">
        <v>4</v>
      </c>
      <c r="F17009" s="3">
        <v>4</v>
      </c>
      <c r="G17009" t="s">
        <v>514</v>
      </c>
    </row>
    <row r="17010" spans="1:7" x14ac:dyDescent="0.25">
      <c r="A17010" s="1" t="str">
        <f>"503039"</f>
        <v>503039</v>
      </c>
      <c r="B17010" s="2" t="str">
        <f>"PAQUIMETRO DIGITAL 150MM"</f>
        <v>PAQUIMETRO DIGITAL 150MM</v>
      </c>
      <c r="C17010" s="2" t="str">
        <f t="shared" si="671"/>
        <v>UN</v>
      </c>
      <c r="D17010" s="7">
        <v>402</v>
      </c>
      <c r="E17010" s="3">
        <v>4</v>
      </c>
      <c r="F17010" s="3">
        <v>4</v>
      </c>
      <c r="G17010" t="s">
        <v>514</v>
      </c>
    </row>
    <row r="17011" spans="1:7" x14ac:dyDescent="0.25">
      <c r="A17011" s="1" t="str">
        <f>"510176"</f>
        <v>510176</v>
      </c>
      <c r="B17011" s="2" t="str">
        <f>"PAQUIMETRO MITUTOYO 530.312B-10 (150MM)"</f>
        <v>PAQUIMETRO MITUTOYO 530.312B-10 (150MM)</v>
      </c>
      <c r="C17011" s="2" t="str">
        <f t="shared" si="671"/>
        <v>UN</v>
      </c>
      <c r="D17011" s="7">
        <v>402</v>
      </c>
      <c r="E17011" s="3">
        <v>4</v>
      </c>
      <c r="F17011" s="3">
        <v>4</v>
      </c>
      <c r="G17011" t="s">
        <v>513</v>
      </c>
    </row>
    <row r="17012" spans="1:7" x14ac:dyDescent="0.25">
      <c r="A17012" s="1" t="str">
        <f>"510614"</f>
        <v>510614</v>
      </c>
      <c r="B17012" s="2" t="str">
        <f>"PAQUIMETRO MITUTOYO 530-114B-10"</f>
        <v>PAQUIMETRO MITUTOYO 530-114B-10</v>
      </c>
      <c r="C17012" s="2" t="str">
        <f t="shared" si="671"/>
        <v>UN</v>
      </c>
      <c r="D17012" s="7">
        <v>920</v>
      </c>
      <c r="E17012" s="3">
        <v>11</v>
      </c>
      <c r="F17012" s="3">
        <v>11</v>
      </c>
      <c r="G17012" t="s">
        <v>513</v>
      </c>
    </row>
    <row r="17013" spans="1:7" x14ac:dyDescent="0.25">
      <c r="A17013" s="1" t="str">
        <f>"523621"</f>
        <v>523621</v>
      </c>
      <c r="B17013" s="2" t="str">
        <f>"PAR BUCHAS ROLO PRESSÃO"</f>
        <v>PAR BUCHAS ROLO PRESSÃO</v>
      </c>
      <c r="C17013" s="2" t="str">
        <f t="shared" si="671"/>
        <v>UN</v>
      </c>
      <c r="D17013" s="7">
        <v>401</v>
      </c>
      <c r="E17013" s="3">
        <v>4</v>
      </c>
      <c r="F17013" s="3">
        <v>4</v>
      </c>
      <c r="G17013" t="s">
        <v>513</v>
      </c>
    </row>
    <row r="17014" spans="1:7" x14ac:dyDescent="0.25">
      <c r="A17014" s="1" t="str">
        <f>"513974"</f>
        <v>513974</v>
      </c>
      <c r="B17014" s="2" t="str">
        <f>"PAR CAB CIL ALLEN"</f>
        <v>PAR CAB CIL ALLEN</v>
      </c>
      <c r="C17014" s="2" t="str">
        <f t="shared" si="671"/>
        <v>UN</v>
      </c>
      <c r="D17014" s="7">
        <v>811</v>
      </c>
      <c r="E17014" s="3">
        <v>11</v>
      </c>
      <c r="F17014" s="3">
        <v>11</v>
      </c>
      <c r="G17014" t="s">
        <v>512</v>
      </c>
    </row>
    <row r="17015" spans="1:7" x14ac:dyDescent="0.25">
      <c r="A17015" s="1" t="str">
        <f>"513975"</f>
        <v>513975</v>
      </c>
      <c r="B17015" s="2" t="str">
        <f>"PAR CAB PAN FENDA CRUZ"</f>
        <v>PAR CAB PAN FENDA CRUZ</v>
      </c>
      <c r="C17015" s="2" t="str">
        <f t="shared" si="671"/>
        <v>UN</v>
      </c>
      <c r="D17015" s="7">
        <v>811</v>
      </c>
      <c r="E17015" s="3">
        <v>11</v>
      </c>
      <c r="F17015" s="3">
        <v>11</v>
      </c>
      <c r="G17015" t="s">
        <v>513</v>
      </c>
    </row>
    <row r="17016" spans="1:7" x14ac:dyDescent="0.25">
      <c r="A17016" s="1" t="str">
        <f>"514323"</f>
        <v>514323</v>
      </c>
      <c r="B17016" s="2" t="str">
        <f>"PAR DE LUVAS"</f>
        <v>PAR DE LUVAS</v>
      </c>
      <c r="C17016" s="2" t="str">
        <f t="shared" si="671"/>
        <v>UN</v>
      </c>
      <c r="D17016" s="7">
        <v>406</v>
      </c>
      <c r="E17016" s="3">
        <v>4</v>
      </c>
      <c r="F17016" s="3">
        <v>4</v>
      </c>
      <c r="G17016" t="s">
        <v>514</v>
      </c>
    </row>
    <row r="17017" spans="1:7" x14ac:dyDescent="0.25">
      <c r="A17017" s="1" t="str">
        <f>"503075"</f>
        <v>503075</v>
      </c>
      <c r="B17017" s="2" t="str">
        <f>"PAR ESPELHO RETROVISOR"</f>
        <v>PAR ESPELHO RETROVISOR</v>
      </c>
      <c r="C17017" s="2" t="str">
        <f t="shared" si="671"/>
        <v>UN</v>
      </c>
      <c r="D17017" s="7">
        <v>704</v>
      </c>
      <c r="E17017" s="3">
        <v>9</v>
      </c>
      <c r="F17017" s="3">
        <v>9</v>
      </c>
      <c r="G17017" t="s">
        <v>515</v>
      </c>
    </row>
    <row r="17018" spans="1:7" x14ac:dyDescent="0.25">
      <c r="A17018" s="1" t="str">
        <f>"502413"</f>
        <v>502413</v>
      </c>
      <c r="B17018" s="2" t="str">
        <f>"PAR PINHAO DO MOTOR"</f>
        <v>PAR PINHAO DO MOTOR</v>
      </c>
      <c r="C17018" s="2" t="str">
        <f t="shared" si="671"/>
        <v>UN</v>
      </c>
      <c r="D17018" s="7">
        <v>704</v>
      </c>
      <c r="E17018" s="3">
        <v>9</v>
      </c>
      <c r="F17018" s="3">
        <v>9</v>
      </c>
      <c r="G17018" t="s">
        <v>512</v>
      </c>
    </row>
    <row r="17019" spans="1:7" x14ac:dyDescent="0.25">
      <c r="A17019" s="1" t="str">
        <f>"519026"</f>
        <v>519026</v>
      </c>
      <c r="B17019" s="2" t="str">
        <f>"PARA CHOQUE FORD CARGO 1722 ANO 2010"</f>
        <v>PARA CHOQUE FORD CARGO 1722 ANO 2010</v>
      </c>
      <c r="C17019" s="2" t="str">
        <f t="shared" si="671"/>
        <v>UN</v>
      </c>
      <c r="D17019" s="7">
        <v>704</v>
      </c>
      <c r="E17019" s="3">
        <v>9</v>
      </c>
      <c r="F17019" s="3">
        <v>9</v>
      </c>
      <c r="G17019" t="s">
        <v>516</v>
      </c>
    </row>
    <row r="17020" spans="1:7" x14ac:dyDescent="0.25">
      <c r="A17020" s="1" t="str">
        <f>"505279"</f>
        <v>505279</v>
      </c>
      <c r="B17020" s="2" t="str">
        <f>"PARA LAMA TRASEIRO"</f>
        <v>PARA LAMA TRASEIRO</v>
      </c>
      <c r="C17020" s="2" t="str">
        <f t="shared" si="671"/>
        <v>UN</v>
      </c>
      <c r="D17020" s="7">
        <v>704</v>
      </c>
      <c r="E17020" s="3">
        <v>9</v>
      </c>
      <c r="F17020" s="3">
        <v>9</v>
      </c>
      <c r="G17020" t="s">
        <v>515</v>
      </c>
    </row>
    <row r="17021" spans="1:7" x14ac:dyDescent="0.25">
      <c r="A17021" s="1" t="str">
        <f>"509977"</f>
        <v>509977</v>
      </c>
      <c r="B17021" s="2" t="str">
        <f>"PARA RAIO 40 KA VCL 275 V"</f>
        <v>PARA RAIO 40 KA VCL 275 V</v>
      </c>
      <c r="C17021" s="2" t="str">
        <f t="shared" si="671"/>
        <v>UN</v>
      </c>
      <c r="D17021" s="7">
        <v>900</v>
      </c>
      <c r="E17021" s="3">
        <v>11</v>
      </c>
      <c r="F17021" s="3">
        <v>11</v>
      </c>
      <c r="G17021" t="s">
        <v>514</v>
      </c>
    </row>
    <row r="17022" spans="1:7" x14ac:dyDescent="0.25">
      <c r="A17022" s="1" t="str">
        <f>"520362"</f>
        <v>520362</v>
      </c>
      <c r="B17022" s="2" t="str">
        <f>"PARA RAIO BT-800V"</f>
        <v>PARA RAIO BT-800V</v>
      </c>
      <c r="C17022" s="2" t="str">
        <f t="shared" si="671"/>
        <v>UN</v>
      </c>
      <c r="D17022" s="7">
        <v>900</v>
      </c>
      <c r="E17022" s="3">
        <v>11</v>
      </c>
      <c r="F17022" s="3">
        <v>11</v>
      </c>
      <c r="G17022" t="s">
        <v>512</v>
      </c>
    </row>
    <row r="17023" spans="1:7" x14ac:dyDescent="0.25">
      <c r="A17023" s="1" t="str">
        <f>"522684"</f>
        <v>522684</v>
      </c>
      <c r="B17023" s="2" t="str">
        <f>"PARA RAIO VALV. 12KV 10KA C/ INVOLUCRO POLIMÉRICO"</f>
        <v>PARA RAIO VALV. 12KV 10KA C/ INVOLUCRO POLIMÉRICO</v>
      </c>
      <c r="C17023" s="2" t="str">
        <f t="shared" si="671"/>
        <v>UN</v>
      </c>
      <c r="D17023" s="7">
        <v>811</v>
      </c>
      <c r="E17023" s="3">
        <v>8</v>
      </c>
      <c r="F17023" s="3">
        <v>8</v>
      </c>
      <c r="G17023" t="s">
        <v>513</v>
      </c>
    </row>
    <row r="17024" spans="1:7" x14ac:dyDescent="0.25">
      <c r="A17024" s="1" t="str">
        <f>"501581"</f>
        <v>501581</v>
      </c>
      <c r="B17024" s="2" t="str">
        <f>"PARA-BARRO"</f>
        <v>PARA-BARRO</v>
      </c>
      <c r="C17024" s="2" t="str">
        <f t="shared" si="671"/>
        <v>UN</v>
      </c>
      <c r="D17024" s="7">
        <v>704</v>
      </c>
      <c r="E17024" s="3">
        <v>9</v>
      </c>
      <c r="F17024" s="3">
        <v>9</v>
      </c>
      <c r="G17024" t="s">
        <v>514</v>
      </c>
    </row>
    <row r="17025" spans="1:7" x14ac:dyDescent="0.25">
      <c r="A17025" s="1" t="str">
        <f>"516147"</f>
        <v>516147</v>
      </c>
      <c r="B17025" s="2" t="str">
        <f>"PARABARRO CARRETA SAIAO BORRACHA 30CM"</f>
        <v>PARABARRO CARRETA SAIAO BORRACHA 30CM</v>
      </c>
      <c r="C17025" s="2" t="str">
        <f t="shared" si="671"/>
        <v>UN</v>
      </c>
      <c r="D17025" s="7">
        <v>812</v>
      </c>
      <c r="E17025" s="3">
        <v>9</v>
      </c>
      <c r="F17025" s="3">
        <v>9</v>
      </c>
      <c r="G17025" t="s">
        <v>514</v>
      </c>
    </row>
    <row r="17026" spans="1:7" x14ac:dyDescent="0.25">
      <c r="A17026" s="1" t="str">
        <f>"513599"</f>
        <v>513599</v>
      </c>
      <c r="B17026" s="2" t="str">
        <f>"PARABARRO SAIAO BORRACHA 50CM"</f>
        <v>PARABARRO SAIAO BORRACHA 50CM</v>
      </c>
      <c r="C17026" s="2" t="str">
        <f t="shared" si="671"/>
        <v>UN</v>
      </c>
      <c r="D17026" s="7">
        <v>812</v>
      </c>
      <c r="E17026" s="3">
        <v>9</v>
      </c>
      <c r="F17026" s="3">
        <v>9</v>
      </c>
      <c r="G17026" t="s">
        <v>512</v>
      </c>
    </row>
    <row r="17027" spans="1:7" x14ac:dyDescent="0.25">
      <c r="A17027" s="1" t="str">
        <f>"519061"</f>
        <v>519061</v>
      </c>
      <c r="B17027" s="2" t="str">
        <f>"PARABARRO SAIAO BORRACHA 60CM"</f>
        <v>PARABARRO SAIAO BORRACHA 60CM</v>
      </c>
      <c r="C17027" s="2" t="str">
        <f t="shared" si="671"/>
        <v>UN</v>
      </c>
      <c r="D17027" s="7">
        <v>812</v>
      </c>
      <c r="E17027" s="3">
        <v>9</v>
      </c>
      <c r="F17027" s="3">
        <v>9</v>
      </c>
      <c r="G17027" t="s">
        <v>513</v>
      </c>
    </row>
    <row r="17028" spans="1:7" x14ac:dyDescent="0.25">
      <c r="A17028" s="1" t="str">
        <f>"519237"</f>
        <v>519237</v>
      </c>
      <c r="B17028" s="2" t="str">
        <f>"PARABARRO SAIAO BORRACHA 80CM"</f>
        <v>PARABARRO SAIAO BORRACHA 80CM</v>
      </c>
      <c r="C17028" s="2" t="str">
        <f t="shared" si="671"/>
        <v>UN</v>
      </c>
      <c r="D17028" s="7">
        <v>812</v>
      </c>
      <c r="E17028" s="3">
        <v>9</v>
      </c>
      <c r="F17028" s="3">
        <v>9</v>
      </c>
      <c r="G17028" t="s">
        <v>514</v>
      </c>
    </row>
    <row r="17029" spans="1:7" x14ac:dyDescent="0.25">
      <c r="A17029" s="1" t="str">
        <f>"515653"</f>
        <v>515653</v>
      </c>
      <c r="B17029" s="2" t="str">
        <f>"PARABOLICA DIANTEIRA"</f>
        <v>PARABOLICA DIANTEIRA</v>
      </c>
      <c r="C17029" s="2" t="str">
        <f t="shared" si="671"/>
        <v>UN</v>
      </c>
      <c r="D17029" s="7">
        <v>704</v>
      </c>
      <c r="E17029" s="3">
        <v>9</v>
      </c>
      <c r="F17029" s="3">
        <v>9</v>
      </c>
      <c r="G17029" t="s">
        <v>514</v>
      </c>
    </row>
    <row r="17030" spans="1:7" x14ac:dyDescent="0.25">
      <c r="A17030" s="1" t="str">
        <f>"512090"</f>
        <v>512090</v>
      </c>
      <c r="B17030" s="2" t="str">
        <f>"PARABOLT 1/2 X 4"""</f>
        <v>PARABOLT 1/2 X 4"</v>
      </c>
      <c r="C17030" s="2" t="str">
        <f t="shared" si="671"/>
        <v>UN</v>
      </c>
      <c r="D17030" s="7">
        <v>803</v>
      </c>
      <c r="E17030" s="3">
        <v>10</v>
      </c>
      <c r="F17030" s="3">
        <v>10</v>
      </c>
      <c r="G17030" t="s">
        <v>514</v>
      </c>
    </row>
    <row r="17031" spans="1:7" x14ac:dyDescent="0.25">
      <c r="A17031" s="1" t="str">
        <f>"522342"</f>
        <v>522342</v>
      </c>
      <c r="B17031" s="2" t="str">
        <f>"PARABOLT 1/2 X 4"" (AÇO INOX 304)"</f>
        <v>PARABOLT 1/2 X 4" (AÇO INOX 304)</v>
      </c>
      <c r="C17031" s="2" t="str">
        <f t="shared" si="671"/>
        <v>UN</v>
      </c>
      <c r="D17031" s="7">
        <v>803</v>
      </c>
      <c r="E17031" s="3">
        <v>10</v>
      </c>
      <c r="F17031" s="3">
        <v>10</v>
      </c>
      <c r="G17031" t="s">
        <v>513</v>
      </c>
    </row>
    <row r="17032" spans="1:7" x14ac:dyDescent="0.25">
      <c r="A17032" s="1" t="str">
        <f>"513041"</f>
        <v>513041</v>
      </c>
      <c r="B17032" s="2" t="str">
        <f>"PARABOLT 1/4  X 2"""</f>
        <v>PARABOLT 1/4  X 2"</v>
      </c>
      <c r="C17032" s="2" t="str">
        <f t="shared" si="671"/>
        <v>UN</v>
      </c>
      <c r="D17032" s="7">
        <v>803</v>
      </c>
      <c r="E17032" s="3">
        <v>10</v>
      </c>
      <c r="F17032" s="3">
        <v>10</v>
      </c>
      <c r="G17032" t="s">
        <v>512</v>
      </c>
    </row>
    <row r="17033" spans="1:7" x14ac:dyDescent="0.25">
      <c r="A17033" s="1" t="str">
        <f>"522135"</f>
        <v>522135</v>
      </c>
      <c r="B17033" s="2" t="str">
        <f>"PARABOLT 3/8  X 2 1/4"" (AÇO INOX 304)"</f>
        <v>PARABOLT 3/8  X 2 1/4" (AÇO INOX 304)</v>
      </c>
      <c r="C17033" s="2" t="str">
        <f t="shared" si="671"/>
        <v>UN</v>
      </c>
      <c r="D17033" s="7">
        <v>803</v>
      </c>
      <c r="E17033" s="3">
        <v>10</v>
      </c>
      <c r="F17033" s="3">
        <v>10</v>
      </c>
      <c r="G17033" t="s">
        <v>513</v>
      </c>
    </row>
    <row r="17034" spans="1:7" x14ac:dyDescent="0.25">
      <c r="A17034" s="1" t="str">
        <f>"505231"</f>
        <v>505231</v>
      </c>
      <c r="B17034" s="2" t="str">
        <f>"PARABOLT 3/8  X 2"""</f>
        <v>PARABOLT 3/8  X 2"</v>
      </c>
      <c r="C17034" s="2" t="str">
        <f t="shared" ref="C17034:C17065" si="672">"UN"</f>
        <v>UN</v>
      </c>
      <c r="D17034" s="7">
        <v>803</v>
      </c>
      <c r="E17034" s="3">
        <v>10</v>
      </c>
      <c r="F17034" s="3">
        <v>10</v>
      </c>
      <c r="G17034" t="s">
        <v>514</v>
      </c>
    </row>
    <row r="17035" spans="1:7" x14ac:dyDescent="0.25">
      <c r="A17035" s="1" t="str">
        <f>"513500"</f>
        <v>513500</v>
      </c>
      <c r="B17035" s="2" t="str">
        <f>"PARABOLT 3/8  X 3"""</f>
        <v>PARABOLT 3/8  X 3"</v>
      </c>
      <c r="C17035" s="2" t="str">
        <f t="shared" si="672"/>
        <v>UN</v>
      </c>
      <c r="D17035" s="7">
        <v>803</v>
      </c>
      <c r="E17035" s="3">
        <v>10</v>
      </c>
      <c r="F17035" s="3">
        <v>10</v>
      </c>
      <c r="G17035" t="s">
        <v>514</v>
      </c>
    </row>
    <row r="17036" spans="1:7" x14ac:dyDescent="0.25">
      <c r="A17036" s="1" t="str">
        <f>"511474"</f>
        <v>511474</v>
      </c>
      <c r="B17036" s="2" t="str">
        <f>"PARABOLT 3/8  X2 1/2"""</f>
        <v>PARABOLT 3/8  X2 1/2"</v>
      </c>
      <c r="C17036" s="2" t="str">
        <f t="shared" si="672"/>
        <v>UN</v>
      </c>
      <c r="D17036" s="7">
        <v>803</v>
      </c>
      <c r="E17036" s="3">
        <v>10</v>
      </c>
      <c r="F17036" s="3">
        <v>10</v>
      </c>
      <c r="G17036" t="s">
        <v>514</v>
      </c>
    </row>
    <row r="17037" spans="1:7" x14ac:dyDescent="0.25">
      <c r="A17037" s="1" t="str">
        <f>"519672"</f>
        <v>519672</v>
      </c>
      <c r="B17037" s="2" t="str">
        <f>"PARABOLT 3/8  X2 1/4"""</f>
        <v>PARABOLT 3/8  X2 1/4"</v>
      </c>
      <c r="C17037" s="2" t="str">
        <f t="shared" si="672"/>
        <v>UN</v>
      </c>
      <c r="D17037" s="7">
        <v>803</v>
      </c>
      <c r="E17037" s="3">
        <v>10</v>
      </c>
      <c r="F17037" s="3">
        <v>10</v>
      </c>
      <c r="G17037" t="s">
        <v>513</v>
      </c>
    </row>
    <row r="17038" spans="1:7" x14ac:dyDescent="0.25">
      <c r="A17038" s="1" t="str">
        <f>"520147"</f>
        <v>520147</v>
      </c>
      <c r="B17038" s="2" t="str">
        <f>"PARABOLT 3/8  X3 1/2"""</f>
        <v>PARABOLT 3/8  X3 1/2"</v>
      </c>
      <c r="C17038" s="2" t="str">
        <f t="shared" si="672"/>
        <v>UN</v>
      </c>
      <c r="D17038" s="7">
        <v>803</v>
      </c>
      <c r="E17038" s="3">
        <v>10</v>
      </c>
      <c r="F17038" s="3">
        <v>10</v>
      </c>
      <c r="G17038" t="s">
        <v>513</v>
      </c>
    </row>
    <row r="17039" spans="1:7" x14ac:dyDescent="0.25">
      <c r="A17039" s="1" t="str">
        <f>"519183"</f>
        <v>519183</v>
      </c>
      <c r="B17039" s="2" t="str">
        <f>"PARABOLT 3/8  X3 3/4"""</f>
        <v>PARABOLT 3/8  X3 3/4"</v>
      </c>
      <c r="C17039" s="2" t="str">
        <f t="shared" si="672"/>
        <v>UN</v>
      </c>
      <c r="D17039" s="7">
        <v>803</v>
      </c>
      <c r="E17039" s="3">
        <v>10</v>
      </c>
      <c r="F17039" s="3">
        <v>10</v>
      </c>
      <c r="G17039" t="s">
        <v>513</v>
      </c>
    </row>
    <row r="17040" spans="1:7" x14ac:dyDescent="0.25">
      <c r="A17040" s="1" t="str">
        <f>"524982"</f>
        <v>524982</v>
      </c>
      <c r="B17040" s="2" t="str">
        <f>"PARABOLT 5"" X 3/8 AÇO CARBONO"</f>
        <v>PARABOLT 5" X 3/8 AÇO CARBONO</v>
      </c>
      <c r="C17040" s="2" t="str">
        <f t="shared" si="672"/>
        <v>UN</v>
      </c>
      <c r="D17040" s="7">
        <v>811</v>
      </c>
      <c r="E17040" s="3">
        <v>11</v>
      </c>
      <c r="F17040" s="3">
        <v>11</v>
      </c>
      <c r="G17040" t="s">
        <v>512</v>
      </c>
    </row>
    <row r="17041" spans="1:7" x14ac:dyDescent="0.25">
      <c r="A17041" s="1" t="str">
        <f>"524981"</f>
        <v>524981</v>
      </c>
      <c r="B17041" s="2" t="str">
        <f>"PARABOLT 5"" X 3/8 INOX"</f>
        <v>PARABOLT 5" X 3/8 INOX</v>
      </c>
      <c r="C17041" s="2" t="str">
        <f t="shared" si="672"/>
        <v>UN</v>
      </c>
      <c r="D17041" s="7">
        <v>811</v>
      </c>
      <c r="E17041" s="3">
        <v>11</v>
      </c>
      <c r="F17041" s="3">
        <v>11</v>
      </c>
      <c r="G17041" t="s">
        <v>513</v>
      </c>
    </row>
    <row r="17042" spans="1:7" x14ac:dyDescent="0.25">
      <c r="A17042" s="1" t="str">
        <f>"510592"</f>
        <v>510592</v>
      </c>
      <c r="B17042" s="2" t="str">
        <f>"PARABOLT 5/16 X 2"""</f>
        <v>PARABOLT 5/16 X 2"</v>
      </c>
      <c r="C17042" s="2" t="str">
        <f t="shared" si="672"/>
        <v>UN</v>
      </c>
      <c r="D17042" s="7">
        <v>917</v>
      </c>
      <c r="E17042" s="3">
        <v>11</v>
      </c>
      <c r="F17042" s="3">
        <v>11</v>
      </c>
      <c r="G17042" t="s">
        <v>514</v>
      </c>
    </row>
    <row r="17043" spans="1:7" x14ac:dyDescent="0.25">
      <c r="A17043" s="1" t="str">
        <f>"504328"</f>
        <v>504328</v>
      </c>
      <c r="B17043" s="2" t="str">
        <f>"PARABRISA"</f>
        <v>PARABRISA</v>
      </c>
      <c r="C17043" s="2" t="str">
        <f t="shared" si="672"/>
        <v>UN</v>
      </c>
      <c r="D17043" s="7">
        <v>704</v>
      </c>
      <c r="E17043" s="3">
        <v>9</v>
      </c>
      <c r="F17043" s="3">
        <v>9</v>
      </c>
      <c r="G17043" t="s">
        <v>515</v>
      </c>
    </row>
    <row r="17044" spans="1:7" x14ac:dyDescent="0.25">
      <c r="A17044" s="1" t="str">
        <f>"506465"</f>
        <v>506465</v>
      </c>
      <c r="B17044" s="2" t="str">
        <f>"PARABRISA IVECOSTRALLIS"</f>
        <v>PARABRISA IVECOSTRALLIS</v>
      </c>
      <c r="C17044" s="2" t="str">
        <f t="shared" si="672"/>
        <v>UN</v>
      </c>
      <c r="D17044" s="7">
        <v>918</v>
      </c>
      <c r="E17044" s="3">
        <v>11</v>
      </c>
      <c r="F17044" s="3">
        <v>11</v>
      </c>
      <c r="G17044" t="s">
        <v>512</v>
      </c>
    </row>
    <row r="17045" spans="1:7" x14ac:dyDescent="0.25">
      <c r="A17045" s="1" t="str">
        <f>"501791"</f>
        <v>501791</v>
      </c>
      <c r="B17045" s="2" t="str">
        <f>"PARABRISA MERCEDES"</f>
        <v>PARABRISA MERCEDES</v>
      </c>
      <c r="C17045" s="2" t="str">
        <f t="shared" si="672"/>
        <v>UN</v>
      </c>
      <c r="D17045" s="7">
        <v>704</v>
      </c>
      <c r="E17045" s="3">
        <v>9</v>
      </c>
      <c r="F17045" s="3">
        <v>9</v>
      </c>
      <c r="G17045" t="s">
        <v>516</v>
      </c>
    </row>
    <row r="17046" spans="1:7" x14ac:dyDescent="0.25">
      <c r="A17046" s="1" t="str">
        <f>"523998"</f>
        <v>523998</v>
      </c>
      <c r="B17046" s="2" t="str">
        <f>"PARACETAMOL 500 + CODEINA 30 - CX"</f>
        <v>PARACETAMOL 500 + CODEINA 30 - CX</v>
      </c>
      <c r="C17046" s="2" t="str">
        <f t="shared" si="672"/>
        <v>UN</v>
      </c>
      <c r="D17046" s="7">
        <v>99999</v>
      </c>
      <c r="E17046" s="3">
        <v>99</v>
      </c>
      <c r="F17046" s="3">
        <v>99</v>
      </c>
      <c r="G17046" t="s">
        <v>515</v>
      </c>
    </row>
    <row r="17047" spans="1:7" x14ac:dyDescent="0.25">
      <c r="A17047" s="1" t="str">
        <f>"514991"</f>
        <v>514991</v>
      </c>
      <c r="B17047" s="2" t="str">
        <f>"PARACETAMOL 500MG"</f>
        <v>PARACETAMOL 500MG</v>
      </c>
      <c r="C17047" s="2" t="str">
        <f t="shared" si="672"/>
        <v>UN</v>
      </c>
      <c r="D17047" s="7">
        <v>406</v>
      </c>
      <c r="E17047" s="3">
        <v>4</v>
      </c>
      <c r="F17047" s="3">
        <v>4</v>
      </c>
      <c r="G17047" t="s">
        <v>514</v>
      </c>
    </row>
    <row r="17048" spans="1:7" x14ac:dyDescent="0.25">
      <c r="A17048" s="1" t="str">
        <f>"514114"</f>
        <v>514114</v>
      </c>
      <c r="B17048" s="2" t="str">
        <f>"PARACHOQUE"</f>
        <v>PARACHOQUE</v>
      </c>
      <c r="C17048" s="2" t="str">
        <f t="shared" si="672"/>
        <v>UN</v>
      </c>
      <c r="D17048" s="7">
        <v>704</v>
      </c>
      <c r="E17048" s="3">
        <v>9</v>
      </c>
      <c r="F17048" s="3">
        <v>9</v>
      </c>
      <c r="G17048" t="s">
        <v>512</v>
      </c>
    </row>
    <row r="17049" spans="1:7" x14ac:dyDescent="0.25">
      <c r="A17049" s="1" t="str">
        <f>"504222"</f>
        <v>504222</v>
      </c>
      <c r="B17049" s="2" t="str">
        <f>"PARACHOQUE DIANTE.CARGO MOD 2002"</f>
        <v>PARACHOQUE DIANTE.CARGO MOD 2002</v>
      </c>
      <c r="C17049" s="2" t="str">
        <f t="shared" si="672"/>
        <v>UN</v>
      </c>
      <c r="D17049" s="7">
        <v>704</v>
      </c>
      <c r="E17049" s="3">
        <v>9</v>
      </c>
      <c r="F17049" s="3">
        <v>9</v>
      </c>
      <c r="G17049" t="s">
        <v>513</v>
      </c>
    </row>
    <row r="17050" spans="1:7" x14ac:dyDescent="0.25">
      <c r="A17050" s="1" t="str">
        <f>"504174"</f>
        <v>504174</v>
      </c>
      <c r="B17050" s="2" t="str">
        <f>"PARACHOQUE PARARELO COD. 1C45 17757 BX"</f>
        <v>PARACHOQUE PARARELO COD. 1C45 17757 BX</v>
      </c>
      <c r="C17050" s="2" t="str">
        <f t="shared" si="672"/>
        <v>UN</v>
      </c>
      <c r="D17050" s="7">
        <v>704</v>
      </c>
      <c r="E17050" s="3">
        <v>9</v>
      </c>
      <c r="F17050" s="3">
        <v>9</v>
      </c>
      <c r="G17050" t="s">
        <v>514</v>
      </c>
    </row>
    <row r="17051" spans="1:7" x14ac:dyDescent="0.25">
      <c r="A17051" s="1" t="str">
        <f>"510972"</f>
        <v>510972</v>
      </c>
      <c r="B17051" s="2" t="str">
        <f>"PARACHOQUE TRASEIRO"</f>
        <v>PARACHOQUE TRASEIRO</v>
      </c>
      <c r="C17051" s="2" t="str">
        <f t="shared" si="672"/>
        <v>UN</v>
      </c>
      <c r="D17051" s="7">
        <v>704</v>
      </c>
      <c r="E17051" s="3">
        <v>9</v>
      </c>
      <c r="F17051" s="3">
        <v>9</v>
      </c>
      <c r="G17051" t="s">
        <v>514</v>
      </c>
    </row>
    <row r="17052" spans="1:7" x14ac:dyDescent="0.25">
      <c r="A17052" s="1" t="str">
        <f>"526971"</f>
        <v>526971</v>
      </c>
      <c r="B17052" s="2" t="str">
        <f>"PARAF. SEXT CABEÇA 11MM 50 MM DE COMPRI. P/ BUCHA 10"</f>
        <v>PARAF. SEXT CABEÇA 11MM 50 MM DE COMPRI. P/ BUCHA 10</v>
      </c>
      <c r="C17052" s="2" t="str">
        <f t="shared" si="672"/>
        <v>UN</v>
      </c>
      <c r="D17052" s="7">
        <v>918</v>
      </c>
      <c r="E17052" s="3">
        <v>10</v>
      </c>
      <c r="F17052" s="3">
        <v>10</v>
      </c>
      <c r="G17052" t="s">
        <v>512</v>
      </c>
    </row>
    <row r="17053" spans="1:7" x14ac:dyDescent="0.25">
      <c r="A17053" s="1" t="str">
        <f>"526970"</f>
        <v>526970</v>
      </c>
      <c r="B17053" s="2" t="str">
        <f>"PARAF. SEXT CABEÇA 11MM 65 MM DE COMPRI. P/ BUCHA 10"</f>
        <v>PARAF. SEXT CABEÇA 11MM 65 MM DE COMPRI. P/ BUCHA 10</v>
      </c>
      <c r="C17053" s="2" t="str">
        <f t="shared" si="672"/>
        <v>UN</v>
      </c>
      <c r="D17053" s="7">
        <v>918</v>
      </c>
      <c r="E17053" s="3">
        <v>10</v>
      </c>
      <c r="F17053" s="3">
        <v>10</v>
      </c>
      <c r="G17053" t="s">
        <v>513</v>
      </c>
    </row>
    <row r="17054" spans="1:7" x14ac:dyDescent="0.25">
      <c r="A17054" s="1" t="str">
        <f>"521651"</f>
        <v>521651</v>
      </c>
      <c r="B17054" s="2" t="str">
        <f>"PARAF. SEXT. ACO GALV. M6 X 16MM - 27B/EM50 PN2279100"</f>
        <v>PARAF. SEXT. ACO GALV. M6 X 16MM - 27B/EM50 PN2279100</v>
      </c>
      <c r="C17054" s="2" t="str">
        <f t="shared" si="672"/>
        <v>UN</v>
      </c>
      <c r="D17054" s="7">
        <v>916</v>
      </c>
      <c r="E17054" s="3">
        <v>10</v>
      </c>
      <c r="F17054" s="3">
        <v>10</v>
      </c>
      <c r="G17054" t="s">
        <v>514</v>
      </c>
    </row>
    <row r="17055" spans="1:7" x14ac:dyDescent="0.25">
      <c r="A17055" s="1" t="str">
        <f>"521646"</f>
        <v>521646</v>
      </c>
      <c r="B17055" s="2" t="str">
        <f>"PARAF. SEXT. ACO GALV. M6 X 30MM - 23A/EM50 PN2279600"</f>
        <v>PARAF. SEXT. ACO GALV. M6 X 30MM - 23A/EM50 PN2279600</v>
      </c>
      <c r="C17055" s="2" t="str">
        <f t="shared" si="672"/>
        <v>UN</v>
      </c>
      <c r="D17055" s="7">
        <v>916</v>
      </c>
      <c r="E17055" s="3">
        <v>10</v>
      </c>
      <c r="F17055" s="3">
        <v>10</v>
      </c>
      <c r="G17055" t="s">
        <v>514</v>
      </c>
    </row>
    <row r="17056" spans="1:7" x14ac:dyDescent="0.25">
      <c r="A17056" s="1" t="str">
        <f>"523797"</f>
        <v>523797</v>
      </c>
      <c r="B17056" s="2" t="str">
        <f>"PARAFUSADEIRA 110V"</f>
        <v>PARAFUSADEIRA 110V</v>
      </c>
      <c r="C17056" s="2" t="str">
        <f t="shared" si="672"/>
        <v>UN</v>
      </c>
      <c r="D17056" s="7">
        <v>99999</v>
      </c>
      <c r="E17056" s="3">
        <v>99</v>
      </c>
      <c r="F17056" s="3">
        <v>99</v>
      </c>
      <c r="G17056" t="s">
        <v>514</v>
      </c>
    </row>
    <row r="17057" spans="1:7" x14ac:dyDescent="0.25">
      <c r="A17057" s="1" t="str">
        <f>"517066"</f>
        <v>517066</v>
      </c>
      <c r="B17057" s="2" t="str">
        <f>"PARAFUSADEIRA 12V 2VVR 2 BATERIA+BOLSA DCD710S2 B2"</f>
        <v>PARAFUSADEIRA 12V 2VVR 2 BATERIA+BOLSA DCD710S2 B2</v>
      </c>
      <c r="C17057" s="2" t="str">
        <f t="shared" si="672"/>
        <v>UN</v>
      </c>
      <c r="D17057" s="7">
        <v>920</v>
      </c>
      <c r="E17057" s="3">
        <v>13</v>
      </c>
      <c r="F17057" s="3">
        <v>13</v>
      </c>
      <c r="G17057" t="s">
        <v>513</v>
      </c>
    </row>
    <row r="17058" spans="1:7" x14ac:dyDescent="0.25">
      <c r="A17058" s="1" t="str">
        <f>"514214"</f>
        <v>514214</v>
      </c>
      <c r="B17058" s="2" t="str">
        <f>"PARAFUSADEIRA BOSCH GSR 6-25TE 220V"</f>
        <v>PARAFUSADEIRA BOSCH GSR 6-25TE 220V</v>
      </c>
      <c r="C17058" s="2" t="str">
        <f t="shared" si="672"/>
        <v>UN</v>
      </c>
      <c r="D17058" s="7">
        <v>817</v>
      </c>
      <c r="E17058" s="3">
        <v>13</v>
      </c>
      <c r="F17058" s="3">
        <v>13</v>
      </c>
      <c r="G17058" t="s">
        <v>512</v>
      </c>
    </row>
    <row r="17059" spans="1:7" x14ac:dyDescent="0.25">
      <c r="A17059" s="1" t="str">
        <f>"527105"</f>
        <v>527105</v>
      </c>
      <c r="B17059" s="2" t="str">
        <f>"PARAFUSADEIRA E FURADEIRA IMPACTO MAKITA - DK1493 - C/ BATER"</f>
        <v>PARAFUSADEIRA E FURADEIRA IMPACTO MAKITA - DK1493 - C/ BATER</v>
      </c>
      <c r="C17059" s="2" t="str">
        <f t="shared" si="672"/>
        <v>UN</v>
      </c>
      <c r="D17059" s="7">
        <v>817</v>
      </c>
      <c r="E17059" s="3">
        <v>13</v>
      </c>
      <c r="F17059" s="3">
        <v>13</v>
      </c>
      <c r="G17059" t="s">
        <v>513</v>
      </c>
    </row>
    <row r="17060" spans="1:7" x14ac:dyDescent="0.25">
      <c r="A17060" s="1" t="str">
        <f>"525003"</f>
        <v>525003</v>
      </c>
      <c r="B17060" s="2" t="str">
        <f>"PARAFUSADEIRA E PARAFUSADEIRA DEWALT DCD776LC 220V"</f>
        <v>PARAFUSADEIRA E PARAFUSADEIRA DEWALT DCD776LC 220V</v>
      </c>
      <c r="C17060" s="2" t="str">
        <f t="shared" si="672"/>
        <v>UN</v>
      </c>
      <c r="D17060" s="7">
        <v>919</v>
      </c>
      <c r="E17060" s="3">
        <v>10</v>
      </c>
      <c r="F17060" s="3">
        <v>10</v>
      </c>
      <c r="G17060" t="s">
        <v>514</v>
      </c>
    </row>
    <row r="17061" spans="1:7" x14ac:dyDescent="0.25">
      <c r="A17061" s="1" t="str">
        <f>"509088"</f>
        <v>509088</v>
      </c>
      <c r="B17061" s="2" t="str">
        <f>"PARAFUSADEIRA MAKITA HP-330-DZ"</f>
        <v>PARAFUSADEIRA MAKITA HP-330-DZ</v>
      </c>
      <c r="C17061" s="2" t="str">
        <f t="shared" si="672"/>
        <v>UN</v>
      </c>
      <c r="D17061" s="7">
        <v>918</v>
      </c>
      <c r="E17061" s="3">
        <v>11</v>
      </c>
      <c r="F17061" s="3">
        <v>11</v>
      </c>
      <c r="G17061" t="s">
        <v>514</v>
      </c>
    </row>
    <row r="17062" spans="1:7" x14ac:dyDescent="0.25">
      <c r="A17062" s="1" t="str">
        <f>"513518"</f>
        <v>513518</v>
      </c>
      <c r="B17062" s="2" t="str">
        <f>"PARAFUSO"</f>
        <v>PARAFUSO</v>
      </c>
      <c r="C17062" s="2" t="str">
        <f t="shared" si="672"/>
        <v>UN</v>
      </c>
      <c r="D17062" s="7">
        <v>99999</v>
      </c>
      <c r="E17062" s="3">
        <v>99</v>
      </c>
      <c r="F17062" s="3">
        <v>99</v>
      </c>
      <c r="G17062" t="s">
        <v>514</v>
      </c>
    </row>
    <row r="17063" spans="1:7" x14ac:dyDescent="0.25">
      <c r="A17063" s="1" t="str">
        <f>"CO73181500"</f>
        <v>CO73181500</v>
      </c>
      <c r="B17063" s="2" t="str">
        <f>"PARAFUSO"</f>
        <v>PARAFUSO</v>
      </c>
      <c r="C17063" s="2" t="str">
        <f t="shared" si="672"/>
        <v>UN</v>
      </c>
      <c r="D17063" s="7">
        <v>99999</v>
      </c>
      <c r="E17063" s="3">
        <v>99</v>
      </c>
      <c r="F17063" s="3">
        <v>99</v>
      </c>
      <c r="G17063" t="s">
        <v>513</v>
      </c>
    </row>
    <row r="17064" spans="1:7" x14ac:dyDescent="0.25">
      <c r="A17064" s="1" t="str">
        <f>"510469"</f>
        <v>510469</v>
      </c>
      <c r="B17064" s="2" t="str">
        <f>"PARAFUSO (BUTON TERMOSELLADO) B209-007"</f>
        <v>PARAFUSO (BUTON TERMOSELLADO) B209-007</v>
      </c>
      <c r="C17064" s="2" t="str">
        <f t="shared" si="672"/>
        <v>UN</v>
      </c>
      <c r="D17064" s="7">
        <v>918</v>
      </c>
      <c r="E17064" s="3">
        <v>11</v>
      </c>
      <c r="F17064" s="3">
        <v>11</v>
      </c>
      <c r="G17064" t="s">
        <v>513</v>
      </c>
    </row>
    <row r="17065" spans="1:7" x14ac:dyDescent="0.25">
      <c r="A17065" s="1" t="str">
        <f>"509267"</f>
        <v>509267</v>
      </c>
      <c r="B17065" s="2" t="str">
        <f>"PARAFUSO 1"" X 8"</f>
        <v>PARAFUSO 1" X 8</v>
      </c>
      <c r="C17065" s="2" t="str">
        <f t="shared" si="672"/>
        <v>UN</v>
      </c>
      <c r="D17065" s="7">
        <v>918</v>
      </c>
      <c r="E17065" s="3">
        <v>11</v>
      </c>
      <c r="F17065" s="3">
        <v>11</v>
      </c>
      <c r="G17065" t="s">
        <v>513</v>
      </c>
    </row>
    <row r="17066" spans="1:7" x14ac:dyDescent="0.25">
      <c r="A17066" s="1" t="str">
        <f>"519838"</f>
        <v>519838</v>
      </c>
      <c r="B17066" s="2" t="str">
        <f>"PARAFUSO 1/2 X 2"" INOX"</f>
        <v>PARAFUSO 1/2 X 2" INOX</v>
      </c>
      <c r="C17066" s="2" t="str">
        <f t="shared" ref="C17066:C17097" si="673">"UN"</f>
        <v>UN</v>
      </c>
      <c r="D17066" s="7">
        <v>402</v>
      </c>
      <c r="E17066" s="3">
        <v>4</v>
      </c>
      <c r="F17066" s="3">
        <v>4</v>
      </c>
      <c r="G17066" t="s">
        <v>512</v>
      </c>
    </row>
    <row r="17067" spans="1:7" x14ac:dyDescent="0.25">
      <c r="A17067" s="1" t="str">
        <f>"502809"</f>
        <v>502809</v>
      </c>
      <c r="B17067" s="2" t="str">
        <f>"PARAFUSO 1/2 X 2"" ROSCA GROSSA"</f>
        <v>PARAFUSO 1/2 X 2" ROSCA GROSSA</v>
      </c>
      <c r="C17067" s="2" t="str">
        <f t="shared" si="673"/>
        <v>UN</v>
      </c>
      <c r="D17067" s="7">
        <v>402</v>
      </c>
      <c r="E17067" s="3">
        <v>4</v>
      </c>
      <c r="F17067" s="3">
        <v>4</v>
      </c>
      <c r="G17067" t="s">
        <v>513</v>
      </c>
    </row>
    <row r="17068" spans="1:7" x14ac:dyDescent="0.25">
      <c r="A17068" s="1" t="str">
        <f>"505852"</f>
        <v>505852</v>
      </c>
      <c r="B17068" s="2" t="str">
        <f>"PARAFUSO 1/2"" X 2"" - FERRO"</f>
        <v>PARAFUSO 1/2" X 2" - FERRO</v>
      </c>
      <c r="C17068" s="2" t="str">
        <f t="shared" si="673"/>
        <v>UN</v>
      </c>
      <c r="D17068" s="7">
        <v>704</v>
      </c>
      <c r="E17068" s="3">
        <v>9</v>
      </c>
      <c r="F17068" s="3">
        <v>9</v>
      </c>
      <c r="G17068" t="s">
        <v>514</v>
      </c>
    </row>
    <row r="17069" spans="1:7" x14ac:dyDescent="0.25">
      <c r="A17069" s="1" t="str">
        <f>"501830"</f>
        <v>501830</v>
      </c>
      <c r="B17069" s="2" t="str">
        <f>"PARAFUSO 1/4 X 1 1/2"""</f>
        <v>PARAFUSO 1/4 X 1 1/2"</v>
      </c>
      <c r="C17069" s="2" t="str">
        <f t="shared" si="673"/>
        <v>UN</v>
      </c>
      <c r="D17069" s="7">
        <v>918</v>
      </c>
      <c r="E17069" s="3">
        <v>9</v>
      </c>
      <c r="F17069" s="3">
        <v>9</v>
      </c>
      <c r="G17069" t="s">
        <v>515</v>
      </c>
    </row>
    <row r="17070" spans="1:7" x14ac:dyDescent="0.25">
      <c r="A17070" s="1" t="str">
        <f>"508403"</f>
        <v>508403</v>
      </c>
      <c r="B17070" s="2" t="str">
        <f>"PARAFUSO 1/4 X 2  - FERRO"</f>
        <v>PARAFUSO 1/4 X 2  - FERRO</v>
      </c>
      <c r="C17070" s="2" t="str">
        <f t="shared" si="673"/>
        <v>UN</v>
      </c>
      <c r="D17070" s="7">
        <v>918</v>
      </c>
      <c r="E17070" s="3">
        <v>11</v>
      </c>
      <c r="F17070" s="3">
        <v>11</v>
      </c>
      <c r="G17070" t="s">
        <v>512</v>
      </c>
    </row>
    <row r="17071" spans="1:7" x14ac:dyDescent="0.25">
      <c r="A17071" s="1" t="str">
        <f>"505347"</f>
        <v>505347</v>
      </c>
      <c r="B17071" s="2" t="str">
        <f>"PARAFUSO 1/4"" X 1"" - GALVANIZADO"</f>
        <v>PARAFUSO 1/4" X 1" - GALVANIZADO</v>
      </c>
      <c r="C17071" s="2" t="str">
        <f t="shared" si="673"/>
        <v>UN</v>
      </c>
      <c r="D17071" s="7">
        <v>402</v>
      </c>
      <c r="E17071" s="3">
        <v>4</v>
      </c>
      <c r="F17071" s="3">
        <v>4</v>
      </c>
      <c r="G17071" t="s">
        <v>516</v>
      </c>
    </row>
    <row r="17072" spans="1:7" x14ac:dyDescent="0.25">
      <c r="A17072" s="1" t="str">
        <f>"509693"</f>
        <v>509693</v>
      </c>
      <c r="B17072" s="2" t="str">
        <f>"PARAFUSO 10X70 AÇO"</f>
        <v>PARAFUSO 10X70 AÇO</v>
      </c>
      <c r="C17072" s="2" t="str">
        <f t="shared" si="673"/>
        <v>UN</v>
      </c>
      <c r="D17072" s="7">
        <v>402</v>
      </c>
      <c r="E17072" s="3">
        <v>4</v>
      </c>
      <c r="F17072" s="3">
        <v>4</v>
      </c>
      <c r="G17072" t="s">
        <v>515</v>
      </c>
    </row>
    <row r="17073" spans="1:7" x14ac:dyDescent="0.25">
      <c r="A17073" s="1" t="str">
        <f>"505401"</f>
        <v>505401</v>
      </c>
      <c r="B17073" s="2" t="str">
        <f>"PARAFUSO 12X90"</f>
        <v>PARAFUSO 12X90</v>
      </c>
      <c r="C17073" s="2" t="str">
        <f t="shared" si="673"/>
        <v>UN</v>
      </c>
      <c r="D17073" s="7">
        <v>704</v>
      </c>
      <c r="E17073" s="3">
        <v>9</v>
      </c>
      <c r="F17073" s="3">
        <v>9</v>
      </c>
      <c r="G17073" t="s">
        <v>514</v>
      </c>
    </row>
    <row r="17074" spans="1:7" x14ac:dyDescent="0.25">
      <c r="A17074" s="1" t="str">
        <f>"504362"</f>
        <v>504362</v>
      </c>
      <c r="B17074" s="2" t="str">
        <f>"PARAFUSO 14X40"</f>
        <v>PARAFUSO 14X40</v>
      </c>
      <c r="C17074" s="2" t="str">
        <f t="shared" si="673"/>
        <v>UN</v>
      </c>
      <c r="D17074" s="7">
        <v>704</v>
      </c>
      <c r="E17074" s="3">
        <v>9</v>
      </c>
      <c r="F17074" s="3">
        <v>9</v>
      </c>
      <c r="G17074" t="s">
        <v>512</v>
      </c>
    </row>
    <row r="17075" spans="1:7" x14ac:dyDescent="0.25">
      <c r="A17075" s="1" t="str">
        <f>"512211"</f>
        <v>512211</v>
      </c>
      <c r="B17075" s="2" t="str">
        <f>"PARAFUSO 166701"</f>
        <v>PARAFUSO 166701</v>
      </c>
      <c r="C17075" s="2" t="str">
        <f t="shared" si="673"/>
        <v>UN</v>
      </c>
      <c r="D17075" s="7">
        <v>918</v>
      </c>
      <c r="E17075" s="3">
        <v>11</v>
      </c>
      <c r="F17075" s="3">
        <v>11</v>
      </c>
      <c r="G17075" t="s">
        <v>513</v>
      </c>
    </row>
    <row r="17076" spans="1:7" x14ac:dyDescent="0.25">
      <c r="A17076" s="1" t="str">
        <f>"505696"</f>
        <v>505696</v>
      </c>
      <c r="B17076" s="2" t="str">
        <f>"PARAFUSO 16X40"</f>
        <v>PARAFUSO 16X40</v>
      </c>
      <c r="C17076" s="2" t="str">
        <f t="shared" si="673"/>
        <v>UN</v>
      </c>
      <c r="D17076" s="7">
        <v>704</v>
      </c>
      <c r="E17076" s="3">
        <v>9</v>
      </c>
      <c r="F17076" s="3">
        <v>9</v>
      </c>
      <c r="G17076" t="s">
        <v>514</v>
      </c>
    </row>
    <row r="17077" spans="1:7" x14ac:dyDescent="0.25">
      <c r="A17077" s="1" t="str">
        <f>"512889"</f>
        <v>512889</v>
      </c>
      <c r="B17077" s="2" t="str">
        <f>"PARAFUSO 16X60"</f>
        <v>PARAFUSO 16X60</v>
      </c>
      <c r="C17077" s="2" t="str">
        <f t="shared" si="673"/>
        <v>UN</v>
      </c>
      <c r="D17077" s="7">
        <v>704</v>
      </c>
      <c r="E17077" s="3">
        <v>9</v>
      </c>
      <c r="F17077" s="3">
        <v>9</v>
      </c>
      <c r="G17077" t="s">
        <v>514</v>
      </c>
    </row>
    <row r="17078" spans="1:7" x14ac:dyDescent="0.25">
      <c r="A17078" s="1" t="str">
        <f>"502478"</f>
        <v>502478</v>
      </c>
      <c r="B17078" s="2" t="str">
        <f>"PARAFUSO 16X90"</f>
        <v>PARAFUSO 16X90</v>
      </c>
      <c r="C17078" s="2" t="str">
        <f t="shared" si="673"/>
        <v>UN</v>
      </c>
      <c r="D17078" s="7">
        <v>704</v>
      </c>
      <c r="E17078" s="3">
        <v>9</v>
      </c>
      <c r="F17078" s="3">
        <v>9</v>
      </c>
      <c r="G17078" t="s">
        <v>512</v>
      </c>
    </row>
    <row r="17079" spans="1:7" x14ac:dyDescent="0.25">
      <c r="A17079" s="1" t="str">
        <f>"500210"</f>
        <v>500210</v>
      </c>
      <c r="B17079" s="2" t="str">
        <f>"PARAFUSO 2 1/2 X 2"""</f>
        <v>PARAFUSO 2 1/2 X 2"</v>
      </c>
      <c r="C17079" s="2" t="str">
        <f t="shared" si="673"/>
        <v>UN</v>
      </c>
      <c r="D17079" s="7">
        <v>402</v>
      </c>
      <c r="E17079" s="3">
        <v>4</v>
      </c>
      <c r="F17079" s="3">
        <v>4</v>
      </c>
      <c r="G17079" t="s">
        <v>513</v>
      </c>
    </row>
    <row r="17080" spans="1:7" x14ac:dyDescent="0.25">
      <c r="A17080" s="1" t="str">
        <f>"509694"</f>
        <v>509694</v>
      </c>
      <c r="B17080" s="2" t="str">
        <f>"PARAFUSO 3.0 X 22"</f>
        <v>PARAFUSO 3.0 X 22</v>
      </c>
      <c r="C17080" s="2" t="str">
        <f t="shared" si="673"/>
        <v>UN</v>
      </c>
      <c r="D17080" s="7">
        <v>402</v>
      </c>
      <c r="E17080" s="3">
        <v>4</v>
      </c>
      <c r="F17080" s="3">
        <v>4</v>
      </c>
      <c r="G17080" t="s">
        <v>514</v>
      </c>
    </row>
    <row r="17081" spans="1:7" x14ac:dyDescent="0.25">
      <c r="A17081" s="1" t="str">
        <f>"500438"</f>
        <v>500438</v>
      </c>
      <c r="B17081" s="2" t="str">
        <f>"PARAFUSO 3/16 X 1 1/2"" SEXTAVADO INOX"</f>
        <v>PARAFUSO 3/16 X 1 1/2" SEXTAVADO INOX</v>
      </c>
      <c r="C17081" s="2" t="str">
        <f t="shared" si="673"/>
        <v>UN</v>
      </c>
      <c r="D17081" s="7">
        <v>402</v>
      </c>
      <c r="E17081" s="3">
        <v>4</v>
      </c>
      <c r="F17081" s="3">
        <v>4</v>
      </c>
      <c r="G17081" t="s">
        <v>514</v>
      </c>
    </row>
    <row r="17082" spans="1:7" x14ac:dyDescent="0.25">
      <c r="A17082" s="1" t="str">
        <f>"510706"</f>
        <v>510706</v>
      </c>
      <c r="B17082" s="2" t="str">
        <f>"PARAFUSO 3/16 X 1"" - SEXTAVADO INOX"</f>
        <v>PARAFUSO 3/16 X 1" - SEXTAVADO INOX</v>
      </c>
      <c r="C17082" s="2" t="str">
        <f t="shared" si="673"/>
        <v>UN</v>
      </c>
      <c r="D17082" s="7">
        <v>918</v>
      </c>
      <c r="E17082" s="3">
        <v>11</v>
      </c>
      <c r="F17082" s="3">
        <v>11</v>
      </c>
      <c r="G17082" t="s">
        <v>514</v>
      </c>
    </row>
    <row r="17083" spans="1:7" x14ac:dyDescent="0.25">
      <c r="A17083" s="1" t="str">
        <f>"505729"</f>
        <v>505729</v>
      </c>
      <c r="B17083" s="2" t="str">
        <f>"PARAFUSO 3/16"" X 1/2"" SEXTAVADO INOX"</f>
        <v>PARAFUSO 3/16" X 1/2" SEXTAVADO INOX</v>
      </c>
      <c r="C17083" s="2" t="str">
        <f t="shared" si="673"/>
        <v>UN</v>
      </c>
      <c r="D17083" s="7">
        <v>402</v>
      </c>
      <c r="E17083" s="3">
        <v>4</v>
      </c>
      <c r="F17083" s="3">
        <v>4</v>
      </c>
      <c r="G17083" t="s">
        <v>513</v>
      </c>
    </row>
    <row r="17084" spans="1:7" x14ac:dyDescent="0.25">
      <c r="A17084" s="1" t="str">
        <f>"516042"</f>
        <v>516042</v>
      </c>
      <c r="B17084" s="2" t="str">
        <f>"PARAFUSO 3/8 X 1 FERRO"</f>
        <v>PARAFUSO 3/8 X 1 FERRO</v>
      </c>
      <c r="C17084" s="2" t="str">
        <f t="shared" si="673"/>
        <v>UN</v>
      </c>
      <c r="D17084" s="7">
        <v>99999</v>
      </c>
      <c r="E17084" s="3">
        <v>99</v>
      </c>
      <c r="F17084" s="3">
        <v>99</v>
      </c>
      <c r="G17084" t="s">
        <v>512</v>
      </c>
    </row>
    <row r="17085" spans="1:7" x14ac:dyDescent="0.25">
      <c r="A17085" s="1" t="str">
        <f>"500217"</f>
        <v>500217</v>
      </c>
      <c r="B17085" s="2" t="str">
        <f>"PARAFUSO 3/8 X 1,5"</f>
        <v>PARAFUSO 3/8 X 1,5</v>
      </c>
      <c r="C17085" s="2" t="str">
        <f t="shared" si="673"/>
        <v>UN</v>
      </c>
      <c r="D17085" s="7">
        <v>402</v>
      </c>
      <c r="E17085" s="3">
        <v>4</v>
      </c>
      <c r="F17085" s="3">
        <v>4</v>
      </c>
      <c r="G17085" t="s">
        <v>513</v>
      </c>
    </row>
    <row r="17086" spans="1:7" x14ac:dyDescent="0.25">
      <c r="A17086" s="1" t="str">
        <f>"506848"</f>
        <v>506848</v>
      </c>
      <c r="B17086" s="2" t="str">
        <f>"PARAFUSO 3/8 X 2 FERRO"</f>
        <v>PARAFUSO 3/8 X 2 FERRO</v>
      </c>
      <c r="C17086" s="2" t="str">
        <f t="shared" si="673"/>
        <v>UN</v>
      </c>
      <c r="D17086" s="7">
        <v>99999</v>
      </c>
      <c r="E17086" s="3">
        <v>99</v>
      </c>
      <c r="F17086" s="3">
        <v>99</v>
      </c>
      <c r="G17086" t="s">
        <v>514</v>
      </c>
    </row>
    <row r="17087" spans="1:7" x14ac:dyDescent="0.25">
      <c r="A17087" s="1" t="str">
        <f>"510251"</f>
        <v>510251</v>
      </c>
      <c r="B17087" s="2" t="str">
        <f>"PARAFUSO 4.8 X 50"</f>
        <v>PARAFUSO 4.8 X 50</v>
      </c>
      <c r="C17087" s="2" t="str">
        <f t="shared" si="673"/>
        <v>UN</v>
      </c>
      <c r="D17087" s="7">
        <v>918</v>
      </c>
      <c r="E17087" s="3">
        <v>11</v>
      </c>
      <c r="F17087" s="3">
        <v>11</v>
      </c>
      <c r="G17087" t="s">
        <v>514</v>
      </c>
    </row>
    <row r="17088" spans="1:7" x14ac:dyDescent="0.25">
      <c r="A17088" s="1" t="str">
        <f>"509033"</f>
        <v>509033</v>
      </c>
      <c r="B17088" s="2" t="str">
        <f>"PARAFUSO 41.1020.206.12"</f>
        <v>PARAFUSO 41.1020.206.12</v>
      </c>
      <c r="C17088" s="2" t="str">
        <f t="shared" si="673"/>
        <v>UN</v>
      </c>
      <c r="D17088" s="7">
        <v>918</v>
      </c>
      <c r="E17088" s="3">
        <v>11</v>
      </c>
      <c r="F17088" s="3">
        <v>11</v>
      </c>
      <c r="G17088" t="s">
        <v>514</v>
      </c>
    </row>
    <row r="17089" spans="1:7" x14ac:dyDescent="0.25">
      <c r="A17089" s="1" t="str">
        <f>"509046"</f>
        <v>509046</v>
      </c>
      <c r="B17089" s="2" t="str">
        <f>"PARAFUSO 41.3210.106.10"</f>
        <v>PARAFUSO 41.3210.106.10</v>
      </c>
      <c r="C17089" s="2" t="str">
        <f t="shared" si="673"/>
        <v>UN</v>
      </c>
      <c r="D17089" s="7">
        <v>918</v>
      </c>
      <c r="E17089" s="3">
        <v>11</v>
      </c>
      <c r="F17089" s="3">
        <v>11</v>
      </c>
      <c r="G17089" t="s">
        <v>513</v>
      </c>
    </row>
    <row r="17090" spans="1:7" x14ac:dyDescent="0.25">
      <c r="A17090" s="1" t="str">
        <f>"509032"</f>
        <v>509032</v>
      </c>
      <c r="B17090" s="2" t="str">
        <f>"PARAFUSO 41.3210.106.12"</f>
        <v>PARAFUSO 41.3210.106.12</v>
      </c>
      <c r="C17090" s="2" t="str">
        <f t="shared" si="673"/>
        <v>UN</v>
      </c>
      <c r="D17090" s="7">
        <v>918</v>
      </c>
      <c r="E17090" s="3">
        <v>11</v>
      </c>
      <c r="F17090" s="3">
        <v>11</v>
      </c>
      <c r="G17090" t="s">
        <v>513</v>
      </c>
    </row>
    <row r="17091" spans="1:7" x14ac:dyDescent="0.25">
      <c r="A17091" s="1" t="str">
        <f>"510608"</f>
        <v>510608</v>
      </c>
      <c r="B17091" s="2" t="str">
        <f>"PARAFUSO 42 X 32"</f>
        <v>PARAFUSO 42 X 32</v>
      </c>
      <c r="C17091" s="2" t="str">
        <f t="shared" si="673"/>
        <v>UN</v>
      </c>
      <c r="D17091" s="7">
        <v>918</v>
      </c>
      <c r="E17091" s="3">
        <v>11</v>
      </c>
      <c r="F17091" s="3">
        <v>11</v>
      </c>
      <c r="G17091" t="s">
        <v>513</v>
      </c>
    </row>
    <row r="17092" spans="1:7" x14ac:dyDescent="0.25">
      <c r="A17092" s="1" t="str">
        <f>"508404"</f>
        <v>508404</v>
      </c>
      <c r="B17092" s="2" t="str">
        <f>"PARAFUSO 5,5 X 38"</f>
        <v>PARAFUSO 5,5 X 38</v>
      </c>
      <c r="C17092" s="2" t="str">
        <f t="shared" si="673"/>
        <v>UN</v>
      </c>
      <c r="D17092" s="7">
        <v>918</v>
      </c>
      <c r="E17092" s="3">
        <v>11</v>
      </c>
      <c r="F17092" s="3">
        <v>11</v>
      </c>
      <c r="G17092" t="s">
        <v>512</v>
      </c>
    </row>
    <row r="17093" spans="1:7" x14ac:dyDescent="0.25">
      <c r="A17093" s="1" t="str">
        <f>"502494"</f>
        <v>502494</v>
      </c>
      <c r="B17093" s="2" t="str">
        <f>"PARAFUSO 5.0 X 25"</f>
        <v>PARAFUSO 5.0 X 25</v>
      </c>
      <c r="C17093" s="2" t="str">
        <f t="shared" si="673"/>
        <v>UN</v>
      </c>
      <c r="D17093" s="7">
        <v>704</v>
      </c>
      <c r="E17093" s="3">
        <v>9</v>
      </c>
      <c r="F17093" s="3">
        <v>9</v>
      </c>
      <c r="G17093" t="s">
        <v>513</v>
      </c>
    </row>
    <row r="17094" spans="1:7" x14ac:dyDescent="0.25">
      <c r="A17094" s="1" t="str">
        <f>"508881"</f>
        <v>508881</v>
      </c>
      <c r="B17094" s="2" t="str">
        <f>"PARAFUSO 5/16 X 1 1/2 FERRO"</f>
        <v>PARAFUSO 5/16 X 1 1/2 FERRO</v>
      </c>
      <c r="C17094" s="2" t="str">
        <f t="shared" si="673"/>
        <v>UN</v>
      </c>
      <c r="D17094" s="7">
        <v>402</v>
      </c>
      <c r="E17094" s="3">
        <v>4</v>
      </c>
      <c r="F17094" s="3">
        <v>4</v>
      </c>
      <c r="G17094" t="s">
        <v>514</v>
      </c>
    </row>
    <row r="17095" spans="1:7" x14ac:dyDescent="0.25">
      <c r="A17095" s="1" t="str">
        <f>"500252"</f>
        <v>500252</v>
      </c>
      <c r="B17095" s="2" t="str">
        <f>"PARAFUSO 5/16 X 1"""</f>
        <v>PARAFUSO 5/16 X 1"</v>
      </c>
      <c r="C17095" s="2" t="str">
        <f t="shared" si="673"/>
        <v>UN</v>
      </c>
      <c r="D17095" s="7">
        <v>99999</v>
      </c>
      <c r="E17095" s="3">
        <v>99</v>
      </c>
      <c r="F17095" s="3">
        <v>99</v>
      </c>
      <c r="G17095" t="s">
        <v>515</v>
      </c>
    </row>
    <row r="17096" spans="1:7" x14ac:dyDescent="0.25">
      <c r="A17096" s="1" t="str">
        <f>"509631"</f>
        <v>509631</v>
      </c>
      <c r="B17096" s="2" t="str">
        <f>"PARAFUSO 5/16 X 1/2"""</f>
        <v>PARAFUSO 5/16 X 1/2"</v>
      </c>
      <c r="C17096" s="2" t="str">
        <f t="shared" si="673"/>
        <v>UN</v>
      </c>
      <c r="D17096" s="7">
        <v>918</v>
      </c>
      <c r="E17096" s="3">
        <v>11</v>
      </c>
      <c r="F17096" s="3">
        <v>11</v>
      </c>
      <c r="G17096" t="s">
        <v>512</v>
      </c>
    </row>
    <row r="17097" spans="1:7" x14ac:dyDescent="0.25">
      <c r="A17097" s="1" t="str">
        <f>"508880"</f>
        <v>508880</v>
      </c>
      <c r="B17097" s="2" t="str">
        <f>"PARAFUSO 5/16 X 2 FERRO"</f>
        <v>PARAFUSO 5/16 X 2 FERRO</v>
      </c>
      <c r="C17097" s="2" t="str">
        <f t="shared" si="673"/>
        <v>UN</v>
      </c>
      <c r="D17097" s="7">
        <v>99999</v>
      </c>
      <c r="E17097" s="3">
        <v>99</v>
      </c>
      <c r="F17097" s="3">
        <v>99</v>
      </c>
      <c r="G17097" t="s">
        <v>516</v>
      </c>
    </row>
    <row r="17098" spans="1:7" x14ac:dyDescent="0.25">
      <c r="A17098" s="1" t="str">
        <f>"500067"</f>
        <v>500067</v>
      </c>
      <c r="B17098" s="2" t="str">
        <f>"PARAFUSO 5/16 X 3 FERRO"</f>
        <v>PARAFUSO 5/16 X 3 FERRO</v>
      </c>
      <c r="C17098" s="2" t="str">
        <f>"PC"</f>
        <v>PC</v>
      </c>
      <c r="D17098" s="7">
        <v>402</v>
      </c>
      <c r="E17098" s="3">
        <v>4</v>
      </c>
      <c r="F17098" s="3">
        <v>4</v>
      </c>
      <c r="G17098" t="s">
        <v>515</v>
      </c>
    </row>
    <row r="17099" spans="1:7" x14ac:dyDescent="0.25">
      <c r="A17099" s="1" t="str">
        <f>"510881"</f>
        <v>510881</v>
      </c>
      <c r="B17099" s="2" t="str">
        <f>"PARAFUSO 5/8 X 2"" - FERRO"</f>
        <v>PARAFUSO 5/8 X 2" - FERRO</v>
      </c>
      <c r="C17099" s="2" t="str">
        <f t="shared" ref="C17099:C17135" si="674">"UN"</f>
        <v>UN</v>
      </c>
      <c r="D17099" s="7">
        <v>918</v>
      </c>
      <c r="E17099" s="3">
        <v>11</v>
      </c>
      <c r="F17099" s="3">
        <v>11</v>
      </c>
      <c r="G17099" t="s">
        <v>514</v>
      </c>
    </row>
    <row r="17100" spans="1:7" x14ac:dyDescent="0.25">
      <c r="A17100" s="1" t="str">
        <f>"513829"</f>
        <v>513829</v>
      </c>
      <c r="B17100" s="2" t="str">
        <f>"PARAFUSO 5/8 X 2""  FERRO C/ PESCOÇO"</f>
        <v>PARAFUSO 5/8 X 2"  FERRO C/ PESCOÇO</v>
      </c>
      <c r="C17100" s="2" t="str">
        <f t="shared" si="674"/>
        <v>UN</v>
      </c>
      <c r="D17100" s="7">
        <v>704</v>
      </c>
      <c r="E17100" s="3">
        <v>9</v>
      </c>
      <c r="F17100" s="3">
        <v>9</v>
      </c>
      <c r="G17100" t="s">
        <v>512</v>
      </c>
    </row>
    <row r="17101" spans="1:7" x14ac:dyDescent="0.25">
      <c r="A17101" s="1" t="str">
        <f>"513830"</f>
        <v>513830</v>
      </c>
      <c r="B17101" s="2" t="str">
        <f>"PARAFUSO 5/8 X 3 1/2"</f>
        <v>PARAFUSO 5/8 X 3 1/2</v>
      </c>
      <c r="C17101" s="2" t="str">
        <f t="shared" si="674"/>
        <v>UN</v>
      </c>
      <c r="D17101" s="7">
        <v>704</v>
      </c>
      <c r="E17101" s="3">
        <v>9</v>
      </c>
      <c r="F17101" s="3">
        <v>9</v>
      </c>
      <c r="G17101" t="s">
        <v>513</v>
      </c>
    </row>
    <row r="17102" spans="1:7" x14ac:dyDescent="0.25">
      <c r="A17102" s="1" t="str">
        <f>"511058"</f>
        <v>511058</v>
      </c>
      <c r="B17102" s="2" t="str">
        <f>"PARAFUSO 6 X 100"</f>
        <v>PARAFUSO 6 X 100</v>
      </c>
      <c r="C17102" s="2" t="str">
        <f t="shared" si="674"/>
        <v>UN</v>
      </c>
      <c r="D17102" s="7">
        <v>918</v>
      </c>
      <c r="E17102" s="3">
        <v>11</v>
      </c>
      <c r="F17102" s="3">
        <v>11</v>
      </c>
      <c r="G17102" t="s">
        <v>514</v>
      </c>
    </row>
    <row r="17103" spans="1:7" x14ac:dyDescent="0.25">
      <c r="A17103" s="1" t="str">
        <f>"502994"</f>
        <v>502994</v>
      </c>
      <c r="B17103" s="2" t="str">
        <f>"PARAFUSO 8X25"</f>
        <v>PARAFUSO 8X25</v>
      </c>
      <c r="C17103" s="2" t="str">
        <f t="shared" si="674"/>
        <v>UN</v>
      </c>
      <c r="D17103" s="7">
        <v>704</v>
      </c>
      <c r="E17103" s="3">
        <v>9</v>
      </c>
      <c r="F17103" s="3">
        <v>9</v>
      </c>
      <c r="G17103" t="s">
        <v>514</v>
      </c>
    </row>
    <row r="17104" spans="1:7" x14ac:dyDescent="0.25">
      <c r="A17104" s="1" t="str">
        <f>"500517"</f>
        <v>500517</v>
      </c>
      <c r="B17104" s="2" t="str">
        <f>"PARAFUSO 9/16 X 6 COMPLETO"</f>
        <v>PARAFUSO 9/16 X 6 COMPLETO</v>
      </c>
      <c r="C17104" s="2" t="str">
        <f t="shared" si="674"/>
        <v>UN</v>
      </c>
      <c r="D17104" s="7">
        <v>402</v>
      </c>
      <c r="E17104" s="3">
        <v>4</v>
      </c>
      <c r="F17104" s="3">
        <v>4</v>
      </c>
      <c r="G17104" t="s">
        <v>512</v>
      </c>
    </row>
    <row r="17105" spans="1:7" x14ac:dyDescent="0.25">
      <c r="A17105" s="1" t="str">
        <f>"525044"</f>
        <v>525044</v>
      </c>
      <c r="B17105" s="2" t="str">
        <f>"PARAFUSO AÇO CARBONO 5/8 X 3"""</f>
        <v>PARAFUSO AÇO CARBONO 5/8 X 3"</v>
      </c>
      <c r="C17105" s="2" t="str">
        <f t="shared" si="674"/>
        <v>UN</v>
      </c>
      <c r="D17105" s="7">
        <v>99999</v>
      </c>
      <c r="E17105" s="3">
        <v>99</v>
      </c>
      <c r="F17105" s="3">
        <v>99</v>
      </c>
      <c r="G17105" t="s">
        <v>513</v>
      </c>
    </row>
    <row r="17106" spans="1:7" x14ac:dyDescent="0.25">
      <c r="A17106" s="1" t="str">
        <f>"524502"</f>
        <v>524502</v>
      </c>
      <c r="B17106" s="2" t="str">
        <f>"PARAFUSO AÇO CARBONO BICROMATIZADO M16X90"</f>
        <v>PARAFUSO AÇO CARBONO BICROMATIZADO M16X90</v>
      </c>
      <c r="C17106" s="2" t="str">
        <f t="shared" si="674"/>
        <v>UN</v>
      </c>
      <c r="D17106" s="7">
        <v>807</v>
      </c>
      <c r="E17106" s="3">
        <v>10</v>
      </c>
      <c r="F17106" s="3">
        <v>10</v>
      </c>
      <c r="G17106" t="s">
        <v>514</v>
      </c>
    </row>
    <row r="17107" spans="1:7" x14ac:dyDescent="0.25">
      <c r="A17107" s="1" t="str">
        <f>"524503"</f>
        <v>524503</v>
      </c>
      <c r="B17107" s="2" t="str">
        <f>"PARAFUSO AÇO CARBONO BICROMATIZADO M3/4X4 1/2"</f>
        <v>PARAFUSO AÇO CARBONO BICROMATIZADO M3/4X4 1/2</v>
      </c>
      <c r="C17107" s="2" t="str">
        <f t="shared" si="674"/>
        <v>UN</v>
      </c>
      <c r="D17107" s="7">
        <v>807</v>
      </c>
      <c r="E17107" s="3">
        <v>10</v>
      </c>
      <c r="F17107" s="3">
        <v>10</v>
      </c>
      <c r="G17107" t="s">
        <v>514</v>
      </c>
    </row>
    <row r="17108" spans="1:7" x14ac:dyDescent="0.25">
      <c r="A17108" s="1" t="str">
        <f>"515778"</f>
        <v>515778</v>
      </c>
      <c r="B17108" s="2" t="str">
        <f>"PARAFUSO AÇO M10 X 1 1/2"" ALLEN"</f>
        <v>PARAFUSO AÇO M10 X 1 1/2" ALLEN</v>
      </c>
      <c r="C17108" s="2" t="str">
        <f t="shared" si="674"/>
        <v>UN</v>
      </c>
      <c r="D17108" s="7">
        <v>99999</v>
      </c>
      <c r="E17108" s="3">
        <v>99</v>
      </c>
      <c r="F17108" s="3">
        <v>99</v>
      </c>
      <c r="G17108" t="s">
        <v>514</v>
      </c>
    </row>
    <row r="17109" spans="1:7" x14ac:dyDescent="0.25">
      <c r="A17109" s="1" t="str">
        <f>"515777"</f>
        <v>515777</v>
      </c>
      <c r="B17109" s="2" t="str">
        <f>"PARAFUSO AÇO M10 X 1"" ALLEN"</f>
        <v>PARAFUSO AÇO M10 X 1" ALLEN</v>
      </c>
      <c r="C17109" s="2" t="str">
        <f t="shared" si="674"/>
        <v>UN</v>
      </c>
      <c r="D17109" s="7">
        <v>99999</v>
      </c>
      <c r="E17109" s="3">
        <v>99</v>
      </c>
      <c r="F17109" s="3">
        <v>99</v>
      </c>
      <c r="G17109" t="s">
        <v>513</v>
      </c>
    </row>
    <row r="17110" spans="1:7" x14ac:dyDescent="0.25">
      <c r="A17110" s="1" t="str">
        <f>"502439"</f>
        <v>502439</v>
      </c>
      <c r="B17110" s="2" t="str">
        <f>"PARAFUSO ALLEN AÇO M10 X 50MM"</f>
        <v>PARAFUSO ALLEN AÇO M10 X 50MM</v>
      </c>
      <c r="C17110" s="2" t="str">
        <f t="shared" si="674"/>
        <v>UN</v>
      </c>
      <c r="D17110" s="7">
        <v>704</v>
      </c>
      <c r="E17110" s="3">
        <v>9</v>
      </c>
      <c r="F17110" s="3">
        <v>9</v>
      </c>
      <c r="G17110" t="s">
        <v>512</v>
      </c>
    </row>
    <row r="17111" spans="1:7" x14ac:dyDescent="0.25">
      <c r="A17111" s="1" t="str">
        <f>"502400"</f>
        <v>502400</v>
      </c>
      <c r="B17111" s="2" t="str">
        <f>"PARAFUSO ALLEN AÇO M10 X 70MM"</f>
        <v>PARAFUSO ALLEN AÇO M10 X 70MM</v>
      </c>
      <c r="C17111" s="2" t="str">
        <f t="shared" si="674"/>
        <v>UN</v>
      </c>
      <c r="D17111" s="7">
        <v>704</v>
      </c>
      <c r="E17111" s="3">
        <v>9</v>
      </c>
      <c r="F17111" s="3">
        <v>9</v>
      </c>
      <c r="G17111" t="s">
        <v>513</v>
      </c>
    </row>
    <row r="17112" spans="1:7" x14ac:dyDescent="0.25">
      <c r="A17112" s="1" t="str">
        <f>"511484"</f>
        <v>511484</v>
      </c>
      <c r="B17112" s="2" t="str">
        <f>"PARAFUSO ALLEN AÇO M10X50 ROSCA TOTAL"</f>
        <v>PARAFUSO ALLEN AÇO M10X50 ROSCA TOTAL</v>
      </c>
      <c r="C17112" s="2" t="str">
        <f t="shared" si="674"/>
        <v>UN</v>
      </c>
      <c r="D17112" s="7">
        <v>402</v>
      </c>
      <c r="E17112" s="3">
        <v>4</v>
      </c>
      <c r="F17112" s="3">
        <v>4</v>
      </c>
      <c r="G17112" t="s">
        <v>514</v>
      </c>
    </row>
    <row r="17113" spans="1:7" x14ac:dyDescent="0.25">
      <c r="A17113" s="1" t="str">
        <f>"520088"</f>
        <v>520088</v>
      </c>
      <c r="B17113" s="2" t="str">
        <f>"PARAFUSO ALLEN AÇO M12X30"</f>
        <v>PARAFUSO ALLEN AÇO M12X30</v>
      </c>
      <c r="C17113" s="2" t="str">
        <f t="shared" si="674"/>
        <v>UN</v>
      </c>
      <c r="D17113" s="7">
        <v>918</v>
      </c>
      <c r="E17113" s="3">
        <v>11</v>
      </c>
      <c r="F17113" s="3">
        <v>11</v>
      </c>
      <c r="G17113" t="s">
        <v>514</v>
      </c>
    </row>
    <row r="17114" spans="1:7" x14ac:dyDescent="0.25">
      <c r="A17114" s="1" t="str">
        <f>"520089"</f>
        <v>520089</v>
      </c>
      <c r="B17114" s="2" t="str">
        <f>"PARAFUSO ALLEN AÇO M12X50"</f>
        <v>PARAFUSO ALLEN AÇO M12X50</v>
      </c>
      <c r="C17114" s="2" t="str">
        <f t="shared" si="674"/>
        <v>UN</v>
      </c>
      <c r="D17114" s="7">
        <v>918</v>
      </c>
      <c r="E17114" s="3">
        <v>11</v>
      </c>
      <c r="F17114" s="3">
        <v>11</v>
      </c>
      <c r="G17114" t="s">
        <v>514</v>
      </c>
    </row>
    <row r="17115" spans="1:7" x14ac:dyDescent="0.25">
      <c r="A17115" s="1" t="str">
        <f>"520090"</f>
        <v>520090</v>
      </c>
      <c r="B17115" s="2" t="str">
        <f>"PARAFUSO ALLEN AÇO M16X36"</f>
        <v>PARAFUSO ALLEN AÇO M16X36</v>
      </c>
      <c r="C17115" s="2" t="str">
        <f t="shared" si="674"/>
        <v>UN</v>
      </c>
      <c r="D17115" s="7">
        <v>918</v>
      </c>
      <c r="E17115" s="3">
        <v>11</v>
      </c>
      <c r="F17115" s="3">
        <v>11</v>
      </c>
      <c r="G17115" t="s">
        <v>513</v>
      </c>
    </row>
    <row r="17116" spans="1:7" x14ac:dyDescent="0.25">
      <c r="A17116" s="1" t="str">
        <f>"512334"</f>
        <v>512334</v>
      </c>
      <c r="B17116" s="2" t="str">
        <f>"PARAFUSO ALLEN AÇO S/ CABEÇA M4 X 10MM"</f>
        <v>PARAFUSO ALLEN AÇO S/ CABEÇA M4 X 10MM</v>
      </c>
      <c r="C17116" s="2" t="str">
        <f t="shared" si="674"/>
        <v>UN</v>
      </c>
      <c r="D17116" s="7">
        <v>918</v>
      </c>
      <c r="E17116" s="3">
        <v>11</v>
      </c>
      <c r="F17116" s="3">
        <v>11</v>
      </c>
      <c r="G17116" t="s">
        <v>513</v>
      </c>
    </row>
    <row r="17117" spans="1:7" x14ac:dyDescent="0.25">
      <c r="A17117" s="1" t="str">
        <f>"512335"</f>
        <v>512335</v>
      </c>
      <c r="B17117" s="2" t="str">
        <f>"PARAFUSO ALLEN AÇO S/ CABEÇA M4 X 16MM"</f>
        <v>PARAFUSO ALLEN AÇO S/ CABEÇA M4 X 16MM</v>
      </c>
      <c r="C17117" s="2" t="str">
        <f t="shared" si="674"/>
        <v>UN</v>
      </c>
      <c r="D17117" s="7">
        <v>918</v>
      </c>
      <c r="E17117" s="3">
        <v>11</v>
      </c>
      <c r="F17117" s="3">
        <v>11</v>
      </c>
      <c r="G17117" t="s">
        <v>513</v>
      </c>
    </row>
    <row r="17118" spans="1:7" x14ac:dyDescent="0.25">
      <c r="A17118" s="1" t="str">
        <f>"512336"</f>
        <v>512336</v>
      </c>
      <c r="B17118" s="2" t="str">
        <f>"PARAFUSO ALLEN AÇO S/ CABEÇA M5 X 10MM"</f>
        <v>PARAFUSO ALLEN AÇO S/ CABEÇA M5 X 10MM</v>
      </c>
      <c r="C17118" s="2" t="str">
        <f t="shared" si="674"/>
        <v>UN</v>
      </c>
      <c r="D17118" s="7">
        <v>918</v>
      </c>
      <c r="E17118" s="3">
        <v>11</v>
      </c>
      <c r="F17118" s="3">
        <v>11</v>
      </c>
      <c r="G17118" t="s">
        <v>512</v>
      </c>
    </row>
    <row r="17119" spans="1:7" x14ac:dyDescent="0.25">
      <c r="A17119" s="1" t="str">
        <f>"512337"</f>
        <v>512337</v>
      </c>
      <c r="B17119" s="2" t="str">
        <f>"PARAFUSO ALLEN AÇO S/ CABEÇA M5 X 16MM"</f>
        <v>PARAFUSO ALLEN AÇO S/ CABEÇA M5 X 16MM</v>
      </c>
      <c r="C17119" s="2" t="str">
        <f t="shared" si="674"/>
        <v>UN</v>
      </c>
      <c r="D17119" s="7">
        <v>918</v>
      </c>
      <c r="E17119" s="3">
        <v>11</v>
      </c>
      <c r="F17119" s="3">
        <v>11</v>
      </c>
      <c r="G17119" t="s">
        <v>513</v>
      </c>
    </row>
    <row r="17120" spans="1:7" x14ac:dyDescent="0.25">
      <c r="A17120" s="1" t="str">
        <f>"526103"</f>
        <v>526103</v>
      </c>
      <c r="B17120" s="2" t="str">
        <f>"PARAFUSO ALLEN CONICO M12X50 AÇO GALV."</f>
        <v>PARAFUSO ALLEN CONICO M12X50 AÇO GALV.</v>
      </c>
      <c r="C17120" s="2" t="str">
        <f t="shared" si="674"/>
        <v>UN</v>
      </c>
      <c r="D17120" s="7">
        <v>918</v>
      </c>
      <c r="E17120" s="3">
        <v>11</v>
      </c>
      <c r="F17120" s="3">
        <v>11</v>
      </c>
      <c r="G17120" t="s">
        <v>514</v>
      </c>
    </row>
    <row r="17121" spans="1:7" x14ac:dyDescent="0.25">
      <c r="A17121" s="1" t="str">
        <f>"520268"</f>
        <v>520268</v>
      </c>
      <c r="B17121" s="2" t="str">
        <f>"PARAFUSO ALLEN FERRO C/ PESC M10X90"</f>
        <v>PARAFUSO ALLEN FERRO C/ PESC M10X90</v>
      </c>
      <c r="C17121" s="2" t="str">
        <f t="shared" si="674"/>
        <v>UN</v>
      </c>
      <c r="D17121" s="7">
        <v>918</v>
      </c>
      <c r="E17121" s="3">
        <v>11</v>
      </c>
      <c r="F17121" s="3">
        <v>11</v>
      </c>
      <c r="G17121" t="s">
        <v>515</v>
      </c>
    </row>
    <row r="17122" spans="1:7" x14ac:dyDescent="0.25">
      <c r="A17122" s="1" t="str">
        <f>"520214"</f>
        <v>520214</v>
      </c>
      <c r="B17122" s="2" t="str">
        <f>"PARAFUSO ALLEN FERRO M6X30"</f>
        <v>PARAFUSO ALLEN FERRO M6X30</v>
      </c>
      <c r="C17122" s="2" t="str">
        <f t="shared" si="674"/>
        <v>UN</v>
      </c>
      <c r="D17122" s="7">
        <v>918</v>
      </c>
      <c r="E17122" s="3">
        <v>11</v>
      </c>
      <c r="F17122" s="3">
        <v>11</v>
      </c>
      <c r="G17122" t="s">
        <v>512</v>
      </c>
    </row>
    <row r="17123" spans="1:7" x14ac:dyDescent="0.25">
      <c r="A17123" s="1" t="str">
        <f>"503143"</f>
        <v>503143</v>
      </c>
      <c r="B17123" s="2" t="str">
        <f>"PARAFUSO ALLEN INOX 1/4X1"""</f>
        <v>PARAFUSO ALLEN INOX 1/4X1"</v>
      </c>
      <c r="C17123" s="2" t="str">
        <f t="shared" si="674"/>
        <v>UN</v>
      </c>
      <c r="D17123" s="7">
        <v>402</v>
      </c>
      <c r="E17123" s="3">
        <v>4</v>
      </c>
      <c r="F17123" s="3">
        <v>4</v>
      </c>
      <c r="G17123" t="s">
        <v>516</v>
      </c>
    </row>
    <row r="17124" spans="1:7" x14ac:dyDescent="0.25">
      <c r="A17124" s="1" t="str">
        <f>"503145"</f>
        <v>503145</v>
      </c>
      <c r="B17124" s="2" t="str">
        <f>"PARAFUSO ALLEN INOX 3/8X1.1/2"""</f>
        <v>PARAFUSO ALLEN INOX 3/8X1.1/2"</v>
      </c>
      <c r="C17124" s="2" t="str">
        <f t="shared" si="674"/>
        <v>UN</v>
      </c>
      <c r="D17124" s="7">
        <v>402</v>
      </c>
      <c r="E17124" s="3">
        <v>4</v>
      </c>
      <c r="F17124" s="3">
        <v>4</v>
      </c>
      <c r="G17124" t="s">
        <v>515</v>
      </c>
    </row>
    <row r="17125" spans="1:7" x14ac:dyDescent="0.25">
      <c r="A17125" s="1" t="str">
        <f>"503144"</f>
        <v>503144</v>
      </c>
      <c r="B17125" s="2" t="str">
        <f>"PARAFUSO ALLEN INOX 5/16X1.1/2"""</f>
        <v>PARAFUSO ALLEN INOX 5/16X1.1/2"</v>
      </c>
      <c r="C17125" s="2" t="str">
        <f t="shared" si="674"/>
        <v>UN</v>
      </c>
      <c r="D17125" s="7">
        <v>402</v>
      </c>
      <c r="E17125" s="3">
        <v>4</v>
      </c>
      <c r="F17125" s="3">
        <v>4</v>
      </c>
      <c r="G17125" t="s">
        <v>514</v>
      </c>
    </row>
    <row r="17126" spans="1:7" x14ac:dyDescent="0.25">
      <c r="A17126" s="1" t="str">
        <f>"527780"</f>
        <v>527780</v>
      </c>
      <c r="B17126" s="2" t="str">
        <f>"PARAFUSO ALLEN INOX 5/8X4"""</f>
        <v>PARAFUSO ALLEN INOX 5/8X4"</v>
      </c>
      <c r="C17126" s="2" t="str">
        <f t="shared" si="674"/>
        <v>UN</v>
      </c>
      <c r="D17126" s="7">
        <v>402</v>
      </c>
      <c r="E17126" s="3">
        <v>4</v>
      </c>
      <c r="F17126" s="3">
        <v>4</v>
      </c>
      <c r="G17126" t="s">
        <v>512</v>
      </c>
    </row>
    <row r="17127" spans="1:7" x14ac:dyDescent="0.25">
      <c r="A17127" s="1" t="str">
        <f>"506838"</f>
        <v>506838</v>
      </c>
      <c r="B17127" s="2" t="str">
        <f>"PARAFUSO ALLEN INOX 8X40"</f>
        <v>PARAFUSO ALLEN INOX 8X40</v>
      </c>
      <c r="C17127" s="2" t="str">
        <f t="shared" si="674"/>
        <v>UN</v>
      </c>
      <c r="D17127" s="7">
        <v>402</v>
      </c>
      <c r="E17127" s="3">
        <v>4</v>
      </c>
      <c r="F17127" s="3">
        <v>4</v>
      </c>
      <c r="G17127" t="s">
        <v>513</v>
      </c>
    </row>
    <row r="17128" spans="1:7" x14ac:dyDescent="0.25">
      <c r="A17128" s="1" t="str">
        <f>"520104"</f>
        <v>520104</v>
      </c>
      <c r="B17128" s="2" t="str">
        <f>"PARAFUSO ALLEN INOX C/ PESC. M6X70"</f>
        <v>PARAFUSO ALLEN INOX C/ PESC. M6X70</v>
      </c>
      <c r="C17128" s="2" t="str">
        <f t="shared" si="674"/>
        <v>UN</v>
      </c>
      <c r="D17128" s="7">
        <v>918</v>
      </c>
      <c r="E17128" s="3">
        <v>11</v>
      </c>
      <c r="F17128" s="3">
        <v>11</v>
      </c>
      <c r="G17128" t="s">
        <v>514</v>
      </c>
    </row>
    <row r="17129" spans="1:7" x14ac:dyDescent="0.25">
      <c r="A17129" s="1" t="str">
        <f>"520103"</f>
        <v>520103</v>
      </c>
      <c r="B17129" s="2" t="str">
        <f>"PARAFUSO ALLEN INOX C/ PESC. M8X70"</f>
        <v>PARAFUSO ALLEN INOX C/ PESC. M8X70</v>
      </c>
      <c r="C17129" s="2" t="str">
        <f t="shared" si="674"/>
        <v>UN</v>
      </c>
      <c r="D17129" s="7">
        <v>918</v>
      </c>
      <c r="E17129" s="3">
        <v>11</v>
      </c>
      <c r="F17129" s="3">
        <v>11</v>
      </c>
      <c r="G17129" t="s">
        <v>514</v>
      </c>
    </row>
    <row r="17130" spans="1:7" x14ac:dyDescent="0.25">
      <c r="A17130" s="1" t="str">
        <f>"527982"</f>
        <v>527982</v>
      </c>
      <c r="B17130" s="2" t="str">
        <f>"PARAFUSO ALLEN INOX C/CABECA M12X90MM-ROSCA TOTAL"</f>
        <v>PARAFUSO ALLEN INOX C/CABECA M12X90MM-ROSCA TOTAL</v>
      </c>
      <c r="C17130" s="2" t="str">
        <f t="shared" si="674"/>
        <v>UN</v>
      </c>
      <c r="D17130" s="7">
        <v>918</v>
      </c>
      <c r="E17130" s="3">
        <v>11</v>
      </c>
      <c r="F17130" s="3">
        <v>11</v>
      </c>
      <c r="G17130" t="s">
        <v>512</v>
      </c>
    </row>
    <row r="17131" spans="1:7" x14ac:dyDescent="0.25">
      <c r="A17131" s="1" t="str">
        <f>"512299"</f>
        <v>512299</v>
      </c>
      <c r="B17131" s="2" t="str">
        <f>"PARAFUSO ALLEN INOX CONICO M5X25"</f>
        <v>PARAFUSO ALLEN INOX CONICO M5X25</v>
      </c>
      <c r="C17131" s="2" t="str">
        <f t="shared" si="674"/>
        <v>UN</v>
      </c>
      <c r="D17131" s="7">
        <v>918</v>
      </c>
      <c r="E17131" s="3">
        <v>11</v>
      </c>
      <c r="F17131" s="3">
        <v>11</v>
      </c>
      <c r="G17131" t="s">
        <v>513</v>
      </c>
    </row>
    <row r="17132" spans="1:7" x14ac:dyDescent="0.25">
      <c r="A17132" s="1" t="str">
        <f>"512300"</f>
        <v>512300</v>
      </c>
      <c r="B17132" s="2" t="str">
        <f>"PARAFUSO ALLEN INOX CONICO M6X25"</f>
        <v>PARAFUSO ALLEN INOX CONICO M6X25</v>
      </c>
      <c r="C17132" s="2" t="str">
        <f t="shared" si="674"/>
        <v>UN</v>
      </c>
      <c r="D17132" s="7">
        <v>918</v>
      </c>
      <c r="E17132" s="3">
        <v>11</v>
      </c>
      <c r="F17132" s="3">
        <v>11</v>
      </c>
      <c r="G17132" t="s">
        <v>514</v>
      </c>
    </row>
    <row r="17133" spans="1:7" x14ac:dyDescent="0.25">
      <c r="A17133" s="1" t="str">
        <f>"512301"</f>
        <v>512301</v>
      </c>
      <c r="B17133" s="2" t="str">
        <f>"PARAFUSO ALLEN INOX CONICO M8X25"</f>
        <v>PARAFUSO ALLEN INOX CONICO M8X25</v>
      </c>
      <c r="C17133" s="2" t="str">
        <f t="shared" si="674"/>
        <v>UN</v>
      </c>
      <c r="D17133" s="7">
        <v>918</v>
      </c>
      <c r="E17133" s="3">
        <v>11</v>
      </c>
      <c r="F17133" s="3">
        <v>11</v>
      </c>
      <c r="G17133" t="s">
        <v>514</v>
      </c>
    </row>
    <row r="17134" spans="1:7" x14ac:dyDescent="0.25">
      <c r="A17134" s="1" t="str">
        <f>"503774"</f>
        <v>503774</v>
      </c>
      <c r="B17134" s="2" t="str">
        <f>"PARAFUSO ALLEN INOX M10X40MM"</f>
        <v>PARAFUSO ALLEN INOX M10X40MM</v>
      </c>
      <c r="C17134" s="2" t="str">
        <f t="shared" si="674"/>
        <v>UN</v>
      </c>
      <c r="D17134" s="7">
        <v>402</v>
      </c>
      <c r="E17134" s="3">
        <v>4</v>
      </c>
      <c r="F17134" s="3">
        <v>4</v>
      </c>
      <c r="G17134" t="s">
        <v>514</v>
      </c>
    </row>
    <row r="17135" spans="1:7" x14ac:dyDescent="0.25">
      <c r="A17135" s="1" t="str">
        <f>"502325"</f>
        <v>502325</v>
      </c>
      <c r="B17135" s="2" t="str">
        <f>"PARAFUSO ALLEN INOX M10X50MM-ROSCA TOTAL"</f>
        <v>PARAFUSO ALLEN INOX M10X50MM-ROSCA TOTAL</v>
      </c>
      <c r="C17135" s="2" t="str">
        <f t="shared" si="674"/>
        <v>UN</v>
      </c>
      <c r="D17135" s="7">
        <v>99999</v>
      </c>
      <c r="E17135" s="3">
        <v>99</v>
      </c>
      <c r="F17135" s="3">
        <v>99</v>
      </c>
      <c r="G17135" t="s">
        <v>513</v>
      </c>
    </row>
    <row r="17136" spans="1:7" x14ac:dyDescent="0.25">
      <c r="A17136" s="1" t="str">
        <f>"505232"</f>
        <v>505232</v>
      </c>
      <c r="B17136" s="2" t="str">
        <f>"PARAFUSO ALLEN INOX M10X70MM"</f>
        <v>PARAFUSO ALLEN INOX M10X70MM</v>
      </c>
      <c r="C17136" s="2" t="str">
        <f>"KG"</f>
        <v>KG</v>
      </c>
      <c r="D17136" s="7">
        <v>800</v>
      </c>
      <c r="E17136" s="3">
        <v>10</v>
      </c>
      <c r="F17136" s="3">
        <v>10</v>
      </c>
      <c r="G17136" t="s">
        <v>512</v>
      </c>
    </row>
    <row r="17137" spans="1:7" x14ac:dyDescent="0.25">
      <c r="A17137" s="1" t="str">
        <f>"520017"</f>
        <v>520017</v>
      </c>
      <c r="B17137" s="2" t="str">
        <f>"PARAFUSO ALLEN INOX M10X90MM"</f>
        <v>PARAFUSO ALLEN INOX M10X90MM</v>
      </c>
      <c r="C17137" s="2" t="str">
        <f t="shared" ref="C17137:C17149" si="675">"UN"</f>
        <v>UN</v>
      </c>
      <c r="D17137" s="7">
        <v>704</v>
      </c>
      <c r="E17137" s="3">
        <v>9</v>
      </c>
      <c r="F17137" s="3">
        <v>9</v>
      </c>
      <c r="G17137" t="s">
        <v>513</v>
      </c>
    </row>
    <row r="17138" spans="1:7" x14ac:dyDescent="0.25">
      <c r="A17138" s="1" t="str">
        <f>"519227"</f>
        <v>519227</v>
      </c>
      <c r="B17138" s="2" t="str">
        <f>"PARAFUSO ALLEN INOX M12X150MM-ROSCA TOTAL"</f>
        <v>PARAFUSO ALLEN INOX M12X150MM-ROSCA TOTAL</v>
      </c>
      <c r="C17138" s="2" t="str">
        <f t="shared" si="675"/>
        <v>UN</v>
      </c>
      <c r="D17138" s="7">
        <v>918</v>
      </c>
      <c r="E17138" s="3">
        <v>11</v>
      </c>
      <c r="F17138" s="3">
        <v>11</v>
      </c>
      <c r="G17138" t="s">
        <v>514</v>
      </c>
    </row>
    <row r="17139" spans="1:7" x14ac:dyDescent="0.25">
      <c r="A17139" s="1" t="str">
        <f>"511236"</f>
        <v>511236</v>
      </c>
      <c r="B17139" s="2" t="str">
        <f>"PARAFUSO ALLEN INOX M12X50MM-ROSCA TOTAL"</f>
        <v>PARAFUSO ALLEN INOX M12X50MM-ROSCA TOTAL</v>
      </c>
      <c r="C17139" s="2" t="str">
        <f t="shared" si="675"/>
        <v>UN</v>
      </c>
      <c r="D17139" s="7">
        <v>918</v>
      </c>
      <c r="E17139" s="3">
        <v>11</v>
      </c>
      <c r="F17139" s="3">
        <v>11</v>
      </c>
      <c r="G17139" t="s">
        <v>514</v>
      </c>
    </row>
    <row r="17140" spans="1:7" x14ac:dyDescent="0.25">
      <c r="A17140" s="1" t="str">
        <f>"518747"</f>
        <v>518747</v>
      </c>
      <c r="B17140" s="2" t="str">
        <f>"PARAFUSO ALLEN INOX M16X60MM"</f>
        <v>PARAFUSO ALLEN INOX M16X60MM</v>
      </c>
      <c r="C17140" s="2" t="str">
        <f t="shared" si="675"/>
        <v>UN</v>
      </c>
      <c r="D17140" s="7">
        <v>99999</v>
      </c>
      <c r="E17140" s="3">
        <v>99</v>
      </c>
      <c r="F17140" s="3">
        <v>99</v>
      </c>
      <c r="G17140" t="s">
        <v>514</v>
      </c>
    </row>
    <row r="17141" spans="1:7" x14ac:dyDescent="0.25">
      <c r="A17141" s="1" t="str">
        <f>"505329"</f>
        <v>505329</v>
      </c>
      <c r="B17141" s="2" t="str">
        <f>"PARAFUSO ALLEN INOX M3X10MM-ROSCA TOTAL"</f>
        <v>PARAFUSO ALLEN INOX M3X10MM-ROSCA TOTAL</v>
      </c>
      <c r="C17141" s="2" t="str">
        <f t="shared" si="675"/>
        <v>UN</v>
      </c>
      <c r="D17141" s="7">
        <v>402</v>
      </c>
      <c r="E17141" s="3">
        <v>4</v>
      </c>
      <c r="F17141" s="3">
        <v>4</v>
      </c>
      <c r="G17141" t="s">
        <v>513</v>
      </c>
    </row>
    <row r="17142" spans="1:7" x14ac:dyDescent="0.25">
      <c r="A17142" s="1" t="str">
        <f>"505295"</f>
        <v>505295</v>
      </c>
      <c r="B17142" s="2" t="str">
        <f>"PARAFUSO ALLEN INOX M3X15MM-ROSCA TOTAL"</f>
        <v>PARAFUSO ALLEN INOX M3X15MM-ROSCA TOTAL</v>
      </c>
      <c r="C17142" s="2" t="str">
        <f t="shared" si="675"/>
        <v>UN</v>
      </c>
      <c r="D17142" s="7">
        <v>402</v>
      </c>
      <c r="E17142" s="3">
        <v>4</v>
      </c>
      <c r="F17142" s="3">
        <v>4</v>
      </c>
      <c r="G17142" t="s">
        <v>513</v>
      </c>
    </row>
    <row r="17143" spans="1:7" x14ac:dyDescent="0.25">
      <c r="A17143" s="1" t="str">
        <f>"505296"</f>
        <v>505296</v>
      </c>
      <c r="B17143" s="2" t="str">
        <f>"PARAFUSO ALLEN INOX M4X15MM-ROSCA TOTAL"</f>
        <v>PARAFUSO ALLEN INOX M4X15MM-ROSCA TOTAL</v>
      </c>
      <c r="C17143" s="2" t="str">
        <f t="shared" si="675"/>
        <v>UN</v>
      </c>
      <c r="D17143" s="7">
        <v>402</v>
      </c>
      <c r="E17143" s="3">
        <v>4</v>
      </c>
      <c r="F17143" s="3">
        <v>4</v>
      </c>
      <c r="G17143" t="s">
        <v>513</v>
      </c>
    </row>
    <row r="17144" spans="1:7" x14ac:dyDescent="0.25">
      <c r="A17144" s="1" t="str">
        <f>"500940"</f>
        <v>500940</v>
      </c>
      <c r="B17144" s="2" t="str">
        <f>"PARAFUSO ALLEN INOX M4X20MM-ROSCA TOTAL"</f>
        <v>PARAFUSO ALLEN INOX M4X20MM-ROSCA TOTAL</v>
      </c>
      <c r="C17144" s="2" t="str">
        <f t="shared" si="675"/>
        <v>UN</v>
      </c>
      <c r="D17144" s="7">
        <v>402</v>
      </c>
      <c r="E17144" s="3">
        <v>4</v>
      </c>
      <c r="F17144" s="3">
        <v>4</v>
      </c>
      <c r="G17144" t="s">
        <v>512</v>
      </c>
    </row>
    <row r="17145" spans="1:7" x14ac:dyDescent="0.25">
      <c r="A17145" s="1" t="str">
        <f>"503771"</f>
        <v>503771</v>
      </c>
      <c r="B17145" s="2" t="str">
        <f>"PARAFUSO ALLEN INOX M5X20MM"</f>
        <v>PARAFUSO ALLEN INOX M5X20MM</v>
      </c>
      <c r="C17145" s="2" t="str">
        <f t="shared" si="675"/>
        <v>UN</v>
      </c>
      <c r="D17145" s="7">
        <v>402</v>
      </c>
      <c r="E17145" s="3">
        <v>4</v>
      </c>
      <c r="F17145" s="3">
        <v>4</v>
      </c>
      <c r="G17145" t="s">
        <v>513</v>
      </c>
    </row>
    <row r="17146" spans="1:7" x14ac:dyDescent="0.25">
      <c r="A17146" s="1" t="str">
        <f>"500941"</f>
        <v>500941</v>
      </c>
      <c r="B17146" s="2" t="str">
        <f>"PARAFUSO ALLEN INOX M5X25MM-ROSCA TOTAL"</f>
        <v>PARAFUSO ALLEN INOX M5X25MM-ROSCA TOTAL</v>
      </c>
      <c r="C17146" s="2" t="str">
        <f t="shared" si="675"/>
        <v>UN</v>
      </c>
      <c r="D17146" s="7">
        <v>99999</v>
      </c>
      <c r="E17146" s="3">
        <v>99</v>
      </c>
      <c r="F17146" s="3">
        <v>99</v>
      </c>
      <c r="G17146" t="s">
        <v>514</v>
      </c>
    </row>
    <row r="17147" spans="1:7" x14ac:dyDescent="0.25">
      <c r="A17147" s="1" t="str">
        <f>"510253"</f>
        <v>510253</v>
      </c>
      <c r="B17147" s="2" t="str">
        <f>"PARAFUSO ALLEN INOX M5X40 ROSCA TOTAL"</f>
        <v>PARAFUSO ALLEN INOX M5X40 ROSCA TOTAL</v>
      </c>
      <c r="C17147" s="2" t="str">
        <f t="shared" si="675"/>
        <v>UN</v>
      </c>
      <c r="D17147" s="7">
        <v>918</v>
      </c>
      <c r="E17147" s="3">
        <v>11</v>
      </c>
      <c r="F17147" s="3">
        <v>11</v>
      </c>
      <c r="G17147" t="s">
        <v>515</v>
      </c>
    </row>
    <row r="17148" spans="1:7" x14ac:dyDescent="0.25">
      <c r="A17148" s="1" t="str">
        <f>"512948"</f>
        <v>512948</v>
      </c>
      <c r="B17148" s="2" t="str">
        <f>"PARAFUSO ALLEN INOX M5X50MM"</f>
        <v>PARAFUSO ALLEN INOX M5X50MM</v>
      </c>
      <c r="C17148" s="2" t="str">
        <f t="shared" si="675"/>
        <v>UN</v>
      </c>
      <c r="D17148" s="7">
        <v>402</v>
      </c>
      <c r="E17148" s="3">
        <v>4</v>
      </c>
      <c r="F17148" s="3">
        <v>4</v>
      </c>
      <c r="G17148" t="s">
        <v>512</v>
      </c>
    </row>
    <row r="17149" spans="1:7" x14ac:dyDescent="0.25">
      <c r="A17149" s="1" t="str">
        <f>"503772"</f>
        <v>503772</v>
      </c>
      <c r="B17149" s="2" t="str">
        <f>"PARAFUSO ALLEN INOX M6X10MM"</f>
        <v>PARAFUSO ALLEN INOX M6X10MM</v>
      </c>
      <c r="C17149" s="2" t="str">
        <f t="shared" si="675"/>
        <v>UN</v>
      </c>
      <c r="D17149" s="7">
        <v>402</v>
      </c>
      <c r="E17149" s="3">
        <v>4</v>
      </c>
      <c r="F17149" s="3">
        <v>4</v>
      </c>
      <c r="G17149" t="s">
        <v>516</v>
      </c>
    </row>
    <row r="17150" spans="1:7" x14ac:dyDescent="0.25">
      <c r="A17150" s="1" t="str">
        <f>"505213"</f>
        <v>505213</v>
      </c>
      <c r="B17150" s="2" t="str">
        <f>"PARAFUSO ALLEN INOX M6X20MM"</f>
        <v>PARAFUSO ALLEN INOX M6X20MM</v>
      </c>
      <c r="C17150" s="2" t="str">
        <f>"KG"</f>
        <v>KG</v>
      </c>
      <c r="D17150" s="7">
        <v>800</v>
      </c>
      <c r="E17150" s="3">
        <v>10</v>
      </c>
      <c r="F17150" s="3">
        <v>10</v>
      </c>
      <c r="G17150" t="s">
        <v>515</v>
      </c>
    </row>
    <row r="17151" spans="1:7" x14ac:dyDescent="0.25">
      <c r="A17151" s="1" t="str">
        <f>"500942"</f>
        <v>500942</v>
      </c>
      <c r="B17151" s="2" t="str">
        <f>"PARAFUSO ALLEN INOX M6X30MM-ROSCA TOTAL"</f>
        <v>PARAFUSO ALLEN INOX M6X30MM-ROSCA TOTAL</v>
      </c>
      <c r="C17151" s="2" t="str">
        <f>"UN"</f>
        <v>UN</v>
      </c>
      <c r="D17151" s="7">
        <v>99999</v>
      </c>
      <c r="E17151" s="3">
        <v>99</v>
      </c>
      <c r="F17151" s="3">
        <v>99</v>
      </c>
      <c r="G17151" t="s">
        <v>514</v>
      </c>
    </row>
    <row r="17152" spans="1:7" x14ac:dyDescent="0.25">
      <c r="A17152" s="1" t="str">
        <f>"503998"</f>
        <v>503998</v>
      </c>
      <c r="B17152" s="2" t="str">
        <f>"PARAFUSO ALLEN INOX M6X45MM ROSCA TOTAL"</f>
        <v>PARAFUSO ALLEN INOX M6X45MM ROSCA TOTAL</v>
      </c>
      <c r="C17152" s="2" t="str">
        <f>"UN"</f>
        <v>UN</v>
      </c>
      <c r="D17152" s="7">
        <v>402</v>
      </c>
      <c r="E17152" s="3">
        <v>4</v>
      </c>
      <c r="F17152" s="3">
        <v>4</v>
      </c>
      <c r="G17152" t="s">
        <v>512</v>
      </c>
    </row>
    <row r="17153" spans="1:7" x14ac:dyDescent="0.25">
      <c r="A17153" s="1" t="str">
        <f>"505664"</f>
        <v>505664</v>
      </c>
      <c r="B17153" s="2" t="str">
        <f>"PARAFUSO ALLEN INOX M6X50MM"</f>
        <v>PARAFUSO ALLEN INOX M6X50MM</v>
      </c>
      <c r="C17153" s="2" t="str">
        <f>"KG"</f>
        <v>KG</v>
      </c>
      <c r="D17153" s="7">
        <v>800</v>
      </c>
      <c r="E17153" s="3">
        <v>10</v>
      </c>
      <c r="F17153" s="3">
        <v>10</v>
      </c>
      <c r="G17153" t="s">
        <v>513</v>
      </c>
    </row>
    <row r="17154" spans="1:7" x14ac:dyDescent="0.25">
      <c r="A17154" s="1" t="str">
        <f>"500124"</f>
        <v>500124</v>
      </c>
      <c r="B17154" s="2" t="str">
        <f>"PARAFUSO ALLEN INOX M6X70MM ROSCA TOTAL"</f>
        <v>PARAFUSO ALLEN INOX M6X70MM ROSCA TOTAL</v>
      </c>
      <c r="C17154" s="2" t="str">
        <f t="shared" ref="C17154:C17168" si="676">"UN"</f>
        <v>UN</v>
      </c>
      <c r="D17154" s="7">
        <v>99999</v>
      </c>
      <c r="E17154" s="3">
        <v>99</v>
      </c>
      <c r="F17154" s="3">
        <v>99</v>
      </c>
      <c r="G17154" t="s">
        <v>514</v>
      </c>
    </row>
    <row r="17155" spans="1:7" x14ac:dyDescent="0.25">
      <c r="A17155" s="1" t="str">
        <f>"501850"</f>
        <v>501850</v>
      </c>
      <c r="B17155" s="2" t="str">
        <f>"PARAFUSO ALLEN INOX M8X20MM CABEÇACONICA"</f>
        <v>PARAFUSO ALLEN INOX M8X20MM CABEÇACONICA</v>
      </c>
      <c r="C17155" s="2" t="str">
        <f t="shared" si="676"/>
        <v>UN</v>
      </c>
      <c r="D17155" s="7">
        <v>402</v>
      </c>
      <c r="E17155" s="3">
        <v>4</v>
      </c>
      <c r="F17155" s="3">
        <v>4</v>
      </c>
      <c r="G17155" t="s">
        <v>514</v>
      </c>
    </row>
    <row r="17156" spans="1:7" x14ac:dyDescent="0.25">
      <c r="A17156" s="1" t="str">
        <f>"503773"</f>
        <v>503773</v>
      </c>
      <c r="B17156" s="2" t="str">
        <f>"PARAFUSO ALLEN INOX M8X30MM-ROSCA TOTAL"</f>
        <v>PARAFUSO ALLEN INOX M8X30MM-ROSCA TOTAL</v>
      </c>
      <c r="C17156" s="2" t="str">
        <f t="shared" si="676"/>
        <v>UN</v>
      </c>
      <c r="D17156" s="7">
        <v>99999</v>
      </c>
      <c r="E17156" s="3">
        <v>99</v>
      </c>
      <c r="F17156" s="3">
        <v>99</v>
      </c>
      <c r="G17156" t="s">
        <v>512</v>
      </c>
    </row>
    <row r="17157" spans="1:7" x14ac:dyDescent="0.25">
      <c r="A17157" s="1" t="str">
        <f>"500943"</f>
        <v>500943</v>
      </c>
      <c r="B17157" s="2" t="str">
        <f>"PARAFUSO ALLEN INOX M8X40MM-ROSCA TOTAL"</f>
        <v>PARAFUSO ALLEN INOX M8X40MM-ROSCA TOTAL</v>
      </c>
      <c r="C17157" s="2" t="str">
        <f t="shared" si="676"/>
        <v>UN</v>
      </c>
      <c r="D17157" s="7">
        <v>402</v>
      </c>
      <c r="E17157" s="3">
        <v>4</v>
      </c>
      <c r="F17157" s="3">
        <v>4</v>
      </c>
      <c r="G17157" t="s">
        <v>513</v>
      </c>
    </row>
    <row r="17158" spans="1:7" x14ac:dyDescent="0.25">
      <c r="A17158" s="1" t="str">
        <f>"505678"</f>
        <v>505678</v>
      </c>
      <c r="B17158" s="2" t="str">
        <f>"PARAFUSO ALLEN INOX M8X50MM"</f>
        <v>PARAFUSO ALLEN INOX M8X50MM</v>
      </c>
      <c r="C17158" s="2" t="str">
        <f t="shared" si="676"/>
        <v>UN</v>
      </c>
      <c r="D17158" s="7">
        <v>704</v>
      </c>
      <c r="E17158" s="3">
        <v>9</v>
      </c>
      <c r="F17158" s="3">
        <v>9</v>
      </c>
      <c r="G17158" t="s">
        <v>514</v>
      </c>
    </row>
    <row r="17159" spans="1:7" x14ac:dyDescent="0.25">
      <c r="A17159" s="1" t="str">
        <f>"505662"</f>
        <v>505662</v>
      </c>
      <c r="B17159" s="2" t="str">
        <f>"PARAFUSO ALLEN INOX M8X70MM-ROSCA TOTAL"</f>
        <v>PARAFUSO ALLEN INOX M8X70MM-ROSCA TOTAL</v>
      </c>
      <c r="C17159" s="2" t="str">
        <f t="shared" si="676"/>
        <v>UN</v>
      </c>
      <c r="D17159" s="7">
        <v>402</v>
      </c>
      <c r="E17159" s="3">
        <v>4</v>
      </c>
      <c r="F17159" s="3">
        <v>4</v>
      </c>
      <c r="G17159" t="s">
        <v>514</v>
      </c>
    </row>
    <row r="17160" spans="1:7" x14ac:dyDescent="0.25">
      <c r="A17160" s="1" t="str">
        <f>"525994"</f>
        <v>525994</v>
      </c>
      <c r="B17160" s="2" t="str">
        <f>"PARAFUSO ALLEN INOX M8X90MM"</f>
        <v>PARAFUSO ALLEN INOX M8X90MM</v>
      </c>
      <c r="C17160" s="2" t="str">
        <f t="shared" si="676"/>
        <v>UN</v>
      </c>
      <c r="D17160" s="7">
        <v>918</v>
      </c>
      <c r="E17160" s="3">
        <v>11</v>
      </c>
      <c r="F17160" s="3">
        <v>11</v>
      </c>
      <c r="G17160" t="s">
        <v>514</v>
      </c>
    </row>
    <row r="17161" spans="1:7" x14ac:dyDescent="0.25">
      <c r="A17161" s="1" t="str">
        <f>"505753"</f>
        <v>505753</v>
      </c>
      <c r="B17161" s="2" t="str">
        <f>"PARAFUSO ALLEN M5X60MM"</f>
        <v>PARAFUSO ALLEN M5X60MM</v>
      </c>
      <c r="C17161" s="2" t="str">
        <f t="shared" si="676"/>
        <v>UN</v>
      </c>
      <c r="D17161" s="7">
        <v>402</v>
      </c>
      <c r="E17161" s="3">
        <v>4</v>
      </c>
      <c r="F17161" s="3">
        <v>4</v>
      </c>
      <c r="G17161" t="s">
        <v>513</v>
      </c>
    </row>
    <row r="17162" spans="1:7" x14ac:dyDescent="0.25">
      <c r="A17162" s="1" t="str">
        <f>"520248"</f>
        <v>520248</v>
      </c>
      <c r="B17162" s="2" t="str">
        <f>"PARAFUSO ALLEN M6 X80 FERRO"</f>
        <v>PARAFUSO ALLEN M6 X80 FERRO</v>
      </c>
      <c r="C17162" s="2" t="str">
        <f t="shared" si="676"/>
        <v>UN</v>
      </c>
      <c r="D17162" s="7">
        <v>99999</v>
      </c>
      <c r="E17162" s="3">
        <v>99</v>
      </c>
      <c r="F17162" s="3">
        <v>99</v>
      </c>
      <c r="G17162" t="s">
        <v>512</v>
      </c>
    </row>
    <row r="17163" spans="1:7" x14ac:dyDescent="0.25">
      <c r="A17163" s="1" t="str">
        <f>"520271"</f>
        <v>520271</v>
      </c>
      <c r="B17163" s="2" t="str">
        <f>"PARAFUSO ALLEN ZINCADO M8X20"</f>
        <v>PARAFUSO ALLEN ZINCADO M8X20</v>
      </c>
      <c r="C17163" s="2" t="str">
        <f t="shared" si="676"/>
        <v>UN</v>
      </c>
      <c r="D17163" s="7">
        <v>402</v>
      </c>
      <c r="E17163" s="3">
        <v>4</v>
      </c>
      <c r="F17163" s="3">
        <v>4</v>
      </c>
      <c r="G17163" t="s">
        <v>513</v>
      </c>
    </row>
    <row r="17164" spans="1:7" x14ac:dyDescent="0.25">
      <c r="A17164" s="1" t="str">
        <f>"524552"</f>
        <v>524552</v>
      </c>
      <c r="B17164" s="2" t="str">
        <f>"PARAFUSO AUTO ATARRAXANTE PANEL PHILIPS 4,2X32MM AÇO INOX"</f>
        <v>PARAFUSO AUTO ATARRAXANTE PANEL PHILIPS 4,2X32MM AÇO INOX</v>
      </c>
      <c r="C17164" s="2" t="str">
        <f t="shared" si="676"/>
        <v>UN</v>
      </c>
      <c r="D17164" s="7">
        <v>811</v>
      </c>
      <c r="E17164" s="3">
        <v>10</v>
      </c>
      <c r="F17164" s="3">
        <v>10</v>
      </c>
      <c r="G17164" t="s">
        <v>514</v>
      </c>
    </row>
    <row r="17165" spans="1:7" x14ac:dyDescent="0.25">
      <c r="A17165" s="1" t="str">
        <f>"524551"</f>
        <v>524551</v>
      </c>
      <c r="B17165" s="2" t="str">
        <f>"PARAFUSO AUTO ATARRAXANTE PANEL PHILIPS 4,2X50MM AÇO INOX"</f>
        <v>PARAFUSO AUTO ATARRAXANTE PANEL PHILIPS 4,2X50MM AÇO INOX</v>
      </c>
      <c r="C17165" s="2" t="str">
        <f t="shared" si="676"/>
        <v>UN</v>
      </c>
      <c r="D17165" s="7">
        <v>811</v>
      </c>
      <c r="E17165" s="3">
        <v>10</v>
      </c>
      <c r="F17165" s="3">
        <v>10</v>
      </c>
      <c r="G17165" t="s">
        <v>514</v>
      </c>
    </row>
    <row r="17166" spans="1:7" x14ac:dyDescent="0.25">
      <c r="A17166" s="1" t="str">
        <f>"520105"</f>
        <v>520105</v>
      </c>
      <c r="B17166" s="2" t="str">
        <f>"PARAFUSO AUTO BROCANTE 1/4 X 3/4"""</f>
        <v>PARAFUSO AUTO BROCANTE 1/4 X 3/4"</v>
      </c>
      <c r="C17166" s="2" t="str">
        <f t="shared" si="676"/>
        <v>UN</v>
      </c>
      <c r="D17166" s="7">
        <v>918</v>
      </c>
      <c r="E17166" s="3">
        <v>11</v>
      </c>
      <c r="F17166" s="3">
        <v>11</v>
      </c>
      <c r="G17166" t="s">
        <v>514</v>
      </c>
    </row>
    <row r="17167" spans="1:7" x14ac:dyDescent="0.25">
      <c r="A17167" s="1" t="str">
        <f>"522164"</f>
        <v>522164</v>
      </c>
      <c r="B17167" s="2" t="str">
        <f>"PARAFUSO AUTO BROCANTE 1/4 X 7/8"""</f>
        <v>PARAFUSO AUTO BROCANTE 1/4 X 7/8"</v>
      </c>
      <c r="C17167" s="2" t="str">
        <f t="shared" si="676"/>
        <v>UN</v>
      </c>
      <c r="D17167" s="7">
        <v>99999</v>
      </c>
      <c r="E17167" s="3">
        <v>99</v>
      </c>
      <c r="F17167" s="3">
        <v>99</v>
      </c>
      <c r="G17167" t="s">
        <v>513</v>
      </c>
    </row>
    <row r="17168" spans="1:7" x14ac:dyDescent="0.25">
      <c r="A17168" s="1" t="str">
        <f>"517894"</f>
        <v>517894</v>
      </c>
      <c r="B17168" s="2" t="str">
        <f>"PARAFUSO AUTO BROCANTE 10 X 16 X 3/4"""</f>
        <v>PARAFUSO AUTO BROCANTE 10 X 16 X 3/4"</v>
      </c>
      <c r="C17168" s="2" t="str">
        <f t="shared" si="676"/>
        <v>UN</v>
      </c>
      <c r="D17168" s="7">
        <v>1700</v>
      </c>
      <c r="E17168" s="3">
        <v>10</v>
      </c>
      <c r="F17168" s="3">
        <v>10</v>
      </c>
      <c r="G17168" t="s">
        <v>513</v>
      </c>
    </row>
    <row r="17169" spans="1:7" x14ac:dyDescent="0.25">
      <c r="A17169" s="1" t="str">
        <f>"511886"</f>
        <v>511886</v>
      </c>
      <c r="B17169" s="2" t="str">
        <f>"PARAFUSO AUTO BROCANTE 12 X 1 1/2"""</f>
        <v>PARAFUSO AUTO BROCANTE 12 X 1 1/2"</v>
      </c>
      <c r="C17169" s="2" t="str">
        <f>"KG"</f>
        <v>KG</v>
      </c>
      <c r="D17169" s="7">
        <v>800</v>
      </c>
      <c r="E17169" s="3">
        <v>10</v>
      </c>
      <c r="F17169" s="3">
        <v>10</v>
      </c>
      <c r="G17169" t="s">
        <v>513</v>
      </c>
    </row>
    <row r="17170" spans="1:7" x14ac:dyDescent="0.25">
      <c r="A17170" s="1" t="str">
        <f>"500138"</f>
        <v>500138</v>
      </c>
      <c r="B17170" s="2" t="str">
        <f>"PARAFUSO AUTO BROCANTE 12 X 14 X 3/4"""</f>
        <v>PARAFUSO AUTO BROCANTE 12 X 14 X 3/4"</v>
      </c>
      <c r="C17170" s="2" t="str">
        <f>"UN"</f>
        <v>UN</v>
      </c>
      <c r="D17170" s="7">
        <v>403</v>
      </c>
      <c r="E17170" s="3">
        <v>4</v>
      </c>
      <c r="F17170" s="3">
        <v>4</v>
      </c>
      <c r="G17170" t="s">
        <v>512</v>
      </c>
    </row>
    <row r="17171" spans="1:7" x14ac:dyDescent="0.25">
      <c r="A17171" s="1" t="str">
        <f>"526526"</f>
        <v>526526</v>
      </c>
      <c r="B17171" s="2" t="str">
        <f>"PARAFUSO AUTO BROCANTE 12 X 19mm X 3/4"""</f>
        <v>PARAFUSO AUTO BROCANTE 12 X 19mm X 3/4"</v>
      </c>
      <c r="C17171" s="2" t="str">
        <f>"UN"</f>
        <v>UN</v>
      </c>
      <c r="D17171" s="7">
        <v>403</v>
      </c>
      <c r="E17171" s="3">
        <v>4</v>
      </c>
      <c r="F17171" s="3">
        <v>4</v>
      </c>
      <c r="G17171" t="s">
        <v>513</v>
      </c>
    </row>
    <row r="17172" spans="1:7" x14ac:dyDescent="0.25">
      <c r="A17172" s="1" t="str">
        <f>"518443"</f>
        <v>518443</v>
      </c>
      <c r="B17172" s="2" t="str">
        <f>"PARAFUSO AUTO BROCANTE 5/16 X 3/4"""</f>
        <v>PARAFUSO AUTO BROCANTE 5/16 X 3/4"</v>
      </c>
      <c r="C17172" s="2" t="str">
        <f>"UN"</f>
        <v>UN</v>
      </c>
      <c r="D17172" s="7">
        <v>99999</v>
      </c>
      <c r="E17172" s="3">
        <v>99</v>
      </c>
      <c r="F17172" s="3">
        <v>99</v>
      </c>
      <c r="G17172" t="s">
        <v>514</v>
      </c>
    </row>
    <row r="17173" spans="1:7" x14ac:dyDescent="0.25">
      <c r="A17173" s="1" t="str">
        <f>"519101"</f>
        <v>519101</v>
      </c>
      <c r="B17173" s="2" t="str">
        <f>"PARAFUSO AUTO BROCANTE 5/16 X 7/8"""</f>
        <v>PARAFUSO AUTO BROCANTE 5/16 X 7/8"</v>
      </c>
      <c r="C17173" s="2" t="str">
        <f>"UN"</f>
        <v>UN</v>
      </c>
      <c r="D17173" s="7">
        <v>99999</v>
      </c>
      <c r="E17173" s="3">
        <v>99</v>
      </c>
      <c r="F17173" s="3">
        <v>99</v>
      </c>
      <c r="G17173" t="s">
        <v>515</v>
      </c>
    </row>
    <row r="17174" spans="1:7" x14ac:dyDescent="0.25">
      <c r="A17174" s="1" t="str">
        <f>"507418"</f>
        <v>507418</v>
      </c>
      <c r="B17174" s="2" t="str">
        <f>"PARAFUSO AUTO PEFURANTE 4.2X19 C/ FLANGE"</f>
        <v>PARAFUSO AUTO PEFURANTE 4.2X19 C/ FLANGE</v>
      </c>
      <c r="C17174" s="2" t="str">
        <f>"KG"</f>
        <v>KG</v>
      </c>
      <c r="D17174" s="7">
        <v>800</v>
      </c>
      <c r="E17174" s="3">
        <v>10</v>
      </c>
      <c r="F17174" s="3">
        <v>10</v>
      </c>
      <c r="G17174" t="s">
        <v>512</v>
      </c>
    </row>
    <row r="17175" spans="1:7" x14ac:dyDescent="0.25">
      <c r="A17175" s="1" t="str">
        <f>"522432"</f>
        <v>522432</v>
      </c>
      <c r="B17175" s="2" t="str">
        <f>"PARAFUSO AUTO TRAVANTE 1/4 X 1/2"</f>
        <v>PARAFUSO AUTO TRAVANTE 1/4 X 1/2</v>
      </c>
      <c r="C17175" s="2" t="str">
        <f t="shared" ref="C17175:C17182" si="677">"UN"</f>
        <v>UN</v>
      </c>
      <c r="D17175" s="7">
        <v>811</v>
      </c>
      <c r="E17175" s="3">
        <v>10</v>
      </c>
      <c r="F17175" s="3">
        <v>10</v>
      </c>
      <c r="G17175" t="s">
        <v>516</v>
      </c>
    </row>
    <row r="17176" spans="1:7" x14ac:dyDescent="0.25">
      <c r="A17176" s="1" t="str">
        <f>"524764"</f>
        <v>524764</v>
      </c>
      <c r="B17176" s="2" t="str">
        <f>"PARAFUSO AUTO TRAVANTE 1/4 X 5/8"</f>
        <v>PARAFUSO AUTO TRAVANTE 1/4 X 5/8</v>
      </c>
      <c r="C17176" s="2" t="str">
        <f t="shared" si="677"/>
        <v>UN</v>
      </c>
      <c r="D17176" s="7">
        <v>811</v>
      </c>
      <c r="E17176" s="3">
        <v>8</v>
      </c>
      <c r="F17176" s="3">
        <v>8</v>
      </c>
      <c r="G17176" t="s">
        <v>515</v>
      </c>
    </row>
    <row r="17177" spans="1:7" x14ac:dyDescent="0.25">
      <c r="A17177" s="1" t="str">
        <f>"522586"</f>
        <v>522586</v>
      </c>
      <c r="B17177" s="2" t="str">
        <f>"PARAFUSO AUTO TRAVANTE 3/8 X 3/4"</f>
        <v>PARAFUSO AUTO TRAVANTE 3/8 X 3/4</v>
      </c>
      <c r="C17177" s="2" t="str">
        <f t="shared" si="677"/>
        <v>UN</v>
      </c>
      <c r="D17177" s="7">
        <v>99999</v>
      </c>
      <c r="E17177" s="3">
        <v>99</v>
      </c>
      <c r="F17177" s="3">
        <v>99</v>
      </c>
      <c r="G17177" t="s">
        <v>514</v>
      </c>
    </row>
    <row r="17178" spans="1:7" x14ac:dyDescent="0.25">
      <c r="A17178" s="1" t="str">
        <f>"524948"</f>
        <v>524948</v>
      </c>
      <c r="B17178" s="2" t="str">
        <f>"PARAFUSO AUTO TRAVANTE 3/8 X 3/4 INOX BF055"</f>
        <v>PARAFUSO AUTO TRAVANTE 3/8 X 3/4 INOX BF055</v>
      </c>
      <c r="C17178" s="2" t="str">
        <f t="shared" si="677"/>
        <v>UN</v>
      </c>
      <c r="D17178" s="7">
        <v>811</v>
      </c>
      <c r="E17178" s="3">
        <v>10</v>
      </c>
      <c r="F17178" s="3">
        <v>10</v>
      </c>
      <c r="G17178" t="s">
        <v>512</v>
      </c>
    </row>
    <row r="17179" spans="1:7" x14ac:dyDescent="0.25">
      <c r="A17179" s="1" t="str">
        <f>"522170"</f>
        <v>522170</v>
      </c>
      <c r="B17179" s="2" t="str">
        <f>"PARAFUSO AUTOBROCANTE 4,2 X 50MM INOX"</f>
        <v>PARAFUSO AUTOBROCANTE 4,2 X 50MM INOX</v>
      </c>
      <c r="C17179" s="2" t="str">
        <f t="shared" si="677"/>
        <v>UN</v>
      </c>
      <c r="D17179" s="7">
        <v>600</v>
      </c>
      <c r="E17179" s="3">
        <v>8</v>
      </c>
      <c r="F17179" s="3">
        <v>8</v>
      </c>
      <c r="G17179" t="s">
        <v>513</v>
      </c>
    </row>
    <row r="17180" spans="1:7" x14ac:dyDescent="0.25">
      <c r="A17180" s="1" t="str">
        <f>"521057"</f>
        <v>521057</v>
      </c>
      <c r="B17180" s="2" t="str">
        <f>"PARAFUSO AUTO-BROCANTE PHLIPS P/ FORRO"</f>
        <v>PARAFUSO AUTO-BROCANTE PHLIPS P/ FORRO</v>
      </c>
      <c r="C17180" s="2" t="str">
        <f t="shared" si="677"/>
        <v>UN</v>
      </c>
      <c r="D17180" s="7">
        <v>811</v>
      </c>
      <c r="E17180" s="3">
        <v>8</v>
      </c>
      <c r="F17180" s="3">
        <v>8</v>
      </c>
      <c r="G17180" t="s">
        <v>514</v>
      </c>
    </row>
    <row r="17181" spans="1:7" x14ac:dyDescent="0.25">
      <c r="A17181" s="1" t="str">
        <f>"505922"</f>
        <v>505922</v>
      </c>
      <c r="B17181" s="2" t="str">
        <f>"PARAFUSO BATENTE"</f>
        <v>PARAFUSO BATENTE</v>
      </c>
      <c r="C17181" s="2" t="str">
        <f t="shared" si="677"/>
        <v>UN</v>
      </c>
      <c r="D17181" s="7">
        <v>704</v>
      </c>
      <c r="E17181" s="3">
        <v>9</v>
      </c>
      <c r="F17181" s="3">
        <v>9</v>
      </c>
      <c r="G17181" t="s">
        <v>514</v>
      </c>
    </row>
    <row r="17182" spans="1:7" x14ac:dyDescent="0.25">
      <c r="A17182" s="1" t="str">
        <f>"518904"</f>
        <v>518904</v>
      </c>
      <c r="B17182" s="2" t="str">
        <f>"PARAFUSO BICROMATIZADO SEXTAVADO 5/16"" X 3/4"""</f>
        <v>PARAFUSO BICROMATIZADO SEXTAVADO 5/16" X 3/4"</v>
      </c>
      <c r="C17182" s="2" t="str">
        <f t="shared" si="677"/>
        <v>UN</v>
      </c>
      <c r="D17182" s="7">
        <v>811</v>
      </c>
      <c r="E17182" s="3">
        <v>8</v>
      </c>
      <c r="F17182" s="3">
        <v>8</v>
      </c>
      <c r="G17182" t="s">
        <v>512</v>
      </c>
    </row>
    <row r="17183" spans="1:7" x14ac:dyDescent="0.25">
      <c r="A17183" s="1" t="str">
        <f>"512487"</f>
        <v>512487</v>
      </c>
      <c r="B17183" s="2" t="str">
        <f>"PARAFUSO BUCHA 08 5X45MM"</f>
        <v>PARAFUSO BUCHA 08 5X45MM</v>
      </c>
      <c r="C17183" s="2" t="str">
        <f>"KG"</f>
        <v>KG</v>
      </c>
      <c r="D17183" s="7">
        <v>800</v>
      </c>
      <c r="E17183" s="3">
        <v>10</v>
      </c>
      <c r="F17183" s="3">
        <v>10</v>
      </c>
      <c r="G17183" t="s">
        <v>513</v>
      </c>
    </row>
    <row r="17184" spans="1:7" x14ac:dyDescent="0.25">
      <c r="A17184" s="1" t="str">
        <f>"512486"</f>
        <v>512486</v>
      </c>
      <c r="B17184" s="2" t="str">
        <f>"PARAFUSO BUCHA 10 6X45MM"</f>
        <v>PARAFUSO BUCHA 10 6X45MM</v>
      </c>
      <c r="C17184" s="2" t="str">
        <f>"KG"</f>
        <v>KG</v>
      </c>
      <c r="D17184" s="7">
        <v>800</v>
      </c>
      <c r="E17184" s="3">
        <v>10</v>
      </c>
      <c r="F17184" s="3">
        <v>10</v>
      </c>
      <c r="G17184" t="s">
        <v>514</v>
      </c>
    </row>
    <row r="17185" spans="1:7" x14ac:dyDescent="0.25">
      <c r="A17185" s="1" t="str">
        <f>"509042"</f>
        <v>509042</v>
      </c>
      <c r="B17185" s="2" t="str">
        <f>"PARAFUSO CAB SEXT 41.1020.206.12"</f>
        <v>PARAFUSO CAB SEXT 41.1020.206.12</v>
      </c>
      <c r="C17185" s="2" t="str">
        <f>"UN"</f>
        <v>UN</v>
      </c>
      <c r="D17185" s="7">
        <v>918</v>
      </c>
      <c r="E17185" s="3">
        <v>11</v>
      </c>
      <c r="F17185" s="3">
        <v>11</v>
      </c>
      <c r="G17185" t="s">
        <v>514</v>
      </c>
    </row>
    <row r="17186" spans="1:7" x14ac:dyDescent="0.25">
      <c r="A17186" s="1" t="str">
        <f>"501005"</f>
        <v>501005</v>
      </c>
      <c r="B17186" s="2" t="str">
        <f>"PARAFUSO CABEÇA LENTILHA 1/4X3/4"</f>
        <v>PARAFUSO CABEÇA LENTILHA 1/4X3/4</v>
      </c>
      <c r="C17186" s="2" t="str">
        <f>"UN"</f>
        <v>UN</v>
      </c>
      <c r="D17186" s="7">
        <v>402</v>
      </c>
      <c r="E17186" s="3">
        <v>4</v>
      </c>
      <c r="F17186" s="3">
        <v>4</v>
      </c>
      <c r="G17186" t="s">
        <v>514</v>
      </c>
    </row>
    <row r="17187" spans="1:7" x14ac:dyDescent="0.25">
      <c r="A17187" s="1" t="str">
        <f>"522876"</f>
        <v>522876</v>
      </c>
      <c r="B17187" s="2" t="str">
        <f>"PARAFUSO CABEÇA REDONDA 4 X 15MM INOX"</f>
        <v>PARAFUSO CABEÇA REDONDA 4 X 15MM INOX</v>
      </c>
      <c r="C17187" s="2" t="str">
        <f>"BR"</f>
        <v>BR</v>
      </c>
      <c r="D17187" s="7">
        <v>917</v>
      </c>
      <c r="E17187" s="3">
        <v>10</v>
      </c>
      <c r="F17187" s="3">
        <v>10</v>
      </c>
      <c r="G17187" t="s">
        <v>513</v>
      </c>
    </row>
    <row r="17188" spans="1:7" x14ac:dyDescent="0.25">
      <c r="A17188" s="1" t="str">
        <f>"523215"</f>
        <v>523215</v>
      </c>
      <c r="B17188" s="2" t="str">
        <f>"PARAFUSO CABEÇA REDONDA 4X15MM INOX"</f>
        <v>PARAFUSO CABEÇA REDONDA 4X15MM INOX</v>
      </c>
      <c r="C17188" s="2" t="str">
        <f t="shared" ref="C17188:C17214" si="678">"UN"</f>
        <v>UN</v>
      </c>
      <c r="D17188" s="7">
        <v>917</v>
      </c>
      <c r="E17188" s="3">
        <v>10</v>
      </c>
      <c r="F17188" s="3">
        <v>10</v>
      </c>
      <c r="G17188" t="s">
        <v>512</v>
      </c>
    </row>
    <row r="17189" spans="1:7" x14ac:dyDescent="0.25">
      <c r="A17189" s="1" t="str">
        <f>"510538"</f>
        <v>510538</v>
      </c>
      <c r="B17189" s="2" t="str">
        <f>"PARAFUSO CABEÇA SEXTAVADA 41.1020.206.12"</f>
        <v>PARAFUSO CABEÇA SEXTAVADA 41.1020.206.12</v>
      </c>
      <c r="C17189" s="2" t="str">
        <f t="shared" si="678"/>
        <v>UN</v>
      </c>
      <c r="D17189" s="7">
        <v>918</v>
      </c>
      <c r="E17189" s="3">
        <v>11</v>
      </c>
      <c r="F17189" s="3">
        <v>11</v>
      </c>
      <c r="G17189" t="s">
        <v>513</v>
      </c>
    </row>
    <row r="17190" spans="1:7" x14ac:dyDescent="0.25">
      <c r="A17190" s="1" t="str">
        <f>"502981"</f>
        <v>502981</v>
      </c>
      <c r="B17190" s="2" t="str">
        <f>"PARAFUSO CABEÇOTE CUMMINS"</f>
        <v>PARAFUSO CABEÇOTE CUMMINS</v>
      </c>
      <c r="C17190" s="2" t="str">
        <f t="shared" si="678"/>
        <v>UN</v>
      </c>
      <c r="D17190" s="7">
        <v>704</v>
      </c>
      <c r="E17190" s="3">
        <v>9</v>
      </c>
      <c r="F17190" s="3">
        <v>9</v>
      </c>
      <c r="G17190" t="s">
        <v>514</v>
      </c>
    </row>
    <row r="17191" spans="1:7" x14ac:dyDescent="0.25">
      <c r="A17191" s="1" t="str">
        <f>"524844"</f>
        <v>524844</v>
      </c>
      <c r="B17191" s="2" t="str">
        <f>"PARAFUSO CONICO C/ PESCOÇO LISO 2''X3''X1/2"</f>
        <v>PARAFUSO CONICO C/ PESCOÇO LISO 2''X3''X1/2</v>
      </c>
      <c r="C17191" s="2" t="str">
        <f t="shared" si="678"/>
        <v>UN</v>
      </c>
      <c r="D17191" s="7">
        <v>402</v>
      </c>
      <c r="E17191" s="3">
        <v>4</v>
      </c>
      <c r="F17191" s="3">
        <v>4</v>
      </c>
      <c r="G17191" t="s">
        <v>514</v>
      </c>
    </row>
    <row r="17192" spans="1:7" x14ac:dyDescent="0.25">
      <c r="A17192" s="1" t="str">
        <f>"522224"</f>
        <v>522224</v>
      </c>
      <c r="B17192" s="2" t="str">
        <f>"PARAFUSO COSTURA PB 1/4 14 X 7/8 P1 SEXTAVADO"</f>
        <v>PARAFUSO COSTURA PB 1/4 14 X 7/8 P1 SEXTAVADO</v>
      </c>
      <c r="C17192" s="2" t="str">
        <f t="shared" si="678"/>
        <v>UN</v>
      </c>
      <c r="D17192" s="7">
        <v>400</v>
      </c>
      <c r="E17192" s="3">
        <v>4</v>
      </c>
      <c r="F17192" s="3">
        <v>4</v>
      </c>
      <c r="G17192" t="s">
        <v>514</v>
      </c>
    </row>
    <row r="17193" spans="1:7" x14ac:dyDescent="0.25">
      <c r="A17193" s="1" t="str">
        <f>"509739"</f>
        <v>509739</v>
      </c>
      <c r="B17193" s="2" t="str">
        <f>"PARAFUSO CUSTURA 1/4 X 14 X 7/8"""</f>
        <v>PARAFUSO CUSTURA 1/4 X 14 X 7/8"</v>
      </c>
      <c r="C17193" s="2" t="str">
        <f t="shared" si="678"/>
        <v>UN</v>
      </c>
      <c r="D17193" s="7">
        <v>403</v>
      </c>
      <c r="E17193" s="3">
        <v>4</v>
      </c>
      <c r="F17193" s="3">
        <v>4</v>
      </c>
      <c r="G17193" t="s">
        <v>513</v>
      </c>
    </row>
    <row r="17194" spans="1:7" x14ac:dyDescent="0.25">
      <c r="A17194" s="1" t="str">
        <f>"526174"</f>
        <v>526174</v>
      </c>
      <c r="B17194" s="2" t="str">
        <f>"PARAFUSO DA CATRACA P/ HCA"</f>
        <v>PARAFUSO DA CATRACA P/ HCA</v>
      </c>
      <c r="C17194" s="2" t="str">
        <f t="shared" si="678"/>
        <v>UN</v>
      </c>
      <c r="D17194" s="7">
        <v>501</v>
      </c>
      <c r="E17194" s="3">
        <v>4</v>
      </c>
      <c r="F17194" s="3">
        <v>4</v>
      </c>
      <c r="G17194" t="s">
        <v>513</v>
      </c>
    </row>
    <row r="17195" spans="1:7" x14ac:dyDescent="0.25">
      <c r="A17195" s="1" t="str">
        <f>"503453"</f>
        <v>503453</v>
      </c>
      <c r="B17195" s="2" t="str">
        <f>"PARAFUSO DA TRAVA GIRATORIA COD.IGE00153"</f>
        <v>PARAFUSO DA TRAVA GIRATORIA COD.IGE00153</v>
      </c>
      <c r="C17195" s="2" t="str">
        <f t="shared" si="678"/>
        <v>UN</v>
      </c>
      <c r="D17195" s="7">
        <v>918</v>
      </c>
      <c r="E17195" s="3">
        <v>11</v>
      </c>
      <c r="F17195" s="3">
        <v>11</v>
      </c>
      <c r="G17195" t="s">
        <v>513</v>
      </c>
    </row>
    <row r="17196" spans="1:7" x14ac:dyDescent="0.25">
      <c r="A17196" s="1" t="str">
        <f>"526026"</f>
        <v>526026</v>
      </c>
      <c r="B17196" s="2" t="str">
        <f>"PARAFUSO DAS TRAVAS HCA"</f>
        <v>PARAFUSO DAS TRAVAS HCA</v>
      </c>
      <c r="C17196" s="2" t="str">
        <f t="shared" si="678"/>
        <v>UN</v>
      </c>
      <c r="D17196" s="7">
        <v>501</v>
      </c>
      <c r="E17196" s="3">
        <v>4</v>
      </c>
      <c r="F17196" s="3">
        <v>4</v>
      </c>
      <c r="G17196" t="s">
        <v>512</v>
      </c>
    </row>
    <row r="17197" spans="1:7" x14ac:dyDescent="0.25">
      <c r="A17197" s="1" t="str">
        <f>"501099"</f>
        <v>501099</v>
      </c>
      <c r="B17197" s="2" t="str">
        <f>"PARAFUSO DE AJUSTE 18-20A"</f>
        <v>PARAFUSO DE AJUSTE 18-20A</v>
      </c>
      <c r="C17197" s="2" t="str">
        <f t="shared" si="678"/>
        <v>UN</v>
      </c>
      <c r="D17197" s="7">
        <v>601</v>
      </c>
      <c r="E17197" s="3">
        <v>8</v>
      </c>
      <c r="F17197" s="3">
        <v>8</v>
      </c>
      <c r="G17197" t="s">
        <v>513</v>
      </c>
    </row>
    <row r="17198" spans="1:7" x14ac:dyDescent="0.25">
      <c r="A17198" s="1" t="str">
        <f>"501100"</f>
        <v>501100</v>
      </c>
      <c r="B17198" s="2" t="str">
        <f>"PARAFUSO DE AJUSTE 22-25A"</f>
        <v>PARAFUSO DE AJUSTE 22-25A</v>
      </c>
      <c r="C17198" s="2" t="str">
        <f t="shared" si="678"/>
        <v>UN</v>
      </c>
      <c r="D17198" s="7">
        <v>601</v>
      </c>
      <c r="E17198" s="3">
        <v>8</v>
      </c>
      <c r="F17198" s="3">
        <v>8</v>
      </c>
      <c r="G17198" t="s">
        <v>514</v>
      </c>
    </row>
    <row r="17199" spans="1:7" x14ac:dyDescent="0.25">
      <c r="A17199" s="1" t="str">
        <f>"501097"</f>
        <v>501097</v>
      </c>
      <c r="B17199" s="2" t="str">
        <f>"PARAFUSO DE AJUSTE 2-6A"</f>
        <v>PARAFUSO DE AJUSTE 2-6A</v>
      </c>
      <c r="C17199" s="2" t="str">
        <f t="shared" si="678"/>
        <v>UN</v>
      </c>
      <c r="D17199" s="7">
        <v>601</v>
      </c>
      <c r="E17199" s="3">
        <v>8</v>
      </c>
      <c r="F17199" s="3">
        <v>8</v>
      </c>
      <c r="G17199" t="s">
        <v>515</v>
      </c>
    </row>
    <row r="17200" spans="1:7" x14ac:dyDescent="0.25">
      <c r="A17200" s="1" t="str">
        <f>"501098"</f>
        <v>501098</v>
      </c>
      <c r="B17200" s="2" t="str">
        <f>"PARAFUSO DE AJUSTE 8-16A"</f>
        <v>PARAFUSO DE AJUSTE 8-16A</v>
      </c>
      <c r="C17200" s="2" t="str">
        <f t="shared" si="678"/>
        <v>UN</v>
      </c>
      <c r="D17200" s="7">
        <v>601</v>
      </c>
      <c r="E17200" s="3">
        <v>8</v>
      </c>
      <c r="F17200" s="3">
        <v>8</v>
      </c>
      <c r="G17200" t="s">
        <v>512</v>
      </c>
    </row>
    <row r="17201" spans="1:7" x14ac:dyDescent="0.25">
      <c r="A17201" s="1" t="str">
        <f>"523216"</f>
        <v>523216</v>
      </c>
      <c r="B17201" s="2" t="str">
        <f>"PARAFUSO DE FENDA 4X25MM INOX"</f>
        <v>PARAFUSO DE FENDA 4X25MM INOX</v>
      </c>
      <c r="C17201" s="2" t="str">
        <f t="shared" si="678"/>
        <v>UN</v>
      </c>
      <c r="D17201" s="7">
        <v>917</v>
      </c>
      <c r="E17201" s="3">
        <v>10</v>
      </c>
      <c r="F17201" s="3">
        <v>10</v>
      </c>
      <c r="G17201" t="s">
        <v>516</v>
      </c>
    </row>
    <row r="17202" spans="1:7" x14ac:dyDescent="0.25">
      <c r="A17202" s="1" t="str">
        <f>"523217"</f>
        <v>523217</v>
      </c>
      <c r="B17202" s="2" t="str">
        <f>"PARAFUSO DE FENDA 6X25MM INOX"</f>
        <v>PARAFUSO DE FENDA 6X25MM INOX</v>
      </c>
      <c r="C17202" s="2" t="str">
        <f t="shared" si="678"/>
        <v>UN</v>
      </c>
      <c r="D17202" s="7">
        <v>917</v>
      </c>
      <c r="E17202" s="3">
        <v>10</v>
      </c>
      <c r="F17202" s="3">
        <v>10</v>
      </c>
      <c r="G17202" t="s">
        <v>515</v>
      </c>
    </row>
    <row r="17203" spans="1:7" x14ac:dyDescent="0.25">
      <c r="A17203" s="1" t="str">
        <f>"501532"</f>
        <v>501532</v>
      </c>
      <c r="B17203" s="2" t="str">
        <f>"PARAFUSO DE RODA"</f>
        <v>PARAFUSO DE RODA</v>
      </c>
      <c r="C17203" s="2" t="str">
        <f t="shared" si="678"/>
        <v>UN</v>
      </c>
      <c r="D17203" s="7">
        <v>704</v>
      </c>
      <c r="E17203" s="3">
        <v>9</v>
      </c>
      <c r="F17203" s="3">
        <v>9</v>
      </c>
      <c r="G17203" t="s">
        <v>514</v>
      </c>
    </row>
    <row r="17204" spans="1:7" x14ac:dyDescent="0.25">
      <c r="A17204" s="1" t="str">
        <f>"505339"</f>
        <v>505339</v>
      </c>
      <c r="B17204" s="2" t="str">
        <f>"PARAFUSO DO BALANCEIRO"</f>
        <v>PARAFUSO DO BALANCEIRO</v>
      </c>
      <c r="C17204" s="2" t="str">
        <f t="shared" si="678"/>
        <v>UN</v>
      </c>
      <c r="D17204" s="7">
        <v>704</v>
      </c>
      <c r="E17204" s="3">
        <v>9</v>
      </c>
      <c r="F17204" s="3">
        <v>9</v>
      </c>
      <c r="G17204" t="s">
        <v>512</v>
      </c>
    </row>
    <row r="17205" spans="1:7" x14ac:dyDescent="0.25">
      <c r="A17205" s="1" t="str">
        <f>"501578"</f>
        <v>501578</v>
      </c>
      <c r="B17205" s="2" t="str">
        <f>"PARAFUSO DO CARDAN 7/16X1 1/2"</f>
        <v>PARAFUSO DO CARDAN 7/16X1 1/2</v>
      </c>
      <c r="C17205" s="2" t="str">
        <f t="shared" si="678"/>
        <v>UN</v>
      </c>
      <c r="D17205" s="7">
        <v>704</v>
      </c>
      <c r="E17205" s="3">
        <v>9</v>
      </c>
      <c r="F17205" s="3">
        <v>9</v>
      </c>
      <c r="G17205" t="s">
        <v>513</v>
      </c>
    </row>
    <row r="17206" spans="1:7" x14ac:dyDescent="0.25">
      <c r="A17206" s="1" t="str">
        <f>"501881"</f>
        <v>501881</v>
      </c>
      <c r="B17206" s="2" t="str">
        <f>"PARAFUSO DO COXIM TRASEIRO"</f>
        <v>PARAFUSO DO COXIM TRASEIRO</v>
      </c>
      <c r="C17206" s="2" t="str">
        <f t="shared" si="678"/>
        <v>UN</v>
      </c>
      <c r="D17206" s="7">
        <v>704</v>
      </c>
      <c r="E17206" s="3">
        <v>9</v>
      </c>
      <c r="F17206" s="3">
        <v>9</v>
      </c>
      <c r="G17206" t="s">
        <v>514</v>
      </c>
    </row>
    <row r="17207" spans="1:7" x14ac:dyDescent="0.25">
      <c r="A17207" s="1" t="str">
        <f>"523299"</f>
        <v>523299</v>
      </c>
      <c r="B17207" s="2" t="str">
        <f>"PARAFUSO ESTOJO A193 B7 A/C BICROMATIZADO DIAM 3/4"" X 3.3/4"""</f>
        <v>PARAFUSO ESTOJO A193 B7 A/C BICROMATIZADO DIAM 3/4" X 3.3/4"</v>
      </c>
      <c r="C17207" s="2" t="str">
        <f t="shared" si="678"/>
        <v>UN</v>
      </c>
      <c r="D17207" s="7">
        <v>914</v>
      </c>
      <c r="E17207" s="3">
        <v>10</v>
      </c>
      <c r="F17207" s="3">
        <v>10</v>
      </c>
      <c r="G17207" t="s">
        <v>514</v>
      </c>
    </row>
    <row r="17208" spans="1:7" x14ac:dyDescent="0.25">
      <c r="A17208" s="1" t="str">
        <f>"523300"</f>
        <v>523300</v>
      </c>
      <c r="B17208" s="2" t="str">
        <f>"PARAFUSO ESTOJO A193 B7 A/C BICROMATIZADO DIAM 3/4"" X 4"""</f>
        <v>PARAFUSO ESTOJO A193 B7 A/C BICROMATIZADO DIAM 3/4" X 4"</v>
      </c>
      <c r="C17208" s="2" t="str">
        <f t="shared" si="678"/>
        <v>UN</v>
      </c>
      <c r="D17208" s="7">
        <v>914</v>
      </c>
      <c r="E17208" s="3">
        <v>10</v>
      </c>
      <c r="F17208" s="3">
        <v>10</v>
      </c>
      <c r="G17208" t="s">
        <v>512</v>
      </c>
    </row>
    <row r="17209" spans="1:7" x14ac:dyDescent="0.25">
      <c r="A17209" s="1" t="str">
        <f>"504983"</f>
        <v>504983</v>
      </c>
      <c r="B17209" s="2" t="str">
        <f>"PARAFUSO EXCENTRICO SUSP PENEUM"</f>
        <v>PARAFUSO EXCENTRICO SUSP PENEUM</v>
      </c>
      <c r="C17209" s="2" t="str">
        <f t="shared" si="678"/>
        <v>UN</v>
      </c>
      <c r="D17209" s="7">
        <v>704</v>
      </c>
      <c r="E17209" s="3">
        <v>9</v>
      </c>
      <c r="F17209" s="3">
        <v>9</v>
      </c>
      <c r="G17209" t="s">
        <v>513</v>
      </c>
    </row>
    <row r="17210" spans="1:7" x14ac:dyDescent="0.25">
      <c r="A17210" s="1" t="str">
        <f>"510695"</f>
        <v>510695</v>
      </c>
      <c r="B17210" s="2" t="str">
        <f>"PARAFUSO EXENTRICO DA SUSPENSAO PNMTICA"</f>
        <v>PARAFUSO EXENTRICO DA SUSPENSAO PNMTICA</v>
      </c>
      <c r="C17210" s="2" t="str">
        <f t="shared" si="678"/>
        <v>UN</v>
      </c>
      <c r="D17210" s="7">
        <v>704</v>
      </c>
      <c r="E17210" s="3">
        <v>9</v>
      </c>
      <c r="F17210" s="3">
        <v>9</v>
      </c>
      <c r="G17210" t="s">
        <v>514</v>
      </c>
    </row>
    <row r="17211" spans="1:7" x14ac:dyDescent="0.25">
      <c r="A17211" s="1" t="str">
        <f>"520272"</f>
        <v>520272</v>
      </c>
      <c r="B17211" s="2" t="str">
        <f>"PARAFUSO FENDA 1/4 X 0,5"</f>
        <v>PARAFUSO FENDA 1/4 X 0,5</v>
      </c>
      <c r="C17211" s="2" t="str">
        <f t="shared" si="678"/>
        <v>UN</v>
      </c>
      <c r="D17211" s="7">
        <v>402</v>
      </c>
      <c r="E17211" s="3">
        <v>4</v>
      </c>
      <c r="F17211" s="3">
        <v>4</v>
      </c>
      <c r="G17211" t="s">
        <v>514</v>
      </c>
    </row>
    <row r="17212" spans="1:7" x14ac:dyDescent="0.25">
      <c r="A17212" s="1" t="str">
        <f>"510122"</f>
        <v>510122</v>
      </c>
      <c r="B17212" s="2" t="str">
        <f>"PARAFUSO FENDA 3/16 X 1 AÇO INOX"</f>
        <v>PARAFUSO FENDA 3/16 X 1 AÇO INOX</v>
      </c>
      <c r="C17212" s="2" t="str">
        <f t="shared" si="678"/>
        <v>UN</v>
      </c>
      <c r="D17212" s="7">
        <v>402</v>
      </c>
      <c r="E17212" s="3">
        <v>4</v>
      </c>
      <c r="F17212" s="3">
        <v>4</v>
      </c>
      <c r="G17212" t="s">
        <v>514</v>
      </c>
    </row>
    <row r="17213" spans="1:7" x14ac:dyDescent="0.25">
      <c r="A17213" s="1" t="str">
        <f>"520269"</f>
        <v>520269</v>
      </c>
      <c r="B17213" s="2" t="str">
        <f>"PARAFUSO FENDA 3/16 X 12"</f>
        <v>PARAFUSO FENDA 3/16 X 12</v>
      </c>
      <c r="C17213" s="2" t="str">
        <f t="shared" si="678"/>
        <v>UN</v>
      </c>
      <c r="D17213" s="7">
        <v>402</v>
      </c>
      <c r="E17213" s="3">
        <v>4</v>
      </c>
      <c r="F17213" s="3">
        <v>4</v>
      </c>
      <c r="G17213" t="s">
        <v>513</v>
      </c>
    </row>
    <row r="17214" spans="1:7" x14ac:dyDescent="0.25">
      <c r="A17214" s="1" t="str">
        <f>"522214"</f>
        <v>522214</v>
      </c>
      <c r="B17214" s="2" t="str">
        <f>"PARAFUSO FENDA C/ PA 4,8 X 38MM"</f>
        <v>PARAFUSO FENDA C/ PA 4,8 X 38MM</v>
      </c>
      <c r="C17214" s="2" t="str">
        <f t="shared" si="678"/>
        <v>UN</v>
      </c>
      <c r="D17214" s="7">
        <v>803</v>
      </c>
      <c r="E17214" s="3">
        <v>10</v>
      </c>
      <c r="F17214" s="3">
        <v>10</v>
      </c>
      <c r="G17214" t="s">
        <v>512</v>
      </c>
    </row>
    <row r="17215" spans="1:7" x14ac:dyDescent="0.25">
      <c r="A17215" s="1" t="str">
        <f>"510066"</f>
        <v>510066</v>
      </c>
      <c r="B17215" s="2" t="str">
        <f>"PARAFUSO FENDA C/PA 4,8X38MM"</f>
        <v>PARAFUSO FENDA C/PA 4,8X38MM</v>
      </c>
      <c r="C17215" s="2" t="str">
        <f>"KG"</f>
        <v>KG</v>
      </c>
      <c r="D17215" s="7">
        <v>800</v>
      </c>
      <c r="E17215" s="3">
        <v>10</v>
      </c>
      <c r="F17215" s="3">
        <v>10</v>
      </c>
      <c r="G17215" t="s">
        <v>513</v>
      </c>
    </row>
    <row r="17216" spans="1:7" x14ac:dyDescent="0.25">
      <c r="A17216" s="1" t="str">
        <f>"520273"</f>
        <v>520273</v>
      </c>
      <c r="B17216" s="2" t="str">
        <f>"PARAFUSO FENDA M6 X 22"</f>
        <v>PARAFUSO FENDA M6 X 22</v>
      </c>
      <c r="C17216" s="2" t="str">
        <f t="shared" ref="C17216:C17247" si="679">"UN"</f>
        <v>UN</v>
      </c>
      <c r="D17216" s="7">
        <v>402</v>
      </c>
      <c r="E17216" s="3">
        <v>4</v>
      </c>
      <c r="F17216" s="3">
        <v>4</v>
      </c>
      <c r="G17216" t="s">
        <v>514</v>
      </c>
    </row>
    <row r="17217" spans="1:7" x14ac:dyDescent="0.25">
      <c r="A17217" s="1" t="str">
        <f>"522225"</f>
        <v>522225</v>
      </c>
      <c r="B17217" s="2" t="str">
        <f>"PARAFUSO FIX PB 12 1/4 14 X 5 P4"</f>
        <v>PARAFUSO FIX PB 12 1/4 14 X 5 P4</v>
      </c>
      <c r="C17217" s="2" t="str">
        <f t="shared" si="679"/>
        <v>UN</v>
      </c>
      <c r="D17217" s="7">
        <v>400</v>
      </c>
      <c r="E17217" s="3">
        <v>4</v>
      </c>
      <c r="F17217" s="3">
        <v>4</v>
      </c>
      <c r="G17217" t="s">
        <v>514</v>
      </c>
    </row>
    <row r="17218" spans="1:7" x14ac:dyDescent="0.25">
      <c r="A17218" s="1" t="str">
        <f>"522223"</f>
        <v>522223</v>
      </c>
      <c r="B17218" s="2" t="str">
        <f>"PARAFUSO FIX PB 12-14 X 1 1/2"" P3"</f>
        <v>PARAFUSO FIX PB 12-14 X 1 1/2" P3</v>
      </c>
      <c r="C17218" s="2" t="str">
        <f t="shared" si="679"/>
        <v>UN</v>
      </c>
      <c r="D17218" s="7">
        <v>400</v>
      </c>
      <c r="E17218" s="3">
        <v>4</v>
      </c>
      <c r="F17218" s="3">
        <v>4</v>
      </c>
      <c r="G17218" t="s">
        <v>514</v>
      </c>
    </row>
    <row r="17219" spans="1:7" x14ac:dyDescent="0.25">
      <c r="A17219" s="1" t="str">
        <f>"522221"</f>
        <v>522221</v>
      </c>
      <c r="B17219" s="2" t="str">
        <f>"PARAFUSO FIX PB 12-14 X 1"" P3"</f>
        <v>PARAFUSO FIX PB 12-14 X 1" P3</v>
      </c>
      <c r="C17219" s="2" t="str">
        <f t="shared" si="679"/>
        <v>UN</v>
      </c>
      <c r="D17219" s="7">
        <v>400</v>
      </c>
      <c r="E17219" s="3">
        <v>4</v>
      </c>
      <c r="F17219" s="3">
        <v>4</v>
      </c>
      <c r="G17219" t="s">
        <v>513</v>
      </c>
    </row>
    <row r="17220" spans="1:7" x14ac:dyDescent="0.25">
      <c r="A17220" s="1" t="str">
        <f>"502826"</f>
        <v>502826</v>
      </c>
      <c r="B17220" s="2" t="str">
        <f>"PARAFUSO FLAGEADO"</f>
        <v>PARAFUSO FLAGEADO</v>
      </c>
      <c r="C17220" s="2" t="str">
        <f t="shared" si="679"/>
        <v>UN</v>
      </c>
      <c r="D17220" s="7">
        <v>704</v>
      </c>
      <c r="E17220" s="3">
        <v>9</v>
      </c>
      <c r="F17220" s="3">
        <v>9</v>
      </c>
      <c r="G17220" t="s">
        <v>513</v>
      </c>
    </row>
    <row r="17221" spans="1:7" x14ac:dyDescent="0.25">
      <c r="A17221" s="1" t="str">
        <f>"505085"</f>
        <v>505085</v>
      </c>
      <c r="B17221" s="2" t="str">
        <f>"PARAFUSO FORRO 4.2 X 13 AUTO BROCANTE"</f>
        <v>PARAFUSO FORRO 4.2 X 13 AUTO BROCANTE</v>
      </c>
      <c r="C17221" s="2" t="str">
        <f t="shared" si="679"/>
        <v>UN</v>
      </c>
      <c r="D17221" s="7">
        <v>704</v>
      </c>
      <c r="E17221" s="3">
        <v>9</v>
      </c>
      <c r="F17221" s="3">
        <v>9</v>
      </c>
      <c r="G17221" t="s">
        <v>513</v>
      </c>
    </row>
    <row r="17222" spans="1:7" x14ac:dyDescent="0.25">
      <c r="A17222" s="1" t="str">
        <f>"509606"</f>
        <v>509606</v>
      </c>
      <c r="B17222" s="2" t="str">
        <f>"PARAFUSO FRANCES 1/4 X 3 1/2"</f>
        <v>PARAFUSO FRANCES 1/4 X 3 1/2</v>
      </c>
      <c r="C17222" s="2" t="str">
        <f t="shared" si="679"/>
        <v>UN</v>
      </c>
      <c r="D17222" s="7">
        <v>918</v>
      </c>
      <c r="E17222" s="3">
        <v>11</v>
      </c>
      <c r="F17222" s="3">
        <v>11</v>
      </c>
      <c r="G17222" t="s">
        <v>512</v>
      </c>
    </row>
    <row r="17223" spans="1:7" x14ac:dyDescent="0.25">
      <c r="A17223" s="1" t="str">
        <f>"503035"</f>
        <v>503035</v>
      </c>
      <c r="B17223" s="2" t="str">
        <f>"PARAFUSO FRANCES 3/8 X 10"""</f>
        <v>PARAFUSO FRANCES 3/8 X 10"</v>
      </c>
      <c r="C17223" s="2" t="str">
        <f t="shared" si="679"/>
        <v>UN</v>
      </c>
      <c r="D17223" s="7">
        <v>402</v>
      </c>
      <c r="E17223" s="3">
        <v>4</v>
      </c>
      <c r="F17223" s="3">
        <v>4</v>
      </c>
      <c r="G17223" t="s">
        <v>513</v>
      </c>
    </row>
    <row r="17224" spans="1:7" x14ac:dyDescent="0.25">
      <c r="A17224" s="1" t="str">
        <f>"518805"</f>
        <v>518805</v>
      </c>
      <c r="B17224" s="2" t="str">
        <f>"PARAFUSO FRANCES 3/8"" X 3"""</f>
        <v>PARAFUSO FRANCES 3/8" X 3"</v>
      </c>
      <c r="C17224" s="2" t="str">
        <f t="shared" si="679"/>
        <v>UN</v>
      </c>
      <c r="D17224" s="7">
        <v>402</v>
      </c>
      <c r="E17224" s="3">
        <v>4</v>
      </c>
      <c r="F17224" s="3">
        <v>4</v>
      </c>
      <c r="G17224" t="s">
        <v>514</v>
      </c>
    </row>
    <row r="17225" spans="1:7" x14ac:dyDescent="0.25">
      <c r="A17225" s="1" t="str">
        <f>"503036"</f>
        <v>503036</v>
      </c>
      <c r="B17225" s="2" t="str">
        <f>"PARAFUSO FRANCES 3/8"" X 6"""</f>
        <v>PARAFUSO FRANCES 3/8" X 6"</v>
      </c>
      <c r="C17225" s="2" t="str">
        <f t="shared" si="679"/>
        <v>UN</v>
      </c>
      <c r="D17225" s="7">
        <v>402</v>
      </c>
      <c r="E17225" s="3">
        <v>4</v>
      </c>
      <c r="F17225" s="3">
        <v>4</v>
      </c>
      <c r="G17225" t="s">
        <v>515</v>
      </c>
    </row>
    <row r="17226" spans="1:7" x14ac:dyDescent="0.25">
      <c r="A17226" s="1" t="str">
        <f>"519547"</f>
        <v>519547</v>
      </c>
      <c r="B17226" s="2" t="str">
        <f>"PARAFUSO FRB-D-MINI 159642"</f>
        <v>PARAFUSO FRB-D-MINI 159642</v>
      </c>
      <c r="C17226" s="2" t="str">
        <f t="shared" si="679"/>
        <v>UN</v>
      </c>
      <c r="D17226" s="7">
        <v>913</v>
      </c>
      <c r="E17226" s="3">
        <v>11</v>
      </c>
      <c r="F17226" s="3">
        <v>11</v>
      </c>
      <c r="G17226" t="s">
        <v>512</v>
      </c>
    </row>
    <row r="17227" spans="1:7" x14ac:dyDescent="0.25">
      <c r="A17227" s="1" t="str">
        <f>"509225"</f>
        <v>509225</v>
      </c>
      <c r="B17227" s="2" t="str">
        <f>"PARAFUSO FREIO DATADOR M10"</f>
        <v>PARAFUSO FREIO DATADOR M10</v>
      </c>
      <c r="C17227" s="2" t="str">
        <f t="shared" si="679"/>
        <v>UN</v>
      </c>
      <c r="D17227" s="7">
        <v>918</v>
      </c>
      <c r="E17227" s="3">
        <v>11</v>
      </c>
      <c r="F17227" s="3">
        <v>11</v>
      </c>
      <c r="G17227" t="s">
        <v>516</v>
      </c>
    </row>
    <row r="17228" spans="1:7" x14ac:dyDescent="0.25">
      <c r="A17228" s="1" t="str">
        <f>"510705"</f>
        <v>510705</v>
      </c>
      <c r="B17228" s="2" t="str">
        <f>"PARAFUSO GALVANIZADO 3/8 X 3/4"</f>
        <v>PARAFUSO GALVANIZADO 3/8 X 3/4</v>
      </c>
      <c r="C17228" s="2" t="str">
        <f t="shared" si="679"/>
        <v>UN</v>
      </c>
      <c r="D17228" s="7">
        <v>918</v>
      </c>
      <c r="E17228" s="3">
        <v>11</v>
      </c>
      <c r="F17228" s="3">
        <v>11</v>
      </c>
      <c r="G17228" t="s">
        <v>515</v>
      </c>
    </row>
    <row r="17229" spans="1:7" x14ac:dyDescent="0.25">
      <c r="A17229" s="1" t="str">
        <f>"502791"</f>
        <v>502791</v>
      </c>
      <c r="B17229" s="2" t="str">
        <f>"PARAFUSO GUIA COD.196216-03 BRASKOP 1000"</f>
        <v>PARAFUSO GUIA COD.196216-03 BRASKOP 1000</v>
      </c>
      <c r="C17229" s="2" t="str">
        <f t="shared" si="679"/>
        <v>UN</v>
      </c>
      <c r="D17229" s="7">
        <v>918</v>
      </c>
      <c r="E17229" s="3">
        <v>11</v>
      </c>
      <c r="F17229" s="3">
        <v>11</v>
      </c>
      <c r="G17229" t="s">
        <v>514</v>
      </c>
    </row>
    <row r="17230" spans="1:7" x14ac:dyDescent="0.25">
      <c r="A17230" s="1" t="str">
        <f>"506857"</f>
        <v>506857</v>
      </c>
      <c r="B17230" s="2" t="str">
        <f>"PARAFUSO INOX 1/4X1'"</f>
        <v>PARAFUSO INOX 1/4X1'</v>
      </c>
      <c r="C17230" s="2" t="str">
        <f t="shared" si="679"/>
        <v>UN</v>
      </c>
      <c r="D17230" s="7">
        <v>402</v>
      </c>
      <c r="E17230" s="3">
        <v>4</v>
      </c>
      <c r="F17230" s="3">
        <v>4</v>
      </c>
      <c r="G17230" t="s">
        <v>512</v>
      </c>
    </row>
    <row r="17231" spans="1:7" x14ac:dyDescent="0.25">
      <c r="A17231" s="1" t="str">
        <f>"509684"</f>
        <v>509684</v>
      </c>
      <c r="B17231" s="2" t="str">
        <f>"PARAFUSO INOX 1/8"" X 19MM"</f>
        <v>PARAFUSO INOX 1/8" X 19MM</v>
      </c>
      <c r="C17231" s="2" t="str">
        <f t="shared" si="679"/>
        <v>UN</v>
      </c>
      <c r="D17231" s="7">
        <v>402</v>
      </c>
      <c r="E17231" s="3">
        <v>4</v>
      </c>
      <c r="F17231" s="3">
        <v>4</v>
      </c>
      <c r="G17231" t="s">
        <v>513</v>
      </c>
    </row>
    <row r="17232" spans="1:7" x14ac:dyDescent="0.25">
      <c r="A17232" s="1" t="str">
        <f>"506851"</f>
        <v>506851</v>
      </c>
      <c r="B17232" s="2" t="str">
        <f>"PARAFUSO INOX 3/16X1/2"</f>
        <v>PARAFUSO INOX 3/16X1/2</v>
      </c>
      <c r="C17232" s="2" t="str">
        <f t="shared" si="679"/>
        <v>UN</v>
      </c>
      <c r="D17232" s="7">
        <v>402</v>
      </c>
      <c r="E17232" s="3">
        <v>4</v>
      </c>
      <c r="F17232" s="3">
        <v>4</v>
      </c>
      <c r="G17232" t="s">
        <v>514</v>
      </c>
    </row>
    <row r="17233" spans="1:7" x14ac:dyDescent="0.25">
      <c r="A17233" s="1" t="str">
        <f>"506841"</f>
        <v>506841</v>
      </c>
      <c r="B17233" s="2" t="str">
        <f>"PARAFUSO INOX 3/8X2'"</f>
        <v>PARAFUSO INOX 3/8X2'</v>
      </c>
      <c r="C17233" s="2" t="str">
        <f t="shared" si="679"/>
        <v>UN</v>
      </c>
      <c r="D17233" s="7">
        <v>402</v>
      </c>
      <c r="E17233" s="3">
        <v>4</v>
      </c>
      <c r="F17233" s="3">
        <v>4</v>
      </c>
      <c r="G17233" t="s">
        <v>514</v>
      </c>
    </row>
    <row r="17234" spans="1:7" x14ac:dyDescent="0.25">
      <c r="A17234" s="1" t="str">
        <f>"506839"</f>
        <v>506839</v>
      </c>
      <c r="B17234" s="2" t="str">
        <f>"PARAFUSO INOX 5/16X1"</f>
        <v>PARAFUSO INOX 5/16X1</v>
      </c>
      <c r="C17234" s="2" t="str">
        <f t="shared" si="679"/>
        <v>UN</v>
      </c>
      <c r="D17234" s="7">
        <v>402</v>
      </c>
      <c r="E17234" s="3">
        <v>4</v>
      </c>
      <c r="F17234" s="3">
        <v>4</v>
      </c>
      <c r="G17234" t="s">
        <v>512</v>
      </c>
    </row>
    <row r="17235" spans="1:7" x14ac:dyDescent="0.25">
      <c r="A17235" s="1" t="str">
        <f>"506911"</f>
        <v>506911</v>
      </c>
      <c r="B17235" s="2" t="str">
        <f>"PARAFUSO INOX 5/16X1'"</f>
        <v>PARAFUSO INOX 5/16X1'</v>
      </c>
      <c r="C17235" s="2" t="str">
        <f t="shared" si="679"/>
        <v>UN</v>
      </c>
      <c r="D17235" s="7">
        <v>402</v>
      </c>
      <c r="E17235" s="3">
        <v>4</v>
      </c>
      <c r="F17235" s="3">
        <v>4</v>
      </c>
      <c r="G17235" t="s">
        <v>513</v>
      </c>
    </row>
    <row r="17236" spans="1:7" x14ac:dyDescent="0.25">
      <c r="A17236" s="1" t="str">
        <f>"513934"</f>
        <v>513934</v>
      </c>
      <c r="B17236" s="2" t="str">
        <f>"PARAFUSO INOX ALLEN M4 X 25MM"</f>
        <v>PARAFUSO INOX ALLEN M4 X 25MM</v>
      </c>
      <c r="C17236" s="2" t="str">
        <f t="shared" si="679"/>
        <v>UN</v>
      </c>
      <c r="D17236" s="7">
        <v>99999</v>
      </c>
      <c r="E17236" s="3">
        <v>99</v>
      </c>
      <c r="F17236" s="3">
        <v>99</v>
      </c>
      <c r="G17236" t="s">
        <v>514</v>
      </c>
    </row>
    <row r="17237" spans="1:7" x14ac:dyDescent="0.25">
      <c r="A17237" s="1" t="str">
        <f>"524255"</f>
        <v>524255</v>
      </c>
      <c r="B17237" s="2" t="str">
        <f>"PARAFUSO INOX ALLEN M5X35 P/ HCA"</f>
        <v>PARAFUSO INOX ALLEN M5X35 P/ HCA</v>
      </c>
      <c r="C17237" s="2" t="str">
        <f t="shared" si="679"/>
        <v>UN</v>
      </c>
      <c r="D17237" s="7">
        <v>402</v>
      </c>
      <c r="E17237" s="3">
        <v>4</v>
      </c>
      <c r="F17237" s="3">
        <v>4</v>
      </c>
      <c r="G17237" t="s">
        <v>514</v>
      </c>
    </row>
    <row r="17238" spans="1:7" x14ac:dyDescent="0.25">
      <c r="A17238" s="1" t="str">
        <f>"508890"</f>
        <v>508890</v>
      </c>
      <c r="B17238" s="2" t="str">
        <f>"PARAFUSO INOX BUJAO M4 X 25MM"</f>
        <v>PARAFUSO INOX BUJAO M4 X 25MM</v>
      </c>
      <c r="C17238" s="2" t="str">
        <f t="shared" si="679"/>
        <v>UN</v>
      </c>
      <c r="D17238" s="7">
        <v>402</v>
      </c>
      <c r="E17238" s="3">
        <v>4</v>
      </c>
      <c r="F17238" s="3">
        <v>4</v>
      </c>
      <c r="G17238" t="s">
        <v>514</v>
      </c>
    </row>
    <row r="17239" spans="1:7" x14ac:dyDescent="0.25">
      <c r="A17239" s="1" t="str">
        <f>"516557"</f>
        <v>516557</v>
      </c>
      <c r="B17239" s="2" t="str">
        <f>"PARAFUSO INOX CONICO FENDA 1/4"" X 3/8"""</f>
        <v>PARAFUSO INOX CONICO FENDA 1/4" X 3/8"</v>
      </c>
      <c r="C17239" s="2" t="str">
        <f t="shared" si="679"/>
        <v>UN</v>
      </c>
      <c r="D17239" s="7">
        <v>800</v>
      </c>
      <c r="E17239" s="3">
        <v>10</v>
      </c>
      <c r="F17239" s="3">
        <v>10</v>
      </c>
      <c r="G17239" t="s">
        <v>513</v>
      </c>
    </row>
    <row r="17240" spans="1:7" x14ac:dyDescent="0.25">
      <c r="A17240" s="1" t="str">
        <f>"506910"</f>
        <v>506910</v>
      </c>
      <c r="B17240" s="2" t="str">
        <f>"PARAFUSO INOX M10X2,5"</f>
        <v>PARAFUSO INOX M10X2,5</v>
      </c>
      <c r="C17240" s="2" t="str">
        <f t="shared" si="679"/>
        <v>UN</v>
      </c>
      <c r="D17240" s="7">
        <v>402</v>
      </c>
      <c r="E17240" s="3">
        <v>4</v>
      </c>
      <c r="F17240" s="3">
        <v>4</v>
      </c>
      <c r="G17240" t="s">
        <v>512</v>
      </c>
    </row>
    <row r="17241" spans="1:7" x14ac:dyDescent="0.25">
      <c r="A17241" s="1" t="str">
        <f>"506837"</f>
        <v>506837</v>
      </c>
      <c r="B17241" s="2" t="str">
        <f>"PARAFUSO INOX M5X25"</f>
        <v>PARAFUSO INOX M5X25</v>
      </c>
      <c r="C17241" s="2" t="str">
        <f t="shared" si="679"/>
        <v>UN</v>
      </c>
      <c r="D17241" s="7">
        <v>402</v>
      </c>
      <c r="E17241" s="3">
        <v>4</v>
      </c>
      <c r="F17241" s="3">
        <v>4</v>
      </c>
      <c r="G17241" t="s">
        <v>513</v>
      </c>
    </row>
    <row r="17242" spans="1:7" x14ac:dyDescent="0.25">
      <c r="A17242" s="1" t="str">
        <f>"506836"</f>
        <v>506836</v>
      </c>
      <c r="B17242" s="2" t="str">
        <f>"PARAFUSO INOX M6X20"</f>
        <v>PARAFUSO INOX M6X20</v>
      </c>
      <c r="C17242" s="2" t="str">
        <f t="shared" si="679"/>
        <v>UN</v>
      </c>
      <c r="D17242" s="7">
        <v>402</v>
      </c>
      <c r="E17242" s="3">
        <v>4</v>
      </c>
      <c r="F17242" s="3">
        <v>4</v>
      </c>
      <c r="G17242" t="s">
        <v>514</v>
      </c>
    </row>
    <row r="17243" spans="1:7" x14ac:dyDescent="0.25">
      <c r="A17243" s="1" t="str">
        <f>"506907"</f>
        <v>506907</v>
      </c>
      <c r="B17243" s="2" t="str">
        <f>"PARAFUSO INOX M6X70MM - ROSCA TOTAL"</f>
        <v>PARAFUSO INOX M6X70MM - ROSCA TOTAL</v>
      </c>
      <c r="C17243" s="2" t="str">
        <f t="shared" si="679"/>
        <v>UN</v>
      </c>
      <c r="D17243" s="7">
        <v>402</v>
      </c>
      <c r="E17243" s="3">
        <v>4</v>
      </c>
      <c r="F17243" s="3">
        <v>4</v>
      </c>
      <c r="G17243" t="s">
        <v>514</v>
      </c>
    </row>
    <row r="17244" spans="1:7" x14ac:dyDescent="0.25">
      <c r="A17244" s="1" t="str">
        <f>"502431"</f>
        <v>502431</v>
      </c>
      <c r="B17244" s="2" t="str">
        <f>"PARAFUSO INOX S/ CABECA 1/4X1/2"""</f>
        <v>PARAFUSO INOX S/ CABECA 1/4X1/2"</v>
      </c>
      <c r="C17244" s="2" t="str">
        <f t="shared" si="679"/>
        <v>UN</v>
      </c>
      <c r="D17244" s="7">
        <v>402</v>
      </c>
      <c r="E17244" s="3">
        <v>4</v>
      </c>
      <c r="F17244" s="3">
        <v>4</v>
      </c>
      <c r="G17244" t="s">
        <v>514</v>
      </c>
    </row>
    <row r="17245" spans="1:7" x14ac:dyDescent="0.25">
      <c r="A17245" s="1" t="str">
        <f>"502430"</f>
        <v>502430</v>
      </c>
      <c r="B17245" s="2" t="str">
        <f>"PARAFUSO INOX S/ CABECA 1/8X1/2"""</f>
        <v>PARAFUSO INOX S/ CABECA 1/8X1/2"</v>
      </c>
      <c r="C17245" s="2" t="str">
        <f t="shared" si="679"/>
        <v>UN</v>
      </c>
      <c r="D17245" s="7">
        <v>402</v>
      </c>
      <c r="E17245" s="3">
        <v>4</v>
      </c>
      <c r="F17245" s="3">
        <v>4</v>
      </c>
      <c r="G17245" t="s">
        <v>513</v>
      </c>
    </row>
    <row r="17246" spans="1:7" x14ac:dyDescent="0.25">
      <c r="A17246" s="1" t="str">
        <f>"502432"</f>
        <v>502432</v>
      </c>
      <c r="B17246" s="2" t="str">
        <f>"PARAFUSO INOX S/ CABECA 5/16X1/2"""</f>
        <v>PARAFUSO INOX S/ CABECA 5/16X1/2"</v>
      </c>
      <c r="C17246" s="2" t="str">
        <f t="shared" si="679"/>
        <v>UN</v>
      </c>
      <c r="D17246" s="7">
        <v>402</v>
      </c>
      <c r="E17246" s="3">
        <v>4</v>
      </c>
      <c r="F17246" s="3">
        <v>4</v>
      </c>
      <c r="G17246" t="s">
        <v>513</v>
      </c>
    </row>
    <row r="17247" spans="1:7" x14ac:dyDescent="0.25">
      <c r="A17247" s="1" t="str">
        <f>"512303"</f>
        <v>512303</v>
      </c>
      <c r="B17247" s="2" t="str">
        <f>"PARAFUSO INOX S/ CABECA M10X15MM"</f>
        <v>PARAFUSO INOX S/ CABECA M10X15MM</v>
      </c>
      <c r="C17247" s="2" t="str">
        <f t="shared" si="679"/>
        <v>UN</v>
      </c>
      <c r="D17247" s="7">
        <v>918</v>
      </c>
      <c r="E17247" s="3">
        <v>11</v>
      </c>
      <c r="F17247" s="3">
        <v>11</v>
      </c>
      <c r="G17247" t="s">
        <v>513</v>
      </c>
    </row>
    <row r="17248" spans="1:7" x14ac:dyDescent="0.25">
      <c r="A17248" s="1" t="str">
        <f>"502434"</f>
        <v>502434</v>
      </c>
      <c r="B17248" s="2" t="str">
        <f>"PARAFUSO INOX S/ CABECA M4X10MM"</f>
        <v>PARAFUSO INOX S/ CABECA M4X10MM</v>
      </c>
      <c r="C17248" s="2" t="str">
        <f t="shared" ref="C17248:C17279" si="680">"UN"</f>
        <v>UN</v>
      </c>
      <c r="D17248" s="7">
        <v>918</v>
      </c>
      <c r="E17248" s="3">
        <v>10</v>
      </c>
      <c r="F17248" s="3">
        <v>10</v>
      </c>
      <c r="G17248" t="s">
        <v>512</v>
      </c>
    </row>
    <row r="17249" spans="1:7" x14ac:dyDescent="0.25">
      <c r="A17249" s="1" t="str">
        <f>"502427"</f>
        <v>502427</v>
      </c>
      <c r="B17249" s="2" t="str">
        <f>"PARAFUSO INOX S/ CABECA M5X10MM"</f>
        <v>PARAFUSO INOX S/ CABECA M5X10MM</v>
      </c>
      <c r="C17249" s="2" t="str">
        <f t="shared" si="680"/>
        <v>UN</v>
      </c>
      <c r="D17249" s="7">
        <v>402</v>
      </c>
      <c r="E17249" s="3">
        <v>4</v>
      </c>
      <c r="F17249" s="3">
        <v>4</v>
      </c>
      <c r="G17249" t="s">
        <v>513</v>
      </c>
    </row>
    <row r="17250" spans="1:7" x14ac:dyDescent="0.25">
      <c r="A17250" s="1" t="str">
        <f>"502428"</f>
        <v>502428</v>
      </c>
      <c r="B17250" s="2" t="str">
        <f>"PARAFUSO INOX S/ CABECA M6X10MM"</f>
        <v>PARAFUSO INOX S/ CABECA M6X10MM</v>
      </c>
      <c r="C17250" s="2" t="str">
        <f t="shared" si="680"/>
        <v>UN</v>
      </c>
      <c r="D17250" s="7">
        <v>402</v>
      </c>
      <c r="E17250" s="3">
        <v>4</v>
      </c>
      <c r="F17250" s="3">
        <v>4</v>
      </c>
      <c r="G17250" t="s">
        <v>514</v>
      </c>
    </row>
    <row r="17251" spans="1:7" x14ac:dyDescent="0.25">
      <c r="A17251" s="1" t="str">
        <f>"525459"</f>
        <v>525459</v>
      </c>
      <c r="B17251" s="2" t="str">
        <f>"PARAFUSO INOX S/ CABECA M6X50MM"</f>
        <v>PARAFUSO INOX S/ CABECA M6X50MM</v>
      </c>
      <c r="C17251" s="2" t="str">
        <f t="shared" si="680"/>
        <v>UN</v>
      </c>
      <c r="D17251" s="7">
        <v>403</v>
      </c>
      <c r="E17251" s="3">
        <v>4</v>
      </c>
      <c r="F17251" s="3">
        <v>4</v>
      </c>
      <c r="G17251" t="s">
        <v>515</v>
      </c>
    </row>
    <row r="17252" spans="1:7" x14ac:dyDescent="0.25">
      <c r="A17252" s="1" t="str">
        <f>"502429"</f>
        <v>502429</v>
      </c>
      <c r="B17252" s="2" t="str">
        <f>"PARAFUSO INOX S/ CABECA M8X10MM"</f>
        <v>PARAFUSO INOX S/ CABECA M8X10MM</v>
      </c>
      <c r="C17252" s="2" t="str">
        <f t="shared" si="680"/>
        <v>UN</v>
      </c>
      <c r="D17252" s="7">
        <v>403</v>
      </c>
      <c r="E17252" s="3">
        <v>4</v>
      </c>
      <c r="F17252" s="3">
        <v>4</v>
      </c>
      <c r="G17252" t="s">
        <v>512</v>
      </c>
    </row>
    <row r="17253" spans="1:7" x14ac:dyDescent="0.25">
      <c r="A17253" s="1" t="str">
        <f>"511171"</f>
        <v>511171</v>
      </c>
      <c r="B17253" s="2" t="str">
        <f>"PARAFUSO INOX S/ CABEÇA M8X45MM"</f>
        <v>PARAFUSO INOX S/ CABEÇA M8X45MM</v>
      </c>
      <c r="C17253" s="2" t="str">
        <f t="shared" si="680"/>
        <v>UN</v>
      </c>
      <c r="D17253" s="7">
        <v>918</v>
      </c>
      <c r="E17253" s="3">
        <v>11</v>
      </c>
      <c r="F17253" s="3">
        <v>11</v>
      </c>
      <c r="G17253" t="s">
        <v>516</v>
      </c>
    </row>
    <row r="17254" spans="1:7" x14ac:dyDescent="0.25">
      <c r="A17254" s="1" t="str">
        <f>"525460"</f>
        <v>525460</v>
      </c>
      <c r="B17254" s="2" t="str">
        <f>"PARAFUSO INOX SEXTAVADO M8X120"</f>
        <v>PARAFUSO INOX SEXTAVADO M8X120</v>
      </c>
      <c r="C17254" s="2" t="str">
        <f t="shared" si="680"/>
        <v>UN</v>
      </c>
      <c r="D17254" s="7">
        <v>403</v>
      </c>
      <c r="E17254" s="3">
        <v>4</v>
      </c>
      <c r="F17254" s="3">
        <v>4</v>
      </c>
      <c r="G17254" t="s">
        <v>515</v>
      </c>
    </row>
    <row r="17255" spans="1:7" x14ac:dyDescent="0.25">
      <c r="A17255" s="1" t="str">
        <f>"511287"</f>
        <v>511287</v>
      </c>
      <c r="B17255" s="2" t="str">
        <f>"PARAFUSO LATAO 1/2 X 1 1/2"""</f>
        <v>PARAFUSO LATAO 1/2 X 1 1/2"</v>
      </c>
      <c r="C17255" s="2" t="str">
        <f t="shared" si="680"/>
        <v>UN</v>
      </c>
      <c r="D17255" s="7">
        <v>600</v>
      </c>
      <c r="E17255" s="3">
        <v>8</v>
      </c>
      <c r="F17255" s="3">
        <v>8</v>
      </c>
      <c r="G17255" t="s">
        <v>514</v>
      </c>
    </row>
    <row r="17256" spans="1:7" x14ac:dyDescent="0.25">
      <c r="A17256" s="1" t="str">
        <f>"509793"</f>
        <v>509793</v>
      </c>
      <c r="B17256" s="2" t="str">
        <f>"PARAFUSO LATAO 1/2 X 1"""</f>
        <v>PARAFUSO LATAO 1/2 X 1"</v>
      </c>
      <c r="C17256" s="2" t="str">
        <f t="shared" si="680"/>
        <v>UN</v>
      </c>
      <c r="D17256" s="7">
        <v>918</v>
      </c>
      <c r="E17256" s="3">
        <v>11</v>
      </c>
      <c r="F17256" s="3">
        <v>11</v>
      </c>
      <c r="G17256" t="s">
        <v>512</v>
      </c>
    </row>
    <row r="17257" spans="1:7" x14ac:dyDescent="0.25">
      <c r="A17257" s="1" t="str">
        <f>"511745"</f>
        <v>511745</v>
      </c>
      <c r="B17257" s="2" t="str">
        <f>"PARAFUSO LATAO 1/2 X 2"""</f>
        <v>PARAFUSO LATAO 1/2 X 2"</v>
      </c>
      <c r="C17257" s="2" t="str">
        <f t="shared" si="680"/>
        <v>UN</v>
      </c>
      <c r="D17257" s="7">
        <v>600</v>
      </c>
      <c r="E17257" s="3">
        <v>8</v>
      </c>
      <c r="F17257" s="3">
        <v>8</v>
      </c>
      <c r="G17257" t="s">
        <v>513</v>
      </c>
    </row>
    <row r="17258" spans="1:7" x14ac:dyDescent="0.25">
      <c r="A17258" s="1" t="str">
        <f>"509670"</f>
        <v>509670</v>
      </c>
      <c r="B17258" s="2" t="str">
        <f>"PARAFUSO LATAO 1/4 X 1/2"""</f>
        <v>PARAFUSO LATAO 1/4 X 1/2"</v>
      </c>
      <c r="C17258" s="2" t="str">
        <f t="shared" si="680"/>
        <v>UN</v>
      </c>
      <c r="D17258" s="7">
        <v>402</v>
      </c>
      <c r="E17258" s="3">
        <v>4</v>
      </c>
      <c r="F17258" s="3">
        <v>4</v>
      </c>
      <c r="G17258" t="s">
        <v>514</v>
      </c>
    </row>
    <row r="17259" spans="1:7" x14ac:dyDescent="0.25">
      <c r="A17259" s="1" t="str">
        <f>"505888"</f>
        <v>505888</v>
      </c>
      <c r="B17259" s="2" t="str">
        <f>"PARAFUSO LATAO 1/4"" X 1"""</f>
        <v>PARAFUSO LATAO 1/4" X 1"</v>
      </c>
      <c r="C17259" s="2" t="str">
        <f t="shared" si="680"/>
        <v>UN</v>
      </c>
      <c r="D17259" s="7">
        <v>99999</v>
      </c>
      <c r="E17259" s="3">
        <v>99</v>
      </c>
      <c r="F17259" s="3">
        <v>99</v>
      </c>
      <c r="G17259" t="s">
        <v>514</v>
      </c>
    </row>
    <row r="17260" spans="1:7" x14ac:dyDescent="0.25">
      <c r="A17260" s="1" t="str">
        <f>"505532"</f>
        <v>505532</v>
      </c>
      <c r="B17260" s="2" t="str">
        <f>"PARAFUSO LATAO 3/16"" X 1"""</f>
        <v>PARAFUSO LATAO 3/16" X 1"</v>
      </c>
      <c r="C17260" s="2" t="str">
        <f t="shared" si="680"/>
        <v>UN</v>
      </c>
      <c r="D17260" s="7">
        <v>99999</v>
      </c>
      <c r="E17260" s="3">
        <v>99</v>
      </c>
      <c r="F17260" s="3">
        <v>99</v>
      </c>
      <c r="G17260" t="s">
        <v>512</v>
      </c>
    </row>
    <row r="17261" spans="1:7" x14ac:dyDescent="0.25">
      <c r="A17261" s="1" t="str">
        <f>"505534"</f>
        <v>505534</v>
      </c>
      <c r="B17261" s="2" t="str">
        <f>"PARAFUSO LATAO 3/16"" X 1/2"""</f>
        <v>PARAFUSO LATAO 3/16" X 1/2"</v>
      </c>
      <c r="C17261" s="2" t="str">
        <f t="shared" si="680"/>
        <v>UN</v>
      </c>
      <c r="D17261" s="7">
        <v>811</v>
      </c>
      <c r="E17261" s="3">
        <v>8</v>
      </c>
      <c r="F17261" s="3">
        <v>8</v>
      </c>
      <c r="G17261" t="s">
        <v>513</v>
      </c>
    </row>
    <row r="17262" spans="1:7" x14ac:dyDescent="0.25">
      <c r="A17262" s="1" t="str">
        <f>"518941"</f>
        <v>518941</v>
      </c>
      <c r="B17262" s="2" t="str">
        <f>"PARAFUSO LATAO 3/16"" X 3/4"""</f>
        <v>PARAFUSO LATAO 3/16" X 3/4"</v>
      </c>
      <c r="C17262" s="2" t="str">
        <f t="shared" si="680"/>
        <v>UN</v>
      </c>
      <c r="D17262" s="7">
        <v>99999</v>
      </c>
      <c r="E17262" s="3">
        <v>99</v>
      </c>
      <c r="F17262" s="3">
        <v>99</v>
      </c>
      <c r="G17262" t="s">
        <v>514</v>
      </c>
    </row>
    <row r="17263" spans="1:7" x14ac:dyDescent="0.25">
      <c r="A17263" s="1" t="str">
        <f>"517134"</f>
        <v>517134</v>
      </c>
      <c r="B17263" s="2" t="str">
        <f>"PARAFUSO LATAO 3/8 X 1 1/2"""</f>
        <v>PARAFUSO LATAO 3/8 X 1 1/2"</v>
      </c>
      <c r="C17263" s="2" t="str">
        <f t="shared" si="680"/>
        <v>UN</v>
      </c>
      <c r="D17263" s="7">
        <v>811</v>
      </c>
      <c r="E17263" s="3">
        <v>8</v>
      </c>
      <c r="F17263" s="3">
        <v>8</v>
      </c>
      <c r="G17263" t="s">
        <v>514</v>
      </c>
    </row>
    <row r="17264" spans="1:7" x14ac:dyDescent="0.25">
      <c r="A17264" s="1" t="str">
        <f>"509822"</f>
        <v>509822</v>
      </c>
      <c r="B17264" s="2" t="str">
        <f>"PARAFUSO LATAO 3/8 X 1"""</f>
        <v>PARAFUSO LATAO 3/8 X 1"</v>
      </c>
      <c r="C17264" s="2" t="str">
        <f t="shared" si="680"/>
        <v>UN</v>
      </c>
      <c r="D17264" s="7">
        <v>99999</v>
      </c>
      <c r="E17264" s="3">
        <v>99</v>
      </c>
      <c r="F17264" s="3">
        <v>99</v>
      </c>
      <c r="G17264" t="s">
        <v>514</v>
      </c>
    </row>
    <row r="17265" spans="1:7" x14ac:dyDescent="0.25">
      <c r="A17265" s="1" t="str">
        <f>"509823"</f>
        <v>509823</v>
      </c>
      <c r="B17265" s="2" t="str">
        <f>"PARAFUSO LATAO 5/16 X 1"""</f>
        <v>PARAFUSO LATAO 5/16 X 1"</v>
      </c>
      <c r="C17265" s="2" t="str">
        <f t="shared" si="680"/>
        <v>UN</v>
      </c>
      <c r="D17265" s="7">
        <v>99999</v>
      </c>
      <c r="E17265" s="3">
        <v>99</v>
      </c>
      <c r="F17265" s="3">
        <v>99</v>
      </c>
      <c r="G17265" t="s">
        <v>513</v>
      </c>
    </row>
    <row r="17266" spans="1:7" x14ac:dyDescent="0.25">
      <c r="A17266" s="1" t="str">
        <f>"509863"</f>
        <v>509863</v>
      </c>
      <c r="B17266" s="2" t="str">
        <f>"PARAFUSO LATAO 5/16 X 1/2"""</f>
        <v>PARAFUSO LATAO 5/16 X 1/2"</v>
      </c>
      <c r="C17266" s="2" t="str">
        <f t="shared" si="680"/>
        <v>UN</v>
      </c>
      <c r="D17266" s="7">
        <v>811</v>
      </c>
      <c r="E17266" s="3">
        <v>8</v>
      </c>
      <c r="F17266" s="3">
        <v>8</v>
      </c>
      <c r="G17266" t="s">
        <v>512</v>
      </c>
    </row>
    <row r="17267" spans="1:7" x14ac:dyDescent="0.25">
      <c r="A17267" s="1" t="str">
        <f>"522580"</f>
        <v>522580</v>
      </c>
      <c r="B17267" s="2" t="str">
        <f>"PARAFUSO LENTILHA 1/4 X 1/2"</f>
        <v>PARAFUSO LENTILHA 1/4 X 1/2</v>
      </c>
      <c r="C17267" s="2" t="str">
        <f t="shared" si="680"/>
        <v>UN</v>
      </c>
      <c r="D17267" s="7">
        <v>600</v>
      </c>
      <c r="E17267" s="3">
        <v>10</v>
      </c>
      <c r="F17267" s="3">
        <v>10</v>
      </c>
      <c r="G17267" t="s">
        <v>513</v>
      </c>
    </row>
    <row r="17268" spans="1:7" x14ac:dyDescent="0.25">
      <c r="A17268" s="1" t="str">
        <f>"511616"</f>
        <v>511616</v>
      </c>
      <c r="B17268" s="2" t="str">
        <f>"PARAFUSO LENTILHA 1/4 X 3/4"""</f>
        <v>PARAFUSO LENTILHA 1/4 X 3/4"</v>
      </c>
      <c r="C17268" s="2" t="str">
        <f t="shared" si="680"/>
        <v>UN</v>
      </c>
      <c r="D17268" s="7">
        <v>99999</v>
      </c>
      <c r="E17268" s="3">
        <v>99</v>
      </c>
      <c r="F17268" s="3">
        <v>99</v>
      </c>
      <c r="G17268" t="s">
        <v>514</v>
      </c>
    </row>
    <row r="17269" spans="1:7" x14ac:dyDescent="0.25">
      <c r="A17269" s="1" t="str">
        <f>"520274"</f>
        <v>520274</v>
      </c>
      <c r="B17269" s="2" t="str">
        <f>"PARAFUSO LENTILHA 3/8X3/4 GE"</f>
        <v>PARAFUSO LENTILHA 3/8X3/4 GE</v>
      </c>
      <c r="C17269" s="2" t="str">
        <f t="shared" si="680"/>
        <v>UN</v>
      </c>
      <c r="D17269" s="7">
        <v>601</v>
      </c>
      <c r="E17269" s="3">
        <v>8</v>
      </c>
      <c r="F17269" s="3">
        <v>8</v>
      </c>
      <c r="G17269" t="s">
        <v>514</v>
      </c>
    </row>
    <row r="17270" spans="1:7" x14ac:dyDescent="0.25">
      <c r="A17270" s="1" t="str">
        <f>"511344"</f>
        <v>511344</v>
      </c>
      <c r="B17270" s="2" t="str">
        <f>"PARAFUSO LENTILHA 5/16 X 1/2"</f>
        <v>PARAFUSO LENTILHA 5/16 X 1/2</v>
      </c>
      <c r="C17270" s="2" t="str">
        <f t="shared" si="680"/>
        <v>UN</v>
      </c>
      <c r="D17270" s="7">
        <v>601</v>
      </c>
      <c r="E17270" s="3">
        <v>8</v>
      </c>
      <c r="F17270" s="3">
        <v>8</v>
      </c>
      <c r="G17270" t="s">
        <v>514</v>
      </c>
    </row>
    <row r="17271" spans="1:7" x14ac:dyDescent="0.25">
      <c r="A17271" s="1" t="str">
        <f>"506917"</f>
        <v>506917</v>
      </c>
      <c r="B17271" s="2" t="str">
        <f>"PARAFUSO M4"</f>
        <v>PARAFUSO M4</v>
      </c>
      <c r="C17271" s="2" t="str">
        <f t="shared" si="680"/>
        <v>UN</v>
      </c>
      <c r="D17271" s="7">
        <v>402</v>
      </c>
      <c r="E17271" s="3">
        <v>4</v>
      </c>
      <c r="F17271" s="3">
        <v>4</v>
      </c>
      <c r="G17271" t="s">
        <v>513</v>
      </c>
    </row>
    <row r="17272" spans="1:7" x14ac:dyDescent="0.25">
      <c r="A17272" s="1" t="str">
        <f>"506843"</f>
        <v>506843</v>
      </c>
      <c r="B17272" s="2" t="str">
        <f>"PARAFUSO MA 6X1X30"</f>
        <v>PARAFUSO MA 6X1X30</v>
      </c>
      <c r="C17272" s="2" t="str">
        <f t="shared" si="680"/>
        <v>UN</v>
      </c>
      <c r="D17272" s="7">
        <v>402</v>
      </c>
      <c r="E17272" s="3">
        <v>4</v>
      </c>
      <c r="F17272" s="3">
        <v>4</v>
      </c>
      <c r="G17272" t="s">
        <v>513</v>
      </c>
    </row>
    <row r="17273" spans="1:7" x14ac:dyDescent="0.25">
      <c r="A17273" s="1" t="str">
        <f>"506847"</f>
        <v>506847</v>
      </c>
      <c r="B17273" s="2" t="str">
        <f>"PARAFUSO MA 8X1,25X40"</f>
        <v>PARAFUSO MA 8X1,25X40</v>
      </c>
      <c r="C17273" s="2" t="str">
        <f t="shared" si="680"/>
        <v>UN</v>
      </c>
      <c r="D17273" s="7">
        <v>402</v>
      </c>
      <c r="E17273" s="3">
        <v>4</v>
      </c>
      <c r="F17273" s="3">
        <v>4</v>
      </c>
      <c r="G17273" t="s">
        <v>513</v>
      </c>
    </row>
    <row r="17274" spans="1:7" x14ac:dyDescent="0.25">
      <c r="A17274" s="1" t="str">
        <f>"521837"</f>
        <v>521837</v>
      </c>
      <c r="B17274" s="2" t="str">
        <f>"PARAFUSO MADEIRA ZINCADO 4.2 X 40"</f>
        <v>PARAFUSO MADEIRA ZINCADO 4.2 X 40</v>
      </c>
      <c r="C17274" s="2" t="str">
        <f t="shared" si="680"/>
        <v>UN</v>
      </c>
      <c r="D17274" s="7">
        <v>402</v>
      </c>
      <c r="E17274" s="3">
        <v>4</v>
      </c>
      <c r="F17274" s="3">
        <v>4</v>
      </c>
      <c r="G17274" t="s">
        <v>512</v>
      </c>
    </row>
    <row r="17275" spans="1:7" x14ac:dyDescent="0.25">
      <c r="A17275" s="1" t="str">
        <f>"503647"</f>
        <v>503647</v>
      </c>
      <c r="B17275" s="2" t="str">
        <f>"PARAFUSO METAL 1/4""X 1"" REF.03114010"</f>
        <v>PARAFUSO METAL 1/4"X 1" REF.03114010</v>
      </c>
      <c r="C17275" s="2" t="str">
        <f t="shared" si="680"/>
        <v>UN</v>
      </c>
      <c r="D17275" s="7">
        <v>402</v>
      </c>
      <c r="E17275" s="3">
        <v>4</v>
      </c>
      <c r="F17275" s="3">
        <v>4</v>
      </c>
      <c r="G17275" t="s">
        <v>513</v>
      </c>
    </row>
    <row r="17276" spans="1:7" x14ac:dyDescent="0.25">
      <c r="A17276" s="1" t="str">
        <f>"500826"</f>
        <v>500826</v>
      </c>
      <c r="B17276" s="2" t="str">
        <f>"PARAFUSO METAL 3/8 X 1"" C/ PORCA E ARRUE"</f>
        <v>PARAFUSO METAL 3/8 X 1" C/ PORCA E ARRUE</v>
      </c>
      <c r="C17276" s="2" t="str">
        <f t="shared" si="680"/>
        <v>UN</v>
      </c>
      <c r="D17276" s="7">
        <v>402</v>
      </c>
      <c r="E17276" s="3">
        <v>4</v>
      </c>
      <c r="F17276" s="3">
        <v>4</v>
      </c>
      <c r="G17276" t="s">
        <v>514</v>
      </c>
    </row>
    <row r="17277" spans="1:7" x14ac:dyDescent="0.25">
      <c r="A17277" s="1" t="str">
        <f>"500825"</f>
        <v>500825</v>
      </c>
      <c r="B17277" s="2" t="str">
        <f>"PARAFUSO METAL 5/16 X 1/2"" REF.03151612"</f>
        <v>PARAFUSO METAL 5/16 X 1/2" REF.03151612</v>
      </c>
      <c r="C17277" s="2" t="str">
        <f t="shared" si="680"/>
        <v>UN</v>
      </c>
      <c r="D17277" s="7">
        <v>402</v>
      </c>
      <c r="E17277" s="3">
        <v>4</v>
      </c>
      <c r="F17277" s="3">
        <v>4</v>
      </c>
      <c r="G17277" t="s">
        <v>515</v>
      </c>
    </row>
    <row r="17278" spans="1:7" x14ac:dyDescent="0.25">
      <c r="A17278" s="1" t="str">
        <f>"513116"</f>
        <v>513116</v>
      </c>
      <c r="B17278" s="2" t="str">
        <f>"PARAFUSO OCO VT-1/8-PRSK"</f>
        <v>PARAFUSO OCO VT-1/8-PRSK</v>
      </c>
      <c r="C17278" s="2" t="str">
        <f t="shared" si="680"/>
        <v>UN</v>
      </c>
      <c r="D17278" s="7">
        <v>918</v>
      </c>
      <c r="E17278" s="3">
        <v>11</v>
      </c>
      <c r="F17278" s="3">
        <v>11</v>
      </c>
      <c r="G17278" t="s">
        <v>512</v>
      </c>
    </row>
    <row r="17279" spans="1:7" x14ac:dyDescent="0.25">
      <c r="A17279" s="1" t="str">
        <f>"510474"</f>
        <v>510474</v>
      </c>
      <c r="B17279" s="2" t="str">
        <f>"PARAFUSO PARA VASO SANITARIO (PAR)"</f>
        <v>PARAFUSO PARA VASO SANITARIO (PAR)</v>
      </c>
      <c r="C17279" s="2" t="str">
        <f t="shared" si="680"/>
        <v>UN</v>
      </c>
      <c r="D17279" s="7">
        <v>918</v>
      </c>
      <c r="E17279" s="3">
        <v>11</v>
      </c>
      <c r="F17279" s="3">
        <v>11</v>
      </c>
      <c r="G17279" t="s">
        <v>516</v>
      </c>
    </row>
    <row r="17280" spans="1:7" x14ac:dyDescent="0.25">
      <c r="A17280" s="1" t="str">
        <f>"519531"</f>
        <v>519531</v>
      </c>
      <c r="B17280" s="2" t="str">
        <f>"PARAFUSO PH 3,0 X 30MM"</f>
        <v>PARAFUSO PH 3,0 X 30MM</v>
      </c>
      <c r="C17280" s="2" t="str">
        <f t="shared" ref="C17280:C17311" si="681">"UN"</f>
        <v>UN</v>
      </c>
      <c r="D17280" s="7">
        <v>402</v>
      </c>
      <c r="E17280" s="3">
        <v>4</v>
      </c>
      <c r="F17280" s="3">
        <v>4</v>
      </c>
      <c r="G17280" t="s">
        <v>515</v>
      </c>
    </row>
    <row r="17281" spans="1:7" x14ac:dyDescent="0.25">
      <c r="A17281" s="1" t="str">
        <f>"519532"</f>
        <v>519532</v>
      </c>
      <c r="B17281" s="2" t="str">
        <f>"PARAFUSO PH 5,0 X 50MM"</f>
        <v>PARAFUSO PH 5,0 X 50MM</v>
      </c>
      <c r="C17281" s="2" t="str">
        <f t="shared" si="681"/>
        <v>UN</v>
      </c>
      <c r="D17281" s="7">
        <v>402</v>
      </c>
      <c r="E17281" s="3">
        <v>4</v>
      </c>
      <c r="F17281" s="3">
        <v>4</v>
      </c>
      <c r="G17281" t="s">
        <v>514</v>
      </c>
    </row>
    <row r="17282" spans="1:7" x14ac:dyDescent="0.25">
      <c r="A17282" s="1" t="str">
        <f>"519533"</f>
        <v>519533</v>
      </c>
      <c r="B17282" s="2" t="str">
        <f>"PARAFUSO PH 5,0 X 60MM"</f>
        <v>PARAFUSO PH 5,0 X 60MM</v>
      </c>
      <c r="C17282" s="2" t="str">
        <f t="shared" si="681"/>
        <v>UN</v>
      </c>
      <c r="D17282" s="7">
        <v>402</v>
      </c>
      <c r="E17282" s="3">
        <v>4</v>
      </c>
      <c r="F17282" s="3">
        <v>4</v>
      </c>
      <c r="G17282" t="s">
        <v>512</v>
      </c>
    </row>
    <row r="17283" spans="1:7" x14ac:dyDescent="0.25">
      <c r="A17283" s="1" t="str">
        <f>"520270"</f>
        <v>520270</v>
      </c>
      <c r="B17283" s="2" t="str">
        <f>"PARAFUSO PHILIPS M5 X 25"</f>
        <v>PARAFUSO PHILIPS M5 X 25</v>
      </c>
      <c r="C17283" s="2" t="str">
        <f t="shared" si="681"/>
        <v>UN</v>
      </c>
      <c r="D17283" s="7">
        <v>402</v>
      </c>
      <c r="E17283" s="3">
        <v>4</v>
      </c>
      <c r="F17283" s="3">
        <v>4</v>
      </c>
      <c r="G17283" t="s">
        <v>513</v>
      </c>
    </row>
    <row r="17284" spans="1:7" x14ac:dyDescent="0.25">
      <c r="A17284" s="1" t="str">
        <f>"505646"</f>
        <v>505646</v>
      </c>
      <c r="B17284" s="2" t="str">
        <f>"PARAFUSO RODA SR ANT. 18 X 85"</f>
        <v>PARAFUSO RODA SR ANT. 18 X 85</v>
      </c>
      <c r="C17284" s="2" t="str">
        <f t="shared" si="681"/>
        <v>UN</v>
      </c>
      <c r="D17284" s="7">
        <v>704</v>
      </c>
      <c r="E17284" s="3">
        <v>9</v>
      </c>
      <c r="F17284" s="3">
        <v>9</v>
      </c>
      <c r="G17284" t="s">
        <v>514</v>
      </c>
    </row>
    <row r="17285" spans="1:7" x14ac:dyDescent="0.25">
      <c r="A17285" s="1" t="str">
        <f>"504965"</f>
        <v>504965</v>
      </c>
      <c r="B17285" s="2" t="str">
        <f>"PARAFUSO RODA T. MB M22"</f>
        <v>PARAFUSO RODA T. MB M22</v>
      </c>
      <c r="C17285" s="2" t="str">
        <f t="shared" si="681"/>
        <v>UN</v>
      </c>
      <c r="D17285" s="7">
        <v>99999</v>
      </c>
      <c r="E17285" s="3">
        <v>99</v>
      </c>
      <c r="F17285" s="3">
        <v>99</v>
      </c>
      <c r="G17285" t="s">
        <v>514</v>
      </c>
    </row>
    <row r="17286" spans="1:7" x14ac:dyDescent="0.25">
      <c r="A17286" s="1" t="str">
        <f>"502160"</f>
        <v>502160</v>
      </c>
      <c r="B17286" s="2" t="str">
        <f>"PARAFUSO ROQUEADO DE 3/4"""</f>
        <v>PARAFUSO ROQUEADO DE 3/4"</v>
      </c>
      <c r="C17286" s="2" t="str">
        <f t="shared" si="681"/>
        <v>UN</v>
      </c>
      <c r="D17286" s="7">
        <v>402</v>
      </c>
      <c r="E17286" s="3">
        <v>4</v>
      </c>
      <c r="F17286" s="3">
        <v>4</v>
      </c>
      <c r="G17286" t="s">
        <v>512</v>
      </c>
    </row>
    <row r="17287" spans="1:7" x14ac:dyDescent="0.25">
      <c r="A17287" s="1" t="str">
        <f>"520102"</f>
        <v>520102</v>
      </c>
      <c r="B17287" s="2" t="str">
        <f>"PARAFUSO S/ CABEÇA INOX M10X16"</f>
        <v>PARAFUSO S/ CABEÇA INOX M10X16</v>
      </c>
      <c r="C17287" s="2" t="str">
        <f t="shared" si="681"/>
        <v>UN</v>
      </c>
      <c r="D17287" s="7">
        <v>918</v>
      </c>
      <c r="E17287" s="3">
        <v>11</v>
      </c>
      <c r="F17287" s="3">
        <v>11</v>
      </c>
      <c r="G17287" t="s">
        <v>513</v>
      </c>
    </row>
    <row r="17288" spans="1:7" x14ac:dyDescent="0.25">
      <c r="A17288" s="1" t="str">
        <f>"510323"</f>
        <v>510323</v>
      </c>
      <c r="B17288" s="2" t="str">
        <f>"PARAFUSO SANGRADOR 009070500"</f>
        <v>PARAFUSO SANGRADOR 009070500</v>
      </c>
      <c r="C17288" s="2" t="str">
        <f t="shared" si="681"/>
        <v>UN</v>
      </c>
      <c r="D17288" s="7">
        <v>918</v>
      </c>
      <c r="E17288" s="3">
        <v>11</v>
      </c>
      <c r="F17288" s="3">
        <v>11</v>
      </c>
      <c r="G17288" t="s">
        <v>514</v>
      </c>
    </row>
    <row r="17289" spans="1:7" x14ac:dyDescent="0.25">
      <c r="A17289" s="1" t="str">
        <f>"504136"</f>
        <v>504136</v>
      </c>
      <c r="B17289" s="2" t="str">
        <f>"PARAFUSO SEX. 12X50MM 5.8"</f>
        <v>PARAFUSO SEX. 12X50MM 5.8</v>
      </c>
      <c r="C17289" s="2" t="str">
        <f t="shared" si="681"/>
        <v>UN</v>
      </c>
      <c r="D17289" s="7">
        <v>402</v>
      </c>
      <c r="E17289" s="3">
        <v>4</v>
      </c>
      <c r="F17289" s="3">
        <v>4</v>
      </c>
      <c r="G17289" t="s">
        <v>514</v>
      </c>
    </row>
    <row r="17290" spans="1:7" x14ac:dyDescent="0.25">
      <c r="A17290" s="1" t="str">
        <f>"522426"</f>
        <v>522426</v>
      </c>
      <c r="B17290" s="2" t="str">
        <f>"PARAFUSO SEX. RS 3/16 X 40MM INOX (S-8)"</f>
        <v>PARAFUSO SEX. RS 3/16 X 40MM INOX (S-8)</v>
      </c>
      <c r="C17290" s="2" t="str">
        <f t="shared" si="681"/>
        <v>UN</v>
      </c>
      <c r="D17290" s="7">
        <v>811</v>
      </c>
      <c r="E17290" s="3">
        <v>10</v>
      </c>
      <c r="F17290" s="3">
        <v>10</v>
      </c>
      <c r="G17290" t="s">
        <v>514</v>
      </c>
    </row>
    <row r="17291" spans="1:7" x14ac:dyDescent="0.25">
      <c r="A17291" s="1" t="str">
        <f>"521609"</f>
        <v>521609</v>
      </c>
      <c r="B17291" s="2" t="str">
        <f>"PARAFUSO SEX. ZINCADO  1/2 X 50MM"</f>
        <v>PARAFUSO SEX. ZINCADO  1/2 X 50MM</v>
      </c>
      <c r="C17291" s="2" t="str">
        <f t="shared" si="681"/>
        <v>UN</v>
      </c>
      <c r="D17291" s="7">
        <v>402</v>
      </c>
      <c r="E17291" s="3">
        <v>4</v>
      </c>
      <c r="F17291" s="3">
        <v>4</v>
      </c>
      <c r="G17291" t="s">
        <v>513</v>
      </c>
    </row>
    <row r="17292" spans="1:7" x14ac:dyDescent="0.25">
      <c r="A17292" s="1" t="str">
        <f>"505966"</f>
        <v>505966</v>
      </c>
      <c r="B17292" s="2" t="str">
        <f>"PARAFUSO SEXT. 1/2"" X 1"""</f>
        <v>PARAFUSO SEXT. 1/2" X 1"</v>
      </c>
      <c r="C17292" s="2" t="str">
        <f t="shared" si="681"/>
        <v>UN</v>
      </c>
      <c r="D17292" s="7">
        <v>402</v>
      </c>
      <c r="E17292" s="3">
        <v>4</v>
      </c>
      <c r="F17292" s="3">
        <v>4</v>
      </c>
      <c r="G17292" t="s">
        <v>512</v>
      </c>
    </row>
    <row r="17293" spans="1:7" x14ac:dyDescent="0.25">
      <c r="A17293" s="1" t="str">
        <f>"503522"</f>
        <v>503522</v>
      </c>
      <c r="B17293" s="2" t="str">
        <f>"PARAFUSO SEXT. 3/8X1.1/2 REF.03138112"</f>
        <v>PARAFUSO SEXT. 3/8X1.1/2 REF.03138112</v>
      </c>
      <c r="C17293" s="2" t="str">
        <f t="shared" si="681"/>
        <v>UN</v>
      </c>
      <c r="D17293" s="7">
        <v>402</v>
      </c>
      <c r="E17293" s="3">
        <v>4</v>
      </c>
      <c r="F17293" s="3">
        <v>4</v>
      </c>
      <c r="G17293" t="s">
        <v>513</v>
      </c>
    </row>
    <row r="17294" spans="1:7" x14ac:dyDescent="0.25">
      <c r="A17294" s="1" t="str">
        <f>"503521"</f>
        <v>503521</v>
      </c>
      <c r="B17294" s="2" t="str">
        <f>"PARAFUSO SEXT. 5/16X1 REF.03151610"</f>
        <v>PARAFUSO SEXT. 5/16X1 REF.03151610</v>
      </c>
      <c r="C17294" s="2" t="str">
        <f t="shared" si="681"/>
        <v>UN</v>
      </c>
      <c r="D17294" s="7">
        <v>402</v>
      </c>
      <c r="E17294" s="3">
        <v>4</v>
      </c>
      <c r="F17294" s="3">
        <v>4</v>
      </c>
      <c r="G17294" t="s">
        <v>514</v>
      </c>
    </row>
    <row r="17295" spans="1:7" x14ac:dyDescent="0.25">
      <c r="A17295" s="1" t="str">
        <f>"505760"</f>
        <v>505760</v>
      </c>
      <c r="B17295" s="2" t="str">
        <f>"PARAFUSO SEXT. 5/8 X 3"""</f>
        <v>PARAFUSO SEXT. 5/8 X 3"</v>
      </c>
      <c r="C17295" s="2" t="str">
        <f t="shared" si="681"/>
        <v>UN</v>
      </c>
      <c r="D17295" s="7">
        <v>402</v>
      </c>
      <c r="E17295" s="3">
        <v>4</v>
      </c>
      <c r="F17295" s="3">
        <v>4</v>
      </c>
      <c r="G17295" t="s">
        <v>514</v>
      </c>
    </row>
    <row r="17296" spans="1:7" x14ac:dyDescent="0.25">
      <c r="A17296" s="1" t="str">
        <f>"502788"</f>
        <v>502788</v>
      </c>
      <c r="B17296" s="2" t="str">
        <f>"PARAFUSO SEXT. INOX 1/4X5/8 REF.18015700"</f>
        <v>PARAFUSO SEXT. INOX 1/4X5/8 REF.18015700</v>
      </c>
      <c r="C17296" s="2" t="str">
        <f t="shared" si="681"/>
        <v>UN</v>
      </c>
      <c r="D17296" s="7">
        <v>402</v>
      </c>
      <c r="E17296" s="3">
        <v>4</v>
      </c>
      <c r="F17296" s="3">
        <v>4</v>
      </c>
      <c r="G17296" t="s">
        <v>514</v>
      </c>
    </row>
    <row r="17297" spans="1:7" x14ac:dyDescent="0.25">
      <c r="A17297" s="1" t="str">
        <f>"500944"</f>
        <v>500944</v>
      </c>
      <c r="B17297" s="2" t="str">
        <f>"PARAFUSO SEXT. INOX 10X50MM"</f>
        <v>PARAFUSO SEXT. INOX 10X50MM</v>
      </c>
      <c r="C17297" s="2" t="str">
        <f t="shared" si="681"/>
        <v>UN</v>
      </c>
      <c r="D17297" s="7">
        <v>99999</v>
      </c>
      <c r="E17297" s="3">
        <v>99</v>
      </c>
      <c r="F17297" s="3">
        <v>99</v>
      </c>
      <c r="G17297" t="s">
        <v>513</v>
      </c>
    </row>
    <row r="17298" spans="1:7" x14ac:dyDescent="0.25">
      <c r="A17298" s="1" t="str">
        <f>"520249"</f>
        <v>520249</v>
      </c>
      <c r="B17298" s="2" t="str">
        <f>"PARAFUSO SEXT. INOX M16 X60"</f>
        <v>PARAFUSO SEXT. INOX M16 X60</v>
      </c>
      <c r="C17298" s="2" t="str">
        <f t="shared" si="681"/>
        <v>UN</v>
      </c>
      <c r="D17298" s="7">
        <v>99999</v>
      </c>
      <c r="E17298" s="3">
        <v>99</v>
      </c>
      <c r="F17298" s="3">
        <v>99</v>
      </c>
      <c r="G17298" t="s">
        <v>513</v>
      </c>
    </row>
    <row r="17299" spans="1:7" x14ac:dyDescent="0.25">
      <c r="A17299" s="1" t="str">
        <f>"520264"</f>
        <v>520264</v>
      </c>
      <c r="B17299" s="2" t="str">
        <f>"PARAFUSO SEXT. INOX M16X65"</f>
        <v>PARAFUSO SEXT. INOX M16X65</v>
      </c>
      <c r="C17299" s="2" t="str">
        <f t="shared" si="681"/>
        <v>UN</v>
      </c>
      <c r="D17299" s="7">
        <v>816</v>
      </c>
      <c r="E17299" s="3">
        <v>10</v>
      </c>
      <c r="F17299" s="3">
        <v>10</v>
      </c>
      <c r="G17299" t="s">
        <v>513</v>
      </c>
    </row>
    <row r="17300" spans="1:7" x14ac:dyDescent="0.25">
      <c r="A17300" s="1" t="str">
        <f>"525213"</f>
        <v>525213</v>
      </c>
      <c r="B17300" s="2" t="str">
        <f>"PARAFUSO SEXT. INOX M8X120"</f>
        <v>PARAFUSO SEXT. INOX M8X120</v>
      </c>
      <c r="C17300" s="2" t="str">
        <f t="shared" si="681"/>
        <v>UN</v>
      </c>
      <c r="D17300" s="7">
        <v>816</v>
      </c>
      <c r="E17300" s="3">
        <v>10</v>
      </c>
      <c r="F17300" s="3">
        <v>10</v>
      </c>
      <c r="G17300" t="s">
        <v>512</v>
      </c>
    </row>
    <row r="17301" spans="1:7" x14ac:dyDescent="0.25">
      <c r="A17301" s="1" t="str">
        <f>"504955"</f>
        <v>504955</v>
      </c>
      <c r="B17301" s="2" t="str">
        <f>"PARAFUSO SEXT. INOX M8X70MM"</f>
        <v>PARAFUSO SEXT. INOX M8X70MM</v>
      </c>
      <c r="C17301" s="2" t="str">
        <f t="shared" si="681"/>
        <v>UN</v>
      </c>
      <c r="D17301" s="7">
        <v>402</v>
      </c>
      <c r="E17301" s="3">
        <v>4</v>
      </c>
      <c r="F17301" s="3">
        <v>4</v>
      </c>
      <c r="G17301" t="s">
        <v>513</v>
      </c>
    </row>
    <row r="17302" spans="1:7" x14ac:dyDescent="0.25">
      <c r="A17302" s="1" t="str">
        <f>"505235"</f>
        <v>505235</v>
      </c>
      <c r="B17302" s="2" t="str">
        <f>"PARAFUSO SEXT. M12X35MM 8.8"</f>
        <v>PARAFUSO SEXT. M12X35MM 8.8</v>
      </c>
      <c r="C17302" s="2" t="str">
        <f t="shared" si="681"/>
        <v>UN</v>
      </c>
      <c r="D17302" s="7">
        <v>402</v>
      </c>
      <c r="E17302" s="3">
        <v>4</v>
      </c>
      <c r="F17302" s="3">
        <v>4</v>
      </c>
      <c r="G17302" t="s">
        <v>514</v>
      </c>
    </row>
    <row r="17303" spans="1:7" x14ac:dyDescent="0.25">
      <c r="A17303" s="1" t="str">
        <f>"505683"</f>
        <v>505683</v>
      </c>
      <c r="B17303" s="2" t="str">
        <f>"PARAFUSO SEXT. M14X40MM"</f>
        <v>PARAFUSO SEXT. M14X40MM</v>
      </c>
      <c r="C17303" s="2" t="str">
        <f t="shared" si="681"/>
        <v>UN</v>
      </c>
      <c r="D17303" s="7">
        <v>704</v>
      </c>
      <c r="E17303" s="3">
        <v>9</v>
      </c>
      <c r="F17303" s="3">
        <v>9</v>
      </c>
      <c r="G17303" t="s">
        <v>515</v>
      </c>
    </row>
    <row r="17304" spans="1:7" x14ac:dyDescent="0.25">
      <c r="A17304" s="1" t="str">
        <f>"519342"</f>
        <v>519342</v>
      </c>
      <c r="B17304" s="2" t="str">
        <f>"PARAFUSO SEXT. M16X30"</f>
        <v>PARAFUSO SEXT. M16X30</v>
      </c>
      <c r="C17304" s="2" t="str">
        <f t="shared" si="681"/>
        <v>UN</v>
      </c>
      <c r="D17304" s="7">
        <v>816</v>
      </c>
      <c r="E17304" s="3">
        <v>10</v>
      </c>
      <c r="F17304" s="3">
        <v>10</v>
      </c>
      <c r="G17304" t="s">
        <v>512</v>
      </c>
    </row>
    <row r="17305" spans="1:7" x14ac:dyDescent="0.25">
      <c r="A17305" s="1" t="str">
        <f>"505674"</f>
        <v>505674</v>
      </c>
      <c r="B17305" s="2" t="str">
        <f>"PARAFUSO SEXT. M16X40MM"</f>
        <v>PARAFUSO SEXT. M16X40MM</v>
      </c>
      <c r="C17305" s="2" t="str">
        <f t="shared" si="681"/>
        <v>UN</v>
      </c>
      <c r="D17305" s="7">
        <v>704</v>
      </c>
      <c r="E17305" s="3">
        <v>9</v>
      </c>
      <c r="F17305" s="3">
        <v>9</v>
      </c>
      <c r="G17305" t="s">
        <v>516</v>
      </c>
    </row>
    <row r="17306" spans="1:7" x14ac:dyDescent="0.25">
      <c r="A17306" s="1" t="str">
        <f>"519343"</f>
        <v>519343</v>
      </c>
      <c r="B17306" s="2" t="str">
        <f>"PARAFUSO SEXT. M18X90"</f>
        <v>PARAFUSO SEXT. M18X90</v>
      </c>
      <c r="C17306" s="2" t="str">
        <f t="shared" si="681"/>
        <v>UN</v>
      </c>
      <c r="D17306" s="7">
        <v>816</v>
      </c>
      <c r="E17306" s="3">
        <v>10</v>
      </c>
      <c r="F17306" s="3">
        <v>10</v>
      </c>
      <c r="G17306" t="s">
        <v>515</v>
      </c>
    </row>
    <row r="17307" spans="1:7" x14ac:dyDescent="0.25">
      <c r="A17307" s="1" t="str">
        <f>"512995"</f>
        <v>512995</v>
      </c>
      <c r="B17307" s="2" t="str">
        <f>"PARAFUSO SEXT. M6X20 ENG A0-01031"</f>
        <v>PARAFUSO SEXT. M6X20 ENG A0-01031</v>
      </c>
      <c r="C17307" s="2" t="str">
        <f t="shared" si="681"/>
        <v>UN</v>
      </c>
      <c r="D17307" s="7">
        <v>918</v>
      </c>
      <c r="E17307" s="3">
        <v>11</v>
      </c>
      <c r="F17307" s="3">
        <v>11</v>
      </c>
      <c r="G17307" t="s">
        <v>514</v>
      </c>
    </row>
    <row r="17308" spans="1:7" x14ac:dyDescent="0.25">
      <c r="A17308" s="1" t="str">
        <f>"524763"</f>
        <v>524763</v>
      </c>
      <c r="B17308" s="2" t="str">
        <f>"PARAFUSO SEXT. RS 3/16X40MM INOX (S-8)"</f>
        <v>PARAFUSO SEXT. RS 3/16X40MM INOX (S-8)</v>
      </c>
      <c r="C17308" s="2" t="str">
        <f t="shared" si="681"/>
        <v>UN</v>
      </c>
      <c r="D17308" s="7">
        <v>811</v>
      </c>
      <c r="E17308" s="3">
        <v>8</v>
      </c>
      <c r="F17308" s="3">
        <v>8</v>
      </c>
      <c r="G17308" t="s">
        <v>512</v>
      </c>
    </row>
    <row r="17309" spans="1:7" x14ac:dyDescent="0.25">
      <c r="A17309" s="1" t="str">
        <f>"500329"</f>
        <v>500329</v>
      </c>
      <c r="B17309" s="2" t="str">
        <f>"PARAFUSO SEXT.SOBER 1/4X65MM BUCHA 10MM"</f>
        <v>PARAFUSO SEXT.SOBER 1/4X65MM BUCHA 10MM</v>
      </c>
      <c r="C17309" s="2" t="str">
        <f t="shared" si="681"/>
        <v>UN</v>
      </c>
      <c r="D17309" s="7">
        <v>402</v>
      </c>
      <c r="E17309" s="3">
        <v>4</v>
      </c>
      <c r="F17309" s="3">
        <v>4</v>
      </c>
      <c r="G17309" t="s">
        <v>513</v>
      </c>
    </row>
    <row r="17310" spans="1:7" x14ac:dyDescent="0.25">
      <c r="A17310" s="1" t="str">
        <f>"527547"</f>
        <v>527547</v>
      </c>
      <c r="B17310" s="2" t="str">
        <f>"PARAFUSO SEXT.SOBER 5/16X65MM BUCHA 12MM"</f>
        <v>PARAFUSO SEXT.SOBER 5/16X65MM BUCHA 12MM</v>
      </c>
      <c r="C17310" s="2" t="str">
        <f t="shared" si="681"/>
        <v>UN</v>
      </c>
      <c r="D17310" s="7">
        <v>402</v>
      </c>
      <c r="E17310" s="3">
        <v>4</v>
      </c>
      <c r="F17310" s="3">
        <v>4</v>
      </c>
      <c r="G17310" t="s">
        <v>514</v>
      </c>
    </row>
    <row r="17311" spans="1:7" x14ac:dyDescent="0.25">
      <c r="A17311" s="1" t="str">
        <f>"520106"</f>
        <v>520106</v>
      </c>
      <c r="B17311" s="2" t="str">
        <f>"PARAFUSO SEXTAVADO 1/4X40MM BUCHA 10"</f>
        <v>PARAFUSO SEXTAVADO 1/4X40MM BUCHA 10</v>
      </c>
      <c r="C17311" s="2" t="str">
        <f t="shared" si="681"/>
        <v>UN</v>
      </c>
      <c r="D17311" s="7">
        <v>918</v>
      </c>
      <c r="E17311" s="3">
        <v>11</v>
      </c>
      <c r="F17311" s="3">
        <v>11</v>
      </c>
      <c r="G17311" t="s">
        <v>514</v>
      </c>
    </row>
    <row r="17312" spans="1:7" x14ac:dyDescent="0.25">
      <c r="A17312" s="1" t="str">
        <f>"511112"</f>
        <v>511112</v>
      </c>
      <c r="B17312" s="2" t="str">
        <f>"PARAFUSO SEXTAVADO 3/4 X 3"" AÇO CARBONO"</f>
        <v>PARAFUSO SEXTAVADO 3/4 X 3" AÇO CARBONO</v>
      </c>
      <c r="C17312" s="2" t="str">
        <f>"KG"</f>
        <v>KG</v>
      </c>
      <c r="D17312" s="7">
        <v>800</v>
      </c>
      <c r="E17312" s="3">
        <v>10</v>
      </c>
      <c r="F17312" s="3">
        <v>10</v>
      </c>
      <c r="G17312" t="s">
        <v>512</v>
      </c>
    </row>
    <row r="17313" spans="1:7" x14ac:dyDescent="0.25">
      <c r="A17313" s="1" t="str">
        <f>"509730"</f>
        <v>509730</v>
      </c>
      <c r="B17313" s="2" t="str">
        <f>"PARAFUSO SEXTAVADO 3/8 X 1"</f>
        <v>PARAFUSO SEXTAVADO 3/8 X 1</v>
      </c>
      <c r="C17313" s="2" t="str">
        <f>"KG"</f>
        <v>KG</v>
      </c>
      <c r="D17313" s="7">
        <v>800</v>
      </c>
      <c r="E17313" s="3">
        <v>10</v>
      </c>
      <c r="F17313" s="3">
        <v>10</v>
      </c>
      <c r="G17313" t="s">
        <v>513</v>
      </c>
    </row>
    <row r="17314" spans="1:7" x14ac:dyDescent="0.25">
      <c r="A17314" s="1" t="str">
        <f>"523224"</f>
        <v>523224</v>
      </c>
      <c r="B17314" s="2" t="str">
        <f>"PARAFUSO SEXTAVADO 3/8 X 1 1/2 INOX"</f>
        <v>PARAFUSO SEXTAVADO 3/8 X 1 1/2 INOX</v>
      </c>
      <c r="C17314" s="2" t="str">
        <f>"PC"</f>
        <v>PC</v>
      </c>
      <c r="D17314" s="7">
        <v>806</v>
      </c>
      <c r="E17314" s="3">
        <v>10</v>
      </c>
      <c r="F17314" s="3">
        <v>10</v>
      </c>
      <c r="G17314" t="s">
        <v>514</v>
      </c>
    </row>
    <row r="17315" spans="1:7" x14ac:dyDescent="0.25">
      <c r="A17315" s="1" t="str">
        <f>"503633"</f>
        <v>503633</v>
      </c>
      <c r="B17315" s="2" t="str">
        <f>"PARAFUSO SEXTAVADO 3/8 X 1/2"""</f>
        <v>PARAFUSO SEXTAVADO 3/8 X 1/2"</v>
      </c>
      <c r="C17315" s="2" t="str">
        <f>"UN"</f>
        <v>UN</v>
      </c>
      <c r="D17315" s="7">
        <v>402</v>
      </c>
      <c r="E17315" s="3">
        <v>4</v>
      </c>
      <c r="F17315" s="3">
        <v>4</v>
      </c>
      <c r="G17315" t="s">
        <v>514</v>
      </c>
    </row>
    <row r="17316" spans="1:7" x14ac:dyDescent="0.25">
      <c r="A17316" s="1" t="str">
        <f>"509672"</f>
        <v>509672</v>
      </c>
      <c r="B17316" s="2" t="str">
        <f>"PARAFUSO SEXTAVADO 3/8 X 3/4"""</f>
        <v>PARAFUSO SEXTAVADO 3/8 X 3/4"</v>
      </c>
      <c r="C17316" s="2" t="str">
        <f>"UN"</f>
        <v>UN</v>
      </c>
      <c r="D17316" s="7">
        <v>402</v>
      </c>
      <c r="E17316" s="3">
        <v>4</v>
      </c>
      <c r="F17316" s="3">
        <v>4</v>
      </c>
      <c r="G17316" t="s">
        <v>514</v>
      </c>
    </row>
    <row r="17317" spans="1:7" x14ac:dyDescent="0.25">
      <c r="A17317" s="1" t="str">
        <f>"511173"</f>
        <v>511173</v>
      </c>
      <c r="B17317" s="2" t="str">
        <f>"PARAFUSO SEXTAVADO 5/16 X 1 1/2 - FERRO"</f>
        <v>PARAFUSO SEXTAVADO 5/16 X 1 1/2 - FERRO</v>
      </c>
      <c r="C17317" s="2" t="str">
        <f>"KG"</f>
        <v>KG</v>
      </c>
      <c r="D17317" s="7">
        <v>800</v>
      </c>
      <c r="E17317" s="3">
        <v>10</v>
      </c>
      <c r="F17317" s="3">
        <v>10</v>
      </c>
      <c r="G17317" t="s">
        <v>513</v>
      </c>
    </row>
    <row r="17318" spans="1:7" x14ac:dyDescent="0.25">
      <c r="A17318" s="1" t="str">
        <f>"511172"</f>
        <v>511172</v>
      </c>
      <c r="B17318" s="2" t="str">
        <f>"PARAFUSO SEXTAVADO 5/16 X 1"" - FERRO"</f>
        <v>PARAFUSO SEXTAVADO 5/16 X 1" - FERRO</v>
      </c>
      <c r="C17318" s="2" t="str">
        <f>"KG"</f>
        <v>KG</v>
      </c>
      <c r="D17318" s="7">
        <v>800</v>
      </c>
      <c r="E17318" s="3">
        <v>10</v>
      </c>
      <c r="F17318" s="3">
        <v>10</v>
      </c>
      <c r="G17318" t="s">
        <v>512</v>
      </c>
    </row>
    <row r="17319" spans="1:7" x14ac:dyDescent="0.25">
      <c r="A17319" s="1" t="str">
        <f>"509673"</f>
        <v>509673</v>
      </c>
      <c r="B17319" s="2" t="str">
        <f>"PARAFUSO SEXTAVADO 5/16 X 65MM"</f>
        <v>PARAFUSO SEXTAVADO 5/16 X 65MM</v>
      </c>
      <c r="C17319" s="2" t="str">
        <f t="shared" ref="C17319:C17328" si="682">"UN"</f>
        <v>UN</v>
      </c>
      <c r="D17319" s="7">
        <v>402</v>
      </c>
      <c r="E17319" s="3">
        <v>4</v>
      </c>
      <c r="F17319" s="3">
        <v>4</v>
      </c>
      <c r="G17319" t="s">
        <v>513</v>
      </c>
    </row>
    <row r="17320" spans="1:7" x14ac:dyDescent="0.25">
      <c r="A17320" s="1" t="str">
        <f>"512469"</f>
        <v>512469</v>
      </c>
      <c r="B17320" s="2" t="str">
        <f>"PARAFUSO SEXTAVADO 5/8 X 25MM"</f>
        <v>PARAFUSO SEXTAVADO 5/8 X 25MM</v>
      </c>
      <c r="C17320" s="2" t="str">
        <f t="shared" si="682"/>
        <v>UN</v>
      </c>
      <c r="D17320" s="7">
        <v>704</v>
      </c>
      <c r="E17320" s="3">
        <v>9</v>
      </c>
      <c r="F17320" s="3">
        <v>9</v>
      </c>
      <c r="G17320" t="s">
        <v>514</v>
      </c>
    </row>
    <row r="17321" spans="1:7" x14ac:dyDescent="0.25">
      <c r="A17321" s="1" t="str">
        <f>"525059"</f>
        <v>525059</v>
      </c>
      <c r="B17321" s="2" t="str">
        <f>"PARAFUSO SEXTAVADO 7/16 X 3 1/2"""</f>
        <v>PARAFUSO SEXTAVADO 7/16 X 3 1/2"</v>
      </c>
      <c r="C17321" s="2" t="str">
        <f t="shared" si="682"/>
        <v>UN</v>
      </c>
      <c r="D17321" s="7">
        <v>99999</v>
      </c>
      <c r="E17321" s="3">
        <v>99</v>
      </c>
      <c r="F17321" s="3">
        <v>99</v>
      </c>
      <c r="G17321" t="s">
        <v>514</v>
      </c>
    </row>
    <row r="17322" spans="1:7" x14ac:dyDescent="0.25">
      <c r="A17322" s="1" t="str">
        <f>"520094"</f>
        <v>520094</v>
      </c>
      <c r="B17322" s="2" t="str">
        <f>"PARAFUSO SEXTAVADO AÇO C/ PESC. 3/4X75"</f>
        <v>PARAFUSO SEXTAVADO AÇO C/ PESC. 3/4X75</v>
      </c>
      <c r="C17322" s="2" t="str">
        <f t="shared" si="682"/>
        <v>UN</v>
      </c>
      <c r="D17322" s="7">
        <v>918</v>
      </c>
      <c r="E17322" s="3">
        <v>11</v>
      </c>
      <c r="F17322" s="3">
        <v>11</v>
      </c>
      <c r="G17322" t="s">
        <v>514</v>
      </c>
    </row>
    <row r="17323" spans="1:7" x14ac:dyDescent="0.25">
      <c r="A17323" s="1" t="str">
        <f>"520095"</f>
        <v>520095</v>
      </c>
      <c r="B17323" s="2" t="str">
        <f>"PARAFUSO SEXTAVADO AÇO C/ PESC. 9/16X120"</f>
        <v>PARAFUSO SEXTAVADO AÇO C/ PESC. 9/16X120</v>
      </c>
      <c r="C17323" s="2" t="str">
        <f t="shared" si="682"/>
        <v>UN</v>
      </c>
      <c r="D17323" s="7">
        <v>918</v>
      </c>
      <c r="E17323" s="3">
        <v>11</v>
      </c>
      <c r="F17323" s="3">
        <v>11</v>
      </c>
      <c r="G17323" t="s">
        <v>513</v>
      </c>
    </row>
    <row r="17324" spans="1:7" x14ac:dyDescent="0.25">
      <c r="A17324" s="1" t="str">
        <f>"520093"</f>
        <v>520093</v>
      </c>
      <c r="B17324" s="2" t="str">
        <f>"PARAFUSO SEXTAVADO AÇO C/ PESC. M16X60"</f>
        <v>PARAFUSO SEXTAVADO AÇO C/ PESC. M16X60</v>
      </c>
      <c r="C17324" s="2" t="str">
        <f t="shared" si="682"/>
        <v>UN</v>
      </c>
      <c r="D17324" s="7">
        <v>918</v>
      </c>
      <c r="E17324" s="3">
        <v>11</v>
      </c>
      <c r="F17324" s="3">
        <v>11</v>
      </c>
      <c r="G17324" t="s">
        <v>513</v>
      </c>
    </row>
    <row r="17325" spans="1:7" x14ac:dyDescent="0.25">
      <c r="A17325" s="1" t="str">
        <f>"505671"</f>
        <v>505671</v>
      </c>
      <c r="B17325" s="2" t="str">
        <f>"PARAFUSO SEXTAVADO AÇO CARB. 5/8X4"""</f>
        <v>PARAFUSO SEXTAVADO AÇO CARB. 5/8X4"</v>
      </c>
      <c r="C17325" s="2" t="str">
        <f t="shared" si="682"/>
        <v>UN</v>
      </c>
      <c r="D17325" s="7">
        <v>704</v>
      </c>
      <c r="E17325" s="3">
        <v>9</v>
      </c>
      <c r="F17325" s="3">
        <v>9</v>
      </c>
      <c r="G17325" t="s">
        <v>513</v>
      </c>
    </row>
    <row r="17326" spans="1:7" x14ac:dyDescent="0.25">
      <c r="A17326" s="1" t="str">
        <f>"520098"</f>
        <v>520098</v>
      </c>
      <c r="B17326" s="2" t="str">
        <f>"PARAFUSO SEXTAVADO AÇO M10X40"</f>
        <v>PARAFUSO SEXTAVADO AÇO M10X40</v>
      </c>
      <c r="C17326" s="2" t="str">
        <f t="shared" si="682"/>
        <v>UN</v>
      </c>
      <c r="D17326" s="7">
        <v>918</v>
      </c>
      <c r="E17326" s="3">
        <v>11</v>
      </c>
      <c r="F17326" s="3">
        <v>11</v>
      </c>
      <c r="G17326" t="s">
        <v>512</v>
      </c>
    </row>
    <row r="17327" spans="1:7" x14ac:dyDescent="0.25">
      <c r="A17327" s="1" t="str">
        <f>"520092"</f>
        <v>520092</v>
      </c>
      <c r="B17327" s="2" t="str">
        <f>"PARAFUSO SEXTAVADO AÇO M16X50"</f>
        <v>PARAFUSO SEXTAVADO AÇO M16X50</v>
      </c>
      <c r="C17327" s="2" t="str">
        <f t="shared" si="682"/>
        <v>UN</v>
      </c>
      <c r="D17327" s="7">
        <v>918</v>
      </c>
      <c r="E17327" s="3">
        <v>11</v>
      </c>
      <c r="F17327" s="3">
        <v>11</v>
      </c>
      <c r="G17327" t="s">
        <v>513</v>
      </c>
    </row>
    <row r="17328" spans="1:7" x14ac:dyDescent="0.25">
      <c r="A17328" s="1" t="str">
        <f>"520091"</f>
        <v>520091</v>
      </c>
      <c r="B17328" s="2" t="str">
        <f>"PARAFUSO SEXTAVADO AÇO M16X60"</f>
        <v>PARAFUSO SEXTAVADO AÇO M16X60</v>
      </c>
      <c r="C17328" s="2" t="str">
        <f t="shared" si="682"/>
        <v>UN</v>
      </c>
      <c r="D17328" s="7">
        <v>918</v>
      </c>
      <c r="E17328" s="3">
        <v>11</v>
      </c>
      <c r="F17328" s="3">
        <v>11</v>
      </c>
      <c r="G17328" t="s">
        <v>514</v>
      </c>
    </row>
    <row r="17329" spans="1:7" x14ac:dyDescent="0.25">
      <c r="A17329" s="1" t="str">
        <f>"510293"</f>
        <v>510293</v>
      </c>
      <c r="B17329" s="2" t="str">
        <f>"PARAFUSO SEXTAVADO BUCHA 06MM"</f>
        <v>PARAFUSO SEXTAVADO BUCHA 06MM</v>
      </c>
      <c r="C17329" s="2" t="str">
        <f>"KG"</f>
        <v>KG</v>
      </c>
      <c r="D17329" s="7">
        <v>800</v>
      </c>
      <c r="E17329" s="3">
        <v>10</v>
      </c>
      <c r="F17329" s="3">
        <v>10</v>
      </c>
      <c r="G17329" t="s">
        <v>515</v>
      </c>
    </row>
    <row r="17330" spans="1:7" x14ac:dyDescent="0.25">
      <c r="A17330" s="1" t="str">
        <f>"520100"</f>
        <v>520100</v>
      </c>
      <c r="B17330" s="2" t="str">
        <f>"PARAFUSO SEXTAVADO FERRO 1/4X40"</f>
        <v>PARAFUSO SEXTAVADO FERRO 1/4X40</v>
      </c>
      <c r="C17330" s="2" t="str">
        <f t="shared" ref="C17330:C17336" si="683">"UN"</f>
        <v>UN</v>
      </c>
      <c r="D17330" s="7">
        <v>918</v>
      </c>
      <c r="E17330" s="3">
        <v>11</v>
      </c>
      <c r="F17330" s="3">
        <v>11</v>
      </c>
      <c r="G17330" t="s">
        <v>512</v>
      </c>
    </row>
    <row r="17331" spans="1:7" x14ac:dyDescent="0.25">
      <c r="A17331" s="1" t="str">
        <f>"520099"</f>
        <v>520099</v>
      </c>
      <c r="B17331" s="2" t="str">
        <f>"PARAFUSO SEXTAVADO FERRO 5/8X70"</f>
        <v>PARAFUSO SEXTAVADO FERRO 5/8X70</v>
      </c>
      <c r="C17331" s="2" t="str">
        <f t="shared" si="683"/>
        <v>UN</v>
      </c>
      <c r="D17331" s="7">
        <v>918</v>
      </c>
      <c r="E17331" s="3">
        <v>11</v>
      </c>
      <c r="F17331" s="3">
        <v>11</v>
      </c>
      <c r="G17331" t="s">
        <v>516</v>
      </c>
    </row>
    <row r="17332" spans="1:7" x14ac:dyDescent="0.25">
      <c r="A17332" s="1" t="str">
        <f>"520266"</f>
        <v>520266</v>
      </c>
      <c r="B17332" s="2" t="str">
        <f>"PARAFUSO SEXTAVADO FERRO C/ PESC 3/4X75"</f>
        <v>PARAFUSO SEXTAVADO FERRO C/ PESC 3/4X75</v>
      </c>
      <c r="C17332" s="2" t="str">
        <f t="shared" si="683"/>
        <v>UN</v>
      </c>
      <c r="D17332" s="7">
        <v>918</v>
      </c>
      <c r="E17332" s="3">
        <v>11</v>
      </c>
      <c r="F17332" s="3">
        <v>11</v>
      </c>
      <c r="G17332" t="s">
        <v>515</v>
      </c>
    </row>
    <row r="17333" spans="1:7" x14ac:dyDescent="0.25">
      <c r="A17333" s="1" t="str">
        <f>"520267"</f>
        <v>520267</v>
      </c>
      <c r="B17333" s="2" t="str">
        <f>"PARAFUSO SEXTAVADO FERRO C/ PESC 9/16X120"</f>
        <v>PARAFUSO SEXTAVADO FERRO C/ PESC 9/16X120</v>
      </c>
      <c r="C17333" s="2" t="str">
        <f t="shared" si="683"/>
        <v>UN</v>
      </c>
      <c r="D17333" s="7">
        <v>918</v>
      </c>
      <c r="E17333" s="3">
        <v>11</v>
      </c>
      <c r="F17333" s="3">
        <v>11</v>
      </c>
      <c r="G17333" t="s">
        <v>514</v>
      </c>
    </row>
    <row r="17334" spans="1:7" x14ac:dyDescent="0.25">
      <c r="A17334" s="1" t="str">
        <f>"520265"</f>
        <v>520265</v>
      </c>
      <c r="B17334" s="2" t="str">
        <f>"PARAFUSO SEXTAVADO FERRO C/ PESC M16X75"</f>
        <v>PARAFUSO SEXTAVADO FERRO C/ PESC M16X75</v>
      </c>
      <c r="C17334" s="2" t="str">
        <f t="shared" si="683"/>
        <v>UN</v>
      </c>
      <c r="D17334" s="7">
        <v>918</v>
      </c>
      <c r="E17334" s="3">
        <v>11</v>
      </c>
      <c r="F17334" s="3">
        <v>11</v>
      </c>
      <c r="G17334" t="s">
        <v>512</v>
      </c>
    </row>
    <row r="17335" spans="1:7" x14ac:dyDescent="0.25">
      <c r="A17335" s="1" t="str">
        <f>"520101"</f>
        <v>520101</v>
      </c>
      <c r="B17335" s="2" t="str">
        <f>"PARAFUSO SEXTAVADO FERRO M16X62"</f>
        <v>PARAFUSO SEXTAVADO FERRO M16X62</v>
      </c>
      <c r="C17335" s="2" t="str">
        <f t="shared" si="683"/>
        <v>UN</v>
      </c>
      <c r="D17335" s="7">
        <v>918</v>
      </c>
      <c r="E17335" s="3">
        <v>11</v>
      </c>
      <c r="F17335" s="3">
        <v>11</v>
      </c>
      <c r="G17335" t="s">
        <v>513</v>
      </c>
    </row>
    <row r="17336" spans="1:7" x14ac:dyDescent="0.25">
      <c r="A17336" s="1" t="str">
        <f>"501704"</f>
        <v>501704</v>
      </c>
      <c r="B17336" s="2" t="str">
        <f>"PARAFUSO SEXTAVADO GALVON.1/4X1 C/PORCA"</f>
        <v>PARAFUSO SEXTAVADO GALVON.1/4X1 C/PORCA</v>
      </c>
      <c r="C17336" s="2" t="str">
        <f t="shared" si="683"/>
        <v>UN</v>
      </c>
      <c r="D17336" s="7">
        <v>402</v>
      </c>
      <c r="E17336" s="3">
        <v>4</v>
      </c>
      <c r="F17336" s="3">
        <v>4</v>
      </c>
      <c r="G17336" t="s">
        <v>514</v>
      </c>
    </row>
    <row r="17337" spans="1:7" x14ac:dyDescent="0.25">
      <c r="A17337" s="1" t="str">
        <f>"513936"</f>
        <v>513936</v>
      </c>
      <c r="B17337" s="2" t="str">
        <f>"PARAFUSO SEXTAVADO INOX 3/16 X 1"""</f>
        <v>PARAFUSO SEXTAVADO INOX 3/16 X 1"</v>
      </c>
      <c r="C17337" s="2" t="str">
        <f>"KG"</f>
        <v>KG</v>
      </c>
      <c r="D17337" s="7">
        <v>800</v>
      </c>
      <c r="E17337" s="3">
        <v>10</v>
      </c>
      <c r="F17337" s="3">
        <v>10</v>
      </c>
      <c r="G17337" t="s">
        <v>514</v>
      </c>
    </row>
    <row r="17338" spans="1:7" x14ac:dyDescent="0.25">
      <c r="A17338" s="1" t="str">
        <f>"507722"</f>
        <v>507722</v>
      </c>
      <c r="B17338" s="2" t="str">
        <f>"PARAFUSO SEXTAVADO INOX 3/4 X 3"""</f>
        <v>PARAFUSO SEXTAVADO INOX 3/4 X 3"</v>
      </c>
      <c r="C17338" s="2" t="str">
        <f t="shared" ref="C17338:C17353" si="684">"UN"</f>
        <v>UN</v>
      </c>
      <c r="D17338" s="7">
        <v>402</v>
      </c>
      <c r="E17338" s="3">
        <v>4</v>
      </c>
      <c r="F17338" s="3">
        <v>4</v>
      </c>
      <c r="G17338" t="s">
        <v>512</v>
      </c>
    </row>
    <row r="17339" spans="1:7" x14ac:dyDescent="0.25">
      <c r="A17339" s="1" t="str">
        <f>"510707"</f>
        <v>510707</v>
      </c>
      <c r="B17339" s="2" t="str">
        <f>"PARAFUSO SEXTAVADO INOX 7/8 X 3"</f>
        <v>PARAFUSO SEXTAVADO INOX 7/8 X 3</v>
      </c>
      <c r="C17339" s="2" t="str">
        <f t="shared" si="684"/>
        <v>UN</v>
      </c>
      <c r="D17339" s="7">
        <v>918</v>
      </c>
      <c r="E17339" s="3">
        <v>11</v>
      </c>
      <c r="F17339" s="3">
        <v>11</v>
      </c>
      <c r="G17339" t="s">
        <v>513</v>
      </c>
    </row>
    <row r="17340" spans="1:7" x14ac:dyDescent="0.25">
      <c r="A17340" s="1" t="str">
        <f>"526527"</f>
        <v>526527</v>
      </c>
      <c r="B17340" s="2" t="str">
        <f>"PARAFUSO SEXTAVADO INOX M10X100"</f>
        <v>PARAFUSO SEXTAVADO INOX M10X100</v>
      </c>
      <c r="C17340" s="2" t="str">
        <f t="shared" si="684"/>
        <v>UN</v>
      </c>
      <c r="D17340" s="7">
        <v>403</v>
      </c>
      <c r="E17340" s="3">
        <v>4</v>
      </c>
      <c r="F17340" s="3">
        <v>4</v>
      </c>
      <c r="G17340" t="s">
        <v>514</v>
      </c>
    </row>
    <row r="17341" spans="1:7" x14ac:dyDescent="0.25">
      <c r="A17341" s="1" t="str">
        <f>"506840"</f>
        <v>506840</v>
      </c>
      <c r="B17341" s="2" t="str">
        <f>"PARAFUSO SEXTAVADO INOX M10X50"</f>
        <v>PARAFUSO SEXTAVADO INOX M10X50</v>
      </c>
      <c r="C17341" s="2" t="str">
        <f t="shared" si="684"/>
        <v>UN</v>
      </c>
      <c r="D17341" s="7">
        <v>402</v>
      </c>
      <c r="E17341" s="3">
        <v>4</v>
      </c>
      <c r="F17341" s="3">
        <v>4</v>
      </c>
      <c r="G17341" t="s">
        <v>514</v>
      </c>
    </row>
    <row r="17342" spans="1:7" x14ac:dyDescent="0.25">
      <c r="A17342" s="1" t="str">
        <f>"512298"</f>
        <v>512298</v>
      </c>
      <c r="B17342" s="2" t="str">
        <f>"PARAFUSO SEXTAVADO INOX M12X50 ROSCA TOT"</f>
        <v>PARAFUSO SEXTAVADO INOX M12X50 ROSCA TOT</v>
      </c>
      <c r="C17342" s="2" t="str">
        <f t="shared" si="684"/>
        <v>UN</v>
      </c>
      <c r="D17342" s="7">
        <v>918</v>
      </c>
      <c r="E17342" s="3">
        <v>11</v>
      </c>
      <c r="F17342" s="3">
        <v>11</v>
      </c>
      <c r="G17342" t="s">
        <v>514</v>
      </c>
    </row>
    <row r="17343" spans="1:7" x14ac:dyDescent="0.25">
      <c r="A17343" s="1" t="str">
        <f>"507432"</f>
        <v>507432</v>
      </c>
      <c r="B17343" s="2" t="str">
        <f>"PARAFUSO SEXTAVADO INOX M5 X 30"</f>
        <v>PARAFUSO SEXTAVADO INOX M5 X 30</v>
      </c>
      <c r="C17343" s="2" t="str">
        <f t="shared" si="684"/>
        <v>UN</v>
      </c>
      <c r="D17343" s="7">
        <v>99999</v>
      </c>
      <c r="E17343" s="3">
        <v>99</v>
      </c>
      <c r="F17343" s="3">
        <v>99</v>
      </c>
      <c r="G17343" t="s">
        <v>513</v>
      </c>
    </row>
    <row r="17344" spans="1:7" x14ac:dyDescent="0.25">
      <c r="A17344" s="1" t="str">
        <f>"521611"</f>
        <v>521611</v>
      </c>
      <c r="B17344" s="2" t="str">
        <f>"PARAFUSO SEXTAVADO INOX M6 X 100"</f>
        <v>PARAFUSO SEXTAVADO INOX M6 X 100</v>
      </c>
      <c r="C17344" s="2" t="str">
        <f t="shared" si="684"/>
        <v>UN</v>
      </c>
      <c r="D17344" s="7">
        <v>99999</v>
      </c>
      <c r="E17344" s="3">
        <v>99</v>
      </c>
      <c r="F17344" s="3">
        <v>99</v>
      </c>
      <c r="G17344" t="s">
        <v>512</v>
      </c>
    </row>
    <row r="17345" spans="1:7" x14ac:dyDescent="0.25">
      <c r="A17345" s="1" t="str">
        <f>"513935"</f>
        <v>513935</v>
      </c>
      <c r="B17345" s="2" t="str">
        <f>"PARAFUSO SEXTAVADO INOX M6 X 30"</f>
        <v>PARAFUSO SEXTAVADO INOX M6 X 30</v>
      </c>
      <c r="C17345" s="2" t="str">
        <f t="shared" si="684"/>
        <v>UN</v>
      </c>
      <c r="D17345" s="7">
        <v>99999</v>
      </c>
      <c r="E17345" s="3">
        <v>99</v>
      </c>
      <c r="F17345" s="3">
        <v>99</v>
      </c>
      <c r="G17345" t="s">
        <v>513</v>
      </c>
    </row>
    <row r="17346" spans="1:7" x14ac:dyDescent="0.25">
      <c r="A17346" s="1" t="str">
        <f>"507435"</f>
        <v>507435</v>
      </c>
      <c r="B17346" s="2" t="str">
        <f>"PARAFUSO SEXTAVADO INOX M8 X 50 ROSCA TOTAL"</f>
        <v>PARAFUSO SEXTAVADO INOX M8 X 50 ROSCA TOTAL</v>
      </c>
      <c r="C17346" s="2" t="str">
        <f t="shared" si="684"/>
        <v>UN</v>
      </c>
      <c r="D17346" s="7">
        <v>99999</v>
      </c>
      <c r="E17346" s="3">
        <v>99</v>
      </c>
      <c r="F17346" s="3">
        <v>99</v>
      </c>
      <c r="G17346" t="s">
        <v>514</v>
      </c>
    </row>
    <row r="17347" spans="1:7" x14ac:dyDescent="0.25">
      <c r="A17347" s="1" t="str">
        <f>"512297"</f>
        <v>512297</v>
      </c>
      <c r="B17347" s="2" t="str">
        <f>"PARAFUSO SEXTAVADO INOX M8X25"</f>
        <v>PARAFUSO SEXTAVADO INOX M8X25</v>
      </c>
      <c r="C17347" s="2" t="str">
        <f t="shared" si="684"/>
        <v>UN</v>
      </c>
      <c r="D17347" s="7">
        <v>99999</v>
      </c>
      <c r="E17347" s="3">
        <v>99</v>
      </c>
      <c r="F17347" s="3">
        <v>99</v>
      </c>
      <c r="G17347" t="s">
        <v>514</v>
      </c>
    </row>
    <row r="17348" spans="1:7" x14ac:dyDescent="0.25">
      <c r="A17348" s="1" t="str">
        <f>"520096"</f>
        <v>520096</v>
      </c>
      <c r="B17348" s="2" t="str">
        <f>"PARAFUSO SEXTAVADO LATÃO C/ PESC. M16X60"</f>
        <v>PARAFUSO SEXTAVADO LATÃO C/ PESC. M16X60</v>
      </c>
      <c r="C17348" s="2" t="str">
        <f t="shared" si="684"/>
        <v>UN</v>
      </c>
      <c r="D17348" s="7">
        <v>918</v>
      </c>
      <c r="E17348" s="3">
        <v>11</v>
      </c>
      <c r="F17348" s="3">
        <v>11</v>
      </c>
      <c r="G17348" t="s">
        <v>514</v>
      </c>
    </row>
    <row r="17349" spans="1:7" x14ac:dyDescent="0.25">
      <c r="A17349" s="1" t="str">
        <f>"520097"</f>
        <v>520097</v>
      </c>
      <c r="B17349" s="2" t="str">
        <f>"PARAFUSO SEXTAVADO LATÃO ROSCA TOTAL M16X60"</f>
        <v>PARAFUSO SEXTAVADO LATÃO ROSCA TOTAL M16X60</v>
      </c>
      <c r="C17349" s="2" t="str">
        <f t="shared" si="684"/>
        <v>UN</v>
      </c>
      <c r="D17349" s="7">
        <v>918</v>
      </c>
      <c r="E17349" s="3">
        <v>11</v>
      </c>
      <c r="F17349" s="3">
        <v>11</v>
      </c>
      <c r="G17349" t="s">
        <v>513</v>
      </c>
    </row>
    <row r="17350" spans="1:7" x14ac:dyDescent="0.25">
      <c r="A17350" s="1" t="str">
        <f>"520107"</f>
        <v>520107</v>
      </c>
      <c r="B17350" s="2" t="str">
        <f>"PARAFUSO SEXTAVADO ZINCADO 1/4X4"" C/ PESC."</f>
        <v>PARAFUSO SEXTAVADO ZINCADO 1/4X4" C/ PESC.</v>
      </c>
      <c r="C17350" s="2" t="str">
        <f t="shared" si="684"/>
        <v>UN</v>
      </c>
      <c r="D17350" s="7">
        <v>918</v>
      </c>
      <c r="E17350" s="3">
        <v>11</v>
      </c>
      <c r="F17350" s="3">
        <v>11</v>
      </c>
      <c r="G17350" t="s">
        <v>513</v>
      </c>
    </row>
    <row r="17351" spans="1:7" x14ac:dyDescent="0.25">
      <c r="A17351" s="1" t="str">
        <f>"527170"</f>
        <v>527170</v>
      </c>
      <c r="B17351" s="2" t="str">
        <f>"PARAFUSO SOBERBA SEXTAVADO 6X60MM"</f>
        <v>PARAFUSO SOBERBA SEXTAVADO 6X60MM</v>
      </c>
      <c r="C17351" s="2" t="str">
        <f t="shared" si="684"/>
        <v>UN</v>
      </c>
      <c r="D17351" s="7">
        <v>800</v>
      </c>
      <c r="E17351" s="3">
        <v>10</v>
      </c>
      <c r="F17351" s="3">
        <v>10</v>
      </c>
      <c r="G17351" t="s">
        <v>513</v>
      </c>
    </row>
    <row r="17352" spans="1:7" x14ac:dyDescent="0.25">
      <c r="A17352" s="1" t="str">
        <f>"500772"</f>
        <v>500772</v>
      </c>
      <c r="B17352" s="2" t="str">
        <f>"PARAFUSO SOBERBO P/ BUCHA 10 30MM GALVANIZADO"</f>
        <v>PARAFUSO SOBERBO P/ BUCHA 10 30MM GALVANIZADO</v>
      </c>
      <c r="C17352" s="2" t="str">
        <f t="shared" si="684"/>
        <v>UN</v>
      </c>
      <c r="D17352" s="7">
        <v>402</v>
      </c>
      <c r="E17352" s="3">
        <v>4</v>
      </c>
      <c r="F17352" s="3">
        <v>4</v>
      </c>
      <c r="G17352" t="s">
        <v>512</v>
      </c>
    </row>
    <row r="17353" spans="1:7" x14ac:dyDescent="0.25">
      <c r="A17353" s="1" t="str">
        <f>"500773"</f>
        <v>500773</v>
      </c>
      <c r="B17353" s="2" t="str">
        <f>"PARAFUSO SOBERBO PHILIPS 4.0 X 40 P/ BUCHA 6"</f>
        <v>PARAFUSO SOBERBO PHILIPS 4.0 X 40 P/ BUCHA 6</v>
      </c>
      <c r="C17353" s="2" t="str">
        <f t="shared" si="684"/>
        <v>UN</v>
      </c>
      <c r="D17353" s="7">
        <v>402</v>
      </c>
      <c r="E17353" s="3">
        <v>4</v>
      </c>
      <c r="F17353" s="3">
        <v>4</v>
      </c>
      <c r="G17353" t="s">
        <v>513</v>
      </c>
    </row>
    <row r="17354" spans="1:7" x14ac:dyDescent="0.25">
      <c r="A17354" s="1" t="str">
        <f>"512247"</f>
        <v>512247</v>
      </c>
      <c r="B17354" s="2" t="str">
        <f>"PARAFUSO SOBERBO PHILIPS 40MM BUCHA 10"</f>
        <v>PARAFUSO SOBERBO PHILIPS 40MM BUCHA 10</v>
      </c>
      <c r="C17354" s="2" t="str">
        <f>"KG"</f>
        <v>KG</v>
      </c>
      <c r="D17354" s="7">
        <v>800</v>
      </c>
      <c r="E17354" s="3">
        <v>10</v>
      </c>
      <c r="F17354" s="3">
        <v>10</v>
      </c>
      <c r="G17354" t="s">
        <v>514</v>
      </c>
    </row>
    <row r="17355" spans="1:7" x14ac:dyDescent="0.25">
      <c r="A17355" s="1" t="str">
        <f>"527438"</f>
        <v>527438</v>
      </c>
      <c r="B17355" s="2" t="str">
        <f>"PARAFUSO SOBERBO PHILIPS 5 X 4.5"</f>
        <v>PARAFUSO SOBERBO PHILIPS 5 X 4.5</v>
      </c>
      <c r="C17355" s="2" t="str">
        <f t="shared" ref="C17355:C17388" si="685">"UN"</f>
        <v>UN</v>
      </c>
      <c r="D17355" s="7">
        <v>917</v>
      </c>
      <c r="E17355" s="3">
        <v>4</v>
      </c>
      <c r="F17355" s="3">
        <v>4</v>
      </c>
      <c r="G17355" t="s">
        <v>515</v>
      </c>
    </row>
    <row r="17356" spans="1:7" x14ac:dyDescent="0.25">
      <c r="A17356" s="1" t="str">
        <f>"503353"</f>
        <v>503353</v>
      </c>
      <c r="B17356" s="2" t="str">
        <f>"PARAFUSO SOBERBO PHILIPS 5.0 X 50 P/ BUCHA 8"</f>
        <v>PARAFUSO SOBERBO PHILIPS 5.0 X 50 P/ BUCHA 8</v>
      </c>
      <c r="C17356" s="2" t="str">
        <f t="shared" si="685"/>
        <v>UN</v>
      </c>
      <c r="D17356" s="7">
        <v>402</v>
      </c>
      <c r="E17356" s="3">
        <v>4</v>
      </c>
      <c r="F17356" s="3">
        <v>4</v>
      </c>
      <c r="G17356" t="s">
        <v>512</v>
      </c>
    </row>
    <row r="17357" spans="1:7" x14ac:dyDescent="0.25">
      <c r="A17357" s="1" t="str">
        <f>"524929"</f>
        <v>524929</v>
      </c>
      <c r="B17357" s="2" t="str">
        <f>"PARAFUSO SX RS 1/4X50MM ZINCADO S-10"</f>
        <v>PARAFUSO SX RS 1/4X50MM ZINCADO S-10</v>
      </c>
      <c r="C17357" s="2" t="str">
        <f t="shared" si="685"/>
        <v>UN</v>
      </c>
      <c r="D17357" s="7">
        <v>812</v>
      </c>
      <c r="E17357" s="3">
        <v>10</v>
      </c>
      <c r="F17357" s="3">
        <v>10</v>
      </c>
      <c r="G17357" t="s">
        <v>516</v>
      </c>
    </row>
    <row r="17358" spans="1:7" x14ac:dyDescent="0.25">
      <c r="A17358" s="1" t="str">
        <f>"525321"</f>
        <v>525321</v>
      </c>
      <c r="B17358" s="2" t="str">
        <f>"PARAFUSO TELHA COM ARRUELAS DE VEDAÇÃO 5/16X110 ZINCADO"</f>
        <v>PARAFUSO TELHA COM ARRUELAS DE VEDAÇÃO 5/16X110 ZINCADO</v>
      </c>
      <c r="C17358" s="2" t="str">
        <f t="shared" si="685"/>
        <v>UN</v>
      </c>
      <c r="D17358" s="7">
        <v>403</v>
      </c>
      <c r="E17358" s="3">
        <v>4</v>
      </c>
      <c r="F17358" s="3">
        <v>4</v>
      </c>
      <c r="G17358" t="s">
        <v>515</v>
      </c>
    </row>
    <row r="17359" spans="1:7" x14ac:dyDescent="0.25">
      <c r="A17359" s="1" t="str">
        <f>"510035"</f>
        <v>510035</v>
      </c>
      <c r="B17359" s="2" t="str">
        <f>"PARAFUSO VALVULA DESCARGA 65/CMO MK1/2"</f>
        <v>PARAFUSO VALVULA DESCARGA 65/CMO MK1/2</v>
      </c>
      <c r="C17359" s="2" t="str">
        <f t="shared" si="685"/>
        <v>UN</v>
      </c>
      <c r="D17359" s="7">
        <v>918</v>
      </c>
      <c r="E17359" s="3">
        <v>11</v>
      </c>
      <c r="F17359" s="3">
        <v>11</v>
      </c>
      <c r="G17359" t="s">
        <v>514</v>
      </c>
    </row>
    <row r="17360" spans="1:7" x14ac:dyDescent="0.25">
      <c r="A17360" s="1" t="str">
        <f>"509242"</f>
        <v>509242</v>
      </c>
      <c r="B17360" s="2" t="str">
        <f>"PARAFUSO VASADO FESTO 1/4-VT-1/4-2"</f>
        <v>PARAFUSO VASADO FESTO 1/4-VT-1/4-2</v>
      </c>
      <c r="C17360" s="2" t="str">
        <f t="shared" si="685"/>
        <v>UN</v>
      </c>
      <c r="D17360" s="7">
        <v>913</v>
      </c>
      <c r="E17360" s="3">
        <v>11</v>
      </c>
      <c r="F17360" s="3">
        <v>11</v>
      </c>
      <c r="G17360" t="s">
        <v>512</v>
      </c>
    </row>
    <row r="17361" spans="1:7" x14ac:dyDescent="0.25">
      <c r="A17361" s="1" t="str">
        <f>"513745"</f>
        <v>513745</v>
      </c>
      <c r="B17361" s="2" t="str">
        <f>"PARAFUSO VAZADO BASE MANIFOLD VTB1/4-PRS"</f>
        <v>PARAFUSO VAZADO BASE MANIFOLD VTB1/4-PRS</v>
      </c>
      <c r="C17361" s="2" t="str">
        <f t="shared" si="685"/>
        <v>UN</v>
      </c>
      <c r="D17361" s="7">
        <v>918</v>
      </c>
      <c r="E17361" s="3">
        <v>11</v>
      </c>
      <c r="F17361" s="3">
        <v>11</v>
      </c>
      <c r="G17361" t="s">
        <v>513</v>
      </c>
    </row>
    <row r="17362" spans="1:7" x14ac:dyDescent="0.25">
      <c r="A17362" s="1" t="str">
        <f>"517882"</f>
        <v>517882</v>
      </c>
      <c r="B17362" s="2" t="str">
        <f>"PARAFUSO VUVG - FESTO 743819"</f>
        <v>PARAFUSO VUVG - FESTO 743819</v>
      </c>
      <c r="C17362" s="2" t="str">
        <f t="shared" si="685"/>
        <v>UN</v>
      </c>
      <c r="D17362" s="7">
        <v>913</v>
      </c>
      <c r="E17362" s="3">
        <v>11</v>
      </c>
      <c r="F17362" s="3">
        <v>11</v>
      </c>
      <c r="G17362" t="s">
        <v>514</v>
      </c>
    </row>
    <row r="17363" spans="1:7" x14ac:dyDescent="0.25">
      <c r="A17363" s="1" t="str">
        <f>"509692"</f>
        <v>509692</v>
      </c>
      <c r="B17363" s="2" t="str">
        <f>"PARAFUSO ZINCADO 1/2 X 4 """</f>
        <v>PARAFUSO ZINCADO 1/2 X 4 "</v>
      </c>
      <c r="C17363" s="2" t="str">
        <f t="shared" si="685"/>
        <v>UN</v>
      </c>
      <c r="D17363" s="7">
        <v>402</v>
      </c>
      <c r="E17363" s="3">
        <v>4</v>
      </c>
      <c r="F17363" s="3">
        <v>4</v>
      </c>
      <c r="G17363" t="s">
        <v>514</v>
      </c>
    </row>
    <row r="17364" spans="1:7" x14ac:dyDescent="0.25">
      <c r="A17364" s="1" t="str">
        <f>"511328"</f>
        <v>511328</v>
      </c>
      <c r="B17364" s="2" t="str">
        <f>"PARAFUSO ZINCADO 1/4 X 1 1/2"""</f>
        <v>PARAFUSO ZINCADO 1/4 X 1 1/2"</v>
      </c>
      <c r="C17364" s="2" t="str">
        <f t="shared" si="685"/>
        <v>UN</v>
      </c>
      <c r="D17364" s="7">
        <v>601</v>
      </c>
      <c r="E17364" s="3">
        <v>8</v>
      </c>
      <c r="F17364" s="3">
        <v>8</v>
      </c>
      <c r="G17364" t="s">
        <v>512</v>
      </c>
    </row>
    <row r="17365" spans="1:7" x14ac:dyDescent="0.25">
      <c r="A17365" s="1" t="str">
        <f>"509671"</f>
        <v>509671</v>
      </c>
      <c r="B17365" s="2" t="str">
        <f>"PARAFUSO ZINCADO 1/4 X 3/4"""</f>
        <v>PARAFUSO ZINCADO 1/4 X 3/4"</v>
      </c>
      <c r="C17365" s="2" t="str">
        <f t="shared" si="685"/>
        <v>UN</v>
      </c>
      <c r="D17365" s="7">
        <v>402</v>
      </c>
      <c r="E17365" s="3">
        <v>4</v>
      </c>
      <c r="F17365" s="3">
        <v>4</v>
      </c>
      <c r="G17365" t="s">
        <v>513</v>
      </c>
    </row>
    <row r="17366" spans="1:7" x14ac:dyDescent="0.25">
      <c r="A17366" s="1" t="str">
        <f>"511254"</f>
        <v>511254</v>
      </c>
      <c r="B17366" s="2" t="str">
        <f>"PARAFUSO ZINCADO 1/8 X 2"""</f>
        <v>PARAFUSO ZINCADO 1/8 X 2"</v>
      </c>
      <c r="C17366" s="2" t="str">
        <f t="shared" si="685"/>
        <v>UN</v>
      </c>
      <c r="D17366" s="7">
        <v>601</v>
      </c>
      <c r="E17366" s="3">
        <v>8</v>
      </c>
      <c r="F17366" s="3">
        <v>8</v>
      </c>
      <c r="G17366" t="s">
        <v>514</v>
      </c>
    </row>
    <row r="17367" spans="1:7" x14ac:dyDescent="0.25">
      <c r="A17367" s="1" t="str">
        <f>"511266"</f>
        <v>511266</v>
      </c>
      <c r="B17367" s="2" t="str">
        <f>"PARAFUSO ZINCADO 3/16 X 1"""</f>
        <v>PARAFUSO ZINCADO 3/16 X 1"</v>
      </c>
      <c r="C17367" s="2" t="str">
        <f t="shared" si="685"/>
        <v>UN</v>
      </c>
      <c r="D17367" s="7">
        <v>601</v>
      </c>
      <c r="E17367" s="3">
        <v>8</v>
      </c>
      <c r="F17367" s="3">
        <v>8</v>
      </c>
      <c r="G17367" t="s">
        <v>514</v>
      </c>
    </row>
    <row r="17368" spans="1:7" x14ac:dyDescent="0.25">
      <c r="A17368" s="1" t="str">
        <f>"511260"</f>
        <v>511260</v>
      </c>
      <c r="B17368" s="2" t="str">
        <f>"PARAFUSO ZINCADO 3/16 X 1/2"""</f>
        <v>PARAFUSO ZINCADO 3/16 X 1/2"</v>
      </c>
      <c r="C17368" s="2" t="str">
        <f t="shared" si="685"/>
        <v>UN</v>
      </c>
      <c r="D17368" s="7">
        <v>601</v>
      </c>
      <c r="E17368" s="3">
        <v>8</v>
      </c>
      <c r="F17368" s="3">
        <v>8</v>
      </c>
      <c r="G17368" t="s">
        <v>514</v>
      </c>
    </row>
    <row r="17369" spans="1:7" x14ac:dyDescent="0.25">
      <c r="A17369" s="1" t="str">
        <f>"520150"</f>
        <v>520150</v>
      </c>
      <c r="B17369" s="2" t="str">
        <f>"PARAFUSO ZINCADO BROCANTE Nº12 X 3/4"</f>
        <v>PARAFUSO ZINCADO BROCANTE Nº12 X 3/4</v>
      </c>
      <c r="C17369" s="2" t="str">
        <f t="shared" si="685"/>
        <v>UN</v>
      </c>
      <c r="D17369" s="7">
        <v>402</v>
      </c>
      <c r="E17369" s="3">
        <v>4</v>
      </c>
      <c r="F17369" s="3">
        <v>4</v>
      </c>
      <c r="G17369" t="s">
        <v>513</v>
      </c>
    </row>
    <row r="17370" spans="1:7" x14ac:dyDescent="0.25">
      <c r="A17370" s="1" t="str">
        <f>"511332"</f>
        <v>511332</v>
      </c>
      <c r="B17370" s="2" t="str">
        <f>"PARAFUSO ZINCADO CABEÇA CHATA 2,9 X 19"</f>
        <v>PARAFUSO ZINCADO CABEÇA CHATA 2,9 X 19</v>
      </c>
      <c r="C17370" s="2" t="str">
        <f t="shared" si="685"/>
        <v>UN</v>
      </c>
      <c r="D17370" s="7">
        <v>601</v>
      </c>
      <c r="E17370" s="3">
        <v>8</v>
      </c>
      <c r="F17370" s="3">
        <v>8</v>
      </c>
      <c r="G17370" t="s">
        <v>512</v>
      </c>
    </row>
    <row r="17371" spans="1:7" x14ac:dyDescent="0.25">
      <c r="A17371" s="1" t="str">
        <f>"511615"</f>
        <v>511615</v>
      </c>
      <c r="B17371" s="2" t="str">
        <f>"PARAFUSO ZINCADO CABEÇA REDONDA 3/16 X 4"</f>
        <v>PARAFUSO ZINCADO CABEÇA REDONDA 3/16 X 4</v>
      </c>
      <c r="C17371" s="2" t="str">
        <f t="shared" si="685"/>
        <v>UN</v>
      </c>
      <c r="D17371" s="7">
        <v>601</v>
      </c>
      <c r="E17371" s="3">
        <v>8</v>
      </c>
      <c r="F17371" s="3">
        <v>8</v>
      </c>
      <c r="G17371" t="s">
        <v>513</v>
      </c>
    </row>
    <row r="17372" spans="1:7" x14ac:dyDescent="0.25">
      <c r="A17372" s="1" t="str">
        <f>"520149"</f>
        <v>520149</v>
      </c>
      <c r="B17372" s="2" t="str">
        <f>"PARAFUSO ZINCADO CUSTURA Nº12 X 7/8"</f>
        <v>PARAFUSO ZINCADO CUSTURA Nº12 X 7/8</v>
      </c>
      <c r="C17372" s="2" t="str">
        <f t="shared" si="685"/>
        <v>UN</v>
      </c>
      <c r="D17372" s="7">
        <v>402</v>
      </c>
      <c r="E17372" s="3">
        <v>4</v>
      </c>
      <c r="F17372" s="3">
        <v>4</v>
      </c>
      <c r="G17372" t="s">
        <v>514</v>
      </c>
    </row>
    <row r="17373" spans="1:7" x14ac:dyDescent="0.25">
      <c r="A17373" s="1" t="str">
        <f>"527420"</f>
        <v>527420</v>
      </c>
      <c r="B17373" s="2" t="str">
        <f>"PARAFUSSO SEXTAVADO A2 01.05.001.001.002838"</f>
        <v>PARAFUSSO SEXTAVADO A2 01.05.001.001.002838</v>
      </c>
      <c r="C17373" s="2" t="str">
        <f t="shared" si="685"/>
        <v>UN</v>
      </c>
      <c r="D17373" s="7">
        <v>918</v>
      </c>
      <c r="E17373" s="3">
        <v>10</v>
      </c>
      <c r="F17373" s="3">
        <v>10</v>
      </c>
      <c r="G17373" t="s">
        <v>514</v>
      </c>
    </row>
    <row r="17374" spans="1:7" x14ac:dyDescent="0.25">
      <c r="A17374" s="1" t="str">
        <f>"514115"</f>
        <v>514115</v>
      </c>
      <c r="B17374" s="2" t="str">
        <f>"PARALAMA"</f>
        <v>PARALAMA</v>
      </c>
      <c r="C17374" s="2" t="str">
        <f t="shared" si="685"/>
        <v>UN</v>
      </c>
      <c r="D17374" s="7">
        <v>704</v>
      </c>
      <c r="E17374" s="3">
        <v>9</v>
      </c>
      <c r="F17374" s="3">
        <v>9</v>
      </c>
      <c r="G17374" t="s">
        <v>514</v>
      </c>
    </row>
    <row r="17375" spans="1:7" x14ac:dyDescent="0.25">
      <c r="A17375" s="1" t="str">
        <f>"504976"</f>
        <v>504976</v>
      </c>
      <c r="B17375" s="2" t="str">
        <f>"PARALAMA ENVOLVENTE"</f>
        <v>PARALAMA ENVOLVENTE</v>
      </c>
      <c r="C17375" s="2" t="str">
        <f t="shared" si="685"/>
        <v>UN</v>
      </c>
      <c r="D17375" s="7">
        <v>704</v>
      </c>
      <c r="E17375" s="3">
        <v>9</v>
      </c>
      <c r="F17375" s="3">
        <v>9</v>
      </c>
      <c r="G17375" t="s">
        <v>513</v>
      </c>
    </row>
    <row r="17376" spans="1:7" x14ac:dyDescent="0.25">
      <c r="A17376" s="1" t="str">
        <f>"506466"</f>
        <v>506466</v>
      </c>
      <c r="B17376" s="2" t="str">
        <f>"PARALAMA TRASEIRO 3/4 FACCHINI L.E."</f>
        <v>PARALAMA TRASEIRO 3/4 FACCHINI L.E.</v>
      </c>
      <c r="C17376" s="2" t="str">
        <f t="shared" si="685"/>
        <v>UN</v>
      </c>
      <c r="D17376" s="7">
        <v>918</v>
      </c>
      <c r="E17376" s="3">
        <v>11</v>
      </c>
      <c r="F17376" s="3">
        <v>11</v>
      </c>
      <c r="G17376" t="s">
        <v>513</v>
      </c>
    </row>
    <row r="17377" spans="1:7" x14ac:dyDescent="0.25">
      <c r="A17377" s="1" t="str">
        <f>"517499"</f>
        <v>517499</v>
      </c>
      <c r="B17377" s="2" t="str">
        <f>"PARTES CAM FRIG 100MM X 12,00M"</f>
        <v>PARTES CAM FRIG 100MM X 12,00M</v>
      </c>
      <c r="C17377" s="2" t="str">
        <f t="shared" si="685"/>
        <v>UN</v>
      </c>
      <c r="D17377" s="7">
        <v>918</v>
      </c>
      <c r="E17377" s="3">
        <v>10</v>
      </c>
      <c r="F17377" s="3">
        <v>10</v>
      </c>
      <c r="G17377" t="s">
        <v>513</v>
      </c>
    </row>
    <row r="17378" spans="1:7" x14ac:dyDescent="0.25">
      <c r="A17378" s="1" t="str">
        <f>"523502"</f>
        <v>523502</v>
      </c>
      <c r="B17378" s="2" t="str">
        <f>"PÁS DE MÃO (COR AMARELO CÓD. 15107)"</f>
        <v>PÁS DE MÃO (COR AMARELO CÓD. 15107)</v>
      </c>
      <c r="C17378" s="2" t="str">
        <f t="shared" si="685"/>
        <v>UN</v>
      </c>
      <c r="D17378" s="7">
        <v>400</v>
      </c>
      <c r="E17378" s="3">
        <v>4</v>
      </c>
      <c r="F17378" s="3">
        <v>4</v>
      </c>
      <c r="G17378" t="s">
        <v>512</v>
      </c>
    </row>
    <row r="17379" spans="1:7" x14ac:dyDescent="0.25">
      <c r="A17379" s="1" t="str">
        <f>"523501"</f>
        <v>523501</v>
      </c>
      <c r="B17379" s="2" t="str">
        <f>"PÁS DE MÃO (COR VERDE CÓD. 15107)"</f>
        <v>PÁS DE MÃO (COR VERDE CÓD. 15107)</v>
      </c>
      <c r="C17379" s="2" t="str">
        <f t="shared" si="685"/>
        <v>UN</v>
      </c>
      <c r="D17379" s="7">
        <v>400</v>
      </c>
      <c r="E17379" s="3">
        <v>4</v>
      </c>
      <c r="F17379" s="3">
        <v>4</v>
      </c>
      <c r="G17379" t="s">
        <v>513</v>
      </c>
    </row>
    <row r="17380" spans="1:7" x14ac:dyDescent="0.25">
      <c r="A17380" s="1" t="str">
        <f>"518169"</f>
        <v>518169</v>
      </c>
      <c r="B17380" s="2" t="str">
        <f>"PASS CONFORT 500ML"</f>
        <v>PASS CONFORT 500ML</v>
      </c>
      <c r="C17380" s="2" t="str">
        <f t="shared" si="685"/>
        <v>UN</v>
      </c>
      <c r="D17380" s="7">
        <v>918</v>
      </c>
      <c r="E17380" s="3">
        <v>4</v>
      </c>
      <c r="F17380" s="3">
        <v>4</v>
      </c>
      <c r="G17380" t="s">
        <v>514</v>
      </c>
    </row>
    <row r="17381" spans="1:7" x14ac:dyDescent="0.25">
      <c r="A17381" s="1" t="str">
        <f>"509529"</f>
        <v>509529</v>
      </c>
      <c r="B17381" s="2" t="str">
        <f>"PASSA CABO 20M"</f>
        <v>PASSA CABO 20M</v>
      </c>
      <c r="C17381" s="2" t="str">
        <f t="shared" si="685"/>
        <v>UN</v>
      </c>
      <c r="D17381" s="7">
        <v>403</v>
      </c>
      <c r="E17381" s="3">
        <v>4</v>
      </c>
      <c r="F17381" s="3">
        <v>4</v>
      </c>
      <c r="G17381" t="s">
        <v>515</v>
      </c>
    </row>
    <row r="17382" spans="1:7" x14ac:dyDescent="0.25">
      <c r="A17382" s="1" t="str">
        <f>"513524"</f>
        <v>513524</v>
      </c>
      <c r="B17382" s="2" t="str">
        <f>"PASSA FIO COM ALMA DE AÇO 10MM"</f>
        <v>PASSA FIO COM ALMA DE AÇO 10MM</v>
      </c>
      <c r="C17382" s="2" t="str">
        <f t="shared" si="685"/>
        <v>UN</v>
      </c>
      <c r="D17382" s="7">
        <v>817</v>
      </c>
      <c r="E17382" s="3">
        <v>4</v>
      </c>
      <c r="F17382" s="3">
        <v>4</v>
      </c>
      <c r="G17382" t="s">
        <v>512</v>
      </c>
    </row>
    <row r="17383" spans="1:7" x14ac:dyDescent="0.25">
      <c r="A17383" s="1" t="str">
        <f>"513523"</f>
        <v>513523</v>
      </c>
      <c r="B17383" s="2" t="str">
        <f>"PASSA FIO COM ALMA DE AÇO 20MM"</f>
        <v>PASSA FIO COM ALMA DE AÇO 20MM</v>
      </c>
      <c r="C17383" s="2" t="str">
        <f t="shared" si="685"/>
        <v>UN</v>
      </c>
      <c r="D17383" s="7">
        <v>817</v>
      </c>
      <c r="E17383" s="3">
        <v>4</v>
      </c>
      <c r="F17383" s="3">
        <v>4</v>
      </c>
      <c r="G17383" t="s">
        <v>516</v>
      </c>
    </row>
    <row r="17384" spans="1:7" x14ac:dyDescent="0.25">
      <c r="A17384" s="1" t="str">
        <f>"505125"</f>
        <v>505125</v>
      </c>
      <c r="B17384" s="2" t="str">
        <f>"PASSA MURO"</f>
        <v>PASSA MURO</v>
      </c>
      <c r="C17384" s="2" t="str">
        <f t="shared" si="685"/>
        <v>UN</v>
      </c>
      <c r="D17384" s="7">
        <v>704</v>
      </c>
      <c r="E17384" s="3">
        <v>9</v>
      </c>
      <c r="F17384" s="3">
        <v>9</v>
      </c>
      <c r="G17384" t="s">
        <v>515</v>
      </c>
    </row>
    <row r="17385" spans="1:7" x14ac:dyDescent="0.25">
      <c r="A17385" s="1" t="str">
        <f>"514231"</f>
        <v>514231</v>
      </c>
      <c r="B17385" s="2" t="str">
        <f>"PASSADOR DE BORRACHA"</f>
        <v>PASSADOR DE BORRACHA</v>
      </c>
      <c r="C17385" s="2" t="str">
        <f t="shared" si="685"/>
        <v>UN</v>
      </c>
      <c r="D17385" s="7">
        <v>704</v>
      </c>
      <c r="E17385" s="3">
        <v>9</v>
      </c>
      <c r="F17385" s="3">
        <v>9</v>
      </c>
      <c r="G17385" t="s">
        <v>514</v>
      </c>
    </row>
    <row r="17386" spans="1:7" x14ac:dyDescent="0.25">
      <c r="A17386" s="1" t="str">
        <f>"523481"</f>
        <v>523481</v>
      </c>
      <c r="B17386" s="2" t="str">
        <f>"PASSAGUA P/ PESCA"</f>
        <v>PASSAGUA P/ PESCA</v>
      </c>
      <c r="C17386" s="2" t="str">
        <f t="shared" si="685"/>
        <v>UN</v>
      </c>
      <c r="D17386" s="7">
        <v>99999</v>
      </c>
      <c r="E17386" s="3">
        <v>99</v>
      </c>
      <c r="F17386" s="3">
        <v>99</v>
      </c>
      <c r="G17386" t="s">
        <v>512</v>
      </c>
    </row>
    <row r="17387" spans="1:7" x14ac:dyDescent="0.25">
      <c r="A17387" s="1" t="str">
        <f>"523184"</f>
        <v>523184</v>
      </c>
      <c r="B17387" s="2" t="str">
        <f>"PASSARELA METALICA"</f>
        <v>PASSARELA METALICA</v>
      </c>
      <c r="C17387" s="2" t="str">
        <f t="shared" si="685"/>
        <v>UN</v>
      </c>
      <c r="D17387" s="7">
        <v>99999</v>
      </c>
      <c r="E17387" s="3">
        <v>99</v>
      </c>
      <c r="F17387" s="3">
        <v>99</v>
      </c>
      <c r="G17387" t="s">
        <v>513</v>
      </c>
    </row>
    <row r="17388" spans="1:7" x14ac:dyDescent="0.25">
      <c r="A17388" s="1" t="str">
        <f>"510502"</f>
        <v>510502</v>
      </c>
      <c r="B17388" s="2" t="str">
        <f>"PASTA"</f>
        <v>PASTA</v>
      </c>
      <c r="C17388" s="2" t="str">
        <f t="shared" si="685"/>
        <v>UN</v>
      </c>
      <c r="D17388" s="7">
        <v>99999</v>
      </c>
      <c r="E17388" s="3">
        <v>99</v>
      </c>
      <c r="F17388" s="3">
        <v>99</v>
      </c>
      <c r="G17388" t="s">
        <v>514</v>
      </c>
    </row>
    <row r="17389" spans="1:7" x14ac:dyDescent="0.25">
      <c r="A17389" s="1" t="str">
        <f>"522567"</f>
        <v>522567</v>
      </c>
      <c r="B17389" s="2" t="str">
        <f>"PASTA ARQ. FIC. 4 ARG. ETIQUET FRENTE/DORSO 255X330X75MM PVC"</f>
        <v>PASTA ARQ. FIC. 4 ARG. ETIQUET FRENTE/DORSO 255X330X75MM PVC</v>
      </c>
      <c r="C17389" s="2" t="str">
        <f>"PC"</f>
        <v>PC</v>
      </c>
      <c r="D17389" s="7">
        <v>401</v>
      </c>
      <c r="E17389" s="3">
        <v>4</v>
      </c>
      <c r="F17389" s="3">
        <v>4</v>
      </c>
      <c r="G17389" t="s">
        <v>514</v>
      </c>
    </row>
    <row r="17390" spans="1:7" x14ac:dyDescent="0.25">
      <c r="A17390" s="1" t="str">
        <f>"528078"</f>
        <v>528078</v>
      </c>
      <c r="B17390" s="2" t="str">
        <f>"PASTA AZ AZUL LE 4CM - FRAMA"</f>
        <v>PASTA AZ AZUL LE 4CM - FRAMA</v>
      </c>
      <c r="C17390" s="2" t="str">
        <f>"UN"</f>
        <v>UN</v>
      </c>
      <c r="D17390" s="7">
        <v>99999</v>
      </c>
      <c r="E17390" s="3">
        <v>99</v>
      </c>
      <c r="F17390" s="3">
        <v>99</v>
      </c>
      <c r="G17390" t="s">
        <v>512</v>
      </c>
    </row>
    <row r="17391" spans="1:7" x14ac:dyDescent="0.25">
      <c r="A17391" s="1" t="str">
        <f>"528077"</f>
        <v>528077</v>
      </c>
      <c r="B17391" s="2" t="str">
        <f>"PASTA AZ AZUL LL 8CM - FRAMA"</f>
        <v>PASTA AZ AZUL LL 8CM - FRAMA</v>
      </c>
      <c r="C17391" s="2" t="str">
        <f>"UN"</f>
        <v>UN</v>
      </c>
      <c r="D17391" s="7">
        <v>99999</v>
      </c>
      <c r="E17391" s="3">
        <v>99</v>
      </c>
      <c r="F17391" s="3">
        <v>99</v>
      </c>
      <c r="G17391" t="s">
        <v>513</v>
      </c>
    </row>
    <row r="17392" spans="1:7" x14ac:dyDescent="0.25">
      <c r="A17392" s="1" t="str">
        <f>"528166"</f>
        <v>528166</v>
      </c>
      <c r="B17392" s="2" t="str">
        <f>"PASTA AZ C/ VISOR A4LL AZUL SPIRAL 48MM 656240"</f>
        <v>PASTA AZ C/ VISOR A4LL AZUL SPIRAL 48MM 656240</v>
      </c>
      <c r="C17392" s="2" t="str">
        <f>"UN"</f>
        <v>UN</v>
      </c>
      <c r="D17392" s="7">
        <v>99999</v>
      </c>
      <c r="E17392" s="3">
        <v>99</v>
      </c>
      <c r="F17392" s="3">
        <v>99</v>
      </c>
      <c r="G17392" t="s">
        <v>514</v>
      </c>
    </row>
    <row r="17393" spans="1:7" x14ac:dyDescent="0.25">
      <c r="A17393" s="1" t="str">
        <f>"528165"</f>
        <v>528165</v>
      </c>
      <c r="B17393" s="2" t="str">
        <f>"PASTA AZ C/ VISOR A4LL AZUL SPIRAL 75MM 656250"</f>
        <v>PASTA AZ C/ VISOR A4LL AZUL SPIRAL 75MM 656250</v>
      </c>
      <c r="C17393" s="2" t="str">
        <f>"UN"</f>
        <v>UN</v>
      </c>
      <c r="D17393" s="7">
        <v>99999</v>
      </c>
      <c r="E17393" s="3">
        <v>99</v>
      </c>
      <c r="F17393" s="3">
        <v>99</v>
      </c>
      <c r="G17393" t="s">
        <v>514</v>
      </c>
    </row>
    <row r="17394" spans="1:7" x14ac:dyDescent="0.25">
      <c r="A17394" s="1" t="str">
        <f>"2878"</f>
        <v>2878</v>
      </c>
      <c r="B17394" s="2" t="str">
        <f>"PASTA AZ LARGO POLYCART"</f>
        <v>PASTA AZ LARGO POLYCART</v>
      </c>
      <c r="C17394" s="2" t="str">
        <f>"PC"</f>
        <v>PC</v>
      </c>
      <c r="D17394" s="7">
        <v>401</v>
      </c>
      <c r="E17394" s="3">
        <v>4</v>
      </c>
      <c r="F17394" s="3">
        <v>4</v>
      </c>
      <c r="G17394" t="s">
        <v>514</v>
      </c>
    </row>
    <row r="17395" spans="1:7" x14ac:dyDescent="0.25">
      <c r="A17395" s="1" t="str">
        <f>"6177"</f>
        <v>6177</v>
      </c>
      <c r="B17395" s="2" t="str">
        <f>"PASTA CANALETA AZUL"</f>
        <v>PASTA CANALETA AZUL</v>
      </c>
      <c r="C17395" s="2" t="str">
        <f t="shared" ref="C17395:C17439" si="686">"UN"</f>
        <v>UN</v>
      </c>
      <c r="D17395" s="7">
        <v>401</v>
      </c>
      <c r="E17395" s="3">
        <v>4</v>
      </c>
      <c r="F17395" s="3">
        <v>4</v>
      </c>
      <c r="G17395" t="s">
        <v>513</v>
      </c>
    </row>
    <row r="17396" spans="1:7" x14ac:dyDescent="0.25">
      <c r="A17396" s="1" t="str">
        <f>"523592"</f>
        <v>523592</v>
      </c>
      <c r="B17396" s="2" t="str">
        <f>"PASTA CARTÃO DUPLEX C/ GRAMPO TRILHO 335X230MM"</f>
        <v>PASTA CARTÃO DUPLEX C/ GRAMPO TRILHO 335X230MM</v>
      </c>
      <c r="C17396" s="2" t="str">
        <f t="shared" si="686"/>
        <v>UN</v>
      </c>
      <c r="D17396" s="7">
        <v>99999</v>
      </c>
      <c r="E17396" s="3">
        <v>99</v>
      </c>
      <c r="F17396" s="3">
        <v>99</v>
      </c>
      <c r="G17396" t="s">
        <v>512</v>
      </c>
    </row>
    <row r="17397" spans="1:7" x14ac:dyDescent="0.25">
      <c r="A17397" s="1" t="str">
        <f>"513841"</f>
        <v>513841</v>
      </c>
      <c r="B17397" s="2" t="str">
        <f>"PASTA CATALOGO"</f>
        <v>PASTA CATALOGO</v>
      </c>
      <c r="C17397" s="2" t="str">
        <f t="shared" si="686"/>
        <v>UN</v>
      </c>
      <c r="D17397" s="7">
        <v>99999</v>
      </c>
      <c r="E17397" s="3">
        <v>99</v>
      </c>
      <c r="F17397" s="3">
        <v>99</v>
      </c>
      <c r="G17397" t="s">
        <v>513</v>
      </c>
    </row>
    <row r="17398" spans="1:7" x14ac:dyDescent="0.25">
      <c r="A17398" s="1" t="str">
        <f>"513929"</f>
        <v>513929</v>
      </c>
      <c r="B17398" s="2" t="str">
        <f>"PASTA CU800 SPRAY"</f>
        <v>PASTA CU800 SPRAY</v>
      </c>
      <c r="C17398" s="2" t="str">
        <f t="shared" si="686"/>
        <v>UN</v>
      </c>
      <c r="D17398" s="7">
        <v>99999</v>
      </c>
      <c r="E17398" s="3">
        <v>99</v>
      </c>
      <c r="F17398" s="3">
        <v>99</v>
      </c>
      <c r="G17398" t="s">
        <v>514</v>
      </c>
    </row>
    <row r="17399" spans="1:7" x14ac:dyDescent="0.25">
      <c r="A17399" s="1" t="str">
        <f>"512466"</f>
        <v>512466</v>
      </c>
      <c r="B17399" s="2" t="str">
        <f>"PASTA DE CARBURUNDUN"</f>
        <v>PASTA DE CARBURUNDUN</v>
      </c>
      <c r="C17399" s="2" t="str">
        <f t="shared" si="686"/>
        <v>UN</v>
      </c>
      <c r="D17399" s="7">
        <v>402</v>
      </c>
      <c r="E17399" s="3">
        <v>4</v>
      </c>
      <c r="F17399" s="3">
        <v>4</v>
      </c>
      <c r="G17399" t="s">
        <v>514</v>
      </c>
    </row>
    <row r="17400" spans="1:7" x14ac:dyDescent="0.25">
      <c r="A17400" s="1" t="str">
        <f>"503877"</f>
        <v>503877</v>
      </c>
      <c r="B17400" s="2" t="str">
        <f>"PASTA DESENGRAXANTE 500ML"</f>
        <v>PASTA DESENGRAXANTE 500ML</v>
      </c>
      <c r="C17400" s="2" t="str">
        <f t="shared" si="686"/>
        <v>UN</v>
      </c>
      <c r="D17400" s="7">
        <v>918</v>
      </c>
      <c r="E17400" s="3">
        <v>4</v>
      </c>
      <c r="F17400" s="3">
        <v>4</v>
      </c>
      <c r="G17400" t="s">
        <v>514</v>
      </c>
    </row>
    <row r="17401" spans="1:7" x14ac:dyDescent="0.25">
      <c r="A17401" s="1" t="str">
        <f>"522455"</f>
        <v>522455</v>
      </c>
      <c r="B17401" s="8" t="s">
        <v>295</v>
      </c>
      <c r="C17401" s="2" t="str">
        <f t="shared" si="686"/>
        <v>UN</v>
      </c>
      <c r="D17401" s="7">
        <v>99999</v>
      </c>
      <c r="E17401" s="3">
        <v>99</v>
      </c>
      <c r="F17401" s="3">
        <v>99</v>
      </c>
      <c r="G17401" t="s">
        <v>513</v>
      </c>
    </row>
    <row r="17402" spans="1:7" x14ac:dyDescent="0.25">
      <c r="A17402" s="1" t="str">
        <f>"518518"</f>
        <v>518518</v>
      </c>
      <c r="B17402" s="2" t="str">
        <f>"PASTA EVOLUTION AZUL PP A4R SOLDADA"</f>
        <v>PASTA EVOLUTION AZUL PP A4R SOLDADA</v>
      </c>
      <c r="C17402" s="2" t="str">
        <f t="shared" si="686"/>
        <v>UN</v>
      </c>
      <c r="D17402" s="7">
        <v>401</v>
      </c>
      <c r="E17402" s="3">
        <v>4</v>
      </c>
      <c r="F17402" s="3">
        <v>4</v>
      </c>
      <c r="G17402" t="s">
        <v>513</v>
      </c>
    </row>
    <row r="17403" spans="1:7" x14ac:dyDescent="0.25">
      <c r="A17403" s="1" t="str">
        <f>"513387"</f>
        <v>513387</v>
      </c>
      <c r="B17403" s="2" t="str">
        <f>"PASTA EVOLUTION EM PVC A4-R AZUL EPAA4R-AZ"</f>
        <v>PASTA EVOLUTION EM PVC A4-R AZUL EPAA4R-AZ</v>
      </c>
      <c r="C17403" s="2" t="str">
        <f t="shared" si="686"/>
        <v>UN</v>
      </c>
      <c r="D17403" s="7">
        <v>401</v>
      </c>
      <c r="E17403" s="3">
        <v>4</v>
      </c>
      <c r="F17403" s="3">
        <v>4</v>
      </c>
      <c r="G17403" t="s">
        <v>513</v>
      </c>
    </row>
    <row r="17404" spans="1:7" x14ac:dyDescent="0.25">
      <c r="A17404" s="1" t="str">
        <f>"6330"</f>
        <v>6330</v>
      </c>
      <c r="B17404" s="2" t="str">
        <f>"PASTA FICHARIO PRETO 190 X 245 MM 1/4 A4"</f>
        <v>PASTA FICHARIO PRETO 190 X 245 MM 1/4 A4</v>
      </c>
      <c r="C17404" s="2" t="str">
        <f t="shared" si="686"/>
        <v>UN</v>
      </c>
      <c r="D17404" s="7">
        <v>401</v>
      </c>
      <c r="E17404" s="3">
        <v>4</v>
      </c>
      <c r="F17404" s="3">
        <v>4</v>
      </c>
      <c r="G17404" t="s">
        <v>512</v>
      </c>
    </row>
    <row r="17405" spans="1:7" x14ac:dyDescent="0.25">
      <c r="A17405" s="1" t="str">
        <f>"523682"</f>
        <v>523682</v>
      </c>
      <c r="B17405" s="2" t="str">
        <f>"PASTA FICHARIO PRETO 255 X 340 X 40MM ACP-3340 PRETO"</f>
        <v>PASTA FICHARIO PRETO 255 X 340 X 40MM ACP-3340 PRETO</v>
      </c>
      <c r="C17405" s="2" t="str">
        <f t="shared" si="686"/>
        <v>UN</v>
      </c>
      <c r="D17405" s="7">
        <v>401</v>
      </c>
      <c r="E17405" s="3">
        <v>4</v>
      </c>
      <c r="F17405" s="3">
        <v>4</v>
      </c>
      <c r="G17405" t="s">
        <v>513</v>
      </c>
    </row>
    <row r="17406" spans="1:7" x14ac:dyDescent="0.25">
      <c r="A17406" s="1" t="str">
        <f>"523681"</f>
        <v>523681</v>
      </c>
      <c r="B17406" s="2" t="str">
        <f>"PASTA FICHARIO PRETO 265 X 340 X 75MM ACP-4750"</f>
        <v>PASTA FICHARIO PRETO 265 X 340 X 75MM ACP-4750</v>
      </c>
      <c r="C17406" s="2" t="str">
        <f t="shared" si="686"/>
        <v>UN</v>
      </c>
      <c r="D17406" s="7">
        <v>401</v>
      </c>
      <c r="E17406" s="3">
        <v>4</v>
      </c>
      <c r="F17406" s="3">
        <v>4</v>
      </c>
      <c r="G17406" t="s">
        <v>514</v>
      </c>
    </row>
    <row r="17407" spans="1:7" x14ac:dyDescent="0.25">
      <c r="A17407" s="1" t="str">
        <f>"523523"</f>
        <v>523523</v>
      </c>
      <c r="B17407" s="2" t="str">
        <f>"PASTA ISOFLEX A4 STANDARD AMARELO"</f>
        <v>PASTA ISOFLEX A4 STANDARD AMARELO</v>
      </c>
      <c r="C17407" s="2" t="str">
        <f t="shared" si="686"/>
        <v>UN</v>
      </c>
      <c r="D17407" s="7">
        <v>401</v>
      </c>
      <c r="E17407" s="3">
        <v>4</v>
      </c>
      <c r="F17407" s="3">
        <v>4</v>
      </c>
      <c r="G17407" t="s">
        <v>515</v>
      </c>
    </row>
    <row r="17408" spans="1:7" x14ac:dyDescent="0.25">
      <c r="A17408" s="1" t="str">
        <f>"523525"</f>
        <v>523525</v>
      </c>
      <c r="B17408" s="2" t="str">
        <f>"PASTA ISOFLEX A4 STANDARD AZUL RETRATO"</f>
        <v>PASTA ISOFLEX A4 STANDARD AZUL RETRATO</v>
      </c>
      <c r="C17408" s="2" t="str">
        <f t="shared" si="686"/>
        <v>UN</v>
      </c>
      <c r="D17408" s="7">
        <v>401</v>
      </c>
      <c r="E17408" s="3">
        <v>4</v>
      </c>
      <c r="F17408" s="3">
        <v>4</v>
      </c>
      <c r="G17408" t="s">
        <v>512</v>
      </c>
    </row>
    <row r="17409" spans="1:7" x14ac:dyDescent="0.25">
      <c r="A17409" s="1" t="str">
        <f>"523524"</f>
        <v>523524</v>
      </c>
      <c r="B17409" s="2" t="str">
        <f>"PASTA ISOFLEX A4 STANDARD VERDE"</f>
        <v>PASTA ISOFLEX A4 STANDARD VERDE</v>
      </c>
      <c r="C17409" s="2" t="str">
        <f t="shared" si="686"/>
        <v>UN</v>
      </c>
      <c r="D17409" s="7">
        <v>401</v>
      </c>
      <c r="E17409" s="3">
        <v>4</v>
      </c>
      <c r="F17409" s="3">
        <v>4</v>
      </c>
      <c r="G17409" t="s">
        <v>516</v>
      </c>
    </row>
    <row r="17410" spans="1:7" x14ac:dyDescent="0.25">
      <c r="A17410" s="1" t="str">
        <f>"513782"</f>
        <v>513782</v>
      </c>
      <c r="B17410" s="2" t="str">
        <f>"PASTA L CRISTAL"</f>
        <v>PASTA L CRISTAL</v>
      </c>
      <c r="C17410" s="2" t="str">
        <f t="shared" si="686"/>
        <v>UN</v>
      </c>
      <c r="D17410" s="7">
        <v>99999</v>
      </c>
      <c r="E17410" s="3">
        <v>4</v>
      </c>
      <c r="F17410" s="3">
        <v>4</v>
      </c>
      <c r="G17410" t="s">
        <v>515</v>
      </c>
    </row>
    <row r="17411" spans="1:7" x14ac:dyDescent="0.25">
      <c r="A17411" s="1" t="str">
        <f>"504003"</f>
        <v>504003</v>
      </c>
      <c r="B17411" s="2" t="str">
        <f>"PASTA LIGA P/ COBRE COM FERRO"</f>
        <v>PASTA LIGA P/ COBRE COM FERRO</v>
      </c>
      <c r="C17411" s="2" t="str">
        <f t="shared" si="686"/>
        <v>UN</v>
      </c>
      <c r="D17411" s="7">
        <v>812</v>
      </c>
      <c r="E17411" s="3">
        <v>10</v>
      </c>
      <c r="F17411" s="3">
        <v>10</v>
      </c>
      <c r="G17411" t="s">
        <v>514</v>
      </c>
    </row>
    <row r="17412" spans="1:7" x14ac:dyDescent="0.25">
      <c r="A17412" s="1" t="str">
        <f>"505362"</f>
        <v>505362</v>
      </c>
      <c r="B17412" s="2" t="str">
        <f>"PASTA P/ SOLDA 100 G"</f>
        <v>PASTA P/ SOLDA 100 G</v>
      </c>
      <c r="C17412" s="2" t="str">
        <f t="shared" si="686"/>
        <v>UN</v>
      </c>
      <c r="D17412" s="7">
        <v>402</v>
      </c>
      <c r="E17412" s="3">
        <v>4</v>
      </c>
      <c r="F17412" s="3">
        <v>4</v>
      </c>
      <c r="G17412" t="s">
        <v>512</v>
      </c>
    </row>
    <row r="17413" spans="1:7" x14ac:dyDescent="0.25">
      <c r="A17413" s="1" t="str">
        <f>"6030"</f>
        <v>6030</v>
      </c>
      <c r="B17413" s="2" t="str">
        <f>"PASTA PARA FORMULARIO CONTINUO 80 COLUNA"</f>
        <v>PASTA PARA FORMULARIO CONTINUO 80 COLUNA</v>
      </c>
      <c r="C17413" s="2" t="str">
        <f t="shared" si="686"/>
        <v>UN</v>
      </c>
      <c r="D17413" s="7">
        <v>401</v>
      </c>
      <c r="E17413" s="3">
        <v>4</v>
      </c>
      <c r="F17413" s="3">
        <v>4</v>
      </c>
      <c r="G17413" t="s">
        <v>513</v>
      </c>
    </row>
    <row r="17414" spans="1:7" x14ac:dyDescent="0.25">
      <c r="A17414" s="1" t="str">
        <f>"3437"</f>
        <v>3437</v>
      </c>
      <c r="B17414" s="2" t="str">
        <f>"PASTA PLASTICA COM ELASTICO 3CM"</f>
        <v>PASTA PLASTICA COM ELASTICO 3CM</v>
      </c>
      <c r="C17414" s="2" t="str">
        <f t="shared" si="686"/>
        <v>UN</v>
      </c>
      <c r="D17414" s="7">
        <v>401</v>
      </c>
      <c r="E17414" s="3">
        <v>4</v>
      </c>
      <c r="F17414" s="3">
        <v>4</v>
      </c>
      <c r="G17414" t="s">
        <v>514</v>
      </c>
    </row>
    <row r="17415" spans="1:7" x14ac:dyDescent="0.25">
      <c r="A17415" s="1" t="str">
        <f>"3436"</f>
        <v>3436</v>
      </c>
      <c r="B17415" s="2" t="str">
        <f>"PASTA PLASTICA COM ELASTICO 5,5CM"</f>
        <v>PASTA PLASTICA COM ELASTICO 5,5CM</v>
      </c>
      <c r="C17415" s="2" t="str">
        <f t="shared" si="686"/>
        <v>UN</v>
      </c>
      <c r="D17415" s="7">
        <v>401</v>
      </c>
      <c r="E17415" s="3">
        <v>4</v>
      </c>
      <c r="F17415" s="3">
        <v>4</v>
      </c>
      <c r="G17415" t="s">
        <v>514</v>
      </c>
    </row>
    <row r="17416" spans="1:7" x14ac:dyDescent="0.25">
      <c r="A17416" s="1" t="str">
        <f>"523973"</f>
        <v>523973</v>
      </c>
      <c r="B17416" s="2" t="str">
        <f>"PASTA POLIONDA 3,0CM AZUL"</f>
        <v>PASTA POLIONDA 3,0CM AZUL</v>
      </c>
      <c r="C17416" s="2" t="str">
        <f t="shared" si="686"/>
        <v>UN</v>
      </c>
      <c r="D17416" s="7">
        <v>401</v>
      </c>
      <c r="E17416" s="3">
        <v>4</v>
      </c>
      <c r="F17416" s="3">
        <v>4</v>
      </c>
      <c r="G17416" t="s">
        <v>512</v>
      </c>
    </row>
    <row r="17417" spans="1:7" x14ac:dyDescent="0.25">
      <c r="A17417" s="1" t="str">
        <f>"522333"</f>
        <v>522333</v>
      </c>
      <c r="B17417" s="2" t="str">
        <f>"PASTA POLIONDA 5,5CM AZUL"</f>
        <v>PASTA POLIONDA 5,5CM AZUL</v>
      </c>
      <c r="C17417" s="2" t="str">
        <f t="shared" si="686"/>
        <v>UN</v>
      </c>
      <c r="D17417" s="7">
        <v>401</v>
      </c>
      <c r="E17417" s="3">
        <v>4</v>
      </c>
      <c r="F17417" s="3">
        <v>4</v>
      </c>
      <c r="G17417" t="s">
        <v>513</v>
      </c>
    </row>
    <row r="17418" spans="1:7" x14ac:dyDescent="0.25">
      <c r="A17418" s="1" t="str">
        <f>"520795"</f>
        <v>520795</v>
      </c>
      <c r="B17418" s="2" t="str">
        <f>"PASTA PORTIFOLIO"</f>
        <v>PASTA PORTIFOLIO</v>
      </c>
      <c r="C17418" s="2" t="str">
        <f t="shared" si="686"/>
        <v>UN</v>
      </c>
      <c r="D17418" s="7">
        <v>401</v>
      </c>
      <c r="E17418" s="3">
        <v>4</v>
      </c>
      <c r="F17418" s="3">
        <v>4</v>
      </c>
      <c r="G17418" t="s">
        <v>514</v>
      </c>
    </row>
    <row r="17419" spans="1:7" x14ac:dyDescent="0.25">
      <c r="A17419" s="1" t="str">
        <f>"6334"</f>
        <v>6334</v>
      </c>
      <c r="B17419" s="2" t="str">
        <f>"PASTA SANFONADA"</f>
        <v>PASTA SANFONADA</v>
      </c>
      <c r="C17419" s="2" t="str">
        <f t="shared" si="686"/>
        <v>UN</v>
      </c>
      <c r="D17419" s="7">
        <v>401</v>
      </c>
      <c r="E17419" s="3">
        <v>4</v>
      </c>
      <c r="F17419" s="3">
        <v>4</v>
      </c>
      <c r="G17419" t="s">
        <v>514</v>
      </c>
    </row>
    <row r="17420" spans="1:7" x14ac:dyDescent="0.25">
      <c r="A17420" s="1" t="str">
        <f>"510495"</f>
        <v>510495</v>
      </c>
      <c r="B17420" s="2" t="str">
        <f>"PASTA SUSPENSA CARTAO COLOCART 430GR"</f>
        <v>PASTA SUSPENSA CARTAO COLOCART 430GR</v>
      </c>
      <c r="C17420" s="2" t="str">
        <f t="shared" si="686"/>
        <v>UN</v>
      </c>
      <c r="D17420" s="7">
        <v>401</v>
      </c>
      <c r="E17420" s="3">
        <v>4</v>
      </c>
      <c r="F17420" s="3">
        <v>4</v>
      </c>
      <c r="G17420" t="s">
        <v>514</v>
      </c>
    </row>
    <row r="17421" spans="1:7" x14ac:dyDescent="0.25">
      <c r="A17421" s="1" t="str">
        <f>"2702"</f>
        <v>2702</v>
      </c>
      <c r="B17421" s="2" t="str">
        <f>"PASTA SUSPENSA KRAFT 170GR"</f>
        <v>PASTA SUSPENSA KRAFT 170GR</v>
      </c>
      <c r="C17421" s="2" t="str">
        <f t="shared" si="686"/>
        <v>UN</v>
      </c>
      <c r="D17421" s="7">
        <v>401</v>
      </c>
      <c r="E17421" s="3">
        <v>4</v>
      </c>
      <c r="F17421" s="3">
        <v>4</v>
      </c>
      <c r="G17421" t="s">
        <v>513</v>
      </c>
    </row>
    <row r="17422" spans="1:7" x14ac:dyDescent="0.25">
      <c r="A17422" s="1" t="str">
        <f>"2696"</f>
        <v>2696</v>
      </c>
      <c r="B17422" s="2" t="str">
        <f>"PASTA SUSPENSA KRAFT C/50 GOLDEN"</f>
        <v>PASTA SUSPENSA KRAFT C/50 GOLDEN</v>
      </c>
      <c r="C17422" s="2" t="str">
        <f t="shared" si="686"/>
        <v>UN</v>
      </c>
      <c r="D17422" s="7">
        <v>401</v>
      </c>
      <c r="E17422" s="3">
        <v>4</v>
      </c>
      <c r="F17422" s="3">
        <v>4</v>
      </c>
      <c r="G17422" t="s">
        <v>512</v>
      </c>
    </row>
    <row r="17423" spans="1:7" x14ac:dyDescent="0.25">
      <c r="A17423" s="1" t="str">
        <f>"503876"</f>
        <v>503876</v>
      </c>
      <c r="B17423" s="2" t="str">
        <f>"PASTA TERMICA BASE PRATA 5GR"</f>
        <v>PASTA TERMICA BASE PRATA 5GR</v>
      </c>
      <c r="C17423" s="2" t="str">
        <f t="shared" si="686"/>
        <v>UN</v>
      </c>
      <c r="D17423" s="7">
        <v>402</v>
      </c>
      <c r="E17423" s="3">
        <v>4</v>
      </c>
      <c r="F17423" s="3">
        <v>4</v>
      </c>
      <c r="G17423" t="s">
        <v>513</v>
      </c>
    </row>
    <row r="17424" spans="1:7" x14ac:dyDescent="0.25">
      <c r="A17424" s="1" t="str">
        <f>"6332"</f>
        <v>6332</v>
      </c>
      <c r="B17424" s="2" t="str">
        <f>"PASTA TRANSPARENTE PP C/ TRILHO"</f>
        <v>PASTA TRANSPARENTE PP C/ TRILHO</v>
      </c>
      <c r="C17424" s="2" t="str">
        <f t="shared" si="686"/>
        <v>UN</v>
      </c>
      <c r="D17424" s="7">
        <v>401</v>
      </c>
      <c r="E17424" s="3">
        <v>4</v>
      </c>
      <c r="F17424" s="3">
        <v>4</v>
      </c>
      <c r="G17424" t="s">
        <v>514</v>
      </c>
    </row>
    <row r="17425" spans="1:7" x14ac:dyDescent="0.25">
      <c r="A17425" s="1" t="str">
        <f>"513294"</f>
        <v>513294</v>
      </c>
      <c r="B17425" s="2" t="str">
        <f>"PASTA VH"</f>
        <v>PASTA VH</v>
      </c>
      <c r="C17425" s="2" t="str">
        <f t="shared" si="686"/>
        <v>UN</v>
      </c>
      <c r="D17425" s="7">
        <v>99999</v>
      </c>
      <c r="E17425" s="3">
        <v>99</v>
      </c>
      <c r="F17425" s="3">
        <v>99</v>
      </c>
      <c r="G17425" t="s">
        <v>514</v>
      </c>
    </row>
    <row r="17426" spans="1:7" x14ac:dyDescent="0.25">
      <c r="A17426" s="1" t="str">
        <f>"514513"</f>
        <v>514513</v>
      </c>
      <c r="B17426" s="2" t="str">
        <f>"PASTAS"</f>
        <v>PASTAS</v>
      </c>
      <c r="C17426" s="2" t="str">
        <f t="shared" si="686"/>
        <v>UN</v>
      </c>
      <c r="D17426" s="7">
        <v>401</v>
      </c>
      <c r="E17426" s="3">
        <v>4</v>
      </c>
      <c r="F17426" s="3">
        <v>4</v>
      </c>
      <c r="G17426" t="s">
        <v>514</v>
      </c>
    </row>
    <row r="17427" spans="1:7" x14ac:dyDescent="0.25">
      <c r="A17427" s="1" t="str">
        <f>"515310"</f>
        <v>515310</v>
      </c>
      <c r="B17427" s="2" t="str">
        <f>"PASTEURIZADOR INOX 5000 LITROS/HORA ANO 98 MOD S38RKC4"</f>
        <v>PASTEURIZADOR INOX 5000 LITROS/HORA ANO 98 MOD S38RKC4</v>
      </c>
      <c r="C17427" s="2" t="str">
        <f t="shared" si="686"/>
        <v>UN</v>
      </c>
      <c r="D17427" s="7">
        <v>1300</v>
      </c>
      <c r="E17427" s="3">
        <v>13</v>
      </c>
      <c r="F17427" s="3">
        <v>13</v>
      </c>
      <c r="G17427" t="s">
        <v>513</v>
      </c>
    </row>
    <row r="17428" spans="1:7" x14ac:dyDescent="0.25">
      <c r="A17428" s="1" t="str">
        <f>"520705"</f>
        <v>520705</v>
      </c>
      <c r="B17428" s="2" t="str">
        <f>"PASTILHA ADESIVA BLUE HIPER PLUS C/3"</f>
        <v>PASTILHA ADESIVA BLUE HIPER PLUS C/3</v>
      </c>
      <c r="C17428" s="2" t="str">
        <f t="shared" si="686"/>
        <v>UN</v>
      </c>
      <c r="D17428" s="7">
        <v>99999</v>
      </c>
      <c r="E17428" s="3">
        <v>99</v>
      </c>
      <c r="F17428" s="3">
        <v>99</v>
      </c>
      <c r="G17428" t="s">
        <v>513</v>
      </c>
    </row>
    <row r="17429" spans="1:7" x14ac:dyDescent="0.25">
      <c r="A17429" s="1" t="str">
        <f>"513082"</f>
        <v>513082</v>
      </c>
      <c r="B17429" s="2" t="str">
        <f>"PASTILHA ADESIVA HARPIC LAVANDA C/3 UN"</f>
        <v>PASTILHA ADESIVA HARPIC LAVANDA C/3 UN</v>
      </c>
      <c r="C17429" s="2" t="str">
        <f t="shared" si="686"/>
        <v>UN</v>
      </c>
      <c r="D17429" s="7">
        <v>99999</v>
      </c>
      <c r="E17429" s="3">
        <v>99</v>
      </c>
      <c r="F17429" s="3">
        <v>99</v>
      </c>
      <c r="G17429" t="s">
        <v>513</v>
      </c>
    </row>
    <row r="17430" spans="1:7" x14ac:dyDescent="0.25">
      <c r="A17430" s="1" t="str">
        <f>"515950"</f>
        <v>515950</v>
      </c>
      <c r="B17430" s="2" t="str">
        <f>"PASTILHA DE FREIO SYL SYL1097"</f>
        <v>PASTILHA DE FREIO SYL SYL1097</v>
      </c>
      <c r="C17430" s="2" t="str">
        <f t="shared" si="686"/>
        <v>UN</v>
      </c>
      <c r="D17430" s="7">
        <v>99999</v>
      </c>
      <c r="E17430" s="3">
        <v>99</v>
      </c>
      <c r="F17430" s="3">
        <v>99</v>
      </c>
      <c r="G17430" t="s">
        <v>512</v>
      </c>
    </row>
    <row r="17431" spans="1:7" x14ac:dyDescent="0.25">
      <c r="A17431" s="1" t="str">
        <f>"502498"</f>
        <v>502498</v>
      </c>
      <c r="B17431" s="2" t="str">
        <f>"PASTILHA FREIO"</f>
        <v>PASTILHA FREIO</v>
      </c>
      <c r="C17431" s="2" t="str">
        <f t="shared" si="686"/>
        <v>UN</v>
      </c>
      <c r="D17431" s="7">
        <v>704</v>
      </c>
      <c r="E17431" s="3">
        <v>9</v>
      </c>
      <c r="F17431" s="3">
        <v>9</v>
      </c>
      <c r="G17431" t="s">
        <v>513</v>
      </c>
    </row>
    <row r="17432" spans="1:7" x14ac:dyDescent="0.25">
      <c r="A17432" s="1" t="str">
        <f>"518003"</f>
        <v>518003</v>
      </c>
      <c r="B17432" s="2" t="str">
        <f>"PASTILHA FREIO WEG 112M"</f>
        <v>PASTILHA FREIO WEG 112M</v>
      </c>
      <c r="C17432" s="2" t="str">
        <f t="shared" si="686"/>
        <v>UN</v>
      </c>
      <c r="D17432" s="7">
        <v>811</v>
      </c>
      <c r="E17432" s="3">
        <v>8</v>
      </c>
      <c r="F17432" s="3">
        <v>8</v>
      </c>
      <c r="G17432" t="s">
        <v>514</v>
      </c>
    </row>
    <row r="17433" spans="1:7" x14ac:dyDescent="0.25">
      <c r="A17433" s="1" t="str">
        <f>"514435"</f>
        <v>514435</v>
      </c>
      <c r="B17433" s="2" t="str">
        <f>"PASTILHA VIDRO"</f>
        <v>PASTILHA VIDRO</v>
      </c>
      <c r="C17433" s="2" t="str">
        <f t="shared" si="686"/>
        <v>UN</v>
      </c>
      <c r="D17433" s="7">
        <v>917</v>
      </c>
      <c r="E17433" s="3">
        <v>4</v>
      </c>
      <c r="F17433" s="3">
        <v>4</v>
      </c>
      <c r="G17433" t="s">
        <v>515</v>
      </c>
    </row>
    <row r="17434" spans="1:7" x14ac:dyDescent="0.25">
      <c r="A17434" s="1" t="str">
        <f>"512494"</f>
        <v>512494</v>
      </c>
      <c r="B17434" s="2" t="str">
        <f>"PATCH CORD 1,5M VERDE CAT-5E FURUCANA"</f>
        <v>PATCH CORD 1,5M VERDE CAT-5E FURUCANA</v>
      </c>
      <c r="C17434" s="2" t="str">
        <f t="shared" si="686"/>
        <v>UN</v>
      </c>
      <c r="D17434" s="7">
        <v>601</v>
      </c>
      <c r="E17434" s="3">
        <v>8</v>
      </c>
      <c r="F17434" s="3">
        <v>8</v>
      </c>
      <c r="G17434" t="s">
        <v>512</v>
      </c>
    </row>
    <row r="17435" spans="1:7" x14ac:dyDescent="0.25">
      <c r="A17435" s="1" t="str">
        <f>"527627"</f>
        <v>527627</v>
      </c>
      <c r="B17435" s="2" t="str">
        <f>"PATCH CORD 15M AZUL CAT-5E FURUCANA"</f>
        <v>PATCH CORD 15M AZUL CAT-5E FURUCANA</v>
      </c>
      <c r="C17435" s="2" t="str">
        <f t="shared" si="686"/>
        <v>UN</v>
      </c>
      <c r="D17435" s="7">
        <v>601</v>
      </c>
      <c r="E17435" s="3">
        <v>8</v>
      </c>
      <c r="F17435" s="3">
        <v>8</v>
      </c>
      <c r="G17435" t="s">
        <v>516</v>
      </c>
    </row>
    <row r="17436" spans="1:7" x14ac:dyDescent="0.25">
      <c r="A17436" s="1" t="str">
        <f>"512492"</f>
        <v>512492</v>
      </c>
      <c r="B17436" s="2" t="str">
        <f>"PATCH CORD 2,5M AZUL CAT-5E FURUCANA"</f>
        <v>PATCH CORD 2,5M AZUL CAT-5E FURUCANA</v>
      </c>
      <c r="C17436" s="2" t="str">
        <f t="shared" si="686"/>
        <v>UN</v>
      </c>
      <c r="D17436" s="7">
        <v>99999</v>
      </c>
      <c r="E17436" s="3">
        <v>99</v>
      </c>
      <c r="F17436" s="3">
        <v>99</v>
      </c>
      <c r="G17436" t="s">
        <v>515</v>
      </c>
    </row>
    <row r="17437" spans="1:7" x14ac:dyDescent="0.25">
      <c r="A17437" s="1" t="str">
        <f>"512493"</f>
        <v>512493</v>
      </c>
      <c r="B17437" s="2" t="str">
        <f>"PATCH CORD 4,0M AZUL CAT-5E FURUCANA"</f>
        <v>PATCH CORD 4,0M AZUL CAT-5E FURUCANA</v>
      </c>
      <c r="C17437" s="2" t="str">
        <f t="shared" si="686"/>
        <v>UN</v>
      </c>
      <c r="D17437" s="7">
        <v>601</v>
      </c>
      <c r="E17437" s="3">
        <v>8</v>
      </c>
      <c r="F17437" s="3">
        <v>8</v>
      </c>
      <c r="G17437" t="s">
        <v>514</v>
      </c>
    </row>
    <row r="17438" spans="1:7" x14ac:dyDescent="0.25">
      <c r="A17438" s="1" t="str">
        <f>"525979"</f>
        <v>525979</v>
      </c>
      <c r="B17438" s="2" t="str">
        <f>"PATCH CORD CAT6 BLINDADO 1,5M CINZA"</f>
        <v>PATCH CORD CAT6 BLINDADO 1,5M CINZA</v>
      </c>
      <c r="C17438" s="2" t="str">
        <f t="shared" si="686"/>
        <v>UN</v>
      </c>
      <c r="D17438" s="7">
        <v>811</v>
      </c>
      <c r="E17438" s="3">
        <v>10</v>
      </c>
      <c r="F17438" s="3">
        <v>10</v>
      </c>
      <c r="G17438" t="s">
        <v>512</v>
      </c>
    </row>
    <row r="17439" spans="1:7" x14ac:dyDescent="0.25">
      <c r="A17439" s="1" t="str">
        <f>"527260"</f>
        <v>527260</v>
      </c>
      <c r="B17439" s="2" t="str">
        <f>"PATCH CORD F/UTP CAT5E 2,5M CINZA FURUKAWA"</f>
        <v>PATCH CORD F/UTP CAT5E 2,5M CINZA FURUKAWA</v>
      </c>
      <c r="C17439" s="2" t="str">
        <f t="shared" si="686"/>
        <v>UN</v>
      </c>
      <c r="D17439" s="7">
        <v>811</v>
      </c>
      <c r="E17439" s="3">
        <v>10</v>
      </c>
      <c r="F17439" s="3">
        <v>10</v>
      </c>
      <c r="G17439" t="s">
        <v>513</v>
      </c>
    </row>
    <row r="17440" spans="1:7" x14ac:dyDescent="0.25">
      <c r="A17440" s="1" t="str">
        <f>"526833"</f>
        <v>526833</v>
      </c>
      <c r="B17440" s="2" t="str">
        <f>"PATCH CORD U/UTP CAT5E 1,5M AZUL"</f>
        <v>PATCH CORD U/UTP CAT5E 1,5M AZUL</v>
      </c>
      <c r="C17440" s="2" t="str">
        <f>"MT"</f>
        <v>MT</v>
      </c>
      <c r="D17440" s="7">
        <v>602</v>
      </c>
      <c r="E17440" s="3">
        <v>8</v>
      </c>
      <c r="F17440" s="3">
        <v>8</v>
      </c>
      <c r="G17440" t="s">
        <v>514</v>
      </c>
    </row>
    <row r="17441" spans="1:7" x14ac:dyDescent="0.25">
      <c r="A17441" s="1" t="str">
        <f>"518590"</f>
        <v>518590</v>
      </c>
      <c r="B17441" s="2" t="str">
        <f>"PATCH CORD U/UTP GIGALAN CAT6 AZUL 1,5MT"</f>
        <v>PATCH CORD U/UTP GIGALAN CAT6 AZUL 1,5MT</v>
      </c>
      <c r="C17441" s="2" t="str">
        <f t="shared" ref="C17441:C17451" si="687">"UN"</f>
        <v>UN</v>
      </c>
      <c r="D17441" s="7">
        <v>811</v>
      </c>
      <c r="E17441" s="3">
        <v>8</v>
      </c>
      <c r="F17441" s="3">
        <v>8</v>
      </c>
      <c r="G17441" t="s">
        <v>514</v>
      </c>
    </row>
    <row r="17442" spans="1:7" x14ac:dyDescent="0.25">
      <c r="A17442" s="1" t="str">
        <f>"519257"</f>
        <v>519257</v>
      </c>
      <c r="B17442" s="2" t="str">
        <f>"PATCH CORD U/UTP GIGALAN CAT6 AZUL 2,5MT"</f>
        <v>PATCH CORD U/UTP GIGALAN CAT6 AZUL 2,5MT</v>
      </c>
      <c r="C17442" s="2" t="str">
        <f t="shared" si="687"/>
        <v>UN</v>
      </c>
      <c r="D17442" s="7">
        <v>811</v>
      </c>
      <c r="E17442" s="3">
        <v>8</v>
      </c>
      <c r="F17442" s="3">
        <v>8</v>
      </c>
      <c r="G17442" t="s">
        <v>512</v>
      </c>
    </row>
    <row r="17443" spans="1:7" x14ac:dyDescent="0.25">
      <c r="A17443" s="1" t="str">
        <f>"523907"</f>
        <v>523907</v>
      </c>
      <c r="B17443" s="2" t="str">
        <f>"PATCH CORD U/UTP GIGALAN CAT6 VERMELHO 2,5MT"</f>
        <v>PATCH CORD U/UTP GIGALAN CAT6 VERMELHO 2,5MT</v>
      </c>
      <c r="C17443" s="2" t="str">
        <f t="shared" si="687"/>
        <v>UN</v>
      </c>
      <c r="D17443" s="7">
        <v>811</v>
      </c>
      <c r="E17443" s="3">
        <v>8</v>
      </c>
      <c r="F17443" s="3">
        <v>8</v>
      </c>
      <c r="G17443" t="s">
        <v>513</v>
      </c>
    </row>
    <row r="17444" spans="1:7" x14ac:dyDescent="0.25">
      <c r="A17444" s="1" t="str">
        <f>"520878"</f>
        <v>520878</v>
      </c>
      <c r="B17444" s="2" t="str">
        <f>"PATCH PANEL MULTILAN CAT6E 24P FURUKAWA"</f>
        <v>PATCH PANEL MULTILAN CAT6E 24P FURUKAWA</v>
      </c>
      <c r="C17444" s="2" t="str">
        <f t="shared" si="687"/>
        <v>UN</v>
      </c>
      <c r="D17444" s="7">
        <v>401</v>
      </c>
      <c r="E17444" s="3">
        <v>4</v>
      </c>
      <c r="F17444" s="3">
        <v>4</v>
      </c>
      <c r="G17444" t="s">
        <v>514</v>
      </c>
    </row>
    <row r="17445" spans="1:7" x14ac:dyDescent="0.25">
      <c r="A17445" s="1" t="str">
        <f>"513375"</f>
        <v>513375</v>
      </c>
      <c r="B17445" s="2" t="str">
        <f>"PATE RICOTA TOMAZINA"</f>
        <v>PATE RICOTA TOMAZINA</v>
      </c>
      <c r="C17445" s="2" t="str">
        <f t="shared" si="687"/>
        <v>UN</v>
      </c>
      <c r="D17445" s="7">
        <v>401</v>
      </c>
      <c r="E17445" s="3">
        <v>4</v>
      </c>
      <c r="F17445" s="3">
        <v>4</v>
      </c>
      <c r="G17445" t="s">
        <v>514</v>
      </c>
    </row>
    <row r="17446" spans="1:7" x14ac:dyDescent="0.25">
      <c r="A17446" s="1" t="str">
        <f>"501611"</f>
        <v>501611</v>
      </c>
      <c r="B17446" s="2" t="str">
        <f>"PATIM DE FREIO COM LONA"</f>
        <v>PATIM DE FREIO COM LONA</v>
      </c>
      <c r="C17446" s="2" t="str">
        <f t="shared" si="687"/>
        <v>UN</v>
      </c>
      <c r="D17446" s="7">
        <v>704</v>
      </c>
      <c r="E17446" s="3">
        <v>9</v>
      </c>
      <c r="F17446" s="3">
        <v>9</v>
      </c>
      <c r="G17446" t="s">
        <v>514</v>
      </c>
    </row>
    <row r="17447" spans="1:7" x14ac:dyDescent="0.25">
      <c r="A17447" s="1" t="str">
        <f>"513439"</f>
        <v>513439</v>
      </c>
      <c r="B17447" s="2" t="str">
        <f>"PAVE"</f>
        <v>PAVE</v>
      </c>
      <c r="C17447" s="2" t="str">
        <f t="shared" si="687"/>
        <v>UN</v>
      </c>
      <c r="D17447" s="7">
        <v>401</v>
      </c>
      <c r="E17447" s="3">
        <v>4</v>
      </c>
      <c r="F17447" s="3">
        <v>4</v>
      </c>
      <c r="G17447" t="s">
        <v>513</v>
      </c>
    </row>
    <row r="17448" spans="1:7" x14ac:dyDescent="0.25">
      <c r="A17448" s="1" t="str">
        <f>"505474"</f>
        <v>505474</v>
      </c>
      <c r="B17448" s="2" t="str">
        <f>"PB VOLVO FH/NH MODERNO DEG"</f>
        <v>PB VOLVO FH/NH MODERNO DEG</v>
      </c>
      <c r="C17448" s="2" t="str">
        <f t="shared" si="687"/>
        <v>UN</v>
      </c>
      <c r="D17448" s="7">
        <v>704</v>
      </c>
      <c r="E17448" s="3">
        <v>9</v>
      </c>
      <c r="F17448" s="3">
        <v>9</v>
      </c>
      <c r="G17448" t="s">
        <v>512</v>
      </c>
    </row>
    <row r="17449" spans="1:7" x14ac:dyDescent="0.25">
      <c r="A17449" s="1" t="str">
        <f>"511248"</f>
        <v>511248</v>
      </c>
      <c r="B17449" s="2" t="str">
        <f>"PC CORE2DUO 3G/320G/WIN7"</f>
        <v>PC CORE2DUO 3G/320G/WIN7</v>
      </c>
      <c r="C17449" s="2" t="str">
        <f t="shared" si="687"/>
        <v>UN</v>
      </c>
      <c r="D17449" s="7">
        <v>401</v>
      </c>
      <c r="E17449" s="3">
        <v>4</v>
      </c>
      <c r="F17449" s="3">
        <v>4</v>
      </c>
      <c r="G17449" t="s">
        <v>513</v>
      </c>
    </row>
    <row r="17450" spans="1:7" x14ac:dyDescent="0.25">
      <c r="A17450" s="1" t="str">
        <f>"510953"</f>
        <v>510953</v>
      </c>
      <c r="B17450" s="2" t="str">
        <f>"PC DUALCORE 3G/320G/WIN7 HEWLETTPACKARD"</f>
        <v>PC DUALCORE 3G/320G/WIN7 HEWLETTPACKARD</v>
      </c>
      <c r="C17450" s="2" t="str">
        <f t="shared" si="687"/>
        <v>UN</v>
      </c>
      <c r="D17450" s="7">
        <v>401</v>
      </c>
      <c r="E17450" s="3">
        <v>4</v>
      </c>
      <c r="F17450" s="3">
        <v>4</v>
      </c>
      <c r="G17450" t="s">
        <v>514</v>
      </c>
    </row>
    <row r="17451" spans="1:7" x14ac:dyDescent="0.25">
      <c r="A17451" s="1" t="str">
        <f>"510368"</f>
        <v>510368</v>
      </c>
      <c r="B17451" s="2" t="str">
        <f>"PC HP S3715 DC 3GB 250HD VHB"</f>
        <v>PC HP S3715 DC 3GB 250HD VHB</v>
      </c>
      <c r="C17451" s="2" t="str">
        <f t="shared" si="687"/>
        <v>UN</v>
      </c>
      <c r="D17451" s="7">
        <v>401</v>
      </c>
      <c r="E17451" s="3">
        <v>4</v>
      </c>
      <c r="F17451" s="3">
        <v>4</v>
      </c>
      <c r="G17451" t="s">
        <v>514</v>
      </c>
    </row>
    <row r="17452" spans="1:7" x14ac:dyDescent="0.25">
      <c r="A17452" s="1" t="str">
        <f>"511603"</f>
        <v>511603</v>
      </c>
      <c r="B17452" s="2" t="str">
        <f>"PÇ P/ BATENTE P/ CADERINHA 25MM"</f>
        <v>PÇ P/ BATENTE P/ CADERINHA 25MM</v>
      </c>
      <c r="C17452" s="2" t="str">
        <f>"PC"</f>
        <v>PC</v>
      </c>
      <c r="D17452" s="7">
        <v>806</v>
      </c>
      <c r="E17452" s="3">
        <v>10</v>
      </c>
      <c r="F17452" s="3">
        <v>10</v>
      </c>
      <c r="G17452" t="s">
        <v>514</v>
      </c>
    </row>
    <row r="17453" spans="1:7" x14ac:dyDescent="0.25">
      <c r="A17453" s="1" t="str">
        <f>"511896"</f>
        <v>511896</v>
      </c>
      <c r="B17453" s="2" t="str">
        <f>"PC SLIM PENTIUM 4GB/500GB HEWLETT PACKAR"</f>
        <v>PC SLIM PENTIUM 4GB/500GB HEWLETT PACKAR</v>
      </c>
      <c r="C17453" s="2" t="str">
        <f t="shared" ref="C17453:C17458" si="688">"UN"</f>
        <v>UN</v>
      </c>
      <c r="D17453" s="7">
        <v>401</v>
      </c>
      <c r="E17453" s="3">
        <v>4</v>
      </c>
      <c r="F17453" s="3">
        <v>4</v>
      </c>
      <c r="G17453" t="s">
        <v>513</v>
      </c>
    </row>
    <row r="17454" spans="1:7" x14ac:dyDescent="0.25">
      <c r="A17454" s="1" t="str">
        <f>"517035"</f>
        <v>517035</v>
      </c>
      <c r="B17454" s="2" t="str">
        <f>"PCI DE JUNÇÃO MONTADA CONFORME LISTA DE MATERIAL"</f>
        <v>PCI DE JUNÇÃO MONTADA CONFORME LISTA DE MATERIAL</v>
      </c>
      <c r="C17454" s="2" t="str">
        <f t="shared" si="688"/>
        <v>UN</v>
      </c>
      <c r="D17454" s="7">
        <v>1300</v>
      </c>
      <c r="E17454" s="3">
        <v>13</v>
      </c>
      <c r="F17454" s="3">
        <v>13</v>
      </c>
      <c r="G17454" t="s">
        <v>513</v>
      </c>
    </row>
    <row r="17455" spans="1:7" x14ac:dyDescent="0.25">
      <c r="A17455" s="1" t="str">
        <f>"514634"</f>
        <v>514634</v>
      </c>
      <c r="B17455" s="2" t="str">
        <f>"PCI DISPLAY"</f>
        <v>PCI DISPLAY</v>
      </c>
      <c r="C17455" s="2" t="str">
        <f t="shared" si="688"/>
        <v>UN</v>
      </c>
      <c r="D17455" s="7">
        <v>600</v>
      </c>
      <c r="E17455" s="3">
        <v>11</v>
      </c>
      <c r="F17455" s="3">
        <v>11</v>
      </c>
      <c r="G17455" t="s">
        <v>513</v>
      </c>
    </row>
    <row r="17456" spans="1:7" x14ac:dyDescent="0.25">
      <c r="A17456" s="1" t="str">
        <f>"525290"</f>
        <v>525290</v>
      </c>
      <c r="B17456" s="2" t="str">
        <f>"PCI DO TECLADO"</f>
        <v>PCI DO TECLADO</v>
      </c>
      <c r="C17456" s="2" t="str">
        <f t="shared" si="688"/>
        <v>UN</v>
      </c>
      <c r="D17456" s="7">
        <v>99999</v>
      </c>
      <c r="E17456" s="3">
        <v>99</v>
      </c>
      <c r="F17456" s="3">
        <v>99</v>
      </c>
      <c r="G17456" t="s">
        <v>512</v>
      </c>
    </row>
    <row r="17457" spans="1:7" x14ac:dyDescent="0.25">
      <c r="A17457" s="1" t="str">
        <f>"509504"</f>
        <v>509504</v>
      </c>
      <c r="B17457" s="2" t="str">
        <f>"PCI MONT. OPTO v 1.0"</f>
        <v>PCI MONT. OPTO v 1.0</v>
      </c>
      <c r="C17457" s="2" t="str">
        <f t="shared" si="688"/>
        <v>UN</v>
      </c>
      <c r="D17457" s="7">
        <v>401</v>
      </c>
      <c r="E17457" s="3">
        <v>4</v>
      </c>
      <c r="F17457" s="3">
        <v>4</v>
      </c>
      <c r="G17457" t="s">
        <v>513</v>
      </c>
    </row>
    <row r="17458" spans="1:7" x14ac:dyDescent="0.25">
      <c r="A17458" s="1" t="str">
        <f>"527434"</f>
        <v>527434</v>
      </c>
      <c r="B17458" s="2" t="str">
        <f>"PCI TECLADO - 6202032 PARA BALANÇA"</f>
        <v>PCI TECLADO - 6202032 PARA BALANÇA</v>
      </c>
      <c r="C17458" s="2" t="str">
        <f t="shared" si="688"/>
        <v>UN</v>
      </c>
      <c r="D17458" s="7">
        <v>900</v>
      </c>
      <c r="E17458" s="3">
        <v>11</v>
      </c>
      <c r="F17458" s="3">
        <v>11</v>
      </c>
      <c r="G17458" t="s">
        <v>514</v>
      </c>
    </row>
    <row r="17459" spans="1:7" x14ac:dyDescent="0.25">
      <c r="A17459" s="1" t="str">
        <f>"514413"</f>
        <v>514413</v>
      </c>
      <c r="B17459" s="2" t="str">
        <f>"PD EM INOX"</f>
        <v>PD EM INOX</v>
      </c>
      <c r="C17459" s="2" t="str">
        <f>"PC"</f>
        <v>PC</v>
      </c>
      <c r="D17459" s="7">
        <v>806</v>
      </c>
      <c r="E17459" s="3">
        <v>10</v>
      </c>
      <c r="F17459" s="3">
        <v>10</v>
      </c>
      <c r="G17459" t="s">
        <v>515</v>
      </c>
    </row>
    <row r="17460" spans="1:7" x14ac:dyDescent="0.25">
      <c r="A17460" s="1" t="str">
        <f>"52038"</f>
        <v>52038</v>
      </c>
      <c r="B17460" s="2" t="str">
        <f>"PE ARTICULADO BASE80 M16 LT100 ASTERBELT"</f>
        <v>PE ARTICULADO BASE80 M16 LT100 ASTERBELT</v>
      </c>
      <c r="C17460" s="2" t="str">
        <f t="shared" ref="C17460:C17466" si="689">"UN"</f>
        <v>UN</v>
      </c>
      <c r="D17460" s="7">
        <v>812</v>
      </c>
      <c r="E17460" s="3">
        <v>10</v>
      </c>
      <c r="F17460" s="3">
        <v>10</v>
      </c>
      <c r="G17460" t="s">
        <v>512</v>
      </c>
    </row>
    <row r="17461" spans="1:7" x14ac:dyDescent="0.25">
      <c r="A17461" s="1" t="str">
        <f>"520384"</f>
        <v>520384</v>
      </c>
      <c r="B17461" s="2" t="str">
        <f>"PE ARTICULADO BASE80 M16 LT100 ASTERBELT"</f>
        <v>PE ARTICULADO BASE80 M16 LT100 ASTERBELT</v>
      </c>
      <c r="C17461" s="2" t="str">
        <f t="shared" si="689"/>
        <v>UN</v>
      </c>
      <c r="D17461" s="7">
        <v>812</v>
      </c>
      <c r="E17461" s="3">
        <v>10</v>
      </c>
      <c r="F17461" s="3">
        <v>10</v>
      </c>
      <c r="G17461" t="s">
        <v>516</v>
      </c>
    </row>
    <row r="17462" spans="1:7" x14ac:dyDescent="0.25">
      <c r="A17462" s="1" t="str">
        <f>"516927"</f>
        <v>516927</v>
      </c>
      <c r="B17462" s="2" t="str">
        <f>"PÉ ARTICULADO INOX M16 BASE 80X150"</f>
        <v>PÉ ARTICULADO INOX M16 BASE 80X150</v>
      </c>
      <c r="C17462" s="2" t="str">
        <f t="shared" si="689"/>
        <v>UN</v>
      </c>
      <c r="D17462" s="7">
        <v>918</v>
      </c>
      <c r="E17462" s="3">
        <v>11</v>
      </c>
      <c r="F17462" s="3">
        <v>11</v>
      </c>
      <c r="G17462" t="s">
        <v>515</v>
      </c>
    </row>
    <row r="17463" spans="1:7" x14ac:dyDescent="0.25">
      <c r="A17463" s="1" t="str">
        <f>"524012"</f>
        <v>524012</v>
      </c>
      <c r="B17463" s="2" t="str">
        <f>"PE DE BORRACHA 2100 Q HX0001-04130"</f>
        <v>PE DE BORRACHA 2100 Q HX0001-04130</v>
      </c>
      <c r="C17463" s="2" t="str">
        <f t="shared" si="689"/>
        <v>UN</v>
      </c>
      <c r="D17463" s="7">
        <v>99999</v>
      </c>
      <c r="E17463" s="3">
        <v>99</v>
      </c>
      <c r="F17463" s="3">
        <v>99</v>
      </c>
      <c r="G17463" t="s">
        <v>514</v>
      </c>
    </row>
    <row r="17464" spans="1:7" x14ac:dyDescent="0.25">
      <c r="A17464" s="1" t="str">
        <f>"508425"</f>
        <v>508425</v>
      </c>
      <c r="B17464" s="2" t="str">
        <f>"PE DE CABRA CURVO 60CM"</f>
        <v>PE DE CABRA CURVO 60CM</v>
      </c>
      <c r="C17464" s="2" t="str">
        <f t="shared" si="689"/>
        <v>UN</v>
      </c>
      <c r="D17464" s="7">
        <v>403</v>
      </c>
      <c r="E17464" s="3">
        <v>4</v>
      </c>
      <c r="F17464" s="3">
        <v>4</v>
      </c>
      <c r="G17464" t="s">
        <v>512</v>
      </c>
    </row>
    <row r="17465" spans="1:7" x14ac:dyDescent="0.25">
      <c r="A17465" s="1" t="str">
        <f>"520772"</f>
        <v>520772</v>
      </c>
      <c r="B17465" s="2" t="str">
        <f>"PÉ DE CADEIRA"</f>
        <v>PÉ DE CADEIRA</v>
      </c>
      <c r="C17465" s="2" t="str">
        <f t="shared" si="689"/>
        <v>UN</v>
      </c>
      <c r="D17465" s="7">
        <v>99999</v>
      </c>
      <c r="E17465" s="3">
        <v>99</v>
      </c>
      <c r="F17465" s="3">
        <v>99</v>
      </c>
      <c r="G17465" t="s">
        <v>513</v>
      </c>
    </row>
    <row r="17466" spans="1:7" x14ac:dyDescent="0.25">
      <c r="A17466" s="1" t="str">
        <f>"520727"</f>
        <v>520727</v>
      </c>
      <c r="B17466" s="2" t="str">
        <f>"PÉ DE MOLEQUE"</f>
        <v>PÉ DE MOLEQUE</v>
      </c>
      <c r="C17466" s="2" t="str">
        <f t="shared" si="689"/>
        <v>UN</v>
      </c>
      <c r="D17466" s="7">
        <v>99999</v>
      </c>
      <c r="E17466" s="3">
        <v>99</v>
      </c>
      <c r="F17466" s="3">
        <v>99</v>
      </c>
      <c r="G17466" t="s">
        <v>514</v>
      </c>
    </row>
    <row r="17467" spans="1:7" x14ac:dyDescent="0.25">
      <c r="A17467" s="1" t="str">
        <f>"511374"</f>
        <v>511374</v>
      </c>
      <c r="B17467" s="2" t="str">
        <f>"PE DIREITO - ESTRUTURA METALICA"</f>
        <v>PE DIREITO - ESTRUTURA METALICA</v>
      </c>
      <c r="C17467" s="2" t="str">
        <f>"PC"</f>
        <v>PC</v>
      </c>
      <c r="D17467" s="7">
        <v>806</v>
      </c>
      <c r="E17467" s="3">
        <v>10</v>
      </c>
      <c r="F17467" s="3">
        <v>10</v>
      </c>
      <c r="G17467" t="s">
        <v>514</v>
      </c>
    </row>
    <row r="17468" spans="1:7" x14ac:dyDescent="0.25">
      <c r="A17468" s="1" t="str">
        <f>"522585"</f>
        <v>522585</v>
      </c>
      <c r="B17468" s="2" t="str">
        <f>"PÉ ELEVADO EM AÇO INOX NILKO NK1510"</f>
        <v>PÉ ELEVADO EM AÇO INOX NILKO NK1510</v>
      </c>
      <c r="C17468" s="2" t="str">
        <f t="shared" ref="C17468:C17476" si="690">"UN"</f>
        <v>UN</v>
      </c>
      <c r="D17468" s="7">
        <v>1200</v>
      </c>
      <c r="E17468" s="3">
        <v>99</v>
      </c>
      <c r="F17468" s="3">
        <v>99</v>
      </c>
      <c r="G17468" t="s">
        <v>512</v>
      </c>
    </row>
    <row r="17469" spans="1:7" x14ac:dyDescent="0.25">
      <c r="A17469" s="1" t="str">
        <f>"527656"</f>
        <v>527656</v>
      </c>
      <c r="B17469" s="2" t="str">
        <f>"PÉ ELEVADO EM AÇO INOX NILKO PARA ARMARIO NK1511"</f>
        <v>PÉ ELEVADO EM AÇO INOX NILKO PARA ARMARIO NK1511</v>
      </c>
      <c r="C17469" s="2" t="str">
        <f t="shared" si="690"/>
        <v>UN</v>
      </c>
      <c r="D17469" s="7">
        <v>1200</v>
      </c>
      <c r="E17469" s="3">
        <v>99</v>
      </c>
      <c r="F17469" s="3">
        <v>99</v>
      </c>
      <c r="G17469" t="s">
        <v>513</v>
      </c>
    </row>
    <row r="17470" spans="1:7" x14ac:dyDescent="0.25">
      <c r="A17470" s="1" t="str">
        <f>"513973"</f>
        <v>513973</v>
      </c>
      <c r="B17470" s="2" t="str">
        <f>"PE P/ RESISTENCIA"</f>
        <v>PE P/ RESISTENCIA</v>
      </c>
      <c r="C17470" s="2" t="str">
        <f t="shared" si="690"/>
        <v>UN</v>
      </c>
      <c r="D17470" s="7">
        <v>811</v>
      </c>
      <c r="E17470" s="3">
        <v>11</v>
      </c>
      <c r="F17470" s="3">
        <v>11</v>
      </c>
      <c r="G17470" t="s">
        <v>514</v>
      </c>
    </row>
    <row r="17471" spans="1:7" x14ac:dyDescent="0.25">
      <c r="A17471" s="1" t="str">
        <f>"514730"</f>
        <v>514730</v>
      </c>
      <c r="B17471" s="2" t="str">
        <f>"PEÇA DE ENGATE"</f>
        <v>PEÇA DE ENGATE</v>
      </c>
      <c r="C17471" s="2" t="str">
        <f t="shared" si="690"/>
        <v>UN</v>
      </c>
      <c r="D17471" s="7">
        <v>402</v>
      </c>
      <c r="E17471" s="3">
        <v>11</v>
      </c>
      <c r="F17471" s="3">
        <v>11</v>
      </c>
      <c r="G17471" t="s">
        <v>514</v>
      </c>
    </row>
    <row r="17472" spans="1:7" x14ac:dyDescent="0.25">
      <c r="A17472" s="1" t="str">
        <f>"513250"</f>
        <v>513250</v>
      </c>
      <c r="B17472" s="2" t="str">
        <f>"PEÇA DE SOLDA 1/2"</f>
        <v>PEÇA DE SOLDA 1/2</v>
      </c>
      <c r="C17472" s="2" t="str">
        <f t="shared" si="690"/>
        <v>UN</v>
      </c>
      <c r="D17472" s="7">
        <v>918</v>
      </c>
      <c r="E17472" s="3">
        <v>11</v>
      </c>
      <c r="F17472" s="3">
        <v>11</v>
      </c>
      <c r="G17472" t="s">
        <v>514</v>
      </c>
    </row>
    <row r="17473" spans="1:7" x14ac:dyDescent="0.25">
      <c r="A17473" s="1" t="str">
        <f>"516930"</f>
        <v>516930</v>
      </c>
      <c r="B17473" s="2" t="str">
        <f>"PEÇA DO MANCAL DF 25 EM NYLON BRANCO (CARCAÇA SEM ROLAMENTO)"</f>
        <v>PEÇA DO MANCAL DF 25 EM NYLON BRANCO (CARCAÇA SEM ROLAMENTO)</v>
      </c>
      <c r="C17473" s="2" t="str">
        <f t="shared" si="690"/>
        <v>UN</v>
      </c>
      <c r="D17473" s="7">
        <v>918</v>
      </c>
      <c r="E17473" s="3">
        <v>11</v>
      </c>
      <c r="F17473" s="3">
        <v>11</v>
      </c>
      <c r="G17473" t="s">
        <v>513</v>
      </c>
    </row>
    <row r="17474" spans="1:7" x14ac:dyDescent="0.25">
      <c r="A17474" s="1" t="str">
        <f>"514505"</f>
        <v>514505</v>
      </c>
      <c r="B17474" s="2" t="str">
        <f>"PEÇA DOSADORA"</f>
        <v>PEÇA DOSADORA</v>
      </c>
      <c r="C17474" s="2" t="str">
        <f t="shared" si="690"/>
        <v>UN</v>
      </c>
      <c r="D17474" s="7">
        <v>920</v>
      </c>
      <c r="E17474" s="3">
        <v>4</v>
      </c>
      <c r="F17474" s="3">
        <v>4</v>
      </c>
      <c r="G17474" t="s">
        <v>512</v>
      </c>
    </row>
    <row r="17475" spans="1:7" x14ac:dyDescent="0.25">
      <c r="A17475" s="1" t="str">
        <f>"504516"</f>
        <v>504516</v>
      </c>
      <c r="B17475" s="2" t="str">
        <f>"PEÇA ENGATE FS160/220/280/FR220"</f>
        <v>PEÇA ENGATE FS160/220/280/FR220</v>
      </c>
      <c r="C17475" s="2" t="str">
        <f t="shared" si="690"/>
        <v>UN</v>
      </c>
      <c r="D17475" s="7">
        <v>918</v>
      </c>
      <c r="E17475" s="3">
        <v>11</v>
      </c>
      <c r="F17475" s="3">
        <v>11</v>
      </c>
      <c r="G17475" t="s">
        <v>513</v>
      </c>
    </row>
    <row r="17476" spans="1:7" x14ac:dyDescent="0.25">
      <c r="A17476" s="1" t="str">
        <f>"505803"</f>
        <v>505803</v>
      </c>
      <c r="B17476" s="2" t="str">
        <f>"PECA ESPECIAL CONF AMOSTRA BRASKOP 5000"</f>
        <v>PECA ESPECIAL CONF AMOSTRA BRASKOP 5000</v>
      </c>
      <c r="C17476" s="2" t="str">
        <f t="shared" si="690"/>
        <v>UN</v>
      </c>
      <c r="D17476" s="7">
        <v>918</v>
      </c>
      <c r="E17476" s="3">
        <v>11</v>
      </c>
      <c r="F17476" s="3">
        <v>11</v>
      </c>
      <c r="G17476" t="s">
        <v>514</v>
      </c>
    </row>
    <row r="17477" spans="1:7" x14ac:dyDescent="0.25">
      <c r="A17477" s="1" t="str">
        <f>"511115"</f>
        <v>511115</v>
      </c>
      <c r="B17477" s="2" t="str">
        <f>"PEÇA INOX 05MM"</f>
        <v>PEÇA INOX 05MM</v>
      </c>
      <c r="C17477" s="2" t="str">
        <f>"PC"</f>
        <v>PC</v>
      </c>
      <c r="D17477" s="7">
        <v>806</v>
      </c>
      <c r="E17477" s="3">
        <v>10</v>
      </c>
      <c r="F17477" s="3">
        <v>10</v>
      </c>
      <c r="G17477" t="s">
        <v>514</v>
      </c>
    </row>
    <row r="17478" spans="1:7" x14ac:dyDescent="0.25">
      <c r="A17478" s="1" t="str">
        <f>"511114"</f>
        <v>511114</v>
      </c>
      <c r="B17478" s="2" t="str">
        <f>"PEÇA INOX 10MM"</f>
        <v>PEÇA INOX 10MM</v>
      </c>
      <c r="C17478" s="2" t="str">
        <f>"PC"</f>
        <v>PC</v>
      </c>
      <c r="D17478" s="7">
        <v>806</v>
      </c>
      <c r="E17478" s="3">
        <v>10</v>
      </c>
      <c r="F17478" s="3">
        <v>10</v>
      </c>
      <c r="G17478" t="s">
        <v>514</v>
      </c>
    </row>
    <row r="17479" spans="1:7" x14ac:dyDescent="0.25">
      <c r="A17479" s="1" t="str">
        <f>"509011"</f>
        <v>509011</v>
      </c>
      <c r="B17479" s="2" t="str">
        <f>"PEÇA LATAO DO DATADOR"</f>
        <v>PEÇA LATAO DO DATADOR</v>
      </c>
      <c r="C17479" s="2" t="str">
        <f>"UN"</f>
        <v>UN</v>
      </c>
      <c r="D17479" s="7">
        <v>918</v>
      </c>
      <c r="E17479" s="3">
        <v>11</v>
      </c>
      <c r="F17479" s="3">
        <v>11</v>
      </c>
      <c r="G17479" t="s">
        <v>513</v>
      </c>
    </row>
    <row r="17480" spans="1:7" x14ac:dyDescent="0.25">
      <c r="A17480" s="1" t="str">
        <f>"512375"</f>
        <v>512375</v>
      </c>
      <c r="B17480" s="2" t="str">
        <f>"PEÇA MAQUINA COPO"</f>
        <v>PEÇA MAQUINA COPO</v>
      </c>
      <c r="C17480" s="2" t="str">
        <f>"UN"</f>
        <v>UN</v>
      </c>
      <c r="D17480" s="7">
        <v>918</v>
      </c>
      <c r="E17480" s="3">
        <v>11</v>
      </c>
      <c r="F17480" s="3">
        <v>11</v>
      </c>
      <c r="G17480" t="s">
        <v>513</v>
      </c>
    </row>
    <row r="17481" spans="1:7" x14ac:dyDescent="0.25">
      <c r="A17481" s="1" t="str">
        <f>"511418"</f>
        <v>511418</v>
      </c>
      <c r="B17481" s="2" t="str">
        <f>"PEÇAS 03MM 200X200"</f>
        <v>PEÇAS 03MM 200X200</v>
      </c>
      <c r="C17481" s="2" t="str">
        <f>"PC"</f>
        <v>PC</v>
      </c>
      <c r="D17481" s="7">
        <v>806</v>
      </c>
      <c r="E17481" s="3">
        <v>10</v>
      </c>
      <c r="F17481" s="3">
        <v>10</v>
      </c>
      <c r="G17481" t="s">
        <v>513</v>
      </c>
    </row>
    <row r="17482" spans="1:7" x14ac:dyDescent="0.25">
      <c r="A17482" s="1" t="str">
        <f>"520854"</f>
        <v>520854</v>
      </c>
      <c r="B17482" s="2" t="str">
        <f>"PEÇAS DE ADEQUAÇÃO PARA DINI 550M (P-COML 007/16)"</f>
        <v>PEÇAS DE ADEQUAÇÃO PARA DINI 550M (P-COML 007/16)</v>
      </c>
      <c r="C17482" s="2" t="str">
        <f>"UN"</f>
        <v>UN</v>
      </c>
      <c r="D17482" s="7">
        <v>1300</v>
      </c>
      <c r="E17482" s="3">
        <v>11</v>
      </c>
      <c r="F17482" s="3">
        <v>11</v>
      </c>
      <c r="G17482" t="s">
        <v>512</v>
      </c>
    </row>
    <row r="17483" spans="1:7" x14ac:dyDescent="0.25">
      <c r="A17483" s="1" t="str">
        <f>"526809"</f>
        <v>526809</v>
      </c>
      <c r="B17483" s="2" t="str">
        <f>"PEÇAS DE REP. PARA MOTOR"</f>
        <v>PEÇAS DE REP. PARA MOTOR</v>
      </c>
      <c r="C17483" s="2" t="str">
        <f>"UN"</f>
        <v>UN</v>
      </c>
      <c r="D17483" s="7">
        <v>1400</v>
      </c>
      <c r="E17483" s="3">
        <v>13</v>
      </c>
      <c r="F17483" s="3">
        <v>13</v>
      </c>
      <c r="G17483" t="s">
        <v>513</v>
      </c>
    </row>
    <row r="17484" spans="1:7" x14ac:dyDescent="0.25">
      <c r="A17484" s="1" t="str">
        <f>"515973"</f>
        <v>515973</v>
      </c>
      <c r="B17484" s="2" t="str">
        <f>"PEÇAS DIVERSAS"</f>
        <v>PEÇAS DIVERSAS</v>
      </c>
      <c r="C17484" s="2" t="str">
        <f>"UN"</f>
        <v>UN</v>
      </c>
      <c r="D17484" s="7">
        <v>99999</v>
      </c>
      <c r="E17484" s="3">
        <v>99</v>
      </c>
      <c r="F17484" s="3">
        <v>99</v>
      </c>
      <c r="G17484" t="s">
        <v>514</v>
      </c>
    </row>
    <row r="17485" spans="1:7" x14ac:dyDescent="0.25">
      <c r="A17485" s="1" t="str">
        <f>"510929"</f>
        <v>510929</v>
      </c>
      <c r="B17485" s="2" t="str">
        <f>"PEÇAS INOX P/ LIRA - MEXEDOR REQUEIJAO"</f>
        <v>PEÇAS INOX P/ LIRA - MEXEDOR REQUEIJAO</v>
      </c>
      <c r="C17485" s="2" t="str">
        <f>"UN"</f>
        <v>UN</v>
      </c>
      <c r="D17485" s="7">
        <v>402</v>
      </c>
      <c r="E17485" s="3">
        <v>4</v>
      </c>
      <c r="F17485" s="3">
        <v>4</v>
      </c>
      <c r="G17485" t="s">
        <v>515</v>
      </c>
    </row>
    <row r="17486" spans="1:7" x14ac:dyDescent="0.25">
      <c r="A17486" s="1" t="str">
        <f>"510923"</f>
        <v>510923</v>
      </c>
      <c r="B17486" s="2" t="str">
        <f>"PEÇAS MAQUINA DE SOBRA"</f>
        <v>PEÇAS MAQUINA DE SOBRA</v>
      </c>
      <c r="C17486" s="2" t="str">
        <f>"UN"</f>
        <v>UN</v>
      </c>
      <c r="D17486" s="7">
        <v>402</v>
      </c>
      <c r="E17486" s="3">
        <v>4</v>
      </c>
      <c r="F17486" s="3">
        <v>4</v>
      </c>
      <c r="G17486" t="s">
        <v>512</v>
      </c>
    </row>
    <row r="17487" spans="1:7" x14ac:dyDescent="0.25">
      <c r="A17487" s="1" t="str">
        <f>"509238"</f>
        <v>509238</v>
      </c>
      <c r="B17487" s="2" t="str">
        <f>"PEÇAS P/ MEXEDOR"</f>
        <v>PEÇAS P/ MEXEDOR</v>
      </c>
      <c r="C17487" s="2" t="str">
        <f>"BR"</f>
        <v>BR</v>
      </c>
      <c r="D17487" s="7">
        <v>807</v>
      </c>
      <c r="E17487" s="3">
        <v>10</v>
      </c>
      <c r="F17487" s="3">
        <v>10</v>
      </c>
      <c r="G17487" t="s">
        <v>516</v>
      </c>
    </row>
    <row r="17488" spans="1:7" x14ac:dyDescent="0.25">
      <c r="A17488" s="1" t="str">
        <f>"521526"</f>
        <v>521526</v>
      </c>
      <c r="B17488" s="2" t="str">
        <f>"PEÇAS SOBRES. SPARE-PARTS (2 FANS AND 2 SEALING ASSEMBLY)"</f>
        <v>PEÇAS SOBRES. SPARE-PARTS (2 FANS AND 2 SEALING ASSEMBLY)</v>
      </c>
      <c r="C17488" s="2" t="str">
        <f>"UN"</f>
        <v>UN</v>
      </c>
      <c r="D17488" s="7">
        <v>99999</v>
      </c>
      <c r="E17488" s="3">
        <v>99</v>
      </c>
      <c r="F17488" s="3">
        <v>99</v>
      </c>
      <c r="G17488" t="s">
        <v>515</v>
      </c>
    </row>
    <row r="17489" spans="1:7" x14ac:dyDescent="0.25">
      <c r="A17489" s="1" t="str">
        <f>"6682"</f>
        <v>6682</v>
      </c>
      <c r="B17489" s="2" t="str">
        <f>"PECTINA AMD 780 - DANISCO"</f>
        <v>PECTINA AMD 780 - DANISCO</v>
      </c>
      <c r="C17489" s="2" t="str">
        <f>"KG"</f>
        <v>KG</v>
      </c>
      <c r="D17489" s="7">
        <v>209</v>
      </c>
      <c r="E17489" s="3">
        <v>2</v>
      </c>
      <c r="F17489" s="3">
        <v>2</v>
      </c>
      <c r="G17489" t="s">
        <v>514</v>
      </c>
    </row>
    <row r="17490" spans="1:7" x14ac:dyDescent="0.25">
      <c r="A17490" s="1" t="str">
        <f>"7052"</f>
        <v>7052</v>
      </c>
      <c r="B17490" s="2" t="str">
        <f>"PECTINA CITRICA CP KELCO YM 115-H - LEITE FERMENTADO"</f>
        <v>PECTINA CITRICA CP KELCO YM 115-H - LEITE FERMENTADO</v>
      </c>
      <c r="C17490" s="2" t="str">
        <f>"KG"</f>
        <v>KG</v>
      </c>
      <c r="D17490" s="7">
        <v>209</v>
      </c>
      <c r="E17490" s="3">
        <v>2</v>
      </c>
      <c r="F17490" s="3">
        <v>2</v>
      </c>
      <c r="G17490" t="s">
        <v>512</v>
      </c>
    </row>
    <row r="17491" spans="1:7" x14ac:dyDescent="0.25">
      <c r="A17491" s="1" t="str">
        <f>"PDG-CAM-2E"</f>
        <v>PDG-CAM-2E</v>
      </c>
      <c r="B17491" s="2" t="str">
        <f>"PEDAGIO - SERVICO DE TRANSPORTE CAMINHAO"</f>
        <v>PEDAGIO - SERVICO DE TRANSPORTE CAMINHAO</v>
      </c>
      <c r="C17491" s="2" t="str">
        <f t="shared" ref="C17491:C17530" si="691">"UN"</f>
        <v>UN</v>
      </c>
      <c r="D17491" s="7">
        <v>99999</v>
      </c>
      <c r="E17491" s="3">
        <v>99</v>
      </c>
      <c r="F17491" s="3">
        <v>99</v>
      </c>
      <c r="G17491" t="s">
        <v>513</v>
      </c>
    </row>
    <row r="17492" spans="1:7" x14ac:dyDescent="0.25">
      <c r="A17492" s="1" t="str">
        <f>"PDG-CAM-3E"</f>
        <v>PDG-CAM-3E</v>
      </c>
      <c r="B17492" s="2" t="str">
        <f>"PEDAGIO - SERVICO DE TRANSPORTE CAMINHAO"</f>
        <v>PEDAGIO - SERVICO DE TRANSPORTE CAMINHAO</v>
      </c>
      <c r="C17492" s="2" t="str">
        <f t="shared" si="691"/>
        <v>UN</v>
      </c>
      <c r="D17492" s="7">
        <v>99999</v>
      </c>
      <c r="E17492" s="3">
        <v>99</v>
      </c>
      <c r="F17492" s="3">
        <v>99</v>
      </c>
      <c r="G17492" t="s">
        <v>514</v>
      </c>
    </row>
    <row r="17493" spans="1:7" x14ac:dyDescent="0.25">
      <c r="A17493" s="1" t="str">
        <f>"PDG-CAM-5E"</f>
        <v>PDG-CAM-5E</v>
      </c>
      <c r="B17493" s="2" t="str">
        <f>"PEDAGIO - SERVICO DE TRANSPORTE CAMINHAO"</f>
        <v>PEDAGIO - SERVICO DE TRANSPORTE CAMINHAO</v>
      </c>
      <c r="C17493" s="2" t="str">
        <f t="shared" si="691"/>
        <v>UN</v>
      </c>
      <c r="D17493" s="7">
        <v>99999</v>
      </c>
      <c r="E17493" s="3">
        <v>99</v>
      </c>
      <c r="F17493" s="3">
        <v>99</v>
      </c>
      <c r="G17493" t="s">
        <v>514</v>
      </c>
    </row>
    <row r="17494" spans="1:7" x14ac:dyDescent="0.25">
      <c r="A17494" s="1" t="str">
        <f>"PDG-CAM-6E"</f>
        <v>PDG-CAM-6E</v>
      </c>
      <c r="B17494" s="2" t="str">
        <f>"PEDAGIO - SERVICO DE TRANSPORTE CAMINHAO"</f>
        <v>PEDAGIO - SERVICO DE TRANSPORTE CAMINHAO</v>
      </c>
      <c r="C17494" s="2" t="str">
        <f t="shared" si="691"/>
        <v>UN</v>
      </c>
      <c r="D17494" s="7">
        <v>99999</v>
      </c>
      <c r="E17494" s="3">
        <v>99</v>
      </c>
      <c r="F17494" s="3">
        <v>99</v>
      </c>
      <c r="G17494" t="s">
        <v>512</v>
      </c>
    </row>
    <row r="17495" spans="1:7" x14ac:dyDescent="0.25">
      <c r="A17495" s="1" t="str">
        <f>"PDG-CARRO"</f>
        <v>PDG-CARRO</v>
      </c>
      <c r="B17495" s="2" t="str">
        <f>"PEDAGIO - SERVICO DE TRANSPORTE CARRO"</f>
        <v>PEDAGIO - SERVICO DE TRANSPORTE CARRO</v>
      </c>
      <c r="C17495" s="2" t="str">
        <f t="shared" si="691"/>
        <v>UN</v>
      </c>
      <c r="D17495" s="7">
        <v>99999</v>
      </c>
      <c r="E17495" s="3">
        <v>99</v>
      </c>
      <c r="F17495" s="3">
        <v>99</v>
      </c>
      <c r="G17495" t="s">
        <v>513</v>
      </c>
    </row>
    <row r="17496" spans="1:7" x14ac:dyDescent="0.25">
      <c r="A17496" s="1" t="str">
        <f>"PEDAGIO"</f>
        <v>PEDAGIO</v>
      </c>
      <c r="B17496" s="2" t="str">
        <f>"PEDAGIO - SERVICO DE TRANSPORTE RODOVIARIO"</f>
        <v>PEDAGIO - SERVICO DE TRANSPORTE RODOVIARIO</v>
      </c>
      <c r="C17496" s="2" t="str">
        <f t="shared" si="691"/>
        <v>UN</v>
      </c>
      <c r="D17496" s="7">
        <v>99999</v>
      </c>
      <c r="E17496" s="3">
        <v>99</v>
      </c>
      <c r="F17496" s="3">
        <v>99</v>
      </c>
      <c r="G17496" t="s">
        <v>514</v>
      </c>
    </row>
    <row r="17497" spans="1:7" x14ac:dyDescent="0.25">
      <c r="A17497" s="1" t="str">
        <f>"504995"</f>
        <v>504995</v>
      </c>
      <c r="B17497" s="2" t="str">
        <f>"PEDAL ACELERADOR"</f>
        <v>PEDAL ACELERADOR</v>
      </c>
      <c r="C17497" s="2" t="str">
        <f t="shared" si="691"/>
        <v>UN</v>
      </c>
      <c r="D17497" s="7">
        <v>704</v>
      </c>
      <c r="E17497" s="3">
        <v>9</v>
      </c>
      <c r="F17497" s="3">
        <v>9</v>
      </c>
      <c r="G17497" t="s">
        <v>514</v>
      </c>
    </row>
    <row r="17498" spans="1:7" x14ac:dyDescent="0.25">
      <c r="A17498" s="1" t="str">
        <f>"509057"</f>
        <v>509057</v>
      </c>
      <c r="B17498" s="2" t="str">
        <f>"PEDAL ACIONADOR HIDRAULICO 009400209"</f>
        <v>PEDAL ACIONADOR HIDRAULICO 009400209</v>
      </c>
      <c r="C17498" s="2" t="str">
        <f t="shared" si="691"/>
        <v>UN</v>
      </c>
      <c r="D17498" s="7">
        <v>914</v>
      </c>
      <c r="E17498" s="3">
        <v>11</v>
      </c>
      <c r="F17498" s="3">
        <v>11</v>
      </c>
      <c r="G17498" t="s">
        <v>514</v>
      </c>
    </row>
    <row r="17499" spans="1:7" x14ac:dyDescent="0.25">
      <c r="A17499" s="1" t="str">
        <f>"501494"</f>
        <v>501494</v>
      </c>
      <c r="B17499" s="2" t="str">
        <f>"PEDAL PLASTICO EMPILHADEIRA TOYOTA"</f>
        <v>PEDAL PLASTICO EMPILHADEIRA TOYOTA</v>
      </c>
      <c r="C17499" s="2" t="str">
        <f t="shared" si="691"/>
        <v>UN</v>
      </c>
      <c r="D17499" s="7">
        <v>918</v>
      </c>
      <c r="E17499" s="3">
        <v>11</v>
      </c>
      <c r="F17499" s="3">
        <v>11</v>
      </c>
      <c r="G17499" t="s">
        <v>513</v>
      </c>
    </row>
    <row r="17500" spans="1:7" x14ac:dyDescent="0.25">
      <c r="A17500" s="1" t="str">
        <f>"509073"</f>
        <v>509073</v>
      </c>
      <c r="B17500" s="2" t="str">
        <f>"PEDAL USINADO 3000 009400250"</f>
        <v>PEDAL USINADO 3000 009400250</v>
      </c>
      <c r="C17500" s="2" t="str">
        <f t="shared" si="691"/>
        <v>UN</v>
      </c>
      <c r="D17500" s="7">
        <v>918</v>
      </c>
      <c r="E17500" s="3">
        <v>11</v>
      </c>
      <c r="F17500" s="3">
        <v>11</v>
      </c>
      <c r="G17500" t="s">
        <v>512</v>
      </c>
    </row>
    <row r="17501" spans="1:7" x14ac:dyDescent="0.25">
      <c r="A17501" s="1" t="str">
        <f>"521714"</f>
        <v>521714</v>
      </c>
      <c r="B17501" s="2" t="str">
        <f>"PEDESTAL"</f>
        <v>PEDESTAL</v>
      </c>
      <c r="C17501" s="2" t="str">
        <f t="shared" si="691"/>
        <v>UN</v>
      </c>
      <c r="D17501" s="7">
        <v>99999</v>
      </c>
      <c r="E17501" s="3">
        <v>99</v>
      </c>
      <c r="F17501" s="3">
        <v>99</v>
      </c>
      <c r="G17501" t="s">
        <v>513</v>
      </c>
    </row>
    <row r="17502" spans="1:7" x14ac:dyDescent="0.25">
      <c r="A17502" s="1" t="str">
        <f>"519382"</f>
        <v>519382</v>
      </c>
      <c r="B17502" s="2" t="str">
        <f>"PEDESTAL ARTICULADO ALUMINIO 1ESTAGIO 2MTS"</f>
        <v>PEDESTAL ARTICULADO ALUMINIO 1ESTAGIO 2MTS</v>
      </c>
      <c r="C17502" s="2" t="str">
        <f t="shared" si="691"/>
        <v>UN</v>
      </c>
      <c r="D17502" s="7">
        <v>920</v>
      </c>
      <c r="E17502" s="3">
        <v>4</v>
      </c>
      <c r="F17502" s="3">
        <v>4</v>
      </c>
      <c r="G17502" t="s">
        <v>514</v>
      </c>
    </row>
    <row r="17503" spans="1:7" x14ac:dyDescent="0.25">
      <c r="A17503" s="1" t="str">
        <f>"522929"</f>
        <v>522929</v>
      </c>
      <c r="B17503" s="2" t="str">
        <f>"PEDESTAL MOD. PLUS FITA ZEBRADA 5 MT PEDESTAL AMARELO"</f>
        <v>PEDESTAL MOD. PLUS FITA ZEBRADA 5 MT PEDESTAL AMARELO</v>
      </c>
      <c r="C17503" s="2" t="str">
        <f t="shared" si="691"/>
        <v>UN</v>
      </c>
      <c r="D17503" s="7">
        <v>501</v>
      </c>
      <c r="E17503" s="3">
        <v>4</v>
      </c>
      <c r="F17503" s="3">
        <v>4</v>
      </c>
      <c r="G17503" t="s">
        <v>514</v>
      </c>
    </row>
    <row r="17504" spans="1:7" x14ac:dyDescent="0.25">
      <c r="A17504" s="1" t="str">
        <f>"521744"</f>
        <v>521744</v>
      </c>
      <c r="B17504" s="2" t="str">
        <f>"PEDESTAL PARA BANNER MOD. T7. 1200"</f>
        <v>PEDESTAL PARA BANNER MOD. T7. 1200</v>
      </c>
      <c r="C17504" s="2" t="str">
        <f t="shared" si="691"/>
        <v>UN</v>
      </c>
      <c r="D17504" s="7">
        <v>99999</v>
      </c>
      <c r="E17504" s="3">
        <v>99</v>
      </c>
      <c r="F17504" s="3">
        <v>99</v>
      </c>
      <c r="G17504" t="s">
        <v>514</v>
      </c>
    </row>
    <row r="17505" spans="1:7" x14ac:dyDescent="0.25">
      <c r="A17505" s="1" t="str">
        <f>"514461"</f>
        <v>514461</v>
      </c>
      <c r="B17505" s="2" t="str">
        <f>"PEDESTAL PVC 90CM PRETO/AMARELO"</f>
        <v>PEDESTAL PVC 90CM PRETO/AMARELO</v>
      </c>
      <c r="C17505" s="2" t="str">
        <f t="shared" si="691"/>
        <v>UN</v>
      </c>
      <c r="D17505" s="7">
        <v>401</v>
      </c>
      <c r="E17505" s="3">
        <v>4</v>
      </c>
      <c r="F17505" s="3">
        <v>4</v>
      </c>
      <c r="G17505" t="s">
        <v>513</v>
      </c>
    </row>
    <row r="17506" spans="1:7" x14ac:dyDescent="0.25">
      <c r="A17506" s="1" t="str">
        <f>"520751"</f>
        <v>520751</v>
      </c>
      <c r="B17506" s="2" t="str">
        <f>"PEDESTAL VT40"</f>
        <v>PEDESTAL VT40</v>
      </c>
      <c r="C17506" s="2" t="str">
        <f t="shared" si="691"/>
        <v>UN</v>
      </c>
      <c r="D17506" s="7">
        <v>915</v>
      </c>
      <c r="E17506" s="3">
        <v>11</v>
      </c>
      <c r="F17506" s="3">
        <v>11</v>
      </c>
      <c r="G17506" t="s">
        <v>513</v>
      </c>
    </row>
    <row r="17507" spans="1:7" x14ac:dyDescent="0.25">
      <c r="A17507" s="1" t="str">
        <f>"501198"</f>
        <v>501198</v>
      </c>
      <c r="B17507" s="2" t="str">
        <f>"PEDRA ABRASIVA ROTULADEIRA MAQ. 200ml"</f>
        <v>PEDRA ABRASIVA ROTULADEIRA MAQ. 200ml</v>
      </c>
      <c r="C17507" s="2" t="str">
        <f t="shared" si="691"/>
        <v>UN</v>
      </c>
      <c r="D17507" s="7">
        <v>918</v>
      </c>
      <c r="E17507" s="3">
        <v>11</v>
      </c>
      <c r="F17507" s="3">
        <v>11</v>
      </c>
      <c r="G17507" t="s">
        <v>513</v>
      </c>
    </row>
    <row r="17508" spans="1:7" x14ac:dyDescent="0.25">
      <c r="A17508" s="1" t="str">
        <f>"511085"</f>
        <v>511085</v>
      </c>
      <c r="B17508" s="2" t="str">
        <f>"PEDRA BALCAO 165X60MM"</f>
        <v>PEDRA BALCAO 165X60MM</v>
      </c>
      <c r="C17508" s="2" t="str">
        <f t="shared" si="691"/>
        <v>UN</v>
      </c>
      <c r="D17508" s="7">
        <v>803</v>
      </c>
      <c r="E17508" s="3">
        <v>10</v>
      </c>
      <c r="F17508" s="3">
        <v>10</v>
      </c>
      <c r="G17508" t="s">
        <v>512</v>
      </c>
    </row>
    <row r="17509" spans="1:7" x14ac:dyDescent="0.25">
      <c r="A17509" s="1" t="str">
        <f>"511088"</f>
        <v>511088</v>
      </c>
      <c r="B17509" s="2" t="str">
        <f>"PEDRA BALCAO 190X60MM"</f>
        <v>PEDRA BALCAO 190X60MM</v>
      </c>
      <c r="C17509" s="2" t="str">
        <f t="shared" si="691"/>
        <v>UN</v>
      </c>
      <c r="D17509" s="7">
        <v>803</v>
      </c>
      <c r="E17509" s="3">
        <v>10</v>
      </c>
      <c r="F17509" s="3">
        <v>10</v>
      </c>
      <c r="G17509" t="s">
        <v>513</v>
      </c>
    </row>
    <row r="17510" spans="1:7" x14ac:dyDescent="0.25">
      <c r="A17510" s="1" t="str">
        <f>"511089"</f>
        <v>511089</v>
      </c>
      <c r="B17510" s="2" t="str">
        <f>"PEDRA BALCAO 191X60MM"</f>
        <v>PEDRA BALCAO 191X60MM</v>
      </c>
      <c r="C17510" s="2" t="str">
        <f t="shared" si="691"/>
        <v>UN</v>
      </c>
      <c r="D17510" s="7">
        <v>803</v>
      </c>
      <c r="E17510" s="3">
        <v>10</v>
      </c>
      <c r="F17510" s="3">
        <v>10</v>
      </c>
      <c r="G17510" t="s">
        <v>514</v>
      </c>
    </row>
    <row r="17511" spans="1:7" x14ac:dyDescent="0.25">
      <c r="A17511" s="1" t="str">
        <f>"511086"</f>
        <v>511086</v>
      </c>
      <c r="B17511" s="2" t="str">
        <f>"PEDRA BALCAO 205X80MM"</f>
        <v>PEDRA BALCAO 205X80MM</v>
      </c>
      <c r="C17511" s="2" t="str">
        <f t="shared" si="691"/>
        <v>UN</v>
      </c>
      <c r="D17511" s="7">
        <v>803</v>
      </c>
      <c r="E17511" s="3">
        <v>10</v>
      </c>
      <c r="F17511" s="3">
        <v>10</v>
      </c>
      <c r="G17511" t="s">
        <v>515</v>
      </c>
    </row>
    <row r="17512" spans="1:7" x14ac:dyDescent="0.25">
      <c r="A17512" s="1" t="str">
        <f>"511087"</f>
        <v>511087</v>
      </c>
      <c r="B17512" s="2" t="str">
        <f>"PEDRA BALCAO 245X80MM"</f>
        <v>PEDRA BALCAO 245X80MM</v>
      </c>
      <c r="C17512" s="2" t="str">
        <f t="shared" si="691"/>
        <v>UN</v>
      </c>
      <c r="D17512" s="7">
        <v>803</v>
      </c>
      <c r="E17512" s="3">
        <v>10</v>
      </c>
      <c r="F17512" s="3">
        <v>10</v>
      </c>
      <c r="G17512" t="s">
        <v>512</v>
      </c>
    </row>
    <row r="17513" spans="1:7" x14ac:dyDescent="0.25">
      <c r="A17513" s="1" t="str">
        <f>"504543"</f>
        <v>504543</v>
      </c>
      <c r="B17513" s="2" t="str">
        <f>"PEDRA BRITADA Nº1"</f>
        <v>PEDRA BRITADA Nº1</v>
      </c>
      <c r="C17513" s="2" t="str">
        <f t="shared" si="691"/>
        <v>UN</v>
      </c>
      <c r="D17513" s="7">
        <v>403</v>
      </c>
      <c r="E17513" s="3">
        <v>4</v>
      </c>
      <c r="F17513" s="3">
        <v>4</v>
      </c>
      <c r="G17513" t="s">
        <v>516</v>
      </c>
    </row>
    <row r="17514" spans="1:7" x14ac:dyDescent="0.25">
      <c r="A17514" s="1" t="str">
        <f>"504544"</f>
        <v>504544</v>
      </c>
      <c r="B17514" s="2" t="str">
        <f>"PEDRA BRITADA Nº2"</f>
        <v>PEDRA BRITADA Nº2</v>
      </c>
      <c r="C17514" s="2" t="str">
        <f t="shared" si="691"/>
        <v>UN</v>
      </c>
      <c r="D17514" s="7">
        <v>403</v>
      </c>
      <c r="E17514" s="3">
        <v>4</v>
      </c>
      <c r="F17514" s="3">
        <v>4</v>
      </c>
      <c r="G17514" t="s">
        <v>515</v>
      </c>
    </row>
    <row r="17515" spans="1:7" x14ac:dyDescent="0.25">
      <c r="A17515" s="1" t="str">
        <f>"524435"</f>
        <v>524435</v>
      </c>
      <c r="B17515" s="2" t="str">
        <f>"PEDRA DE CALÇADA 50X20 C/ BORDA ABAULADA"</f>
        <v>PEDRA DE CALÇADA 50X20 C/ BORDA ABAULADA</v>
      </c>
      <c r="C17515" s="2" t="str">
        <f t="shared" si="691"/>
        <v>UN</v>
      </c>
      <c r="D17515" s="7">
        <v>917</v>
      </c>
      <c r="E17515" s="3">
        <v>10</v>
      </c>
      <c r="F17515" s="3">
        <v>10</v>
      </c>
      <c r="G17515" t="s">
        <v>514</v>
      </c>
    </row>
    <row r="17516" spans="1:7" x14ac:dyDescent="0.25">
      <c r="A17516" s="1" t="str">
        <f>"524434"</f>
        <v>524434</v>
      </c>
      <c r="B17516" s="2" t="str">
        <f>"PEDRA DE CALÇADA 50X25"</f>
        <v>PEDRA DE CALÇADA 50X25</v>
      </c>
      <c r="C17516" s="2" t="str">
        <f t="shared" si="691"/>
        <v>UN</v>
      </c>
      <c r="D17516" s="7">
        <v>917</v>
      </c>
      <c r="E17516" s="3">
        <v>10</v>
      </c>
      <c r="F17516" s="3">
        <v>10</v>
      </c>
      <c r="G17516" t="s">
        <v>512</v>
      </c>
    </row>
    <row r="17517" spans="1:7" x14ac:dyDescent="0.25">
      <c r="A17517" s="1" t="str">
        <f>"512462"</f>
        <v>512462</v>
      </c>
      <c r="B17517" s="2" t="str">
        <f>"PEDRA DE CALÇADA 50X50MM"</f>
        <v>PEDRA DE CALÇADA 50X50MM</v>
      </c>
      <c r="C17517" s="2" t="str">
        <f t="shared" si="691"/>
        <v>UN</v>
      </c>
      <c r="D17517" s="7">
        <v>403</v>
      </c>
      <c r="E17517" s="3">
        <v>4</v>
      </c>
      <c r="F17517" s="3">
        <v>4</v>
      </c>
      <c r="G17517" t="s">
        <v>513</v>
      </c>
    </row>
    <row r="17518" spans="1:7" x14ac:dyDescent="0.25">
      <c r="A17518" s="1" t="str">
        <f>"514481"</f>
        <v>514481</v>
      </c>
      <c r="B17518" s="2" t="str">
        <f>"PEDRA DE GRANITO BOLEADA ACABADA"</f>
        <v>PEDRA DE GRANITO BOLEADA ACABADA</v>
      </c>
      <c r="C17518" s="2" t="str">
        <f t="shared" si="691"/>
        <v>UN</v>
      </c>
      <c r="D17518" s="7">
        <v>401</v>
      </c>
      <c r="E17518" s="3">
        <v>10</v>
      </c>
      <c r="F17518" s="3">
        <v>10</v>
      </c>
      <c r="G17518" t="s">
        <v>514</v>
      </c>
    </row>
    <row r="17519" spans="1:7" x14ac:dyDescent="0.25">
      <c r="A17519" s="1" t="str">
        <f>"520896"</f>
        <v>520896</v>
      </c>
      <c r="B17519" s="2" t="str">
        <f>"PEDRA P/ ESMERIL A60  FURO DIAMENTRO 20MM"</f>
        <v>PEDRA P/ ESMERIL A60  FURO DIAMENTRO 20MM</v>
      </c>
      <c r="C17519" s="2" t="str">
        <f t="shared" si="691"/>
        <v>UN</v>
      </c>
      <c r="D17519" s="7">
        <v>812</v>
      </c>
      <c r="E17519" s="3">
        <v>10</v>
      </c>
      <c r="F17519" s="3">
        <v>10</v>
      </c>
      <c r="G17519" t="s">
        <v>514</v>
      </c>
    </row>
    <row r="17520" spans="1:7" x14ac:dyDescent="0.25">
      <c r="A17520" s="1" t="str">
        <f>"511083"</f>
        <v>511083</v>
      </c>
      <c r="B17520" s="2" t="str">
        <f>"PEDRA PIA 200X80MM"</f>
        <v>PEDRA PIA 200X80MM</v>
      </c>
      <c r="C17520" s="2" t="str">
        <f t="shared" si="691"/>
        <v>UN</v>
      </c>
      <c r="D17520" s="7">
        <v>803</v>
      </c>
      <c r="E17520" s="3">
        <v>10</v>
      </c>
      <c r="F17520" s="3">
        <v>10</v>
      </c>
      <c r="G17520" t="s">
        <v>512</v>
      </c>
    </row>
    <row r="17521" spans="1:7" x14ac:dyDescent="0.25">
      <c r="A17521" s="1" t="str">
        <f>"511084"</f>
        <v>511084</v>
      </c>
      <c r="B17521" s="2" t="str">
        <f>"PEDRA PIA 238X80MM"</f>
        <v>PEDRA PIA 238X80MM</v>
      </c>
      <c r="C17521" s="2" t="str">
        <f t="shared" si="691"/>
        <v>UN</v>
      </c>
      <c r="D17521" s="7">
        <v>803</v>
      </c>
      <c r="E17521" s="3">
        <v>10</v>
      </c>
      <c r="F17521" s="3">
        <v>10</v>
      </c>
      <c r="G17521" t="s">
        <v>513</v>
      </c>
    </row>
    <row r="17522" spans="1:7" x14ac:dyDescent="0.25">
      <c r="A17522" s="1" t="str">
        <f>"515685"</f>
        <v>515685</v>
      </c>
      <c r="B17522" s="2" t="str">
        <f>"PEDRA POLIMENTO"</f>
        <v>PEDRA POLIMENTO</v>
      </c>
      <c r="C17522" s="2" t="str">
        <f t="shared" si="691"/>
        <v>UN</v>
      </c>
      <c r="D17522" s="7">
        <v>704</v>
      </c>
      <c r="E17522" s="3">
        <v>9</v>
      </c>
      <c r="F17522" s="3">
        <v>9</v>
      </c>
      <c r="G17522" t="s">
        <v>514</v>
      </c>
    </row>
    <row r="17523" spans="1:7" x14ac:dyDescent="0.25">
      <c r="A17523" s="1" t="str">
        <f>"523273"</f>
        <v>523273</v>
      </c>
      <c r="B17523" s="2" t="str">
        <f>"PEDRA RACHÃO"</f>
        <v>PEDRA RACHÃO</v>
      </c>
      <c r="C17523" s="2" t="str">
        <f t="shared" si="691"/>
        <v>UN</v>
      </c>
      <c r="D17523" s="7">
        <v>403</v>
      </c>
      <c r="E17523" s="3">
        <v>4</v>
      </c>
      <c r="F17523" s="3">
        <v>4</v>
      </c>
      <c r="G17523" t="s">
        <v>514</v>
      </c>
    </row>
    <row r="17524" spans="1:7" x14ac:dyDescent="0.25">
      <c r="A17524" s="1" t="str">
        <f>"500197"</f>
        <v>500197</v>
      </c>
      <c r="B17524" s="2" t="str">
        <f>"PEDRISCO"</f>
        <v>PEDRISCO</v>
      </c>
      <c r="C17524" s="2" t="str">
        <f t="shared" si="691"/>
        <v>UN</v>
      </c>
      <c r="D17524" s="7">
        <v>403</v>
      </c>
      <c r="E17524" s="3">
        <v>4</v>
      </c>
      <c r="F17524" s="3">
        <v>4</v>
      </c>
      <c r="G17524" t="s">
        <v>514</v>
      </c>
    </row>
    <row r="17525" spans="1:7" x14ac:dyDescent="0.25">
      <c r="A17525" s="1" t="str">
        <f>"515490"</f>
        <v>515490</v>
      </c>
      <c r="B17525" s="2" t="str">
        <f>"PEGA MAO"</f>
        <v>PEGA MAO</v>
      </c>
      <c r="C17525" s="2" t="str">
        <f t="shared" si="691"/>
        <v>UN</v>
      </c>
      <c r="D17525" s="7">
        <v>704</v>
      </c>
      <c r="E17525" s="3">
        <v>9</v>
      </c>
      <c r="F17525" s="3">
        <v>9</v>
      </c>
      <c r="G17525" t="s">
        <v>513</v>
      </c>
    </row>
    <row r="17526" spans="1:7" x14ac:dyDescent="0.25">
      <c r="A17526" s="1" t="str">
        <f>"524003"</f>
        <v>524003</v>
      </c>
      <c r="B17526" s="2" t="str">
        <f>"PEGA RATO CARTÃO"</f>
        <v>PEGA RATO CARTÃO</v>
      </c>
      <c r="C17526" s="2" t="str">
        <f t="shared" si="691"/>
        <v>UN</v>
      </c>
      <c r="D17526" s="7">
        <v>99999</v>
      </c>
      <c r="E17526" s="3">
        <v>99</v>
      </c>
      <c r="F17526" s="3">
        <v>99</v>
      </c>
      <c r="G17526" t="s">
        <v>512</v>
      </c>
    </row>
    <row r="17527" spans="1:7" x14ac:dyDescent="0.25">
      <c r="A17527" s="1" t="str">
        <f>"515124"</f>
        <v>515124</v>
      </c>
      <c r="B17527" s="2" t="str">
        <f>"PEGADO DE MASSA"</f>
        <v>PEGADO DE MASSA</v>
      </c>
      <c r="C17527" s="2" t="str">
        <f t="shared" si="691"/>
        <v>UN</v>
      </c>
      <c r="D17527" s="7">
        <v>401</v>
      </c>
      <c r="E17527" s="3">
        <v>4</v>
      </c>
      <c r="F17527" s="3">
        <v>4</v>
      </c>
      <c r="G17527" t="s">
        <v>513</v>
      </c>
    </row>
    <row r="17528" spans="1:7" x14ac:dyDescent="0.25">
      <c r="A17528" s="1" t="str">
        <f>"519734"</f>
        <v>519734</v>
      </c>
      <c r="B17528" s="2" t="str">
        <f>"PEITO DE PERU DEFUMADO"</f>
        <v>PEITO DE PERU DEFUMADO</v>
      </c>
      <c r="C17528" s="2" t="str">
        <f t="shared" si="691"/>
        <v>UN</v>
      </c>
      <c r="D17528" s="7">
        <v>99999</v>
      </c>
      <c r="E17528" s="3">
        <v>99</v>
      </c>
      <c r="F17528" s="3">
        <v>99</v>
      </c>
      <c r="G17528" t="s">
        <v>514</v>
      </c>
    </row>
    <row r="17529" spans="1:7" x14ac:dyDescent="0.25">
      <c r="A17529" s="1" t="str">
        <f>"515107"</f>
        <v>515107</v>
      </c>
      <c r="B17529" s="2" t="str">
        <f>"PELE IZZO BATEDEIRA"</f>
        <v>PELE IZZO BATEDEIRA</v>
      </c>
      <c r="C17529" s="2" t="str">
        <f t="shared" si="691"/>
        <v>UN</v>
      </c>
      <c r="D17529" s="7">
        <v>401</v>
      </c>
      <c r="E17529" s="3">
        <v>4</v>
      </c>
      <c r="F17529" s="3">
        <v>4</v>
      </c>
      <c r="G17529" t="s">
        <v>514</v>
      </c>
    </row>
    <row r="17530" spans="1:7" x14ac:dyDescent="0.25">
      <c r="A17530" s="1" t="str">
        <f>"525057"</f>
        <v>525057</v>
      </c>
      <c r="B17530" s="2" t="str">
        <f>"PELIC 25X14MM SICHERHEITSSIEGE"</f>
        <v>PELIC 25X14MM SICHERHEITSSIEGE</v>
      </c>
      <c r="C17530" s="2" t="str">
        <f t="shared" si="691"/>
        <v>UN</v>
      </c>
      <c r="D17530" s="7">
        <v>811</v>
      </c>
      <c r="E17530" s="3">
        <v>10</v>
      </c>
      <c r="F17530" s="3">
        <v>10</v>
      </c>
      <c r="G17530" t="s">
        <v>514</v>
      </c>
    </row>
    <row r="17531" spans="1:7" x14ac:dyDescent="0.25">
      <c r="A17531" s="1" t="str">
        <f>"6725"</f>
        <v>6725</v>
      </c>
      <c r="B17531" s="2" t="str">
        <f>"PELIC.IMPRES/CAROLINA-480G-280X004"</f>
        <v>PELIC.IMPRES/CAROLINA-480G-280X004</v>
      </c>
      <c r="C17531" s="2" t="str">
        <f t="shared" ref="C17531:C17539" si="692">"KG"</f>
        <v>KG</v>
      </c>
      <c r="D17531" s="7">
        <v>110</v>
      </c>
      <c r="E17531" s="3">
        <v>1</v>
      </c>
      <c r="F17531" s="3">
        <v>1</v>
      </c>
      <c r="G17531" t="s">
        <v>513</v>
      </c>
    </row>
    <row r="17532" spans="1:7" x14ac:dyDescent="0.25">
      <c r="A17532" s="1" t="str">
        <f>"6986"</f>
        <v>6986</v>
      </c>
      <c r="B17532" s="2" t="str">
        <f>"PELIC.IMPRES/CARREFOUR-KIDS 560G."</f>
        <v>PELIC.IMPRES/CARREFOUR-KIDS 560G.</v>
      </c>
      <c r="C17532" s="2" t="str">
        <f t="shared" si="692"/>
        <v>KG</v>
      </c>
      <c r="D17532" s="7">
        <v>110</v>
      </c>
      <c r="E17532" s="3">
        <v>1</v>
      </c>
      <c r="F17532" s="3">
        <v>1</v>
      </c>
      <c r="G17532" t="s">
        <v>513</v>
      </c>
    </row>
    <row r="17533" spans="1:7" x14ac:dyDescent="0.25">
      <c r="A17533" s="1" t="str">
        <f>"631"</f>
        <v>631</v>
      </c>
      <c r="B17533" s="2" t="str">
        <f>"PELIC.IMPRESSA SEM LACTOSE/CAROLINA-450G-570X004"</f>
        <v>PELIC.IMPRESSA SEM LACTOSE/CAROLINA-450G-570X004</v>
      </c>
      <c r="C17533" s="2" t="str">
        <f t="shared" si="692"/>
        <v>KG</v>
      </c>
      <c r="D17533" s="7">
        <v>110</v>
      </c>
      <c r="E17533" s="3">
        <v>1</v>
      </c>
      <c r="F17533" s="3">
        <v>1</v>
      </c>
      <c r="G17533" t="s">
        <v>513</v>
      </c>
    </row>
    <row r="17534" spans="1:7" x14ac:dyDescent="0.25">
      <c r="A17534" s="1" t="str">
        <f>"4086"</f>
        <v>4086</v>
      </c>
      <c r="B17534" s="2" t="str">
        <f>"PELIC.IMPRESSA/CAROLINA-450G-570X004"</f>
        <v>PELIC.IMPRESSA/CAROLINA-450G-570X004</v>
      </c>
      <c r="C17534" s="2" t="str">
        <f t="shared" si="692"/>
        <v>KG</v>
      </c>
      <c r="D17534" s="7">
        <v>110</v>
      </c>
      <c r="E17534" s="3">
        <v>1</v>
      </c>
      <c r="F17534" s="3">
        <v>1</v>
      </c>
      <c r="G17534" t="s">
        <v>512</v>
      </c>
    </row>
    <row r="17535" spans="1:7" x14ac:dyDescent="0.25">
      <c r="A17535" s="1" t="str">
        <f>"646"</f>
        <v>646</v>
      </c>
      <c r="B17535" s="2" t="str">
        <f>"PELIC.IMPRESSA/CAROLINA-450G-570X004"</f>
        <v>PELIC.IMPRESSA/CAROLINA-450G-570X004</v>
      </c>
      <c r="C17535" s="2" t="str">
        <f t="shared" si="692"/>
        <v>KG</v>
      </c>
      <c r="D17535" s="7">
        <v>110</v>
      </c>
      <c r="E17535" s="3">
        <v>1</v>
      </c>
      <c r="F17535" s="3">
        <v>1</v>
      </c>
      <c r="G17535" t="s">
        <v>513</v>
      </c>
    </row>
    <row r="17536" spans="1:7" x14ac:dyDescent="0.25">
      <c r="A17536" s="1" t="str">
        <f>"985"</f>
        <v>985</v>
      </c>
      <c r="B17536" s="2" t="str">
        <f>"PELIC.IMPRESSA/CAROLINA-480G-590X004"</f>
        <v>PELIC.IMPRESSA/CAROLINA-480G-590X004</v>
      </c>
      <c r="C17536" s="2" t="str">
        <f t="shared" si="692"/>
        <v>KG</v>
      </c>
      <c r="D17536" s="7">
        <v>110</v>
      </c>
      <c r="E17536" s="3">
        <v>1</v>
      </c>
      <c r="F17536" s="3">
        <v>1</v>
      </c>
      <c r="G17536" t="s">
        <v>514</v>
      </c>
    </row>
    <row r="17537" spans="1:7" x14ac:dyDescent="0.25">
      <c r="A17537" s="1" t="str">
        <f>"6816"</f>
        <v>6816</v>
      </c>
      <c r="B17537" s="2" t="str">
        <f>"PELIC.IMPRESSA/CARREFOUR-450G-570X004"</f>
        <v>PELIC.IMPRESSA/CARREFOUR-450G-570X004</v>
      </c>
      <c r="C17537" s="2" t="str">
        <f t="shared" si="692"/>
        <v>KG</v>
      </c>
      <c r="D17537" s="7">
        <v>110</v>
      </c>
      <c r="E17537" s="3">
        <v>1</v>
      </c>
      <c r="F17537" s="3">
        <v>1</v>
      </c>
      <c r="G17537" t="s">
        <v>515</v>
      </c>
    </row>
    <row r="17538" spans="1:7" x14ac:dyDescent="0.25">
      <c r="A17538" s="1" t="str">
        <f>"951"</f>
        <v>951</v>
      </c>
      <c r="B17538" s="2" t="str">
        <f>"PELIC.IMPRESSA/QUALITA-450G-590-004"</f>
        <v>PELIC.IMPRESSA/QUALITA-450G-590-004</v>
      </c>
      <c r="C17538" s="2" t="str">
        <f t="shared" si="692"/>
        <v>KG</v>
      </c>
      <c r="D17538" s="7">
        <v>110</v>
      </c>
      <c r="E17538" s="3">
        <v>1</v>
      </c>
      <c r="F17538" s="3">
        <v>1</v>
      </c>
      <c r="G17538" t="s">
        <v>512</v>
      </c>
    </row>
    <row r="17539" spans="1:7" x14ac:dyDescent="0.25">
      <c r="A17539" s="1" t="str">
        <f>"6643"</f>
        <v>6643</v>
      </c>
      <c r="B17539" s="2" t="str">
        <f>"PELIC.SEM/IMPRESSAO 310X004"</f>
        <v>PELIC.SEM/IMPRESSAO 310X004</v>
      </c>
      <c r="C17539" s="2" t="str">
        <f t="shared" si="692"/>
        <v>KG</v>
      </c>
      <c r="D17539" s="7">
        <v>110</v>
      </c>
      <c r="E17539" s="3">
        <v>1</v>
      </c>
      <c r="F17539" s="3">
        <v>1</v>
      </c>
      <c r="G17539" t="s">
        <v>516</v>
      </c>
    </row>
    <row r="17540" spans="1:7" x14ac:dyDescent="0.25">
      <c r="A17540" s="1" t="str">
        <f>"516909"</f>
        <v>516909</v>
      </c>
      <c r="B17540" s="2" t="str">
        <f>"PELICULA"</f>
        <v>PELICULA</v>
      </c>
      <c r="C17540" s="2" t="str">
        <f t="shared" ref="C17540:C17547" si="693">"UN"</f>
        <v>UN</v>
      </c>
      <c r="D17540" s="7">
        <v>918</v>
      </c>
      <c r="E17540" s="3">
        <v>11</v>
      </c>
      <c r="F17540" s="3">
        <v>11</v>
      </c>
      <c r="G17540" t="s">
        <v>515</v>
      </c>
    </row>
    <row r="17541" spans="1:7" x14ac:dyDescent="0.25">
      <c r="A17541" s="1" t="str">
        <f>"523619"</f>
        <v>523619</v>
      </c>
      <c r="B17541" s="2" t="str">
        <f>"PELICULA METALICA HP 1120"</f>
        <v>PELICULA METALICA HP 1120</v>
      </c>
      <c r="C17541" s="2" t="str">
        <f t="shared" si="693"/>
        <v>UN</v>
      </c>
      <c r="D17541" s="7">
        <v>401</v>
      </c>
      <c r="E17541" s="3">
        <v>4</v>
      </c>
      <c r="F17541" s="3">
        <v>4</v>
      </c>
      <c r="G17541" t="s">
        <v>514</v>
      </c>
    </row>
    <row r="17542" spans="1:7" x14ac:dyDescent="0.25">
      <c r="A17542" s="1" t="str">
        <f>"523841"</f>
        <v>523841</v>
      </c>
      <c r="B17542" s="2" t="str">
        <f>"PEN DRIVE 16GB"</f>
        <v>PEN DRIVE 16GB</v>
      </c>
      <c r="C17542" s="2" t="str">
        <f t="shared" si="693"/>
        <v>UN</v>
      </c>
      <c r="D17542" s="7">
        <v>401</v>
      </c>
      <c r="E17542" s="3">
        <v>4</v>
      </c>
      <c r="F17542" s="3">
        <v>4</v>
      </c>
      <c r="G17542" t="s">
        <v>512</v>
      </c>
    </row>
    <row r="17543" spans="1:7" x14ac:dyDescent="0.25">
      <c r="A17543" s="1" t="str">
        <f>"513226"</f>
        <v>513226</v>
      </c>
      <c r="B17543" s="2" t="str">
        <f>"PEN DRIVE 2GB KG"</f>
        <v>PEN DRIVE 2GB KG</v>
      </c>
      <c r="C17543" s="2" t="str">
        <f t="shared" si="693"/>
        <v>UN</v>
      </c>
      <c r="D17543" s="7">
        <v>401</v>
      </c>
      <c r="E17543" s="3">
        <v>4</v>
      </c>
      <c r="F17543" s="3">
        <v>4</v>
      </c>
      <c r="G17543" t="s">
        <v>513</v>
      </c>
    </row>
    <row r="17544" spans="1:7" x14ac:dyDescent="0.25">
      <c r="A17544" s="1" t="str">
        <f>"519209"</f>
        <v>519209</v>
      </c>
      <c r="B17544" s="2" t="str">
        <f>"PEN DRIVE 32GB"</f>
        <v>PEN DRIVE 32GB</v>
      </c>
      <c r="C17544" s="2" t="str">
        <f t="shared" si="693"/>
        <v>UN</v>
      </c>
      <c r="D17544" s="7">
        <v>401</v>
      </c>
      <c r="E17544" s="3">
        <v>4</v>
      </c>
      <c r="F17544" s="3">
        <v>4</v>
      </c>
      <c r="G17544" t="s">
        <v>514</v>
      </c>
    </row>
    <row r="17545" spans="1:7" x14ac:dyDescent="0.25">
      <c r="A17545" s="1" t="str">
        <f>"521644"</f>
        <v>521644</v>
      </c>
      <c r="B17545" s="2" t="str">
        <f>"PEN DRIVE 4GB PERSONALIZADO CAROLINA"</f>
        <v>PEN DRIVE 4GB PERSONALIZADO CAROLINA</v>
      </c>
      <c r="C17545" s="2" t="str">
        <f t="shared" si="693"/>
        <v>UN</v>
      </c>
      <c r="D17545" s="7">
        <v>401</v>
      </c>
      <c r="E17545" s="3">
        <v>4</v>
      </c>
      <c r="F17545" s="3">
        <v>4</v>
      </c>
      <c r="G17545" t="s">
        <v>514</v>
      </c>
    </row>
    <row r="17546" spans="1:7" x14ac:dyDescent="0.25">
      <c r="A17546" s="1" t="str">
        <f>"509373"</f>
        <v>509373</v>
      </c>
      <c r="B17546" s="2" t="str">
        <f>"PEN DRIVE 4GB USB 2.0 KINGSTON"</f>
        <v>PEN DRIVE 4GB USB 2.0 KINGSTON</v>
      </c>
      <c r="C17546" s="2" t="str">
        <f t="shared" si="693"/>
        <v>UN</v>
      </c>
      <c r="D17546" s="7">
        <v>401</v>
      </c>
      <c r="E17546" s="3">
        <v>4</v>
      </c>
      <c r="F17546" s="3">
        <v>4</v>
      </c>
      <c r="G17546" t="s">
        <v>512</v>
      </c>
    </row>
    <row r="17547" spans="1:7" x14ac:dyDescent="0.25">
      <c r="A17547" s="1" t="str">
        <f>"519621"</f>
        <v>519621</v>
      </c>
      <c r="B17547" s="2" t="str">
        <f>"PEN DRIVE 8GB"</f>
        <v>PEN DRIVE 8GB</v>
      </c>
      <c r="C17547" s="2" t="str">
        <f t="shared" si="693"/>
        <v>UN</v>
      </c>
      <c r="D17547" s="7">
        <v>401</v>
      </c>
      <c r="E17547" s="3">
        <v>4</v>
      </c>
      <c r="F17547" s="3">
        <v>4</v>
      </c>
      <c r="G17547" t="s">
        <v>513</v>
      </c>
    </row>
    <row r="17548" spans="1:7" x14ac:dyDescent="0.25">
      <c r="A17548" s="1" t="str">
        <f>"2090"</f>
        <v>2090</v>
      </c>
      <c r="B17548" s="2" t="str">
        <f>"PENA DESCARTAVEL AZ COD.JO-036 AZUL"</f>
        <v>PENA DESCARTAVEL AZ COD.JO-036 AZUL</v>
      </c>
      <c r="C17548" s="2" t="str">
        <f>"PC"</f>
        <v>PC</v>
      </c>
      <c r="D17548" s="7">
        <v>408</v>
      </c>
      <c r="E17548" s="3">
        <v>4</v>
      </c>
      <c r="F17548" s="3">
        <v>4</v>
      </c>
      <c r="G17548" t="s">
        <v>514</v>
      </c>
    </row>
    <row r="17549" spans="1:7" x14ac:dyDescent="0.25">
      <c r="A17549" s="1" t="str">
        <f>"504500"</f>
        <v>504500</v>
      </c>
      <c r="B17549" s="2" t="str">
        <f>"PENA DESCARTAVEL AZ COD.JO-036 AZUL C/6"</f>
        <v>PENA DESCARTAVEL AZ COD.JO-036 AZUL C/6</v>
      </c>
      <c r="C17549" s="2" t="str">
        <f>"UN"</f>
        <v>UN</v>
      </c>
      <c r="D17549" s="7">
        <v>918</v>
      </c>
      <c r="E17549" s="3">
        <v>11</v>
      </c>
      <c r="F17549" s="3">
        <v>11</v>
      </c>
      <c r="G17549" t="s">
        <v>514</v>
      </c>
    </row>
    <row r="17550" spans="1:7" x14ac:dyDescent="0.25">
      <c r="A17550" s="1" t="str">
        <f>"3252"</f>
        <v>3252</v>
      </c>
      <c r="B17550" s="2" t="str">
        <f>"PENA DESCARTAVEL VM COD.JO-094 VERMELHA"</f>
        <v>PENA DESCARTAVEL VM COD.JO-094 VERMELHA</v>
      </c>
      <c r="C17550" s="2" t="str">
        <f>"PC"</f>
        <v>PC</v>
      </c>
      <c r="D17550" s="7">
        <v>408</v>
      </c>
      <c r="E17550" s="3">
        <v>4</v>
      </c>
      <c r="F17550" s="3">
        <v>4</v>
      </c>
      <c r="G17550" t="s">
        <v>514</v>
      </c>
    </row>
    <row r="17551" spans="1:7" x14ac:dyDescent="0.25">
      <c r="A17551" s="1" t="str">
        <f>"504501"</f>
        <v>504501</v>
      </c>
      <c r="B17551" s="2" t="str">
        <f>"PENA DESCARTAVEL VM COD.JO-094 VERMELHA"</f>
        <v>PENA DESCARTAVEL VM COD.JO-094 VERMELHA</v>
      </c>
      <c r="C17551" s="2" t="str">
        <f>"UN"</f>
        <v>UN</v>
      </c>
      <c r="D17551" s="7">
        <v>918</v>
      </c>
      <c r="E17551" s="3">
        <v>11</v>
      </c>
      <c r="F17551" s="3">
        <v>11</v>
      </c>
      <c r="G17551" t="s">
        <v>513</v>
      </c>
    </row>
    <row r="17552" spans="1:7" x14ac:dyDescent="0.25">
      <c r="A17552" s="1" t="str">
        <f>"527294"</f>
        <v>527294</v>
      </c>
      <c r="B17552" s="2" t="str">
        <f>"PENDENTE ARAME C/ PINO - 5M - EN - INTERNEED"</f>
        <v>PENDENTE ARAME C/ PINO - 5M - EN - INTERNEED</v>
      </c>
      <c r="C17552" s="2" t="str">
        <f>"UN"</f>
        <v>UN</v>
      </c>
      <c r="D17552" s="7">
        <v>99999</v>
      </c>
      <c r="E17552" s="3">
        <v>99</v>
      </c>
      <c r="F17552" s="3">
        <v>99</v>
      </c>
      <c r="G17552" t="s">
        <v>512</v>
      </c>
    </row>
    <row r="17553" spans="1:7" x14ac:dyDescent="0.25">
      <c r="A17553" s="1" t="str">
        <f>"500275"</f>
        <v>500275</v>
      </c>
      <c r="B17553" s="2" t="str">
        <f>"PENEIRA COMUM CAFÉ"</f>
        <v>PENEIRA COMUM CAFÉ</v>
      </c>
      <c r="C17553" s="2" t="str">
        <f>"UN"</f>
        <v>UN</v>
      </c>
      <c r="D17553" s="7">
        <v>402</v>
      </c>
      <c r="E17553" s="3">
        <v>4</v>
      </c>
      <c r="F17553" s="3">
        <v>4</v>
      </c>
      <c r="G17553" t="s">
        <v>513</v>
      </c>
    </row>
    <row r="17554" spans="1:7" x14ac:dyDescent="0.25">
      <c r="A17554" s="1" t="str">
        <f>"522852"</f>
        <v>522852</v>
      </c>
      <c r="B17554" s="2" t="str">
        <f>"PENEIRA DE ESCOVAS ROTATIVAS WPER-100"</f>
        <v>PENEIRA DE ESCOVAS ROTATIVAS WPER-100</v>
      </c>
      <c r="C17554" s="2" t="str">
        <f>"UN"</f>
        <v>UN</v>
      </c>
      <c r="D17554" s="7">
        <v>1300</v>
      </c>
      <c r="E17554" s="3">
        <v>13</v>
      </c>
      <c r="F17554" s="3">
        <v>13</v>
      </c>
      <c r="G17554" t="s">
        <v>514</v>
      </c>
    </row>
    <row r="17555" spans="1:7" x14ac:dyDescent="0.25">
      <c r="A17555" s="1" t="str">
        <f>"515472"</f>
        <v>515472</v>
      </c>
      <c r="B17555" s="2" t="str">
        <f>"PENEIRA GALV. M.27,24MM"</f>
        <v>PENEIRA GALV. M.27,24MM</v>
      </c>
      <c r="C17555" s="2" t="str">
        <f>"PC"</f>
        <v>PC</v>
      </c>
      <c r="D17555" s="7">
        <v>806</v>
      </c>
      <c r="E17555" s="3">
        <v>10</v>
      </c>
      <c r="F17555" s="3">
        <v>10</v>
      </c>
      <c r="G17555" t="s">
        <v>514</v>
      </c>
    </row>
    <row r="17556" spans="1:7" x14ac:dyDescent="0.25">
      <c r="A17556" s="1" t="str">
        <f>"525091"</f>
        <v>525091</v>
      </c>
      <c r="B17556" s="2" t="str">
        <f>"PENEIRA INOX 8X2 MALHA 18-16  ABERT. 1,00MM"</f>
        <v>PENEIRA INOX 8X2 MALHA 18-16  ABERT. 1,00MM</v>
      </c>
      <c r="C17556" s="2" t="str">
        <f t="shared" ref="C17556:C17575" si="694">"UN"</f>
        <v>UN</v>
      </c>
      <c r="D17556" s="7">
        <v>406</v>
      </c>
      <c r="E17556" s="3">
        <v>10</v>
      </c>
      <c r="F17556" s="3">
        <v>10</v>
      </c>
      <c r="G17556" t="s">
        <v>514</v>
      </c>
    </row>
    <row r="17557" spans="1:7" x14ac:dyDescent="0.25">
      <c r="A17557" s="1" t="str">
        <f>"525090"</f>
        <v>525090</v>
      </c>
      <c r="B17557" s="2" t="str">
        <f>"PENEIRA INOX 8X2 MALHA 45-42 ABERT. 0,355MM"</f>
        <v>PENEIRA INOX 8X2 MALHA 45-42 ABERT. 0,355MM</v>
      </c>
      <c r="C17557" s="2" t="str">
        <f t="shared" si="694"/>
        <v>UN</v>
      </c>
      <c r="D17557" s="7">
        <v>406</v>
      </c>
      <c r="E17557" s="3">
        <v>10</v>
      </c>
      <c r="F17557" s="3">
        <v>10</v>
      </c>
      <c r="G17557" t="s">
        <v>513</v>
      </c>
    </row>
    <row r="17558" spans="1:7" x14ac:dyDescent="0.25">
      <c r="A17558" s="1" t="str">
        <f>"520287"</f>
        <v>520287</v>
      </c>
      <c r="B17558" s="2" t="str">
        <f>"PENEIRA P/ DOSADOR 35MM BRASKOP"</f>
        <v>PENEIRA P/ DOSADOR 35MM BRASKOP</v>
      </c>
      <c r="C17558" s="2" t="str">
        <f t="shared" si="694"/>
        <v>UN</v>
      </c>
      <c r="D17558" s="7">
        <v>402</v>
      </c>
      <c r="E17558" s="3">
        <v>4</v>
      </c>
      <c r="F17558" s="3">
        <v>4</v>
      </c>
      <c r="G17558" t="s">
        <v>513</v>
      </c>
    </row>
    <row r="17559" spans="1:7" x14ac:dyDescent="0.25">
      <c r="A17559" s="1" t="str">
        <f>"513527"</f>
        <v>513527</v>
      </c>
      <c r="B17559" s="2" t="str">
        <f>"PENEIRA S/ CABO P/ PISCINA"</f>
        <v>PENEIRA S/ CABO P/ PISCINA</v>
      </c>
      <c r="C17559" s="2" t="str">
        <f t="shared" si="694"/>
        <v>UN</v>
      </c>
      <c r="D17559" s="7">
        <v>817</v>
      </c>
      <c r="E17559" s="3">
        <v>4</v>
      </c>
      <c r="F17559" s="3">
        <v>4</v>
      </c>
      <c r="G17559" t="s">
        <v>513</v>
      </c>
    </row>
    <row r="17560" spans="1:7" x14ac:dyDescent="0.25">
      <c r="A17560" s="1" t="str">
        <f>"518416"</f>
        <v>518416</v>
      </c>
      <c r="B17560" s="2" t="str">
        <f>"PENSÃO COMPLETA"</f>
        <v>PENSÃO COMPLETA</v>
      </c>
      <c r="C17560" s="2" t="str">
        <f t="shared" si="694"/>
        <v>UN</v>
      </c>
      <c r="D17560" s="7">
        <v>99999</v>
      </c>
      <c r="E17560" s="3">
        <v>99</v>
      </c>
      <c r="F17560" s="3">
        <v>99</v>
      </c>
      <c r="G17560" t="s">
        <v>512</v>
      </c>
    </row>
    <row r="17561" spans="1:7" x14ac:dyDescent="0.25">
      <c r="A17561" s="1" t="str">
        <f>"515545"</f>
        <v>515545</v>
      </c>
      <c r="B17561" s="2" t="str">
        <f>"PENTE CONEXAO JUMPER"</f>
        <v>PENTE CONEXAO JUMPER</v>
      </c>
      <c r="C17561" s="2" t="str">
        <f t="shared" si="694"/>
        <v>UN</v>
      </c>
      <c r="D17561" s="7">
        <v>811</v>
      </c>
      <c r="E17561" s="3">
        <v>8</v>
      </c>
      <c r="F17561" s="3">
        <v>8</v>
      </c>
      <c r="G17561" t="s">
        <v>513</v>
      </c>
    </row>
    <row r="17562" spans="1:7" x14ac:dyDescent="0.25">
      <c r="A17562" s="1" t="str">
        <f>"508919"</f>
        <v>508919</v>
      </c>
      <c r="B17562" s="2" t="str">
        <f>"PENTE DE TOMADA 3 ENTRADAS"</f>
        <v>PENTE DE TOMADA 3 ENTRADAS</v>
      </c>
      <c r="C17562" s="2" t="str">
        <f t="shared" si="694"/>
        <v>UN</v>
      </c>
      <c r="D17562" s="7">
        <v>601</v>
      </c>
      <c r="E17562" s="3">
        <v>8</v>
      </c>
      <c r="F17562" s="3">
        <v>8</v>
      </c>
      <c r="G17562" t="s">
        <v>514</v>
      </c>
    </row>
    <row r="17563" spans="1:7" x14ac:dyDescent="0.25">
      <c r="A17563" s="1" t="str">
        <f>"522861"</f>
        <v>522861</v>
      </c>
      <c r="B17563" s="2" t="str">
        <f>"PENTE DE TOMADA 4 ENTRADAS"</f>
        <v>PENTE DE TOMADA 4 ENTRADAS</v>
      </c>
      <c r="C17563" s="2" t="str">
        <f t="shared" si="694"/>
        <v>UN</v>
      </c>
      <c r="D17563" s="7">
        <v>601</v>
      </c>
      <c r="E17563" s="3">
        <v>8</v>
      </c>
      <c r="F17563" s="3">
        <v>8</v>
      </c>
      <c r="G17563" t="s">
        <v>515</v>
      </c>
    </row>
    <row r="17564" spans="1:7" x14ac:dyDescent="0.25">
      <c r="A17564" s="1" t="str">
        <f>"516948"</f>
        <v>516948</v>
      </c>
      <c r="B17564" s="2" t="str">
        <f>"PENTE DISTRIBUIÇÃO TRIFASICO STECK 80A 1M"</f>
        <v>PENTE DISTRIBUIÇÃO TRIFASICO STECK 80A 1M</v>
      </c>
      <c r="C17564" s="2" t="str">
        <f t="shared" si="694"/>
        <v>UN</v>
      </c>
      <c r="D17564" s="7">
        <v>811</v>
      </c>
      <c r="E17564" s="3">
        <v>8</v>
      </c>
      <c r="F17564" s="3">
        <v>8</v>
      </c>
      <c r="G17564" t="s">
        <v>512</v>
      </c>
    </row>
    <row r="17565" spans="1:7" x14ac:dyDescent="0.25">
      <c r="A17565" s="1" t="str">
        <f>"510306"</f>
        <v>510306</v>
      </c>
      <c r="B17565" s="2" t="str">
        <f>"PENTE INTERLIGAÇAO P/ 10 CONEC.SAK 2,5MM"</f>
        <v>PENTE INTERLIGAÇAO P/ 10 CONEC.SAK 2,5MM</v>
      </c>
      <c r="C17565" s="2" t="str">
        <f t="shared" si="694"/>
        <v>UN</v>
      </c>
      <c r="D17565" s="7">
        <v>600</v>
      </c>
      <c r="E17565" s="3">
        <v>8</v>
      </c>
      <c r="F17565" s="3">
        <v>8</v>
      </c>
      <c r="G17565" t="s">
        <v>516</v>
      </c>
    </row>
    <row r="17566" spans="1:7" x14ac:dyDescent="0.25">
      <c r="A17566" s="1" t="str">
        <f>"511565"</f>
        <v>511565</v>
      </c>
      <c r="B17566" s="2" t="str">
        <f>"PENTE ROSCA MILIMETRO E POLEGADA"</f>
        <v>PENTE ROSCA MILIMETRO E POLEGADA</v>
      </c>
      <c r="C17566" s="2" t="str">
        <f t="shared" si="694"/>
        <v>UN</v>
      </c>
      <c r="D17566" s="7">
        <v>402</v>
      </c>
      <c r="E17566" s="3">
        <v>4</v>
      </c>
      <c r="F17566" s="3">
        <v>4</v>
      </c>
      <c r="G17566" t="s">
        <v>515</v>
      </c>
    </row>
    <row r="17567" spans="1:7" x14ac:dyDescent="0.25">
      <c r="A17567" s="1" t="str">
        <f>"511519"</f>
        <v>511519</v>
      </c>
      <c r="B17567" s="2" t="str">
        <f>"PER AL CA 388 ASS LAT C"</f>
        <v>PER AL CA 388 ASS LAT C</v>
      </c>
      <c r="C17567" s="2" t="str">
        <f t="shared" si="694"/>
        <v>UN</v>
      </c>
      <c r="D17567" s="7">
        <v>704</v>
      </c>
      <c r="E17567" s="3">
        <v>9</v>
      </c>
      <c r="F17567" s="3">
        <v>9</v>
      </c>
      <c r="G17567" t="s">
        <v>514</v>
      </c>
    </row>
    <row r="17568" spans="1:7" x14ac:dyDescent="0.25">
      <c r="A17568" s="1" t="str">
        <f>"513904"</f>
        <v>513904</v>
      </c>
      <c r="B17568" s="2" t="str">
        <f>"PER AL N 2031 ACAB TETO"</f>
        <v>PER AL N 2031 ACAB TETO</v>
      </c>
      <c r="C17568" s="2" t="str">
        <f t="shared" si="694"/>
        <v>UN</v>
      </c>
      <c r="D17568" s="7">
        <v>99999</v>
      </c>
      <c r="E17568" s="3">
        <v>99</v>
      </c>
      <c r="F17568" s="3">
        <v>99</v>
      </c>
      <c r="G17568" t="s">
        <v>512</v>
      </c>
    </row>
    <row r="17569" spans="1:7" x14ac:dyDescent="0.25">
      <c r="A17569" s="1" t="str">
        <f>"513905"</f>
        <v>513905</v>
      </c>
      <c r="B17569" s="2" t="str">
        <f>"PER PVC CANT BCO 50 X 50 X 7600"</f>
        <v>PER PVC CANT BCO 50 X 50 X 7600</v>
      </c>
      <c r="C17569" s="2" t="str">
        <f t="shared" si="694"/>
        <v>UN</v>
      </c>
      <c r="D17569" s="7">
        <v>99999</v>
      </c>
      <c r="E17569" s="3">
        <v>99</v>
      </c>
      <c r="F17569" s="3">
        <v>99</v>
      </c>
      <c r="G17569" t="s">
        <v>513</v>
      </c>
    </row>
    <row r="17570" spans="1:7" x14ac:dyDescent="0.25">
      <c r="A17570" s="1" t="str">
        <f>"511520"</f>
        <v>511520</v>
      </c>
      <c r="B17570" s="2" t="str">
        <f>"PER PVC CANT BCO 50X50"</f>
        <v>PER PVC CANT BCO 50X50</v>
      </c>
      <c r="C17570" s="2" t="str">
        <f t="shared" si="694"/>
        <v>UN</v>
      </c>
      <c r="D17570" s="7">
        <v>704</v>
      </c>
      <c r="E17570" s="3">
        <v>9</v>
      </c>
      <c r="F17570" s="3">
        <v>9</v>
      </c>
      <c r="G17570" t="s">
        <v>514</v>
      </c>
    </row>
    <row r="17571" spans="1:7" x14ac:dyDescent="0.25">
      <c r="A17571" s="1" t="str">
        <f>"513326"</f>
        <v>513326</v>
      </c>
      <c r="B17571" s="2" t="str">
        <f>"PER/DCOMP - MANUAL PRATICO"</f>
        <v>PER/DCOMP - MANUAL PRATICO</v>
      </c>
      <c r="C17571" s="2" t="str">
        <f t="shared" si="694"/>
        <v>UN</v>
      </c>
      <c r="D17571" s="7">
        <v>402</v>
      </c>
      <c r="E17571" s="3">
        <v>4</v>
      </c>
      <c r="F17571" s="3">
        <v>4</v>
      </c>
      <c r="G17571" t="s">
        <v>514</v>
      </c>
    </row>
    <row r="17572" spans="1:7" x14ac:dyDescent="0.25">
      <c r="A17572" s="1" t="str">
        <f>"528107"</f>
        <v>528107</v>
      </c>
      <c r="B17572" s="2" t="str">
        <f>"PERA"</f>
        <v>PERA</v>
      </c>
      <c r="C17572" s="2" t="str">
        <f t="shared" si="694"/>
        <v>UN</v>
      </c>
      <c r="D17572" s="7">
        <v>401</v>
      </c>
      <c r="E17572" s="3">
        <v>4</v>
      </c>
      <c r="F17572" s="3">
        <v>4</v>
      </c>
      <c r="G17572" t="s">
        <v>512</v>
      </c>
    </row>
    <row r="17573" spans="1:7" x14ac:dyDescent="0.25">
      <c r="A17573" s="1" t="str">
        <f>"528124"</f>
        <v>528124</v>
      </c>
      <c r="B17573" s="2" t="str">
        <f>"PERACID AEB (BO 25)"</f>
        <v>PERACID AEB (BO 25)</v>
      </c>
      <c r="C17573" s="2" t="str">
        <f t="shared" si="694"/>
        <v>UN</v>
      </c>
      <c r="D17573" s="7">
        <v>99999</v>
      </c>
      <c r="E17573" s="3">
        <v>99</v>
      </c>
      <c r="F17573" s="3">
        <v>99</v>
      </c>
      <c r="G17573" t="s">
        <v>513</v>
      </c>
    </row>
    <row r="17574" spans="1:7" x14ac:dyDescent="0.25">
      <c r="A17574" s="1" t="str">
        <f>"514393"</f>
        <v>514393</v>
      </c>
      <c r="B17574" s="2" t="str">
        <f>"PERCEVEJO"</f>
        <v>PERCEVEJO</v>
      </c>
      <c r="C17574" s="2" t="str">
        <f t="shared" si="694"/>
        <v>UN</v>
      </c>
      <c r="D17574" s="7">
        <v>401</v>
      </c>
      <c r="E17574" s="3">
        <v>4</v>
      </c>
      <c r="F17574" s="3">
        <v>4</v>
      </c>
      <c r="G17574" t="s">
        <v>514</v>
      </c>
    </row>
    <row r="17575" spans="1:7" x14ac:dyDescent="0.25">
      <c r="A17575" s="1" t="str">
        <f>"522334"</f>
        <v>522334</v>
      </c>
      <c r="B17575" s="2" t="str">
        <f>"PERF 2 FUROS 38X38 AI L=3000MM"</f>
        <v>PERF 2 FUROS 38X38 AI L=3000MM</v>
      </c>
      <c r="C17575" s="2" t="str">
        <f t="shared" si="694"/>
        <v>UN</v>
      </c>
      <c r="D17575" s="7">
        <v>1700</v>
      </c>
      <c r="E17575" s="3">
        <v>10</v>
      </c>
      <c r="F17575" s="3">
        <v>10</v>
      </c>
      <c r="G17575" t="s">
        <v>514</v>
      </c>
    </row>
    <row r="17576" spans="1:7" x14ac:dyDescent="0.25">
      <c r="A17576" s="1" t="str">
        <f>"516074"</f>
        <v>516074</v>
      </c>
      <c r="B17576" s="2" t="str">
        <f>"PERFIL 50X100 FACE LEGP50211"</f>
        <v>PERFIL 50X100 FACE LEGP50211</v>
      </c>
      <c r="C17576" s="2" t="str">
        <f>"MT"</f>
        <v>MT</v>
      </c>
      <c r="D17576" s="7">
        <v>918</v>
      </c>
      <c r="E17576" s="3">
        <v>11</v>
      </c>
      <c r="F17576" s="3">
        <v>11</v>
      </c>
      <c r="G17576" t="s">
        <v>514</v>
      </c>
    </row>
    <row r="17577" spans="1:7" x14ac:dyDescent="0.25">
      <c r="A17577" s="1" t="str">
        <f>"519814"</f>
        <v>519814</v>
      </c>
      <c r="B17577" s="2" t="str">
        <f>"PERFIL 80X80 #18"</f>
        <v>PERFIL 80X80 #18</v>
      </c>
      <c r="C17577" s="2" t="str">
        <f>"UN"</f>
        <v>UN</v>
      </c>
      <c r="D17577" s="7">
        <v>917</v>
      </c>
      <c r="E17577" s="3">
        <v>4</v>
      </c>
      <c r="F17577" s="3">
        <v>4</v>
      </c>
      <c r="G17577" t="s">
        <v>513</v>
      </c>
    </row>
    <row r="17578" spans="1:7" x14ac:dyDescent="0.25">
      <c r="A17578" s="1" t="str">
        <f>"511412"</f>
        <v>511412</v>
      </c>
      <c r="B17578" s="2" t="str">
        <f>"PERFIL ACABAMENTO"</f>
        <v>PERFIL ACABAMENTO</v>
      </c>
      <c r="C17578" s="2" t="str">
        <f>"UN"</f>
        <v>UN</v>
      </c>
      <c r="D17578" s="7">
        <v>704</v>
      </c>
      <c r="E17578" s="3">
        <v>9</v>
      </c>
      <c r="F17578" s="3">
        <v>9</v>
      </c>
      <c r="G17578" t="s">
        <v>512</v>
      </c>
    </row>
    <row r="17579" spans="1:7" x14ac:dyDescent="0.25">
      <c r="A17579" s="1" t="str">
        <f>"512261"</f>
        <v>512261</v>
      </c>
      <c r="B17579" s="2" t="str">
        <f>"PERFIL ACABAMENTO T FORRO PVC"</f>
        <v>PERFIL ACABAMENTO T FORRO PVC</v>
      </c>
      <c r="C17579" s="2" t="str">
        <f>"UN"</f>
        <v>UN</v>
      </c>
      <c r="D17579" s="7">
        <v>803</v>
      </c>
      <c r="E17579" s="3">
        <v>10</v>
      </c>
      <c r="F17579" s="3">
        <v>10</v>
      </c>
      <c r="G17579" t="s">
        <v>513</v>
      </c>
    </row>
    <row r="17580" spans="1:7" x14ac:dyDescent="0.25">
      <c r="A17580" s="1" t="str">
        <f>"502032"</f>
        <v>502032</v>
      </c>
      <c r="B17580" s="2" t="str">
        <f>"PERFIL ACABAMENTO U FORRO PVC"</f>
        <v>PERFIL ACABAMENTO U FORRO PVC</v>
      </c>
      <c r="C17580" s="2" t="str">
        <f>"UN"</f>
        <v>UN</v>
      </c>
      <c r="D17580" s="7">
        <v>803</v>
      </c>
      <c r="E17580" s="3">
        <v>10</v>
      </c>
      <c r="F17580" s="3">
        <v>10</v>
      </c>
      <c r="G17580" t="s">
        <v>514</v>
      </c>
    </row>
    <row r="17581" spans="1:7" x14ac:dyDescent="0.25">
      <c r="A17581" s="1" t="str">
        <f>"521115"</f>
        <v>521115</v>
      </c>
      <c r="B17581" s="2" t="str">
        <f>"PERFIL ALUM. T 85 X 75 X 2MM"</f>
        <v>PERFIL ALUM. T 85 X 75 X 2MM</v>
      </c>
      <c r="C17581" s="2" t="str">
        <f>"MT"</f>
        <v>MT</v>
      </c>
      <c r="D17581" s="7">
        <v>803</v>
      </c>
      <c r="E17581" s="3">
        <v>10</v>
      </c>
      <c r="F17581" s="3">
        <v>10</v>
      </c>
      <c r="G17581" t="s">
        <v>514</v>
      </c>
    </row>
    <row r="17582" spans="1:7" x14ac:dyDescent="0.25">
      <c r="A17582" s="1" t="str">
        <f>"502388"</f>
        <v>502388</v>
      </c>
      <c r="B17582" s="2" t="str">
        <f>"PERFIL ALUMINIO CA - 264"</f>
        <v>PERFIL ALUMINIO CA - 264</v>
      </c>
      <c r="C17582" s="2" t="str">
        <f>"UN"</f>
        <v>UN</v>
      </c>
      <c r="D17582" s="7">
        <v>704</v>
      </c>
      <c r="E17582" s="3">
        <v>9</v>
      </c>
      <c r="F17582" s="3">
        <v>9</v>
      </c>
      <c r="G17582" t="s">
        <v>514</v>
      </c>
    </row>
    <row r="17583" spans="1:7" x14ac:dyDescent="0.25">
      <c r="A17583" s="1" t="str">
        <f>"502389"</f>
        <v>502389</v>
      </c>
      <c r="B17583" s="2" t="str">
        <f>"PERFIL ALUMINIO CA - 387"</f>
        <v>PERFIL ALUMINIO CA - 387</v>
      </c>
      <c r="C17583" s="2" t="str">
        <f>"UN"</f>
        <v>UN</v>
      </c>
      <c r="D17583" s="7">
        <v>704</v>
      </c>
      <c r="E17583" s="3">
        <v>9</v>
      </c>
      <c r="F17583" s="3">
        <v>9</v>
      </c>
      <c r="G17583" t="s">
        <v>513</v>
      </c>
    </row>
    <row r="17584" spans="1:7" x14ac:dyDescent="0.25">
      <c r="A17584" s="1" t="str">
        <f>"502390"</f>
        <v>502390</v>
      </c>
      <c r="B17584" s="2" t="str">
        <f>"PERFIL ALUMINIO CA - 389"</f>
        <v>PERFIL ALUMINIO CA - 389</v>
      </c>
      <c r="C17584" s="2" t="str">
        <f>"UN"</f>
        <v>UN</v>
      </c>
      <c r="D17584" s="7">
        <v>704</v>
      </c>
      <c r="E17584" s="3">
        <v>9</v>
      </c>
      <c r="F17584" s="3">
        <v>9</v>
      </c>
      <c r="G17584" t="s">
        <v>513</v>
      </c>
    </row>
    <row r="17585" spans="1:7" x14ac:dyDescent="0.25">
      <c r="A17585" s="1" t="str">
        <f>"519702"</f>
        <v>519702</v>
      </c>
      <c r="B17585" s="2" t="str">
        <f>"PERFIL ALUMINIO PROTEÇÃO LATERAL (4010) 6000MM"</f>
        <v>PERFIL ALUMINIO PROTEÇÃO LATERAL (4010) 6000MM</v>
      </c>
      <c r="C17585" s="2" t="str">
        <f>"UN"</f>
        <v>UN</v>
      </c>
      <c r="D17585" s="7">
        <v>99999</v>
      </c>
      <c r="E17585" s="3">
        <v>99</v>
      </c>
      <c r="F17585" s="3">
        <v>99</v>
      </c>
      <c r="G17585" t="s">
        <v>513</v>
      </c>
    </row>
    <row r="17586" spans="1:7" x14ac:dyDescent="0.25">
      <c r="A17586" s="1" t="str">
        <f>"522217"</f>
        <v>522217</v>
      </c>
      <c r="B17586" s="2" t="str">
        <f>"PERFIL ANDORINHA PRE X PRIMER"</f>
        <v>PERFIL ANDORINHA PRE X PRIMER</v>
      </c>
      <c r="C17586" s="2" t="str">
        <f>"PC"</f>
        <v>PC</v>
      </c>
      <c r="D17586" s="7">
        <v>806</v>
      </c>
      <c r="E17586" s="3">
        <v>10</v>
      </c>
      <c r="F17586" s="3">
        <v>10</v>
      </c>
      <c r="G17586" t="s">
        <v>512</v>
      </c>
    </row>
    <row r="17587" spans="1:7" x14ac:dyDescent="0.25">
      <c r="A17587" s="1" t="str">
        <f>"503360"</f>
        <v>503360</v>
      </c>
      <c r="B17587" s="2" t="str">
        <f>"PERFIL AZUL PEAD  PZC 20X10"</f>
        <v>PERFIL AZUL PEAD  PZC 20X10</v>
      </c>
      <c r="C17587" s="2" t="str">
        <f>"UN"</f>
        <v>UN</v>
      </c>
      <c r="D17587" s="7">
        <v>812</v>
      </c>
      <c r="E17587" s="3">
        <v>10</v>
      </c>
      <c r="F17587" s="3">
        <v>10</v>
      </c>
      <c r="G17587" t="s">
        <v>513</v>
      </c>
    </row>
    <row r="17588" spans="1:7" x14ac:dyDescent="0.25">
      <c r="A17588" s="1" t="str">
        <f>"526522"</f>
        <v>526522</v>
      </c>
      <c r="B17588" s="2" t="str">
        <f>"PERFIL AZUL PEAD 38X5"</f>
        <v>PERFIL AZUL PEAD 38X5</v>
      </c>
      <c r="C17588" s="2" t="str">
        <f>"UN"</f>
        <v>UN</v>
      </c>
      <c r="D17588" s="7">
        <v>904</v>
      </c>
      <c r="E17588" s="3">
        <v>11</v>
      </c>
      <c r="F17588" s="3">
        <v>11</v>
      </c>
      <c r="G17588" t="s">
        <v>514</v>
      </c>
    </row>
    <row r="17589" spans="1:7" x14ac:dyDescent="0.25">
      <c r="A17589" s="1" t="str">
        <f>"522239"</f>
        <v>522239</v>
      </c>
      <c r="B17589" s="2" t="str">
        <f>"PERFIL AZUL PEAD 45X5"</f>
        <v>PERFIL AZUL PEAD 45X5</v>
      </c>
      <c r="C17589" s="2" t="str">
        <f>"UN"</f>
        <v>UN</v>
      </c>
      <c r="D17589" s="7">
        <v>904</v>
      </c>
      <c r="E17589" s="3">
        <v>11</v>
      </c>
      <c r="F17589" s="3">
        <v>11</v>
      </c>
      <c r="G17589" t="s">
        <v>515</v>
      </c>
    </row>
    <row r="17590" spans="1:7" x14ac:dyDescent="0.25">
      <c r="A17590" s="1" t="str">
        <f>"503361"</f>
        <v>503361</v>
      </c>
      <c r="B17590" s="2" t="str">
        <f>"PERFIL AZUL PEAD PG 45X28"</f>
        <v>PERFIL AZUL PEAD PG 45X28</v>
      </c>
      <c r="C17590" s="2" t="str">
        <f>"UN"</f>
        <v>UN</v>
      </c>
      <c r="D17590" s="7">
        <v>918</v>
      </c>
      <c r="E17590" s="3">
        <v>11</v>
      </c>
      <c r="F17590" s="3">
        <v>11</v>
      </c>
      <c r="G17590" t="s">
        <v>512</v>
      </c>
    </row>
    <row r="17591" spans="1:7" x14ac:dyDescent="0.25">
      <c r="A17591" s="1" t="str">
        <f>"522037"</f>
        <v>522037</v>
      </c>
      <c r="B17591" s="8" t="s">
        <v>280</v>
      </c>
      <c r="C17591" s="2" t="str">
        <f>"BR"</f>
        <v>BR</v>
      </c>
      <c r="D17591" s="7">
        <v>918</v>
      </c>
      <c r="E17591" s="3">
        <v>11</v>
      </c>
      <c r="F17591" s="3">
        <v>11</v>
      </c>
      <c r="G17591" t="s">
        <v>516</v>
      </c>
    </row>
    <row r="17592" spans="1:7" x14ac:dyDescent="0.25">
      <c r="A17592" s="1" t="str">
        <f>"522038"</f>
        <v>522038</v>
      </c>
      <c r="B17592" s="8" t="s">
        <v>281</v>
      </c>
      <c r="C17592" s="2" t="str">
        <f>"BR"</f>
        <v>BR</v>
      </c>
      <c r="D17592" s="7">
        <v>918</v>
      </c>
      <c r="E17592" s="3">
        <v>11</v>
      </c>
      <c r="F17592" s="3">
        <v>11</v>
      </c>
      <c r="G17592" t="s">
        <v>515</v>
      </c>
    </row>
    <row r="17593" spans="1:7" x14ac:dyDescent="0.25">
      <c r="A17593" s="1" t="str">
        <f>"518498"</f>
        <v>518498</v>
      </c>
      <c r="B17593" s="2" t="str">
        <f>"PERFIL BRONZE 1 1/4"""</f>
        <v>PERFIL BRONZE 1 1/4"</v>
      </c>
      <c r="C17593" s="2" t="str">
        <f>"UN"</f>
        <v>UN</v>
      </c>
      <c r="D17593" s="7">
        <v>918</v>
      </c>
      <c r="E17593" s="3">
        <v>11</v>
      </c>
      <c r="F17593" s="3">
        <v>11</v>
      </c>
      <c r="G17593" t="s">
        <v>514</v>
      </c>
    </row>
    <row r="17594" spans="1:7" x14ac:dyDescent="0.25">
      <c r="A17594" s="1" t="str">
        <f>"501474"</f>
        <v>501474</v>
      </c>
      <c r="B17594" s="2" t="str">
        <f>"PERFIL CANT 50X125MM CHAPA EXT"</f>
        <v>PERFIL CANT 50X125MM CHAPA EXT</v>
      </c>
      <c r="C17594" s="2" t="str">
        <f>"UN"</f>
        <v>UN</v>
      </c>
      <c r="D17594" s="7">
        <v>403</v>
      </c>
      <c r="E17594" s="3">
        <v>4</v>
      </c>
      <c r="F17594" s="3">
        <v>4</v>
      </c>
      <c r="G17594" t="s">
        <v>512</v>
      </c>
    </row>
    <row r="17595" spans="1:7" x14ac:dyDescent="0.25">
      <c r="A17595" s="1" t="str">
        <f>"501475"</f>
        <v>501475</v>
      </c>
      <c r="B17595" s="2" t="str">
        <f>"PERFIL CANT 50X50MM CHAPA EXT"</f>
        <v>PERFIL CANT 50X50MM CHAPA EXT</v>
      </c>
      <c r="C17595" s="2" t="str">
        <f>"UN"</f>
        <v>UN</v>
      </c>
      <c r="D17595" s="7">
        <v>403</v>
      </c>
      <c r="E17595" s="3">
        <v>4</v>
      </c>
      <c r="F17595" s="3">
        <v>4</v>
      </c>
      <c r="G17595" t="s">
        <v>513</v>
      </c>
    </row>
    <row r="17596" spans="1:7" x14ac:dyDescent="0.25">
      <c r="A17596" s="1" t="str">
        <f>"501473"</f>
        <v>501473</v>
      </c>
      <c r="B17596" s="2" t="str">
        <f>"PERFIL CANT 50X50MM CHAPA PRE INT RC 50"</f>
        <v>PERFIL CANT 50X50MM CHAPA PRE INT RC 50</v>
      </c>
      <c r="C17596" s="2" t="str">
        <f>"UN"</f>
        <v>UN</v>
      </c>
      <c r="D17596" s="7">
        <v>403</v>
      </c>
      <c r="E17596" s="3">
        <v>4</v>
      </c>
      <c r="F17596" s="3">
        <v>4</v>
      </c>
      <c r="G17596" t="s">
        <v>514</v>
      </c>
    </row>
    <row r="17597" spans="1:7" x14ac:dyDescent="0.25">
      <c r="A17597" s="1" t="str">
        <f>"514298"</f>
        <v>514298</v>
      </c>
      <c r="B17597" s="2" t="str">
        <f>"PERFIL CHAPA"</f>
        <v>PERFIL CHAPA</v>
      </c>
      <c r="C17597" s="2" t="str">
        <f>"PC"</f>
        <v>PC</v>
      </c>
      <c r="D17597" s="7">
        <v>806</v>
      </c>
      <c r="E17597" s="3">
        <v>10</v>
      </c>
      <c r="F17597" s="3">
        <v>10</v>
      </c>
      <c r="G17597" t="s">
        <v>514</v>
      </c>
    </row>
    <row r="17598" spans="1:7" x14ac:dyDescent="0.25">
      <c r="A17598" s="1" t="str">
        <f>"516346"</f>
        <v>516346</v>
      </c>
      <c r="B17598" s="2" t="str">
        <f>"PERFIL CHAPA 11 3,00MM"</f>
        <v>PERFIL CHAPA 11 3,00MM</v>
      </c>
      <c r="C17598" s="2" t="str">
        <f>"KG"</f>
        <v>KG</v>
      </c>
      <c r="D17598" s="7">
        <v>917</v>
      </c>
      <c r="E17598" s="3">
        <v>10</v>
      </c>
      <c r="F17598" s="3">
        <v>10</v>
      </c>
      <c r="G17598" t="s">
        <v>512</v>
      </c>
    </row>
    <row r="17599" spans="1:7" x14ac:dyDescent="0.25">
      <c r="A17599" s="1" t="str">
        <f>"512506"</f>
        <v>512506</v>
      </c>
      <c r="B17599" s="2" t="str">
        <f>"PERFIL CHAPA 12 2,65MM"</f>
        <v>PERFIL CHAPA 12 2,65MM</v>
      </c>
      <c r="C17599" s="2" t="str">
        <f>"PC"</f>
        <v>PC</v>
      </c>
      <c r="D17599" s="7">
        <v>806</v>
      </c>
      <c r="E17599" s="3">
        <v>10</v>
      </c>
      <c r="F17599" s="3">
        <v>10</v>
      </c>
      <c r="G17599" t="s">
        <v>513</v>
      </c>
    </row>
    <row r="17600" spans="1:7" x14ac:dyDescent="0.25">
      <c r="A17600" s="1" t="str">
        <f>"525169"</f>
        <v>525169</v>
      </c>
      <c r="B17600" s="2" t="str">
        <f>"PERFIL CHAPA 26 0,50MM GALVALUME"</f>
        <v>PERFIL CHAPA 26 0,50MM GALVALUME</v>
      </c>
      <c r="C17600" s="2" t="str">
        <f>"UN"</f>
        <v>UN</v>
      </c>
      <c r="D17600" s="7">
        <v>99999</v>
      </c>
      <c r="E17600" s="3">
        <v>99</v>
      </c>
      <c r="F17600" s="3">
        <v>99</v>
      </c>
      <c r="G17600" t="s">
        <v>514</v>
      </c>
    </row>
    <row r="17601" spans="1:7" x14ac:dyDescent="0.25">
      <c r="A17601" s="1" t="str">
        <f>"522039"</f>
        <v>522039</v>
      </c>
      <c r="B17601" s="8" t="s">
        <v>282</v>
      </c>
      <c r="C17601" s="2" t="str">
        <f>"MT"</f>
        <v>MT</v>
      </c>
      <c r="D17601" s="7">
        <v>918</v>
      </c>
      <c r="E17601" s="3">
        <v>11</v>
      </c>
      <c r="F17601" s="3">
        <v>11</v>
      </c>
      <c r="G17601" t="s">
        <v>514</v>
      </c>
    </row>
    <row r="17602" spans="1:7" x14ac:dyDescent="0.25">
      <c r="A17602" s="1" t="str">
        <f>"524786"</f>
        <v>524786</v>
      </c>
      <c r="B17602" s="2" t="str">
        <f>"PERFIL DE PROTEÇÃO CONTRA"</f>
        <v>PERFIL DE PROTEÇÃO CONTRA</v>
      </c>
      <c r="C17602" s="2" t="str">
        <f>"UN"</f>
        <v>UN</v>
      </c>
      <c r="D17602" s="7">
        <v>99999</v>
      </c>
      <c r="E17602" s="3">
        <v>99</v>
      </c>
      <c r="F17602" s="3">
        <v>99</v>
      </c>
      <c r="G17602" t="s">
        <v>514</v>
      </c>
    </row>
    <row r="17603" spans="1:7" x14ac:dyDescent="0.25">
      <c r="A17603" s="1" t="str">
        <f>"517072"</f>
        <v>517072</v>
      </c>
      <c r="B17603" s="2" t="str">
        <f>"PERFIL DE SILICONE QUADRADO 10MM (CORDÃO)"</f>
        <v>PERFIL DE SILICONE QUADRADO 10MM (CORDÃO)</v>
      </c>
      <c r="C17603" s="2" t="str">
        <f>"MT"</f>
        <v>MT</v>
      </c>
      <c r="D17603" s="7">
        <v>909</v>
      </c>
      <c r="E17603" s="3">
        <v>11</v>
      </c>
      <c r="F17603" s="3">
        <v>11</v>
      </c>
      <c r="G17603" t="s">
        <v>513</v>
      </c>
    </row>
    <row r="17604" spans="1:7" x14ac:dyDescent="0.25">
      <c r="A17604" s="1" t="str">
        <f>"512173"</f>
        <v>512173</v>
      </c>
      <c r="B17604" s="2" t="str">
        <f>"PERFIL DESLIZAMENTO PC CLIP 14X6 ROLO"</f>
        <v>PERFIL DESLIZAMENTO PC CLIP 14X6 ROLO</v>
      </c>
      <c r="C17604" s="2" t="str">
        <f>"UN"</f>
        <v>UN</v>
      </c>
      <c r="D17604" s="7">
        <v>918</v>
      </c>
      <c r="E17604" s="3">
        <v>11</v>
      </c>
      <c r="F17604" s="3">
        <v>11</v>
      </c>
      <c r="G17604" t="s">
        <v>512</v>
      </c>
    </row>
    <row r="17605" spans="1:7" x14ac:dyDescent="0.25">
      <c r="A17605" s="1" t="str">
        <f>"517841"</f>
        <v>517841</v>
      </c>
      <c r="B17605" s="2" t="str">
        <f>"PERFIL DESLIZAMENTO PCA 38-5 PEAD VD"</f>
        <v>PERFIL DESLIZAMENTO PCA 38-5 PEAD VD</v>
      </c>
      <c r="C17605" s="2" t="str">
        <f>"UN"</f>
        <v>UN</v>
      </c>
      <c r="D17605" s="7">
        <v>918</v>
      </c>
      <c r="E17605" s="3">
        <v>11</v>
      </c>
      <c r="F17605" s="3">
        <v>11</v>
      </c>
      <c r="G17605" t="s">
        <v>513</v>
      </c>
    </row>
    <row r="17606" spans="1:7" x14ac:dyDescent="0.25">
      <c r="A17606" s="1" t="str">
        <f>"512404"</f>
        <v>512404</v>
      </c>
      <c r="B17606" s="2" t="str">
        <f>"PERFIL DESLIZAMENTO PR-19 ESP. 3MM"</f>
        <v>PERFIL DESLIZAMENTO PR-19 ESP. 3MM</v>
      </c>
      <c r="C17606" s="2" t="str">
        <f>"UN"</f>
        <v>UN</v>
      </c>
      <c r="D17606" s="7">
        <v>918</v>
      </c>
      <c r="E17606" s="3">
        <v>11</v>
      </c>
      <c r="F17606" s="3">
        <v>11</v>
      </c>
      <c r="G17606" t="s">
        <v>514</v>
      </c>
    </row>
    <row r="17607" spans="1:7" x14ac:dyDescent="0.25">
      <c r="A17607" s="1" t="str">
        <f>"512394"</f>
        <v>512394</v>
      </c>
      <c r="B17607" s="2" t="str">
        <f>"PERFIL DESLIZAMENTO PZC 20-10 9501"</f>
        <v>PERFIL DESLIZAMENTO PZC 20-10 9501</v>
      </c>
      <c r="C17607" s="2" t="str">
        <f>"UN"</f>
        <v>UN</v>
      </c>
      <c r="D17607" s="7">
        <v>918</v>
      </c>
      <c r="E17607" s="3">
        <v>11</v>
      </c>
      <c r="F17607" s="3">
        <v>11</v>
      </c>
      <c r="G17607" t="s">
        <v>514</v>
      </c>
    </row>
    <row r="17608" spans="1:7" x14ac:dyDescent="0.25">
      <c r="A17608" s="1" t="str">
        <f>"514415"</f>
        <v>514415</v>
      </c>
      <c r="B17608" s="2" t="str">
        <f>"PERFIL DO BATENTE"</f>
        <v>PERFIL DO BATENTE</v>
      </c>
      <c r="C17608" s="2" t="str">
        <f>"PC"</f>
        <v>PC</v>
      </c>
      <c r="D17608" s="7">
        <v>806</v>
      </c>
      <c r="E17608" s="3">
        <v>10</v>
      </c>
      <c r="F17608" s="3">
        <v>10</v>
      </c>
      <c r="G17608" t="s">
        <v>514</v>
      </c>
    </row>
    <row r="17609" spans="1:7" x14ac:dyDescent="0.25">
      <c r="A17609" s="1" t="str">
        <f>"516586"</f>
        <v>516586</v>
      </c>
      <c r="B17609" s="2" t="str">
        <f>"PERFIL EM BORRACHA NITRILICA PRETA N/AB734/99"</f>
        <v>PERFIL EM BORRACHA NITRILICA PRETA N/AB734/99</v>
      </c>
      <c r="C17609" s="2" t="str">
        <f>"UN"</f>
        <v>UN</v>
      </c>
      <c r="D17609" s="7">
        <v>909</v>
      </c>
      <c r="E17609" s="3">
        <v>13</v>
      </c>
      <c r="F17609" s="3">
        <v>13</v>
      </c>
      <c r="G17609" t="s">
        <v>513</v>
      </c>
    </row>
    <row r="17610" spans="1:7" x14ac:dyDescent="0.25">
      <c r="A17610" s="1" t="str">
        <f>"512305"</f>
        <v>512305</v>
      </c>
      <c r="B17610" s="2" t="str">
        <f>"PERFIL EMENDA P/ FORRO PVC"</f>
        <v>PERFIL EMENDA P/ FORRO PVC</v>
      </c>
      <c r="C17610" s="2" t="str">
        <f>"UN"</f>
        <v>UN</v>
      </c>
      <c r="D17610" s="7">
        <v>917</v>
      </c>
      <c r="E17610" s="3">
        <v>10</v>
      </c>
      <c r="F17610" s="3">
        <v>10</v>
      </c>
      <c r="G17610" t="s">
        <v>513</v>
      </c>
    </row>
    <row r="17611" spans="1:7" x14ac:dyDescent="0.25">
      <c r="A17611" s="1" t="str">
        <f>"516347"</f>
        <v>516347</v>
      </c>
      <c r="B17611" s="2" t="str">
        <f>"PERFIL ENRIGECIDO 75X40X17X3,00MM"</f>
        <v>PERFIL ENRIGECIDO 75X40X17X3,00MM</v>
      </c>
      <c r="C17611" s="2" t="str">
        <f>"BR"</f>
        <v>BR</v>
      </c>
      <c r="D17611" s="7">
        <v>917</v>
      </c>
      <c r="E17611" s="3">
        <v>10</v>
      </c>
      <c r="F17611" s="3">
        <v>10</v>
      </c>
      <c r="G17611" t="s">
        <v>513</v>
      </c>
    </row>
    <row r="17612" spans="1:7" x14ac:dyDescent="0.25">
      <c r="A17612" s="1" t="str">
        <f>"527901"</f>
        <v>527901</v>
      </c>
      <c r="B17612" s="2" t="str">
        <f>"PERFIL ENRIJECIDO 75 X 40 X 15 X 2MM"</f>
        <v>PERFIL ENRIJECIDO 75 X 40 X 15 X 2MM</v>
      </c>
      <c r="C17612" s="2" t="str">
        <f>"BR"</f>
        <v>BR</v>
      </c>
      <c r="D17612" s="7">
        <v>806</v>
      </c>
      <c r="E17612" s="3">
        <v>10</v>
      </c>
      <c r="F17612" s="3">
        <v>10</v>
      </c>
      <c r="G17612" t="s">
        <v>512</v>
      </c>
    </row>
    <row r="17613" spans="1:7" x14ac:dyDescent="0.25">
      <c r="A17613" s="1" t="str">
        <f>"522228"</f>
        <v>522228</v>
      </c>
      <c r="B17613" s="2" t="str">
        <f>"PERFIL ESPECIAL RAL9003/PRIMER 0,50MM"</f>
        <v>PERFIL ESPECIAL RAL9003/PRIMER 0,50MM</v>
      </c>
      <c r="C17613" s="2" t="str">
        <f t="shared" ref="C17613:C17619" si="695">"UN"</f>
        <v>UN</v>
      </c>
      <c r="D17613" s="7">
        <v>400</v>
      </c>
      <c r="E17613" s="3">
        <v>4</v>
      </c>
      <c r="F17613" s="3">
        <v>4</v>
      </c>
      <c r="G17613" t="s">
        <v>513</v>
      </c>
    </row>
    <row r="17614" spans="1:7" x14ac:dyDescent="0.25">
      <c r="A17614" s="1" t="str">
        <f>"522227"</f>
        <v>522227</v>
      </c>
      <c r="B17614" s="2" t="str">
        <f>"PERFIL ESPECIAL RAL9003/PRIMER 0,65MM"</f>
        <v>PERFIL ESPECIAL RAL9003/PRIMER 0,65MM</v>
      </c>
      <c r="C17614" s="2" t="str">
        <f t="shared" si="695"/>
        <v>UN</v>
      </c>
      <c r="D17614" s="7">
        <v>400</v>
      </c>
      <c r="E17614" s="3">
        <v>4</v>
      </c>
      <c r="F17614" s="3">
        <v>4</v>
      </c>
      <c r="G17614" t="s">
        <v>514</v>
      </c>
    </row>
    <row r="17615" spans="1:7" x14ac:dyDescent="0.25">
      <c r="A17615" s="1" t="str">
        <f>"512833"</f>
        <v>512833</v>
      </c>
      <c r="B17615" s="2" t="str">
        <f>"PERFIL ESPONJOSO 25X15MM"</f>
        <v>PERFIL ESPONJOSO 25X15MM</v>
      </c>
      <c r="C17615" s="2" t="str">
        <f t="shared" si="695"/>
        <v>UN</v>
      </c>
      <c r="D17615" s="7">
        <v>918</v>
      </c>
      <c r="E17615" s="3">
        <v>11</v>
      </c>
      <c r="F17615" s="3">
        <v>11</v>
      </c>
      <c r="G17615" t="s">
        <v>515</v>
      </c>
    </row>
    <row r="17616" spans="1:7" x14ac:dyDescent="0.25">
      <c r="A17616" s="1" t="str">
        <f>"518831"</f>
        <v>518831</v>
      </c>
      <c r="B17616" s="2" t="str">
        <f>"PERFIL ESPONJOSO 25X8MM"</f>
        <v>PERFIL ESPONJOSO 25X8MM</v>
      </c>
      <c r="C17616" s="2" t="str">
        <f t="shared" si="695"/>
        <v>UN</v>
      </c>
      <c r="D17616" s="7">
        <v>918</v>
      </c>
      <c r="E17616" s="3">
        <v>11</v>
      </c>
      <c r="F17616" s="3">
        <v>11</v>
      </c>
      <c r="G17616" t="s">
        <v>512</v>
      </c>
    </row>
    <row r="17617" spans="1:7" x14ac:dyDescent="0.25">
      <c r="A17617" s="1" t="str">
        <f>"511769"</f>
        <v>511769</v>
      </c>
      <c r="B17617" s="2" t="str">
        <f>"PERFIL ESPONJOSO 6X19MM"</f>
        <v>PERFIL ESPONJOSO 6X19MM</v>
      </c>
      <c r="C17617" s="2" t="str">
        <f t="shared" si="695"/>
        <v>UN</v>
      </c>
      <c r="D17617" s="7">
        <v>918</v>
      </c>
      <c r="E17617" s="3">
        <v>11</v>
      </c>
      <c r="F17617" s="3">
        <v>11</v>
      </c>
      <c r="G17617" t="s">
        <v>516</v>
      </c>
    </row>
    <row r="17618" spans="1:7" x14ac:dyDescent="0.25">
      <c r="A17618" s="1" t="str">
        <f>"514448"</f>
        <v>514448</v>
      </c>
      <c r="B17618" s="2" t="str">
        <f>"PERFIL ESTEIRA"</f>
        <v>PERFIL ESTEIRA</v>
      </c>
      <c r="C17618" s="2" t="str">
        <f t="shared" si="695"/>
        <v>UN</v>
      </c>
      <c r="D17618" s="7">
        <v>401</v>
      </c>
      <c r="E17618" s="3">
        <v>4</v>
      </c>
      <c r="F17618" s="3">
        <v>4</v>
      </c>
      <c r="G17618" t="s">
        <v>515</v>
      </c>
    </row>
    <row r="17619" spans="1:7" x14ac:dyDescent="0.25">
      <c r="A17619" s="1" t="str">
        <f>"511012"</f>
        <v>511012</v>
      </c>
      <c r="B17619" s="2" t="str">
        <f>"PERFIL FRANCIS 15MM PRETO"</f>
        <v>PERFIL FRANCIS 15MM PRETO</v>
      </c>
      <c r="C17619" s="2" t="str">
        <f t="shared" si="695"/>
        <v>UN</v>
      </c>
      <c r="D17619" s="7">
        <v>401</v>
      </c>
      <c r="E17619" s="3">
        <v>4</v>
      </c>
      <c r="F17619" s="3">
        <v>4</v>
      </c>
      <c r="G17619" t="s">
        <v>514</v>
      </c>
    </row>
    <row r="17620" spans="1:7" x14ac:dyDescent="0.25">
      <c r="A17620" s="1" t="str">
        <f>"525024"</f>
        <v>525024</v>
      </c>
      <c r="B17620" s="2" t="str">
        <f>"PERFIL G ENRIJECIDO AÇO CARBONO 100X40X15MM #14  6MTS"</f>
        <v>PERFIL G ENRIJECIDO AÇO CARBONO 100X40X15MM #14  6MTS</v>
      </c>
      <c r="C17620" s="2" t="str">
        <f>"PC"</f>
        <v>PC</v>
      </c>
      <c r="D17620" s="7">
        <v>806</v>
      </c>
      <c r="E17620" s="3">
        <v>10</v>
      </c>
      <c r="F17620" s="3">
        <v>10</v>
      </c>
      <c r="G17620" t="s">
        <v>512</v>
      </c>
    </row>
    <row r="17621" spans="1:7" x14ac:dyDescent="0.25">
      <c r="A17621" s="1" t="str">
        <f>"527053"</f>
        <v>527053</v>
      </c>
      <c r="B17621" s="2" t="str">
        <f>"PERFIL GUIA LATERAL INOX 430 M-38 E PEAD AZ PG45X28 3M"</f>
        <v>PERFIL GUIA LATERAL INOX 430 M-38 E PEAD AZ PG45X28 3M</v>
      </c>
      <c r="C17621" s="2" t="str">
        <f t="shared" ref="C17621:C17632" si="696">"UN"</f>
        <v>UN</v>
      </c>
      <c r="D17621" s="7">
        <v>918</v>
      </c>
      <c r="E17621" s="3">
        <v>11</v>
      </c>
      <c r="F17621" s="3">
        <v>11</v>
      </c>
      <c r="G17621" t="s">
        <v>513</v>
      </c>
    </row>
    <row r="17622" spans="1:7" x14ac:dyDescent="0.25">
      <c r="A17622" s="1" t="str">
        <f>"503359"</f>
        <v>503359</v>
      </c>
      <c r="B17622" s="2" t="str">
        <f>"PERFIL INOX 430M25"</f>
        <v>PERFIL INOX 430M25</v>
      </c>
      <c r="C17622" s="2" t="str">
        <f t="shared" si="696"/>
        <v>UN</v>
      </c>
      <c r="D17622" s="7">
        <v>812</v>
      </c>
      <c r="E17622" s="3">
        <v>10</v>
      </c>
      <c r="F17622" s="3">
        <v>10</v>
      </c>
      <c r="G17622" t="s">
        <v>514</v>
      </c>
    </row>
    <row r="17623" spans="1:7" x14ac:dyDescent="0.25">
      <c r="A17623" s="1" t="str">
        <f>"503374"</f>
        <v>503374</v>
      </c>
      <c r="B17623" s="2" t="str">
        <f>"PERFIL INOX 430M38"</f>
        <v>PERFIL INOX 430M38</v>
      </c>
      <c r="C17623" s="2" t="str">
        <f t="shared" si="696"/>
        <v>UN</v>
      </c>
      <c r="D17623" s="7">
        <v>918</v>
      </c>
      <c r="E17623" s="3">
        <v>11</v>
      </c>
      <c r="F17623" s="3">
        <v>11</v>
      </c>
      <c r="G17623" t="s">
        <v>514</v>
      </c>
    </row>
    <row r="17624" spans="1:7" x14ac:dyDescent="0.25">
      <c r="A17624" s="1" t="str">
        <f>"511417"</f>
        <v>511417</v>
      </c>
      <c r="B17624" s="2" t="str">
        <f>"PERFIL L 150X50"</f>
        <v>PERFIL L 150X50</v>
      </c>
      <c r="C17624" s="2" t="str">
        <f t="shared" si="696"/>
        <v>UN</v>
      </c>
      <c r="D17624" s="7">
        <v>803</v>
      </c>
      <c r="E17624" s="3">
        <v>10</v>
      </c>
      <c r="F17624" s="3">
        <v>10</v>
      </c>
      <c r="G17624" t="s">
        <v>512</v>
      </c>
    </row>
    <row r="17625" spans="1:7" x14ac:dyDescent="0.25">
      <c r="A17625" s="1" t="str">
        <f>"517655"</f>
        <v>517655</v>
      </c>
      <c r="B17625" s="2" t="str">
        <f>"PERFIL LQ US SAE 1010 100X40X3X6000MM"</f>
        <v>PERFIL LQ US SAE 1010 100X40X3X6000MM</v>
      </c>
      <c r="C17625" s="2" t="str">
        <f t="shared" si="696"/>
        <v>UN</v>
      </c>
      <c r="D17625" s="7">
        <v>1700</v>
      </c>
      <c r="E17625" s="3">
        <v>10</v>
      </c>
      <c r="F17625" s="3">
        <v>10</v>
      </c>
      <c r="G17625" t="s">
        <v>513</v>
      </c>
    </row>
    <row r="17626" spans="1:7" x14ac:dyDescent="0.25">
      <c r="A17626" s="1" t="str">
        <f>"521826"</f>
        <v>521826</v>
      </c>
      <c r="B17626" s="2" t="str">
        <f>"PERFIL PORTA ETIQUETA 004908.05 GSTO130"</f>
        <v>PERFIL PORTA ETIQUETA 004908.05 GSTO130</v>
      </c>
      <c r="C17626" s="2" t="str">
        <f t="shared" si="696"/>
        <v>UN</v>
      </c>
      <c r="D17626" s="7">
        <v>99999</v>
      </c>
      <c r="E17626" s="3">
        <v>99</v>
      </c>
      <c r="F17626" s="3">
        <v>99</v>
      </c>
      <c r="G17626" t="s">
        <v>514</v>
      </c>
    </row>
    <row r="17627" spans="1:7" x14ac:dyDescent="0.25">
      <c r="A17627" s="1" t="str">
        <f>"524042"</f>
        <v>524042</v>
      </c>
      <c r="B17627" s="2" t="str">
        <f>"PERFIL PVC CZ CLARO RIG P/ ACABAM. TANQUE 4600MM 004780.01"</f>
        <v>PERFIL PVC CZ CLARO RIG P/ ACABAM. TANQUE 4600MM 004780.01</v>
      </c>
      <c r="C17627" s="2" t="str">
        <f t="shared" si="696"/>
        <v>UN</v>
      </c>
      <c r="D17627" s="7">
        <v>918</v>
      </c>
      <c r="E17627" s="3">
        <v>4</v>
      </c>
      <c r="F17627" s="3">
        <v>4</v>
      </c>
      <c r="G17627" t="s">
        <v>514</v>
      </c>
    </row>
    <row r="17628" spans="1:7" x14ac:dyDescent="0.25">
      <c r="A17628" s="1" t="str">
        <f>"524040"</f>
        <v>524040</v>
      </c>
      <c r="B17628" s="2" t="str">
        <f>"PERFIL PVC PARA-CHOQUE DUPLO CINZA 80MM X 6000MM 006742.01"</f>
        <v>PERFIL PVC PARA-CHOQUE DUPLO CINZA 80MM X 6000MM 006742.01</v>
      </c>
      <c r="C17628" s="2" t="str">
        <f t="shared" si="696"/>
        <v>UN</v>
      </c>
      <c r="D17628" s="7">
        <v>918</v>
      </c>
      <c r="E17628" s="3">
        <v>4</v>
      </c>
      <c r="F17628" s="3">
        <v>4</v>
      </c>
      <c r="G17628" t="s">
        <v>514</v>
      </c>
    </row>
    <row r="17629" spans="1:7" x14ac:dyDescent="0.25">
      <c r="A17629" s="1" t="str">
        <f>"515603"</f>
        <v>515603</v>
      </c>
      <c r="B17629" s="2" t="str">
        <f>"PERFIL RODAFORRO"</f>
        <v>PERFIL RODAFORRO</v>
      </c>
      <c r="C17629" s="2" t="str">
        <f t="shared" si="696"/>
        <v>UN</v>
      </c>
      <c r="D17629" s="7">
        <v>408</v>
      </c>
      <c r="E17629" s="3">
        <v>4</v>
      </c>
      <c r="F17629" s="3">
        <v>4</v>
      </c>
      <c r="G17629" t="s">
        <v>513</v>
      </c>
    </row>
    <row r="17630" spans="1:7" x14ac:dyDescent="0.25">
      <c r="A17630" s="1" t="str">
        <f>"512571"</f>
        <v>512571</v>
      </c>
      <c r="B17630" s="2" t="str">
        <f>"PERFIL SELAGEM BRONZE"</f>
        <v>PERFIL SELAGEM BRONZE</v>
      </c>
      <c r="C17630" s="2" t="str">
        <f t="shared" si="696"/>
        <v>UN</v>
      </c>
      <c r="D17630" s="7">
        <v>918</v>
      </c>
      <c r="E17630" s="3">
        <v>11</v>
      </c>
      <c r="F17630" s="3">
        <v>11</v>
      </c>
      <c r="G17630" t="s">
        <v>512</v>
      </c>
    </row>
    <row r="17631" spans="1:7" x14ac:dyDescent="0.25">
      <c r="A17631" s="1" t="str">
        <f>"512882"</f>
        <v>512882</v>
      </c>
      <c r="B17631" s="2" t="str">
        <f>"PERFIL SILICONE"</f>
        <v>PERFIL SILICONE</v>
      </c>
      <c r="C17631" s="2" t="str">
        <f t="shared" si="696"/>
        <v>UN</v>
      </c>
      <c r="D17631" s="7">
        <v>918</v>
      </c>
      <c r="E17631" s="3">
        <v>11</v>
      </c>
      <c r="F17631" s="3">
        <v>11</v>
      </c>
      <c r="G17631" t="s">
        <v>513</v>
      </c>
    </row>
    <row r="17632" spans="1:7" x14ac:dyDescent="0.25">
      <c r="A17632" s="1" t="str">
        <f>"522226"</f>
        <v>522226</v>
      </c>
      <c r="B17632" s="2" t="str">
        <f>"PERFIL SLITADO RAL9003/PRIMER 0,50MM"</f>
        <v>PERFIL SLITADO RAL9003/PRIMER 0,50MM</v>
      </c>
      <c r="C17632" s="2" t="str">
        <f t="shared" si="696"/>
        <v>UN</v>
      </c>
      <c r="D17632" s="7">
        <v>400</v>
      </c>
      <c r="E17632" s="3">
        <v>4</v>
      </c>
      <c r="F17632" s="3">
        <v>4</v>
      </c>
      <c r="G17632" t="s">
        <v>514</v>
      </c>
    </row>
    <row r="17633" spans="1:7" x14ac:dyDescent="0.25">
      <c r="A17633" s="1" t="str">
        <f>"510069"</f>
        <v>510069</v>
      </c>
      <c r="B17633" s="2" t="str">
        <f>"PERFIL T 25X70MM PRE PRIMER  EXTERNA"</f>
        <v>PERFIL T 25X70MM PRE PRIMER  EXTERNA</v>
      </c>
      <c r="C17633" s="2" t="str">
        <f>"PC"</f>
        <v>PC</v>
      </c>
      <c r="D17633" s="7">
        <v>806</v>
      </c>
      <c r="E17633" s="3">
        <v>10</v>
      </c>
      <c r="F17633" s="3">
        <v>10</v>
      </c>
      <c r="G17633" t="s">
        <v>514</v>
      </c>
    </row>
    <row r="17634" spans="1:7" x14ac:dyDescent="0.25">
      <c r="A17634" s="1" t="str">
        <f>"512766"</f>
        <v>512766</v>
      </c>
      <c r="B17634" s="2" t="str">
        <f>"PERFIL T 3/4 X 1/8 ACO CARBONO"</f>
        <v>PERFIL T 3/4 X 1/8 ACO CARBONO</v>
      </c>
      <c r="C17634" s="2" t="str">
        <f>"UN"</f>
        <v>UN</v>
      </c>
      <c r="D17634" s="7">
        <v>402</v>
      </c>
      <c r="E17634" s="3">
        <v>4</v>
      </c>
      <c r="F17634" s="3">
        <v>4</v>
      </c>
      <c r="G17634" t="s">
        <v>514</v>
      </c>
    </row>
    <row r="17635" spans="1:7" x14ac:dyDescent="0.25">
      <c r="A17635" s="1" t="str">
        <f>"510611"</f>
        <v>510611</v>
      </c>
      <c r="B17635" s="2" t="str">
        <f>"PERFIL T 40MM CHAPA 1,5MM"</f>
        <v>PERFIL T 40MM CHAPA 1,5MM</v>
      </c>
      <c r="C17635" s="2" t="str">
        <f>"PC"</f>
        <v>PC</v>
      </c>
      <c r="D17635" s="7">
        <v>806</v>
      </c>
      <c r="E17635" s="3">
        <v>10</v>
      </c>
      <c r="F17635" s="3">
        <v>10</v>
      </c>
      <c r="G17635" t="s">
        <v>513</v>
      </c>
    </row>
    <row r="17636" spans="1:7" x14ac:dyDescent="0.25">
      <c r="A17636" s="1" t="str">
        <f>"518515"</f>
        <v>518515</v>
      </c>
      <c r="B17636" s="2" t="str">
        <f>"PERFIL T AÇO CARBONO 1 1/4 X 1/8"</f>
        <v>PERFIL T AÇO CARBONO 1 1/4 X 1/8</v>
      </c>
      <c r="C17636" s="2" t="str">
        <f>"UN"</f>
        <v>UN</v>
      </c>
      <c r="D17636" s="7">
        <v>1700</v>
      </c>
      <c r="E17636" s="3">
        <v>10</v>
      </c>
      <c r="F17636" s="3">
        <v>10</v>
      </c>
      <c r="G17636" t="s">
        <v>513</v>
      </c>
    </row>
    <row r="17637" spans="1:7" x14ac:dyDescent="0.25">
      <c r="A17637" s="1" t="str">
        <f>"511817"</f>
        <v>511817</v>
      </c>
      <c r="B17637" s="2" t="str">
        <f>"PERFIL T ALUMINIO 1 X 1 X 1/8"""</f>
        <v>PERFIL T ALUMINIO 1 X 1 X 1/8"</v>
      </c>
      <c r="C17637" s="2" t="str">
        <f>"PC"</f>
        <v>PC</v>
      </c>
      <c r="D17637" s="7">
        <v>806</v>
      </c>
      <c r="E17637" s="3">
        <v>10</v>
      </c>
      <c r="F17637" s="3">
        <v>10</v>
      </c>
      <c r="G17637" t="s">
        <v>513</v>
      </c>
    </row>
    <row r="17638" spans="1:7" x14ac:dyDescent="0.25">
      <c r="A17638" s="1" t="str">
        <f>"510068"</f>
        <v>510068</v>
      </c>
      <c r="B17638" s="2" t="str">
        <f>"PERFIL T ALUMINIO 85X75X2MM (111005)"</f>
        <v>PERFIL T ALUMINIO 85X75X2MM (111005)</v>
      </c>
      <c r="C17638" s="2" t="str">
        <f>"PC"</f>
        <v>PC</v>
      </c>
      <c r="D17638" s="7">
        <v>806</v>
      </c>
      <c r="E17638" s="3">
        <v>10</v>
      </c>
      <c r="F17638" s="3">
        <v>10</v>
      </c>
      <c r="G17638" t="s">
        <v>512</v>
      </c>
    </row>
    <row r="17639" spans="1:7" x14ac:dyDescent="0.25">
      <c r="A17639" s="1" t="str">
        <f>"502970"</f>
        <v>502970</v>
      </c>
      <c r="B17639" s="2" t="str">
        <f>"PERFIL T DE 25x25 CHAPA 18"</f>
        <v>PERFIL T DE 25x25 CHAPA 18</v>
      </c>
      <c r="C17639" s="2" t="str">
        <f>"UN"</f>
        <v>UN</v>
      </c>
      <c r="D17639" s="7">
        <v>402</v>
      </c>
      <c r="E17639" s="3">
        <v>4</v>
      </c>
      <c r="F17639" s="3">
        <v>4</v>
      </c>
      <c r="G17639" t="s">
        <v>513</v>
      </c>
    </row>
    <row r="17640" spans="1:7" x14ac:dyDescent="0.25">
      <c r="A17640" s="1" t="str">
        <f>"527183"</f>
        <v>527183</v>
      </c>
      <c r="B17640" s="2" t="str">
        <f>"PERFIL T FG  1 X 1 X 1/8"""</f>
        <v>PERFIL T FG  1 X 1 X 1/8"</v>
      </c>
      <c r="C17640" s="2" t="str">
        <f>"PC"</f>
        <v>PC</v>
      </c>
      <c r="D17640" s="7">
        <v>806</v>
      </c>
      <c r="E17640" s="3">
        <v>10</v>
      </c>
      <c r="F17640" s="3">
        <v>10</v>
      </c>
      <c r="G17640" t="s">
        <v>514</v>
      </c>
    </row>
    <row r="17641" spans="1:7" x14ac:dyDescent="0.25">
      <c r="A17641" s="1" t="str">
        <f>"511747"</f>
        <v>511747</v>
      </c>
      <c r="B17641" s="2" t="str">
        <f>"PERFIL T INOX 1 X 1 X 1/8"""</f>
        <v>PERFIL T INOX 1 X 1 X 1/8"</v>
      </c>
      <c r="C17641" s="2" t="str">
        <f>"PC"</f>
        <v>PC</v>
      </c>
      <c r="D17641" s="7">
        <v>806</v>
      </c>
      <c r="E17641" s="3">
        <v>10</v>
      </c>
      <c r="F17641" s="3">
        <v>10</v>
      </c>
      <c r="G17641" t="s">
        <v>515</v>
      </c>
    </row>
    <row r="17642" spans="1:7" x14ac:dyDescent="0.25">
      <c r="A17642" s="1" t="str">
        <f>"524041"</f>
        <v>524041</v>
      </c>
      <c r="B17642" s="2" t="str">
        <f>"PERFIL TAMPA PARA-CHOQUE AZUL 2935C 16MM 006743.02"</f>
        <v>PERFIL TAMPA PARA-CHOQUE AZUL 2935C 16MM 006743.02</v>
      </c>
      <c r="C17642" s="2" t="str">
        <f>"UN"</f>
        <v>UN</v>
      </c>
      <c r="D17642" s="7">
        <v>918</v>
      </c>
      <c r="E17642" s="3">
        <v>4</v>
      </c>
      <c r="F17642" s="3">
        <v>4</v>
      </c>
      <c r="G17642" t="s">
        <v>512</v>
      </c>
    </row>
    <row r="17643" spans="1:7" x14ac:dyDescent="0.25">
      <c r="A17643" s="1" t="str">
        <f>"522730"</f>
        <v>522730</v>
      </c>
      <c r="B17643" s="2" t="str">
        <f>"PERFIL TIPO E PEAD PRETO 100MMX3000MM"</f>
        <v>PERFIL TIPO E PEAD PRETO 100MMX3000MM</v>
      </c>
      <c r="C17643" s="2" t="str">
        <f>"MT"</f>
        <v>MT</v>
      </c>
      <c r="D17643" s="7">
        <v>909</v>
      </c>
      <c r="E17643" s="3">
        <v>11</v>
      </c>
      <c r="F17643" s="3">
        <v>11</v>
      </c>
      <c r="G17643" t="s">
        <v>516</v>
      </c>
    </row>
    <row r="17644" spans="1:7" x14ac:dyDescent="0.25">
      <c r="A17644" s="1" t="str">
        <f>"527083"</f>
        <v>527083</v>
      </c>
      <c r="B17644" s="2" t="str">
        <f>"PERFIL TRILHO"</f>
        <v>PERFIL TRILHO</v>
      </c>
      <c r="C17644" s="2" t="str">
        <f>"UN"</f>
        <v>UN</v>
      </c>
      <c r="D17644" s="7">
        <v>99999</v>
      </c>
      <c r="E17644" s="3">
        <v>10</v>
      </c>
      <c r="F17644" s="3">
        <v>10</v>
      </c>
      <c r="G17644" t="s">
        <v>515</v>
      </c>
    </row>
    <row r="17645" spans="1:7" x14ac:dyDescent="0.25">
      <c r="A17645" s="1" t="str">
        <f>"514414"</f>
        <v>514414</v>
      </c>
      <c r="B17645" s="2" t="str">
        <f>"PERFIL U 19 X 100 X 19MM PRE X PRIM EXT"</f>
        <v>PERFIL U 19 X 100 X 19MM PRE X PRIM EXT</v>
      </c>
      <c r="C17645" s="2" t="str">
        <f>"PC"</f>
        <v>PC</v>
      </c>
      <c r="D17645" s="7">
        <v>806</v>
      </c>
      <c r="E17645" s="3">
        <v>10</v>
      </c>
      <c r="F17645" s="3">
        <v>10</v>
      </c>
      <c r="G17645" t="s">
        <v>514</v>
      </c>
    </row>
    <row r="17646" spans="1:7" x14ac:dyDescent="0.25">
      <c r="A17646" s="1" t="str">
        <f>"510064"</f>
        <v>510064</v>
      </c>
      <c r="B17646" s="2" t="str">
        <f>"PERFIL U 19X100X19MM PRE X PRIM EXTERNO"</f>
        <v>PERFIL U 19X100X19MM PRE X PRIM EXTERNO</v>
      </c>
      <c r="C17646" s="2" t="str">
        <f>"PC"</f>
        <v>PC</v>
      </c>
      <c r="D17646" s="7">
        <v>806</v>
      </c>
      <c r="E17646" s="3">
        <v>10</v>
      </c>
      <c r="F17646" s="3">
        <v>10</v>
      </c>
      <c r="G17646" t="s">
        <v>512</v>
      </c>
    </row>
    <row r="17647" spans="1:7" x14ac:dyDescent="0.25">
      <c r="A17647" s="1" t="str">
        <f>"512411"</f>
        <v>512411</v>
      </c>
      <c r="B17647" s="2" t="str">
        <f>"PERFIL U 19X50X19MM PINT. EXT."</f>
        <v>PERFIL U 19X50X19MM PINT. EXT.</v>
      </c>
      <c r="C17647" s="2" t="str">
        <f>"PC"</f>
        <v>PC</v>
      </c>
      <c r="D17647" s="7">
        <v>806</v>
      </c>
      <c r="E17647" s="3">
        <v>10</v>
      </c>
      <c r="F17647" s="3">
        <v>10</v>
      </c>
      <c r="G17647" t="s">
        <v>513</v>
      </c>
    </row>
    <row r="17648" spans="1:7" x14ac:dyDescent="0.25">
      <c r="A17648" s="1" t="str">
        <f>"517501"</f>
        <v>517501</v>
      </c>
      <c r="B17648" s="2" t="str">
        <f>"PERFIL U 40X100X40MM PP (3M)"</f>
        <v>PERFIL U 40X100X40MM PP (3M)</v>
      </c>
      <c r="C17648" s="2" t="str">
        <f>"UN"</f>
        <v>UN</v>
      </c>
      <c r="D17648" s="7">
        <v>918</v>
      </c>
      <c r="E17648" s="3">
        <v>10</v>
      </c>
      <c r="F17648" s="3">
        <v>10</v>
      </c>
      <c r="G17648" t="s">
        <v>514</v>
      </c>
    </row>
    <row r="17649" spans="1:7" x14ac:dyDescent="0.25">
      <c r="A17649" s="1" t="str">
        <f>"522216"</f>
        <v>522216</v>
      </c>
      <c r="B17649" s="2" t="str">
        <f>"PERFIL U 50X100X50MM CHAPA PRE. EXT."</f>
        <v>PERFIL U 50X100X50MM CHAPA PRE. EXT.</v>
      </c>
      <c r="C17649" s="2" t="str">
        <f>"PC"</f>
        <v>PC</v>
      </c>
      <c r="D17649" s="7">
        <v>806</v>
      </c>
      <c r="E17649" s="3">
        <v>10</v>
      </c>
      <c r="F17649" s="3">
        <v>10</v>
      </c>
      <c r="G17649" t="s">
        <v>514</v>
      </c>
    </row>
    <row r="17650" spans="1:7" x14ac:dyDescent="0.25">
      <c r="A17650" s="1" t="str">
        <f>"527745"</f>
        <v>527745</v>
      </c>
      <c r="B17650" s="2" t="str">
        <f>"PERFIL U 8MM (NLK009)"</f>
        <v>PERFIL U 8MM (NLK009)</v>
      </c>
      <c r="C17650" s="2" t="str">
        <f>"PC"</f>
        <v>PC</v>
      </c>
      <c r="D17650" s="7">
        <v>806</v>
      </c>
      <c r="E17650" s="3">
        <v>10</v>
      </c>
      <c r="F17650" s="3">
        <v>10</v>
      </c>
      <c r="G17650" t="s">
        <v>512</v>
      </c>
    </row>
    <row r="17651" spans="1:7" x14ac:dyDescent="0.25">
      <c r="A17651" s="1" t="str">
        <f>"525023"</f>
        <v>525023</v>
      </c>
      <c r="B17651" s="2" t="str">
        <f>"PERFIL U AÇO CARBONO 100X40MM #12 6MTS"</f>
        <v>PERFIL U AÇO CARBONO 100X40MM #12 6MTS</v>
      </c>
      <c r="C17651" s="2" t="str">
        <f>"PC"</f>
        <v>PC</v>
      </c>
      <c r="D17651" s="7">
        <v>806</v>
      </c>
      <c r="E17651" s="3">
        <v>10</v>
      </c>
      <c r="F17651" s="3">
        <v>10</v>
      </c>
      <c r="G17651" t="s">
        <v>513</v>
      </c>
    </row>
    <row r="17652" spans="1:7" x14ac:dyDescent="0.25">
      <c r="A17652" s="1" t="str">
        <f>"525025"</f>
        <v>525025</v>
      </c>
      <c r="B17652" s="2" t="str">
        <f>"PERFIL U AÇO CARBONO 100X50MM #11   6MTS"</f>
        <v>PERFIL U AÇO CARBONO 100X50MM #11   6MTS</v>
      </c>
      <c r="C17652" s="2" t="str">
        <f>"PC"</f>
        <v>PC</v>
      </c>
      <c r="D17652" s="7">
        <v>806</v>
      </c>
      <c r="E17652" s="3">
        <v>10</v>
      </c>
      <c r="F17652" s="3">
        <v>10</v>
      </c>
      <c r="G17652" t="s">
        <v>514</v>
      </c>
    </row>
    <row r="17653" spans="1:7" x14ac:dyDescent="0.25">
      <c r="A17653" s="1" t="str">
        <f>"514306"</f>
        <v>514306</v>
      </c>
      <c r="B17653" s="2" t="str">
        <f>"PERFIL U P/PORTA HERMETICA 450MM BUNA-N PRETA"</f>
        <v>PERFIL U P/PORTA HERMETICA 450MM BUNA-N PRETA</v>
      </c>
      <c r="C17653" s="2" t="str">
        <f>"UN"</f>
        <v>UN</v>
      </c>
      <c r="D17653" s="7">
        <v>918</v>
      </c>
      <c r="E17653" s="3">
        <v>11</v>
      </c>
      <c r="F17653" s="3">
        <v>11</v>
      </c>
      <c r="G17653" t="s">
        <v>514</v>
      </c>
    </row>
    <row r="17654" spans="1:7" x14ac:dyDescent="0.25">
      <c r="A17654" s="1" t="str">
        <f>"519552"</f>
        <v>519552</v>
      </c>
      <c r="B17654" s="2" t="str">
        <f>"PERFIL UHMW P/ CORRENTE DE ROLO 1/2"""</f>
        <v>PERFIL UHMW P/ CORRENTE DE ROLO 1/2"</v>
      </c>
      <c r="C17654" s="2" t="str">
        <f>"MT"</f>
        <v>MT</v>
      </c>
      <c r="D17654" s="7">
        <v>918</v>
      </c>
      <c r="E17654" s="3">
        <v>11</v>
      </c>
      <c r="F17654" s="3">
        <v>11</v>
      </c>
      <c r="G17654" t="s">
        <v>514</v>
      </c>
    </row>
    <row r="17655" spans="1:7" x14ac:dyDescent="0.25">
      <c r="A17655" s="1" t="str">
        <f>"519256"</f>
        <v>519256</v>
      </c>
      <c r="B17655" s="2" t="str">
        <f>"PERFIL VERDE PEAD PCA 38X5MM"</f>
        <v>PERFIL VERDE PEAD PCA 38X5MM</v>
      </c>
      <c r="C17655" s="2" t="str">
        <f>"UN"</f>
        <v>UN</v>
      </c>
      <c r="D17655" s="7">
        <v>812</v>
      </c>
      <c r="E17655" s="3">
        <v>10</v>
      </c>
      <c r="F17655" s="3">
        <v>10</v>
      </c>
      <c r="G17655" t="s">
        <v>513</v>
      </c>
    </row>
    <row r="17656" spans="1:7" x14ac:dyDescent="0.25">
      <c r="A17656" s="1" t="str">
        <f>"522573"</f>
        <v>522573</v>
      </c>
      <c r="B17656" s="2" t="str">
        <f>"PERFILADO 36 X 36MM"</f>
        <v>PERFILADO 36 X 36MM</v>
      </c>
      <c r="C17656" s="2" t="str">
        <f>"MT"</f>
        <v>MT</v>
      </c>
      <c r="D17656" s="7">
        <v>600</v>
      </c>
      <c r="E17656" s="3">
        <v>10</v>
      </c>
      <c r="F17656" s="3">
        <v>10</v>
      </c>
      <c r="G17656" t="s">
        <v>512</v>
      </c>
    </row>
    <row r="17657" spans="1:7" x14ac:dyDescent="0.25">
      <c r="A17657" s="1" t="str">
        <f>"508040"</f>
        <v>508040</v>
      </c>
      <c r="B17657" s="2" t="str">
        <f>"PERFILADO 38 X 38 MM INOX"</f>
        <v>PERFILADO 38 X 38 MM INOX</v>
      </c>
      <c r="C17657" s="2" t="str">
        <f t="shared" ref="C17657:C17666" si="697">"UN"</f>
        <v>UN</v>
      </c>
      <c r="D17657" s="7">
        <v>1700</v>
      </c>
      <c r="E17657" s="3">
        <v>10</v>
      </c>
      <c r="F17657" s="3">
        <v>10</v>
      </c>
      <c r="G17657" t="s">
        <v>513</v>
      </c>
    </row>
    <row r="17658" spans="1:7" x14ac:dyDescent="0.25">
      <c r="A17658" s="1" t="str">
        <f>"518606"</f>
        <v>518606</v>
      </c>
      <c r="B17658" s="2" t="str">
        <f>"PERFILADO CHAPA 14"</f>
        <v>PERFILADO CHAPA 14</v>
      </c>
      <c r="C17658" s="2" t="str">
        <f t="shared" si="697"/>
        <v>UN</v>
      </c>
      <c r="D17658" s="7">
        <v>1700</v>
      </c>
      <c r="E17658" s="3">
        <v>10</v>
      </c>
      <c r="F17658" s="3">
        <v>10</v>
      </c>
      <c r="G17658" t="s">
        <v>514</v>
      </c>
    </row>
    <row r="17659" spans="1:7" x14ac:dyDescent="0.25">
      <c r="A17659" s="1" t="str">
        <f>"508041"</f>
        <v>508041</v>
      </c>
      <c r="B17659" s="2" t="str">
        <f>"PERFILADO CHAPA 18"</f>
        <v>PERFILADO CHAPA 18</v>
      </c>
      <c r="C17659" s="2" t="str">
        <f t="shared" si="697"/>
        <v>UN</v>
      </c>
      <c r="D17659" s="7">
        <v>1700</v>
      </c>
      <c r="E17659" s="3">
        <v>10</v>
      </c>
      <c r="F17659" s="3">
        <v>10</v>
      </c>
      <c r="G17659" t="s">
        <v>514</v>
      </c>
    </row>
    <row r="17660" spans="1:7" x14ac:dyDescent="0.25">
      <c r="A17660" s="1" t="str">
        <f>"524369"</f>
        <v>524369</v>
      </c>
      <c r="B17660" s="2" t="str">
        <f>"PERFORDUR EPOXI BASE INC - COMP A 2,7L (330000) AZUL SEG 2,5"</f>
        <v>PERFORDUR EPOXI BASE INC - COMP A 2,7L (330000) AZUL SEG 2,5</v>
      </c>
      <c r="C17660" s="2" t="str">
        <f t="shared" si="697"/>
        <v>UN</v>
      </c>
      <c r="D17660" s="7">
        <v>804</v>
      </c>
      <c r="E17660" s="3">
        <v>10</v>
      </c>
      <c r="F17660" s="3">
        <v>10</v>
      </c>
      <c r="G17660" t="s">
        <v>514</v>
      </c>
    </row>
    <row r="17661" spans="1:7" x14ac:dyDescent="0.25">
      <c r="A17661" s="1" t="str">
        <f>"513289"</f>
        <v>513289</v>
      </c>
      <c r="B17661" s="2" t="str">
        <f>"PERFUME SACHE"</f>
        <v>PERFUME SACHE</v>
      </c>
      <c r="C17661" s="2" t="str">
        <f t="shared" si="697"/>
        <v>UN</v>
      </c>
      <c r="D17661" s="7">
        <v>704</v>
      </c>
      <c r="E17661" s="3">
        <v>4</v>
      </c>
      <c r="F17661" s="3">
        <v>4</v>
      </c>
      <c r="G17661" t="s">
        <v>513</v>
      </c>
    </row>
    <row r="17662" spans="1:7" x14ac:dyDescent="0.25">
      <c r="A17662" s="1" t="str">
        <f>"6653"</f>
        <v>6653</v>
      </c>
      <c r="B17662" s="2" t="str">
        <f>"PERFURADOR CIS P-840 P/40FLS"</f>
        <v>PERFURADOR CIS P-840 P/40FLS</v>
      </c>
      <c r="C17662" s="2" t="str">
        <f t="shared" si="697"/>
        <v>UN</v>
      </c>
      <c r="D17662" s="7">
        <v>401</v>
      </c>
      <c r="E17662" s="3">
        <v>4</v>
      </c>
      <c r="F17662" s="3">
        <v>4</v>
      </c>
      <c r="G17662" t="s">
        <v>513</v>
      </c>
    </row>
    <row r="17663" spans="1:7" x14ac:dyDescent="0.25">
      <c r="A17663" s="1" t="str">
        <f>"510512"</f>
        <v>510512</v>
      </c>
      <c r="B17663" s="2" t="str">
        <f>"PERFURADOR DE PAPEL"</f>
        <v>PERFURADOR DE PAPEL</v>
      </c>
      <c r="C17663" s="2" t="str">
        <f t="shared" si="697"/>
        <v>UN</v>
      </c>
      <c r="D17663" s="7">
        <v>401</v>
      </c>
      <c r="E17663" s="3">
        <v>4</v>
      </c>
      <c r="F17663" s="3">
        <v>4</v>
      </c>
      <c r="G17663" t="s">
        <v>513</v>
      </c>
    </row>
    <row r="17664" spans="1:7" x14ac:dyDescent="0.25">
      <c r="A17664" s="1" t="str">
        <f>"509391"</f>
        <v>509391</v>
      </c>
      <c r="B17664" s="2" t="str">
        <f>"PERFURADOR DE ROTULOS"</f>
        <v>PERFURADOR DE ROTULOS</v>
      </c>
      <c r="C17664" s="2" t="str">
        <f t="shared" si="697"/>
        <v>UN</v>
      </c>
      <c r="D17664" s="7">
        <v>918</v>
      </c>
      <c r="E17664" s="3">
        <v>11</v>
      </c>
      <c r="F17664" s="3">
        <v>11</v>
      </c>
      <c r="G17664" t="s">
        <v>512</v>
      </c>
    </row>
    <row r="17665" spans="1:7" x14ac:dyDescent="0.25">
      <c r="A17665" s="1" t="str">
        <f>"521960"</f>
        <v>521960</v>
      </c>
      <c r="B17665" s="2" t="str">
        <f>"PERMANGANATO DE POTASIO"</f>
        <v>PERMANGANATO DE POTASIO</v>
      </c>
      <c r="C17665" s="2" t="str">
        <f t="shared" si="697"/>
        <v>UN</v>
      </c>
      <c r="D17665" s="7">
        <v>99999</v>
      </c>
      <c r="E17665" s="3">
        <v>99</v>
      </c>
      <c r="F17665" s="3">
        <v>99</v>
      </c>
      <c r="G17665" t="s">
        <v>513</v>
      </c>
    </row>
    <row r="17666" spans="1:7" x14ac:dyDescent="0.25">
      <c r="A17666" s="1" t="str">
        <f>"528129"</f>
        <v>528129</v>
      </c>
      <c r="B17666" s="2" t="str">
        <f>"PERMANGANATO DE POTASSIO 0,25N"</f>
        <v>PERMANGANATO DE POTASSIO 0,25N</v>
      </c>
      <c r="C17666" s="2" t="str">
        <f t="shared" si="697"/>
        <v>UN</v>
      </c>
      <c r="D17666" s="7">
        <v>406</v>
      </c>
      <c r="E17666" s="3">
        <v>4</v>
      </c>
      <c r="F17666" s="3">
        <v>4</v>
      </c>
      <c r="G17666" t="s">
        <v>514</v>
      </c>
    </row>
    <row r="17667" spans="1:7" x14ac:dyDescent="0.25">
      <c r="A17667" s="1" t="str">
        <f>"524006"</f>
        <v>524006</v>
      </c>
      <c r="B17667" s="2" t="str">
        <f>"PERNEIRA RASPA C/ VELCRO 721V CA-16032"</f>
        <v>PERNEIRA RASPA C/ VELCRO 721V CA-16032</v>
      </c>
      <c r="C17667" s="2" t="str">
        <f>"PR"</f>
        <v>PR</v>
      </c>
      <c r="D17667" s="7">
        <v>501</v>
      </c>
      <c r="E17667" s="3">
        <v>5</v>
      </c>
      <c r="F17667" s="3">
        <v>5</v>
      </c>
      <c r="G17667" t="s">
        <v>515</v>
      </c>
    </row>
    <row r="17668" spans="1:7" x14ac:dyDescent="0.25">
      <c r="A17668" s="1" t="str">
        <f>"524008"</f>
        <v>524008</v>
      </c>
      <c r="B17668" s="2" t="str">
        <f>"PERNEIRA SEGURANÇA BIDIM MOD. ESP. VELC/FECH 30ML CA-14750"</f>
        <v>PERNEIRA SEGURANÇA BIDIM MOD. ESP. VELC/FECH 30ML CA-14750</v>
      </c>
      <c r="C17668" s="2" t="str">
        <f>"PR"</f>
        <v>PR</v>
      </c>
      <c r="D17668" s="7">
        <v>501</v>
      </c>
      <c r="E17668" s="3">
        <v>5</v>
      </c>
      <c r="F17668" s="3">
        <v>5</v>
      </c>
      <c r="G17668" t="s">
        <v>512</v>
      </c>
    </row>
    <row r="17669" spans="1:7" x14ac:dyDescent="0.25">
      <c r="A17669" s="1" t="str">
        <f>"515600"</f>
        <v>515600</v>
      </c>
      <c r="B17669" s="2" t="str">
        <f>"PEROXIDASE EM TIRAS (50 TIRAS)"</f>
        <v>PEROXIDASE EM TIRAS (50 TIRAS)</v>
      </c>
      <c r="C17669" s="2" t="str">
        <f>"UN"</f>
        <v>UN</v>
      </c>
      <c r="D17669" s="7">
        <v>406</v>
      </c>
      <c r="E17669" s="3">
        <v>4</v>
      </c>
      <c r="F17669" s="3">
        <v>4</v>
      </c>
      <c r="G17669" t="s">
        <v>516</v>
      </c>
    </row>
    <row r="17670" spans="1:7" x14ac:dyDescent="0.25">
      <c r="A17670" s="1" t="str">
        <f>"133"</f>
        <v>133</v>
      </c>
      <c r="B17670" s="2" t="str">
        <f>"PEROXIDO DE HIDROGENIO - 200 VOLUMES"</f>
        <v>PEROXIDO DE HIDROGENIO - 200 VOLUMES</v>
      </c>
      <c r="C17670" s="2" t="str">
        <f>"LT"</f>
        <v>LT</v>
      </c>
      <c r="D17670" s="7">
        <v>302</v>
      </c>
      <c r="E17670" s="3">
        <v>3</v>
      </c>
      <c r="F17670" s="3">
        <v>3</v>
      </c>
      <c r="G17670" t="s">
        <v>515</v>
      </c>
    </row>
    <row r="17671" spans="1:7" x14ac:dyDescent="0.25">
      <c r="A17671" s="1" t="str">
        <f>"514301"</f>
        <v>514301</v>
      </c>
      <c r="B17671" s="2" t="str">
        <f>"PERSIANA"</f>
        <v>PERSIANA</v>
      </c>
      <c r="C17671" s="2" t="str">
        <f t="shared" ref="C17671:C17703" si="698">"UN"</f>
        <v>UN</v>
      </c>
      <c r="D17671" s="7">
        <v>917</v>
      </c>
      <c r="E17671" s="3">
        <v>11</v>
      </c>
      <c r="F17671" s="3">
        <v>11</v>
      </c>
      <c r="G17671" t="s">
        <v>514</v>
      </c>
    </row>
    <row r="17672" spans="1:7" x14ac:dyDescent="0.25">
      <c r="A17672" s="1" t="str">
        <f>"513309"</f>
        <v>513309</v>
      </c>
      <c r="B17672" s="2" t="str">
        <f>"PERSIANA HORIZONTAL 25MM BRANCO FOSCO"</f>
        <v>PERSIANA HORIZONTAL 25MM BRANCO FOSCO</v>
      </c>
      <c r="C17672" s="2" t="str">
        <f t="shared" si="698"/>
        <v>UN</v>
      </c>
      <c r="D17672" s="7">
        <v>917</v>
      </c>
      <c r="E17672" s="3">
        <v>11</v>
      </c>
      <c r="F17672" s="3">
        <v>11</v>
      </c>
      <c r="G17672" t="s">
        <v>512</v>
      </c>
    </row>
    <row r="17673" spans="1:7" x14ac:dyDescent="0.25">
      <c r="A17673" s="1" t="str">
        <f>"518349"</f>
        <v>518349</v>
      </c>
      <c r="B17673" s="2" t="str">
        <f>"PERSONALIZAÇÃO DE CAMINHÃO BAÚ"</f>
        <v>PERSONALIZAÇÃO DE CAMINHÃO BAÚ</v>
      </c>
      <c r="C17673" s="2" t="str">
        <f t="shared" si="698"/>
        <v>UN</v>
      </c>
      <c r="D17673" s="7">
        <v>704</v>
      </c>
      <c r="E17673" s="3">
        <v>9</v>
      </c>
      <c r="F17673" s="3">
        <v>9</v>
      </c>
      <c r="G17673" t="s">
        <v>513</v>
      </c>
    </row>
    <row r="17674" spans="1:7" x14ac:dyDescent="0.25">
      <c r="A17674" s="1" t="str">
        <f>"509465"</f>
        <v>509465</v>
      </c>
      <c r="B17674" s="2" t="str">
        <f>"PESCADOR"</f>
        <v>PESCADOR</v>
      </c>
      <c r="C17674" s="2" t="str">
        <f t="shared" si="698"/>
        <v>UN</v>
      </c>
      <c r="D17674" s="7">
        <v>704</v>
      </c>
      <c r="E17674" s="3">
        <v>9</v>
      </c>
      <c r="F17674" s="3">
        <v>9</v>
      </c>
      <c r="G17674" t="s">
        <v>514</v>
      </c>
    </row>
    <row r="17675" spans="1:7" x14ac:dyDescent="0.25">
      <c r="A17675" s="1" t="str">
        <f>"527940"</f>
        <v>527940</v>
      </c>
      <c r="B17675" s="2" t="str">
        <f>"PESO CERAMICO UNICO"</f>
        <v>PESO CERAMICO UNICO</v>
      </c>
      <c r="C17675" s="2" t="str">
        <f t="shared" si="698"/>
        <v>UN</v>
      </c>
      <c r="D17675" s="7">
        <v>1500</v>
      </c>
      <c r="E17675" s="3">
        <v>13</v>
      </c>
      <c r="F17675" s="3">
        <v>13</v>
      </c>
      <c r="G17675" t="s">
        <v>514</v>
      </c>
    </row>
    <row r="17676" spans="1:7" x14ac:dyDescent="0.25">
      <c r="A17676" s="1" t="str">
        <f>"520822"</f>
        <v>520822</v>
      </c>
      <c r="B17676" s="2" t="str">
        <f>"PESO CERT. 2KG LATÃO P/ CALIBRAÇÃO DO INSTRUMENTO CAL/2B"</f>
        <v>PESO CERT. 2KG LATÃO P/ CALIBRAÇÃO DO INSTRUMENTO CAL/2B</v>
      </c>
      <c r="C17676" s="2" t="str">
        <f t="shared" si="698"/>
        <v>UN</v>
      </c>
      <c r="D17676" s="7">
        <v>1200</v>
      </c>
      <c r="E17676" s="3">
        <v>13</v>
      </c>
      <c r="F17676" s="3">
        <v>13</v>
      </c>
      <c r="G17676" t="s">
        <v>512</v>
      </c>
    </row>
    <row r="17677" spans="1:7" x14ac:dyDescent="0.25">
      <c r="A17677" s="1" t="str">
        <f>"514320"</f>
        <v>514320</v>
      </c>
      <c r="B17677" s="2" t="str">
        <f>"PESO PADRAO 100G"</f>
        <v>PESO PADRAO 100G</v>
      </c>
      <c r="C17677" s="2" t="str">
        <f t="shared" si="698"/>
        <v>UN</v>
      </c>
      <c r="D17677" s="7">
        <v>406</v>
      </c>
      <c r="E17677" s="3">
        <v>4</v>
      </c>
      <c r="F17677" s="3">
        <v>4</v>
      </c>
      <c r="G17677" t="s">
        <v>513</v>
      </c>
    </row>
    <row r="17678" spans="1:7" x14ac:dyDescent="0.25">
      <c r="A17678" s="1" t="str">
        <f>"514309"</f>
        <v>514309</v>
      </c>
      <c r="B17678" s="2" t="str">
        <f>"PESO PADRAO 100MG"</f>
        <v>PESO PADRAO 100MG</v>
      </c>
      <c r="C17678" s="2" t="str">
        <f t="shared" si="698"/>
        <v>UN</v>
      </c>
      <c r="D17678" s="7">
        <v>406</v>
      </c>
      <c r="E17678" s="3">
        <v>4</v>
      </c>
      <c r="F17678" s="3">
        <v>4</v>
      </c>
      <c r="G17678" t="s">
        <v>514</v>
      </c>
    </row>
    <row r="17679" spans="1:7" x14ac:dyDescent="0.25">
      <c r="A17679" s="1" t="str">
        <f>"514317"</f>
        <v>514317</v>
      </c>
      <c r="B17679" s="2" t="str">
        <f>"PESO PADRAO 10G"</f>
        <v>PESO PADRAO 10G</v>
      </c>
      <c r="C17679" s="2" t="str">
        <f t="shared" si="698"/>
        <v>UN</v>
      </c>
      <c r="D17679" s="7">
        <v>406</v>
      </c>
      <c r="E17679" s="3">
        <v>4</v>
      </c>
      <c r="F17679" s="3">
        <v>4</v>
      </c>
      <c r="G17679" t="s">
        <v>514</v>
      </c>
    </row>
    <row r="17680" spans="1:7" x14ac:dyDescent="0.25">
      <c r="A17680" s="1" t="str">
        <f>"514328"</f>
        <v>514328</v>
      </c>
      <c r="B17680" s="2" t="str">
        <f>"PESO PADRAO 10KG"</f>
        <v>PESO PADRAO 10KG</v>
      </c>
      <c r="C17680" s="2" t="str">
        <f t="shared" si="698"/>
        <v>UN</v>
      </c>
      <c r="D17680" s="7">
        <v>406</v>
      </c>
      <c r="E17680" s="3">
        <v>4</v>
      </c>
      <c r="F17680" s="3">
        <v>4</v>
      </c>
      <c r="G17680" t="s">
        <v>514</v>
      </c>
    </row>
    <row r="17681" spans="1:7" x14ac:dyDescent="0.25">
      <c r="A17681" s="1" t="str">
        <f>"514308"</f>
        <v>514308</v>
      </c>
      <c r="B17681" s="2" t="str">
        <f>"PESO PADRAO 10MG"</f>
        <v>PESO PADRAO 10MG</v>
      </c>
      <c r="C17681" s="2" t="str">
        <f t="shared" si="698"/>
        <v>UN</v>
      </c>
      <c r="D17681" s="7">
        <v>406</v>
      </c>
      <c r="E17681" s="3">
        <v>4</v>
      </c>
      <c r="F17681" s="3">
        <v>4</v>
      </c>
      <c r="G17681" t="s">
        <v>513</v>
      </c>
    </row>
    <row r="17682" spans="1:7" x14ac:dyDescent="0.25">
      <c r="A17682" s="1" t="str">
        <f>"514314"</f>
        <v>514314</v>
      </c>
      <c r="B17682" s="2" t="str">
        <f>"PESO PADRAO 1G"</f>
        <v>PESO PADRAO 1G</v>
      </c>
      <c r="C17682" s="2" t="str">
        <f t="shared" si="698"/>
        <v>UN</v>
      </c>
      <c r="D17682" s="7">
        <v>406</v>
      </c>
      <c r="E17682" s="3">
        <v>4</v>
      </c>
      <c r="F17682" s="3">
        <v>4</v>
      </c>
      <c r="G17682" t="s">
        <v>512</v>
      </c>
    </row>
    <row r="17683" spans="1:7" x14ac:dyDescent="0.25">
      <c r="A17683" s="1" t="str">
        <f>"514325"</f>
        <v>514325</v>
      </c>
      <c r="B17683" s="2" t="str">
        <f>"PESO PADRAO 1KG"</f>
        <v>PESO PADRAO 1KG</v>
      </c>
      <c r="C17683" s="2" t="str">
        <f t="shared" si="698"/>
        <v>UN</v>
      </c>
      <c r="D17683" s="7">
        <v>406</v>
      </c>
      <c r="E17683" s="3">
        <v>4</v>
      </c>
      <c r="F17683" s="3">
        <v>4</v>
      </c>
      <c r="G17683" t="s">
        <v>513</v>
      </c>
    </row>
    <row r="17684" spans="1:7" x14ac:dyDescent="0.25">
      <c r="A17684" s="1" t="str">
        <f>"514307"</f>
        <v>514307</v>
      </c>
      <c r="B17684" s="2" t="str">
        <f>"PESO PADRAO 1MG"</f>
        <v>PESO PADRAO 1MG</v>
      </c>
      <c r="C17684" s="2" t="str">
        <f t="shared" si="698"/>
        <v>UN</v>
      </c>
      <c r="D17684" s="7">
        <v>406</v>
      </c>
      <c r="E17684" s="3">
        <v>4</v>
      </c>
      <c r="F17684" s="3">
        <v>4</v>
      </c>
      <c r="G17684" t="s">
        <v>514</v>
      </c>
    </row>
    <row r="17685" spans="1:7" x14ac:dyDescent="0.25">
      <c r="A17685" s="1" t="str">
        <f>"514321"</f>
        <v>514321</v>
      </c>
      <c r="B17685" s="2" t="str">
        <f>"PESO PADRAO 200G"</f>
        <v>PESO PADRAO 200G</v>
      </c>
      <c r="C17685" s="2" t="str">
        <f t="shared" si="698"/>
        <v>UN</v>
      </c>
      <c r="D17685" s="7">
        <v>406</v>
      </c>
      <c r="E17685" s="3">
        <v>4</v>
      </c>
      <c r="F17685" s="3">
        <v>4</v>
      </c>
      <c r="G17685" t="s">
        <v>514</v>
      </c>
    </row>
    <row r="17686" spans="1:7" x14ac:dyDescent="0.25">
      <c r="A17686" s="1" t="str">
        <f>"514310"</f>
        <v>514310</v>
      </c>
      <c r="B17686" s="2" t="str">
        <f>"PESO PADRAO 200MG"</f>
        <v>PESO PADRAO 200MG</v>
      </c>
      <c r="C17686" s="2" t="str">
        <f t="shared" si="698"/>
        <v>UN</v>
      </c>
      <c r="D17686" s="7">
        <v>406</v>
      </c>
      <c r="E17686" s="3">
        <v>4</v>
      </c>
      <c r="F17686" s="3">
        <v>4</v>
      </c>
      <c r="G17686" t="s">
        <v>514</v>
      </c>
    </row>
    <row r="17687" spans="1:7" x14ac:dyDescent="0.25">
      <c r="A17687" s="1" t="str">
        <f>"514318"</f>
        <v>514318</v>
      </c>
      <c r="B17687" s="2" t="str">
        <f>"PESO PADRAO 20G"</f>
        <v>PESO PADRAO 20G</v>
      </c>
      <c r="C17687" s="2" t="str">
        <f t="shared" si="698"/>
        <v>UN</v>
      </c>
      <c r="D17687" s="7">
        <v>406</v>
      </c>
      <c r="E17687" s="3">
        <v>4</v>
      </c>
      <c r="F17687" s="3">
        <v>4</v>
      </c>
      <c r="G17687" t="s">
        <v>513</v>
      </c>
    </row>
    <row r="17688" spans="1:7" x14ac:dyDescent="0.25">
      <c r="A17688" s="1" t="str">
        <f>"510177"</f>
        <v>510177</v>
      </c>
      <c r="B17688" s="2" t="str">
        <f>"PESO PADRAO 20KG"</f>
        <v>PESO PADRAO 20KG</v>
      </c>
      <c r="C17688" s="2" t="str">
        <f t="shared" si="698"/>
        <v>UN</v>
      </c>
      <c r="D17688" s="7">
        <v>402</v>
      </c>
      <c r="E17688" s="3">
        <v>4</v>
      </c>
      <c r="F17688" s="3">
        <v>4</v>
      </c>
      <c r="G17688" t="s">
        <v>513</v>
      </c>
    </row>
    <row r="17689" spans="1:7" x14ac:dyDescent="0.25">
      <c r="A17689" s="1" t="str">
        <f>"514315"</f>
        <v>514315</v>
      </c>
      <c r="B17689" s="2" t="str">
        <f>"PESO PADRAO 2G"</f>
        <v>PESO PADRAO 2G</v>
      </c>
      <c r="C17689" s="2" t="str">
        <f t="shared" si="698"/>
        <v>UN</v>
      </c>
      <c r="D17689" s="7">
        <v>406</v>
      </c>
      <c r="E17689" s="3">
        <v>4</v>
      </c>
      <c r="F17689" s="3">
        <v>4</v>
      </c>
      <c r="G17689" t="s">
        <v>513</v>
      </c>
    </row>
    <row r="17690" spans="1:7" x14ac:dyDescent="0.25">
      <c r="A17690" s="1" t="str">
        <f>"514324"</f>
        <v>514324</v>
      </c>
      <c r="B17690" s="2" t="str">
        <f>"PESO PADRAO 500G"</f>
        <v>PESO PADRAO 500G</v>
      </c>
      <c r="C17690" s="2" t="str">
        <f t="shared" si="698"/>
        <v>UN</v>
      </c>
      <c r="D17690" s="7">
        <v>406</v>
      </c>
      <c r="E17690" s="3">
        <v>4</v>
      </c>
      <c r="F17690" s="3">
        <v>4</v>
      </c>
      <c r="G17690" t="s">
        <v>512</v>
      </c>
    </row>
    <row r="17691" spans="1:7" x14ac:dyDescent="0.25">
      <c r="A17691" s="1" t="str">
        <f>"514311"</f>
        <v>514311</v>
      </c>
      <c r="B17691" s="2" t="str">
        <f>"PESO PADRAO 500MG"</f>
        <v>PESO PADRAO 500MG</v>
      </c>
      <c r="C17691" s="2" t="str">
        <f t="shared" si="698"/>
        <v>UN</v>
      </c>
      <c r="D17691" s="7">
        <v>406</v>
      </c>
      <c r="E17691" s="3">
        <v>4</v>
      </c>
      <c r="F17691" s="3">
        <v>4</v>
      </c>
      <c r="G17691" t="s">
        <v>513</v>
      </c>
    </row>
    <row r="17692" spans="1:7" x14ac:dyDescent="0.25">
      <c r="A17692" s="1" t="str">
        <f>"514319"</f>
        <v>514319</v>
      </c>
      <c r="B17692" s="2" t="str">
        <f>"PESO PADRAO 50G"</f>
        <v>PESO PADRAO 50G</v>
      </c>
      <c r="C17692" s="2" t="str">
        <f t="shared" si="698"/>
        <v>UN</v>
      </c>
      <c r="D17692" s="7">
        <v>406</v>
      </c>
      <c r="E17692" s="3">
        <v>4</v>
      </c>
      <c r="F17692" s="3">
        <v>4</v>
      </c>
      <c r="G17692" t="s">
        <v>514</v>
      </c>
    </row>
    <row r="17693" spans="1:7" x14ac:dyDescent="0.25">
      <c r="A17693" s="1" t="str">
        <f>"514316"</f>
        <v>514316</v>
      </c>
      <c r="B17693" s="2" t="str">
        <f>"PESO PADRAO 5G"</f>
        <v>PESO PADRAO 5G</v>
      </c>
      <c r="C17693" s="2" t="str">
        <f t="shared" si="698"/>
        <v>UN</v>
      </c>
      <c r="D17693" s="7">
        <v>406</v>
      </c>
      <c r="E17693" s="3">
        <v>4</v>
      </c>
      <c r="F17693" s="3">
        <v>4</v>
      </c>
      <c r="G17693" t="s">
        <v>515</v>
      </c>
    </row>
    <row r="17694" spans="1:7" x14ac:dyDescent="0.25">
      <c r="A17694" s="1" t="str">
        <f>"514327"</f>
        <v>514327</v>
      </c>
      <c r="B17694" s="2" t="str">
        <f>"PESO PADRAO 5KG"</f>
        <v>PESO PADRAO 5KG</v>
      </c>
      <c r="C17694" s="2" t="str">
        <f t="shared" si="698"/>
        <v>UN</v>
      </c>
      <c r="D17694" s="7">
        <v>406</v>
      </c>
      <c r="E17694" s="3">
        <v>4</v>
      </c>
      <c r="F17694" s="3">
        <v>4</v>
      </c>
      <c r="G17694" t="s">
        <v>512</v>
      </c>
    </row>
    <row r="17695" spans="1:7" x14ac:dyDescent="0.25">
      <c r="A17695" s="1" t="str">
        <f>"515703"</f>
        <v>515703</v>
      </c>
      <c r="B17695" s="2" t="str">
        <f>"PESSEGO"</f>
        <v>PESSEGO</v>
      </c>
      <c r="C17695" s="2" t="str">
        <f t="shared" si="698"/>
        <v>UN</v>
      </c>
      <c r="D17695" s="7">
        <v>401</v>
      </c>
      <c r="E17695" s="3">
        <v>4</v>
      </c>
      <c r="F17695" s="3">
        <v>4</v>
      </c>
      <c r="G17695" t="s">
        <v>516</v>
      </c>
    </row>
    <row r="17696" spans="1:7" x14ac:dyDescent="0.25">
      <c r="A17696" s="1" t="str">
        <f>"510869"</f>
        <v>510869</v>
      </c>
      <c r="B17696" s="2" t="str">
        <f>"PESSEGO EM CALDA"</f>
        <v>PESSEGO EM CALDA</v>
      </c>
      <c r="C17696" s="2" t="str">
        <f t="shared" si="698"/>
        <v>UN</v>
      </c>
      <c r="D17696" s="7">
        <v>401</v>
      </c>
      <c r="E17696" s="3">
        <v>4</v>
      </c>
      <c r="F17696" s="3">
        <v>4</v>
      </c>
      <c r="G17696" t="s">
        <v>515</v>
      </c>
    </row>
    <row r="17697" spans="1:7" x14ac:dyDescent="0.25">
      <c r="A17697" s="1" t="str">
        <f>"523289"</f>
        <v>523289</v>
      </c>
      <c r="B17697" s="2" t="str">
        <f>"PESTANA CURTA Ø4"" INOX SCH 10S ASTM A312 TP304"</f>
        <v>PESTANA CURTA Ø4" INOX SCH 10S ASTM A312 TP304</v>
      </c>
      <c r="C17697" s="2" t="str">
        <f t="shared" si="698"/>
        <v>UN</v>
      </c>
      <c r="D17697" s="7">
        <v>915</v>
      </c>
      <c r="E17697" s="3">
        <v>11</v>
      </c>
      <c r="F17697" s="3">
        <v>11</v>
      </c>
      <c r="G17697" t="s">
        <v>514</v>
      </c>
    </row>
    <row r="17698" spans="1:7" x14ac:dyDescent="0.25">
      <c r="A17698" s="1" t="str">
        <f>"523288"</f>
        <v>523288</v>
      </c>
      <c r="B17698" s="2" t="str">
        <f>"PESTANA CURTA Ø6"" INOX SCH 10S ASTM A312 TP304"</f>
        <v>PESTANA CURTA Ø6" INOX SCH 10S ASTM A312 TP304</v>
      </c>
      <c r="C17698" s="2" t="str">
        <f t="shared" si="698"/>
        <v>UN</v>
      </c>
      <c r="D17698" s="7">
        <v>915</v>
      </c>
      <c r="E17698" s="3">
        <v>11</v>
      </c>
      <c r="F17698" s="3">
        <v>11</v>
      </c>
      <c r="G17698" t="s">
        <v>512</v>
      </c>
    </row>
    <row r="17699" spans="1:7" x14ac:dyDescent="0.25">
      <c r="A17699" s="1" t="str">
        <f>"515686"</f>
        <v>515686</v>
      </c>
      <c r="B17699" s="2" t="str">
        <f>"PESTANA INTERNA"</f>
        <v>PESTANA INTERNA</v>
      </c>
      <c r="C17699" s="2" t="str">
        <f t="shared" si="698"/>
        <v>UN</v>
      </c>
      <c r="D17699" s="7">
        <v>704</v>
      </c>
      <c r="E17699" s="3">
        <v>9</v>
      </c>
      <c r="F17699" s="3">
        <v>9</v>
      </c>
      <c r="G17699" t="s">
        <v>513</v>
      </c>
    </row>
    <row r="17700" spans="1:7" x14ac:dyDescent="0.25">
      <c r="A17700" s="1" t="str">
        <f>"519887"</f>
        <v>519887</v>
      </c>
      <c r="B17700" s="2" t="str">
        <f>"PESTANA PORTA CARGO"</f>
        <v>PESTANA PORTA CARGO</v>
      </c>
      <c r="C17700" s="2" t="str">
        <f t="shared" si="698"/>
        <v>UN</v>
      </c>
      <c r="D17700" s="7">
        <v>704</v>
      </c>
      <c r="E17700" s="3">
        <v>9</v>
      </c>
      <c r="F17700" s="3">
        <v>9</v>
      </c>
      <c r="G17700" t="s">
        <v>514</v>
      </c>
    </row>
    <row r="17701" spans="1:7" x14ac:dyDescent="0.25">
      <c r="A17701" s="1" t="str">
        <f>"1694"</f>
        <v>1694</v>
      </c>
      <c r="B17701" s="2" t="str">
        <f>"PET SUIS MOR MAÇ BAN DIA 320G"</f>
        <v>PET SUIS MOR MAÇ BAN DIA 320G</v>
      </c>
      <c r="C17701" s="2" t="str">
        <f t="shared" si="698"/>
        <v>UN</v>
      </c>
      <c r="D17701" s="7">
        <v>24</v>
      </c>
      <c r="E17701" s="3">
        <v>6</v>
      </c>
      <c r="F17701" s="3">
        <v>6</v>
      </c>
      <c r="G17701" t="s">
        <v>514</v>
      </c>
    </row>
    <row r="17702" spans="1:7" x14ac:dyDescent="0.25">
      <c r="A17702" s="1" t="str">
        <f>"1680"</f>
        <v>1680</v>
      </c>
      <c r="B17702" s="2" t="str">
        <f>"PET.SUISSE MORAN.C/8 DIA 320G"</f>
        <v>PET.SUISSE MORAN.C/8 DIA 320G</v>
      </c>
      <c r="C17702" s="2" t="str">
        <f t="shared" si="698"/>
        <v>UN</v>
      </c>
      <c r="D17702" s="7">
        <v>24</v>
      </c>
      <c r="E17702" s="3">
        <v>6</v>
      </c>
      <c r="F17702" s="3">
        <v>6</v>
      </c>
      <c r="G17702" t="s">
        <v>512</v>
      </c>
    </row>
    <row r="17703" spans="1:7" x14ac:dyDescent="0.25">
      <c r="A17703" s="1" t="str">
        <f>"1270"</f>
        <v>1270</v>
      </c>
      <c r="B17703" s="2" t="str">
        <f>"PETIT SUISSE CARREFOUR MOR 320G"</f>
        <v>PETIT SUISSE CARREFOUR MOR 320G</v>
      </c>
      <c r="C17703" s="2" t="str">
        <f t="shared" si="698"/>
        <v>UN</v>
      </c>
      <c r="D17703" s="7">
        <v>24</v>
      </c>
      <c r="E17703" s="3">
        <v>6</v>
      </c>
      <c r="F17703" s="3">
        <v>6</v>
      </c>
      <c r="G17703" t="s">
        <v>513</v>
      </c>
    </row>
    <row r="17704" spans="1:7" x14ac:dyDescent="0.25">
      <c r="A17704" s="1" t="str">
        <f>"99"</f>
        <v>99</v>
      </c>
      <c r="B17704" s="2" t="str">
        <f>"PETIT SUISSE CHOCOLATE"</f>
        <v>PETIT SUISSE CHOCOLATE</v>
      </c>
      <c r="C17704" s="2" t="str">
        <f>"KG"</f>
        <v>KG</v>
      </c>
      <c r="D17704" s="7">
        <v>1900</v>
      </c>
      <c r="E17704" s="3">
        <v>7</v>
      </c>
      <c r="F17704" s="3">
        <v>7</v>
      </c>
      <c r="G17704" t="s">
        <v>514</v>
      </c>
    </row>
    <row r="17705" spans="1:7" x14ac:dyDescent="0.25">
      <c r="A17705" s="1" t="str">
        <f>"63"</f>
        <v>63</v>
      </c>
      <c r="B17705" s="2" t="str">
        <f>"PETIT SUISSE MACA E BANANA - BANDEJA"</f>
        <v>PETIT SUISSE MACA E BANANA - BANDEJA</v>
      </c>
      <c r="C17705" s="2" t="str">
        <f>"KG"</f>
        <v>KG</v>
      </c>
      <c r="D17705" s="7">
        <v>1900</v>
      </c>
      <c r="E17705" s="3">
        <v>7</v>
      </c>
      <c r="F17705" s="3">
        <v>7</v>
      </c>
      <c r="G17705" t="s">
        <v>514</v>
      </c>
    </row>
    <row r="17706" spans="1:7" x14ac:dyDescent="0.25">
      <c r="A17706" s="1" t="str">
        <f>"52"</f>
        <v>52</v>
      </c>
      <c r="B17706" s="2" t="str">
        <f>"PETIT SUISSE MORANGO - BANDEJA"</f>
        <v>PETIT SUISSE MORANGO - BANDEJA</v>
      </c>
      <c r="C17706" s="2" t="str">
        <f>"KG"</f>
        <v>KG</v>
      </c>
      <c r="D17706" s="7">
        <v>1900</v>
      </c>
      <c r="E17706" s="3">
        <v>7</v>
      </c>
      <c r="F17706" s="3">
        <v>7</v>
      </c>
      <c r="G17706" t="s">
        <v>514</v>
      </c>
    </row>
    <row r="17707" spans="1:7" x14ac:dyDescent="0.25">
      <c r="A17707" s="1" t="str">
        <f>"399"</f>
        <v>399</v>
      </c>
      <c r="B17707" s="2" t="str">
        <f>"PETIT SUISSE MORANGO BANDEJA CAROLINA 320G"</f>
        <v>PETIT SUISSE MORANGO BANDEJA CAROLINA 320G</v>
      </c>
      <c r="C17707" s="2" t="str">
        <f>"UN"</f>
        <v>UN</v>
      </c>
      <c r="D17707" s="7">
        <v>24</v>
      </c>
      <c r="E17707" s="3">
        <v>6</v>
      </c>
      <c r="F17707" s="3">
        <v>6</v>
      </c>
      <c r="G17707" t="s">
        <v>513</v>
      </c>
    </row>
    <row r="17708" spans="1:7" x14ac:dyDescent="0.25">
      <c r="A17708" s="1" t="str">
        <f>"1634"</f>
        <v>1634</v>
      </c>
      <c r="B17708" s="2" t="str">
        <f>"PETIT SUISSE MORANGO MACA E BANANA BANDEJA CAROLINA 320G"</f>
        <v>PETIT SUISSE MORANGO MACA E BANANA BANDEJA CAROLINA 320G</v>
      </c>
      <c r="C17708" s="2" t="str">
        <f>"UN"</f>
        <v>UN</v>
      </c>
      <c r="D17708" s="7">
        <v>24</v>
      </c>
      <c r="E17708" s="3">
        <v>6</v>
      </c>
      <c r="F17708" s="3">
        <v>6</v>
      </c>
      <c r="G17708" t="s">
        <v>512</v>
      </c>
    </row>
    <row r="17709" spans="1:7" x14ac:dyDescent="0.25">
      <c r="A17709" s="1" t="str">
        <f>"4103"</f>
        <v>4103</v>
      </c>
      <c r="B17709" s="2" t="str">
        <f>"PETIT SUISSE UVA- BANDEJA"</f>
        <v>PETIT SUISSE UVA- BANDEJA</v>
      </c>
      <c r="C17709" s="2" t="str">
        <f>"KG"</f>
        <v>KG</v>
      </c>
      <c r="D17709" s="7">
        <v>1900</v>
      </c>
      <c r="E17709" s="3">
        <v>7</v>
      </c>
      <c r="F17709" s="3">
        <v>7</v>
      </c>
      <c r="G17709" t="s">
        <v>513</v>
      </c>
    </row>
    <row r="17710" spans="1:7" x14ac:dyDescent="0.25">
      <c r="A17710" s="1" t="str">
        <f>"4010"</f>
        <v>4010</v>
      </c>
      <c r="B17710" s="2" t="str">
        <f>"PETIT SUISSE UVA BANDEJA CAROLINA 320G"</f>
        <v>PETIT SUISSE UVA BANDEJA CAROLINA 320G</v>
      </c>
      <c r="C17710" s="2" t="str">
        <f t="shared" ref="C17710:C17737" si="699">"UN"</f>
        <v>UN</v>
      </c>
      <c r="D17710" s="7">
        <v>24</v>
      </c>
      <c r="E17710" s="3">
        <v>6</v>
      </c>
      <c r="F17710" s="3">
        <v>6</v>
      </c>
      <c r="G17710" t="s">
        <v>514</v>
      </c>
    </row>
    <row r="17711" spans="1:7" x14ac:dyDescent="0.25">
      <c r="A17711" s="1" t="str">
        <f>"514549"</f>
        <v>514549</v>
      </c>
      <c r="B17711" s="2" t="str">
        <f>"PETRIFILM AERÓBIOS MESÓFILOS AC 6406 (CAIXA COM 1.000 UNID.)"</f>
        <v>PETRIFILM AERÓBIOS MESÓFILOS AC 6406 (CAIXA COM 1.000 UNID.)</v>
      </c>
      <c r="C17711" s="2" t="str">
        <f t="shared" si="699"/>
        <v>UN</v>
      </c>
      <c r="D17711" s="7">
        <v>406</v>
      </c>
      <c r="E17711" s="3">
        <v>4</v>
      </c>
      <c r="F17711" s="3">
        <v>4</v>
      </c>
      <c r="G17711" t="s">
        <v>514</v>
      </c>
    </row>
    <row r="17712" spans="1:7" x14ac:dyDescent="0.25">
      <c r="A17712" s="1" t="str">
        <f>"520640"</f>
        <v>520640</v>
      </c>
      <c r="B17712" s="2" t="str">
        <f>"PETRIFILM COLIF. TOTAIS E TERMOTOL/FECAIS CC6416 (CX 1000 U)"</f>
        <v>PETRIFILM COLIF. TOTAIS E TERMOTOL/FECAIS CC6416 (CX 1000 U)</v>
      </c>
      <c r="C17712" s="2" t="str">
        <f t="shared" si="699"/>
        <v>UN</v>
      </c>
      <c r="D17712" s="7">
        <v>406</v>
      </c>
      <c r="E17712" s="3">
        <v>4</v>
      </c>
      <c r="F17712" s="3">
        <v>4</v>
      </c>
      <c r="G17712" t="s">
        <v>514</v>
      </c>
    </row>
    <row r="17713" spans="1:7" x14ac:dyDescent="0.25">
      <c r="A17713" s="1" t="str">
        <f>"520974"</f>
        <v>520974</v>
      </c>
      <c r="B17713" s="2" t="str">
        <f>"PETRIFILM COLIFORMES TOTAIS E E. COLI EC 6414 (CX 500 UND)"</f>
        <v>PETRIFILM COLIFORMES TOTAIS E E. COLI EC 6414 (CX 500 UND)</v>
      </c>
      <c r="C17713" s="2" t="str">
        <f t="shared" si="699"/>
        <v>UN</v>
      </c>
      <c r="D17713" s="7">
        <v>406</v>
      </c>
      <c r="E17713" s="3">
        <v>4</v>
      </c>
      <c r="F17713" s="3">
        <v>4</v>
      </c>
      <c r="G17713" t="s">
        <v>513</v>
      </c>
    </row>
    <row r="17714" spans="1:7" x14ac:dyDescent="0.25">
      <c r="A17714" s="1" t="str">
        <f>"520629"</f>
        <v>520629</v>
      </c>
      <c r="B17714" s="2" t="str">
        <f>"PETRIFILM CONTAGEM RÁP BOLORES E LEVED. YM 6477 (CX 500 UN)"</f>
        <v>PETRIFILM CONTAGEM RÁP BOLORES E LEVED. YM 6477 (CX 500 UN)</v>
      </c>
      <c r="C17714" s="2" t="str">
        <f t="shared" si="699"/>
        <v>UN</v>
      </c>
      <c r="D17714" s="7">
        <v>406</v>
      </c>
      <c r="E17714" s="3">
        <v>4</v>
      </c>
      <c r="F17714" s="3">
        <v>4</v>
      </c>
      <c r="G17714" t="s">
        <v>513</v>
      </c>
    </row>
    <row r="17715" spans="1:7" x14ac:dyDescent="0.25">
      <c r="A17715" s="1" t="str">
        <f>"523173"</f>
        <v>523173</v>
      </c>
      <c r="B17715" s="2" t="str">
        <f>"PETRIFILM P/ BACTÉRIAS ÁCIDO LÁCTICAS 6462 (CAIXA C/ 500 UN)"</f>
        <v>PETRIFILM P/ BACTÉRIAS ÁCIDO LÁCTICAS 6462 (CAIXA C/ 500 UN)</v>
      </c>
      <c r="C17715" s="2" t="str">
        <f t="shared" si="699"/>
        <v>UN</v>
      </c>
      <c r="D17715" s="7">
        <v>406</v>
      </c>
      <c r="E17715" s="3">
        <v>4</v>
      </c>
      <c r="F17715" s="3">
        <v>4</v>
      </c>
      <c r="G17715" t="s">
        <v>513</v>
      </c>
    </row>
    <row r="17716" spans="1:7" x14ac:dyDescent="0.25">
      <c r="A17716" s="1" t="str">
        <f>"520719"</f>
        <v>520719</v>
      </c>
      <c r="B17716" s="2" t="str">
        <f>"PETRIFILM P/ STAPHYLOCOCCUS AUREUS"</f>
        <v>PETRIFILM P/ STAPHYLOCOCCUS AUREUS</v>
      </c>
      <c r="C17716" s="2" t="str">
        <f t="shared" si="699"/>
        <v>UN</v>
      </c>
      <c r="D17716" s="7">
        <v>406</v>
      </c>
      <c r="E17716" s="3">
        <v>4</v>
      </c>
      <c r="F17716" s="3">
        <v>4</v>
      </c>
      <c r="G17716" t="s">
        <v>512</v>
      </c>
    </row>
    <row r="17717" spans="1:7" x14ac:dyDescent="0.25">
      <c r="A17717" s="1" t="str">
        <f>"520608"</f>
        <v>520608</v>
      </c>
      <c r="B17717" s="2" t="str">
        <f>"PETRIFILM SALMONELA CX 50 UNID 6536"</f>
        <v>PETRIFILM SALMONELA CX 50 UNID 6536</v>
      </c>
      <c r="C17717" s="2" t="str">
        <f t="shared" si="699"/>
        <v>UN</v>
      </c>
      <c r="D17717" s="7">
        <v>406</v>
      </c>
      <c r="E17717" s="3">
        <v>4</v>
      </c>
      <c r="F17717" s="3">
        <v>4</v>
      </c>
      <c r="G17717" t="s">
        <v>513</v>
      </c>
    </row>
    <row r="17718" spans="1:7" x14ac:dyDescent="0.25">
      <c r="A17718" s="1" t="str">
        <f>"509494"</f>
        <v>509494</v>
      </c>
      <c r="B17718" s="2" t="str">
        <f>"PF AL CC 8X35 M GALV 45207903"</f>
        <v>PF AL CC 8X35 M GALV 45207903</v>
      </c>
      <c r="C17718" s="2" t="str">
        <f t="shared" si="699"/>
        <v>UN</v>
      </c>
      <c r="D17718" s="7">
        <v>918</v>
      </c>
      <c r="E17718" s="3">
        <v>11</v>
      </c>
      <c r="F17718" s="3">
        <v>11</v>
      </c>
      <c r="G17718" t="s">
        <v>514</v>
      </c>
    </row>
    <row r="17719" spans="1:7" x14ac:dyDescent="0.25">
      <c r="A17719" s="1" t="str">
        <f>"509723"</f>
        <v>509723</v>
      </c>
      <c r="B17719" s="2" t="str">
        <f>"PF MAD CH FDA RETA ZN 4.2 X 30"</f>
        <v>PF MAD CH FDA RETA ZN 4.2 X 30</v>
      </c>
      <c r="C17719" s="2" t="str">
        <f t="shared" si="699"/>
        <v>UN</v>
      </c>
      <c r="D17719" s="7">
        <v>918</v>
      </c>
      <c r="E17719" s="3">
        <v>11</v>
      </c>
      <c r="F17719" s="3">
        <v>11</v>
      </c>
      <c r="G17719" t="s">
        <v>515</v>
      </c>
    </row>
    <row r="17720" spans="1:7" x14ac:dyDescent="0.25">
      <c r="A17720" s="1" t="str">
        <f>"518417"</f>
        <v>518417</v>
      </c>
      <c r="B17720" s="2" t="str">
        <f>"PF MAD RP PH CH BC 1/4 X 65MM"</f>
        <v>PF MAD RP PH CH BC 1/4 X 65MM</v>
      </c>
      <c r="C17720" s="2" t="str">
        <f t="shared" si="699"/>
        <v>UN</v>
      </c>
      <c r="D17720" s="7">
        <v>99999</v>
      </c>
      <c r="E17720" s="3">
        <v>99</v>
      </c>
      <c r="F17720" s="3">
        <v>99</v>
      </c>
      <c r="G17720" t="s">
        <v>512</v>
      </c>
    </row>
    <row r="17721" spans="1:7" x14ac:dyDescent="0.25">
      <c r="A17721" s="1" t="str">
        <f>"518733"</f>
        <v>518733</v>
      </c>
      <c r="B17721" s="2" t="str">
        <f>"PF MAD RP PH CH BC 4,0 X 30MM"</f>
        <v>PF MAD RP PH CH BC 4,0 X 30MM</v>
      </c>
      <c r="C17721" s="2" t="str">
        <f t="shared" si="699"/>
        <v>UN</v>
      </c>
      <c r="D17721" s="7">
        <v>99999</v>
      </c>
      <c r="E17721" s="3">
        <v>99</v>
      </c>
      <c r="F17721" s="3">
        <v>99</v>
      </c>
      <c r="G17721" t="s">
        <v>516</v>
      </c>
    </row>
    <row r="17722" spans="1:7" x14ac:dyDescent="0.25">
      <c r="A17722" s="1" t="str">
        <f>"509322"</f>
        <v>509322</v>
      </c>
      <c r="B17722" s="2" t="str">
        <f>"PF MAD RP PH CH BC 4,5 X 45MM"</f>
        <v>PF MAD RP PH CH BC 4,5 X 45MM</v>
      </c>
      <c r="C17722" s="2" t="str">
        <f t="shared" si="699"/>
        <v>UN</v>
      </c>
      <c r="D17722" s="7">
        <v>99999</v>
      </c>
      <c r="E17722" s="3">
        <v>99</v>
      </c>
      <c r="F17722" s="3">
        <v>99</v>
      </c>
      <c r="G17722" t="s">
        <v>515</v>
      </c>
    </row>
    <row r="17723" spans="1:7" x14ac:dyDescent="0.25">
      <c r="A17723" s="1" t="str">
        <f>"518636"</f>
        <v>518636</v>
      </c>
      <c r="B17723" s="2" t="str">
        <f>"PF MAD RP PH CH BC 5,0 X 60MM"</f>
        <v>PF MAD RP PH CH BC 5,0 X 60MM</v>
      </c>
      <c r="C17723" s="2" t="str">
        <f t="shared" si="699"/>
        <v>UN</v>
      </c>
      <c r="D17723" s="7">
        <v>99999</v>
      </c>
      <c r="E17723" s="3">
        <v>99</v>
      </c>
      <c r="F17723" s="3">
        <v>99</v>
      </c>
      <c r="G17723" t="s">
        <v>514</v>
      </c>
    </row>
    <row r="17724" spans="1:7" x14ac:dyDescent="0.25">
      <c r="A17724" s="1" t="str">
        <f>"514778"</f>
        <v>514778</v>
      </c>
      <c r="B17724" s="2" t="str">
        <f>"PG PARA ACABAMENTO"</f>
        <v>PG PARA ACABAMENTO</v>
      </c>
      <c r="C17724" s="2" t="str">
        <f t="shared" si="699"/>
        <v>UN</v>
      </c>
      <c r="D17724" s="7">
        <v>408</v>
      </c>
      <c r="E17724" s="3">
        <v>10</v>
      </c>
      <c r="F17724" s="3">
        <v>10</v>
      </c>
      <c r="G17724" t="s">
        <v>512</v>
      </c>
    </row>
    <row r="17725" spans="1:7" x14ac:dyDescent="0.25">
      <c r="A17725" s="1" t="str">
        <f>"512904"</f>
        <v>512904</v>
      </c>
      <c r="B17725" s="2" t="str">
        <f>"PHMETRO BANC MV/TEMP -2,0 A 16,0 PH 110V (CALIBRADO)"</f>
        <v>PHMETRO BANC MV/TEMP -2,0 A 16,0 PH 110V (CALIBRADO)</v>
      </c>
      <c r="C17725" s="2" t="str">
        <f t="shared" si="699"/>
        <v>UN</v>
      </c>
      <c r="D17725" s="7">
        <v>406</v>
      </c>
      <c r="E17725" s="3">
        <v>13</v>
      </c>
      <c r="F17725" s="3">
        <v>13</v>
      </c>
      <c r="G17725" t="s">
        <v>513</v>
      </c>
    </row>
    <row r="17726" spans="1:7" x14ac:dyDescent="0.25">
      <c r="A17726" s="1" t="str">
        <f>"526326"</f>
        <v>526326</v>
      </c>
      <c r="B17726" s="2" t="str">
        <f>"PHMETRO BOLSO AK90"</f>
        <v>PHMETRO BOLSO AK90</v>
      </c>
      <c r="C17726" s="2" t="str">
        <f t="shared" si="699"/>
        <v>UN</v>
      </c>
      <c r="D17726" s="7">
        <v>406</v>
      </c>
      <c r="E17726" s="3">
        <v>4</v>
      </c>
      <c r="F17726" s="3">
        <v>4</v>
      </c>
      <c r="G17726" t="s">
        <v>514</v>
      </c>
    </row>
    <row r="17727" spans="1:7" x14ac:dyDescent="0.25">
      <c r="A17727" s="1" t="str">
        <f>"523757"</f>
        <v>523757</v>
      </c>
      <c r="B17727" s="2" t="str">
        <f>"PHMETRO BOLSO PHEP HI98107"</f>
        <v>PHMETRO BOLSO PHEP HI98107</v>
      </c>
      <c r="C17727" s="2" t="str">
        <f t="shared" si="699"/>
        <v>UN</v>
      </c>
      <c r="D17727" s="7">
        <v>406</v>
      </c>
      <c r="E17727" s="3">
        <v>4</v>
      </c>
      <c r="F17727" s="3">
        <v>4</v>
      </c>
      <c r="G17727" t="s">
        <v>514</v>
      </c>
    </row>
    <row r="17728" spans="1:7" x14ac:dyDescent="0.25">
      <c r="A17728" s="1" t="str">
        <f>"519245"</f>
        <v>519245</v>
      </c>
      <c r="B17728" s="2" t="str">
        <f>"PHMETRO DE BANCADA C/ ELETRODO ST2100 OHAUS"</f>
        <v>PHMETRO DE BANCADA C/ ELETRODO ST2100 OHAUS</v>
      </c>
      <c r="C17728" s="2" t="str">
        <f t="shared" si="699"/>
        <v>UN</v>
      </c>
      <c r="D17728" s="7">
        <v>406</v>
      </c>
      <c r="E17728" s="3">
        <v>4</v>
      </c>
      <c r="F17728" s="3">
        <v>4</v>
      </c>
      <c r="G17728" t="s">
        <v>512</v>
      </c>
    </row>
    <row r="17729" spans="1:7" x14ac:dyDescent="0.25">
      <c r="A17729" s="1" t="str">
        <f>"514975"</f>
        <v>514975</v>
      </c>
      <c r="B17729" s="2" t="str">
        <f>"PHMETRO DE BANCADA PG 1800"</f>
        <v>PHMETRO DE BANCADA PG 1800</v>
      </c>
      <c r="C17729" s="2" t="str">
        <f t="shared" si="699"/>
        <v>UN</v>
      </c>
      <c r="D17729" s="7">
        <v>406</v>
      </c>
      <c r="E17729" s="3">
        <v>4</v>
      </c>
      <c r="F17729" s="3">
        <v>4</v>
      </c>
      <c r="G17729" t="s">
        <v>513</v>
      </c>
    </row>
    <row r="17730" spans="1:7" x14ac:dyDescent="0.25">
      <c r="A17730" s="1" t="str">
        <f>"519740"</f>
        <v>519740</v>
      </c>
      <c r="B17730" s="2" t="str">
        <f>"PHMETRO PORTATIL C/ ELETRODO SENSOR DE TEMPERATURA"</f>
        <v>PHMETRO PORTATIL C/ ELETRODO SENSOR DE TEMPERATURA</v>
      </c>
      <c r="C17730" s="2" t="str">
        <f t="shared" si="699"/>
        <v>UN</v>
      </c>
      <c r="D17730" s="7">
        <v>406</v>
      </c>
      <c r="E17730" s="3">
        <v>4</v>
      </c>
      <c r="F17730" s="3">
        <v>4</v>
      </c>
      <c r="G17730" t="s">
        <v>514</v>
      </c>
    </row>
    <row r="17731" spans="1:7" x14ac:dyDescent="0.25">
      <c r="A17731" s="1" t="str">
        <f>"520818"</f>
        <v>520818</v>
      </c>
      <c r="B17731" s="2" t="str">
        <f>"PHMETRO PORTATIL DE TEMP DIGITAL P/ LACTEOS C/ ELET. FC202D"</f>
        <v>PHMETRO PORTATIL DE TEMP DIGITAL P/ LACTEOS C/ ELET. FC202D</v>
      </c>
      <c r="C17731" s="2" t="str">
        <f t="shared" si="699"/>
        <v>UN</v>
      </c>
      <c r="D17731" s="7">
        <v>406</v>
      </c>
      <c r="E17731" s="3">
        <v>13</v>
      </c>
      <c r="F17731" s="3">
        <v>13</v>
      </c>
      <c r="G17731" t="s">
        <v>514</v>
      </c>
    </row>
    <row r="17732" spans="1:7" x14ac:dyDescent="0.25">
      <c r="A17732" s="1" t="str">
        <f>"515342"</f>
        <v>515342</v>
      </c>
      <c r="B17732" s="2" t="str">
        <f>"PIA DE COZINHA 70X1 C/ BALCAO DE MADEIRA"</f>
        <v>PIA DE COZINHA 70X1 C/ BALCAO DE MADEIRA</v>
      </c>
      <c r="C17732" s="2" t="str">
        <f t="shared" si="699"/>
        <v>UN</v>
      </c>
      <c r="D17732" s="7">
        <v>900</v>
      </c>
      <c r="E17732" s="3">
        <v>4</v>
      </c>
      <c r="F17732" s="3">
        <v>4</v>
      </c>
      <c r="G17732" t="s">
        <v>514</v>
      </c>
    </row>
    <row r="17733" spans="1:7" x14ac:dyDescent="0.25">
      <c r="A17733" s="1" t="str">
        <f>"525393"</f>
        <v>525393</v>
      </c>
      <c r="B17733" s="2" t="str">
        <f>"PIA DE GRANITO 2,02 X 60"</f>
        <v>PIA DE GRANITO 2,02 X 60</v>
      </c>
      <c r="C17733" s="2" t="str">
        <f t="shared" si="699"/>
        <v>UN</v>
      </c>
      <c r="D17733" s="7">
        <v>99999</v>
      </c>
      <c r="E17733" s="3">
        <v>99</v>
      </c>
      <c r="F17733" s="3">
        <v>99</v>
      </c>
      <c r="G17733" t="s">
        <v>513</v>
      </c>
    </row>
    <row r="17734" spans="1:7" x14ac:dyDescent="0.25">
      <c r="A17734" s="1" t="str">
        <f>"514758"</f>
        <v>514758</v>
      </c>
      <c r="B17734" s="2" t="str">
        <f>"PIA INOX 1,2M"</f>
        <v>PIA INOX 1,2M</v>
      </c>
      <c r="C17734" s="2" t="str">
        <f t="shared" si="699"/>
        <v>UN</v>
      </c>
      <c r="D17734" s="7">
        <v>803</v>
      </c>
      <c r="E17734" s="3">
        <v>10</v>
      </c>
      <c r="F17734" s="3">
        <v>10</v>
      </c>
      <c r="G17734" t="s">
        <v>512</v>
      </c>
    </row>
    <row r="17735" spans="1:7" x14ac:dyDescent="0.25">
      <c r="A17735" s="1" t="str">
        <f>"525329"</f>
        <v>525329</v>
      </c>
      <c r="B17735" s="2" t="str">
        <f>"PIA/LAVATÓRIO INOX 1,5MT LARGURA 2 BICAS C/ ACINADOR PEDAL"</f>
        <v>PIA/LAVATÓRIO INOX 1,5MT LARGURA 2 BICAS C/ ACINADOR PEDAL</v>
      </c>
      <c r="C17735" s="2" t="str">
        <f t="shared" si="699"/>
        <v>UN</v>
      </c>
      <c r="D17735" s="7">
        <v>99999</v>
      </c>
      <c r="E17735" s="3">
        <v>10</v>
      </c>
      <c r="F17735" s="3">
        <v>10</v>
      </c>
      <c r="G17735" t="s">
        <v>513</v>
      </c>
    </row>
    <row r="17736" spans="1:7" x14ac:dyDescent="0.25">
      <c r="A17736" s="1" t="str">
        <f>"509645"</f>
        <v>509645</v>
      </c>
      <c r="B17736" s="2" t="str">
        <f>"PICANHEIRA ALUMINIO FORTE"</f>
        <v>PICANHEIRA ALUMINIO FORTE</v>
      </c>
      <c r="C17736" s="2" t="str">
        <f t="shared" si="699"/>
        <v>UN</v>
      </c>
      <c r="D17736" s="7">
        <v>401</v>
      </c>
      <c r="E17736" s="3">
        <v>4</v>
      </c>
      <c r="F17736" s="3">
        <v>4</v>
      </c>
      <c r="G17736" t="s">
        <v>514</v>
      </c>
    </row>
    <row r="17737" spans="1:7" x14ac:dyDescent="0.25">
      <c r="A17737" s="1" t="str">
        <f>"514509"</f>
        <v>514509</v>
      </c>
      <c r="B17737" s="2" t="str">
        <f>"PICARETA ESTREITA"</f>
        <v>PICARETA ESTREITA</v>
      </c>
      <c r="C17737" s="2" t="str">
        <f t="shared" si="699"/>
        <v>UN</v>
      </c>
      <c r="D17737" s="7">
        <v>817</v>
      </c>
      <c r="E17737" s="3">
        <v>4</v>
      </c>
      <c r="F17737" s="3">
        <v>4</v>
      </c>
      <c r="G17737" t="s">
        <v>514</v>
      </c>
    </row>
    <row r="17738" spans="1:7" x14ac:dyDescent="0.25">
      <c r="A17738" s="1" t="str">
        <f>"6292"</f>
        <v>6292</v>
      </c>
      <c r="B17738" s="2" t="str">
        <f>"PIGMENTO BL12068 - CROMEX"</f>
        <v>PIGMENTO BL12068 - CROMEX</v>
      </c>
      <c r="C17738" s="2" t="str">
        <f>"KG"</f>
        <v>KG</v>
      </c>
      <c r="D17738" s="7">
        <v>111</v>
      </c>
      <c r="E17738" s="3">
        <v>1</v>
      </c>
      <c r="F17738" s="3">
        <v>1</v>
      </c>
      <c r="G17738" t="s">
        <v>514</v>
      </c>
    </row>
    <row r="17739" spans="1:7" x14ac:dyDescent="0.25">
      <c r="A17739" s="1" t="str">
        <f>"6301"</f>
        <v>6301</v>
      </c>
      <c r="B17739" s="2" t="str">
        <f>"PIGMENTO BRANCO 1000/6025 - KARINA"</f>
        <v>PIGMENTO BRANCO 1000/6025 - KARINA</v>
      </c>
      <c r="C17739" s="2" t="str">
        <f>"KG"</f>
        <v>KG</v>
      </c>
      <c r="D17739" s="7">
        <v>111</v>
      </c>
      <c r="E17739" s="3">
        <v>1</v>
      </c>
      <c r="F17739" s="3">
        <v>1</v>
      </c>
      <c r="G17739" t="s">
        <v>513</v>
      </c>
    </row>
    <row r="17740" spans="1:7" x14ac:dyDescent="0.25">
      <c r="A17740" s="1" t="str">
        <f>"506982"</f>
        <v>506982</v>
      </c>
      <c r="B17740" s="2" t="str">
        <f>"PIGMENTO CINZA MEDIO"</f>
        <v>PIGMENTO CINZA MEDIO</v>
      </c>
      <c r="C17740" s="2" t="str">
        <f t="shared" ref="C17740:C17771" si="700">"UN"</f>
        <v>UN</v>
      </c>
      <c r="D17740" s="7">
        <v>704</v>
      </c>
      <c r="E17740" s="3">
        <v>9</v>
      </c>
      <c r="F17740" s="3">
        <v>9</v>
      </c>
      <c r="G17740" t="s">
        <v>513</v>
      </c>
    </row>
    <row r="17741" spans="1:7" x14ac:dyDescent="0.25">
      <c r="A17741" s="1" t="str">
        <f>"525000"</f>
        <v>525000</v>
      </c>
      <c r="B17741" s="2" t="str">
        <f>"PILAR DE SUSTENTAÇÃO"</f>
        <v>PILAR DE SUSTENTAÇÃO</v>
      </c>
      <c r="C17741" s="2" t="str">
        <f t="shared" si="700"/>
        <v>UN</v>
      </c>
      <c r="D17741" s="7">
        <v>803</v>
      </c>
      <c r="E17741" s="3">
        <v>10</v>
      </c>
      <c r="F17741" s="3">
        <v>10</v>
      </c>
      <c r="G17741" t="s">
        <v>513</v>
      </c>
    </row>
    <row r="17742" spans="1:7" x14ac:dyDescent="0.25">
      <c r="A17742" s="1" t="str">
        <f>"573793"</f>
        <v>573793</v>
      </c>
      <c r="B17742" s="2" t="str">
        <f>"PILAR METALICO EM VIGA I"</f>
        <v>PILAR METALICO EM VIGA I</v>
      </c>
      <c r="C17742" s="2" t="str">
        <f t="shared" si="700"/>
        <v>UN</v>
      </c>
      <c r="D17742" s="7">
        <v>917</v>
      </c>
      <c r="E17742" s="3">
        <v>10</v>
      </c>
      <c r="F17742" s="3">
        <v>10</v>
      </c>
      <c r="G17742" t="s">
        <v>512</v>
      </c>
    </row>
    <row r="17743" spans="1:7" x14ac:dyDescent="0.25">
      <c r="A17743" s="1" t="str">
        <f>"527726"</f>
        <v>527726</v>
      </c>
      <c r="B17743" s="2" t="str">
        <f>"PILHA (BATERIA) 3,6V ER-14250-1/2 AA 1200MA (CLP IMSB)"</f>
        <v>PILHA (BATERIA) 3,6V ER-14250-1/2 AA 1200MA (CLP IMSB)</v>
      </c>
      <c r="C17743" s="2" t="str">
        <f t="shared" si="700"/>
        <v>UN</v>
      </c>
      <c r="D17743" s="7">
        <v>900</v>
      </c>
      <c r="E17743" s="3">
        <v>11</v>
      </c>
      <c r="F17743" s="3">
        <v>11</v>
      </c>
      <c r="G17743" t="s">
        <v>513</v>
      </c>
    </row>
    <row r="17744" spans="1:7" x14ac:dyDescent="0.25">
      <c r="A17744" s="1" t="str">
        <f>"513762"</f>
        <v>513762</v>
      </c>
      <c r="B17744" s="2" t="str">
        <f>"PILHA AA - ALCALINA"</f>
        <v>PILHA AA - ALCALINA</v>
      </c>
      <c r="C17744" s="2" t="str">
        <f t="shared" si="700"/>
        <v>UN</v>
      </c>
      <c r="D17744" s="7">
        <v>99999</v>
      </c>
      <c r="E17744" s="3">
        <v>10</v>
      </c>
      <c r="F17744" s="3">
        <v>10</v>
      </c>
      <c r="G17744" t="s">
        <v>514</v>
      </c>
    </row>
    <row r="17745" spans="1:7" x14ac:dyDescent="0.25">
      <c r="A17745" s="1" t="str">
        <f>"522764"</f>
        <v>522764</v>
      </c>
      <c r="B17745" s="2" t="str">
        <f>"PILHA AAAA"</f>
        <v>PILHA AAAA</v>
      </c>
      <c r="C17745" s="2" t="str">
        <f t="shared" si="700"/>
        <v>UN</v>
      </c>
      <c r="D17745" s="7">
        <v>99999</v>
      </c>
      <c r="E17745" s="3">
        <v>10</v>
      </c>
      <c r="F17745" s="3">
        <v>10</v>
      </c>
      <c r="G17745" t="s">
        <v>515</v>
      </c>
    </row>
    <row r="17746" spans="1:7" x14ac:dyDescent="0.25">
      <c r="A17746" s="1" t="str">
        <f>"513614"</f>
        <v>513614</v>
      </c>
      <c r="B17746" s="2" t="str">
        <f>"PILHA ALCALINA LR44"</f>
        <v>PILHA ALCALINA LR44</v>
      </c>
      <c r="C17746" s="2" t="str">
        <f t="shared" si="700"/>
        <v>UN</v>
      </c>
      <c r="D17746" s="7">
        <v>401</v>
      </c>
      <c r="E17746" s="3">
        <v>4</v>
      </c>
      <c r="F17746" s="3">
        <v>4</v>
      </c>
      <c r="G17746" t="s">
        <v>512</v>
      </c>
    </row>
    <row r="17747" spans="1:7" x14ac:dyDescent="0.25">
      <c r="A17747" s="1" t="str">
        <f>"514820"</f>
        <v>514820</v>
      </c>
      <c r="B17747" s="2" t="str">
        <f>"PILHA CR2032 3V"</f>
        <v>PILHA CR2032 3V</v>
      </c>
      <c r="C17747" s="2" t="str">
        <f t="shared" si="700"/>
        <v>UN</v>
      </c>
      <c r="D17747" s="7">
        <v>401</v>
      </c>
      <c r="E17747" s="3">
        <v>4</v>
      </c>
      <c r="F17747" s="3">
        <v>4</v>
      </c>
      <c r="G17747" t="s">
        <v>516</v>
      </c>
    </row>
    <row r="17748" spans="1:7" x14ac:dyDescent="0.25">
      <c r="A17748" s="1" t="str">
        <f>"513895"</f>
        <v>513895</v>
      </c>
      <c r="B17748" s="2" t="str">
        <f>"PILHA GRANDE D2"</f>
        <v>PILHA GRANDE D2</v>
      </c>
      <c r="C17748" s="2" t="str">
        <f t="shared" si="700"/>
        <v>UN</v>
      </c>
      <c r="D17748" s="7">
        <v>99999</v>
      </c>
      <c r="E17748" s="3">
        <v>10</v>
      </c>
      <c r="F17748" s="3">
        <v>10</v>
      </c>
      <c r="G17748" t="s">
        <v>515</v>
      </c>
    </row>
    <row r="17749" spans="1:7" x14ac:dyDescent="0.25">
      <c r="A17749" s="1" t="str">
        <f>"523698"</f>
        <v>523698</v>
      </c>
      <c r="B17749" s="2" t="str">
        <f>"PILHA MEDIA C2"</f>
        <v>PILHA MEDIA C2</v>
      </c>
      <c r="C17749" s="2" t="str">
        <f t="shared" si="700"/>
        <v>UN</v>
      </c>
      <c r="D17749" s="7">
        <v>99999</v>
      </c>
      <c r="E17749" s="3">
        <v>10</v>
      </c>
      <c r="F17749" s="3">
        <v>10</v>
      </c>
      <c r="G17749" t="s">
        <v>514</v>
      </c>
    </row>
    <row r="17750" spans="1:7" x14ac:dyDescent="0.25">
      <c r="A17750" s="1" t="str">
        <f>"509434"</f>
        <v>509434</v>
      </c>
      <c r="B17750" s="2" t="str">
        <f>"PILHA PALITO AAA - ALCALINA"</f>
        <v>PILHA PALITO AAA - ALCALINA</v>
      </c>
      <c r="C17750" s="2" t="str">
        <f t="shared" si="700"/>
        <v>UN</v>
      </c>
      <c r="D17750" s="7">
        <v>900</v>
      </c>
      <c r="E17750" s="3">
        <v>8</v>
      </c>
      <c r="F17750" s="3">
        <v>8</v>
      </c>
      <c r="G17750" t="s">
        <v>512</v>
      </c>
    </row>
    <row r="17751" spans="1:7" x14ac:dyDescent="0.25">
      <c r="A17751" s="1" t="str">
        <f>"509998"</f>
        <v>509998</v>
      </c>
      <c r="B17751" s="2" t="str">
        <f>"PILHA RECARREGAVEL"</f>
        <v>PILHA RECARREGAVEL</v>
      </c>
      <c r="C17751" s="2" t="str">
        <f t="shared" si="700"/>
        <v>UN</v>
      </c>
      <c r="D17751" s="7">
        <v>402</v>
      </c>
      <c r="E17751" s="3">
        <v>4</v>
      </c>
      <c r="F17751" s="3">
        <v>4</v>
      </c>
      <c r="G17751" t="s">
        <v>513</v>
      </c>
    </row>
    <row r="17752" spans="1:7" x14ac:dyDescent="0.25">
      <c r="A17752" s="1" t="str">
        <f>"527756"</f>
        <v>527756</v>
      </c>
      <c r="B17752" s="2" t="str">
        <f>"PILHA/BATERIAS"</f>
        <v>PILHA/BATERIAS</v>
      </c>
      <c r="C17752" s="2" t="str">
        <f t="shared" si="700"/>
        <v>UN</v>
      </c>
      <c r="D17752" s="7">
        <v>99999</v>
      </c>
      <c r="E17752" s="3">
        <v>99</v>
      </c>
      <c r="F17752" s="3">
        <v>99</v>
      </c>
      <c r="G17752" t="s">
        <v>514</v>
      </c>
    </row>
    <row r="17753" spans="1:7" x14ac:dyDescent="0.25">
      <c r="A17753" s="1" t="str">
        <f>"526864"</f>
        <v>526864</v>
      </c>
      <c r="B17753" s="2" t="str">
        <f>"PILOTO DE PRESSAO REGULAGEM 0A7 KGF/CM2"</f>
        <v>PILOTO DE PRESSAO REGULAGEM 0A7 KGF/CM2</v>
      </c>
      <c r="C17753" s="2" t="str">
        <f t="shared" si="700"/>
        <v>UN</v>
      </c>
      <c r="D17753" s="7">
        <v>918</v>
      </c>
      <c r="E17753" s="3">
        <v>11</v>
      </c>
      <c r="F17753" s="3">
        <v>11</v>
      </c>
      <c r="G17753" t="s">
        <v>514</v>
      </c>
    </row>
    <row r="17754" spans="1:7" x14ac:dyDescent="0.25">
      <c r="A17754" s="1" t="str">
        <f>"514879"</f>
        <v>514879</v>
      </c>
      <c r="B17754" s="2" t="str">
        <f>"PIMENTÃO"</f>
        <v>PIMENTÃO</v>
      </c>
      <c r="C17754" s="2" t="str">
        <f t="shared" si="700"/>
        <v>UN</v>
      </c>
      <c r="D17754" s="7">
        <v>401</v>
      </c>
      <c r="E17754" s="3">
        <v>4</v>
      </c>
      <c r="F17754" s="3">
        <v>4</v>
      </c>
      <c r="G17754" t="s">
        <v>512</v>
      </c>
    </row>
    <row r="17755" spans="1:7" x14ac:dyDescent="0.25">
      <c r="A17755" s="1" t="str">
        <f>"516399"</f>
        <v>516399</v>
      </c>
      <c r="B17755" s="2" t="str">
        <f>"PINÇA 1/16X3/32X1/8 P/ TIG TTC-25 TECHINICAL"</f>
        <v>PINÇA 1/16X3/32X1/8 P/ TIG TTC-25 TECHINICAL</v>
      </c>
      <c r="C17755" s="2" t="str">
        <f t="shared" si="700"/>
        <v>UN</v>
      </c>
      <c r="D17755" s="7">
        <v>918</v>
      </c>
      <c r="E17755" s="3">
        <v>4</v>
      </c>
      <c r="F17755" s="3">
        <v>4</v>
      </c>
      <c r="G17755" t="s">
        <v>513</v>
      </c>
    </row>
    <row r="17756" spans="1:7" x14ac:dyDescent="0.25">
      <c r="A17756" s="1" t="str">
        <f>"523412"</f>
        <v>523412</v>
      </c>
      <c r="B17756" s="2" t="str">
        <f>"PINÇA 2,4MM TIG"</f>
        <v>PINÇA 2,4MM TIG</v>
      </c>
      <c r="C17756" s="2" t="str">
        <f t="shared" si="700"/>
        <v>UN</v>
      </c>
      <c r="D17756" s="7">
        <v>812</v>
      </c>
      <c r="E17756" s="3">
        <v>4</v>
      </c>
      <c r="F17756" s="3">
        <v>4</v>
      </c>
      <c r="G17756" t="s">
        <v>514</v>
      </c>
    </row>
    <row r="17757" spans="1:7" x14ac:dyDescent="0.25">
      <c r="A17757" s="1" t="str">
        <f>"524275"</f>
        <v>524275</v>
      </c>
      <c r="B17757" s="2" t="str">
        <f>"PINCA CADINHO ACO INOX 220MM RICILAB"</f>
        <v>PINCA CADINHO ACO INOX 220MM RICILAB</v>
      </c>
      <c r="C17757" s="2" t="str">
        <f t="shared" si="700"/>
        <v>UN</v>
      </c>
      <c r="D17757" s="7">
        <v>406</v>
      </c>
      <c r="E17757" s="3">
        <v>4</v>
      </c>
      <c r="F17757" s="3">
        <v>4</v>
      </c>
      <c r="G17757" t="s">
        <v>514</v>
      </c>
    </row>
    <row r="17758" spans="1:7" x14ac:dyDescent="0.25">
      <c r="A17758" s="1" t="str">
        <f>"504210"</f>
        <v>504210</v>
      </c>
      <c r="B17758" s="2" t="str">
        <f>"PINÇA COMPLETA PASSO 3/4 CORRENTE TERMOFORMADORA DINI 550M"</f>
        <v>PINÇA COMPLETA PASSO 3/4 CORRENTE TERMOFORMADORA DINI 550M</v>
      </c>
      <c r="C17758" s="2" t="str">
        <f t="shared" si="700"/>
        <v>UN</v>
      </c>
      <c r="D17758" s="7">
        <v>918</v>
      </c>
      <c r="E17758" s="3">
        <v>11</v>
      </c>
      <c r="F17758" s="3">
        <v>11</v>
      </c>
      <c r="G17758" t="s">
        <v>514</v>
      </c>
    </row>
    <row r="17759" spans="1:7" x14ac:dyDescent="0.25">
      <c r="A17759" s="1" t="str">
        <f>"524897"</f>
        <v>524897</v>
      </c>
      <c r="B17759" s="2" t="str">
        <f>"PINÇA DENTE DE RATO RETA 11,5 CM WELDON"</f>
        <v>PINÇA DENTE DE RATO RETA 11,5 CM WELDON</v>
      </c>
      <c r="C17759" s="2" t="str">
        <f t="shared" si="700"/>
        <v>UN</v>
      </c>
      <c r="D17759" s="7">
        <v>99999</v>
      </c>
      <c r="E17759" s="3">
        <v>99</v>
      </c>
      <c r="F17759" s="3">
        <v>99</v>
      </c>
      <c r="G17759" t="s">
        <v>513</v>
      </c>
    </row>
    <row r="17760" spans="1:7" x14ac:dyDescent="0.25">
      <c r="A17760" s="1" t="str">
        <f>"524900"</f>
        <v>524900</v>
      </c>
      <c r="B17760" s="2" t="str">
        <f>"PINÇA DISSECÇAO ANATOMICA"</f>
        <v>PINÇA DISSECÇAO ANATOMICA</v>
      </c>
      <c r="C17760" s="2" t="str">
        <f t="shared" si="700"/>
        <v>UN</v>
      </c>
      <c r="D17760" s="7">
        <v>99999</v>
      </c>
      <c r="E17760" s="3">
        <v>99</v>
      </c>
      <c r="F17760" s="3">
        <v>99</v>
      </c>
      <c r="G17760" t="s">
        <v>512</v>
      </c>
    </row>
    <row r="17761" spans="1:7" x14ac:dyDescent="0.25">
      <c r="A17761" s="1" t="str">
        <f>"514228"</f>
        <v>514228</v>
      </c>
      <c r="B17761" s="2" t="str">
        <f>"PINÇA DUPLA P/ BURETA TIPO CASTALOY"</f>
        <v>PINÇA DUPLA P/ BURETA TIPO CASTALOY</v>
      </c>
      <c r="C17761" s="2" t="str">
        <f t="shared" si="700"/>
        <v>UN</v>
      </c>
      <c r="D17761" s="7">
        <v>406</v>
      </c>
      <c r="E17761" s="3">
        <v>4</v>
      </c>
      <c r="F17761" s="3">
        <v>4</v>
      </c>
      <c r="G17761" t="s">
        <v>513</v>
      </c>
    </row>
    <row r="17762" spans="1:7" x14ac:dyDescent="0.25">
      <c r="A17762" s="1" t="str">
        <f>"521897"</f>
        <v>521897</v>
      </c>
      <c r="B17762" s="2" t="str">
        <f>"PINÇA DUPLA PARA BURETA COM MUFA"</f>
        <v>PINÇA DUPLA PARA BURETA COM MUFA</v>
      </c>
      <c r="C17762" s="2" t="str">
        <f t="shared" si="700"/>
        <v>UN</v>
      </c>
      <c r="D17762" s="7">
        <v>817</v>
      </c>
      <c r="E17762" s="3">
        <v>10</v>
      </c>
      <c r="F17762" s="3">
        <v>10</v>
      </c>
      <c r="G17762" t="s">
        <v>514</v>
      </c>
    </row>
    <row r="17763" spans="1:7" x14ac:dyDescent="0.25">
      <c r="A17763" s="1" t="str">
        <f>"524896"</f>
        <v>524896</v>
      </c>
      <c r="B17763" s="2" t="str">
        <f>"PINÇA KELLY RETA (14CM)"</f>
        <v>PINÇA KELLY RETA (14CM)</v>
      </c>
      <c r="C17763" s="2" t="str">
        <f t="shared" si="700"/>
        <v>UN</v>
      </c>
      <c r="D17763" s="7">
        <v>99999</v>
      </c>
      <c r="E17763" s="3">
        <v>99</v>
      </c>
      <c r="F17763" s="3">
        <v>99</v>
      </c>
      <c r="G17763" t="s">
        <v>514</v>
      </c>
    </row>
    <row r="17764" spans="1:7" x14ac:dyDescent="0.25">
      <c r="A17764" s="1" t="str">
        <f>"524274"</f>
        <v>524274</v>
      </c>
      <c r="B17764" s="2" t="str">
        <f>"PINCA MEMBRANA EM ACO INOX 1UN NALGON"</f>
        <v>PINCA MEMBRANA EM ACO INOX 1UN NALGON</v>
      </c>
      <c r="C17764" s="2" t="str">
        <f t="shared" si="700"/>
        <v>UN</v>
      </c>
      <c r="D17764" s="7">
        <v>406</v>
      </c>
      <c r="E17764" s="3">
        <v>4</v>
      </c>
      <c r="F17764" s="3">
        <v>4</v>
      </c>
      <c r="G17764" t="s">
        <v>514</v>
      </c>
    </row>
    <row r="17765" spans="1:7" x14ac:dyDescent="0.25">
      <c r="A17765" s="1" t="str">
        <f>"525347"</f>
        <v>525347</v>
      </c>
      <c r="B17765" s="2" t="str">
        <f>"PINÇA P/ FRASCO 120G"</f>
        <v>PINÇA P/ FRASCO 120G</v>
      </c>
      <c r="C17765" s="2" t="str">
        <f t="shared" si="700"/>
        <v>UN</v>
      </c>
      <c r="D17765" s="7">
        <v>918</v>
      </c>
      <c r="E17765" s="3">
        <v>10</v>
      </c>
      <c r="F17765" s="3">
        <v>10</v>
      </c>
      <c r="G17765" t="s">
        <v>513</v>
      </c>
    </row>
    <row r="17766" spans="1:7" x14ac:dyDescent="0.25">
      <c r="A17766" s="1" t="str">
        <f>"514313"</f>
        <v>514313</v>
      </c>
      <c r="B17766" s="2" t="str">
        <f>"PINÇA P/ RETIFICA BOCH GGS"</f>
        <v>PINÇA P/ RETIFICA BOCH GGS</v>
      </c>
      <c r="C17766" s="2" t="str">
        <f t="shared" si="700"/>
        <v>UN</v>
      </c>
      <c r="D17766" s="7">
        <v>406</v>
      </c>
      <c r="E17766" s="3">
        <v>4</v>
      </c>
      <c r="F17766" s="3">
        <v>4</v>
      </c>
      <c r="G17766" t="s">
        <v>513</v>
      </c>
    </row>
    <row r="17767" spans="1:7" x14ac:dyDescent="0.25">
      <c r="A17767" s="1" t="str">
        <f>"500115"</f>
        <v>500115</v>
      </c>
      <c r="B17767" s="2" t="str">
        <f>"PINCEL 1 1/2"""</f>
        <v>PINCEL 1 1/2"</v>
      </c>
      <c r="C17767" s="2" t="str">
        <f t="shared" si="700"/>
        <v>UN</v>
      </c>
      <c r="D17767" s="7">
        <v>403</v>
      </c>
      <c r="E17767" s="3">
        <v>4</v>
      </c>
      <c r="F17767" s="3">
        <v>4</v>
      </c>
      <c r="G17767" t="s">
        <v>513</v>
      </c>
    </row>
    <row r="17768" spans="1:7" x14ac:dyDescent="0.25">
      <c r="A17768" s="1" t="str">
        <f>"503006"</f>
        <v>503006</v>
      </c>
      <c r="B17768" s="2" t="str">
        <f>"PINCEL 1"""</f>
        <v>PINCEL 1"</v>
      </c>
      <c r="C17768" s="2" t="str">
        <f t="shared" si="700"/>
        <v>UN</v>
      </c>
      <c r="D17768" s="7">
        <v>403</v>
      </c>
      <c r="E17768" s="3">
        <v>4</v>
      </c>
      <c r="F17768" s="3">
        <v>4</v>
      </c>
      <c r="G17768" t="s">
        <v>512</v>
      </c>
    </row>
    <row r="17769" spans="1:7" x14ac:dyDescent="0.25">
      <c r="A17769" s="1" t="str">
        <f>"513763"</f>
        <v>513763</v>
      </c>
      <c r="B17769" s="2" t="str">
        <f>"PINCEL 1/2"""</f>
        <v>PINCEL 1/2"</v>
      </c>
      <c r="C17769" s="2" t="str">
        <f t="shared" si="700"/>
        <v>UN</v>
      </c>
      <c r="D17769" s="7">
        <v>919</v>
      </c>
      <c r="E17769" s="3">
        <v>4</v>
      </c>
      <c r="F17769" s="3">
        <v>4</v>
      </c>
      <c r="G17769" t="s">
        <v>513</v>
      </c>
    </row>
    <row r="17770" spans="1:7" x14ac:dyDescent="0.25">
      <c r="A17770" s="1" t="str">
        <f>"500410"</f>
        <v>500410</v>
      </c>
      <c r="B17770" s="2" t="str">
        <f>"PINCEL 1/4"""</f>
        <v>PINCEL 1/4"</v>
      </c>
      <c r="C17770" s="2" t="str">
        <f t="shared" si="700"/>
        <v>UN</v>
      </c>
      <c r="D17770" s="7">
        <v>403</v>
      </c>
      <c r="E17770" s="3">
        <v>4</v>
      </c>
      <c r="F17770" s="3">
        <v>4</v>
      </c>
      <c r="G17770" t="s">
        <v>514</v>
      </c>
    </row>
    <row r="17771" spans="1:7" x14ac:dyDescent="0.25">
      <c r="A17771" s="1" t="str">
        <f>"518557"</f>
        <v>518557</v>
      </c>
      <c r="B17771" s="2" t="str">
        <f>"PINCEL 2 1/2"""</f>
        <v>PINCEL 2 1/2"</v>
      </c>
      <c r="C17771" s="2" t="str">
        <f t="shared" si="700"/>
        <v>UN</v>
      </c>
      <c r="D17771" s="7">
        <v>403</v>
      </c>
      <c r="E17771" s="3">
        <v>4</v>
      </c>
      <c r="F17771" s="3">
        <v>4</v>
      </c>
      <c r="G17771" t="s">
        <v>515</v>
      </c>
    </row>
    <row r="17772" spans="1:7" x14ac:dyDescent="0.25">
      <c r="A17772" s="1" t="str">
        <f>"500114"</f>
        <v>500114</v>
      </c>
      <c r="B17772" s="2" t="str">
        <f>"PINCEL 2"""</f>
        <v>PINCEL 2"</v>
      </c>
      <c r="C17772" s="2" t="str">
        <f t="shared" ref="C17772:C17803" si="701">"UN"</f>
        <v>UN</v>
      </c>
      <c r="D17772" s="7">
        <v>403</v>
      </c>
      <c r="E17772" s="3">
        <v>4</v>
      </c>
      <c r="F17772" s="3">
        <v>4</v>
      </c>
      <c r="G17772" t="s">
        <v>512</v>
      </c>
    </row>
    <row r="17773" spans="1:7" x14ac:dyDescent="0.25">
      <c r="A17773" s="1" t="str">
        <f>"524655"</f>
        <v>524655</v>
      </c>
      <c r="B17773" s="2" t="str">
        <f>"PINCEL 3"""</f>
        <v>PINCEL 3"</v>
      </c>
      <c r="C17773" s="2" t="str">
        <f t="shared" si="701"/>
        <v>UN</v>
      </c>
      <c r="D17773" s="7">
        <v>99999</v>
      </c>
      <c r="E17773" s="3">
        <v>99</v>
      </c>
      <c r="F17773" s="3">
        <v>99</v>
      </c>
      <c r="G17773" t="s">
        <v>516</v>
      </c>
    </row>
    <row r="17774" spans="1:7" x14ac:dyDescent="0.25">
      <c r="A17774" s="1" t="str">
        <f>"502723"</f>
        <v>502723</v>
      </c>
      <c r="B17774" s="2" t="str">
        <f>"PINCEL 3/8"""</f>
        <v>PINCEL 3/8"</v>
      </c>
      <c r="C17774" s="2" t="str">
        <f t="shared" si="701"/>
        <v>UN</v>
      </c>
      <c r="D17774" s="7">
        <v>403</v>
      </c>
      <c r="E17774" s="3">
        <v>4</v>
      </c>
      <c r="F17774" s="3">
        <v>4</v>
      </c>
      <c r="G17774" t="s">
        <v>515</v>
      </c>
    </row>
    <row r="17775" spans="1:7" x14ac:dyDescent="0.25">
      <c r="A17775" s="1" t="str">
        <f>"500172"</f>
        <v>500172</v>
      </c>
      <c r="B17775" s="2" t="str">
        <f>"PINCEL 50MM"</f>
        <v>PINCEL 50MM</v>
      </c>
      <c r="C17775" s="2" t="str">
        <f t="shared" si="701"/>
        <v>UN</v>
      </c>
      <c r="D17775" s="7">
        <v>403</v>
      </c>
      <c r="E17775" s="3">
        <v>4</v>
      </c>
      <c r="F17775" s="3">
        <v>4</v>
      </c>
      <c r="G17775" t="s">
        <v>514</v>
      </c>
    </row>
    <row r="17776" spans="1:7" x14ac:dyDescent="0.25">
      <c r="A17776" s="1" t="str">
        <f>"503161"</f>
        <v>503161</v>
      </c>
      <c r="B17776" s="2" t="str">
        <f>"PINCEL DE 3/5"""</f>
        <v>PINCEL DE 3/5"</v>
      </c>
      <c r="C17776" s="2" t="str">
        <f t="shared" si="701"/>
        <v>UN</v>
      </c>
      <c r="D17776" s="7">
        <v>403</v>
      </c>
      <c r="E17776" s="3">
        <v>4</v>
      </c>
      <c r="F17776" s="3">
        <v>4</v>
      </c>
      <c r="G17776" t="s">
        <v>512</v>
      </c>
    </row>
    <row r="17777" spans="1:7" x14ac:dyDescent="0.25">
      <c r="A17777" s="1" t="str">
        <f>"514487"</f>
        <v>514487</v>
      </c>
      <c r="B17777" s="2" t="str">
        <f>"PINCEL MARCADOR"</f>
        <v>PINCEL MARCADOR</v>
      </c>
      <c r="C17777" s="2" t="str">
        <f t="shared" si="701"/>
        <v>UN</v>
      </c>
      <c r="D17777" s="7">
        <v>917</v>
      </c>
      <c r="E17777" s="3">
        <v>10</v>
      </c>
      <c r="F17777" s="3">
        <v>10</v>
      </c>
      <c r="G17777" t="s">
        <v>513</v>
      </c>
    </row>
    <row r="17778" spans="1:7" x14ac:dyDescent="0.25">
      <c r="A17778" s="1" t="str">
        <f>"514558"</f>
        <v>514558</v>
      </c>
      <c r="B17778" s="2" t="str">
        <f>"PINHAO 060523"</f>
        <v>PINHAO 060523</v>
      </c>
      <c r="C17778" s="2" t="str">
        <f t="shared" si="701"/>
        <v>UN</v>
      </c>
      <c r="D17778" s="7">
        <v>817</v>
      </c>
      <c r="E17778" s="3">
        <v>4</v>
      </c>
      <c r="F17778" s="3">
        <v>4</v>
      </c>
      <c r="G17778" t="s">
        <v>514</v>
      </c>
    </row>
    <row r="17779" spans="1:7" x14ac:dyDescent="0.25">
      <c r="A17779" s="1" t="str">
        <f>"505257"</f>
        <v>505257</v>
      </c>
      <c r="B17779" s="2" t="str">
        <f>"PINHAO 130MM (PORTAO ELETRICO)"</f>
        <v>PINHAO 130MM (PORTAO ELETRICO)</v>
      </c>
      <c r="C17779" s="2" t="str">
        <f t="shared" si="701"/>
        <v>UN</v>
      </c>
      <c r="D17779" s="7">
        <v>812</v>
      </c>
      <c r="E17779" s="3">
        <v>10</v>
      </c>
      <c r="F17779" s="3">
        <v>10</v>
      </c>
      <c r="G17779" t="s">
        <v>514</v>
      </c>
    </row>
    <row r="17780" spans="1:7" x14ac:dyDescent="0.25">
      <c r="A17780" s="1" t="str">
        <f>"526679"</f>
        <v>526679</v>
      </c>
      <c r="B17780" s="2" t="str">
        <f>"PINHAO DA CREMALHEIRA"</f>
        <v>PINHAO DA CREMALHEIRA</v>
      </c>
      <c r="C17780" s="2" t="str">
        <f t="shared" si="701"/>
        <v>UN</v>
      </c>
      <c r="D17780" s="7">
        <v>704</v>
      </c>
      <c r="E17780" s="3">
        <v>9</v>
      </c>
      <c r="F17780" s="3">
        <v>9</v>
      </c>
      <c r="G17780" t="s">
        <v>512</v>
      </c>
    </row>
    <row r="17781" spans="1:7" x14ac:dyDescent="0.25">
      <c r="A17781" s="1" t="str">
        <f>"524765"</f>
        <v>524765</v>
      </c>
      <c r="B17781" s="8" t="s">
        <v>413</v>
      </c>
      <c r="C17781" s="2" t="str">
        <f t="shared" si="701"/>
        <v>UN</v>
      </c>
      <c r="D17781" s="7">
        <v>918</v>
      </c>
      <c r="E17781" s="3">
        <v>11</v>
      </c>
      <c r="F17781" s="3">
        <v>11</v>
      </c>
      <c r="G17781" t="s">
        <v>513</v>
      </c>
    </row>
    <row r="17782" spans="1:7" x14ac:dyDescent="0.25">
      <c r="A17782" s="1" t="str">
        <f>"511375"</f>
        <v>511375</v>
      </c>
      <c r="B17782" s="2" t="str">
        <f>"PINHAO DO MOTOR"</f>
        <v>PINHAO DO MOTOR</v>
      </c>
      <c r="C17782" s="2" t="str">
        <f t="shared" si="701"/>
        <v>UN</v>
      </c>
      <c r="D17782" s="7">
        <v>704</v>
      </c>
      <c r="E17782" s="3">
        <v>9</v>
      </c>
      <c r="F17782" s="3">
        <v>9</v>
      </c>
      <c r="G17782" t="s">
        <v>514</v>
      </c>
    </row>
    <row r="17783" spans="1:7" x14ac:dyDescent="0.25">
      <c r="A17783" s="1" t="str">
        <f>"507155"</f>
        <v>507155</v>
      </c>
      <c r="B17783" s="2" t="str">
        <f>"PINHAO IMPULSOR ORIGINAL"</f>
        <v>PINHAO IMPULSOR ORIGINAL</v>
      </c>
      <c r="C17783" s="2" t="str">
        <f t="shared" si="701"/>
        <v>UN</v>
      </c>
      <c r="D17783" s="7">
        <v>704</v>
      </c>
      <c r="E17783" s="3">
        <v>9</v>
      </c>
      <c r="F17783" s="3">
        <v>9</v>
      </c>
      <c r="G17783" t="s">
        <v>514</v>
      </c>
    </row>
    <row r="17784" spans="1:7" x14ac:dyDescent="0.25">
      <c r="A17784" s="1" t="str">
        <f>"501254"</f>
        <v>501254</v>
      </c>
      <c r="B17784" s="2" t="str">
        <f>"PINHAO REDUTOR 25X45MM"</f>
        <v>PINHAO REDUTOR 25X45MM</v>
      </c>
      <c r="C17784" s="2" t="str">
        <f t="shared" si="701"/>
        <v>UN</v>
      </c>
      <c r="D17784" s="7">
        <v>918</v>
      </c>
      <c r="E17784" s="3">
        <v>11</v>
      </c>
      <c r="F17784" s="3">
        <v>11</v>
      </c>
      <c r="G17784" t="s">
        <v>514</v>
      </c>
    </row>
    <row r="17785" spans="1:7" x14ac:dyDescent="0.25">
      <c r="A17785" s="1" t="str">
        <f>"520831"</f>
        <v>520831</v>
      </c>
      <c r="B17785" s="2" t="str">
        <f>"PINHO PERFUMADO"</f>
        <v>PINHO PERFUMADO</v>
      </c>
      <c r="C17785" s="2" t="str">
        <f t="shared" si="701"/>
        <v>UN</v>
      </c>
      <c r="D17785" s="7">
        <v>400</v>
      </c>
      <c r="E17785" s="3">
        <v>4</v>
      </c>
      <c r="F17785" s="3">
        <v>4</v>
      </c>
      <c r="G17785" t="s">
        <v>513</v>
      </c>
    </row>
    <row r="17786" spans="1:7" x14ac:dyDescent="0.25">
      <c r="A17786" s="1" t="str">
        <f>"504384"</f>
        <v>504384</v>
      </c>
      <c r="B17786" s="2" t="str">
        <f>"PINO"</f>
        <v>PINO</v>
      </c>
      <c r="C17786" s="2" t="str">
        <f t="shared" si="701"/>
        <v>UN</v>
      </c>
      <c r="D17786" s="7">
        <v>704</v>
      </c>
      <c r="E17786" s="3">
        <v>9</v>
      </c>
      <c r="F17786" s="3">
        <v>9</v>
      </c>
      <c r="G17786" t="s">
        <v>512</v>
      </c>
    </row>
    <row r="17787" spans="1:7" x14ac:dyDescent="0.25">
      <c r="A17787" s="1" t="str">
        <f>"505431"</f>
        <v>505431</v>
      </c>
      <c r="B17787" s="2" t="str">
        <f>"PINO"</f>
        <v>PINO</v>
      </c>
      <c r="C17787" s="2" t="str">
        <f t="shared" si="701"/>
        <v>UN</v>
      </c>
      <c r="D17787" s="7">
        <v>99999</v>
      </c>
      <c r="E17787" s="3">
        <v>99</v>
      </c>
      <c r="F17787" s="3">
        <v>99</v>
      </c>
      <c r="G17787" t="s">
        <v>513</v>
      </c>
    </row>
    <row r="17788" spans="1:7" x14ac:dyDescent="0.25">
      <c r="A17788" s="1" t="str">
        <f>"512216"</f>
        <v>512216</v>
      </c>
      <c r="B17788" s="2" t="str">
        <f>"PINO 126131"</f>
        <v>PINO 126131</v>
      </c>
      <c r="C17788" s="2" t="str">
        <f t="shared" si="701"/>
        <v>UN</v>
      </c>
      <c r="D17788" s="7">
        <v>918</v>
      </c>
      <c r="E17788" s="3">
        <v>11</v>
      </c>
      <c r="F17788" s="3">
        <v>11</v>
      </c>
      <c r="G17788" t="s">
        <v>514</v>
      </c>
    </row>
    <row r="17789" spans="1:7" x14ac:dyDescent="0.25">
      <c r="A17789" s="1" t="str">
        <f>"508384"</f>
        <v>508384</v>
      </c>
      <c r="B17789" s="2" t="str">
        <f>"PINO 2011238 MAQ. CATERPILAR"</f>
        <v>PINO 2011238 MAQ. CATERPILAR</v>
      </c>
      <c r="C17789" s="2" t="str">
        <f t="shared" si="701"/>
        <v>UN</v>
      </c>
      <c r="D17789" s="7">
        <v>918</v>
      </c>
      <c r="E17789" s="3">
        <v>11</v>
      </c>
      <c r="F17789" s="3">
        <v>11</v>
      </c>
      <c r="G17789" t="s">
        <v>514</v>
      </c>
    </row>
    <row r="17790" spans="1:7" x14ac:dyDescent="0.25">
      <c r="A17790" s="1" t="str">
        <f>"511605"</f>
        <v>511605</v>
      </c>
      <c r="B17790" s="2" t="str">
        <f>"PINO 211-9286"</f>
        <v>PINO 211-9286</v>
      </c>
      <c r="C17790" s="2" t="str">
        <f t="shared" si="701"/>
        <v>UN</v>
      </c>
      <c r="D17790" s="7">
        <v>704</v>
      </c>
      <c r="E17790" s="3">
        <v>9</v>
      </c>
      <c r="F17790" s="3">
        <v>9</v>
      </c>
      <c r="G17790" t="s">
        <v>514</v>
      </c>
    </row>
    <row r="17791" spans="1:7" x14ac:dyDescent="0.25">
      <c r="A17791" s="1" t="str">
        <f>"512231"</f>
        <v>512231</v>
      </c>
      <c r="B17791" s="2" t="str">
        <f>"PINO 47930"</f>
        <v>PINO 47930</v>
      </c>
      <c r="C17791" s="2" t="str">
        <f t="shared" si="701"/>
        <v>UN</v>
      </c>
      <c r="D17791" s="7">
        <v>918</v>
      </c>
      <c r="E17791" s="3">
        <v>11</v>
      </c>
      <c r="F17791" s="3">
        <v>11</v>
      </c>
      <c r="G17791" t="s">
        <v>513</v>
      </c>
    </row>
    <row r="17792" spans="1:7" x14ac:dyDescent="0.25">
      <c r="A17792" s="1" t="str">
        <f>"522897"</f>
        <v>522897</v>
      </c>
      <c r="B17792" s="2" t="str">
        <f>"PINO AÇO MANGA"</f>
        <v>PINO AÇO MANGA</v>
      </c>
      <c r="C17792" s="2" t="str">
        <f t="shared" si="701"/>
        <v>UN</v>
      </c>
      <c r="D17792" s="7">
        <v>918</v>
      </c>
      <c r="E17792" s="3">
        <v>10</v>
      </c>
      <c r="F17792" s="3">
        <v>10</v>
      </c>
      <c r="G17792" t="s">
        <v>513</v>
      </c>
    </row>
    <row r="17793" spans="1:7" x14ac:dyDescent="0.25">
      <c r="A17793" s="1" t="str">
        <f>"522894"</f>
        <v>522894</v>
      </c>
      <c r="B17793" s="2" t="str">
        <f>"PINO AÇO ROSCADO"</f>
        <v>PINO AÇO ROSCADO</v>
      </c>
      <c r="C17793" s="2" t="str">
        <f t="shared" si="701"/>
        <v>UN</v>
      </c>
      <c r="D17793" s="7">
        <v>918</v>
      </c>
      <c r="E17793" s="3">
        <v>10</v>
      </c>
      <c r="F17793" s="3">
        <v>10</v>
      </c>
      <c r="G17793" t="s">
        <v>513</v>
      </c>
    </row>
    <row r="17794" spans="1:7" x14ac:dyDescent="0.25">
      <c r="A17794" s="1" t="str">
        <f>"509435"</f>
        <v>509435</v>
      </c>
      <c r="B17794" s="2" t="str">
        <f>"PINO AMORTECEDOR DIANTEIRO - IVECO"</f>
        <v>PINO AMORTECEDOR DIANTEIRO - IVECO</v>
      </c>
      <c r="C17794" s="2" t="str">
        <f t="shared" si="701"/>
        <v>UN</v>
      </c>
      <c r="D17794" s="7">
        <v>704</v>
      </c>
      <c r="E17794" s="3">
        <v>9</v>
      </c>
      <c r="F17794" s="3">
        <v>9</v>
      </c>
      <c r="G17794" t="s">
        <v>512</v>
      </c>
    </row>
    <row r="17795" spans="1:7" x14ac:dyDescent="0.25">
      <c r="A17795" s="1" t="str">
        <f>"502018"</f>
        <v>502018</v>
      </c>
      <c r="B17795" s="2" t="str">
        <f>"PINO BALACRIM 50MM COM GRAXEIRA"</f>
        <v>PINO BALACRIM 50MM COM GRAXEIRA</v>
      </c>
      <c r="C17795" s="2" t="str">
        <f t="shared" si="701"/>
        <v>UN</v>
      </c>
      <c r="D17795" s="7">
        <v>704</v>
      </c>
      <c r="E17795" s="3">
        <v>9</v>
      </c>
      <c r="F17795" s="3">
        <v>9</v>
      </c>
      <c r="G17795" t="s">
        <v>513</v>
      </c>
    </row>
    <row r="17796" spans="1:7" x14ac:dyDescent="0.25">
      <c r="A17796" s="1" t="str">
        <f>"500898"</f>
        <v>500898</v>
      </c>
      <c r="B17796" s="2" t="str">
        <f>"PINO BALANCA EIXO TRASEIRO (EMPILHADEIRA"</f>
        <v>PINO BALANCA EIXO TRASEIRO (EMPILHADEIRA</v>
      </c>
      <c r="C17796" s="2" t="str">
        <f t="shared" si="701"/>
        <v>UN</v>
      </c>
      <c r="D17796" s="7">
        <v>918</v>
      </c>
      <c r="E17796" s="3">
        <v>11</v>
      </c>
      <c r="F17796" s="3">
        <v>11</v>
      </c>
      <c r="G17796" t="s">
        <v>514</v>
      </c>
    </row>
    <row r="17797" spans="1:7" x14ac:dyDescent="0.25">
      <c r="A17797" s="1" t="str">
        <f>"505670"</f>
        <v>505670</v>
      </c>
      <c r="B17797" s="2" t="str">
        <f>"PINO BALANCA RODOVIARIA 235X50MM"</f>
        <v>PINO BALANCA RODOVIARIA 235X50MM</v>
      </c>
      <c r="C17797" s="2" t="str">
        <f t="shared" si="701"/>
        <v>UN</v>
      </c>
      <c r="D17797" s="7">
        <v>704</v>
      </c>
      <c r="E17797" s="3">
        <v>9</v>
      </c>
      <c r="F17797" s="3">
        <v>9</v>
      </c>
      <c r="G17797" t="s">
        <v>515</v>
      </c>
    </row>
    <row r="17798" spans="1:7" x14ac:dyDescent="0.25">
      <c r="A17798" s="1" t="str">
        <f>"501958"</f>
        <v>501958</v>
      </c>
      <c r="B17798" s="2" t="str">
        <f>"PINO BALANÇA TRUCK"</f>
        <v>PINO BALANÇA TRUCK</v>
      </c>
      <c r="C17798" s="2" t="str">
        <f t="shared" si="701"/>
        <v>UN</v>
      </c>
      <c r="D17798" s="7">
        <v>704</v>
      </c>
      <c r="E17798" s="3">
        <v>9</v>
      </c>
      <c r="F17798" s="3">
        <v>9</v>
      </c>
      <c r="G17798" t="s">
        <v>512</v>
      </c>
    </row>
    <row r="17799" spans="1:7" x14ac:dyDescent="0.25">
      <c r="A17799" s="1" t="str">
        <f>"505851"</f>
        <v>505851</v>
      </c>
      <c r="B17799" s="2" t="str">
        <f>"PINO BALANCIN NOMA SEMI-REBOQUE"</f>
        <v>PINO BALANCIN NOMA SEMI-REBOQUE</v>
      </c>
      <c r="C17799" s="2" t="str">
        <f t="shared" si="701"/>
        <v>UN</v>
      </c>
      <c r="D17799" s="7">
        <v>704</v>
      </c>
      <c r="E17799" s="3">
        <v>9</v>
      </c>
      <c r="F17799" s="3">
        <v>9</v>
      </c>
      <c r="G17799" t="s">
        <v>516</v>
      </c>
    </row>
    <row r="17800" spans="1:7" x14ac:dyDescent="0.25">
      <c r="A17800" s="1" t="str">
        <f>"517019"</f>
        <v>517019</v>
      </c>
      <c r="B17800" s="2" t="str">
        <f>"PINO BIELA HOMO TM-3"</f>
        <v>PINO BIELA HOMO TM-3</v>
      </c>
      <c r="C17800" s="2" t="str">
        <f t="shared" si="701"/>
        <v>UN</v>
      </c>
      <c r="D17800" s="7">
        <v>812</v>
      </c>
      <c r="E17800" s="3">
        <v>11</v>
      </c>
      <c r="F17800" s="3">
        <v>11</v>
      </c>
      <c r="G17800" t="s">
        <v>515</v>
      </c>
    </row>
    <row r="17801" spans="1:7" x14ac:dyDescent="0.25">
      <c r="A17801" s="1" t="str">
        <f>"501315"</f>
        <v>501315</v>
      </c>
      <c r="B17801" s="2" t="str">
        <f>"PINO CARRINHO BYG L2000 COD.8000703"</f>
        <v>PINO CARRINHO BYG L2000 COD.8000703</v>
      </c>
      <c r="C17801" s="2" t="str">
        <f t="shared" si="701"/>
        <v>UN</v>
      </c>
      <c r="D17801" s="7">
        <v>918</v>
      </c>
      <c r="E17801" s="3">
        <v>11</v>
      </c>
      <c r="F17801" s="3">
        <v>11</v>
      </c>
      <c r="G17801" t="s">
        <v>514</v>
      </c>
    </row>
    <row r="17802" spans="1:7" x14ac:dyDescent="0.25">
      <c r="A17802" s="1" t="str">
        <f>"502438"</f>
        <v>502438</v>
      </c>
      <c r="B17802" s="2" t="str">
        <f>"PINO CENTRO 12X10 C. BAIXA"</f>
        <v>PINO CENTRO 12X10 C. BAIXA</v>
      </c>
      <c r="C17802" s="2" t="str">
        <f t="shared" si="701"/>
        <v>UN</v>
      </c>
      <c r="D17802" s="7">
        <v>704</v>
      </c>
      <c r="E17802" s="3">
        <v>9</v>
      </c>
      <c r="F17802" s="3">
        <v>9</v>
      </c>
      <c r="G17802" t="s">
        <v>512</v>
      </c>
    </row>
    <row r="17803" spans="1:7" x14ac:dyDescent="0.25">
      <c r="A17803" s="1" t="str">
        <f>"500349"</f>
        <v>500349</v>
      </c>
      <c r="B17803" s="2" t="str">
        <f>"PINO CENTRO 12X12 C.ALTA"</f>
        <v>PINO CENTRO 12X12 C.ALTA</v>
      </c>
      <c r="C17803" s="2" t="str">
        <f t="shared" si="701"/>
        <v>UN</v>
      </c>
      <c r="D17803" s="7">
        <v>704</v>
      </c>
      <c r="E17803" s="3">
        <v>9</v>
      </c>
      <c r="F17803" s="3">
        <v>9</v>
      </c>
      <c r="G17803" t="s">
        <v>513</v>
      </c>
    </row>
    <row r="17804" spans="1:7" x14ac:dyDescent="0.25">
      <c r="A17804" s="1" t="str">
        <f>"519375"</f>
        <v>519375</v>
      </c>
      <c r="B17804" s="2" t="str">
        <f>"PINO CENTRO 12X20 C. BAIXA"</f>
        <v>PINO CENTRO 12X20 C. BAIXA</v>
      </c>
      <c r="C17804" s="2" t="str">
        <f t="shared" ref="C17804:C17835" si="702">"UN"</f>
        <v>UN</v>
      </c>
      <c r="D17804" s="7">
        <v>704</v>
      </c>
      <c r="E17804" s="3">
        <v>9</v>
      </c>
      <c r="F17804" s="3">
        <v>9</v>
      </c>
      <c r="G17804" t="s">
        <v>514</v>
      </c>
    </row>
    <row r="17805" spans="1:7" x14ac:dyDescent="0.25">
      <c r="A17805" s="1" t="str">
        <f>"518597"</f>
        <v>518597</v>
      </c>
      <c r="B17805" s="2" t="str">
        <f>"PINO CENTRO 12X4 C. BAIXA"</f>
        <v>PINO CENTRO 12X4 C. BAIXA</v>
      </c>
      <c r="C17805" s="2" t="str">
        <f t="shared" si="702"/>
        <v>UN</v>
      </c>
      <c r="D17805" s="7">
        <v>704</v>
      </c>
      <c r="E17805" s="3">
        <v>9</v>
      </c>
      <c r="F17805" s="3">
        <v>9</v>
      </c>
      <c r="G17805" t="s">
        <v>514</v>
      </c>
    </row>
    <row r="17806" spans="1:7" x14ac:dyDescent="0.25">
      <c r="A17806" s="1" t="str">
        <f>"508480"</f>
        <v>508480</v>
      </c>
      <c r="B17806" s="2" t="str">
        <f>"PINO CENTRO 12X5 C. BAIXA"</f>
        <v>PINO CENTRO 12X5 C. BAIXA</v>
      </c>
      <c r="C17806" s="2" t="str">
        <f t="shared" si="702"/>
        <v>UN</v>
      </c>
      <c r="D17806" s="7">
        <v>704</v>
      </c>
      <c r="E17806" s="3">
        <v>9</v>
      </c>
      <c r="F17806" s="3">
        <v>9</v>
      </c>
      <c r="G17806" t="s">
        <v>512</v>
      </c>
    </row>
    <row r="17807" spans="1:7" x14ac:dyDescent="0.25">
      <c r="A17807" s="1" t="str">
        <f>"502992"</f>
        <v>502992</v>
      </c>
      <c r="B17807" s="2" t="str">
        <f>"PINO CENTRO 12X6 C. BAIXA"</f>
        <v>PINO CENTRO 12X6 C. BAIXA</v>
      </c>
      <c r="C17807" s="2" t="str">
        <f t="shared" si="702"/>
        <v>UN</v>
      </c>
      <c r="D17807" s="7">
        <v>704</v>
      </c>
      <c r="E17807" s="3">
        <v>9</v>
      </c>
      <c r="F17807" s="3">
        <v>9</v>
      </c>
      <c r="G17807" t="s">
        <v>513</v>
      </c>
    </row>
    <row r="17808" spans="1:7" x14ac:dyDescent="0.25">
      <c r="A17808" s="1" t="str">
        <f>"507091"</f>
        <v>507091</v>
      </c>
      <c r="B17808" s="2" t="str">
        <f>"PINO CENTRO 12X6 C.ALTA"</f>
        <v>PINO CENTRO 12X6 C.ALTA</v>
      </c>
      <c r="C17808" s="2" t="str">
        <f t="shared" si="702"/>
        <v>UN</v>
      </c>
      <c r="D17808" s="7">
        <v>704</v>
      </c>
      <c r="E17808" s="3">
        <v>9</v>
      </c>
      <c r="F17808" s="3">
        <v>9</v>
      </c>
      <c r="G17808" t="s">
        <v>514</v>
      </c>
    </row>
    <row r="17809" spans="1:7" x14ac:dyDescent="0.25">
      <c r="A17809" s="1" t="str">
        <f>"502398"</f>
        <v>502398</v>
      </c>
      <c r="B17809" s="2" t="str">
        <f>"PINO CENTRO 12X7 C. BAIXA"</f>
        <v>PINO CENTRO 12X7 C. BAIXA</v>
      </c>
      <c r="C17809" s="2" t="str">
        <f t="shared" si="702"/>
        <v>UN</v>
      </c>
      <c r="D17809" s="7">
        <v>704</v>
      </c>
      <c r="E17809" s="3">
        <v>9</v>
      </c>
      <c r="F17809" s="3">
        <v>9</v>
      </c>
      <c r="G17809" t="s">
        <v>514</v>
      </c>
    </row>
    <row r="17810" spans="1:7" x14ac:dyDescent="0.25">
      <c r="A17810" s="1" t="str">
        <f>"502008"</f>
        <v>502008</v>
      </c>
      <c r="B17810" s="2" t="str">
        <f>"PINO CENTRO 12X8 C. BAIXA"</f>
        <v>PINO CENTRO 12X8 C. BAIXA</v>
      </c>
      <c r="C17810" s="2" t="str">
        <f t="shared" si="702"/>
        <v>UN</v>
      </c>
      <c r="D17810" s="7">
        <v>704</v>
      </c>
      <c r="E17810" s="3">
        <v>9</v>
      </c>
      <c r="F17810" s="3">
        <v>9</v>
      </c>
      <c r="G17810" t="s">
        <v>514</v>
      </c>
    </row>
    <row r="17811" spans="1:7" x14ac:dyDescent="0.25">
      <c r="A17811" s="1" t="str">
        <f>"505548"</f>
        <v>505548</v>
      </c>
      <c r="B17811" s="2" t="str">
        <f>"PINO CENTRO 5/8 X 7 CB"</f>
        <v>PINO CENTRO 5/8 X 7 CB</v>
      </c>
      <c r="C17811" s="2" t="str">
        <f t="shared" si="702"/>
        <v>UN</v>
      </c>
      <c r="D17811" s="7">
        <v>704</v>
      </c>
      <c r="E17811" s="3">
        <v>9</v>
      </c>
      <c r="F17811" s="3">
        <v>9</v>
      </c>
      <c r="G17811" t="s">
        <v>513</v>
      </c>
    </row>
    <row r="17812" spans="1:7" x14ac:dyDescent="0.25">
      <c r="A17812" s="1" t="str">
        <f>"502847"</f>
        <v>502847</v>
      </c>
      <c r="B17812" s="2" t="str">
        <f>"PINO CENTRO 9/16X6 C. BAIXA"</f>
        <v>PINO CENTRO 9/16X6 C. BAIXA</v>
      </c>
      <c r="C17812" s="2" t="str">
        <f t="shared" si="702"/>
        <v>UN</v>
      </c>
      <c r="D17812" s="7">
        <v>704</v>
      </c>
      <c r="E17812" s="3">
        <v>9</v>
      </c>
      <c r="F17812" s="3">
        <v>9</v>
      </c>
      <c r="G17812" t="s">
        <v>512</v>
      </c>
    </row>
    <row r="17813" spans="1:7" x14ac:dyDescent="0.25">
      <c r="A17813" s="1" t="str">
        <f>"519148"</f>
        <v>519148</v>
      </c>
      <c r="B17813" s="2" t="str">
        <f>"PINO CENTRO 9/16X70 C.BAIXA"</f>
        <v>PINO CENTRO 9/16X70 C.BAIXA</v>
      </c>
      <c r="C17813" s="2" t="str">
        <f t="shared" si="702"/>
        <v>UN</v>
      </c>
      <c r="D17813" s="7">
        <v>704</v>
      </c>
      <c r="E17813" s="3">
        <v>9</v>
      </c>
      <c r="F17813" s="3">
        <v>9</v>
      </c>
      <c r="G17813" t="s">
        <v>513</v>
      </c>
    </row>
    <row r="17814" spans="1:7" x14ac:dyDescent="0.25">
      <c r="A17814" s="1" t="str">
        <f>"505429"</f>
        <v>505429</v>
      </c>
      <c r="B17814" s="2" t="str">
        <f>"PINO CENTRO 9/16X80 C.BAIXA"</f>
        <v>PINO CENTRO 9/16X80 C.BAIXA</v>
      </c>
      <c r="C17814" s="2" t="str">
        <f t="shared" si="702"/>
        <v>UN</v>
      </c>
      <c r="D17814" s="7">
        <v>704</v>
      </c>
      <c r="E17814" s="3">
        <v>9</v>
      </c>
      <c r="F17814" s="3">
        <v>9</v>
      </c>
      <c r="G17814" t="s">
        <v>514</v>
      </c>
    </row>
    <row r="17815" spans="1:7" x14ac:dyDescent="0.25">
      <c r="A17815" s="1" t="str">
        <f>"520024"</f>
        <v>520024</v>
      </c>
      <c r="B17815" s="2" t="str">
        <f>"PINO CI B NM090 4320 TEMPERADO P/ART C/BU NDB4825301 NETZSCH"</f>
        <v>PINO CI B NM090 4320 TEMPERADO P/ART C/BU NDB4825301 NETZSCH</v>
      </c>
      <c r="C17815" s="2" t="str">
        <f t="shared" si="702"/>
        <v>UN</v>
      </c>
      <c r="D17815" s="7">
        <v>918</v>
      </c>
      <c r="E17815" s="3">
        <v>11</v>
      </c>
      <c r="F17815" s="3">
        <v>11</v>
      </c>
      <c r="G17815" t="s">
        <v>514</v>
      </c>
    </row>
    <row r="17816" spans="1:7" x14ac:dyDescent="0.25">
      <c r="A17816" s="1" t="str">
        <f>"520020"</f>
        <v>520020</v>
      </c>
      <c r="B17816" s="2" t="str">
        <f>"PINO CI NDB4978233 NETZSCH"</f>
        <v>PINO CI NDB4978233 NETZSCH</v>
      </c>
      <c r="C17816" s="2" t="str">
        <f t="shared" si="702"/>
        <v>UN</v>
      </c>
      <c r="D17816" s="7">
        <v>918</v>
      </c>
      <c r="E17816" s="3">
        <v>11</v>
      </c>
      <c r="F17816" s="3">
        <v>11</v>
      </c>
      <c r="G17816" t="s">
        <v>514</v>
      </c>
    </row>
    <row r="17817" spans="1:7" x14ac:dyDescent="0.25">
      <c r="A17817" s="1" t="str">
        <f>"525498"</f>
        <v>525498</v>
      </c>
      <c r="B17817" s="2" t="str">
        <f>"PINO CI NM 090 304 BI PART. POL. NDB49634356"</f>
        <v>PINO CI NM 090 304 BI PART. POL. NDB49634356</v>
      </c>
      <c r="C17817" s="2" t="str">
        <f t="shared" si="702"/>
        <v>UN</v>
      </c>
      <c r="D17817" s="7">
        <v>918</v>
      </c>
      <c r="E17817" s="3">
        <v>11</v>
      </c>
      <c r="F17817" s="3">
        <v>11</v>
      </c>
      <c r="G17817" t="s">
        <v>513</v>
      </c>
    </row>
    <row r="17818" spans="1:7" x14ac:dyDescent="0.25">
      <c r="A17818" s="1" t="str">
        <f>"524450"</f>
        <v>524450</v>
      </c>
      <c r="B17818" s="2" t="str">
        <f>"PINO CI NM015 304 - BI-PARTIDO TSA POLIDO"</f>
        <v>PINO CI NM015 304 - BI-PARTIDO TSA POLIDO</v>
      </c>
      <c r="C17818" s="2" t="str">
        <f t="shared" si="702"/>
        <v>UN</v>
      </c>
      <c r="D17818" s="7">
        <v>813</v>
      </c>
      <c r="E17818" s="3">
        <v>11</v>
      </c>
      <c r="F17818" s="3">
        <v>11</v>
      </c>
      <c r="G17818" t="s">
        <v>513</v>
      </c>
    </row>
    <row r="17819" spans="1:7" x14ac:dyDescent="0.25">
      <c r="A17819" s="1" t="str">
        <f>"512319"</f>
        <v>512319</v>
      </c>
      <c r="B17819" s="2" t="str">
        <f>"PINO CI NM021 BI-PARTIDO REF.NDB868667 NETZSCH"</f>
        <v>PINO CI NM021 BI-PARTIDO REF.NDB868667 NETZSCH</v>
      </c>
      <c r="C17819" s="2" t="str">
        <f t="shared" si="702"/>
        <v>UN</v>
      </c>
      <c r="D17819" s="7">
        <v>918</v>
      </c>
      <c r="E17819" s="3">
        <v>11</v>
      </c>
      <c r="F17819" s="3">
        <v>11</v>
      </c>
      <c r="G17819" t="s">
        <v>513</v>
      </c>
    </row>
    <row r="17820" spans="1:7" x14ac:dyDescent="0.25">
      <c r="A17820" s="1" t="str">
        <f>"512320"</f>
        <v>512320</v>
      </c>
      <c r="B17820" s="2" t="str">
        <f>"PINO CI NM031 BI-PARTIDO REF.506353 NETZSCH"</f>
        <v>PINO CI NM031 BI-PARTIDO REF.506353 NETZSCH</v>
      </c>
      <c r="C17820" s="2" t="str">
        <f t="shared" si="702"/>
        <v>UN</v>
      </c>
      <c r="D17820" s="7">
        <v>918</v>
      </c>
      <c r="E17820" s="3">
        <v>11</v>
      </c>
      <c r="F17820" s="3">
        <v>11</v>
      </c>
      <c r="G17820" t="s">
        <v>512</v>
      </c>
    </row>
    <row r="17821" spans="1:7" x14ac:dyDescent="0.25">
      <c r="A17821" s="1" t="str">
        <f>"505233"</f>
        <v>505233</v>
      </c>
      <c r="B17821" s="2" t="str">
        <f>"PINO CI NM038 BI-PARTIDO REF.NDB4961483 NETZSCH"</f>
        <v>PINO CI NM038 BI-PARTIDO REF.NDB4961483 NETZSCH</v>
      </c>
      <c r="C17821" s="2" t="str">
        <f t="shared" si="702"/>
        <v>UN</v>
      </c>
      <c r="D17821" s="7">
        <v>918</v>
      </c>
      <c r="E17821" s="3">
        <v>11</v>
      </c>
      <c r="F17821" s="3">
        <v>11</v>
      </c>
      <c r="G17821" t="s">
        <v>513</v>
      </c>
    </row>
    <row r="17822" spans="1:7" x14ac:dyDescent="0.25">
      <c r="A17822" s="1" t="str">
        <f>"520022"</f>
        <v>520022</v>
      </c>
      <c r="B17822" s="2" t="str">
        <f>"PINO CI NM038B-(P) 316 NDB4978232 NETZSCH"</f>
        <v>PINO CI NM038B-(P) 316 NDB4978232 NETZSCH</v>
      </c>
      <c r="C17822" s="2" t="str">
        <f t="shared" si="702"/>
        <v>UN</v>
      </c>
      <c r="D17822" s="7">
        <v>918</v>
      </c>
      <c r="E17822" s="3">
        <v>11</v>
      </c>
      <c r="F17822" s="3">
        <v>11</v>
      </c>
      <c r="G17822" t="s">
        <v>514</v>
      </c>
    </row>
    <row r="17823" spans="1:7" x14ac:dyDescent="0.25">
      <c r="A17823" s="1" t="str">
        <f>"508312"</f>
        <v>508312</v>
      </c>
      <c r="B17823" s="2" t="str">
        <f>"PINO CI NM053 BI-PARTIDO REF.NDB4961484 NETZSCH"</f>
        <v>PINO CI NM053 BI-PARTIDO REF.NDB4961484 NETZSCH</v>
      </c>
      <c r="C17823" s="2" t="str">
        <f t="shared" si="702"/>
        <v>UN</v>
      </c>
      <c r="D17823" s="7">
        <v>918</v>
      </c>
      <c r="E17823" s="3">
        <v>11</v>
      </c>
      <c r="F17823" s="3">
        <v>11</v>
      </c>
      <c r="G17823" t="s">
        <v>515</v>
      </c>
    </row>
    <row r="17824" spans="1:7" x14ac:dyDescent="0.25">
      <c r="A17824" s="1" t="str">
        <f>"520021"</f>
        <v>520021</v>
      </c>
      <c r="B17824" s="2" t="str">
        <f>"PINO CI NM053B-(P) 316 NDB4978234 NETZSCH"</f>
        <v>PINO CI NM053B-(P) 316 NDB4978234 NETZSCH</v>
      </c>
      <c r="C17824" s="2" t="str">
        <f t="shared" si="702"/>
        <v>UN</v>
      </c>
      <c r="D17824" s="7">
        <v>918</v>
      </c>
      <c r="E17824" s="3">
        <v>11</v>
      </c>
      <c r="F17824" s="3">
        <v>11</v>
      </c>
      <c r="G17824" t="s">
        <v>512</v>
      </c>
    </row>
    <row r="17825" spans="1:7" x14ac:dyDescent="0.25">
      <c r="A17825" s="1" t="str">
        <f>"512321"</f>
        <v>512321</v>
      </c>
      <c r="B17825" s="2" t="str">
        <f>"PINO CI NM063 BI-PARTIDO REF.NDB4960199 NETZSCH"</f>
        <v>PINO CI NM063 BI-PARTIDO REF.NDB4960199 NETZSCH</v>
      </c>
      <c r="C17825" s="2" t="str">
        <f t="shared" si="702"/>
        <v>UN</v>
      </c>
      <c r="D17825" s="7">
        <v>918</v>
      </c>
      <c r="E17825" s="3">
        <v>11</v>
      </c>
      <c r="F17825" s="3">
        <v>11</v>
      </c>
      <c r="G17825" t="s">
        <v>516</v>
      </c>
    </row>
    <row r="17826" spans="1:7" x14ac:dyDescent="0.25">
      <c r="A17826" s="1" t="str">
        <f>"520023"</f>
        <v>520023</v>
      </c>
      <c r="B17826" s="2" t="str">
        <f>"PINO CI NM063B-(P) 316 NMP5067634 NETZSCH"</f>
        <v>PINO CI NM063B-(P) 316 NMP5067634 NETZSCH</v>
      </c>
      <c r="C17826" s="2" t="str">
        <f t="shared" si="702"/>
        <v>UN</v>
      </c>
      <c r="D17826" s="7">
        <v>918</v>
      </c>
      <c r="E17826" s="3">
        <v>11</v>
      </c>
      <c r="F17826" s="3">
        <v>11</v>
      </c>
      <c r="G17826" t="s">
        <v>515</v>
      </c>
    </row>
    <row r="17827" spans="1:7" x14ac:dyDescent="0.25">
      <c r="A17827" s="1" t="str">
        <f>"505920"</f>
        <v>505920</v>
      </c>
      <c r="B17827" s="2" t="str">
        <f>"PINO CI NMO45 BI-PARTIDO REF.NDB4961628 NETZSCH"</f>
        <v>PINO CI NMO45 BI-PARTIDO REF.NDB4961628 NETZSCH</v>
      </c>
      <c r="C17827" s="2" t="str">
        <f t="shared" si="702"/>
        <v>UN</v>
      </c>
      <c r="D17827" s="7">
        <v>918</v>
      </c>
      <c r="E17827" s="3">
        <v>11</v>
      </c>
      <c r="F17827" s="3">
        <v>11</v>
      </c>
      <c r="G17827" t="s">
        <v>514</v>
      </c>
    </row>
    <row r="17828" spans="1:7" x14ac:dyDescent="0.25">
      <c r="A17828" s="1" t="str">
        <f>"508016"</f>
        <v>508016</v>
      </c>
      <c r="B17828" s="2" t="str">
        <f>"PINO CI NMO90 BI-PARTIDO REF.NDB4825301 NETZSCH"</f>
        <v>PINO CI NMO90 BI-PARTIDO REF.NDB4825301 NETZSCH</v>
      </c>
      <c r="C17828" s="2" t="str">
        <f t="shared" si="702"/>
        <v>UN</v>
      </c>
      <c r="D17828" s="7">
        <v>918</v>
      </c>
      <c r="E17828" s="3">
        <v>11</v>
      </c>
      <c r="F17828" s="3">
        <v>11</v>
      </c>
      <c r="G17828" t="s">
        <v>512</v>
      </c>
    </row>
    <row r="17829" spans="1:7" x14ac:dyDescent="0.25">
      <c r="A17829" s="1" t="str">
        <f>"521859"</f>
        <v>521859</v>
      </c>
      <c r="B17829" s="2" t="str">
        <f>"PINO CI NMO90BH01L06N BI-PARTIDO POLIDO NDB4978237"</f>
        <v>PINO CI NMO90BH01L06N BI-PARTIDO POLIDO NDB4978237</v>
      </c>
      <c r="C17829" s="2" t="str">
        <f t="shared" si="702"/>
        <v>UN</v>
      </c>
      <c r="D17829" s="7">
        <v>918</v>
      </c>
      <c r="E17829" s="3">
        <v>11</v>
      </c>
      <c r="F17829" s="3">
        <v>11</v>
      </c>
      <c r="G17829" t="s">
        <v>513</v>
      </c>
    </row>
    <row r="17830" spans="1:7" x14ac:dyDescent="0.25">
      <c r="A17830" s="1" t="str">
        <f>"527751"</f>
        <v>527751</v>
      </c>
      <c r="B17830" s="2" t="str">
        <f>"PINO CILINDRICO NETZSCH COD NDB4994982 BBA NM090"</f>
        <v>PINO CILINDRICO NETZSCH COD NDB4994982 BBA NM090</v>
      </c>
      <c r="C17830" s="2" t="str">
        <f t="shared" si="702"/>
        <v>UN</v>
      </c>
      <c r="D17830" s="7">
        <v>918</v>
      </c>
      <c r="E17830" s="3">
        <v>11</v>
      </c>
      <c r="F17830" s="3">
        <v>11</v>
      </c>
      <c r="G17830" t="s">
        <v>514</v>
      </c>
    </row>
    <row r="17831" spans="1:7" x14ac:dyDescent="0.25">
      <c r="A17831" s="1" t="str">
        <f>"517731"</f>
        <v>517731</v>
      </c>
      <c r="B17831" s="2" t="str">
        <f>"PINO CINTA DO TANQUE 300LTS"</f>
        <v>PINO CINTA DO TANQUE 300LTS</v>
      </c>
      <c r="C17831" s="2" t="str">
        <f t="shared" si="702"/>
        <v>UN</v>
      </c>
      <c r="D17831" s="7">
        <v>704</v>
      </c>
      <c r="E17831" s="3">
        <v>16</v>
      </c>
      <c r="F17831" s="3">
        <v>16</v>
      </c>
      <c r="G17831" t="s">
        <v>514</v>
      </c>
    </row>
    <row r="17832" spans="1:7" x14ac:dyDescent="0.25">
      <c r="A17832" s="1" t="str">
        <f>"507133"</f>
        <v>507133</v>
      </c>
      <c r="B17832" s="2" t="str">
        <f>"PINO COD. 05.3120.052.50"</f>
        <v>PINO COD. 05.3120.052.50</v>
      </c>
      <c r="C17832" s="2" t="str">
        <f t="shared" si="702"/>
        <v>UN</v>
      </c>
      <c r="D17832" s="7">
        <v>918</v>
      </c>
      <c r="E17832" s="3">
        <v>11</v>
      </c>
      <c r="F17832" s="3">
        <v>11</v>
      </c>
      <c r="G17832" t="s">
        <v>512</v>
      </c>
    </row>
    <row r="17833" spans="1:7" x14ac:dyDescent="0.25">
      <c r="A17833" s="1" t="str">
        <f>"502589"</f>
        <v>502589</v>
      </c>
      <c r="B17833" s="2" t="str">
        <f>"PINO COD.0080001300 BYG L2000"</f>
        <v>PINO COD.0080001300 BYG L2000</v>
      </c>
      <c r="C17833" s="2" t="str">
        <f t="shared" si="702"/>
        <v>UN</v>
      </c>
      <c r="D17833" s="7">
        <v>918</v>
      </c>
      <c r="E17833" s="3">
        <v>11</v>
      </c>
      <c r="F17833" s="3">
        <v>11</v>
      </c>
      <c r="G17833" t="s">
        <v>513</v>
      </c>
    </row>
    <row r="17834" spans="1:7" x14ac:dyDescent="0.25">
      <c r="A17834" s="1" t="str">
        <f>"505341"</f>
        <v>505341</v>
      </c>
      <c r="B17834" s="2" t="str">
        <f>"PINO COD.009300220 BYG L3000"</f>
        <v>PINO COD.009300220 BYG L3000</v>
      </c>
      <c r="C17834" s="2" t="str">
        <f t="shared" si="702"/>
        <v>UN</v>
      </c>
      <c r="D17834" s="7">
        <v>918</v>
      </c>
      <c r="E17834" s="3">
        <v>11</v>
      </c>
      <c r="F17834" s="3">
        <v>11</v>
      </c>
      <c r="G17834" t="s">
        <v>514</v>
      </c>
    </row>
    <row r="17835" spans="1:7" x14ac:dyDescent="0.25">
      <c r="A17835" s="1" t="str">
        <f>"512818"</f>
        <v>512818</v>
      </c>
      <c r="B17835" s="2" t="str">
        <f>"PINO CON 8X110 DIN1"</f>
        <v>PINO CON 8X110 DIN1</v>
      </c>
      <c r="C17835" s="2" t="str">
        <f t="shared" si="702"/>
        <v>UN</v>
      </c>
      <c r="D17835" s="7">
        <v>402</v>
      </c>
      <c r="E17835" s="3">
        <v>4</v>
      </c>
      <c r="F17835" s="3">
        <v>4</v>
      </c>
      <c r="G17835" t="s">
        <v>514</v>
      </c>
    </row>
    <row r="17836" spans="1:7" x14ac:dyDescent="0.25">
      <c r="A17836" s="1" t="str">
        <f>"512809"</f>
        <v>512809</v>
      </c>
      <c r="B17836" s="2" t="str">
        <f>"PINO CON 8X45 AISI4340 DIN1"</f>
        <v>PINO CON 8X45 AISI4340 DIN1</v>
      </c>
      <c r="C17836" s="2" t="str">
        <f t="shared" ref="C17836:C17867" si="703">"UN"</f>
        <v>UN</v>
      </c>
      <c r="D17836" s="7">
        <v>918</v>
      </c>
      <c r="E17836" s="3">
        <v>11</v>
      </c>
      <c r="F17836" s="3">
        <v>11</v>
      </c>
      <c r="G17836" t="s">
        <v>514</v>
      </c>
    </row>
    <row r="17837" spans="1:7" x14ac:dyDescent="0.25">
      <c r="A17837" s="1" t="str">
        <f>"505818"</f>
        <v>505818</v>
      </c>
      <c r="B17837" s="2" t="str">
        <f>"PINO CON 8X45 COD. 45200103"</f>
        <v>PINO CON 8X45 COD. 45200103</v>
      </c>
      <c r="C17837" s="2" t="str">
        <f t="shared" si="703"/>
        <v>UN</v>
      </c>
      <c r="D17837" s="7">
        <v>918</v>
      </c>
      <c r="E17837" s="3">
        <v>11</v>
      </c>
      <c r="F17837" s="3">
        <v>11</v>
      </c>
      <c r="G17837" t="s">
        <v>513</v>
      </c>
    </row>
    <row r="17838" spans="1:7" x14ac:dyDescent="0.25">
      <c r="A17838" s="1" t="str">
        <f>"505817"</f>
        <v>505817</v>
      </c>
      <c r="B17838" s="2" t="str">
        <f>"PINO CON 8X60 COD. 45250503"</f>
        <v>PINO CON 8X60 COD. 45250503</v>
      </c>
      <c r="C17838" s="2" t="str">
        <f t="shared" si="703"/>
        <v>UN</v>
      </c>
      <c r="D17838" s="7">
        <v>918</v>
      </c>
      <c r="E17838" s="3">
        <v>11</v>
      </c>
      <c r="F17838" s="3">
        <v>11</v>
      </c>
      <c r="G17838" t="s">
        <v>512</v>
      </c>
    </row>
    <row r="17839" spans="1:7" x14ac:dyDescent="0.25">
      <c r="A17839" s="1" t="str">
        <f>"512817"</f>
        <v>512817</v>
      </c>
      <c r="B17839" s="2" t="str">
        <f>"PINO CON 8X70 DIN1"</f>
        <v>PINO CON 8X70 DIN1</v>
      </c>
      <c r="C17839" s="2" t="str">
        <f t="shared" si="703"/>
        <v>UN</v>
      </c>
      <c r="D17839" s="7">
        <v>402</v>
      </c>
      <c r="E17839" s="3">
        <v>4</v>
      </c>
      <c r="F17839" s="3">
        <v>4</v>
      </c>
      <c r="G17839" t="s">
        <v>513</v>
      </c>
    </row>
    <row r="17840" spans="1:7" x14ac:dyDescent="0.25">
      <c r="A17840" s="1" t="str">
        <f>"515999"</f>
        <v>515999</v>
      </c>
      <c r="B17840" s="2" t="str">
        <f>"PINO CONECTOR P/ MANGUEIRA 1/4"""</f>
        <v>PINO CONECTOR P/ MANGUEIRA 1/4"</v>
      </c>
      <c r="C17840" s="2" t="str">
        <f t="shared" si="703"/>
        <v>UN</v>
      </c>
      <c r="D17840" s="7">
        <v>99999</v>
      </c>
      <c r="E17840" s="3">
        <v>99</v>
      </c>
      <c r="F17840" s="3">
        <v>99</v>
      </c>
      <c r="G17840" t="s">
        <v>514</v>
      </c>
    </row>
    <row r="17841" spans="1:7" x14ac:dyDescent="0.25">
      <c r="A17841" s="1" t="str">
        <f>"516088"</f>
        <v>516088</v>
      </c>
      <c r="B17841" s="2" t="str">
        <f>"PINO CONICO 8 X 60MM  AISI 340 DINI"</f>
        <v>PINO CONICO 8 X 60MM  AISI 340 DINI</v>
      </c>
      <c r="C17841" s="2" t="str">
        <f t="shared" si="703"/>
        <v>UN</v>
      </c>
      <c r="D17841" s="7">
        <v>812</v>
      </c>
      <c r="E17841" s="3">
        <v>11</v>
      </c>
      <c r="F17841" s="3">
        <v>11</v>
      </c>
      <c r="G17841" t="s">
        <v>514</v>
      </c>
    </row>
    <row r="17842" spans="1:7" x14ac:dyDescent="0.25">
      <c r="A17842" s="1" t="str">
        <f>"510439"</f>
        <v>510439</v>
      </c>
      <c r="B17842" s="2" t="str">
        <f>"PINO CONICO 8 X 60MM AISI 340 DIN"</f>
        <v>PINO CONICO 8 X 60MM AISI 340 DIN</v>
      </c>
      <c r="C17842" s="2" t="str">
        <f t="shared" si="703"/>
        <v>UN</v>
      </c>
      <c r="D17842" s="7">
        <v>918</v>
      </c>
      <c r="E17842" s="3">
        <v>11</v>
      </c>
      <c r="F17842" s="3">
        <v>11</v>
      </c>
      <c r="G17842" t="s">
        <v>514</v>
      </c>
    </row>
    <row r="17843" spans="1:7" x14ac:dyDescent="0.25">
      <c r="A17843" s="1" t="str">
        <f>"516089"</f>
        <v>516089</v>
      </c>
      <c r="B17843" s="2" t="str">
        <f>"PINO CONICO 8 X 90MM  AISI 340 DINI"</f>
        <v>PINO CONICO 8 X 90MM  AISI 340 DINI</v>
      </c>
      <c r="C17843" s="2" t="str">
        <f t="shared" si="703"/>
        <v>UN</v>
      </c>
      <c r="D17843" s="7">
        <v>812</v>
      </c>
      <c r="E17843" s="3">
        <v>11</v>
      </c>
      <c r="F17843" s="3">
        <v>11</v>
      </c>
      <c r="G17843" t="s">
        <v>513</v>
      </c>
    </row>
    <row r="17844" spans="1:7" x14ac:dyDescent="0.25">
      <c r="A17844" s="1" t="str">
        <f>"505561"</f>
        <v>505561</v>
      </c>
      <c r="B17844" s="2" t="str">
        <f>"PINO CONICO 8X45MM REF.AISI4340"</f>
        <v>PINO CONICO 8X45MM REF.AISI4340</v>
      </c>
      <c r="C17844" s="2" t="str">
        <f t="shared" si="703"/>
        <v>UN</v>
      </c>
      <c r="D17844" s="7">
        <v>918</v>
      </c>
      <c r="E17844" s="3">
        <v>11</v>
      </c>
      <c r="F17844" s="3">
        <v>11</v>
      </c>
      <c r="G17844" t="s">
        <v>513</v>
      </c>
    </row>
    <row r="17845" spans="1:7" x14ac:dyDescent="0.25">
      <c r="A17845" s="1" t="str">
        <f>"519894"</f>
        <v>519894</v>
      </c>
      <c r="B17845" s="2" t="str">
        <f>"PINO COXIM TRAS. CABINE"</f>
        <v>PINO COXIM TRAS. CABINE</v>
      </c>
      <c r="C17845" s="2" t="str">
        <f t="shared" si="703"/>
        <v>UN</v>
      </c>
      <c r="D17845" s="7">
        <v>704</v>
      </c>
      <c r="E17845" s="3">
        <v>9</v>
      </c>
      <c r="F17845" s="3">
        <v>9</v>
      </c>
      <c r="G17845" t="s">
        <v>513</v>
      </c>
    </row>
    <row r="17846" spans="1:7" x14ac:dyDescent="0.25">
      <c r="A17846" s="1" t="str">
        <f>"501714"</f>
        <v>501714</v>
      </c>
      <c r="B17846" s="2" t="str">
        <f>"PINO DA CUICA"</f>
        <v>PINO DA CUICA</v>
      </c>
      <c r="C17846" s="2" t="str">
        <f t="shared" si="703"/>
        <v>UN</v>
      </c>
      <c r="D17846" s="7">
        <v>704</v>
      </c>
      <c r="E17846" s="3">
        <v>9</v>
      </c>
      <c r="F17846" s="3">
        <v>9</v>
      </c>
      <c r="G17846" t="s">
        <v>512</v>
      </c>
    </row>
    <row r="17847" spans="1:7" x14ac:dyDescent="0.25">
      <c r="A17847" s="1" t="str">
        <f>"524642"</f>
        <v>524642</v>
      </c>
      <c r="B17847" s="2" t="str">
        <f>"PINO DA PRENSA DMAX 20X105"</f>
        <v>PINO DA PRENSA DMAX 20X105</v>
      </c>
      <c r="C17847" s="2" t="str">
        <f t="shared" si="703"/>
        <v>UN</v>
      </c>
      <c r="D17847" s="7">
        <v>918</v>
      </c>
      <c r="E17847" s="3">
        <v>10</v>
      </c>
      <c r="F17847" s="3">
        <v>10</v>
      </c>
      <c r="G17847" t="s">
        <v>513</v>
      </c>
    </row>
    <row r="17848" spans="1:7" x14ac:dyDescent="0.25">
      <c r="A17848" s="1" t="str">
        <f>"524643"</f>
        <v>524643</v>
      </c>
      <c r="B17848" s="2" t="str">
        <f>"PINO DA PRENSA DMAX 20X91"</f>
        <v>PINO DA PRENSA DMAX 20X91</v>
      </c>
      <c r="C17848" s="2" t="str">
        <f t="shared" si="703"/>
        <v>UN</v>
      </c>
      <c r="D17848" s="7">
        <v>918</v>
      </c>
      <c r="E17848" s="3">
        <v>10</v>
      </c>
      <c r="F17848" s="3">
        <v>10</v>
      </c>
      <c r="G17848" t="s">
        <v>514</v>
      </c>
    </row>
    <row r="17849" spans="1:7" x14ac:dyDescent="0.25">
      <c r="A17849" s="1" t="str">
        <f>"505398"</f>
        <v>505398</v>
      </c>
      <c r="B17849" s="2" t="str">
        <f>"PINO DA TURBINA"</f>
        <v>PINO DA TURBINA</v>
      </c>
      <c r="C17849" s="2" t="str">
        <f t="shared" si="703"/>
        <v>UN</v>
      </c>
      <c r="D17849" s="7">
        <v>704</v>
      </c>
      <c r="E17849" s="3">
        <v>9</v>
      </c>
      <c r="F17849" s="3">
        <v>9</v>
      </c>
      <c r="G17849" t="s">
        <v>515</v>
      </c>
    </row>
    <row r="17850" spans="1:7" x14ac:dyDescent="0.25">
      <c r="A17850" s="1" t="str">
        <f>"517074"</f>
        <v>517074</v>
      </c>
      <c r="B17850" s="2" t="str">
        <f>"PINO DARK P/ VALVUL BORBOLETA 2"""</f>
        <v>PINO DARK P/ VALVUL BORBOLETA 2"</v>
      </c>
      <c r="C17850" s="2" t="str">
        <f t="shared" si="703"/>
        <v>UN</v>
      </c>
      <c r="D17850" s="7">
        <v>913</v>
      </c>
      <c r="E17850" s="3">
        <v>11</v>
      </c>
      <c r="F17850" s="3">
        <v>11</v>
      </c>
      <c r="G17850" t="s">
        <v>512</v>
      </c>
    </row>
    <row r="17851" spans="1:7" x14ac:dyDescent="0.25">
      <c r="A17851" s="1" t="str">
        <f>"504329"</f>
        <v>504329</v>
      </c>
      <c r="B17851" s="2" t="str">
        <f>"PINO DE CENTRO 12X8 C.BAIXA"</f>
        <v>PINO DE CENTRO 12X8 C.BAIXA</v>
      </c>
      <c r="C17851" s="2" t="str">
        <f t="shared" si="703"/>
        <v>UN</v>
      </c>
      <c r="D17851" s="7">
        <v>704</v>
      </c>
      <c r="E17851" s="3">
        <v>9</v>
      </c>
      <c r="F17851" s="3">
        <v>9</v>
      </c>
      <c r="G17851" t="s">
        <v>516</v>
      </c>
    </row>
    <row r="17852" spans="1:7" x14ac:dyDescent="0.25">
      <c r="A17852" s="1" t="str">
        <f>"507122"</f>
        <v>507122</v>
      </c>
      <c r="B17852" s="2" t="str">
        <f>"PINO DE FICCAO COD. 05.3120.011.50"</f>
        <v>PINO DE FICCAO COD. 05.3120.011.50</v>
      </c>
      <c r="C17852" s="2" t="str">
        <f t="shared" si="703"/>
        <v>UN</v>
      </c>
      <c r="D17852" s="7">
        <v>918</v>
      </c>
      <c r="E17852" s="3">
        <v>11</v>
      </c>
      <c r="F17852" s="3">
        <v>11</v>
      </c>
      <c r="G17852" t="s">
        <v>515</v>
      </c>
    </row>
    <row r="17853" spans="1:7" x14ac:dyDescent="0.25">
      <c r="A17853" s="1" t="str">
        <f>"509034"</f>
        <v>509034</v>
      </c>
      <c r="B17853" s="2" t="str">
        <f>"PINO DE FRICÇAO 05.3120.011.50"</f>
        <v>PINO DE FRICÇAO 05.3120.011.50</v>
      </c>
      <c r="C17853" s="2" t="str">
        <f t="shared" si="703"/>
        <v>UN</v>
      </c>
      <c r="D17853" s="7">
        <v>918</v>
      </c>
      <c r="E17853" s="3">
        <v>11</v>
      </c>
      <c r="F17853" s="3">
        <v>11</v>
      </c>
      <c r="G17853" t="s">
        <v>514</v>
      </c>
    </row>
    <row r="17854" spans="1:7" x14ac:dyDescent="0.25">
      <c r="A17854" s="1" t="str">
        <f>"500350"</f>
        <v>500350</v>
      </c>
      <c r="B17854" s="2" t="str">
        <f>"PINO DE MOLA"</f>
        <v>PINO DE MOLA</v>
      </c>
      <c r="C17854" s="2" t="str">
        <f t="shared" si="703"/>
        <v>UN</v>
      </c>
      <c r="D17854" s="7">
        <v>99999</v>
      </c>
      <c r="E17854" s="3">
        <v>99</v>
      </c>
      <c r="F17854" s="3">
        <v>99</v>
      </c>
      <c r="G17854" t="s">
        <v>512</v>
      </c>
    </row>
    <row r="17855" spans="1:7" x14ac:dyDescent="0.25">
      <c r="A17855" s="1" t="str">
        <f>"502021"</f>
        <v>502021</v>
      </c>
      <c r="B17855" s="2" t="str">
        <f>"PINO DO BRAÇO TIRANTE RODOVIARIA"</f>
        <v>PINO DO BRAÇO TIRANTE RODOVIARIA</v>
      </c>
      <c r="C17855" s="2" t="str">
        <f t="shared" si="703"/>
        <v>UN</v>
      </c>
      <c r="D17855" s="7">
        <v>704</v>
      </c>
      <c r="E17855" s="3">
        <v>9</v>
      </c>
      <c r="F17855" s="3">
        <v>9</v>
      </c>
      <c r="G17855" t="s">
        <v>513</v>
      </c>
    </row>
    <row r="17856" spans="1:7" x14ac:dyDescent="0.25">
      <c r="A17856" s="1" t="str">
        <f>"504993"</f>
        <v>504993</v>
      </c>
      <c r="B17856" s="2" t="str">
        <f>"PINO DO PEDAL ACELERADOR"</f>
        <v>PINO DO PEDAL ACELERADOR</v>
      </c>
      <c r="C17856" s="2" t="str">
        <f t="shared" si="703"/>
        <v>UN</v>
      </c>
      <c r="D17856" s="7">
        <v>704</v>
      </c>
      <c r="E17856" s="3">
        <v>9</v>
      </c>
      <c r="F17856" s="3">
        <v>9</v>
      </c>
      <c r="G17856" t="s">
        <v>514</v>
      </c>
    </row>
    <row r="17857" spans="1:7" x14ac:dyDescent="0.25">
      <c r="A17857" s="1" t="str">
        <f>"502618"</f>
        <v>502618</v>
      </c>
      <c r="B17857" s="2" t="str">
        <f>"PINO DO ROTOR BC600"</f>
        <v>PINO DO ROTOR BC600</v>
      </c>
      <c r="C17857" s="2" t="str">
        <f t="shared" si="703"/>
        <v>UN</v>
      </c>
      <c r="D17857" s="7">
        <v>918</v>
      </c>
      <c r="E17857" s="3">
        <v>11</v>
      </c>
      <c r="F17857" s="3">
        <v>11</v>
      </c>
      <c r="G17857" t="s">
        <v>514</v>
      </c>
    </row>
    <row r="17858" spans="1:7" x14ac:dyDescent="0.25">
      <c r="A17858" s="1" t="str">
        <f>"508187"</f>
        <v>508187</v>
      </c>
      <c r="B17858" s="2" t="str">
        <f>"PINO DOBRADIÇA GOL G3 C/ BUCHA DE LATAO"</f>
        <v>PINO DOBRADIÇA GOL G3 C/ BUCHA DE LATAO</v>
      </c>
      <c r="C17858" s="2" t="str">
        <f t="shared" si="703"/>
        <v>UN</v>
      </c>
      <c r="D17858" s="7">
        <v>704</v>
      </c>
      <c r="E17858" s="3">
        <v>9</v>
      </c>
      <c r="F17858" s="3">
        <v>9</v>
      </c>
      <c r="G17858" t="s">
        <v>512</v>
      </c>
    </row>
    <row r="17859" spans="1:7" x14ac:dyDescent="0.25">
      <c r="A17859" s="1" t="str">
        <f>"522888"</f>
        <v>522888</v>
      </c>
      <c r="B17859" s="2" t="str">
        <f>"PINO EIXO TRASEIRO"</f>
        <v>PINO EIXO TRASEIRO</v>
      </c>
      <c r="C17859" s="2" t="str">
        <f t="shared" si="703"/>
        <v>UN</v>
      </c>
      <c r="D17859" s="7">
        <v>918</v>
      </c>
      <c r="E17859" s="3">
        <v>10</v>
      </c>
      <c r="F17859" s="3">
        <v>10</v>
      </c>
      <c r="G17859" t="s">
        <v>513</v>
      </c>
    </row>
    <row r="17860" spans="1:7" x14ac:dyDescent="0.25">
      <c r="A17860" s="1" t="str">
        <f>"501709"</f>
        <v>501709</v>
      </c>
      <c r="B17860" s="2" t="str">
        <f>"PINO ELASTICO"</f>
        <v>PINO ELASTICO</v>
      </c>
      <c r="C17860" s="2" t="str">
        <f t="shared" si="703"/>
        <v>UN</v>
      </c>
      <c r="D17860" s="7">
        <v>918</v>
      </c>
      <c r="E17860" s="3">
        <v>11</v>
      </c>
      <c r="F17860" s="3">
        <v>11</v>
      </c>
      <c r="G17860" t="s">
        <v>514</v>
      </c>
    </row>
    <row r="17861" spans="1:7" x14ac:dyDescent="0.25">
      <c r="A17861" s="1" t="str">
        <f>"509053"</f>
        <v>509053</v>
      </c>
      <c r="B17861" s="2" t="str">
        <f>"PINO ELASTICO 009200005"</f>
        <v>PINO ELASTICO 009200005</v>
      </c>
      <c r="C17861" s="2" t="str">
        <f t="shared" si="703"/>
        <v>UN</v>
      </c>
      <c r="D17861" s="7">
        <v>918</v>
      </c>
      <c r="E17861" s="3">
        <v>11</v>
      </c>
      <c r="F17861" s="3">
        <v>11</v>
      </c>
      <c r="G17861" t="s">
        <v>514</v>
      </c>
    </row>
    <row r="17862" spans="1:7" x14ac:dyDescent="0.25">
      <c r="A17862" s="1" t="str">
        <f>"509077"</f>
        <v>509077</v>
      </c>
      <c r="B17862" s="2" t="str">
        <f>"PINO ELASTICO 009200064"</f>
        <v>PINO ELASTICO 009200064</v>
      </c>
      <c r="C17862" s="2" t="str">
        <f t="shared" si="703"/>
        <v>UN</v>
      </c>
      <c r="D17862" s="7">
        <v>918</v>
      </c>
      <c r="E17862" s="3">
        <v>11</v>
      </c>
      <c r="F17862" s="3">
        <v>11</v>
      </c>
      <c r="G17862" t="s">
        <v>514</v>
      </c>
    </row>
    <row r="17863" spans="1:7" x14ac:dyDescent="0.25">
      <c r="A17863" s="1" t="str">
        <f>"509054"</f>
        <v>509054</v>
      </c>
      <c r="B17863" s="2" t="str">
        <f>"PINO ELASTICO 009200080"</f>
        <v>PINO ELASTICO 009200080</v>
      </c>
      <c r="C17863" s="2" t="str">
        <f t="shared" si="703"/>
        <v>UN</v>
      </c>
      <c r="D17863" s="7">
        <v>909</v>
      </c>
      <c r="E17863" s="3">
        <v>11</v>
      </c>
      <c r="F17863" s="3">
        <v>11</v>
      </c>
      <c r="G17863" t="s">
        <v>513</v>
      </c>
    </row>
    <row r="17864" spans="1:7" x14ac:dyDescent="0.25">
      <c r="A17864" s="1" t="str">
        <f>"509082"</f>
        <v>509082</v>
      </c>
      <c r="B17864" s="2" t="str">
        <f>"PINO ELASTICO 009200137"</f>
        <v>PINO ELASTICO 009200137</v>
      </c>
      <c r="C17864" s="2" t="str">
        <f t="shared" si="703"/>
        <v>UN</v>
      </c>
      <c r="D17864" s="7">
        <v>918</v>
      </c>
      <c r="E17864" s="3">
        <v>11</v>
      </c>
      <c r="F17864" s="3">
        <v>11</v>
      </c>
      <c r="G17864" t="s">
        <v>512</v>
      </c>
    </row>
    <row r="17865" spans="1:7" x14ac:dyDescent="0.25">
      <c r="A17865" s="1" t="str">
        <f>"509055"</f>
        <v>509055</v>
      </c>
      <c r="B17865" s="2" t="str">
        <f>"PINO ELASTICO 009200145"</f>
        <v>PINO ELASTICO 009200145</v>
      </c>
      <c r="C17865" s="2" t="str">
        <f t="shared" si="703"/>
        <v>UN</v>
      </c>
      <c r="D17865" s="7">
        <v>918</v>
      </c>
      <c r="E17865" s="3">
        <v>11</v>
      </c>
      <c r="F17865" s="3">
        <v>11</v>
      </c>
      <c r="G17865" t="s">
        <v>513</v>
      </c>
    </row>
    <row r="17866" spans="1:7" x14ac:dyDescent="0.25">
      <c r="A17866" s="1" t="str">
        <f>"509056"</f>
        <v>509056</v>
      </c>
      <c r="B17866" s="2" t="str">
        <f>"PINO ELASTICO 009200153"</f>
        <v>PINO ELASTICO 009200153</v>
      </c>
      <c r="C17866" s="2" t="str">
        <f t="shared" si="703"/>
        <v>UN</v>
      </c>
      <c r="D17866" s="7">
        <v>918</v>
      </c>
      <c r="E17866" s="3">
        <v>11</v>
      </c>
      <c r="F17866" s="3">
        <v>11</v>
      </c>
      <c r="G17866" t="s">
        <v>514</v>
      </c>
    </row>
    <row r="17867" spans="1:7" x14ac:dyDescent="0.25">
      <c r="A17867" s="1" t="str">
        <f>"506013"</f>
        <v>506013</v>
      </c>
      <c r="B17867" s="2" t="str">
        <f>"PINO ELASTICO 3X20MM"</f>
        <v>PINO ELASTICO 3X20MM</v>
      </c>
      <c r="C17867" s="2" t="str">
        <f t="shared" si="703"/>
        <v>UN</v>
      </c>
      <c r="D17867" s="7">
        <v>402</v>
      </c>
      <c r="E17867" s="3">
        <v>4</v>
      </c>
      <c r="F17867" s="3">
        <v>4</v>
      </c>
      <c r="G17867" t="s">
        <v>514</v>
      </c>
    </row>
    <row r="17868" spans="1:7" x14ac:dyDescent="0.25">
      <c r="A17868" s="1" t="str">
        <f>"506803"</f>
        <v>506803</v>
      </c>
      <c r="B17868" s="2" t="str">
        <f>"PINO ELASTICO 3X24MM"</f>
        <v>PINO ELASTICO 3X24MM</v>
      </c>
      <c r="C17868" s="2" t="str">
        <f t="shared" ref="C17868:C17899" si="704">"UN"</f>
        <v>UN</v>
      </c>
      <c r="D17868" s="7">
        <v>918</v>
      </c>
      <c r="E17868" s="3">
        <v>11</v>
      </c>
      <c r="F17868" s="3">
        <v>11</v>
      </c>
      <c r="G17868" t="s">
        <v>514</v>
      </c>
    </row>
    <row r="17869" spans="1:7" x14ac:dyDescent="0.25">
      <c r="A17869" s="1" t="str">
        <f>"506801"</f>
        <v>506801</v>
      </c>
      <c r="B17869" s="2" t="str">
        <f>"PINO ELASTICO 3X30MM"</f>
        <v>PINO ELASTICO 3X30MM</v>
      </c>
      <c r="C17869" s="2" t="str">
        <f t="shared" si="704"/>
        <v>UN</v>
      </c>
      <c r="D17869" s="7">
        <v>918</v>
      </c>
      <c r="E17869" s="3">
        <v>11</v>
      </c>
      <c r="F17869" s="3">
        <v>11</v>
      </c>
      <c r="G17869" t="s">
        <v>513</v>
      </c>
    </row>
    <row r="17870" spans="1:7" x14ac:dyDescent="0.25">
      <c r="A17870" s="1" t="str">
        <f>"506802"</f>
        <v>506802</v>
      </c>
      <c r="B17870" s="2" t="str">
        <f>"PINO ELASTICO 3X35MM"</f>
        <v>PINO ELASTICO 3X35MM</v>
      </c>
      <c r="C17870" s="2" t="str">
        <f t="shared" si="704"/>
        <v>UN</v>
      </c>
      <c r="D17870" s="7">
        <v>918</v>
      </c>
      <c r="E17870" s="3">
        <v>11</v>
      </c>
      <c r="F17870" s="3">
        <v>11</v>
      </c>
      <c r="G17870" t="s">
        <v>513</v>
      </c>
    </row>
    <row r="17871" spans="1:7" x14ac:dyDescent="0.25">
      <c r="A17871" s="1" t="str">
        <f>"506804"</f>
        <v>506804</v>
      </c>
      <c r="B17871" s="2" t="str">
        <f>"PINO ELASTICO 3X40MM"</f>
        <v>PINO ELASTICO 3X40MM</v>
      </c>
      <c r="C17871" s="2" t="str">
        <f t="shared" si="704"/>
        <v>UN</v>
      </c>
      <c r="D17871" s="7">
        <v>918</v>
      </c>
      <c r="E17871" s="3">
        <v>11</v>
      </c>
      <c r="F17871" s="3">
        <v>11</v>
      </c>
      <c r="G17871" t="s">
        <v>513</v>
      </c>
    </row>
    <row r="17872" spans="1:7" x14ac:dyDescent="0.25">
      <c r="A17872" s="1" t="str">
        <f>"506805"</f>
        <v>506805</v>
      </c>
      <c r="B17872" s="2" t="str">
        <f>"PINO ELASTICO 4X20MM"</f>
        <v>PINO ELASTICO 4X20MM</v>
      </c>
      <c r="C17872" s="2" t="str">
        <f t="shared" si="704"/>
        <v>UN</v>
      </c>
      <c r="D17872" s="7">
        <v>918</v>
      </c>
      <c r="E17872" s="3">
        <v>11</v>
      </c>
      <c r="F17872" s="3">
        <v>11</v>
      </c>
      <c r="G17872" t="s">
        <v>512</v>
      </c>
    </row>
    <row r="17873" spans="1:7" x14ac:dyDescent="0.25">
      <c r="A17873" s="1" t="str">
        <f>"503804"</f>
        <v>503804</v>
      </c>
      <c r="B17873" s="2" t="str">
        <f>"PINO ELASTICO 4X25MM"</f>
        <v>PINO ELASTICO 4X25MM</v>
      </c>
      <c r="C17873" s="2" t="str">
        <f t="shared" si="704"/>
        <v>UN</v>
      </c>
      <c r="D17873" s="7">
        <v>402</v>
      </c>
      <c r="E17873" s="3">
        <v>4</v>
      </c>
      <c r="F17873" s="3">
        <v>4</v>
      </c>
      <c r="G17873" t="s">
        <v>513</v>
      </c>
    </row>
    <row r="17874" spans="1:7" x14ac:dyDescent="0.25">
      <c r="A17874" s="1" t="str">
        <f>"506012"</f>
        <v>506012</v>
      </c>
      <c r="B17874" s="2" t="str">
        <f>"PINO ELASTICO 4X30MM"</f>
        <v>PINO ELASTICO 4X30MM</v>
      </c>
      <c r="C17874" s="2" t="str">
        <f t="shared" si="704"/>
        <v>UN</v>
      </c>
      <c r="D17874" s="7">
        <v>402</v>
      </c>
      <c r="E17874" s="3">
        <v>4</v>
      </c>
      <c r="F17874" s="3">
        <v>4</v>
      </c>
      <c r="G17874" t="s">
        <v>514</v>
      </c>
    </row>
    <row r="17875" spans="1:7" x14ac:dyDescent="0.25">
      <c r="A17875" s="1" t="str">
        <f>"508556"</f>
        <v>508556</v>
      </c>
      <c r="B17875" s="2" t="str">
        <f>"PINO ELASTICO 4X40MM"</f>
        <v>PINO ELASTICO 4X40MM</v>
      </c>
      <c r="C17875" s="2" t="str">
        <f t="shared" si="704"/>
        <v>UN</v>
      </c>
      <c r="D17875" s="7">
        <v>812</v>
      </c>
      <c r="E17875" s="3">
        <v>10</v>
      </c>
      <c r="F17875" s="3">
        <v>10</v>
      </c>
      <c r="G17875" t="s">
        <v>515</v>
      </c>
    </row>
    <row r="17876" spans="1:7" x14ac:dyDescent="0.25">
      <c r="A17876" s="1" t="str">
        <f>"506806"</f>
        <v>506806</v>
      </c>
      <c r="B17876" s="2" t="str">
        <f>"PINO ELASTICO 4X50MM"</f>
        <v>PINO ELASTICO 4X50MM</v>
      </c>
      <c r="C17876" s="2" t="str">
        <f t="shared" si="704"/>
        <v>UN</v>
      </c>
      <c r="D17876" s="7">
        <v>918</v>
      </c>
      <c r="E17876" s="3">
        <v>11</v>
      </c>
      <c r="F17876" s="3">
        <v>11</v>
      </c>
      <c r="G17876" t="s">
        <v>512</v>
      </c>
    </row>
    <row r="17877" spans="1:7" x14ac:dyDescent="0.25">
      <c r="A17877" s="1" t="str">
        <f>"506808"</f>
        <v>506808</v>
      </c>
      <c r="B17877" s="2" t="str">
        <f>"PINO ELASTICO 5X35MM"</f>
        <v>PINO ELASTICO 5X35MM</v>
      </c>
      <c r="C17877" s="2" t="str">
        <f t="shared" si="704"/>
        <v>UN</v>
      </c>
      <c r="D17877" s="7">
        <v>918</v>
      </c>
      <c r="E17877" s="3">
        <v>11</v>
      </c>
      <c r="F17877" s="3">
        <v>11</v>
      </c>
      <c r="G17877" t="s">
        <v>516</v>
      </c>
    </row>
    <row r="17878" spans="1:7" x14ac:dyDescent="0.25">
      <c r="A17878" s="1" t="str">
        <f>"506807"</f>
        <v>506807</v>
      </c>
      <c r="B17878" s="2" t="str">
        <f>"PINO ELASTICO 5X60MM"</f>
        <v>PINO ELASTICO 5X60MM</v>
      </c>
      <c r="C17878" s="2" t="str">
        <f t="shared" si="704"/>
        <v>UN</v>
      </c>
      <c r="D17878" s="7">
        <v>918</v>
      </c>
      <c r="E17878" s="3">
        <v>11</v>
      </c>
      <c r="F17878" s="3">
        <v>11</v>
      </c>
      <c r="G17878" t="s">
        <v>515</v>
      </c>
    </row>
    <row r="17879" spans="1:7" x14ac:dyDescent="0.25">
      <c r="A17879" s="1" t="str">
        <f>"508557"</f>
        <v>508557</v>
      </c>
      <c r="B17879" s="2" t="str">
        <f>"PINO ELASTICO 6X50MM"</f>
        <v>PINO ELASTICO 6X50MM</v>
      </c>
      <c r="C17879" s="2" t="str">
        <f t="shared" si="704"/>
        <v>UN</v>
      </c>
      <c r="D17879" s="7">
        <v>812</v>
      </c>
      <c r="E17879" s="3">
        <v>10</v>
      </c>
      <c r="F17879" s="3">
        <v>10</v>
      </c>
      <c r="G17879" t="s">
        <v>514</v>
      </c>
    </row>
    <row r="17880" spans="1:7" x14ac:dyDescent="0.25">
      <c r="A17880" s="1" t="str">
        <f>"520186"</f>
        <v>520186</v>
      </c>
      <c r="B17880" s="2" t="str">
        <f>"PINO ELASTICO 6X60MM"</f>
        <v>PINO ELASTICO 6X60MM</v>
      </c>
      <c r="C17880" s="2" t="str">
        <f t="shared" si="704"/>
        <v>UN</v>
      </c>
      <c r="D17880" s="7">
        <v>918</v>
      </c>
      <c r="E17880" s="3">
        <v>11</v>
      </c>
      <c r="F17880" s="3">
        <v>11</v>
      </c>
      <c r="G17880" t="s">
        <v>512</v>
      </c>
    </row>
    <row r="17881" spans="1:7" x14ac:dyDescent="0.25">
      <c r="A17881" s="1" t="str">
        <f>"506014"</f>
        <v>506014</v>
      </c>
      <c r="B17881" s="2" t="str">
        <f>"PINO ELASTICO 8X40MM"</f>
        <v>PINO ELASTICO 8X40MM</v>
      </c>
      <c r="C17881" s="2" t="str">
        <f t="shared" si="704"/>
        <v>UN</v>
      </c>
      <c r="D17881" s="7">
        <v>402</v>
      </c>
      <c r="E17881" s="3">
        <v>4</v>
      </c>
      <c r="F17881" s="3">
        <v>4</v>
      </c>
      <c r="G17881" t="s">
        <v>513</v>
      </c>
    </row>
    <row r="17882" spans="1:7" x14ac:dyDescent="0.25">
      <c r="A17882" s="1" t="str">
        <f>"508558"</f>
        <v>508558</v>
      </c>
      <c r="B17882" s="2" t="str">
        <f>"PINO ELASTICO 8X60MM"</f>
        <v>PINO ELASTICO 8X60MM</v>
      </c>
      <c r="C17882" s="2" t="str">
        <f t="shared" si="704"/>
        <v>UN</v>
      </c>
      <c r="D17882" s="7">
        <v>812</v>
      </c>
      <c r="E17882" s="3">
        <v>10</v>
      </c>
      <c r="F17882" s="3">
        <v>10</v>
      </c>
      <c r="G17882" t="s">
        <v>514</v>
      </c>
    </row>
    <row r="17883" spans="1:7" x14ac:dyDescent="0.25">
      <c r="A17883" s="1" t="str">
        <f>"501159"</f>
        <v>501159</v>
      </c>
      <c r="B17883" s="2" t="str">
        <f>"PINO ELO TRAVA P/ ESTEIRA BRASKOP"</f>
        <v>PINO ELO TRAVA P/ ESTEIRA BRASKOP</v>
      </c>
      <c r="C17883" s="2" t="str">
        <f t="shared" si="704"/>
        <v>UN</v>
      </c>
      <c r="D17883" s="7">
        <v>918</v>
      </c>
      <c r="E17883" s="3">
        <v>11</v>
      </c>
      <c r="F17883" s="3">
        <v>11</v>
      </c>
      <c r="G17883" t="s">
        <v>514</v>
      </c>
    </row>
    <row r="17884" spans="1:7" x14ac:dyDescent="0.25">
      <c r="A17884" s="1" t="str">
        <f>"509495"</f>
        <v>509495</v>
      </c>
      <c r="B17884" s="2" t="str">
        <f>"PINO ENG FERRAM BK GL 15812603"</f>
        <v>PINO ENG FERRAM BK GL 15812603</v>
      </c>
      <c r="C17884" s="2" t="str">
        <f t="shared" si="704"/>
        <v>UN</v>
      </c>
      <c r="D17884" s="7">
        <v>918</v>
      </c>
      <c r="E17884" s="3">
        <v>11</v>
      </c>
      <c r="F17884" s="3">
        <v>11</v>
      </c>
      <c r="G17884" t="s">
        <v>512</v>
      </c>
    </row>
    <row r="17885" spans="1:7" x14ac:dyDescent="0.25">
      <c r="A17885" s="1" t="str">
        <f>"501172"</f>
        <v>501172</v>
      </c>
      <c r="B17885" s="2" t="str">
        <f>"PINO FEMEA P/ SOQUETE DINIEPER"</f>
        <v>PINO FEMEA P/ SOQUETE DINIEPER</v>
      </c>
      <c r="C17885" s="2" t="str">
        <f t="shared" si="704"/>
        <v>UN</v>
      </c>
      <c r="D17885" s="7">
        <v>918</v>
      </c>
      <c r="E17885" s="3">
        <v>11</v>
      </c>
      <c r="F17885" s="3">
        <v>11</v>
      </c>
      <c r="G17885" t="s">
        <v>513</v>
      </c>
    </row>
    <row r="17886" spans="1:7" x14ac:dyDescent="0.25">
      <c r="A17886" s="1" t="str">
        <f>"500010"</f>
        <v>500010</v>
      </c>
      <c r="B17886" s="2" t="str">
        <f>"PINO FIXACAO P/ FERRAMENTA PRE-FORMAGEM"</f>
        <v>PINO FIXACAO P/ FERRAMENTA PRE-FORMAGEM</v>
      </c>
      <c r="C17886" s="2" t="str">
        <f t="shared" si="704"/>
        <v>UN</v>
      </c>
      <c r="D17886" s="7">
        <v>918</v>
      </c>
      <c r="E17886" s="3">
        <v>11</v>
      </c>
      <c r="F17886" s="3">
        <v>11</v>
      </c>
      <c r="G17886" t="s">
        <v>514</v>
      </c>
    </row>
    <row r="17887" spans="1:7" x14ac:dyDescent="0.25">
      <c r="A17887" s="1" t="str">
        <f>"509123"</f>
        <v>509123</v>
      </c>
      <c r="B17887" s="2" t="str">
        <f>"PINO GUIA BRASKOP 196216-3"</f>
        <v>PINO GUIA BRASKOP 196216-3</v>
      </c>
      <c r="C17887" s="2" t="str">
        <f t="shared" si="704"/>
        <v>UN</v>
      </c>
      <c r="D17887" s="7">
        <v>918</v>
      </c>
      <c r="E17887" s="3">
        <v>11</v>
      </c>
      <c r="F17887" s="3">
        <v>11</v>
      </c>
      <c r="G17887" t="s">
        <v>514</v>
      </c>
    </row>
    <row r="17888" spans="1:7" x14ac:dyDescent="0.25">
      <c r="A17888" s="1" t="str">
        <f>"503218"</f>
        <v>503218</v>
      </c>
      <c r="B17888" s="2" t="str">
        <f>"PINO GUIA DATADOR BRASKOP COD.108390-3"</f>
        <v>PINO GUIA DATADOR BRASKOP COD.108390-3</v>
      </c>
      <c r="C17888" s="2" t="str">
        <f t="shared" si="704"/>
        <v>UN</v>
      </c>
      <c r="D17888" s="7">
        <v>918</v>
      </c>
      <c r="E17888" s="3">
        <v>11</v>
      </c>
      <c r="F17888" s="3">
        <v>11</v>
      </c>
      <c r="G17888" t="s">
        <v>514</v>
      </c>
    </row>
    <row r="17889" spans="1:7" x14ac:dyDescent="0.25">
      <c r="A17889" s="1" t="str">
        <f>"517468"</f>
        <v>517468</v>
      </c>
      <c r="B17889" s="2" t="str">
        <f>"PINO LUMIBRÁS 3 X 20A"</f>
        <v>PINO LUMIBRÁS 3 X 20A</v>
      </c>
      <c r="C17889" s="2" t="str">
        <f t="shared" si="704"/>
        <v>UN</v>
      </c>
      <c r="D17889" s="7">
        <v>811</v>
      </c>
      <c r="E17889" s="3">
        <v>8</v>
      </c>
      <c r="F17889" s="3">
        <v>8</v>
      </c>
      <c r="G17889" t="s">
        <v>513</v>
      </c>
    </row>
    <row r="17890" spans="1:7" x14ac:dyDescent="0.25">
      <c r="A17890" s="1" t="str">
        <f>"501171"</f>
        <v>501171</v>
      </c>
      <c r="B17890" s="2" t="str">
        <f>"PINO MACHO P/ SOQUETE DINIEPER"</f>
        <v>PINO MACHO P/ SOQUETE DINIEPER</v>
      </c>
      <c r="C17890" s="2" t="str">
        <f t="shared" si="704"/>
        <v>UN</v>
      </c>
      <c r="D17890" s="7">
        <v>918</v>
      </c>
      <c r="E17890" s="3">
        <v>11</v>
      </c>
      <c r="F17890" s="3">
        <v>11</v>
      </c>
      <c r="G17890" t="s">
        <v>512</v>
      </c>
    </row>
    <row r="17891" spans="1:7" x14ac:dyDescent="0.25">
      <c r="A17891" s="1" t="str">
        <f>"504375"</f>
        <v>504375</v>
      </c>
      <c r="B17891" s="2" t="str">
        <f>"PINO MANGA DE EIXO (EMPILHADEIRA)"</f>
        <v>PINO MANGA DE EIXO (EMPILHADEIRA)</v>
      </c>
      <c r="C17891" s="2" t="str">
        <f t="shared" si="704"/>
        <v>UN</v>
      </c>
      <c r="D17891" s="7">
        <v>918</v>
      </c>
      <c r="E17891" s="3">
        <v>11</v>
      </c>
      <c r="F17891" s="3">
        <v>11</v>
      </c>
      <c r="G17891" t="s">
        <v>513</v>
      </c>
    </row>
    <row r="17892" spans="1:7" x14ac:dyDescent="0.25">
      <c r="A17892" s="1" t="str">
        <f>"509878"</f>
        <v>509878</v>
      </c>
      <c r="B17892" s="2" t="str">
        <f>"PINO MOLA"</f>
        <v>PINO MOLA</v>
      </c>
      <c r="C17892" s="2" t="str">
        <f t="shared" si="704"/>
        <v>UN</v>
      </c>
      <c r="D17892" s="7">
        <v>918</v>
      </c>
      <c r="E17892" s="3">
        <v>11</v>
      </c>
      <c r="F17892" s="3">
        <v>11</v>
      </c>
      <c r="G17892" t="s">
        <v>514</v>
      </c>
    </row>
    <row r="17893" spans="1:7" x14ac:dyDescent="0.25">
      <c r="A17893" s="1" t="str">
        <f>"505921"</f>
        <v>505921</v>
      </c>
      <c r="B17893" s="2" t="str">
        <f>"PINO MOLEJO DIANT. P/TRAS.CARGO"</f>
        <v>PINO MOLEJO DIANT. P/TRAS.CARGO</v>
      </c>
      <c r="C17893" s="2" t="str">
        <f t="shared" si="704"/>
        <v>UN</v>
      </c>
      <c r="D17893" s="7">
        <v>704</v>
      </c>
      <c r="E17893" s="3">
        <v>9</v>
      </c>
      <c r="F17893" s="3">
        <v>9</v>
      </c>
      <c r="G17893" t="s">
        <v>514</v>
      </c>
    </row>
    <row r="17894" spans="1:7" x14ac:dyDescent="0.25">
      <c r="A17894" s="1" t="str">
        <f>"502009"</f>
        <v>502009</v>
      </c>
      <c r="B17894" s="2" t="str">
        <f>"PINO MOLEJO DIANTEIRO VW 18X170"</f>
        <v>PINO MOLEJO DIANTEIRO VW 18X170</v>
      </c>
      <c r="C17894" s="2" t="str">
        <f t="shared" si="704"/>
        <v>UN</v>
      </c>
      <c r="D17894" s="7">
        <v>704</v>
      </c>
      <c r="E17894" s="3">
        <v>9</v>
      </c>
      <c r="F17894" s="3">
        <v>9</v>
      </c>
      <c r="G17894" t="s">
        <v>514</v>
      </c>
    </row>
    <row r="17895" spans="1:7" x14ac:dyDescent="0.25">
      <c r="A17895" s="1" t="str">
        <f>"512141"</f>
        <v>512141</v>
      </c>
      <c r="B17895" s="2" t="str">
        <f>"PINO NUMERADOR 0 A 9 10MM"</f>
        <v>PINO NUMERADOR 0 A 9 10MM</v>
      </c>
      <c r="C17895" s="2" t="str">
        <f t="shared" si="704"/>
        <v>UN</v>
      </c>
      <c r="D17895" s="7">
        <v>817</v>
      </c>
      <c r="E17895" s="3">
        <v>10</v>
      </c>
      <c r="F17895" s="3">
        <v>10</v>
      </c>
      <c r="G17895" t="s">
        <v>513</v>
      </c>
    </row>
    <row r="17896" spans="1:7" x14ac:dyDescent="0.25">
      <c r="A17896" s="1" t="str">
        <f>"505432"</f>
        <v>505432</v>
      </c>
      <c r="B17896" s="2" t="str">
        <f>"PINO P/ BUCHA PORTA"</f>
        <v>PINO P/ BUCHA PORTA</v>
      </c>
      <c r="C17896" s="2" t="str">
        <f t="shared" si="704"/>
        <v>UN</v>
      </c>
      <c r="D17896" s="7">
        <v>704</v>
      </c>
      <c r="E17896" s="3">
        <v>9</v>
      </c>
      <c r="F17896" s="3">
        <v>9</v>
      </c>
      <c r="G17896" t="s">
        <v>513</v>
      </c>
    </row>
    <row r="17897" spans="1:7" x14ac:dyDescent="0.25">
      <c r="A17897" s="1" t="str">
        <f>"504021"</f>
        <v>504021</v>
      </c>
      <c r="B17897" s="2" t="str">
        <f>"PINO P/ GUIA FRASCO"</f>
        <v>PINO P/ GUIA FRASCO</v>
      </c>
      <c r="C17897" s="2" t="str">
        <f t="shared" si="704"/>
        <v>UN</v>
      </c>
      <c r="D17897" s="7">
        <v>918</v>
      </c>
      <c r="E17897" s="3">
        <v>11</v>
      </c>
      <c r="F17897" s="3">
        <v>11</v>
      </c>
      <c r="G17897" t="s">
        <v>513</v>
      </c>
    </row>
    <row r="17898" spans="1:7" x14ac:dyDescent="0.25">
      <c r="A17898" s="1" t="str">
        <f>"507827"</f>
        <v>507827</v>
      </c>
      <c r="B17898" s="2" t="str">
        <f>"PINO P/ PISTAO - 100"</f>
        <v>PINO P/ PISTAO - 100</v>
      </c>
      <c r="C17898" s="2" t="str">
        <f t="shared" si="704"/>
        <v>UN</v>
      </c>
      <c r="D17898" s="7">
        <v>918</v>
      </c>
      <c r="E17898" s="3">
        <v>11</v>
      </c>
      <c r="F17898" s="3">
        <v>11</v>
      </c>
      <c r="G17898" t="s">
        <v>512</v>
      </c>
    </row>
    <row r="17899" spans="1:7" x14ac:dyDescent="0.25">
      <c r="A17899" s="1" t="str">
        <f>"510036"</f>
        <v>510036</v>
      </c>
      <c r="B17899" s="2" t="str">
        <f>"PINO P/ PISTAO 65/CMO"</f>
        <v>PINO P/ PISTAO 65/CMO</v>
      </c>
      <c r="C17899" s="2" t="str">
        <f t="shared" si="704"/>
        <v>UN</v>
      </c>
      <c r="D17899" s="7">
        <v>918</v>
      </c>
      <c r="E17899" s="3">
        <v>11</v>
      </c>
      <c r="F17899" s="3">
        <v>11</v>
      </c>
      <c r="G17899" t="s">
        <v>513</v>
      </c>
    </row>
    <row r="17900" spans="1:7" x14ac:dyDescent="0.25">
      <c r="A17900" s="1" t="str">
        <f>"502392"</f>
        <v>502392</v>
      </c>
      <c r="B17900" s="2" t="str">
        <f>"PINO PARA CABO ACELERADOR"</f>
        <v>PINO PARA CABO ACELERADOR</v>
      </c>
      <c r="C17900" s="2" t="str">
        <f t="shared" ref="C17900:C17911" si="705">"UN"</f>
        <v>UN</v>
      </c>
      <c r="D17900" s="7">
        <v>704</v>
      </c>
      <c r="E17900" s="3">
        <v>9</v>
      </c>
      <c r="F17900" s="3">
        <v>9</v>
      </c>
      <c r="G17900" t="s">
        <v>514</v>
      </c>
    </row>
    <row r="17901" spans="1:7" x14ac:dyDescent="0.25">
      <c r="A17901" s="1" t="str">
        <f>"511322"</f>
        <v>511322</v>
      </c>
      <c r="B17901" s="2" t="str">
        <f>"PINO PIAL ADAPTADOR TEE 2P+T 10A PT"</f>
        <v>PINO PIAL ADAPTADOR TEE 2P+T 10A PT</v>
      </c>
      <c r="C17901" s="2" t="str">
        <f t="shared" si="705"/>
        <v>UN</v>
      </c>
      <c r="D17901" s="7">
        <v>601</v>
      </c>
      <c r="E17901" s="3">
        <v>8</v>
      </c>
      <c r="F17901" s="3">
        <v>8</v>
      </c>
      <c r="G17901" t="s">
        <v>515</v>
      </c>
    </row>
    <row r="17902" spans="1:7" x14ac:dyDescent="0.25">
      <c r="A17902" s="1" t="str">
        <f>"509366"</f>
        <v>509366</v>
      </c>
      <c r="B17902" s="2" t="str">
        <f>"PINO PISTAO A (86)"</f>
        <v>PINO PISTAO A (86)</v>
      </c>
      <c r="C17902" s="2" t="str">
        <f t="shared" si="705"/>
        <v>UN</v>
      </c>
      <c r="D17902" s="7">
        <v>918</v>
      </c>
      <c r="E17902" s="3">
        <v>11</v>
      </c>
      <c r="F17902" s="3">
        <v>11</v>
      </c>
      <c r="G17902" t="s">
        <v>512</v>
      </c>
    </row>
    <row r="17903" spans="1:7" x14ac:dyDescent="0.25">
      <c r="A17903" s="1" t="str">
        <f>"512197"</f>
        <v>512197</v>
      </c>
      <c r="B17903" s="2" t="str">
        <f>"PINO POS.18"</f>
        <v>PINO POS.18</v>
      </c>
      <c r="C17903" s="2" t="str">
        <f t="shared" si="705"/>
        <v>UN</v>
      </c>
      <c r="D17903" s="7">
        <v>918</v>
      </c>
      <c r="E17903" s="3">
        <v>11</v>
      </c>
      <c r="F17903" s="3">
        <v>11</v>
      </c>
      <c r="G17903" t="s">
        <v>516</v>
      </c>
    </row>
    <row r="17904" spans="1:7" x14ac:dyDescent="0.25">
      <c r="A17904" s="1" t="str">
        <f>"512206"</f>
        <v>512206</v>
      </c>
      <c r="B17904" s="2" t="str">
        <f>"PINO POS.59"</f>
        <v>PINO POS.59</v>
      </c>
      <c r="C17904" s="2" t="str">
        <f t="shared" si="705"/>
        <v>UN</v>
      </c>
      <c r="D17904" s="7">
        <v>918</v>
      </c>
      <c r="E17904" s="3">
        <v>11</v>
      </c>
      <c r="F17904" s="3">
        <v>11</v>
      </c>
      <c r="G17904" t="s">
        <v>515</v>
      </c>
    </row>
    <row r="17905" spans="1:7" x14ac:dyDescent="0.25">
      <c r="A17905" s="1" t="str">
        <f>"512199"</f>
        <v>512199</v>
      </c>
      <c r="B17905" s="2" t="str">
        <f>"PINO POS.60"</f>
        <v>PINO POS.60</v>
      </c>
      <c r="C17905" s="2" t="str">
        <f t="shared" si="705"/>
        <v>UN</v>
      </c>
      <c r="D17905" s="7">
        <v>918</v>
      </c>
      <c r="E17905" s="3">
        <v>11</v>
      </c>
      <c r="F17905" s="3">
        <v>11</v>
      </c>
      <c r="G17905" t="s">
        <v>514</v>
      </c>
    </row>
    <row r="17906" spans="1:7" x14ac:dyDescent="0.25">
      <c r="A17906" s="1" t="str">
        <f>"501118"</f>
        <v>501118</v>
      </c>
      <c r="B17906" s="2" t="str">
        <f>"PINO PRENSA 13/655/17 DINI PETIT"</f>
        <v>PINO PRENSA 13/655/17 DINI PETIT</v>
      </c>
      <c r="C17906" s="2" t="str">
        <f t="shared" si="705"/>
        <v>UN</v>
      </c>
      <c r="D17906" s="7">
        <v>918</v>
      </c>
      <c r="E17906" s="3">
        <v>11</v>
      </c>
      <c r="F17906" s="3">
        <v>11</v>
      </c>
      <c r="G17906" t="s">
        <v>512</v>
      </c>
    </row>
    <row r="17907" spans="1:7" x14ac:dyDescent="0.25">
      <c r="A17907" s="1" t="str">
        <f>"503993"</f>
        <v>503993</v>
      </c>
      <c r="B17907" s="2" t="str">
        <f>"PINO PRENSA 57X22MM VIAS LUBRIFICACAO"</f>
        <v>PINO PRENSA 57X22MM VIAS LUBRIFICACAO</v>
      </c>
      <c r="C17907" s="2" t="str">
        <f t="shared" si="705"/>
        <v>UN</v>
      </c>
      <c r="D17907" s="7">
        <v>918</v>
      </c>
      <c r="E17907" s="3">
        <v>11</v>
      </c>
      <c r="F17907" s="3">
        <v>11</v>
      </c>
      <c r="G17907" t="s">
        <v>513</v>
      </c>
    </row>
    <row r="17908" spans="1:7" x14ac:dyDescent="0.25">
      <c r="A17908" s="1" t="str">
        <f>"504899"</f>
        <v>504899</v>
      </c>
      <c r="B17908" s="2" t="str">
        <f>"PINO PRENSA 61X22MM"</f>
        <v>PINO PRENSA 61X22MM</v>
      </c>
      <c r="C17908" s="2" t="str">
        <f t="shared" si="705"/>
        <v>UN</v>
      </c>
      <c r="D17908" s="7">
        <v>918</v>
      </c>
      <c r="E17908" s="3">
        <v>11</v>
      </c>
      <c r="F17908" s="3">
        <v>11</v>
      </c>
      <c r="G17908" t="s">
        <v>514</v>
      </c>
    </row>
    <row r="17909" spans="1:7" x14ac:dyDescent="0.25">
      <c r="A17909" s="1" t="str">
        <f>"502034"</f>
        <v>502034</v>
      </c>
      <c r="B17909" s="2" t="str">
        <f>"PINO PRENSA BANDEJA 105X22MM VIAS LUBRI"</f>
        <v>PINO PRENSA BANDEJA 105X22MM VIAS LUBRI</v>
      </c>
      <c r="C17909" s="2" t="str">
        <f t="shared" si="705"/>
        <v>UN</v>
      </c>
      <c r="D17909" s="7">
        <v>918</v>
      </c>
      <c r="E17909" s="3">
        <v>11</v>
      </c>
      <c r="F17909" s="3">
        <v>11</v>
      </c>
      <c r="G17909" t="s">
        <v>514</v>
      </c>
    </row>
    <row r="17910" spans="1:7" x14ac:dyDescent="0.25">
      <c r="A17910" s="1" t="str">
        <f>"501750"</f>
        <v>501750</v>
      </c>
      <c r="B17910" s="2" t="str">
        <f>"PINO REI FRANJADO"</f>
        <v>PINO REI FRANJADO</v>
      </c>
      <c r="C17910" s="2" t="str">
        <f t="shared" si="705"/>
        <v>UN</v>
      </c>
      <c r="D17910" s="7">
        <v>704</v>
      </c>
      <c r="E17910" s="3">
        <v>9</v>
      </c>
      <c r="F17910" s="3">
        <v>9</v>
      </c>
      <c r="G17910" t="s">
        <v>512</v>
      </c>
    </row>
    <row r="17911" spans="1:7" x14ac:dyDescent="0.25">
      <c r="A17911" s="1" t="str">
        <f>"512203"</f>
        <v>512203</v>
      </c>
      <c r="B17911" s="2" t="str">
        <f>"PINO RODA POS.51"</f>
        <v>PINO RODA POS.51</v>
      </c>
      <c r="C17911" s="2" t="str">
        <f t="shared" si="705"/>
        <v>UN</v>
      </c>
      <c r="D17911" s="7">
        <v>918</v>
      </c>
      <c r="E17911" s="3">
        <v>11</v>
      </c>
      <c r="F17911" s="3">
        <v>11</v>
      </c>
      <c r="G17911" t="s">
        <v>513</v>
      </c>
    </row>
    <row r="17912" spans="1:7" x14ac:dyDescent="0.25">
      <c r="A17912" s="1" t="str">
        <f>"518719"</f>
        <v>518719</v>
      </c>
      <c r="B17912" s="2" t="str">
        <f>"PINO ROLAMENTO 6202 MONTADO"</f>
        <v>PINO ROLAMENTO 6202 MONTADO</v>
      </c>
      <c r="C17912" s="2" t="str">
        <f>"PC"</f>
        <v>PC</v>
      </c>
      <c r="D17912" s="7">
        <v>806</v>
      </c>
      <c r="E17912" s="3">
        <v>11</v>
      </c>
      <c r="F17912" s="3">
        <v>11</v>
      </c>
      <c r="G17912" t="s">
        <v>514</v>
      </c>
    </row>
    <row r="17913" spans="1:7" x14ac:dyDescent="0.25">
      <c r="A17913" s="1" t="str">
        <f>"524001"</f>
        <v>524001</v>
      </c>
      <c r="B17913" s="2" t="str">
        <f>"PINO ROSC. X-W6-20-22PB 100X"</f>
        <v>PINO ROSC. X-W6-20-22PB 100X</v>
      </c>
      <c r="C17913" s="2" t="str">
        <f t="shared" ref="C17913:C17959" si="706">"UN"</f>
        <v>UN</v>
      </c>
      <c r="D17913" s="7">
        <v>99999</v>
      </c>
      <c r="E17913" s="3">
        <v>99</v>
      </c>
      <c r="F17913" s="3">
        <v>99</v>
      </c>
      <c r="G17913" t="s">
        <v>514</v>
      </c>
    </row>
    <row r="17914" spans="1:7" x14ac:dyDescent="0.25">
      <c r="A17914" s="1" t="str">
        <f>"501201"</f>
        <v>501201</v>
      </c>
      <c r="B17914" s="2" t="str">
        <f>"PINO SEGURANÇA COD.191580 DES.48303"</f>
        <v>PINO SEGURANÇA COD.191580 DES.48303</v>
      </c>
      <c r="C17914" s="2" t="str">
        <f t="shared" si="706"/>
        <v>UN</v>
      </c>
      <c r="D17914" s="7">
        <v>918</v>
      </c>
      <c r="E17914" s="3">
        <v>11</v>
      </c>
      <c r="F17914" s="3">
        <v>11</v>
      </c>
      <c r="G17914" t="s">
        <v>514</v>
      </c>
    </row>
    <row r="17915" spans="1:7" x14ac:dyDescent="0.25">
      <c r="A17915" s="1" t="str">
        <f>"502600"</f>
        <v>502600</v>
      </c>
      <c r="B17915" s="2" t="str">
        <f>"PINO SOPRO COMP.160/180/600ML SP10025897"</f>
        <v>PINO SOPRO COMP.160/180/600ML SP10025897</v>
      </c>
      <c r="C17915" s="2" t="str">
        <f t="shared" si="706"/>
        <v>UN</v>
      </c>
      <c r="D17915" s="7">
        <v>918</v>
      </c>
      <c r="E17915" s="3">
        <v>11</v>
      </c>
      <c r="F17915" s="3">
        <v>11</v>
      </c>
      <c r="G17915" t="s">
        <v>513</v>
      </c>
    </row>
    <row r="17916" spans="1:7" x14ac:dyDescent="0.25">
      <c r="A17916" s="1" t="str">
        <f>"527244"</f>
        <v>527244</v>
      </c>
      <c r="B17916" s="8" t="s">
        <v>494</v>
      </c>
      <c r="C17916" s="2" t="str">
        <f t="shared" si="706"/>
        <v>UN</v>
      </c>
      <c r="D17916" s="7">
        <v>918</v>
      </c>
      <c r="E17916" s="3">
        <v>11</v>
      </c>
      <c r="F17916" s="3">
        <v>11</v>
      </c>
      <c r="G17916" t="s">
        <v>512</v>
      </c>
    </row>
    <row r="17917" spans="1:7" x14ac:dyDescent="0.25">
      <c r="A17917" s="1" t="str">
        <f>"521873"</f>
        <v>521873</v>
      </c>
      <c r="B17917" s="2" t="str">
        <f>"PINO TENSOR ADAPT FORD CARGO"</f>
        <v>PINO TENSOR ADAPT FORD CARGO</v>
      </c>
      <c r="C17917" s="2" t="str">
        <f t="shared" si="706"/>
        <v>UN</v>
      </c>
      <c r="D17917" s="7">
        <v>704</v>
      </c>
      <c r="E17917" s="3">
        <v>9</v>
      </c>
      <c r="F17917" s="3">
        <v>9</v>
      </c>
      <c r="G17917" t="s">
        <v>513</v>
      </c>
    </row>
    <row r="17918" spans="1:7" x14ac:dyDescent="0.25">
      <c r="A17918" s="1" t="str">
        <f>"502402"</f>
        <v>502402</v>
      </c>
      <c r="B17918" s="2" t="str">
        <f>"PINO TIRANTE"</f>
        <v>PINO TIRANTE</v>
      </c>
      <c r="C17918" s="2" t="str">
        <f t="shared" si="706"/>
        <v>UN</v>
      </c>
      <c r="D17918" s="7">
        <v>704</v>
      </c>
      <c r="E17918" s="3">
        <v>9</v>
      </c>
      <c r="F17918" s="3">
        <v>9</v>
      </c>
      <c r="G17918" t="s">
        <v>514</v>
      </c>
    </row>
    <row r="17919" spans="1:7" x14ac:dyDescent="0.25">
      <c r="A17919" s="1" t="str">
        <f>"521649"</f>
        <v>521649</v>
      </c>
      <c r="B17919" s="2" t="str">
        <f>"PINO TRAVA DE LATAO VENEZIANA/CENTRIFUGO 30/EM50 PN2249650"</f>
        <v>PINO TRAVA DE LATAO VENEZIANA/CENTRIFUGO 30/EM50 PN2249650</v>
      </c>
      <c r="C17919" s="2" t="str">
        <f t="shared" si="706"/>
        <v>UN</v>
      </c>
      <c r="D17919" s="7">
        <v>916</v>
      </c>
      <c r="E17919" s="3">
        <v>10</v>
      </c>
      <c r="F17919" s="3">
        <v>10</v>
      </c>
      <c r="G17919" t="s">
        <v>514</v>
      </c>
    </row>
    <row r="17920" spans="1:7" x14ac:dyDescent="0.25">
      <c r="A17920" s="1" t="str">
        <f>"501806"</f>
        <v>501806</v>
      </c>
      <c r="B17920" s="2" t="str">
        <f>"PINO TRAVA Nº9200005 BYG L 2000"</f>
        <v>PINO TRAVA Nº9200005 BYG L 2000</v>
      </c>
      <c r="C17920" s="2" t="str">
        <f t="shared" si="706"/>
        <v>UN</v>
      </c>
      <c r="D17920" s="7">
        <v>918</v>
      </c>
      <c r="E17920" s="3">
        <v>11</v>
      </c>
      <c r="F17920" s="3">
        <v>11</v>
      </c>
      <c r="G17920" t="s">
        <v>514</v>
      </c>
    </row>
    <row r="17921" spans="1:7" x14ac:dyDescent="0.25">
      <c r="A17921" s="1" t="str">
        <f>"519812"</f>
        <v>519812</v>
      </c>
      <c r="B17921" s="2" t="str">
        <f>"PINO TRAVA SEGURANÇA"</f>
        <v>PINO TRAVA SEGURANÇA</v>
      </c>
      <c r="C17921" s="2" t="str">
        <f t="shared" si="706"/>
        <v>UN</v>
      </c>
      <c r="D17921" s="7">
        <v>918</v>
      </c>
      <c r="E17921" s="3">
        <v>11</v>
      </c>
      <c r="F17921" s="3">
        <v>11</v>
      </c>
      <c r="G17921" t="s">
        <v>513</v>
      </c>
    </row>
    <row r="17922" spans="1:7" x14ac:dyDescent="0.25">
      <c r="A17922" s="1" t="str">
        <f>"518201"</f>
        <v>518201</v>
      </c>
      <c r="B17922" s="2" t="str">
        <f>"PINS EM METAL LOGO CAROLINA"</f>
        <v>PINS EM METAL LOGO CAROLINA</v>
      </c>
      <c r="C17922" s="2" t="str">
        <f t="shared" si="706"/>
        <v>UN</v>
      </c>
      <c r="D17922" s="7">
        <v>99999</v>
      </c>
      <c r="E17922" s="3">
        <v>99</v>
      </c>
      <c r="F17922" s="3">
        <v>99</v>
      </c>
      <c r="G17922" t="s">
        <v>513</v>
      </c>
    </row>
    <row r="17923" spans="1:7" x14ac:dyDescent="0.25">
      <c r="A17923" s="1" t="str">
        <f>"512174"</f>
        <v>512174</v>
      </c>
      <c r="B17923" s="2" t="str">
        <f>"PIPE"</f>
        <v>PIPE</v>
      </c>
      <c r="C17923" s="2" t="str">
        <f t="shared" si="706"/>
        <v>UN</v>
      </c>
      <c r="D17923" s="7">
        <v>704</v>
      </c>
      <c r="E17923" s="3">
        <v>9</v>
      </c>
      <c r="F17923" s="3">
        <v>9</v>
      </c>
      <c r="G17923" t="s">
        <v>513</v>
      </c>
    </row>
    <row r="17924" spans="1:7" x14ac:dyDescent="0.25">
      <c r="A17924" s="1" t="str">
        <f>"520699"</f>
        <v>520699</v>
      </c>
      <c r="B17924" s="2" t="str">
        <f>"PIPETA AUTOMATICO 25ML"</f>
        <v>PIPETA AUTOMATICO 25ML</v>
      </c>
      <c r="C17924" s="2" t="str">
        <f t="shared" si="706"/>
        <v>UN</v>
      </c>
      <c r="D17924" s="7">
        <v>406</v>
      </c>
      <c r="E17924" s="3">
        <v>4</v>
      </c>
      <c r="F17924" s="3">
        <v>4</v>
      </c>
      <c r="G17924" t="s">
        <v>512</v>
      </c>
    </row>
    <row r="17925" spans="1:7" x14ac:dyDescent="0.25">
      <c r="A17925" s="1" t="str">
        <f>"512005"</f>
        <v>512005</v>
      </c>
      <c r="B17925" s="2" t="str">
        <f>"PIPETA DESCARTAVEL 3ML GRADUADA"</f>
        <v>PIPETA DESCARTAVEL 3ML GRADUADA</v>
      </c>
      <c r="C17925" s="2" t="str">
        <f t="shared" si="706"/>
        <v>UN</v>
      </c>
      <c r="D17925" s="7">
        <v>402</v>
      </c>
      <c r="E17925" s="3">
        <v>4</v>
      </c>
      <c r="F17925" s="3">
        <v>4</v>
      </c>
      <c r="G17925" t="s">
        <v>513</v>
      </c>
    </row>
    <row r="17926" spans="1:7" x14ac:dyDescent="0.25">
      <c r="A17926" s="1" t="str">
        <f>"522069"</f>
        <v>522069</v>
      </c>
      <c r="B17926" s="2" t="str">
        <f>"PIPETA ELET. MONOCANAL MOD PICUS VOL 500 A 10000L LT 1402120"</f>
        <v>PIPETA ELET. MONOCANAL MOD PICUS VOL 500 A 10000L LT 1402120</v>
      </c>
      <c r="C17926" s="2" t="str">
        <f t="shared" si="706"/>
        <v>UN</v>
      </c>
      <c r="D17926" s="7">
        <v>99999</v>
      </c>
      <c r="E17926" s="3">
        <v>99</v>
      </c>
      <c r="F17926" s="3">
        <v>99</v>
      </c>
      <c r="G17926" t="s">
        <v>514</v>
      </c>
    </row>
    <row r="17927" spans="1:7" x14ac:dyDescent="0.25">
      <c r="A17927" s="1" t="str">
        <f>"514205"</f>
        <v>514205</v>
      </c>
      <c r="B17927" s="2" t="str">
        <f>"PIPETA GRADUADA 10ML (CALIBRADA)"</f>
        <v>PIPETA GRADUADA 10ML (CALIBRADA)</v>
      </c>
      <c r="C17927" s="2" t="str">
        <f t="shared" si="706"/>
        <v>UN</v>
      </c>
      <c r="D17927" s="7">
        <v>406</v>
      </c>
      <c r="E17927" s="3">
        <v>4</v>
      </c>
      <c r="F17927" s="3">
        <v>4</v>
      </c>
      <c r="G17927" t="s">
        <v>515</v>
      </c>
    </row>
    <row r="17928" spans="1:7" x14ac:dyDescent="0.25">
      <c r="A17928" s="1" t="str">
        <f>"515390"</f>
        <v>515390</v>
      </c>
      <c r="B17928" s="2" t="str">
        <f>"PIPETA GRADUADA 1ML CALIBRADA"</f>
        <v>PIPETA GRADUADA 1ML CALIBRADA</v>
      </c>
      <c r="C17928" s="2" t="str">
        <f t="shared" si="706"/>
        <v>UN</v>
      </c>
      <c r="D17928" s="7">
        <v>406</v>
      </c>
      <c r="E17928" s="3">
        <v>4</v>
      </c>
      <c r="F17928" s="3">
        <v>4</v>
      </c>
      <c r="G17928" t="s">
        <v>512</v>
      </c>
    </row>
    <row r="17929" spans="1:7" x14ac:dyDescent="0.25">
      <c r="A17929" s="1" t="str">
        <f>"521165"</f>
        <v>521165</v>
      </c>
      <c r="B17929" s="2" t="str">
        <f>"PIPETA GRADUADA 20ML (CALIBRADA)"</f>
        <v>PIPETA GRADUADA 20ML (CALIBRADA)</v>
      </c>
      <c r="C17929" s="2" t="str">
        <f t="shared" si="706"/>
        <v>UN</v>
      </c>
      <c r="D17929" s="7">
        <v>406</v>
      </c>
      <c r="E17929" s="3">
        <v>4</v>
      </c>
      <c r="F17929" s="3">
        <v>4</v>
      </c>
      <c r="G17929" t="s">
        <v>516</v>
      </c>
    </row>
    <row r="17930" spans="1:7" x14ac:dyDescent="0.25">
      <c r="A17930" s="1" t="str">
        <f>"514203"</f>
        <v>514203</v>
      </c>
      <c r="B17930" s="2" t="str">
        <f>"PIPETA GRADUADA 2ML CALIBRADA"</f>
        <v>PIPETA GRADUADA 2ML CALIBRADA</v>
      </c>
      <c r="C17930" s="2" t="str">
        <f t="shared" si="706"/>
        <v>UN</v>
      </c>
      <c r="D17930" s="7">
        <v>406</v>
      </c>
      <c r="E17930" s="3">
        <v>4</v>
      </c>
      <c r="F17930" s="3">
        <v>4</v>
      </c>
      <c r="G17930" t="s">
        <v>515</v>
      </c>
    </row>
    <row r="17931" spans="1:7" x14ac:dyDescent="0.25">
      <c r="A17931" s="1" t="str">
        <f>"514204"</f>
        <v>514204</v>
      </c>
      <c r="B17931" s="2" t="str">
        <f>"PIPETA GRADUADA 5ML"</f>
        <v>PIPETA GRADUADA 5ML</v>
      </c>
      <c r="C17931" s="2" t="str">
        <f t="shared" si="706"/>
        <v>UN</v>
      </c>
      <c r="D17931" s="7">
        <v>406</v>
      </c>
      <c r="E17931" s="3">
        <v>4</v>
      </c>
      <c r="F17931" s="3">
        <v>4</v>
      </c>
      <c r="G17931" t="s">
        <v>514</v>
      </c>
    </row>
    <row r="17932" spans="1:7" x14ac:dyDescent="0.25">
      <c r="A17932" s="1" t="str">
        <f>"523858"</f>
        <v>523858</v>
      </c>
      <c r="B17932" s="2" t="str">
        <f>"PIPETA MOHR GRADUADA 10X1/10ML C/ CERT. HX0004-00973"</f>
        <v>PIPETA MOHR GRADUADA 10X1/10ML C/ CERT. HX0004-00973</v>
      </c>
      <c r="C17932" s="2" t="str">
        <f t="shared" si="706"/>
        <v>UN</v>
      </c>
      <c r="D17932" s="7">
        <v>99999</v>
      </c>
      <c r="E17932" s="3">
        <v>99</v>
      </c>
      <c r="F17932" s="3">
        <v>99</v>
      </c>
      <c r="G17932" t="s">
        <v>512</v>
      </c>
    </row>
    <row r="17933" spans="1:7" x14ac:dyDescent="0.25">
      <c r="A17933" s="1" t="str">
        <f>"523856"</f>
        <v>523856</v>
      </c>
      <c r="B17933" s="2" t="str">
        <f>"PIPETA MOHR GRADUADA 1X1/10ML C/ CERT. HX0004-00983"</f>
        <v>PIPETA MOHR GRADUADA 1X1/10ML C/ CERT. HX0004-00983</v>
      </c>
      <c r="C17933" s="2" t="str">
        <f t="shared" si="706"/>
        <v>UN</v>
      </c>
      <c r="D17933" s="7">
        <v>99999</v>
      </c>
      <c r="E17933" s="3">
        <v>99</v>
      </c>
      <c r="F17933" s="3">
        <v>99</v>
      </c>
      <c r="G17933" t="s">
        <v>513</v>
      </c>
    </row>
    <row r="17934" spans="1:7" x14ac:dyDescent="0.25">
      <c r="A17934" s="1" t="str">
        <f>"523857"</f>
        <v>523857</v>
      </c>
      <c r="B17934" s="2" t="str">
        <f>"PIPETA MOHR GRADUADA 5X1/10ML C/ CERT. HX0004-00982"</f>
        <v>PIPETA MOHR GRADUADA 5X1/10ML C/ CERT. HX0004-00982</v>
      </c>
      <c r="C17934" s="2" t="str">
        <f t="shared" si="706"/>
        <v>UN</v>
      </c>
      <c r="D17934" s="7">
        <v>99999</v>
      </c>
      <c r="E17934" s="3">
        <v>99</v>
      </c>
      <c r="F17934" s="3">
        <v>99</v>
      </c>
      <c r="G17934" t="s">
        <v>514</v>
      </c>
    </row>
    <row r="17935" spans="1:7" x14ac:dyDescent="0.25">
      <c r="A17935" s="1" t="str">
        <f>"521126"</f>
        <v>521126</v>
      </c>
      <c r="B17935" s="2" t="str">
        <f>"PIPETA PASTEUR DESCARTAVEL EM PE 3ML C/ 500PÇ"</f>
        <v>PIPETA PASTEUR DESCARTAVEL EM PE 3ML C/ 500PÇ</v>
      </c>
      <c r="C17935" s="2" t="str">
        <f t="shared" si="706"/>
        <v>UN</v>
      </c>
      <c r="D17935" s="7">
        <v>406</v>
      </c>
      <c r="E17935" s="3">
        <v>4</v>
      </c>
      <c r="F17935" s="3">
        <v>4</v>
      </c>
      <c r="G17935" t="s">
        <v>514</v>
      </c>
    </row>
    <row r="17936" spans="1:7" x14ac:dyDescent="0.25">
      <c r="A17936" s="1" t="str">
        <f>"524074"</f>
        <v>524074</v>
      </c>
      <c r="B17936" s="2" t="str">
        <f>"PIPETA SOROLOGICA 01ML"</f>
        <v>PIPETA SOROLOGICA 01ML</v>
      </c>
      <c r="C17936" s="2" t="str">
        <f t="shared" si="706"/>
        <v>UN</v>
      </c>
      <c r="D17936" s="7">
        <v>406</v>
      </c>
      <c r="E17936" s="3">
        <v>4</v>
      </c>
      <c r="F17936" s="3">
        <v>4</v>
      </c>
      <c r="G17936" t="s">
        <v>512</v>
      </c>
    </row>
    <row r="17937" spans="1:7" x14ac:dyDescent="0.25">
      <c r="A17937" s="1" t="str">
        <f>"519429"</f>
        <v>519429</v>
      </c>
      <c r="B17937" s="2" t="str">
        <f>"PIPETA SOROLOGICA 05ML"</f>
        <v>PIPETA SOROLOGICA 05ML</v>
      </c>
      <c r="C17937" s="2" t="str">
        <f t="shared" si="706"/>
        <v>UN</v>
      </c>
      <c r="D17937" s="7">
        <v>406</v>
      </c>
      <c r="E17937" s="3">
        <v>4</v>
      </c>
      <c r="F17937" s="3">
        <v>4</v>
      </c>
      <c r="G17937" t="s">
        <v>513</v>
      </c>
    </row>
    <row r="17938" spans="1:7" x14ac:dyDescent="0.25">
      <c r="A17938" s="1" t="str">
        <f>"514206"</f>
        <v>514206</v>
      </c>
      <c r="B17938" s="2" t="str">
        <f>"PIPETA SOROLOGICA 20ML"</f>
        <v>PIPETA SOROLOGICA 20ML</v>
      </c>
      <c r="C17938" s="2" t="str">
        <f t="shared" si="706"/>
        <v>UN</v>
      </c>
      <c r="D17938" s="7">
        <v>406</v>
      </c>
      <c r="E17938" s="3">
        <v>4</v>
      </c>
      <c r="F17938" s="3">
        <v>4</v>
      </c>
      <c r="G17938" t="s">
        <v>514</v>
      </c>
    </row>
    <row r="17939" spans="1:7" x14ac:dyDescent="0.25">
      <c r="A17939" s="1" t="str">
        <f>"514207"</f>
        <v>514207</v>
      </c>
      <c r="B17939" s="2" t="str">
        <f>"PIPETA SOROLOGICA 25ML"</f>
        <v>PIPETA SOROLOGICA 25ML</v>
      </c>
      <c r="C17939" s="2" t="str">
        <f t="shared" si="706"/>
        <v>UN</v>
      </c>
      <c r="D17939" s="7">
        <v>406</v>
      </c>
      <c r="E17939" s="3">
        <v>4</v>
      </c>
      <c r="F17939" s="3">
        <v>4</v>
      </c>
      <c r="G17939" t="s">
        <v>514</v>
      </c>
    </row>
    <row r="17940" spans="1:7" x14ac:dyDescent="0.25">
      <c r="A17940" s="1" t="str">
        <f>"519428"</f>
        <v>519428</v>
      </c>
      <c r="B17940" s="2" t="str">
        <f>"PIPETA SOROLOGICA GRADUADA 10ML 1/10 C/ CERTIFICADO"</f>
        <v>PIPETA SOROLOGICA GRADUADA 10ML 1/10 C/ CERTIFICADO</v>
      </c>
      <c r="C17940" s="2" t="str">
        <f t="shared" si="706"/>
        <v>UN</v>
      </c>
      <c r="D17940" s="7">
        <v>406</v>
      </c>
      <c r="E17940" s="3">
        <v>4</v>
      </c>
      <c r="F17940" s="3">
        <v>4</v>
      </c>
      <c r="G17940" t="s">
        <v>514</v>
      </c>
    </row>
    <row r="17941" spans="1:7" x14ac:dyDescent="0.25">
      <c r="A17941" s="1" t="str">
        <f>"514201"</f>
        <v>514201</v>
      </c>
      <c r="B17941" s="2" t="str">
        <f>"PIPETA VOLUMETRICA 10ML"</f>
        <v>PIPETA VOLUMETRICA 10ML</v>
      </c>
      <c r="C17941" s="2" t="str">
        <f t="shared" si="706"/>
        <v>UN</v>
      </c>
      <c r="D17941" s="7">
        <v>406</v>
      </c>
      <c r="E17941" s="3">
        <v>4</v>
      </c>
      <c r="F17941" s="3">
        <v>4</v>
      </c>
      <c r="G17941" t="s">
        <v>513</v>
      </c>
    </row>
    <row r="17942" spans="1:7" x14ac:dyDescent="0.25">
      <c r="A17942" s="1" t="str">
        <f>"524626"</f>
        <v>524626</v>
      </c>
      <c r="B17942" s="8" t="s">
        <v>399</v>
      </c>
      <c r="C17942" s="2" t="str">
        <f t="shared" si="706"/>
        <v>UN</v>
      </c>
      <c r="D17942" s="7">
        <v>406</v>
      </c>
      <c r="E17942" s="3">
        <v>13</v>
      </c>
      <c r="F17942" s="3">
        <v>13</v>
      </c>
      <c r="G17942" t="s">
        <v>512</v>
      </c>
    </row>
    <row r="17943" spans="1:7" x14ac:dyDescent="0.25">
      <c r="A17943" s="1" t="str">
        <f>"514202"</f>
        <v>514202</v>
      </c>
      <c r="B17943" s="2" t="str">
        <f>"PIPETA VOLUMETRICA 11ML C/ CERTIFICADO"</f>
        <v>PIPETA VOLUMETRICA 11ML C/ CERTIFICADO</v>
      </c>
      <c r="C17943" s="2" t="str">
        <f t="shared" si="706"/>
        <v>UN</v>
      </c>
      <c r="D17943" s="7">
        <v>406</v>
      </c>
      <c r="E17943" s="3">
        <v>4</v>
      </c>
      <c r="F17943" s="3">
        <v>4</v>
      </c>
      <c r="G17943" t="s">
        <v>513</v>
      </c>
    </row>
    <row r="17944" spans="1:7" x14ac:dyDescent="0.25">
      <c r="A17944" s="1" t="str">
        <f>"524319"</f>
        <v>524319</v>
      </c>
      <c r="B17944" s="2" t="str">
        <f>"PIPETA VOLUMETRICA 1ML C/ CERTIFICADO"</f>
        <v>PIPETA VOLUMETRICA 1ML C/ CERTIFICADO</v>
      </c>
      <c r="C17944" s="2" t="str">
        <f t="shared" si="706"/>
        <v>UN</v>
      </c>
      <c r="D17944" s="7">
        <v>406</v>
      </c>
      <c r="E17944" s="3">
        <v>4</v>
      </c>
      <c r="F17944" s="3">
        <v>4</v>
      </c>
      <c r="G17944" t="s">
        <v>514</v>
      </c>
    </row>
    <row r="17945" spans="1:7" x14ac:dyDescent="0.25">
      <c r="A17945" s="1" t="str">
        <f>"524623"</f>
        <v>524623</v>
      </c>
      <c r="B17945" s="8" t="s">
        <v>396</v>
      </c>
      <c r="C17945" s="2" t="str">
        <f t="shared" si="706"/>
        <v>UN</v>
      </c>
      <c r="D17945" s="7">
        <v>406</v>
      </c>
      <c r="E17945" s="3">
        <v>13</v>
      </c>
      <c r="F17945" s="3">
        <v>13</v>
      </c>
      <c r="G17945" t="s">
        <v>514</v>
      </c>
    </row>
    <row r="17946" spans="1:7" x14ac:dyDescent="0.25">
      <c r="A17946" s="1" t="str">
        <f>"514199"</f>
        <v>514199</v>
      </c>
      <c r="B17946" s="2" t="str">
        <f>"PIPETA VOLUMETRICA 2ML"</f>
        <v>PIPETA VOLUMETRICA 2ML</v>
      </c>
      <c r="C17946" s="2" t="str">
        <f t="shared" si="706"/>
        <v>UN</v>
      </c>
      <c r="D17946" s="7">
        <v>406</v>
      </c>
      <c r="E17946" s="3">
        <v>4</v>
      </c>
      <c r="F17946" s="3">
        <v>4</v>
      </c>
      <c r="G17946" t="s">
        <v>514</v>
      </c>
    </row>
    <row r="17947" spans="1:7" x14ac:dyDescent="0.25">
      <c r="A17947" s="1" t="str">
        <f>"524624"</f>
        <v>524624</v>
      </c>
      <c r="B17947" s="8" t="s">
        <v>397</v>
      </c>
      <c r="C17947" s="2" t="str">
        <f t="shared" si="706"/>
        <v>UN</v>
      </c>
      <c r="D17947" s="7">
        <v>406</v>
      </c>
      <c r="E17947" s="3">
        <v>13</v>
      </c>
      <c r="F17947" s="3">
        <v>13</v>
      </c>
      <c r="G17947" t="s">
        <v>513</v>
      </c>
    </row>
    <row r="17948" spans="1:7" x14ac:dyDescent="0.25">
      <c r="A17948" s="1" t="str">
        <f>"514200"</f>
        <v>514200</v>
      </c>
      <c r="B17948" s="2" t="str">
        <f>"PIPETA VOLUMETRICA 5ML"</f>
        <v>PIPETA VOLUMETRICA 5ML</v>
      </c>
      <c r="C17948" s="2" t="str">
        <f t="shared" si="706"/>
        <v>UN</v>
      </c>
      <c r="D17948" s="7">
        <v>406</v>
      </c>
      <c r="E17948" s="3">
        <v>4</v>
      </c>
      <c r="F17948" s="3">
        <v>4</v>
      </c>
      <c r="G17948" t="s">
        <v>513</v>
      </c>
    </row>
    <row r="17949" spans="1:7" x14ac:dyDescent="0.25">
      <c r="A17949" s="1" t="str">
        <f>"524625"</f>
        <v>524625</v>
      </c>
      <c r="B17949" s="8" t="s">
        <v>398</v>
      </c>
      <c r="C17949" s="2" t="str">
        <f t="shared" si="706"/>
        <v>UN</v>
      </c>
      <c r="D17949" s="7">
        <v>406</v>
      </c>
      <c r="E17949" s="3">
        <v>13</v>
      </c>
      <c r="F17949" s="3">
        <v>13</v>
      </c>
      <c r="G17949" t="s">
        <v>513</v>
      </c>
    </row>
    <row r="17950" spans="1:7" x14ac:dyDescent="0.25">
      <c r="A17950" s="1" t="str">
        <f>"524627"</f>
        <v>524627</v>
      </c>
      <c r="B17950" s="8" t="s">
        <v>400</v>
      </c>
      <c r="C17950" s="2" t="str">
        <f t="shared" si="706"/>
        <v>UN</v>
      </c>
      <c r="D17950" s="7">
        <v>406</v>
      </c>
      <c r="E17950" s="3">
        <v>13</v>
      </c>
      <c r="F17950" s="3">
        <v>13</v>
      </c>
      <c r="G17950" t="s">
        <v>512</v>
      </c>
    </row>
    <row r="17951" spans="1:7" x14ac:dyDescent="0.25">
      <c r="A17951" s="1" t="str">
        <f>"513709"</f>
        <v>513709</v>
      </c>
      <c r="B17951" s="2" t="str">
        <f>"PIPETADOR MANUAL PIPUMP 10ML VERDE"</f>
        <v>PIPETADOR MANUAL PIPUMP 10ML VERDE</v>
      </c>
      <c r="C17951" s="2" t="str">
        <f t="shared" si="706"/>
        <v>UN</v>
      </c>
      <c r="D17951" s="7">
        <v>402</v>
      </c>
      <c r="E17951" s="3">
        <v>4</v>
      </c>
      <c r="F17951" s="3">
        <v>4</v>
      </c>
      <c r="G17951" t="s">
        <v>513</v>
      </c>
    </row>
    <row r="17952" spans="1:7" x14ac:dyDescent="0.25">
      <c r="A17952" s="1" t="str">
        <f>"520615"</f>
        <v>520615</v>
      </c>
      <c r="B17952" s="2" t="str">
        <f>"PIPETADOR MANUAL PIPUMP AZUL 2ML"</f>
        <v>PIPETADOR MANUAL PIPUMP AZUL 2ML</v>
      </c>
      <c r="C17952" s="2" t="str">
        <f t="shared" si="706"/>
        <v>UN</v>
      </c>
      <c r="D17952" s="7">
        <v>406</v>
      </c>
      <c r="E17952" s="3">
        <v>4</v>
      </c>
      <c r="F17952" s="3">
        <v>4</v>
      </c>
      <c r="G17952" t="s">
        <v>514</v>
      </c>
    </row>
    <row r="17953" spans="1:7" x14ac:dyDescent="0.25">
      <c r="A17953" s="1" t="str">
        <f>"524049"</f>
        <v>524049</v>
      </c>
      <c r="B17953" s="2" t="str">
        <f>"PIPETADOR MANUAL PIPUMP AZUL 5ML"</f>
        <v>PIPETADOR MANUAL PIPUMP AZUL 5ML</v>
      </c>
      <c r="C17953" s="2" t="str">
        <f t="shared" si="706"/>
        <v>UN</v>
      </c>
      <c r="D17953" s="7">
        <v>406</v>
      </c>
      <c r="E17953" s="3">
        <v>4</v>
      </c>
      <c r="F17953" s="3">
        <v>4</v>
      </c>
      <c r="G17953" t="s">
        <v>515</v>
      </c>
    </row>
    <row r="17954" spans="1:7" x14ac:dyDescent="0.25">
      <c r="A17954" s="1" t="str">
        <f>"520614"</f>
        <v>520614</v>
      </c>
      <c r="B17954" s="2" t="str">
        <f>"PIPETADOR MANUAL PIPUMP VERMELHO 25ML"</f>
        <v>PIPETADOR MANUAL PIPUMP VERMELHO 25ML</v>
      </c>
      <c r="C17954" s="2" t="str">
        <f t="shared" si="706"/>
        <v>UN</v>
      </c>
      <c r="D17954" s="7">
        <v>406</v>
      </c>
      <c r="E17954" s="3">
        <v>4</v>
      </c>
      <c r="F17954" s="3">
        <v>4</v>
      </c>
      <c r="G17954" t="s">
        <v>512</v>
      </c>
    </row>
    <row r="17955" spans="1:7" x14ac:dyDescent="0.25">
      <c r="A17955" s="1" t="str">
        <f>"515642"</f>
        <v>515642</v>
      </c>
      <c r="B17955" s="2" t="str">
        <f>"PIPOCA"</f>
        <v>PIPOCA</v>
      </c>
      <c r="C17955" s="2" t="str">
        <f t="shared" si="706"/>
        <v>UN</v>
      </c>
      <c r="D17955" s="7">
        <v>401</v>
      </c>
      <c r="E17955" s="3">
        <v>4</v>
      </c>
      <c r="F17955" s="3">
        <v>4</v>
      </c>
      <c r="G17955" t="s">
        <v>516</v>
      </c>
    </row>
    <row r="17956" spans="1:7" x14ac:dyDescent="0.25">
      <c r="A17956" s="1" t="str">
        <f>"523793"</f>
        <v>523793</v>
      </c>
      <c r="B17956" s="2" t="str">
        <f>"PIPOQUEIRA"</f>
        <v>PIPOQUEIRA</v>
      </c>
      <c r="C17956" s="2" t="str">
        <f t="shared" si="706"/>
        <v>UN</v>
      </c>
      <c r="D17956" s="7">
        <v>99999</v>
      </c>
      <c r="E17956" s="3">
        <v>99</v>
      </c>
      <c r="F17956" s="3">
        <v>99</v>
      </c>
      <c r="G17956" t="s">
        <v>515</v>
      </c>
    </row>
    <row r="17957" spans="1:7" x14ac:dyDescent="0.25">
      <c r="A17957" s="1" t="str">
        <f>"501573"</f>
        <v>501573</v>
      </c>
      <c r="B17957" s="2" t="str">
        <f>"PIROMETRO NOVUS N 480D MAQ COPO"</f>
        <v>PIROMETRO NOVUS N 480D MAQ COPO</v>
      </c>
      <c r="C17957" s="2" t="str">
        <f t="shared" si="706"/>
        <v>UN</v>
      </c>
      <c r="D17957" s="7">
        <v>900</v>
      </c>
      <c r="E17957" s="3">
        <v>11</v>
      </c>
      <c r="F17957" s="3">
        <v>11</v>
      </c>
      <c r="G17957" t="s">
        <v>514</v>
      </c>
    </row>
    <row r="17958" spans="1:7" x14ac:dyDescent="0.25">
      <c r="A17958" s="1" t="str">
        <f>"510601"</f>
        <v>510601</v>
      </c>
      <c r="B17958" s="2" t="str">
        <f>"PIRULITO"</f>
        <v>PIRULITO</v>
      </c>
      <c r="C17958" s="2" t="str">
        <f t="shared" si="706"/>
        <v>UN</v>
      </c>
      <c r="D17958" s="7">
        <v>401</v>
      </c>
      <c r="E17958" s="3">
        <v>4</v>
      </c>
      <c r="F17958" s="3">
        <v>4</v>
      </c>
      <c r="G17958" t="s">
        <v>512</v>
      </c>
    </row>
    <row r="17959" spans="1:7" x14ac:dyDescent="0.25">
      <c r="A17959" s="1" t="str">
        <f>"518372"</f>
        <v>518372</v>
      </c>
      <c r="B17959" s="2" t="str">
        <f>"PIS/COFINS"</f>
        <v>PIS/COFINS</v>
      </c>
      <c r="C17959" s="2" t="str">
        <f t="shared" si="706"/>
        <v>UN</v>
      </c>
      <c r="D17959" s="7">
        <v>99999</v>
      </c>
      <c r="E17959" s="3">
        <v>99</v>
      </c>
      <c r="F17959" s="3">
        <v>99</v>
      </c>
      <c r="G17959" t="s">
        <v>513</v>
      </c>
    </row>
    <row r="17960" spans="1:7" x14ac:dyDescent="0.25">
      <c r="A17960" s="1" t="str">
        <f>"522851"</f>
        <v>522851</v>
      </c>
      <c r="B17960" s="2" t="str">
        <f>"PISO ADERE BEGE HD EXT. FORMIGRES"</f>
        <v>PISO ADERE BEGE HD EXT. FORMIGRES</v>
      </c>
      <c r="C17960" s="2" t="str">
        <f>"MT"</f>
        <v>MT</v>
      </c>
      <c r="D17960" s="7">
        <v>803</v>
      </c>
      <c r="E17960" s="3">
        <v>10</v>
      </c>
      <c r="F17960" s="3">
        <v>10</v>
      </c>
      <c r="G17960" t="s">
        <v>514</v>
      </c>
    </row>
    <row r="17961" spans="1:7" x14ac:dyDescent="0.25">
      <c r="A17961" s="1" t="str">
        <f>"526264"</f>
        <v>526264</v>
      </c>
      <c r="B17961" s="2" t="str">
        <f>"PISO ELEVADO 600X600 CHAPA DE AÇO"</f>
        <v>PISO ELEVADO 600X600 CHAPA DE AÇO</v>
      </c>
      <c r="C17961" s="2" t="str">
        <f>"M2"</f>
        <v>M2</v>
      </c>
      <c r="D17961" s="7">
        <v>803</v>
      </c>
      <c r="E17961" s="3">
        <v>10</v>
      </c>
      <c r="F17961" s="3">
        <v>10</v>
      </c>
      <c r="G17961" t="s">
        <v>514</v>
      </c>
    </row>
    <row r="17962" spans="1:7" x14ac:dyDescent="0.25">
      <c r="A17962" s="1" t="str">
        <f>"525304"</f>
        <v>525304</v>
      </c>
      <c r="B17962" s="2" t="str">
        <f>"PISO ELEVADO F52 S/ LONG. C/REVEST. 2,0MM 9211418"</f>
        <v>PISO ELEVADO F52 S/ LONG. C/REVEST. 2,0MM 9211418</v>
      </c>
      <c r="C17962" s="2" t="str">
        <f>"M2"</f>
        <v>M2</v>
      </c>
      <c r="D17962" s="7">
        <v>803</v>
      </c>
      <c r="E17962" s="3">
        <v>10</v>
      </c>
      <c r="F17962" s="3">
        <v>10</v>
      </c>
      <c r="G17962" t="s">
        <v>512</v>
      </c>
    </row>
    <row r="17963" spans="1:7" x14ac:dyDescent="0.25">
      <c r="A17963" s="1" t="str">
        <f>"525596"</f>
        <v>525596</v>
      </c>
      <c r="B17963" s="2" t="str">
        <f>"PISO ELEVADO MODELO 01055 (COM LONGARINAS)"</f>
        <v>PISO ELEVADO MODELO 01055 (COM LONGARINAS)</v>
      </c>
      <c r="C17963" s="2" t="str">
        <f>"M2"</f>
        <v>M2</v>
      </c>
      <c r="D17963" s="7">
        <v>803</v>
      </c>
      <c r="E17963" s="3">
        <v>10</v>
      </c>
      <c r="F17963" s="3">
        <v>10</v>
      </c>
      <c r="G17963" t="s">
        <v>513</v>
      </c>
    </row>
    <row r="17964" spans="1:7" x14ac:dyDescent="0.25">
      <c r="A17964" s="1" t="str">
        <f>"514649"</f>
        <v>514649</v>
      </c>
      <c r="B17964" s="2" t="str">
        <f>"PISO GRESSIT"</f>
        <v>PISO GRESSIT</v>
      </c>
      <c r="C17964" s="2" t="str">
        <f t="shared" ref="C17964:C17988" si="707">"UN"</f>
        <v>UN</v>
      </c>
      <c r="D17964" s="7">
        <v>408</v>
      </c>
      <c r="E17964" s="3">
        <v>4</v>
      </c>
      <c r="F17964" s="3">
        <v>4</v>
      </c>
      <c r="G17964" t="s">
        <v>514</v>
      </c>
    </row>
    <row r="17965" spans="1:7" x14ac:dyDescent="0.25">
      <c r="A17965" s="1" t="str">
        <f>"511183"</f>
        <v>511183</v>
      </c>
      <c r="B17965" s="2" t="str">
        <f>"PISO INTERTRAVADO"</f>
        <v>PISO INTERTRAVADO</v>
      </c>
      <c r="C17965" s="2" t="str">
        <f t="shared" si="707"/>
        <v>UN</v>
      </c>
      <c r="D17965" s="7">
        <v>803</v>
      </c>
      <c r="E17965" s="3">
        <v>10</v>
      </c>
      <c r="F17965" s="3">
        <v>10</v>
      </c>
      <c r="G17965" t="s">
        <v>514</v>
      </c>
    </row>
    <row r="17966" spans="1:7" x14ac:dyDescent="0.25">
      <c r="A17966" s="1" t="str">
        <f>"526463"</f>
        <v>526463</v>
      </c>
      <c r="B17966" s="2" t="str">
        <f>"PISO PORCELANATO RET. METROPOLE CEMENTE VIA ROSA"</f>
        <v>PISO PORCELANATO RET. METROPOLE CEMENTE VIA ROSA</v>
      </c>
      <c r="C17966" s="2" t="str">
        <f t="shared" si="707"/>
        <v>UN</v>
      </c>
      <c r="D17966" s="7">
        <v>803</v>
      </c>
      <c r="E17966" s="3">
        <v>10</v>
      </c>
      <c r="F17966" s="3">
        <v>10</v>
      </c>
      <c r="G17966" t="s">
        <v>514</v>
      </c>
    </row>
    <row r="17967" spans="1:7" x14ac:dyDescent="0.25">
      <c r="A17967" s="1" t="str">
        <f>"515187"</f>
        <v>515187</v>
      </c>
      <c r="B17967" s="2" t="str">
        <f>"PISO SAFIRA VERDE"</f>
        <v>PISO SAFIRA VERDE</v>
      </c>
      <c r="C17967" s="2" t="str">
        <f t="shared" si="707"/>
        <v>UN</v>
      </c>
      <c r="D17967" s="7">
        <v>917</v>
      </c>
      <c r="E17967" s="3">
        <v>10</v>
      </c>
      <c r="F17967" s="3">
        <v>10</v>
      </c>
      <c r="G17967" t="s">
        <v>513</v>
      </c>
    </row>
    <row r="17968" spans="1:7" x14ac:dyDescent="0.25">
      <c r="A17968" s="1" t="str">
        <f>"523852"</f>
        <v>523852</v>
      </c>
      <c r="B17968" s="2" t="str">
        <f>"PISSETA GRADUADA 250ML NALGON 2210-250 HX0045-00117"</f>
        <v>PISSETA GRADUADA 250ML NALGON 2210-250 HX0045-00117</v>
      </c>
      <c r="C17968" s="2" t="str">
        <f t="shared" si="707"/>
        <v>UN</v>
      </c>
      <c r="D17968" s="7">
        <v>99999</v>
      </c>
      <c r="E17968" s="3">
        <v>99</v>
      </c>
      <c r="F17968" s="3">
        <v>99</v>
      </c>
      <c r="G17968" t="s">
        <v>512</v>
      </c>
    </row>
    <row r="17969" spans="1:7" x14ac:dyDescent="0.25">
      <c r="A17969" s="1" t="str">
        <f>"523851"</f>
        <v>523851</v>
      </c>
      <c r="B17969" s="2" t="str">
        <f>"PISSETA GRADUADA 500ML NALGON 2210-500 HX0045-00033"</f>
        <v>PISSETA GRADUADA 500ML NALGON 2210-500 HX0045-00033</v>
      </c>
      <c r="C17969" s="2" t="str">
        <f t="shared" si="707"/>
        <v>UN</v>
      </c>
      <c r="D17969" s="7">
        <v>99999</v>
      </c>
      <c r="E17969" s="3">
        <v>99</v>
      </c>
      <c r="F17969" s="3">
        <v>99</v>
      </c>
      <c r="G17969" t="s">
        <v>513</v>
      </c>
    </row>
    <row r="17970" spans="1:7" x14ac:dyDescent="0.25">
      <c r="A17970" s="1" t="str">
        <f>"523591"</f>
        <v>523591</v>
      </c>
      <c r="B17970" s="2" t="str">
        <f>"PISSETA PLASTICA 500ML CAP-LAB S/ GRADUAÇÃO"</f>
        <v>PISSETA PLASTICA 500ML CAP-LAB S/ GRADUAÇÃO</v>
      </c>
      <c r="C17970" s="2" t="str">
        <f t="shared" si="707"/>
        <v>UN</v>
      </c>
      <c r="D17970" s="7">
        <v>402</v>
      </c>
      <c r="E17970" s="3">
        <v>4</v>
      </c>
      <c r="F17970" s="3">
        <v>4</v>
      </c>
      <c r="G17970" t="s">
        <v>514</v>
      </c>
    </row>
    <row r="17971" spans="1:7" x14ac:dyDescent="0.25">
      <c r="A17971" s="1" t="str">
        <f>"513143"</f>
        <v>513143</v>
      </c>
      <c r="B17971" s="2" t="str">
        <f>"PISSETA PLASTICA GRADUADA 250ML CAP-LAB"</f>
        <v>PISSETA PLASTICA GRADUADA 250ML CAP-LAB</v>
      </c>
      <c r="C17971" s="2" t="str">
        <f t="shared" si="707"/>
        <v>UN</v>
      </c>
      <c r="D17971" s="7">
        <v>406</v>
      </c>
      <c r="E17971" s="3">
        <v>4</v>
      </c>
      <c r="F17971" s="3">
        <v>4</v>
      </c>
      <c r="G17971" t="s">
        <v>514</v>
      </c>
    </row>
    <row r="17972" spans="1:7" x14ac:dyDescent="0.25">
      <c r="A17972" s="1" t="str">
        <f>"518561"</f>
        <v>518561</v>
      </c>
      <c r="B17972" s="2" t="str">
        <f>"PISSETA PLASTICA GRADUADA 500ML CAP-LAB"</f>
        <v>PISSETA PLASTICA GRADUADA 500ML CAP-LAB</v>
      </c>
      <c r="C17972" s="2" t="str">
        <f t="shared" si="707"/>
        <v>UN</v>
      </c>
      <c r="D17972" s="7">
        <v>402</v>
      </c>
      <c r="E17972" s="3">
        <v>4</v>
      </c>
      <c r="F17972" s="3">
        <v>4</v>
      </c>
      <c r="G17972" t="s">
        <v>514</v>
      </c>
    </row>
    <row r="17973" spans="1:7" x14ac:dyDescent="0.25">
      <c r="A17973" s="1" t="str">
        <f>"518144"</f>
        <v>518144</v>
      </c>
      <c r="B17973" s="2" t="str">
        <f>"PISSETA SOROGRAFICA GRADUADA 10ML C/ CERTIFICADO"</f>
        <v>PISSETA SOROGRAFICA GRADUADA 10ML C/ CERTIFICADO</v>
      </c>
      <c r="C17973" s="2" t="str">
        <f t="shared" si="707"/>
        <v>UN</v>
      </c>
      <c r="D17973" s="7">
        <v>406</v>
      </c>
      <c r="E17973" s="3">
        <v>4</v>
      </c>
      <c r="F17973" s="3">
        <v>4</v>
      </c>
      <c r="G17973" t="s">
        <v>513</v>
      </c>
    </row>
    <row r="17974" spans="1:7" x14ac:dyDescent="0.25">
      <c r="A17974" s="1" t="str">
        <f>"505166"</f>
        <v>505166</v>
      </c>
      <c r="B17974" s="2" t="str">
        <f>"PISTA DUPLA"</f>
        <v>PISTA DUPLA</v>
      </c>
      <c r="C17974" s="2" t="str">
        <f t="shared" si="707"/>
        <v>UN</v>
      </c>
      <c r="D17974" s="7">
        <v>918</v>
      </c>
      <c r="E17974" s="3">
        <v>11</v>
      </c>
      <c r="F17974" s="3">
        <v>11</v>
      </c>
      <c r="G17974" t="s">
        <v>513</v>
      </c>
    </row>
    <row r="17975" spans="1:7" x14ac:dyDescent="0.25">
      <c r="A17975" s="1" t="str">
        <f>"500727"</f>
        <v>500727</v>
      </c>
      <c r="B17975" s="2" t="str">
        <f>"PISTA DUPLA SELO B. AMONIA FRIGOESTRELA"</f>
        <v>PISTA DUPLA SELO B. AMONIA FRIGOESTRELA</v>
      </c>
      <c r="C17975" s="2" t="str">
        <f t="shared" si="707"/>
        <v>UN</v>
      </c>
      <c r="D17975" s="7">
        <v>918</v>
      </c>
      <c r="E17975" s="3">
        <v>11</v>
      </c>
      <c r="F17975" s="3">
        <v>11</v>
      </c>
      <c r="G17975" t="s">
        <v>513</v>
      </c>
    </row>
    <row r="17976" spans="1:7" x14ac:dyDescent="0.25">
      <c r="A17976" s="1" t="str">
        <f>"511155"</f>
        <v>511155</v>
      </c>
      <c r="B17976" s="2" t="str">
        <f>"PISTA MOLDE DA FORMAGEM"</f>
        <v>PISTA MOLDE DA FORMAGEM</v>
      </c>
      <c r="C17976" s="2" t="str">
        <f t="shared" si="707"/>
        <v>UN</v>
      </c>
      <c r="D17976" s="7">
        <v>918</v>
      </c>
      <c r="E17976" s="3">
        <v>11</v>
      </c>
      <c r="F17976" s="3">
        <v>11</v>
      </c>
      <c r="G17976" t="s">
        <v>512</v>
      </c>
    </row>
    <row r="17977" spans="1:7" x14ac:dyDescent="0.25">
      <c r="A17977" s="1" t="str">
        <f>"505238"</f>
        <v>505238</v>
      </c>
      <c r="B17977" s="2" t="str">
        <f>"PISTA RETENTOR CUMMINS"</f>
        <v>PISTA RETENTOR CUMMINS</v>
      </c>
      <c r="C17977" s="2" t="str">
        <f t="shared" si="707"/>
        <v>UN</v>
      </c>
      <c r="D17977" s="7">
        <v>704</v>
      </c>
      <c r="E17977" s="3">
        <v>9</v>
      </c>
      <c r="F17977" s="3">
        <v>9</v>
      </c>
      <c r="G17977" t="s">
        <v>513</v>
      </c>
    </row>
    <row r="17978" spans="1:7" x14ac:dyDescent="0.25">
      <c r="A17978" s="1" t="str">
        <f>"517219"</f>
        <v>517219</v>
      </c>
      <c r="B17978" s="2" t="str">
        <f>"PISTA SELO DUPLA 200.00.14.001 - BBA FRIGOESTRELA ZM-1"</f>
        <v>PISTA SELO DUPLA 200.00.14.001 - BBA FRIGOESTRELA ZM-1</v>
      </c>
      <c r="C17978" s="2" t="str">
        <f t="shared" si="707"/>
        <v>UN</v>
      </c>
      <c r="D17978" s="7">
        <v>918</v>
      </c>
      <c r="E17978" s="3">
        <v>11</v>
      </c>
      <c r="F17978" s="3">
        <v>11</v>
      </c>
      <c r="G17978" t="s">
        <v>514</v>
      </c>
    </row>
    <row r="17979" spans="1:7" x14ac:dyDescent="0.25">
      <c r="A17979" s="1" t="str">
        <f>"517220"</f>
        <v>517220</v>
      </c>
      <c r="B17979" s="2" t="str">
        <f>"PISTA SELO SIMPLES 200.00.13.001 - BBA FRIGOESTRELA ZM-1"</f>
        <v>PISTA SELO SIMPLES 200.00.13.001 - BBA FRIGOESTRELA ZM-1</v>
      </c>
      <c r="C17979" s="2" t="str">
        <f t="shared" si="707"/>
        <v>UN</v>
      </c>
      <c r="D17979" s="7">
        <v>918</v>
      </c>
      <c r="E17979" s="3">
        <v>11</v>
      </c>
      <c r="F17979" s="3">
        <v>11</v>
      </c>
      <c r="G17979" t="s">
        <v>515</v>
      </c>
    </row>
    <row r="17980" spans="1:7" x14ac:dyDescent="0.25">
      <c r="A17980" s="1" t="str">
        <f>"505941"</f>
        <v>505941</v>
      </c>
      <c r="B17980" s="2" t="str">
        <f>"PISTA SIMPLES"</f>
        <v>PISTA SIMPLES</v>
      </c>
      <c r="C17980" s="2" t="str">
        <f t="shared" si="707"/>
        <v>UN</v>
      </c>
      <c r="D17980" s="7">
        <v>918</v>
      </c>
      <c r="E17980" s="3">
        <v>11</v>
      </c>
      <c r="F17980" s="3">
        <v>11</v>
      </c>
      <c r="G17980" t="s">
        <v>512</v>
      </c>
    </row>
    <row r="17981" spans="1:7" x14ac:dyDescent="0.25">
      <c r="A17981" s="1" t="str">
        <f>"500726"</f>
        <v>500726</v>
      </c>
      <c r="B17981" s="2" t="str">
        <f>"PISTA SIMPLES SELO B.AMONIA FRIGOESTRELA"</f>
        <v>PISTA SIMPLES SELO B.AMONIA FRIGOESTRELA</v>
      </c>
      <c r="C17981" s="2" t="str">
        <f t="shared" si="707"/>
        <v>UN</v>
      </c>
      <c r="D17981" s="7">
        <v>918</v>
      </c>
      <c r="E17981" s="3">
        <v>11</v>
      </c>
      <c r="F17981" s="3">
        <v>11</v>
      </c>
      <c r="G17981" t="s">
        <v>516</v>
      </c>
    </row>
    <row r="17982" spans="1:7" x14ac:dyDescent="0.25">
      <c r="A17982" s="1" t="str">
        <f>"514827"</f>
        <v>514827</v>
      </c>
      <c r="B17982" s="2" t="str">
        <f>"PISTAO"</f>
        <v>PISTAO</v>
      </c>
      <c r="C17982" s="2" t="str">
        <f t="shared" si="707"/>
        <v>UN</v>
      </c>
      <c r="D17982" s="7">
        <v>402</v>
      </c>
      <c r="E17982" s="3">
        <v>4</v>
      </c>
      <c r="F17982" s="3">
        <v>4</v>
      </c>
      <c r="G17982" t="s">
        <v>515</v>
      </c>
    </row>
    <row r="17983" spans="1:7" x14ac:dyDescent="0.25">
      <c r="A17983" s="1" t="str">
        <f>"507828"</f>
        <v>507828</v>
      </c>
      <c r="B17983" s="2" t="str">
        <f>"PISTAO  DN 25X25 DATADOR"</f>
        <v>PISTAO  DN 25X25 DATADOR</v>
      </c>
      <c r="C17983" s="2" t="str">
        <f t="shared" si="707"/>
        <v>UN</v>
      </c>
      <c r="D17983" s="7">
        <v>913</v>
      </c>
      <c r="E17983" s="3">
        <v>11</v>
      </c>
      <c r="F17983" s="3">
        <v>11</v>
      </c>
      <c r="G17983" t="s">
        <v>514</v>
      </c>
    </row>
    <row r="17984" spans="1:7" x14ac:dyDescent="0.25">
      <c r="A17984" s="1" t="str">
        <f>"510970"</f>
        <v>510970</v>
      </c>
      <c r="B17984" s="2" t="str">
        <f>"PISTAO 100 S"</f>
        <v>PISTAO 100 S</v>
      </c>
      <c r="C17984" s="2" t="str">
        <f t="shared" si="707"/>
        <v>UN</v>
      </c>
      <c r="D17984" s="7">
        <v>918</v>
      </c>
      <c r="E17984" s="3">
        <v>11</v>
      </c>
      <c r="F17984" s="3">
        <v>11</v>
      </c>
      <c r="G17984" t="s">
        <v>512</v>
      </c>
    </row>
    <row r="17985" spans="1:7" x14ac:dyDescent="0.25">
      <c r="A17985" s="1" t="str">
        <f>"512242"</f>
        <v>512242</v>
      </c>
      <c r="B17985" s="2" t="str">
        <f>"PISTAO 401288-3 CORTE TAMPA"</f>
        <v>PISTAO 401288-3 CORTE TAMPA</v>
      </c>
      <c r="C17985" s="2" t="str">
        <f t="shared" si="707"/>
        <v>UN</v>
      </c>
      <c r="D17985" s="7">
        <v>913</v>
      </c>
      <c r="E17985" s="3">
        <v>11</v>
      </c>
      <c r="F17985" s="3">
        <v>11</v>
      </c>
      <c r="G17985" t="s">
        <v>513</v>
      </c>
    </row>
    <row r="17986" spans="1:7" x14ac:dyDescent="0.25">
      <c r="A17986" s="1" t="str">
        <f>"512241"</f>
        <v>512241</v>
      </c>
      <c r="B17986" s="2" t="str">
        <f>"PISTAO 402963-3 ACIONAMENTO TRACIONADOR"</f>
        <v>PISTAO 402963-3 ACIONAMENTO TRACIONADOR</v>
      </c>
      <c r="C17986" s="2" t="str">
        <f t="shared" si="707"/>
        <v>UN</v>
      </c>
      <c r="D17986" s="7">
        <v>913</v>
      </c>
      <c r="E17986" s="3">
        <v>11</v>
      </c>
      <c r="F17986" s="3">
        <v>11</v>
      </c>
      <c r="G17986" t="s">
        <v>514</v>
      </c>
    </row>
    <row r="17987" spans="1:7" x14ac:dyDescent="0.25">
      <c r="A17987" s="1" t="str">
        <f>"512243"</f>
        <v>512243</v>
      </c>
      <c r="B17987" s="2" t="str">
        <f>"PISTAO 402971-3 SOLDADOR"</f>
        <v>PISTAO 402971-3 SOLDADOR</v>
      </c>
      <c r="C17987" s="2" t="str">
        <f t="shared" si="707"/>
        <v>UN</v>
      </c>
      <c r="D17987" s="7">
        <v>913</v>
      </c>
      <c r="E17987" s="3">
        <v>11</v>
      </c>
      <c r="F17987" s="3">
        <v>11</v>
      </c>
      <c r="G17987" t="s">
        <v>514</v>
      </c>
    </row>
    <row r="17988" spans="1:7" x14ac:dyDescent="0.25">
      <c r="A17988" s="1" t="str">
        <f>"510037"</f>
        <v>510037</v>
      </c>
      <c r="B17988" s="2" t="str">
        <f>"PISTAO 65-18"</f>
        <v>PISTAO 65-18</v>
      </c>
      <c r="C17988" s="2" t="str">
        <f t="shared" si="707"/>
        <v>UN</v>
      </c>
      <c r="D17988" s="7">
        <v>918</v>
      </c>
      <c r="E17988" s="3">
        <v>11</v>
      </c>
      <c r="F17988" s="3">
        <v>11</v>
      </c>
      <c r="G17988" t="s">
        <v>512</v>
      </c>
    </row>
    <row r="17989" spans="1:7" x14ac:dyDescent="0.25">
      <c r="A17989" s="1" t="str">
        <f>"502228"</f>
        <v>502228</v>
      </c>
      <c r="B17989" s="2" t="str">
        <f>"PISTAO AÇO INOXIDAVEL CROMADO ""HOMO"" TM3"</f>
        <v>PISTAO AÇO INOXIDAVEL CROMADO "HOMO" TM3</v>
      </c>
      <c r="C17989" s="2" t="str">
        <f>"PC"</f>
        <v>PC</v>
      </c>
      <c r="D17989" s="7">
        <v>918</v>
      </c>
      <c r="E17989" s="3">
        <v>11</v>
      </c>
      <c r="F17989" s="3">
        <v>11</v>
      </c>
      <c r="G17989" t="s">
        <v>513</v>
      </c>
    </row>
    <row r="17990" spans="1:7" x14ac:dyDescent="0.25">
      <c r="A17990" s="1" t="str">
        <f>"517381"</f>
        <v>517381</v>
      </c>
      <c r="B17990" s="2" t="str">
        <f>"PISTÃO ALUMINIO A - CR08500-ALAMH-IP"</f>
        <v>PISTÃO ALUMINIO A - CR08500-ALAMH-IP</v>
      </c>
      <c r="C17990" s="2" t="str">
        <f t="shared" ref="C17990:C17997" si="708">"UN"</f>
        <v>UN</v>
      </c>
      <c r="D17990" s="7">
        <v>918</v>
      </c>
      <c r="E17990" s="3">
        <v>11</v>
      </c>
      <c r="F17990" s="3">
        <v>11</v>
      </c>
      <c r="G17990" t="s">
        <v>514</v>
      </c>
    </row>
    <row r="17991" spans="1:7" x14ac:dyDescent="0.25">
      <c r="A17991" s="1" t="str">
        <f>"509369"</f>
        <v>509369</v>
      </c>
      <c r="B17991" s="2" t="str">
        <f>"PISTAO ALUMINIO A (85)"</f>
        <v>PISTAO ALUMINIO A (85)</v>
      </c>
      <c r="C17991" s="2" t="str">
        <f t="shared" si="708"/>
        <v>UN</v>
      </c>
      <c r="D17991" s="7">
        <v>918</v>
      </c>
      <c r="E17991" s="3">
        <v>11</v>
      </c>
      <c r="F17991" s="3">
        <v>11</v>
      </c>
      <c r="G17991" t="s">
        <v>514</v>
      </c>
    </row>
    <row r="17992" spans="1:7" x14ac:dyDescent="0.25">
      <c r="A17992" s="1" t="str">
        <f>"523091"</f>
        <v>523091</v>
      </c>
      <c r="B17992" s="2" t="str">
        <f>"PISTÃO APF-1678"</f>
        <v>PISTÃO APF-1678</v>
      </c>
      <c r="C17992" s="2" t="str">
        <f t="shared" si="708"/>
        <v>UN</v>
      </c>
      <c r="D17992" s="7">
        <v>812</v>
      </c>
      <c r="E17992" s="3">
        <v>10</v>
      </c>
      <c r="F17992" s="3">
        <v>10</v>
      </c>
      <c r="G17992" t="s">
        <v>514</v>
      </c>
    </row>
    <row r="17993" spans="1:7" x14ac:dyDescent="0.25">
      <c r="A17993" s="1" t="str">
        <f>"507863"</f>
        <v>507863</v>
      </c>
      <c r="B17993" s="2" t="str">
        <f>"PISTAO CABINE MB"</f>
        <v>PISTAO CABINE MB</v>
      </c>
      <c r="C17993" s="2" t="str">
        <f t="shared" si="708"/>
        <v>UN</v>
      </c>
      <c r="D17993" s="7">
        <v>704</v>
      </c>
      <c r="E17993" s="3">
        <v>9</v>
      </c>
      <c r="F17993" s="3">
        <v>9</v>
      </c>
      <c r="G17993" t="s">
        <v>513</v>
      </c>
    </row>
    <row r="17994" spans="1:7" x14ac:dyDescent="0.25">
      <c r="A17994" s="1" t="str">
        <f>"518857"</f>
        <v>518857</v>
      </c>
      <c r="B17994" s="2" t="str">
        <f>"PISTÃO COMPLETO JACTO JB42"</f>
        <v>PISTÃO COMPLETO JACTO JB42</v>
      </c>
      <c r="C17994" s="2" t="str">
        <f t="shared" si="708"/>
        <v>UN</v>
      </c>
      <c r="D17994" s="7">
        <v>918</v>
      </c>
      <c r="E17994" s="3">
        <v>11</v>
      </c>
      <c r="F17994" s="3">
        <v>11</v>
      </c>
      <c r="G17994" t="s">
        <v>512</v>
      </c>
    </row>
    <row r="17995" spans="1:7" x14ac:dyDescent="0.25">
      <c r="A17995" s="1" t="str">
        <f>"513452"</f>
        <v>513452</v>
      </c>
      <c r="B17995" s="2" t="str">
        <f>"PISTAO CPL P/ ST FS220"</f>
        <v>PISTAO CPL P/ ST FS220</v>
      </c>
      <c r="C17995" s="2" t="str">
        <f t="shared" si="708"/>
        <v>UN</v>
      </c>
      <c r="D17995" s="7">
        <v>918</v>
      </c>
      <c r="E17995" s="3">
        <v>11</v>
      </c>
      <c r="F17995" s="3">
        <v>11</v>
      </c>
      <c r="G17995" t="s">
        <v>513</v>
      </c>
    </row>
    <row r="17996" spans="1:7" x14ac:dyDescent="0.25">
      <c r="A17996" s="1" t="str">
        <f>"514226"</f>
        <v>514226</v>
      </c>
      <c r="B17996" s="2" t="str">
        <f>"PISTAO DA BOMBA"</f>
        <v>PISTAO DA BOMBA</v>
      </c>
      <c r="C17996" s="2" t="str">
        <f t="shared" si="708"/>
        <v>UN</v>
      </c>
      <c r="D17996" s="7">
        <v>704</v>
      </c>
      <c r="E17996" s="3">
        <v>9</v>
      </c>
      <c r="F17996" s="3">
        <v>9</v>
      </c>
      <c r="G17996" t="s">
        <v>514</v>
      </c>
    </row>
    <row r="17997" spans="1:7" x14ac:dyDescent="0.25">
      <c r="A17997" s="1" t="str">
        <f>"510316"</f>
        <v>510316</v>
      </c>
      <c r="B17997" s="2" t="str">
        <f>"PISTAO DA VALVULA 009300107"</f>
        <v>PISTAO DA VALVULA 009300107</v>
      </c>
      <c r="C17997" s="2" t="str">
        <f t="shared" si="708"/>
        <v>UN</v>
      </c>
      <c r="D17997" s="7">
        <v>918</v>
      </c>
      <c r="E17997" s="3">
        <v>11</v>
      </c>
      <c r="F17997" s="3">
        <v>11</v>
      </c>
      <c r="G17997" t="s">
        <v>514</v>
      </c>
    </row>
    <row r="17998" spans="1:7" x14ac:dyDescent="0.25">
      <c r="A17998" s="1" t="str">
        <f>"502137"</f>
        <v>502137</v>
      </c>
      <c r="B17998" s="2" t="str">
        <f>"PISTAO DA VALVULA MFHB-5-1/4 COD.201535"</f>
        <v>PISTAO DA VALVULA MFHB-5-1/4 COD.201535</v>
      </c>
      <c r="C17998" s="2" t="str">
        <f>"BR"</f>
        <v>BR</v>
      </c>
      <c r="D17998" s="7">
        <v>808</v>
      </c>
      <c r="E17998" s="3">
        <v>10</v>
      </c>
      <c r="F17998" s="3">
        <v>10</v>
      </c>
      <c r="G17998" t="s">
        <v>514</v>
      </c>
    </row>
    <row r="17999" spans="1:7" x14ac:dyDescent="0.25">
      <c r="A17999" s="1" t="str">
        <f>"502139"</f>
        <v>502139</v>
      </c>
      <c r="B17999" s="2" t="str">
        <f>"PISTAO DA VALVULA MFHB-5-1/4 COD.201537"</f>
        <v>PISTAO DA VALVULA MFHB-5-1/4 COD.201537</v>
      </c>
      <c r="C17999" s="2" t="str">
        <f>"BR"</f>
        <v>BR</v>
      </c>
      <c r="D17999" s="7">
        <v>808</v>
      </c>
      <c r="E17999" s="3">
        <v>10</v>
      </c>
      <c r="F17999" s="3">
        <v>10</v>
      </c>
      <c r="G17999" t="s">
        <v>513</v>
      </c>
    </row>
    <row r="18000" spans="1:7" x14ac:dyDescent="0.25">
      <c r="A18000" s="1" t="str">
        <f>"526497"</f>
        <v>526497</v>
      </c>
      <c r="B18000" s="2" t="str">
        <f>"PISTÃO DE BOMBIAMENTO APF-9244"</f>
        <v>PISTÃO DE BOMBIAMENTO APF-9244</v>
      </c>
      <c r="C18000" s="2" t="str">
        <f>"UN"</f>
        <v>UN</v>
      </c>
      <c r="D18000" s="7">
        <v>918</v>
      </c>
      <c r="E18000" s="3">
        <v>11</v>
      </c>
      <c r="F18000" s="3">
        <v>11</v>
      </c>
      <c r="G18000" t="s">
        <v>513</v>
      </c>
    </row>
    <row r="18001" spans="1:7" x14ac:dyDescent="0.25">
      <c r="A18001" s="1" t="str">
        <f>"508471"</f>
        <v>508471</v>
      </c>
      <c r="B18001" s="2" t="str">
        <f>"PISTAO HIDRAULICO TOMBADOR PS"</f>
        <v>PISTAO HIDRAULICO TOMBADOR PS</v>
      </c>
      <c r="C18001" s="2" t="str">
        <f>"UN"</f>
        <v>UN</v>
      </c>
      <c r="D18001" s="7">
        <v>914</v>
      </c>
      <c r="E18001" s="3">
        <v>11</v>
      </c>
      <c r="F18001" s="3">
        <v>11</v>
      </c>
      <c r="G18001" t="s">
        <v>513</v>
      </c>
    </row>
    <row r="18002" spans="1:7" x14ac:dyDescent="0.25">
      <c r="A18002" s="1" t="str">
        <f>"503362"</f>
        <v>503362</v>
      </c>
      <c r="B18002" s="2" t="str">
        <f>"PISTAO MOOG P/Z085-25XX"</f>
        <v>PISTAO MOOG P/Z085-25XX</v>
      </c>
      <c r="C18002" s="2" t="str">
        <f>"UN"</f>
        <v>UN</v>
      </c>
      <c r="D18002" s="7">
        <v>918</v>
      </c>
      <c r="E18002" s="3">
        <v>11</v>
      </c>
      <c r="F18002" s="3">
        <v>11</v>
      </c>
      <c r="G18002" t="s">
        <v>512</v>
      </c>
    </row>
    <row r="18003" spans="1:7" x14ac:dyDescent="0.25">
      <c r="A18003" s="1" t="str">
        <f>"515889"</f>
        <v>515889</v>
      </c>
      <c r="B18003" s="2" t="str">
        <f>"PISTAO PLUS CUMMINS STD"</f>
        <v>PISTAO PLUS CUMMINS STD</v>
      </c>
      <c r="C18003" s="2" t="str">
        <f>"UN"</f>
        <v>UN</v>
      </c>
      <c r="D18003" s="7">
        <v>704</v>
      </c>
      <c r="E18003" s="3">
        <v>9</v>
      </c>
      <c r="F18003" s="3">
        <v>9</v>
      </c>
      <c r="G18003" t="s">
        <v>513</v>
      </c>
    </row>
    <row r="18004" spans="1:7" x14ac:dyDescent="0.25">
      <c r="A18004" s="1" t="str">
        <f>"511770"</f>
        <v>511770</v>
      </c>
      <c r="B18004" s="2" t="str">
        <f>"PISTAO PNEUMATICO 55.28.910-4"</f>
        <v>PISTAO PNEUMATICO 55.28.910-4</v>
      </c>
      <c r="C18004" s="2" t="str">
        <f>"UN"</f>
        <v>UN</v>
      </c>
      <c r="D18004" s="7">
        <v>913</v>
      </c>
      <c r="E18004" s="3">
        <v>11</v>
      </c>
      <c r="F18004" s="3">
        <v>11</v>
      </c>
      <c r="G18004" t="s">
        <v>514</v>
      </c>
    </row>
    <row r="18005" spans="1:7" x14ac:dyDescent="0.25">
      <c r="A18005" s="1" t="str">
        <f>"500924"</f>
        <v>500924</v>
      </c>
      <c r="B18005" s="2" t="str">
        <f>"PISTAO PPV DNN-50/63PDNN COD.332089"</f>
        <v>PISTAO PPV DNN-50/63PDNN COD.332089</v>
      </c>
      <c r="C18005" s="2" t="str">
        <f>"BR"</f>
        <v>BR</v>
      </c>
      <c r="D18005" s="7">
        <v>808</v>
      </c>
      <c r="E18005" s="3">
        <v>10</v>
      </c>
      <c r="F18005" s="3">
        <v>10</v>
      </c>
      <c r="G18005" t="s">
        <v>515</v>
      </c>
    </row>
    <row r="18006" spans="1:7" x14ac:dyDescent="0.25">
      <c r="A18006" s="1" t="str">
        <f>"500925"</f>
        <v>500925</v>
      </c>
      <c r="B18006" s="2" t="str">
        <f>"PISTAO PPV DNN-80/100DNN COD.332090"</f>
        <v>PISTAO PPV DNN-80/100DNN COD.332090</v>
      </c>
      <c r="C18006" s="2" t="str">
        <f>"BR"</f>
        <v>BR</v>
      </c>
      <c r="D18006" s="7">
        <v>808</v>
      </c>
      <c r="E18006" s="3">
        <v>10</v>
      </c>
      <c r="F18006" s="3">
        <v>10</v>
      </c>
      <c r="G18006" t="s">
        <v>512</v>
      </c>
    </row>
    <row r="18007" spans="1:7" x14ac:dyDescent="0.25">
      <c r="A18007" s="1" t="str">
        <f>"513448"</f>
        <v>513448</v>
      </c>
      <c r="B18007" s="2" t="str">
        <f>"PISTÃO VALVULA TAMBOR"</f>
        <v>PISTÃO VALVULA TAMBOR</v>
      </c>
      <c r="C18007" s="2" t="str">
        <f t="shared" ref="C18007:C18042" si="709">"UN"</f>
        <v>UN</v>
      </c>
      <c r="D18007" s="7">
        <v>918</v>
      </c>
      <c r="E18007" s="3">
        <v>11</v>
      </c>
      <c r="F18007" s="3">
        <v>11</v>
      </c>
      <c r="G18007" t="s">
        <v>516</v>
      </c>
    </row>
    <row r="18008" spans="1:7" x14ac:dyDescent="0.25">
      <c r="A18008" s="1" t="str">
        <f>"510228"</f>
        <v>510228</v>
      </c>
      <c r="B18008" s="2" t="str">
        <f>"PISTAO VERTICAL MICRO CN10 D32"</f>
        <v>PISTAO VERTICAL MICRO CN10 D32</v>
      </c>
      <c r="C18008" s="2" t="str">
        <f t="shared" si="709"/>
        <v>UN</v>
      </c>
      <c r="D18008" s="7">
        <v>913</v>
      </c>
      <c r="E18008" s="3">
        <v>11</v>
      </c>
      <c r="F18008" s="3">
        <v>11</v>
      </c>
      <c r="G18008" t="s">
        <v>515</v>
      </c>
    </row>
    <row r="18009" spans="1:7" x14ac:dyDescent="0.25">
      <c r="A18009" s="1" t="str">
        <f>"525569"</f>
        <v>525569</v>
      </c>
      <c r="B18009" s="2" t="str">
        <f>"PISTOLA"</f>
        <v>PISTOLA</v>
      </c>
      <c r="C18009" s="2" t="str">
        <f t="shared" si="709"/>
        <v>UN</v>
      </c>
      <c r="D18009" s="7">
        <v>402</v>
      </c>
      <c r="E18009" s="3">
        <v>4</v>
      </c>
      <c r="F18009" s="3">
        <v>4</v>
      </c>
      <c r="G18009" t="s">
        <v>514</v>
      </c>
    </row>
    <row r="18010" spans="1:7" x14ac:dyDescent="0.25">
      <c r="A18010" s="1" t="str">
        <f>"500320"</f>
        <v>500320</v>
      </c>
      <c r="B18010" s="2" t="str">
        <f>"PISTOLA APLICADORA DE SILICONE"</f>
        <v>PISTOLA APLICADORA DE SILICONE</v>
      </c>
      <c r="C18010" s="2" t="str">
        <f t="shared" si="709"/>
        <v>UN</v>
      </c>
      <c r="D18010" s="7">
        <v>402</v>
      </c>
      <c r="E18010" s="3">
        <v>4</v>
      </c>
      <c r="F18010" s="3">
        <v>4</v>
      </c>
      <c r="G18010" t="s">
        <v>512</v>
      </c>
    </row>
    <row r="18011" spans="1:7" x14ac:dyDescent="0.25">
      <c r="A18011" s="1" t="str">
        <f>"524278"</f>
        <v>524278</v>
      </c>
      <c r="B18011" s="2" t="str">
        <f>"PISTOLA CONTROLE VAZÃO AGUA MOD D-150-A"</f>
        <v>PISTOLA CONTROLE VAZÃO AGUA MOD D-150-A</v>
      </c>
      <c r="C18011" s="2" t="str">
        <f t="shared" si="709"/>
        <v>UN</v>
      </c>
      <c r="D18011" s="7">
        <v>99999</v>
      </c>
      <c r="E18011" s="3">
        <v>99</v>
      </c>
      <c r="F18011" s="3">
        <v>99</v>
      </c>
      <c r="G18011" t="s">
        <v>513</v>
      </c>
    </row>
    <row r="18012" spans="1:7" x14ac:dyDescent="0.25">
      <c r="A18012" s="1" t="str">
        <f>"526600"</f>
        <v>526600</v>
      </c>
      <c r="B18012" s="2" t="str">
        <f>"PISTOLA DE APLICAÇÃO DE ESPUMA ISOLANTE"</f>
        <v>PISTOLA DE APLICAÇÃO DE ESPUMA ISOLANTE</v>
      </c>
      <c r="C18012" s="2" t="str">
        <f t="shared" si="709"/>
        <v>UN</v>
      </c>
      <c r="D18012" s="7">
        <v>803</v>
      </c>
      <c r="E18012" s="3">
        <v>10</v>
      </c>
      <c r="F18012" s="3">
        <v>10</v>
      </c>
      <c r="G18012" t="s">
        <v>514</v>
      </c>
    </row>
    <row r="18013" spans="1:7" x14ac:dyDescent="0.25">
      <c r="A18013" s="1" t="str">
        <f>"520156"</f>
        <v>520156</v>
      </c>
      <c r="B18013" s="2" t="str">
        <f>"PISTOLA DE AR ECONOMICA LSP 1/4-D FESTO 35528"</f>
        <v>PISTOLA DE AR ECONOMICA LSP 1/4-D FESTO 35528</v>
      </c>
      <c r="C18013" s="2" t="str">
        <f t="shared" si="709"/>
        <v>UN</v>
      </c>
      <c r="D18013" s="7">
        <v>402</v>
      </c>
      <c r="E18013" s="3">
        <v>4</v>
      </c>
      <c r="F18013" s="3">
        <v>4</v>
      </c>
      <c r="G18013" t="s">
        <v>514</v>
      </c>
    </row>
    <row r="18014" spans="1:7" x14ac:dyDescent="0.25">
      <c r="A18014" s="1" t="str">
        <f>"528112"</f>
        <v>528112</v>
      </c>
      <c r="B18014" s="2" t="str">
        <f>"PISTOLA MACARICO C/ EXTENSAO 150CM TIPI"</f>
        <v>PISTOLA MACARICO C/ EXTENSAO 150CM TIPI</v>
      </c>
      <c r="C18014" s="2" t="str">
        <f t="shared" si="709"/>
        <v>UN</v>
      </c>
      <c r="D18014" s="7">
        <v>918</v>
      </c>
      <c r="E18014" s="3">
        <v>11</v>
      </c>
      <c r="F18014" s="3">
        <v>11</v>
      </c>
      <c r="G18014" t="s">
        <v>512</v>
      </c>
    </row>
    <row r="18015" spans="1:7" x14ac:dyDescent="0.25">
      <c r="A18015" s="1" t="str">
        <f>"515360"</f>
        <v>515360</v>
      </c>
      <c r="B18015" s="8" t="s">
        <v>71</v>
      </c>
      <c r="C18015" s="2" t="str">
        <f t="shared" si="709"/>
        <v>UN</v>
      </c>
      <c r="D18015" s="7">
        <v>401</v>
      </c>
      <c r="E18015" s="3">
        <v>4</v>
      </c>
      <c r="F18015" s="3">
        <v>4</v>
      </c>
      <c r="G18015" t="s">
        <v>513</v>
      </c>
    </row>
    <row r="18016" spans="1:7" x14ac:dyDescent="0.25">
      <c r="A18016" s="1" t="str">
        <f>"506157"</f>
        <v>506157</v>
      </c>
      <c r="B18016" s="2" t="str">
        <f>"PISTOLA PULVERIZADORA"</f>
        <v>PISTOLA PULVERIZADORA</v>
      </c>
      <c r="C18016" s="2" t="str">
        <f t="shared" si="709"/>
        <v>UN</v>
      </c>
      <c r="D18016" s="7">
        <v>402</v>
      </c>
      <c r="E18016" s="3">
        <v>4</v>
      </c>
      <c r="F18016" s="3">
        <v>4</v>
      </c>
      <c r="G18016" t="s">
        <v>514</v>
      </c>
    </row>
    <row r="18017" spans="1:7" x14ac:dyDescent="0.25">
      <c r="A18017" s="1" t="str">
        <f>"522701"</f>
        <v>522701</v>
      </c>
      <c r="B18017" s="2" t="str">
        <f>"PISTOLAS ÁGUA ALTA RESIST/MUITO RESIST. (COR AZUL COD. 411)"</f>
        <v>PISTOLAS ÁGUA ALTA RESIST/MUITO RESIST. (COR AZUL COD. 411)</v>
      </c>
      <c r="C18017" s="2" t="str">
        <f t="shared" si="709"/>
        <v>UN</v>
      </c>
      <c r="D18017" s="7">
        <v>400</v>
      </c>
      <c r="E18017" s="3">
        <v>4</v>
      </c>
      <c r="F18017" s="3">
        <v>4</v>
      </c>
      <c r="G18017" t="s">
        <v>514</v>
      </c>
    </row>
    <row r="18018" spans="1:7" x14ac:dyDescent="0.25">
      <c r="A18018" s="1" t="str">
        <f>"523499"</f>
        <v>523499</v>
      </c>
      <c r="B18018" s="2" t="str">
        <f>"PISTOLAS ÁGUA MODELO PADRÃO ENTRADA 1/2'' BRANCA CÓD 0405)"</f>
        <v>PISTOLAS ÁGUA MODELO PADRÃO ENTRADA 1/2'' BRANCA CÓD 0405)</v>
      </c>
      <c r="C18018" s="2" t="str">
        <f t="shared" si="709"/>
        <v>UN</v>
      </c>
      <c r="D18018" s="7">
        <v>400</v>
      </c>
      <c r="E18018" s="3">
        <v>4</v>
      </c>
      <c r="F18018" s="3">
        <v>4</v>
      </c>
      <c r="G18018" t="s">
        <v>514</v>
      </c>
    </row>
    <row r="18019" spans="1:7" x14ac:dyDescent="0.25">
      <c r="A18019" s="1" t="str">
        <f>"511216"</f>
        <v>511216</v>
      </c>
      <c r="B18019" s="2" t="str">
        <f>"PISTON COD. 215030"</f>
        <v>PISTON COD. 215030</v>
      </c>
      <c r="C18019" s="2" t="str">
        <f t="shared" si="709"/>
        <v>UN</v>
      </c>
      <c r="D18019" s="7">
        <v>918</v>
      </c>
      <c r="E18019" s="3">
        <v>11</v>
      </c>
      <c r="F18019" s="3">
        <v>11</v>
      </c>
      <c r="G18019" t="s">
        <v>513</v>
      </c>
    </row>
    <row r="18020" spans="1:7" x14ac:dyDescent="0.25">
      <c r="A18020" s="1" t="str">
        <f>"511194"</f>
        <v>511194</v>
      </c>
      <c r="B18020" s="2" t="str">
        <f>"PISTON COD. 215286"</f>
        <v>PISTON COD. 215286</v>
      </c>
      <c r="C18020" s="2" t="str">
        <f t="shared" si="709"/>
        <v>UN</v>
      </c>
      <c r="D18020" s="7">
        <v>918</v>
      </c>
      <c r="E18020" s="3">
        <v>11</v>
      </c>
      <c r="F18020" s="3">
        <v>11</v>
      </c>
      <c r="G18020" t="s">
        <v>512</v>
      </c>
    </row>
    <row r="18021" spans="1:7" x14ac:dyDescent="0.25">
      <c r="A18021" s="1" t="str">
        <f>"511214"</f>
        <v>511214</v>
      </c>
      <c r="B18021" s="2" t="str">
        <f>"PISTON COD. 47051"</f>
        <v>PISTON COD. 47051</v>
      </c>
      <c r="C18021" s="2" t="str">
        <f t="shared" si="709"/>
        <v>UN</v>
      </c>
      <c r="D18021" s="7">
        <v>918</v>
      </c>
      <c r="E18021" s="3">
        <v>11</v>
      </c>
      <c r="F18021" s="3">
        <v>11</v>
      </c>
      <c r="G18021" t="s">
        <v>513</v>
      </c>
    </row>
    <row r="18022" spans="1:7" x14ac:dyDescent="0.25">
      <c r="A18022" s="1" t="str">
        <f>"515204"</f>
        <v>515204</v>
      </c>
      <c r="B18022" s="2" t="str">
        <f>"PITO 19"</f>
        <v>PITO 19</v>
      </c>
      <c r="C18022" s="2" t="str">
        <f t="shared" si="709"/>
        <v>UN</v>
      </c>
      <c r="D18022" s="7">
        <v>704</v>
      </c>
      <c r="E18022" s="3">
        <v>4</v>
      </c>
      <c r="F18022" s="3">
        <v>4</v>
      </c>
      <c r="G18022" t="s">
        <v>514</v>
      </c>
    </row>
    <row r="18023" spans="1:7" x14ac:dyDescent="0.25">
      <c r="A18023" s="1" t="str">
        <f>"515205"</f>
        <v>515205</v>
      </c>
      <c r="B18023" s="2" t="str">
        <f>"PITO 24"</f>
        <v>PITO 24</v>
      </c>
      <c r="C18023" s="2" t="str">
        <f t="shared" si="709"/>
        <v>UN</v>
      </c>
      <c r="D18023" s="7">
        <v>704</v>
      </c>
      <c r="E18023" s="3">
        <v>4</v>
      </c>
      <c r="F18023" s="3">
        <v>4</v>
      </c>
      <c r="G18023" t="s">
        <v>514</v>
      </c>
    </row>
    <row r="18024" spans="1:7" x14ac:dyDescent="0.25">
      <c r="A18024" s="1" t="str">
        <f>"511311"</f>
        <v>511311</v>
      </c>
      <c r="B18024" s="2" t="str">
        <f>"PIVO SUSPENSAO"</f>
        <v>PIVO SUSPENSAO</v>
      </c>
      <c r="C18024" s="2" t="str">
        <f t="shared" si="709"/>
        <v>UN</v>
      </c>
      <c r="D18024" s="7">
        <v>704</v>
      </c>
      <c r="E18024" s="3">
        <v>9</v>
      </c>
      <c r="F18024" s="3">
        <v>9</v>
      </c>
      <c r="G18024" t="s">
        <v>514</v>
      </c>
    </row>
    <row r="18025" spans="1:7" x14ac:dyDescent="0.25">
      <c r="A18025" s="1" t="str">
        <f>"500862"</f>
        <v>500862</v>
      </c>
      <c r="B18025" s="2" t="str">
        <f>"PIVOT - CUTTER LEVER COD. 78801791324"</f>
        <v>PIVOT - CUTTER LEVER COD. 78801791324</v>
      </c>
      <c r="C18025" s="2" t="str">
        <f t="shared" si="709"/>
        <v>UN</v>
      </c>
      <c r="D18025" s="7">
        <v>918</v>
      </c>
      <c r="E18025" s="3">
        <v>11</v>
      </c>
      <c r="F18025" s="3">
        <v>11</v>
      </c>
      <c r="G18025" t="s">
        <v>513</v>
      </c>
    </row>
    <row r="18026" spans="1:7" x14ac:dyDescent="0.25">
      <c r="A18026" s="1" t="str">
        <f>"519565"</f>
        <v>519565</v>
      </c>
      <c r="B18026" s="2" t="str">
        <f>"PLAACA SINALIZAÇÃO SAIDA VERDE ADESIVO STAND SEGURIMAX"</f>
        <v>PLAACA SINALIZAÇÃO SAIDA VERDE ADESIVO STAND SEGURIMAX</v>
      </c>
      <c r="C18026" s="2" t="str">
        <f t="shared" si="709"/>
        <v>UN</v>
      </c>
      <c r="D18026" s="7">
        <v>811</v>
      </c>
      <c r="E18026" s="3">
        <v>8</v>
      </c>
      <c r="F18026" s="3">
        <v>8</v>
      </c>
      <c r="G18026" t="s">
        <v>513</v>
      </c>
    </row>
    <row r="18027" spans="1:7" x14ac:dyDescent="0.25">
      <c r="A18027" s="1" t="str">
        <f>"505113"</f>
        <v>505113</v>
      </c>
      <c r="B18027" s="2" t="str">
        <f>"PLACA"</f>
        <v>PLACA</v>
      </c>
      <c r="C18027" s="2" t="str">
        <f t="shared" si="709"/>
        <v>UN</v>
      </c>
      <c r="D18027" s="7">
        <v>918</v>
      </c>
      <c r="E18027" s="3">
        <v>11</v>
      </c>
      <c r="F18027" s="3">
        <v>11</v>
      </c>
      <c r="G18027" t="s">
        <v>513</v>
      </c>
    </row>
    <row r="18028" spans="1:7" x14ac:dyDescent="0.25">
      <c r="A18028" s="1" t="str">
        <f>"527994"</f>
        <v>527994</v>
      </c>
      <c r="B18028" s="2" t="str">
        <f>"PLACA ""L"" TS6M 0.6MM T316 4 FUROS"</f>
        <v>PLACA "L" TS6M 0.6MM T316 4 FUROS</v>
      </c>
      <c r="C18028" s="2" t="str">
        <f t="shared" si="709"/>
        <v>UN</v>
      </c>
      <c r="D18028" s="7">
        <v>808</v>
      </c>
      <c r="E18028" s="3">
        <v>11</v>
      </c>
      <c r="F18028" s="3">
        <v>11</v>
      </c>
      <c r="G18028" t="s">
        <v>512</v>
      </c>
    </row>
    <row r="18029" spans="1:7" x14ac:dyDescent="0.25">
      <c r="A18029" s="1" t="str">
        <f>"502653"</f>
        <v>502653</v>
      </c>
      <c r="B18029" s="2" t="str">
        <f>"PLACA (0004 H - FINAL)"</f>
        <v>PLACA (0004 H - FINAL)</v>
      </c>
      <c r="C18029" s="2" t="str">
        <f t="shared" si="709"/>
        <v>UN</v>
      </c>
      <c r="D18029" s="7">
        <v>900</v>
      </c>
      <c r="E18029" s="3">
        <v>11</v>
      </c>
      <c r="F18029" s="3">
        <v>11</v>
      </c>
      <c r="G18029" t="s">
        <v>513</v>
      </c>
    </row>
    <row r="18030" spans="1:7" x14ac:dyDescent="0.25">
      <c r="A18030" s="1" t="str">
        <f>"502652"</f>
        <v>502652</v>
      </c>
      <c r="B18030" s="2" t="str">
        <f>"PLACA (0004 V)"</f>
        <v>PLACA (0004 V)</v>
      </c>
      <c r="C18030" s="2" t="str">
        <f t="shared" si="709"/>
        <v>UN</v>
      </c>
      <c r="D18030" s="7">
        <v>900</v>
      </c>
      <c r="E18030" s="3">
        <v>11</v>
      </c>
      <c r="F18030" s="3">
        <v>11</v>
      </c>
      <c r="G18030" t="s">
        <v>514</v>
      </c>
    </row>
    <row r="18031" spans="1:7" x14ac:dyDescent="0.25">
      <c r="A18031" s="1" t="str">
        <f>"502651"</f>
        <v>502651</v>
      </c>
      <c r="B18031" s="2" t="str">
        <f>"PLACA (1004 H)"</f>
        <v>PLACA (1004 H)</v>
      </c>
      <c r="C18031" s="2" t="str">
        <f t="shared" si="709"/>
        <v>UN</v>
      </c>
      <c r="D18031" s="7">
        <v>900</v>
      </c>
      <c r="E18031" s="3">
        <v>11</v>
      </c>
      <c r="F18031" s="3">
        <v>11</v>
      </c>
      <c r="G18031" t="s">
        <v>515</v>
      </c>
    </row>
    <row r="18032" spans="1:7" x14ac:dyDescent="0.25">
      <c r="A18032" s="1" t="str">
        <f>"521387"</f>
        <v>521387</v>
      </c>
      <c r="B18032" s="2" t="str">
        <f>"PLACA (RAQUETE) P/ TESTE DE MASTITE CMT"</f>
        <v>PLACA (RAQUETE) P/ TESTE DE MASTITE CMT</v>
      </c>
      <c r="C18032" s="2" t="str">
        <f t="shared" si="709"/>
        <v>UN</v>
      </c>
      <c r="D18032" s="7">
        <v>406</v>
      </c>
      <c r="E18032" s="3">
        <v>4</v>
      </c>
      <c r="F18032" s="3">
        <v>4</v>
      </c>
      <c r="G18032" t="s">
        <v>512</v>
      </c>
    </row>
    <row r="18033" spans="1:7" x14ac:dyDescent="0.25">
      <c r="A18033" s="1" t="str">
        <f>"526491"</f>
        <v>526491</v>
      </c>
      <c r="B18033" s="2" t="str">
        <f>"PLACA 2X4 1 POSTO"</f>
        <v>PLACA 2X4 1 POSTO</v>
      </c>
      <c r="C18033" s="2" t="str">
        <f t="shared" si="709"/>
        <v>UN</v>
      </c>
      <c r="D18033" s="7">
        <v>811</v>
      </c>
      <c r="E18033" s="3">
        <v>8</v>
      </c>
      <c r="F18033" s="3">
        <v>8</v>
      </c>
      <c r="G18033" t="s">
        <v>516</v>
      </c>
    </row>
    <row r="18034" spans="1:7" x14ac:dyDescent="0.25">
      <c r="A18034" s="1" t="str">
        <f>"526492"</f>
        <v>526492</v>
      </c>
      <c r="B18034" s="2" t="str">
        <f>"PLACA 2X4 3 POSTO"</f>
        <v>PLACA 2X4 3 POSTO</v>
      </c>
      <c r="C18034" s="2" t="str">
        <f t="shared" si="709"/>
        <v>UN</v>
      </c>
      <c r="D18034" s="7">
        <v>811</v>
      </c>
      <c r="E18034" s="3">
        <v>8</v>
      </c>
      <c r="F18034" s="3">
        <v>8</v>
      </c>
      <c r="G18034" t="s">
        <v>515</v>
      </c>
    </row>
    <row r="18035" spans="1:7" x14ac:dyDescent="0.25">
      <c r="A18035" s="1" t="str">
        <f>"528163"</f>
        <v>528163</v>
      </c>
      <c r="B18035" s="2" t="str">
        <f>"PLACA 30 TR DIG TCAS-2"</f>
        <v>PLACA 30 TR DIG TCAS-2</v>
      </c>
      <c r="C18035" s="2" t="str">
        <f t="shared" si="709"/>
        <v>UN</v>
      </c>
      <c r="D18035" s="7">
        <v>811</v>
      </c>
      <c r="E18035" s="3">
        <v>8</v>
      </c>
      <c r="F18035" s="3">
        <v>8</v>
      </c>
      <c r="G18035" t="s">
        <v>514</v>
      </c>
    </row>
    <row r="18036" spans="1:7" x14ac:dyDescent="0.25">
      <c r="A18036" s="1" t="str">
        <f>"518603"</f>
        <v>518603</v>
      </c>
      <c r="B18036" s="2" t="str">
        <f>"PLACA 4 X 4 POSTOS SEPARADOS PIAL PLUS"</f>
        <v>PLACA 4 X 4 POSTOS SEPARADOS PIAL PLUS</v>
      </c>
      <c r="C18036" s="2" t="str">
        <f t="shared" si="709"/>
        <v>UN</v>
      </c>
      <c r="D18036" s="7">
        <v>811</v>
      </c>
      <c r="E18036" s="3">
        <v>8</v>
      </c>
      <c r="F18036" s="3">
        <v>8</v>
      </c>
      <c r="G18036" t="s">
        <v>512</v>
      </c>
    </row>
    <row r="18037" spans="1:7" x14ac:dyDescent="0.25">
      <c r="A18037" s="1" t="str">
        <f>"511692"</f>
        <v>511692</v>
      </c>
      <c r="B18037" s="2" t="str">
        <f>"PLACA 4"" 4 P/ 2 MODULOS PIAL PLUS"</f>
        <v>PLACA 4" 4 P/ 2 MODULOS PIAL PLUS</v>
      </c>
      <c r="C18037" s="2" t="str">
        <f t="shared" si="709"/>
        <v>UN</v>
      </c>
      <c r="D18037" s="7">
        <v>601</v>
      </c>
      <c r="E18037" s="3">
        <v>8</v>
      </c>
      <c r="F18037" s="3">
        <v>8</v>
      </c>
      <c r="G18037" t="s">
        <v>513</v>
      </c>
    </row>
    <row r="18038" spans="1:7" x14ac:dyDescent="0.25">
      <c r="A18038" s="1" t="str">
        <f>"527727"</f>
        <v>527727</v>
      </c>
      <c r="B18038" s="2" t="str">
        <f>"PLACA 4X2 1 POSTO PARA TOMADA LUNARE SCHNEIDER"</f>
        <v>PLACA 4X2 1 POSTO PARA TOMADA LUNARE SCHNEIDER</v>
      </c>
      <c r="C18038" s="2" t="str">
        <f t="shared" si="709"/>
        <v>UN</v>
      </c>
      <c r="D18038" s="7">
        <v>811</v>
      </c>
      <c r="E18038" s="3">
        <v>11</v>
      </c>
      <c r="F18038" s="3">
        <v>11</v>
      </c>
      <c r="G18038" t="s">
        <v>514</v>
      </c>
    </row>
    <row r="18039" spans="1:7" x14ac:dyDescent="0.25">
      <c r="A18039" s="1" t="str">
        <f>"527728"</f>
        <v>527728</v>
      </c>
      <c r="B18039" s="2" t="str">
        <f>"PLACA 4X2 2 POSTO SEPARADOS PARA TOMADA LUNARE SCHNEIDER"</f>
        <v>PLACA 4X2 2 POSTO SEPARADOS PARA TOMADA LUNARE SCHNEIDER</v>
      </c>
      <c r="C18039" s="2" t="str">
        <f t="shared" si="709"/>
        <v>UN</v>
      </c>
      <c r="D18039" s="7">
        <v>811</v>
      </c>
      <c r="E18039" s="3">
        <v>11</v>
      </c>
      <c r="F18039" s="3">
        <v>11</v>
      </c>
      <c r="G18039" t="s">
        <v>514</v>
      </c>
    </row>
    <row r="18040" spans="1:7" x14ac:dyDescent="0.25">
      <c r="A18040" s="1" t="str">
        <f>"527729"</f>
        <v>527729</v>
      </c>
      <c r="B18040" s="2" t="str">
        <f>"PLACA 4X2 3 POSTO PARA TOMADA LUNARE SCHNEIDER"</f>
        <v>PLACA 4X2 3 POSTO PARA TOMADA LUNARE SCHNEIDER</v>
      </c>
      <c r="C18040" s="2" t="str">
        <f t="shared" si="709"/>
        <v>UN</v>
      </c>
      <c r="D18040" s="7">
        <v>811</v>
      </c>
      <c r="E18040" s="3">
        <v>11</v>
      </c>
      <c r="F18040" s="3">
        <v>11</v>
      </c>
      <c r="G18040" t="s">
        <v>512</v>
      </c>
    </row>
    <row r="18041" spans="1:7" x14ac:dyDescent="0.25">
      <c r="A18041" s="1" t="str">
        <f>"510766"</f>
        <v>510766</v>
      </c>
      <c r="B18041" s="2" t="str">
        <f>"PLACA AÇO GRAVADO 40X60 BASE EM GRANITO"</f>
        <v>PLACA AÇO GRAVADO 40X60 BASE EM GRANITO</v>
      </c>
      <c r="C18041" s="2" t="str">
        <f t="shared" si="709"/>
        <v>UN</v>
      </c>
      <c r="D18041" s="7">
        <v>401</v>
      </c>
      <c r="E18041" s="3">
        <v>4</v>
      </c>
      <c r="F18041" s="3">
        <v>4</v>
      </c>
      <c r="G18041" t="s">
        <v>513</v>
      </c>
    </row>
    <row r="18042" spans="1:7" x14ac:dyDescent="0.25">
      <c r="A18042" s="1" t="str">
        <f>"527749"</f>
        <v>527749</v>
      </c>
      <c r="B18042" s="2" t="str">
        <f>"PLACA AÇO INOX 1MM C/ GRAVAÇÃO 4 X 3 CM"</f>
        <v>PLACA AÇO INOX 1MM C/ GRAVAÇÃO 4 X 3 CM</v>
      </c>
      <c r="C18042" s="2" t="str">
        <f t="shared" si="709"/>
        <v>UN</v>
      </c>
      <c r="D18042" s="7">
        <v>806</v>
      </c>
      <c r="E18042" s="3">
        <v>10</v>
      </c>
      <c r="F18042" s="3">
        <v>10</v>
      </c>
      <c r="G18042" t="s">
        <v>514</v>
      </c>
    </row>
    <row r="18043" spans="1:7" x14ac:dyDescent="0.25">
      <c r="A18043" s="1" t="str">
        <f>"526375"</f>
        <v>526375</v>
      </c>
      <c r="B18043" s="2" t="str">
        <f>"PLACA AÇO INOX 1MM C/ GRAVAÇÃO 5 X 2,5CM"</f>
        <v>PLACA AÇO INOX 1MM C/ GRAVAÇÃO 5 X 2,5CM</v>
      </c>
      <c r="C18043" s="2" t="str">
        <f>"PC"</f>
        <v>PC</v>
      </c>
      <c r="D18043" s="7">
        <v>806</v>
      </c>
      <c r="E18043" s="3">
        <v>10</v>
      </c>
      <c r="F18043" s="3">
        <v>10</v>
      </c>
      <c r="G18043" t="s">
        <v>514</v>
      </c>
    </row>
    <row r="18044" spans="1:7" x14ac:dyDescent="0.25">
      <c r="A18044" s="1" t="str">
        <f>"509944"</f>
        <v>509944</v>
      </c>
      <c r="B18044" s="2" t="str">
        <f>"PLACA AÇO INOX MOD. S-37 CEGA"</f>
        <v>PLACA AÇO INOX MOD. S-37 CEGA</v>
      </c>
      <c r="C18044" s="2" t="str">
        <f>"PC"</f>
        <v>PC</v>
      </c>
      <c r="D18044" s="7">
        <v>806</v>
      </c>
      <c r="E18044" s="3">
        <v>10</v>
      </c>
      <c r="F18044" s="3">
        <v>10</v>
      </c>
      <c r="G18044" t="s">
        <v>514</v>
      </c>
    </row>
    <row r="18045" spans="1:7" x14ac:dyDescent="0.25">
      <c r="A18045" s="1" t="str">
        <f>"521654"</f>
        <v>521654</v>
      </c>
      <c r="B18045" s="2" t="str">
        <f>"PLACA ADVERTENCIA"</f>
        <v>PLACA ADVERTENCIA</v>
      </c>
      <c r="C18045" s="2" t="str">
        <f t="shared" ref="C18045:C18078" si="710">"UN"</f>
        <v>UN</v>
      </c>
      <c r="D18045" s="7">
        <v>501</v>
      </c>
      <c r="E18045" s="3">
        <v>4</v>
      </c>
      <c r="F18045" s="3">
        <v>4</v>
      </c>
      <c r="G18045" t="s">
        <v>513</v>
      </c>
    </row>
    <row r="18046" spans="1:7" x14ac:dyDescent="0.25">
      <c r="A18046" s="1" t="str">
        <f>"521655"</f>
        <v>521655</v>
      </c>
      <c r="B18046" s="2" t="str">
        <f>"PLACA ADVERTENCIA PISO ESCORREGADIO"</f>
        <v>PLACA ADVERTENCIA PISO ESCORREGADIO</v>
      </c>
      <c r="C18046" s="2" t="str">
        <f t="shared" si="710"/>
        <v>UN</v>
      </c>
      <c r="D18046" s="7">
        <v>501</v>
      </c>
      <c r="E18046" s="3">
        <v>4</v>
      </c>
      <c r="F18046" s="3">
        <v>4</v>
      </c>
      <c r="G18046" t="s">
        <v>512</v>
      </c>
    </row>
    <row r="18047" spans="1:7" x14ac:dyDescent="0.25">
      <c r="A18047" s="1" t="str">
        <f>"513663"</f>
        <v>513663</v>
      </c>
      <c r="B18047" s="2" t="str">
        <f>"PLACA ADVERTENCIA PISO MOLHADO"</f>
        <v>PLACA ADVERTENCIA PISO MOLHADO</v>
      </c>
      <c r="C18047" s="2" t="str">
        <f t="shared" si="710"/>
        <v>UN</v>
      </c>
      <c r="D18047" s="7">
        <v>501</v>
      </c>
      <c r="E18047" s="3">
        <v>4</v>
      </c>
      <c r="F18047" s="3">
        <v>4</v>
      </c>
      <c r="G18047" t="s">
        <v>513</v>
      </c>
    </row>
    <row r="18048" spans="1:7" x14ac:dyDescent="0.25">
      <c r="A18048" s="1" t="str">
        <f>"526610"</f>
        <v>526610</v>
      </c>
      <c r="B18048" s="2" t="str">
        <f>"PLACA AISI 316 H ABERTA N-40"</f>
        <v>PLACA AISI 316 H ABERTA N-40</v>
      </c>
      <c r="C18048" s="2" t="str">
        <f t="shared" si="710"/>
        <v>UN</v>
      </c>
      <c r="D18048" s="7">
        <v>402</v>
      </c>
      <c r="E18048" s="3">
        <v>4</v>
      </c>
      <c r="F18048" s="3">
        <v>4</v>
      </c>
      <c r="G18048" t="s">
        <v>514</v>
      </c>
    </row>
    <row r="18049" spans="1:7" x14ac:dyDescent="0.25">
      <c r="A18049" s="1" t="str">
        <f>"526478"</f>
        <v>526478</v>
      </c>
      <c r="B18049" s="2" t="str">
        <f>"PLACA AISI 316 H FECHADA N40"</f>
        <v>PLACA AISI 316 H FECHADA N40</v>
      </c>
      <c r="C18049" s="2" t="str">
        <f t="shared" si="710"/>
        <v>UN</v>
      </c>
      <c r="D18049" s="7">
        <v>912</v>
      </c>
      <c r="E18049" s="3">
        <v>11</v>
      </c>
      <c r="F18049" s="3">
        <v>11</v>
      </c>
      <c r="G18049" t="s">
        <v>514</v>
      </c>
    </row>
    <row r="18050" spans="1:7" x14ac:dyDescent="0.25">
      <c r="A18050" s="1" t="str">
        <f>"526609"</f>
        <v>526609</v>
      </c>
      <c r="B18050" s="2" t="str">
        <f>"PLACA AISI 316 H FECHADA N-40"</f>
        <v>PLACA AISI 316 H FECHADA N-40</v>
      </c>
      <c r="C18050" s="2" t="str">
        <f t="shared" si="710"/>
        <v>UN</v>
      </c>
      <c r="D18050" s="7">
        <v>402</v>
      </c>
      <c r="E18050" s="3">
        <v>4</v>
      </c>
      <c r="F18050" s="3">
        <v>4</v>
      </c>
      <c r="G18050" t="s">
        <v>514</v>
      </c>
    </row>
    <row r="18051" spans="1:7" x14ac:dyDescent="0.25">
      <c r="A18051" s="1" t="str">
        <f>"511604"</f>
        <v>511604</v>
      </c>
      <c r="B18051" s="2" t="str">
        <f>"PLACA ALIMENTAÇAO IGBT"</f>
        <v>PLACA ALIMENTAÇAO IGBT</v>
      </c>
      <c r="C18051" s="2" t="str">
        <f t="shared" si="710"/>
        <v>UN</v>
      </c>
      <c r="D18051" s="7">
        <v>900</v>
      </c>
      <c r="E18051" s="3">
        <v>11</v>
      </c>
      <c r="F18051" s="3">
        <v>11</v>
      </c>
      <c r="G18051" t="s">
        <v>513</v>
      </c>
    </row>
    <row r="18052" spans="1:7" x14ac:dyDescent="0.25">
      <c r="A18052" s="1" t="str">
        <f>"515303"</f>
        <v>515303</v>
      </c>
      <c r="B18052" s="2" t="str">
        <f>"PLACA AQUECEDORA P/ ANALISE E DETECÇÃO ANTIBIOTICO HEXIS"</f>
        <v>PLACA AQUECEDORA P/ ANALISE E DETECÇÃO ANTIBIOTICO HEXIS</v>
      </c>
      <c r="C18052" s="2" t="str">
        <f t="shared" si="710"/>
        <v>UN</v>
      </c>
      <c r="D18052" s="7">
        <v>1300</v>
      </c>
      <c r="E18052" s="3">
        <v>13</v>
      </c>
      <c r="F18052" s="3">
        <v>13</v>
      </c>
      <c r="G18052" t="s">
        <v>513</v>
      </c>
    </row>
    <row r="18053" spans="1:7" x14ac:dyDescent="0.25">
      <c r="A18053" s="1" t="str">
        <f>"524101"</f>
        <v>524101</v>
      </c>
      <c r="B18053" s="2" t="str">
        <f>"PLACA ATENÇÃO 220V TAM 20X16CM POLICARB. TEXTURIZADO 0,18MM"</f>
        <v>PLACA ATENÇÃO 220V TAM 20X16CM POLICARB. TEXTURIZADO 0,18MM</v>
      </c>
      <c r="C18053" s="2" t="str">
        <f t="shared" si="710"/>
        <v>UN</v>
      </c>
      <c r="D18053" s="7">
        <v>99999</v>
      </c>
      <c r="E18053" s="3">
        <v>99</v>
      </c>
      <c r="F18053" s="3">
        <v>99</v>
      </c>
      <c r="G18053" t="s">
        <v>513</v>
      </c>
    </row>
    <row r="18054" spans="1:7" x14ac:dyDescent="0.25">
      <c r="A18054" s="1" t="str">
        <f>"524102"</f>
        <v>524102</v>
      </c>
      <c r="B18054" s="2" t="str">
        <f>"PLACA ATENÇÃO 220V TAM 25X20CM POLICARB. TEXTURIZADO 0,18MM"</f>
        <v>PLACA ATENÇÃO 220V TAM 25X20CM POLICARB. TEXTURIZADO 0,18MM</v>
      </c>
      <c r="C18054" s="2" t="str">
        <f t="shared" si="710"/>
        <v>UN</v>
      </c>
      <c r="D18054" s="7">
        <v>99999</v>
      </c>
      <c r="E18054" s="3">
        <v>99</v>
      </c>
      <c r="F18054" s="3">
        <v>99</v>
      </c>
      <c r="G18054" t="s">
        <v>512</v>
      </c>
    </row>
    <row r="18055" spans="1:7" x14ac:dyDescent="0.25">
      <c r="A18055" s="1" t="str">
        <f>"524100"</f>
        <v>524100</v>
      </c>
      <c r="B18055" s="2" t="str">
        <f>"PLACA ATENÇÃO 380V TAM 20X16CM POLICARB. TEXTURIZADO 0,18MM"</f>
        <v>PLACA ATENÇÃO 380V TAM 20X16CM POLICARB. TEXTURIZADO 0,18MM</v>
      </c>
      <c r="C18055" s="2" t="str">
        <f t="shared" si="710"/>
        <v>UN</v>
      </c>
      <c r="D18055" s="7">
        <v>99999</v>
      </c>
      <c r="E18055" s="3">
        <v>99</v>
      </c>
      <c r="F18055" s="3">
        <v>99</v>
      </c>
      <c r="G18055" t="s">
        <v>513</v>
      </c>
    </row>
    <row r="18056" spans="1:7" x14ac:dyDescent="0.25">
      <c r="A18056" s="1" t="str">
        <f>"524099"</f>
        <v>524099</v>
      </c>
      <c r="B18056" s="2" t="str">
        <f>"PLACA ATENÇÃO 380V TAM 25X20CM POLICARB. TEXTURIZADO 0,18MM"</f>
        <v>PLACA ATENÇÃO 380V TAM 25X20CM POLICARB. TEXTURIZADO 0,18MM</v>
      </c>
      <c r="C18056" s="2" t="str">
        <f t="shared" si="710"/>
        <v>UN</v>
      </c>
      <c r="D18056" s="7">
        <v>99999</v>
      </c>
      <c r="E18056" s="3">
        <v>99</v>
      </c>
      <c r="F18056" s="3">
        <v>99</v>
      </c>
      <c r="G18056" t="s">
        <v>514</v>
      </c>
    </row>
    <row r="18057" spans="1:7" x14ac:dyDescent="0.25">
      <c r="A18057" s="1" t="str">
        <f>"524103"</f>
        <v>524103</v>
      </c>
      <c r="B18057" s="2" t="str">
        <f>"PLACA ATENÇÃO ACE. PERM. SOMENTE P/ PESSOAS AUTORIZ. 25X20CM"</f>
        <v>PLACA ATENÇÃO ACE. PERM. SOMENTE P/ PESSOAS AUTORIZ. 25X20CM</v>
      </c>
      <c r="C18057" s="2" t="str">
        <f t="shared" si="710"/>
        <v>UN</v>
      </c>
      <c r="D18057" s="7">
        <v>99999</v>
      </c>
      <c r="E18057" s="3">
        <v>99</v>
      </c>
      <c r="F18057" s="3">
        <v>99</v>
      </c>
      <c r="G18057" t="s">
        <v>515</v>
      </c>
    </row>
    <row r="18058" spans="1:7" x14ac:dyDescent="0.25">
      <c r="A18058" s="1" t="str">
        <f>"524824"</f>
        <v>524824</v>
      </c>
      <c r="B18058" s="2" t="str">
        <f>"PLACA AVISO ESTACIONE DE RÉ"</f>
        <v>PLACA AVISO ESTACIONE DE RÉ</v>
      </c>
      <c r="C18058" s="2" t="str">
        <f t="shared" si="710"/>
        <v>UN</v>
      </c>
      <c r="D18058" s="7">
        <v>501</v>
      </c>
      <c r="E18058" s="3">
        <v>4</v>
      </c>
      <c r="F18058" s="3">
        <v>4</v>
      </c>
      <c r="G18058" t="s">
        <v>512</v>
      </c>
    </row>
    <row r="18059" spans="1:7" x14ac:dyDescent="0.25">
      <c r="A18059" s="1" t="str">
        <f>"516006"</f>
        <v>516006</v>
      </c>
      <c r="B18059" s="2" t="str">
        <f>"PLACA BANHEIRO FORA DE USO"</f>
        <v>PLACA BANHEIRO FORA DE USO</v>
      </c>
      <c r="C18059" s="2" t="str">
        <f t="shared" si="710"/>
        <v>UN</v>
      </c>
      <c r="D18059" s="7">
        <v>400</v>
      </c>
      <c r="E18059" s="3">
        <v>10</v>
      </c>
      <c r="F18059" s="3">
        <v>10</v>
      </c>
      <c r="G18059" t="s">
        <v>516</v>
      </c>
    </row>
    <row r="18060" spans="1:7" x14ac:dyDescent="0.25">
      <c r="A18060" s="1" t="str">
        <f>"514765"</f>
        <v>514765</v>
      </c>
      <c r="B18060" s="2" t="str">
        <f>"PLACA BARI 4 X 2"</f>
        <v>PLACA BARI 4 X 2</v>
      </c>
      <c r="C18060" s="2" t="str">
        <f t="shared" si="710"/>
        <v>UN</v>
      </c>
      <c r="D18060" s="7">
        <v>900</v>
      </c>
      <c r="E18060" s="3">
        <v>8</v>
      </c>
      <c r="F18060" s="3">
        <v>8</v>
      </c>
      <c r="G18060" t="s">
        <v>515</v>
      </c>
    </row>
    <row r="18061" spans="1:7" x14ac:dyDescent="0.25">
      <c r="A18061" s="1" t="str">
        <f>"501199"</f>
        <v>501199</v>
      </c>
      <c r="B18061" s="2" t="str">
        <f>"PLACA BH 503 BRASHOLANDA MAQ. COPO"</f>
        <v>PLACA BH 503 BRASHOLANDA MAQ. COPO</v>
      </c>
      <c r="C18061" s="2" t="str">
        <f t="shared" si="710"/>
        <v>UN</v>
      </c>
      <c r="D18061" s="7">
        <v>900</v>
      </c>
      <c r="E18061" s="3">
        <v>11</v>
      </c>
      <c r="F18061" s="3">
        <v>11</v>
      </c>
      <c r="G18061" t="s">
        <v>514</v>
      </c>
    </row>
    <row r="18062" spans="1:7" x14ac:dyDescent="0.25">
      <c r="A18062" s="1" t="str">
        <f>"501209"</f>
        <v>501209</v>
      </c>
      <c r="B18062" s="2" t="str">
        <f>"PLACA BH4115R BRASHOLANDA MAQ. 200ml"</f>
        <v>PLACA BH4115R BRASHOLANDA MAQ. 200ml</v>
      </c>
      <c r="C18062" s="2" t="str">
        <f t="shared" si="710"/>
        <v>UN</v>
      </c>
      <c r="D18062" s="7">
        <v>900</v>
      </c>
      <c r="E18062" s="3">
        <v>11</v>
      </c>
      <c r="F18062" s="3">
        <v>11</v>
      </c>
      <c r="G18062" t="s">
        <v>512</v>
      </c>
    </row>
    <row r="18063" spans="1:7" x14ac:dyDescent="0.25">
      <c r="A18063" s="1" t="str">
        <f>"501210"</f>
        <v>501210</v>
      </c>
      <c r="B18063" s="2" t="str">
        <f>"PLACA BH428D BRASHOLANDA MAQ. 200ml"</f>
        <v>PLACA BH428D BRASHOLANDA MAQ. 200ml</v>
      </c>
      <c r="C18063" s="2" t="str">
        <f t="shared" si="710"/>
        <v>UN</v>
      </c>
      <c r="D18063" s="7">
        <v>900</v>
      </c>
      <c r="E18063" s="3">
        <v>11</v>
      </c>
      <c r="F18063" s="3">
        <v>11</v>
      </c>
      <c r="G18063" t="s">
        <v>513</v>
      </c>
    </row>
    <row r="18064" spans="1:7" x14ac:dyDescent="0.25">
      <c r="A18064" s="1" t="str">
        <f>"501208"</f>
        <v>501208</v>
      </c>
      <c r="B18064" s="2" t="str">
        <f>"PLACA BHF4M BRASHOLANDA MAQ. 200ml"</f>
        <v>PLACA BHF4M BRASHOLANDA MAQ. 200ml</v>
      </c>
      <c r="C18064" s="2" t="str">
        <f t="shared" si="710"/>
        <v>UN</v>
      </c>
      <c r="D18064" s="7">
        <v>900</v>
      </c>
      <c r="E18064" s="3">
        <v>11</v>
      </c>
      <c r="F18064" s="3">
        <v>11</v>
      </c>
      <c r="G18064" t="s">
        <v>514</v>
      </c>
    </row>
    <row r="18065" spans="1:7" x14ac:dyDescent="0.25">
      <c r="A18065" s="1" t="str">
        <f>"524846"</f>
        <v>524846</v>
      </c>
      <c r="B18065" s="2" t="str">
        <f>"PLACA BOIA DE EMERGENCIA 25 X 30CM"</f>
        <v>PLACA BOIA DE EMERGENCIA 25 X 30CM</v>
      </c>
      <c r="C18065" s="2" t="str">
        <f t="shared" si="710"/>
        <v>UN</v>
      </c>
      <c r="D18065" s="7">
        <v>501</v>
      </c>
      <c r="E18065" s="3">
        <v>4</v>
      </c>
      <c r="F18065" s="3">
        <v>4</v>
      </c>
      <c r="G18065" t="s">
        <v>514</v>
      </c>
    </row>
    <row r="18066" spans="1:7" x14ac:dyDescent="0.25">
      <c r="A18066" s="1" t="str">
        <f>"521801"</f>
        <v>521801</v>
      </c>
      <c r="B18066" s="2" t="str">
        <f>"PLACA C/ ARMAÇÃO METAL LONA IMPRESSA 150X75CM"</f>
        <v>PLACA C/ ARMAÇÃO METAL LONA IMPRESSA 150X75CM</v>
      </c>
      <c r="C18066" s="2" t="str">
        <f t="shared" si="710"/>
        <v>UN</v>
      </c>
      <c r="D18066" s="7">
        <v>99999</v>
      </c>
      <c r="E18066" s="3">
        <v>99</v>
      </c>
      <c r="F18066" s="3">
        <v>99</v>
      </c>
      <c r="G18066" t="s">
        <v>512</v>
      </c>
    </row>
    <row r="18067" spans="1:7" x14ac:dyDescent="0.25">
      <c r="A18067" s="1" t="str">
        <f>"526487"</f>
        <v>526487</v>
      </c>
      <c r="B18067" s="2" t="str">
        <f>"PLACA CEGA 2 POSTOS SEPARADOS"</f>
        <v>PLACA CEGA 2 POSTOS SEPARADOS</v>
      </c>
      <c r="C18067" s="2" t="str">
        <f t="shared" si="710"/>
        <v>UN</v>
      </c>
      <c r="D18067" s="7">
        <v>811</v>
      </c>
      <c r="E18067" s="3">
        <v>8</v>
      </c>
      <c r="F18067" s="3">
        <v>8</v>
      </c>
      <c r="G18067" t="s">
        <v>513</v>
      </c>
    </row>
    <row r="18068" spans="1:7" x14ac:dyDescent="0.25">
      <c r="A18068" s="1" t="str">
        <f>"518257"</f>
        <v>518257</v>
      </c>
      <c r="B18068" s="2" t="str">
        <f>"PLACA CEGA 2X4 C/ SUPORTE"</f>
        <v>PLACA CEGA 2X4 C/ SUPORTE</v>
      </c>
      <c r="C18068" s="2" t="str">
        <f t="shared" si="710"/>
        <v>UN</v>
      </c>
      <c r="D18068" s="7">
        <v>811</v>
      </c>
      <c r="E18068" s="3">
        <v>8</v>
      </c>
      <c r="F18068" s="3">
        <v>8</v>
      </c>
      <c r="G18068" t="s">
        <v>514</v>
      </c>
    </row>
    <row r="18069" spans="1:7" x14ac:dyDescent="0.25">
      <c r="A18069" s="1" t="str">
        <f>"521838"</f>
        <v>521838</v>
      </c>
      <c r="B18069" s="2" t="str">
        <f>"PLACA CEGA 4 X 4 BRANCA MECATRONIC"</f>
        <v>PLACA CEGA 4 X 4 BRANCA MECATRONIC</v>
      </c>
      <c r="C18069" s="2" t="str">
        <f t="shared" si="710"/>
        <v>UN</v>
      </c>
      <c r="D18069" s="7">
        <v>900</v>
      </c>
      <c r="E18069" s="3">
        <v>8</v>
      </c>
      <c r="F18069" s="3">
        <v>8</v>
      </c>
      <c r="G18069" t="s">
        <v>514</v>
      </c>
    </row>
    <row r="18070" spans="1:7" x14ac:dyDescent="0.25">
      <c r="A18070" s="1" t="str">
        <f>"526490"</f>
        <v>526490</v>
      </c>
      <c r="B18070" s="2" t="str">
        <f>"PLACA CEGA 4X4"</f>
        <v>PLACA CEGA 4X4</v>
      </c>
      <c r="C18070" s="2" t="str">
        <f t="shared" si="710"/>
        <v>UN</v>
      </c>
      <c r="D18070" s="7">
        <v>811</v>
      </c>
      <c r="E18070" s="3">
        <v>8</v>
      </c>
      <c r="F18070" s="3">
        <v>8</v>
      </c>
      <c r="G18070" t="s">
        <v>514</v>
      </c>
    </row>
    <row r="18071" spans="1:7" x14ac:dyDescent="0.25">
      <c r="A18071" s="1" t="str">
        <f>"526485"</f>
        <v>526485</v>
      </c>
      <c r="B18071" s="2" t="str">
        <f>"PLACA CEGA 6 POS POSTO"</f>
        <v>PLACA CEGA 6 POS POSTO</v>
      </c>
      <c r="C18071" s="2" t="str">
        <f t="shared" si="710"/>
        <v>UN</v>
      </c>
      <c r="D18071" s="7">
        <v>811</v>
      </c>
      <c r="E18071" s="3">
        <v>8</v>
      </c>
      <c r="F18071" s="3">
        <v>8</v>
      </c>
      <c r="G18071" t="s">
        <v>513</v>
      </c>
    </row>
    <row r="18072" spans="1:7" x14ac:dyDescent="0.25">
      <c r="A18072" s="1" t="str">
        <f>"517532"</f>
        <v>517532</v>
      </c>
      <c r="B18072" s="2" t="str">
        <f>"PLACA CEGA P/ BASE MANIFOLD PRSB-1/4"""</f>
        <v>PLACA CEGA P/ BASE MANIFOLD PRSB-1/4"</v>
      </c>
      <c r="C18072" s="2" t="str">
        <f t="shared" si="710"/>
        <v>UN</v>
      </c>
      <c r="D18072" s="7">
        <v>913</v>
      </c>
      <c r="E18072" s="3">
        <v>11</v>
      </c>
      <c r="F18072" s="3">
        <v>11</v>
      </c>
      <c r="G18072" t="s">
        <v>512</v>
      </c>
    </row>
    <row r="18073" spans="1:7" x14ac:dyDescent="0.25">
      <c r="A18073" s="1" t="str">
        <f>"525239"</f>
        <v>525239</v>
      </c>
      <c r="B18073" s="2" t="str">
        <f>"PLACA CEGA P/ CONDULETE 1"" WETZEL"</f>
        <v>PLACA CEGA P/ CONDULETE 1" WETZEL</v>
      </c>
      <c r="C18073" s="2" t="str">
        <f t="shared" si="710"/>
        <v>UN</v>
      </c>
      <c r="D18073" s="7">
        <v>811</v>
      </c>
      <c r="E18073" s="3">
        <v>11</v>
      </c>
      <c r="F18073" s="3">
        <v>11</v>
      </c>
      <c r="G18073" t="s">
        <v>513</v>
      </c>
    </row>
    <row r="18074" spans="1:7" x14ac:dyDescent="0.25">
      <c r="A18074" s="1" t="str">
        <f>"510720"</f>
        <v>510720</v>
      </c>
      <c r="B18074" s="2" t="str">
        <f>"PLACA CEGA P/ CONDULETE 3/4"</f>
        <v>PLACA CEGA P/ CONDULETE 3/4</v>
      </c>
      <c r="C18074" s="2" t="str">
        <f t="shared" si="710"/>
        <v>UN</v>
      </c>
      <c r="D18074" s="7">
        <v>601</v>
      </c>
      <c r="E18074" s="3">
        <v>8</v>
      </c>
      <c r="F18074" s="3">
        <v>8</v>
      </c>
      <c r="G18074" t="s">
        <v>514</v>
      </c>
    </row>
    <row r="18075" spans="1:7" x14ac:dyDescent="0.25">
      <c r="A18075" s="1" t="str">
        <f>"500378"</f>
        <v>500378</v>
      </c>
      <c r="B18075" s="2" t="str">
        <f>"PLACA CEGA SIEMENS IRIEL 2 X 4"</f>
        <v>PLACA CEGA SIEMENS IRIEL 2 X 4</v>
      </c>
      <c r="C18075" s="2" t="str">
        <f t="shared" si="710"/>
        <v>UN</v>
      </c>
      <c r="D18075" s="7">
        <v>403</v>
      </c>
      <c r="E18075" s="3">
        <v>4</v>
      </c>
      <c r="F18075" s="3">
        <v>4</v>
      </c>
      <c r="G18075" t="s">
        <v>514</v>
      </c>
    </row>
    <row r="18076" spans="1:7" x14ac:dyDescent="0.25">
      <c r="A18076" s="1" t="str">
        <f>"524967"</f>
        <v>524967</v>
      </c>
      <c r="B18076" s="2" t="str">
        <f>"PLACA CENTRAL D-66264"</f>
        <v>PLACA CENTRAL D-66264</v>
      </c>
      <c r="C18076" s="2" t="str">
        <f t="shared" si="710"/>
        <v>UN</v>
      </c>
      <c r="D18076" s="7">
        <v>811</v>
      </c>
      <c r="E18076" s="3">
        <v>11</v>
      </c>
      <c r="F18076" s="3">
        <v>11</v>
      </c>
      <c r="G18076" t="s">
        <v>514</v>
      </c>
    </row>
    <row r="18077" spans="1:7" x14ac:dyDescent="0.25">
      <c r="A18077" s="1" t="str">
        <f>"509332"</f>
        <v>509332</v>
      </c>
      <c r="B18077" s="2" t="str">
        <f>"PLACA CENTRAL DE ALARME AD-422"</f>
        <v>PLACA CENTRAL DE ALARME AD-422</v>
      </c>
      <c r="C18077" s="2" t="str">
        <f t="shared" si="710"/>
        <v>UN</v>
      </c>
      <c r="D18077" s="7">
        <v>601</v>
      </c>
      <c r="E18077" s="3">
        <v>8</v>
      </c>
      <c r="F18077" s="3">
        <v>8</v>
      </c>
      <c r="G18077" t="s">
        <v>513</v>
      </c>
    </row>
    <row r="18078" spans="1:7" x14ac:dyDescent="0.25">
      <c r="A18078" s="1" t="str">
        <f>"521993"</f>
        <v>521993</v>
      </c>
      <c r="B18078" s="2" t="str">
        <f>"PLACA CENTRAL PORTÃO ELETRONICO 4 TRINPOTE"</f>
        <v>PLACA CENTRAL PORTÃO ELETRONICO 4 TRINPOTE</v>
      </c>
      <c r="C18078" s="2" t="str">
        <f t="shared" si="710"/>
        <v>UN</v>
      </c>
      <c r="D18078" s="7">
        <v>99999</v>
      </c>
      <c r="E18078" s="3">
        <v>99</v>
      </c>
      <c r="F18078" s="3">
        <v>99</v>
      </c>
      <c r="G18078" t="s">
        <v>513</v>
      </c>
    </row>
    <row r="18079" spans="1:7" x14ac:dyDescent="0.25">
      <c r="A18079" s="1" t="str">
        <f>"516251"</f>
        <v>516251</v>
      </c>
      <c r="B18079" s="2" t="str">
        <f>"PLACA CERAMICA INDL 240X115X14MM CHAMPAGNE"</f>
        <v>PLACA CERAMICA INDL 240X115X14MM CHAMPAGNE</v>
      </c>
      <c r="C18079" s="2" t="str">
        <f>"M2"</f>
        <v>M2</v>
      </c>
      <c r="D18079" s="7">
        <v>803</v>
      </c>
      <c r="E18079" s="3">
        <v>10</v>
      </c>
      <c r="F18079" s="3">
        <v>10</v>
      </c>
      <c r="G18079" t="s">
        <v>513</v>
      </c>
    </row>
    <row r="18080" spans="1:7" x14ac:dyDescent="0.25">
      <c r="A18080" s="1" t="str">
        <f>"515900"</f>
        <v>515900</v>
      </c>
      <c r="B18080" s="2" t="str">
        <f>"PLACA CERAMICA INDL 240X115X14MM CINZA B1/T2"</f>
        <v>PLACA CERAMICA INDL 240X115X14MM CINZA B1/T2</v>
      </c>
      <c r="C18080" s="2" t="str">
        <f t="shared" ref="C18080:C18090" si="711">"UN"</f>
        <v>UN</v>
      </c>
      <c r="D18080" s="7">
        <v>99999</v>
      </c>
      <c r="E18080" s="3">
        <v>99</v>
      </c>
      <c r="F18080" s="3">
        <v>99</v>
      </c>
      <c r="G18080" t="s">
        <v>512</v>
      </c>
    </row>
    <row r="18081" spans="1:7" x14ac:dyDescent="0.25">
      <c r="A18081" s="1" t="str">
        <f>"514006"</f>
        <v>514006</v>
      </c>
      <c r="B18081" s="2" t="str">
        <f>"PLACA CHAPA GALVANIZADA"</f>
        <v>PLACA CHAPA GALVANIZADA</v>
      </c>
      <c r="C18081" s="2" t="str">
        <f t="shared" si="711"/>
        <v>UN</v>
      </c>
      <c r="D18081" s="7">
        <v>811</v>
      </c>
      <c r="E18081" s="3">
        <v>8</v>
      </c>
      <c r="F18081" s="3">
        <v>8</v>
      </c>
      <c r="G18081" t="s">
        <v>513</v>
      </c>
    </row>
    <row r="18082" spans="1:7" x14ac:dyDescent="0.25">
      <c r="A18082" s="1" t="str">
        <f>"524828"</f>
        <v>524828</v>
      </c>
      <c r="B18082" s="2" t="str">
        <f>"PLACA CHUVEIRO EMERGENCIA"</f>
        <v>PLACA CHUVEIRO EMERGENCIA</v>
      </c>
      <c r="C18082" s="2" t="str">
        <f t="shared" si="711"/>
        <v>UN</v>
      </c>
      <c r="D18082" s="7">
        <v>501</v>
      </c>
      <c r="E18082" s="3">
        <v>4</v>
      </c>
      <c r="F18082" s="3">
        <v>4</v>
      </c>
      <c r="G18082" t="s">
        <v>514</v>
      </c>
    </row>
    <row r="18083" spans="1:7" x14ac:dyDescent="0.25">
      <c r="A18083" s="1" t="str">
        <f>"509516"</f>
        <v>509516</v>
      </c>
      <c r="B18083" s="2" t="str">
        <f>"PLACA COLUNA FORMAGEM"</f>
        <v>PLACA COLUNA FORMAGEM</v>
      </c>
      <c r="C18083" s="2" t="str">
        <f t="shared" si="711"/>
        <v>UN</v>
      </c>
      <c r="D18083" s="7">
        <v>918</v>
      </c>
      <c r="E18083" s="3">
        <v>11</v>
      </c>
      <c r="F18083" s="3">
        <v>11</v>
      </c>
      <c r="G18083" t="s">
        <v>515</v>
      </c>
    </row>
    <row r="18084" spans="1:7" x14ac:dyDescent="0.25">
      <c r="A18084" s="1" t="str">
        <f>"503173"</f>
        <v>503173</v>
      </c>
      <c r="B18084" s="2" t="str">
        <f>"PLACA COMANDO E16 NS (SOPRADORA)"</f>
        <v>PLACA COMANDO E16 NS (SOPRADORA)</v>
      </c>
      <c r="C18084" s="2" t="str">
        <f t="shared" si="711"/>
        <v>UN</v>
      </c>
      <c r="D18084" s="7">
        <v>900</v>
      </c>
      <c r="E18084" s="3">
        <v>11</v>
      </c>
      <c r="F18084" s="3">
        <v>11</v>
      </c>
      <c r="G18084" t="s">
        <v>512</v>
      </c>
    </row>
    <row r="18085" spans="1:7" x14ac:dyDescent="0.25">
      <c r="A18085" s="1" t="str">
        <f>"503705"</f>
        <v>503705</v>
      </c>
      <c r="B18085" s="2" t="str">
        <f>"PLACA COMANDO PARTIDA TIPO AF30 ETSHEID"</f>
        <v>PLACA COMANDO PARTIDA TIPO AF30 ETSHEID</v>
      </c>
      <c r="C18085" s="2" t="str">
        <f t="shared" si="711"/>
        <v>UN</v>
      </c>
      <c r="D18085" s="7">
        <v>900</v>
      </c>
      <c r="E18085" s="3">
        <v>11</v>
      </c>
      <c r="F18085" s="3">
        <v>11</v>
      </c>
      <c r="G18085" t="s">
        <v>516</v>
      </c>
    </row>
    <row r="18086" spans="1:7" x14ac:dyDescent="0.25">
      <c r="A18086" s="1" t="str">
        <f>"503172"</f>
        <v>503172</v>
      </c>
      <c r="B18086" s="2" t="str">
        <f>"PLACA COMANDO UR12 NS (SOPRADORA)"</f>
        <v>PLACA COMANDO UR12 NS (SOPRADORA)</v>
      </c>
      <c r="C18086" s="2" t="str">
        <f t="shared" si="711"/>
        <v>UN</v>
      </c>
      <c r="D18086" s="7">
        <v>900</v>
      </c>
      <c r="E18086" s="3">
        <v>11</v>
      </c>
      <c r="F18086" s="3">
        <v>11</v>
      </c>
      <c r="G18086" t="s">
        <v>515</v>
      </c>
    </row>
    <row r="18087" spans="1:7" x14ac:dyDescent="0.25">
      <c r="A18087" s="1" t="str">
        <f>"509134"</f>
        <v>509134</v>
      </c>
      <c r="B18087" s="2" t="str">
        <f>"PLACA COMPRESSOR MYCOM N4/A"</f>
        <v>PLACA COMPRESSOR MYCOM N4/A</v>
      </c>
      <c r="C18087" s="2" t="str">
        <f t="shared" si="711"/>
        <v>UN</v>
      </c>
      <c r="D18087" s="7">
        <v>900</v>
      </c>
      <c r="E18087" s="3">
        <v>11</v>
      </c>
      <c r="F18087" s="3">
        <v>11</v>
      </c>
      <c r="G18087" t="s">
        <v>514</v>
      </c>
    </row>
    <row r="18088" spans="1:7" x14ac:dyDescent="0.25">
      <c r="A18088" s="1" t="str">
        <f>"523152"</f>
        <v>523152</v>
      </c>
      <c r="B18088" s="8" t="s">
        <v>358</v>
      </c>
      <c r="C18088" s="2" t="str">
        <f t="shared" si="711"/>
        <v>UN</v>
      </c>
      <c r="D18088" s="7">
        <v>901</v>
      </c>
      <c r="E18088" s="3">
        <v>10</v>
      </c>
      <c r="F18088" s="3">
        <v>10</v>
      </c>
      <c r="G18088" t="s">
        <v>512</v>
      </c>
    </row>
    <row r="18089" spans="1:7" x14ac:dyDescent="0.25">
      <c r="A18089" s="1" t="str">
        <f>"516860"</f>
        <v>516860</v>
      </c>
      <c r="B18089" s="2" t="str">
        <f>"PLACA CONTATO (BOLACHA) B4399-562241OP2/22/1433/1"</f>
        <v>PLACA CONTATO (BOLACHA) B4399-562241OP2/22/1433/1</v>
      </c>
      <c r="C18089" s="2" t="str">
        <f t="shared" si="711"/>
        <v>UN</v>
      </c>
      <c r="D18089" s="7">
        <v>900</v>
      </c>
      <c r="E18089" s="3">
        <v>11</v>
      </c>
      <c r="F18089" s="3">
        <v>11</v>
      </c>
      <c r="G18089" t="s">
        <v>513</v>
      </c>
    </row>
    <row r="18090" spans="1:7" x14ac:dyDescent="0.25">
      <c r="A18090" s="1" t="str">
        <f>"516861"</f>
        <v>516861</v>
      </c>
      <c r="B18090" s="2" t="str">
        <f>"PLACA CONTATO (LISA) CA399-56236 OP3/22/1433/1"</f>
        <v>PLACA CONTATO (LISA) CA399-56236 OP3/22/1433/1</v>
      </c>
      <c r="C18090" s="2" t="str">
        <f t="shared" si="711"/>
        <v>UN</v>
      </c>
      <c r="D18090" s="7">
        <v>900</v>
      </c>
      <c r="E18090" s="3">
        <v>11</v>
      </c>
      <c r="F18090" s="3">
        <v>11</v>
      </c>
      <c r="G18090" t="s">
        <v>514</v>
      </c>
    </row>
    <row r="18091" spans="1:7" x14ac:dyDescent="0.25">
      <c r="A18091" s="1" t="str">
        <f>"526541"</f>
        <v>526541</v>
      </c>
      <c r="B18091" s="2" t="str">
        <f>"PLACA CONTATO INF. BOLACHA C-64641"</f>
        <v>PLACA CONTATO INF. BOLACHA C-64641</v>
      </c>
      <c r="C18091" s="2" t="str">
        <f>"PC"</f>
        <v>PC</v>
      </c>
      <c r="D18091" s="7">
        <v>918</v>
      </c>
      <c r="E18091" s="3">
        <v>11</v>
      </c>
      <c r="F18091" s="3">
        <v>11</v>
      </c>
      <c r="G18091" t="s">
        <v>514</v>
      </c>
    </row>
    <row r="18092" spans="1:7" x14ac:dyDescent="0.25">
      <c r="A18092" s="1" t="str">
        <f>"526543"</f>
        <v>526543</v>
      </c>
      <c r="B18092" s="2" t="str">
        <f>"PLACA CONTATO INF. LISA C-64669"</f>
        <v>PLACA CONTATO INF. LISA C-64669</v>
      </c>
      <c r="C18092" s="2" t="str">
        <f>"PC"</f>
        <v>PC</v>
      </c>
      <c r="D18092" s="7">
        <v>918</v>
      </c>
      <c r="E18092" s="3">
        <v>11</v>
      </c>
      <c r="F18092" s="3">
        <v>11</v>
      </c>
      <c r="G18092" t="s">
        <v>512</v>
      </c>
    </row>
    <row r="18093" spans="1:7" x14ac:dyDescent="0.25">
      <c r="A18093" s="1" t="str">
        <f>"526540"</f>
        <v>526540</v>
      </c>
      <c r="B18093" s="2" t="str">
        <f>"PLACA CONTATO SUP. BOLACHA C-64635"</f>
        <v>PLACA CONTATO SUP. BOLACHA C-64635</v>
      </c>
      <c r="C18093" s="2" t="str">
        <f>"PC"</f>
        <v>PC</v>
      </c>
      <c r="D18093" s="7">
        <v>918</v>
      </c>
      <c r="E18093" s="3">
        <v>11</v>
      </c>
      <c r="F18093" s="3">
        <v>11</v>
      </c>
      <c r="G18093" t="s">
        <v>513</v>
      </c>
    </row>
    <row r="18094" spans="1:7" x14ac:dyDescent="0.25">
      <c r="A18094" s="1" t="str">
        <f>"526542"</f>
        <v>526542</v>
      </c>
      <c r="B18094" s="2" t="str">
        <f>"PLACA CONTATO SUP. LISA C-64668"</f>
        <v>PLACA CONTATO SUP. LISA C-64668</v>
      </c>
      <c r="C18094" s="2" t="str">
        <f>"PC"</f>
        <v>PC</v>
      </c>
      <c r="D18094" s="7">
        <v>918</v>
      </c>
      <c r="E18094" s="3">
        <v>11</v>
      </c>
      <c r="F18094" s="3">
        <v>11</v>
      </c>
      <c r="G18094" t="s">
        <v>514</v>
      </c>
    </row>
    <row r="18095" spans="1:7" x14ac:dyDescent="0.25">
      <c r="A18095" s="1" t="str">
        <f>"523338"</f>
        <v>523338</v>
      </c>
      <c r="B18095" s="2" t="str">
        <f>"PLACA CONTATO TEFLONADA BOLACHA GREGO"</f>
        <v>PLACA CONTATO TEFLONADA BOLACHA GREGO</v>
      </c>
      <c r="C18095" s="2" t="str">
        <f>"UN"</f>
        <v>UN</v>
      </c>
      <c r="D18095" s="7">
        <v>918</v>
      </c>
      <c r="E18095" s="3">
        <v>11</v>
      </c>
      <c r="F18095" s="3">
        <v>11</v>
      </c>
      <c r="G18095" t="s">
        <v>514</v>
      </c>
    </row>
    <row r="18096" spans="1:7" x14ac:dyDescent="0.25">
      <c r="A18096" s="1" t="str">
        <f>"501165"</f>
        <v>501165</v>
      </c>
      <c r="B18096" s="2" t="str">
        <f>"PLACA CONTATO TEFLONADA DINIEPER PETIT"</f>
        <v>PLACA CONTATO TEFLONADA DINIEPER PETIT</v>
      </c>
      <c r="C18096" s="2" t="str">
        <f>"PC"</f>
        <v>PC</v>
      </c>
      <c r="D18096" s="7">
        <v>918</v>
      </c>
      <c r="E18096" s="3">
        <v>11</v>
      </c>
      <c r="F18096" s="3">
        <v>11</v>
      </c>
      <c r="G18096" t="s">
        <v>514</v>
      </c>
    </row>
    <row r="18097" spans="1:7" x14ac:dyDescent="0.25">
      <c r="A18097" s="1" t="str">
        <f>"503057"</f>
        <v>503057</v>
      </c>
      <c r="B18097" s="2" t="str">
        <f>"PLACA CONTATO TEFLONADA DMAX BANDEJA"</f>
        <v>PLACA CONTATO TEFLONADA DMAX BANDEJA</v>
      </c>
      <c r="C18097" s="2" t="str">
        <f t="shared" ref="C18097:C18119" si="712">"UN"</f>
        <v>UN</v>
      </c>
      <c r="D18097" s="7">
        <v>918</v>
      </c>
      <c r="E18097" s="3">
        <v>11</v>
      </c>
      <c r="F18097" s="3">
        <v>11</v>
      </c>
      <c r="G18097" t="s">
        <v>513</v>
      </c>
    </row>
    <row r="18098" spans="1:7" x14ac:dyDescent="0.25">
      <c r="A18098" s="1" t="str">
        <f>"518533"</f>
        <v>518533</v>
      </c>
      <c r="B18098" s="2" t="str">
        <f>"PLACA CONTATO TEFLONADA LISA DMAX"</f>
        <v>PLACA CONTATO TEFLONADA LISA DMAX</v>
      </c>
      <c r="C18098" s="2" t="str">
        <f t="shared" si="712"/>
        <v>UN</v>
      </c>
      <c r="D18098" s="7">
        <v>918</v>
      </c>
      <c r="E18098" s="3">
        <v>11</v>
      </c>
      <c r="F18098" s="3">
        <v>11</v>
      </c>
      <c r="G18098" t="s">
        <v>512</v>
      </c>
    </row>
    <row r="18099" spans="1:7" x14ac:dyDescent="0.25">
      <c r="A18099" s="1" t="str">
        <f>"523337"</f>
        <v>523337</v>
      </c>
      <c r="B18099" s="2" t="str">
        <f>"PLACA CONTATO TEFLONADA LISA GREGO"</f>
        <v>PLACA CONTATO TEFLONADA LISA GREGO</v>
      </c>
      <c r="C18099" s="2" t="str">
        <f t="shared" si="712"/>
        <v>UN</v>
      </c>
      <c r="D18099" s="7">
        <v>918</v>
      </c>
      <c r="E18099" s="3">
        <v>11</v>
      </c>
      <c r="F18099" s="3">
        <v>11</v>
      </c>
      <c r="G18099" t="s">
        <v>513</v>
      </c>
    </row>
    <row r="18100" spans="1:7" x14ac:dyDescent="0.25">
      <c r="A18100" s="1" t="str">
        <f>"522252"</f>
        <v>522252</v>
      </c>
      <c r="B18100" s="2" t="str">
        <f>"PLACA CONTROLADORA"</f>
        <v>PLACA CONTROLADORA</v>
      </c>
      <c r="C18100" s="2" t="str">
        <f t="shared" si="712"/>
        <v>UN</v>
      </c>
      <c r="D18100" s="7">
        <v>99999</v>
      </c>
      <c r="E18100" s="3">
        <v>99</v>
      </c>
      <c r="F18100" s="3">
        <v>99</v>
      </c>
      <c r="G18100" t="s">
        <v>514</v>
      </c>
    </row>
    <row r="18101" spans="1:7" x14ac:dyDescent="0.25">
      <c r="A18101" s="1" t="str">
        <f>"528055"</f>
        <v>528055</v>
      </c>
      <c r="B18101" s="2" t="str">
        <f>"PLACA CONTROLADORA HALL DE CATRACA DIMEP"</f>
        <v>PLACA CONTROLADORA HALL DE CATRACA DIMEP</v>
      </c>
      <c r="C18101" s="2" t="str">
        <f t="shared" si="712"/>
        <v>UN</v>
      </c>
      <c r="D18101" s="7">
        <v>1500</v>
      </c>
      <c r="E18101" s="3">
        <v>13</v>
      </c>
      <c r="F18101" s="3">
        <v>13</v>
      </c>
      <c r="G18101" t="s">
        <v>514</v>
      </c>
    </row>
    <row r="18102" spans="1:7" x14ac:dyDescent="0.25">
      <c r="A18102" s="1" t="str">
        <f>"509234"</f>
        <v>509234</v>
      </c>
      <c r="B18102" s="2" t="str">
        <f>"PLACA DA VALVULA DE SUCÇAO WA (NH3)"</f>
        <v>PLACA DA VALVULA DE SUCÇAO WA (NH3)</v>
      </c>
      <c r="C18102" s="2" t="str">
        <f t="shared" si="712"/>
        <v>UN</v>
      </c>
      <c r="D18102" s="7">
        <v>918</v>
      </c>
      <c r="E18102" s="3">
        <v>11</v>
      </c>
      <c r="F18102" s="3">
        <v>11</v>
      </c>
      <c r="G18102" t="s">
        <v>514</v>
      </c>
    </row>
    <row r="18103" spans="1:7" x14ac:dyDescent="0.25">
      <c r="A18103" s="1" t="str">
        <f>"512365"</f>
        <v>512365</v>
      </c>
      <c r="B18103" s="2" t="str">
        <f>"PLACA DATADORA DINIEPER BANDEJA"</f>
        <v>PLACA DATADORA DINIEPER BANDEJA</v>
      </c>
      <c r="C18103" s="2" t="str">
        <f t="shared" si="712"/>
        <v>UN</v>
      </c>
      <c r="D18103" s="7">
        <v>918</v>
      </c>
      <c r="E18103" s="3">
        <v>11</v>
      </c>
      <c r="F18103" s="3">
        <v>11</v>
      </c>
      <c r="G18103" t="s">
        <v>513</v>
      </c>
    </row>
    <row r="18104" spans="1:7" x14ac:dyDescent="0.25">
      <c r="A18104" s="1" t="str">
        <f>"503894"</f>
        <v>503894</v>
      </c>
      <c r="B18104" s="2" t="str">
        <f>"PLACA DATADORA DINIEPER PETIT"</f>
        <v>PLACA DATADORA DINIEPER PETIT</v>
      </c>
      <c r="C18104" s="2" t="str">
        <f t="shared" si="712"/>
        <v>UN</v>
      </c>
      <c r="D18104" s="7">
        <v>918</v>
      </c>
      <c r="E18104" s="3">
        <v>11</v>
      </c>
      <c r="F18104" s="3">
        <v>11</v>
      </c>
      <c r="G18104" t="s">
        <v>513</v>
      </c>
    </row>
    <row r="18105" spans="1:7" x14ac:dyDescent="0.25">
      <c r="A18105" s="1" t="str">
        <f>"514926"</f>
        <v>514926</v>
      </c>
      <c r="B18105" s="2" t="str">
        <f>"PLACA DE AÇO INOX INAUGURAÇAO"</f>
        <v>PLACA DE AÇO INOX INAUGURAÇAO</v>
      </c>
      <c r="C18105" s="2" t="str">
        <f t="shared" si="712"/>
        <v>UN</v>
      </c>
      <c r="D18105" s="7">
        <v>401</v>
      </c>
      <c r="E18105" s="3">
        <v>4</v>
      </c>
      <c r="F18105" s="3">
        <v>4</v>
      </c>
      <c r="G18105" t="s">
        <v>513</v>
      </c>
    </row>
    <row r="18106" spans="1:7" x14ac:dyDescent="0.25">
      <c r="A18106" s="1" t="str">
        <f>"528119"</f>
        <v>528119</v>
      </c>
      <c r="B18106" s="2" t="str">
        <f>"PLACA DE AQUECIMENTO FORNO"</f>
        <v>PLACA DE AQUECIMENTO FORNO</v>
      </c>
      <c r="C18106" s="2" t="str">
        <f t="shared" si="712"/>
        <v>UN</v>
      </c>
      <c r="D18106" s="7">
        <v>900</v>
      </c>
      <c r="E18106" s="3">
        <v>11</v>
      </c>
      <c r="F18106" s="3">
        <v>11</v>
      </c>
      <c r="G18106" t="s">
        <v>512</v>
      </c>
    </row>
    <row r="18107" spans="1:7" x14ac:dyDescent="0.25">
      <c r="A18107" s="1" t="str">
        <f>"510344"</f>
        <v>510344</v>
      </c>
      <c r="B18107" s="2" t="str">
        <f>"PLACA DE CAPTURA 16 CANAIS MOD. COP"</f>
        <v>PLACA DE CAPTURA 16 CANAIS MOD. COP</v>
      </c>
      <c r="C18107" s="2" t="str">
        <f t="shared" si="712"/>
        <v>UN</v>
      </c>
      <c r="D18107" s="7">
        <v>600</v>
      </c>
      <c r="E18107" s="3">
        <v>8</v>
      </c>
      <c r="F18107" s="3">
        <v>8</v>
      </c>
      <c r="G18107" t="s">
        <v>513</v>
      </c>
    </row>
    <row r="18108" spans="1:7" x14ac:dyDescent="0.25">
      <c r="A18108" s="1" t="str">
        <f>"527968"</f>
        <v>527968</v>
      </c>
      <c r="B18108" s="2" t="str">
        <f>"PLACA DE COMANDO PL030A LC-030-467"</f>
        <v>PLACA DE COMANDO PL030A LC-030-467</v>
      </c>
      <c r="C18108" s="2" t="str">
        <f t="shared" si="712"/>
        <v>UN</v>
      </c>
      <c r="D18108" s="7">
        <v>1500</v>
      </c>
      <c r="E18108" s="3">
        <v>13</v>
      </c>
      <c r="F18108" s="3">
        <v>13</v>
      </c>
      <c r="G18108" t="s">
        <v>514</v>
      </c>
    </row>
    <row r="18109" spans="1:7" x14ac:dyDescent="0.25">
      <c r="A18109" s="1" t="str">
        <f>"525967"</f>
        <v>525967</v>
      </c>
      <c r="B18109" s="2" t="str">
        <f>"PLACA DE COMANDO Q/F 141290604701"</f>
        <v>PLACA DE COMANDO Q/F 141290604701</v>
      </c>
      <c r="C18109" s="2" t="str">
        <f t="shared" si="712"/>
        <v>UN</v>
      </c>
      <c r="D18109" s="7">
        <v>900</v>
      </c>
      <c r="E18109" s="3">
        <v>11</v>
      </c>
      <c r="F18109" s="3">
        <v>11</v>
      </c>
      <c r="G18109" t="s">
        <v>515</v>
      </c>
    </row>
    <row r="18110" spans="1:7" x14ac:dyDescent="0.25">
      <c r="A18110" s="1" t="str">
        <f>"523414"</f>
        <v>523414</v>
      </c>
      <c r="B18110" s="2" t="str">
        <f>"PLACA DE CONECT PCB3 REVERSAO DE MSG PARA IMPRESSOR"</f>
        <v>PLACA DE CONECT PCB3 REVERSAO DE MSG PARA IMPRESSOR</v>
      </c>
      <c r="C18110" s="2" t="str">
        <f t="shared" si="712"/>
        <v>UN</v>
      </c>
      <c r="D18110" s="7">
        <v>600</v>
      </c>
      <c r="E18110" s="3">
        <v>8</v>
      </c>
      <c r="F18110" s="3">
        <v>8</v>
      </c>
      <c r="G18110" t="s">
        <v>512</v>
      </c>
    </row>
    <row r="18111" spans="1:7" x14ac:dyDescent="0.25">
      <c r="A18111" s="1" t="str">
        <f>"524968"</f>
        <v>524968</v>
      </c>
      <c r="B18111" s="2" t="str">
        <f>"PLACA DE CORTE D-66265"</f>
        <v>PLACA DE CORTE D-66265</v>
      </c>
      <c r="C18111" s="2" t="str">
        <f t="shared" si="712"/>
        <v>UN</v>
      </c>
      <c r="D18111" s="7">
        <v>811</v>
      </c>
      <c r="E18111" s="3">
        <v>11</v>
      </c>
      <c r="F18111" s="3">
        <v>11</v>
      </c>
      <c r="G18111" t="s">
        <v>516</v>
      </c>
    </row>
    <row r="18112" spans="1:7" x14ac:dyDescent="0.25">
      <c r="A18112" s="1" t="str">
        <f>"512323"</f>
        <v>512323</v>
      </c>
      <c r="B18112" s="2" t="str">
        <f>"PLACA DE ESPUMA D-33 20X1000X170"</f>
        <v>PLACA DE ESPUMA D-33 20X1000X170</v>
      </c>
      <c r="C18112" s="2" t="str">
        <f t="shared" si="712"/>
        <v>UN</v>
      </c>
      <c r="D18112" s="7">
        <v>803</v>
      </c>
      <c r="E18112" s="3">
        <v>10</v>
      </c>
      <c r="F18112" s="3">
        <v>10</v>
      </c>
      <c r="G18112" t="s">
        <v>515</v>
      </c>
    </row>
    <row r="18113" spans="1:7" x14ac:dyDescent="0.25">
      <c r="A18113" s="1" t="str">
        <f>"505488"</f>
        <v>505488</v>
      </c>
      <c r="B18113" s="2" t="str">
        <f>"PLACA DE ESPUMA D-45 0,50MMX1,00MX0,10MM"</f>
        <v>PLACA DE ESPUMA D-45 0,50MMX1,00MX0,10MM</v>
      </c>
      <c r="C18113" s="2" t="str">
        <f t="shared" si="712"/>
        <v>UN</v>
      </c>
      <c r="D18113" s="7">
        <v>402</v>
      </c>
      <c r="E18113" s="3">
        <v>4</v>
      </c>
      <c r="F18113" s="3">
        <v>4</v>
      </c>
      <c r="G18113" t="s">
        <v>514</v>
      </c>
    </row>
    <row r="18114" spans="1:7" x14ac:dyDescent="0.25">
      <c r="A18114" s="1" t="str">
        <f>"505487"</f>
        <v>505487</v>
      </c>
      <c r="B18114" s="2" t="str">
        <f>"PLACA DE ESPUMA D-45 1,00MX1,00MX0,10MM"</f>
        <v>PLACA DE ESPUMA D-45 1,00MX1,00MX0,10MM</v>
      </c>
      <c r="C18114" s="2" t="str">
        <f t="shared" si="712"/>
        <v>UN</v>
      </c>
      <c r="D18114" s="7">
        <v>402</v>
      </c>
      <c r="E18114" s="3">
        <v>4</v>
      </c>
      <c r="F18114" s="3">
        <v>4</v>
      </c>
      <c r="G18114" t="s">
        <v>512</v>
      </c>
    </row>
    <row r="18115" spans="1:7" x14ac:dyDescent="0.25">
      <c r="A18115" s="1" t="str">
        <f>"509149"</f>
        <v>509149</v>
      </c>
      <c r="B18115" s="2" t="str">
        <f>"PLACA DE FLUXO DIREITA SA240-316 9MM"</f>
        <v>PLACA DE FLUXO DIREITA SA240-316 9MM</v>
      </c>
      <c r="C18115" s="2" t="str">
        <f t="shared" si="712"/>
        <v>UN</v>
      </c>
      <c r="D18115" s="7">
        <v>402</v>
      </c>
      <c r="E18115" s="3">
        <v>4</v>
      </c>
      <c r="F18115" s="3">
        <v>4</v>
      </c>
      <c r="G18115" t="s">
        <v>513</v>
      </c>
    </row>
    <row r="18116" spans="1:7" x14ac:dyDescent="0.25">
      <c r="A18116" s="1" t="str">
        <f>"509150"</f>
        <v>509150</v>
      </c>
      <c r="B18116" s="2" t="str">
        <f>"PLACA DE FLUXO ESQUERDA SA240-316 9MM"</f>
        <v>PLACA DE FLUXO ESQUERDA SA240-316 9MM</v>
      </c>
      <c r="C18116" s="2" t="str">
        <f t="shared" si="712"/>
        <v>UN</v>
      </c>
      <c r="D18116" s="7">
        <v>402</v>
      </c>
      <c r="E18116" s="3">
        <v>4</v>
      </c>
      <c r="F18116" s="3">
        <v>4</v>
      </c>
      <c r="G18116" t="s">
        <v>514</v>
      </c>
    </row>
    <row r="18117" spans="1:7" x14ac:dyDescent="0.25">
      <c r="A18117" s="1" t="str">
        <f>"527345"</f>
        <v>527345</v>
      </c>
      <c r="B18117" s="2" t="str">
        <f>"PLACA DE FUNDO 8701209451A"</f>
        <v>PLACA DE FUNDO 8701209451A</v>
      </c>
      <c r="C18117" s="2" t="str">
        <f t="shared" si="712"/>
        <v>UN</v>
      </c>
      <c r="D18117" s="7">
        <v>812</v>
      </c>
      <c r="E18117" s="3">
        <v>11</v>
      </c>
      <c r="F18117" s="3">
        <v>11</v>
      </c>
      <c r="G18117" t="s">
        <v>514</v>
      </c>
    </row>
    <row r="18118" spans="1:7" x14ac:dyDescent="0.25">
      <c r="A18118" s="1" t="str">
        <f>"514455"</f>
        <v>514455</v>
      </c>
      <c r="B18118" s="2" t="str">
        <f>"PLACA DE IDENTIFICACAO"</f>
        <v>PLACA DE IDENTIFICACAO</v>
      </c>
      <c r="C18118" s="2" t="str">
        <f t="shared" si="712"/>
        <v>UN</v>
      </c>
      <c r="D18118" s="7">
        <v>401</v>
      </c>
      <c r="E18118" s="3">
        <v>4</v>
      </c>
      <c r="F18118" s="3">
        <v>4</v>
      </c>
      <c r="G18118" t="s">
        <v>512</v>
      </c>
    </row>
    <row r="18119" spans="1:7" x14ac:dyDescent="0.25">
      <c r="A18119" s="1" t="str">
        <f>"527926"</f>
        <v>527926</v>
      </c>
      <c r="B18119" s="2" t="str">
        <f>"PLACA DE IDENTIFICAO ID LVH"</f>
        <v>PLACA DE IDENTIFICAO ID LVH</v>
      </c>
      <c r="C18119" s="2" t="str">
        <f t="shared" si="712"/>
        <v>UN</v>
      </c>
      <c r="D18119" s="7">
        <v>917</v>
      </c>
      <c r="E18119" s="3">
        <v>10</v>
      </c>
      <c r="F18119" s="3">
        <v>10</v>
      </c>
      <c r="G18119" t="s">
        <v>513</v>
      </c>
    </row>
    <row r="18120" spans="1:7" x14ac:dyDescent="0.25">
      <c r="A18120" s="1" t="str">
        <f>"526560"</f>
        <v>526560</v>
      </c>
      <c r="B18120" s="2" t="str">
        <f>"PLACA DE ISOLAMENTO D-64658"</f>
        <v>PLACA DE ISOLAMENTO D-64658</v>
      </c>
      <c r="C18120" s="2" t="str">
        <f>"PC"</f>
        <v>PC</v>
      </c>
      <c r="D18120" s="7">
        <v>918</v>
      </c>
      <c r="E18120" s="3">
        <v>11</v>
      </c>
      <c r="F18120" s="3">
        <v>11</v>
      </c>
      <c r="G18120" t="s">
        <v>514</v>
      </c>
    </row>
    <row r="18121" spans="1:7" x14ac:dyDescent="0.25">
      <c r="A18121" s="1" t="str">
        <f>"526551"</f>
        <v>526551</v>
      </c>
      <c r="B18121" s="2" t="str">
        <f>"PLACA DE ISOLAMENTO INFERIOR D-64640"</f>
        <v>PLACA DE ISOLAMENTO INFERIOR D-64640</v>
      </c>
      <c r="C18121" s="2" t="str">
        <f>"PC"</f>
        <v>PC</v>
      </c>
      <c r="D18121" s="7">
        <v>918</v>
      </c>
      <c r="E18121" s="3">
        <v>11</v>
      </c>
      <c r="F18121" s="3">
        <v>11</v>
      </c>
      <c r="G18121" t="s">
        <v>514</v>
      </c>
    </row>
    <row r="18122" spans="1:7" x14ac:dyDescent="0.25">
      <c r="A18122" s="1" t="str">
        <f>"526549"</f>
        <v>526549</v>
      </c>
      <c r="B18122" s="2" t="str">
        <f>"PLACA DE ISOLAMENTO SUPERIOR D-64636"</f>
        <v>PLACA DE ISOLAMENTO SUPERIOR D-64636</v>
      </c>
      <c r="C18122" s="2" t="str">
        <f>"PC"</f>
        <v>PC</v>
      </c>
      <c r="D18122" s="7">
        <v>918</v>
      </c>
      <c r="E18122" s="3">
        <v>11</v>
      </c>
      <c r="F18122" s="3">
        <v>11</v>
      </c>
      <c r="G18122" t="s">
        <v>514</v>
      </c>
    </row>
    <row r="18123" spans="1:7" x14ac:dyDescent="0.25">
      <c r="A18123" s="1" t="str">
        <f>"514970"</f>
        <v>514970</v>
      </c>
      <c r="B18123" s="2" t="str">
        <f>"PLACA DE ISOPOR P4 - 1000X500X100MM"</f>
        <v>PLACA DE ISOPOR P4 - 1000X500X100MM</v>
      </c>
      <c r="C18123" s="2" t="str">
        <f t="shared" ref="C18123:C18140" si="713">"UN"</f>
        <v>UN</v>
      </c>
      <c r="D18123" s="7">
        <v>401</v>
      </c>
      <c r="E18123" s="3">
        <v>4</v>
      </c>
      <c r="F18123" s="3">
        <v>4</v>
      </c>
      <c r="G18123" t="s">
        <v>513</v>
      </c>
    </row>
    <row r="18124" spans="1:7" x14ac:dyDescent="0.25">
      <c r="A18124" s="1" t="str">
        <f>"528153"</f>
        <v>528153</v>
      </c>
      <c r="B18124" s="2" t="str">
        <f>"PLACA DE JUNCAO BC 10V A SERIE 89PJ6523"</f>
        <v>PLACA DE JUNCAO BC 10V A SERIE 89PJ6523</v>
      </c>
      <c r="C18124" s="2" t="str">
        <f t="shared" si="713"/>
        <v>UN</v>
      </c>
      <c r="D18124" s="7">
        <v>900</v>
      </c>
      <c r="E18124" s="3">
        <v>11</v>
      </c>
      <c r="F18124" s="3">
        <v>11</v>
      </c>
      <c r="G18124" t="s">
        <v>512</v>
      </c>
    </row>
    <row r="18125" spans="1:7" x14ac:dyDescent="0.25">
      <c r="A18125" s="1" t="str">
        <f>"513882"</f>
        <v>513882</v>
      </c>
      <c r="B18125" s="2" t="str">
        <f>"PLACA DE PETRI DESCARTAVEL DM 90 X 15 ESTERIL"</f>
        <v>PLACA DE PETRI DESCARTAVEL DM 90 X 15 ESTERIL</v>
      </c>
      <c r="C18125" s="2" t="str">
        <f t="shared" si="713"/>
        <v>UN</v>
      </c>
      <c r="D18125" s="7">
        <v>406</v>
      </c>
      <c r="E18125" s="3">
        <v>4</v>
      </c>
      <c r="F18125" s="3">
        <v>4</v>
      </c>
      <c r="G18125" t="s">
        <v>513</v>
      </c>
    </row>
    <row r="18126" spans="1:7" x14ac:dyDescent="0.25">
      <c r="A18126" s="1" t="str">
        <f>"509438"</f>
        <v>509438</v>
      </c>
      <c r="B18126" s="2" t="str">
        <f>"PLACA DE POLICARBONATO 1200X3000X8MM"</f>
        <v>PLACA DE POLICARBONATO 1200X3000X8MM</v>
      </c>
      <c r="C18126" s="2" t="str">
        <f t="shared" si="713"/>
        <v>UN</v>
      </c>
      <c r="D18126" s="7">
        <v>918</v>
      </c>
      <c r="E18126" s="3">
        <v>11</v>
      </c>
      <c r="F18126" s="3">
        <v>11</v>
      </c>
      <c r="G18126" t="s">
        <v>514</v>
      </c>
    </row>
    <row r="18127" spans="1:7" x14ac:dyDescent="0.25">
      <c r="A18127" s="1" t="str">
        <f>"509437"</f>
        <v>509437</v>
      </c>
      <c r="B18127" s="2" t="str">
        <f>"PLACA DE POLICARBONATO 8X250X580"</f>
        <v>PLACA DE POLICARBONATO 8X250X580</v>
      </c>
      <c r="C18127" s="2" t="str">
        <f t="shared" si="713"/>
        <v>UN</v>
      </c>
      <c r="D18127" s="7">
        <v>918</v>
      </c>
      <c r="E18127" s="3">
        <v>11</v>
      </c>
      <c r="F18127" s="3">
        <v>11</v>
      </c>
      <c r="G18127" t="s">
        <v>514</v>
      </c>
    </row>
    <row r="18128" spans="1:7" x14ac:dyDescent="0.25">
      <c r="A18128" s="1" t="str">
        <f>"509439"</f>
        <v>509439</v>
      </c>
      <c r="B18128" s="2" t="str">
        <f>"PLACA DE POLICARBONATO 8X50X580"</f>
        <v>PLACA DE POLICARBONATO 8X50X580</v>
      </c>
      <c r="C18128" s="2" t="str">
        <f t="shared" si="713"/>
        <v>UN</v>
      </c>
      <c r="D18128" s="7">
        <v>918</v>
      </c>
      <c r="E18128" s="3">
        <v>11</v>
      </c>
      <c r="F18128" s="3">
        <v>11</v>
      </c>
      <c r="G18128" t="s">
        <v>514</v>
      </c>
    </row>
    <row r="18129" spans="1:7" x14ac:dyDescent="0.25">
      <c r="A18129" s="1" t="str">
        <f>"509441"</f>
        <v>509441</v>
      </c>
      <c r="B18129" s="2" t="str">
        <f>"PLACA DE POLIURETANO 1000 X 1000 X #50MM"</f>
        <v>PLACA DE POLIURETANO 1000 X 1000 X #50MM</v>
      </c>
      <c r="C18129" s="2" t="str">
        <f t="shared" si="713"/>
        <v>UN</v>
      </c>
      <c r="D18129" s="7">
        <v>918</v>
      </c>
      <c r="E18129" s="3">
        <v>11</v>
      </c>
      <c r="F18129" s="3">
        <v>11</v>
      </c>
      <c r="G18129" t="s">
        <v>513</v>
      </c>
    </row>
    <row r="18130" spans="1:7" x14ac:dyDescent="0.25">
      <c r="A18130" s="1" t="str">
        <f>"509440"</f>
        <v>509440</v>
      </c>
      <c r="B18130" s="2" t="str">
        <f>"PLACA DE POLIURETANO 1000 X 1000 X #70MM"</f>
        <v>PLACA DE POLIURETANO 1000 X 1000 X #70MM</v>
      </c>
      <c r="C18130" s="2" t="str">
        <f t="shared" si="713"/>
        <v>UN</v>
      </c>
      <c r="D18130" s="7">
        <v>918</v>
      </c>
      <c r="E18130" s="3">
        <v>11</v>
      </c>
      <c r="F18130" s="3">
        <v>11</v>
      </c>
      <c r="G18130" t="s">
        <v>513</v>
      </c>
    </row>
    <row r="18131" spans="1:7" x14ac:dyDescent="0.25">
      <c r="A18131" s="1" t="str">
        <f>"510314"</f>
        <v>510314</v>
      </c>
      <c r="B18131" s="2" t="str">
        <f>"PLACA DE PRESSAO 009311516"</f>
        <v>PLACA DE PRESSAO 009311516</v>
      </c>
      <c r="C18131" s="2" t="str">
        <f t="shared" si="713"/>
        <v>UN</v>
      </c>
      <c r="D18131" s="7">
        <v>918</v>
      </c>
      <c r="E18131" s="3">
        <v>11</v>
      </c>
      <c r="F18131" s="3">
        <v>11</v>
      </c>
      <c r="G18131" t="s">
        <v>513</v>
      </c>
    </row>
    <row r="18132" spans="1:7" x14ac:dyDescent="0.25">
      <c r="A18132" s="1" t="str">
        <f>"516118"</f>
        <v>516118</v>
      </c>
      <c r="B18132" s="2" t="str">
        <f>"PLACA DE PS 1MM ADESIVADO"</f>
        <v>PLACA DE PS 1MM ADESIVADO</v>
      </c>
      <c r="C18132" s="2" t="str">
        <f t="shared" si="713"/>
        <v>UN</v>
      </c>
      <c r="D18132" s="7">
        <v>403</v>
      </c>
      <c r="E18132" s="3">
        <v>4</v>
      </c>
      <c r="F18132" s="3">
        <v>4</v>
      </c>
      <c r="G18132" t="s">
        <v>512</v>
      </c>
    </row>
    <row r="18133" spans="1:7" x14ac:dyDescent="0.25">
      <c r="A18133" s="1" t="str">
        <f>"509325"</f>
        <v>509325</v>
      </c>
      <c r="B18133" s="2" t="str">
        <f>"PLACA DE PUNÇAO DA DMAX"</f>
        <v>PLACA DE PUNÇAO DA DMAX</v>
      </c>
      <c r="C18133" s="2" t="str">
        <f t="shared" si="713"/>
        <v>UN</v>
      </c>
      <c r="D18133" s="7">
        <v>918</v>
      </c>
      <c r="E18133" s="3">
        <v>11</v>
      </c>
      <c r="F18133" s="3">
        <v>11</v>
      </c>
      <c r="G18133" t="s">
        <v>513</v>
      </c>
    </row>
    <row r="18134" spans="1:7" x14ac:dyDescent="0.25">
      <c r="A18134" s="1" t="str">
        <f>"514190"</f>
        <v>514190</v>
      </c>
      <c r="B18134" s="2" t="str">
        <f>"PLACA DE REDE GIGABIT"</f>
        <v>PLACA DE REDE GIGABIT</v>
      </c>
      <c r="C18134" s="2" t="str">
        <f t="shared" si="713"/>
        <v>UN</v>
      </c>
      <c r="D18134" s="7">
        <v>401</v>
      </c>
      <c r="E18134" s="3">
        <v>4</v>
      </c>
      <c r="F18134" s="3">
        <v>4</v>
      </c>
      <c r="G18134" t="s">
        <v>514</v>
      </c>
    </row>
    <row r="18135" spans="1:7" x14ac:dyDescent="0.25">
      <c r="A18135" s="1" t="str">
        <f>"524906"</f>
        <v>524906</v>
      </c>
      <c r="B18135" s="2" t="str">
        <f>"PLACA DE RELES"</f>
        <v>PLACA DE RELES</v>
      </c>
      <c r="C18135" s="2" t="str">
        <f t="shared" si="713"/>
        <v>UN</v>
      </c>
      <c r="D18135" s="7">
        <v>704</v>
      </c>
      <c r="E18135" s="3">
        <v>9</v>
      </c>
      <c r="F18135" s="3">
        <v>9</v>
      </c>
      <c r="G18135" t="s">
        <v>515</v>
      </c>
    </row>
    <row r="18136" spans="1:7" x14ac:dyDescent="0.25">
      <c r="A18136" s="1" t="str">
        <f>"515414"</f>
        <v>515414</v>
      </c>
      <c r="B18136" s="2" t="str">
        <f>"PLACA DE RESFRIAMENTO DE LEITE, APV 392 - 30/10/1973"</f>
        <v>PLACA DE RESFRIAMENTO DE LEITE, APV 392 - 30/10/1973</v>
      </c>
      <c r="C18136" s="2" t="str">
        <f t="shared" si="713"/>
        <v>UN</v>
      </c>
      <c r="D18136" s="7">
        <v>1300</v>
      </c>
      <c r="E18136" s="3">
        <v>13</v>
      </c>
      <c r="F18136" s="3">
        <v>13</v>
      </c>
      <c r="G18136" t="s">
        <v>512</v>
      </c>
    </row>
    <row r="18137" spans="1:7" x14ac:dyDescent="0.25">
      <c r="A18137" s="1" t="str">
        <f>"520799"</f>
        <v>520799</v>
      </c>
      <c r="B18137" s="2" t="str">
        <f>"PLACA DE SINALIZAÇÃO SETA INDICATIVA 25X25"</f>
        <v>PLACA DE SINALIZAÇÃO SETA INDICATIVA 25X25</v>
      </c>
      <c r="C18137" s="2" t="str">
        <f t="shared" si="713"/>
        <v>UN</v>
      </c>
      <c r="D18137" s="7">
        <v>917</v>
      </c>
      <c r="E18137" s="3">
        <v>4</v>
      </c>
      <c r="F18137" s="3">
        <v>4</v>
      </c>
      <c r="G18137" t="s">
        <v>516</v>
      </c>
    </row>
    <row r="18138" spans="1:7" x14ac:dyDescent="0.25">
      <c r="A18138" s="1" t="str">
        <f>"520798"</f>
        <v>520798</v>
      </c>
      <c r="B18138" s="2" t="str">
        <f>"PLACA DE SINALIZAÇÃO SETA INDICATIVA 50X25"</f>
        <v>PLACA DE SINALIZAÇÃO SETA INDICATIVA 50X25</v>
      </c>
      <c r="C18138" s="2" t="str">
        <f t="shared" si="713"/>
        <v>UN</v>
      </c>
      <c r="D18138" s="7">
        <v>917</v>
      </c>
      <c r="E18138" s="3">
        <v>4</v>
      </c>
      <c r="F18138" s="3">
        <v>4</v>
      </c>
      <c r="G18138" t="s">
        <v>515</v>
      </c>
    </row>
    <row r="18139" spans="1:7" x14ac:dyDescent="0.25">
      <c r="A18139" s="1" t="str">
        <f>"520800"</f>
        <v>520800</v>
      </c>
      <c r="B18139" s="2" t="str">
        <f>"PLACA DE SINALIZAÇÃO SETA INDICATIVA 50X50"</f>
        <v>PLACA DE SINALIZAÇÃO SETA INDICATIVA 50X50</v>
      </c>
      <c r="C18139" s="2" t="str">
        <f t="shared" si="713"/>
        <v>UN</v>
      </c>
      <c r="D18139" s="7">
        <v>917</v>
      </c>
      <c r="E18139" s="3">
        <v>4</v>
      </c>
      <c r="F18139" s="3">
        <v>4</v>
      </c>
      <c r="G18139" t="s">
        <v>514</v>
      </c>
    </row>
    <row r="18140" spans="1:7" x14ac:dyDescent="0.25">
      <c r="A18140" s="1" t="str">
        <f>"524620"</f>
        <v>524620</v>
      </c>
      <c r="B18140" s="2" t="str">
        <f>"PLACA DESSECADOR METAL/CERAMICA 230MM AUTOCLAVEL HX0007-0063"</f>
        <v>PLACA DESSECADOR METAL/CERAMICA 230MM AUTOCLAVEL HX0007-0063</v>
      </c>
      <c r="C18140" s="2" t="str">
        <f t="shared" si="713"/>
        <v>UN</v>
      </c>
      <c r="D18140" s="7">
        <v>406</v>
      </c>
      <c r="E18140" s="3">
        <v>13</v>
      </c>
      <c r="F18140" s="3">
        <v>13</v>
      </c>
      <c r="G18140" t="s">
        <v>512</v>
      </c>
    </row>
    <row r="18141" spans="1:7" x14ac:dyDescent="0.25">
      <c r="A18141" s="1" t="str">
        <f>"509835"</f>
        <v>509835</v>
      </c>
      <c r="B18141" s="2" t="str">
        <f>"PLACA DISTR. FUXO 7 VIAS C/ LOOPING 4"""</f>
        <v>PLACA DISTR. FUXO 7 VIAS C/ LOOPING 4"</v>
      </c>
      <c r="C18141" s="2" t="str">
        <f>"BR"</f>
        <v>BR</v>
      </c>
      <c r="D18141" s="7">
        <v>807</v>
      </c>
      <c r="E18141" s="3">
        <v>10</v>
      </c>
      <c r="F18141" s="3">
        <v>10</v>
      </c>
      <c r="G18141" t="s">
        <v>513</v>
      </c>
    </row>
    <row r="18142" spans="1:7" x14ac:dyDescent="0.25">
      <c r="A18142" s="1" t="str">
        <f>"526085"</f>
        <v>526085</v>
      </c>
      <c r="B18142" s="2" t="str">
        <f>"PLACA DO DISPLAY ARC141290602401"</f>
        <v>PLACA DO DISPLAY ARC141290602401</v>
      </c>
      <c r="C18142" s="2" t="str">
        <f t="shared" ref="C18142:C18148" si="714">"UN"</f>
        <v>UN</v>
      </c>
      <c r="D18142" s="7">
        <v>818</v>
      </c>
      <c r="E18142" s="3">
        <v>10</v>
      </c>
      <c r="F18142" s="3">
        <v>10</v>
      </c>
      <c r="G18142" t="s">
        <v>514</v>
      </c>
    </row>
    <row r="18143" spans="1:7" x14ac:dyDescent="0.25">
      <c r="A18143" s="1" t="str">
        <f>"515924"</f>
        <v>515924</v>
      </c>
      <c r="B18143" s="2" t="str">
        <f>"PLACA DUPLA ZM BRASIL"</f>
        <v>PLACA DUPLA ZM BRASIL</v>
      </c>
      <c r="C18143" s="2" t="str">
        <f t="shared" si="714"/>
        <v>UN</v>
      </c>
      <c r="D18143" s="7">
        <v>99999</v>
      </c>
      <c r="E18143" s="3">
        <v>99</v>
      </c>
      <c r="F18143" s="3">
        <v>99</v>
      </c>
      <c r="G18143" t="s">
        <v>514</v>
      </c>
    </row>
    <row r="18144" spans="1:7" x14ac:dyDescent="0.25">
      <c r="A18144" s="1" t="str">
        <f>"510121"</f>
        <v>510121</v>
      </c>
      <c r="B18144" s="2" t="str">
        <f>"PLACA ELETRONICA 4 ENT. 4 SAIDAS 400461"</f>
        <v>PLACA ELETRONICA 4 ENT. 4 SAIDAS 400461</v>
      </c>
      <c r="C18144" s="2" t="str">
        <f t="shared" si="714"/>
        <v>UN</v>
      </c>
      <c r="D18144" s="7">
        <v>900</v>
      </c>
      <c r="E18144" s="3">
        <v>11</v>
      </c>
      <c r="F18144" s="3">
        <v>11</v>
      </c>
      <c r="G18144" t="s">
        <v>512</v>
      </c>
    </row>
    <row r="18145" spans="1:7" x14ac:dyDescent="0.25">
      <c r="A18145" s="1" t="str">
        <f>"523098"</f>
        <v>523098</v>
      </c>
      <c r="B18145" s="2" t="str">
        <f>"PLACA ELETRONICA AR COND. 36000 BTU K7"</f>
        <v>PLACA ELETRONICA AR COND. 36000 BTU K7</v>
      </c>
      <c r="C18145" s="2" t="str">
        <f t="shared" si="714"/>
        <v>UN</v>
      </c>
      <c r="D18145" s="7">
        <v>812</v>
      </c>
      <c r="E18145" s="3">
        <v>11</v>
      </c>
      <c r="F18145" s="3">
        <v>11</v>
      </c>
      <c r="G18145" t="s">
        <v>513</v>
      </c>
    </row>
    <row r="18146" spans="1:7" x14ac:dyDescent="0.25">
      <c r="A18146" s="1" t="str">
        <f>"511918"</f>
        <v>511918</v>
      </c>
      <c r="B18146" s="2" t="str">
        <f>"PLACA ELETRONICA CR009-1"</f>
        <v>PLACA ELETRONICA CR009-1</v>
      </c>
      <c r="C18146" s="2" t="str">
        <f t="shared" si="714"/>
        <v>UN</v>
      </c>
      <c r="D18146" s="7">
        <v>600</v>
      </c>
      <c r="E18146" s="3">
        <v>8</v>
      </c>
      <c r="F18146" s="3">
        <v>8</v>
      </c>
      <c r="G18146" t="s">
        <v>514</v>
      </c>
    </row>
    <row r="18147" spans="1:7" x14ac:dyDescent="0.25">
      <c r="A18147" s="1" t="str">
        <f>"507016"</f>
        <v>507016</v>
      </c>
      <c r="B18147" s="2" t="str">
        <f>"PLACA ELETRÔNICA DE COMANDO SPLIT DE 12000 BTUS A 24000 BTUS"</f>
        <v>PLACA ELETRÔNICA DE COMANDO SPLIT DE 12000 BTUS A 24000 BTUS</v>
      </c>
      <c r="C18147" s="2" t="str">
        <f t="shared" si="714"/>
        <v>UN</v>
      </c>
      <c r="D18147" s="7">
        <v>811</v>
      </c>
      <c r="E18147" s="3">
        <v>8</v>
      </c>
      <c r="F18147" s="3">
        <v>8</v>
      </c>
      <c r="G18147" t="s">
        <v>514</v>
      </c>
    </row>
    <row r="18148" spans="1:7" x14ac:dyDescent="0.25">
      <c r="A18148" s="1" t="str">
        <f>"524800"</f>
        <v>524800</v>
      </c>
      <c r="B18148" s="2" t="str">
        <f>"PLACA ELETRONICA DE CONTROLE PRINCIPAL C 84733043 SP392405"</f>
        <v>PLACA ELETRONICA DE CONTROLE PRINCIPAL C 84733043 SP392405</v>
      </c>
      <c r="C18148" s="2" t="str">
        <f t="shared" si="714"/>
        <v>UN</v>
      </c>
      <c r="D18148" s="7">
        <v>811</v>
      </c>
      <c r="E18148" s="3">
        <v>10</v>
      </c>
      <c r="F18148" s="3">
        <v>10</v>
      </c>
      <c r="G18148" t="s">
        <v>514</v>
      </c>
    </row>
    <row r="18149" spans="1:7" x14ac:dyDescent="0.25">
      <c r="A18149" s="1" t="str">
        <f>"511815"</f>
        <v>511815</v>
      </c>
      <c r="B18149" s="2" t="str">
        <f>"PLACA ELETRONICA FERRAMENTA BH428D"</f>
        <v>PLACA ELETRONICA FERRAMENTA BH428D</v>
      </c>
      <c r="C18149" s="2" t="str">
        <f>"PC"</f>
        <v>PC</v>
      </c>
      <c r="D18149" s="7">
        <v>600</v>
      </c>
      <c r="E18149" s="3">
        <v>8</v>
      </c>
      <c r="F18149" s="3">
        <v>8</v>
      </c>
      <c r="G18149" t="s">
        <v>513</v>
      </c>
    </row>
    <row r="18150" spans="1:7" x14ac:dyDescent="0.25">
      <c r="A18150" s="1" t="str">
        <f>"509997"</f>
        <v>509997</v>
      </c>
      <c r="B18150" s="2" t="str">
        <f>"PLACA ELETRONICA GRC 01 R"</f>
        <v>PLACA ELETRONICA GRC 01 R</v>
      </c>
      <c r="C18150" s="2" t="str">
        <f>"UN"</f>
        <v>UN</v>
      </c>
      <c r="D18150" s="7">
        <v>600</v>
      </c>
      <c r="E18150" s="3">
        <v>8</v>
      </c>
      <c r="F18150" s="3">
        <v>8</v>
      </c>
      <c r="G18150" t="s">
        <v>512</v>
      </c>
    </row>
    <row r="18151" spans="1:7" x14ac:dyDescent="0.25">
      <c r="A18151" s="1" t="str">
        <f>"503236"</f>
        <v>503236</v>
      </c>
      <c r="B18151" s="2" t="str">
        <f>"PLACA ELETRONICA N61F20106 1/3 8B FBRE15"</f>
        <v>PLACA ELETRONICA N61F20106 1/3 8B FBRE15</v>
      </c>
      <c r="C18151" s="2" t="str">
        <f>"UN"</f>
        <v>UN</v>
      </c>
      <c r="D18151" s="7">
        <v>900</v>
      </c>
      <c r="E18151" s="3">
        <v>11</v>
      </c>
      <c r="F18151" s="3">
        <v>11</v>
      </c>
      <c r="G18151" t="s">
        <v>513</v>
      </c>
    </row>
    <row r="18152" spans="1:7" x14ac:dyDescent="0.25">
      <c r="A18152" s="1" t="str">
        <f>"526021"</f>
        <v>526021</v>
      </c>
      <c r="B18152" s="8" t="s">
        <v>455</v>
      </c>
      <c r="C18152" s="2" t="str">
        <f>"PC"</f>
        <v>PC</v>
      </c>
      <c r="D18152" s="7">
        <v>811</v>
      </c>
      <c r="E18152" s="3">
        <v>11</v>
      </c>
      <c r="F18152" s="3">
        <v>11</v>
      </c>
      <c r="G18152" t="s">
        <v>514</v>
      </c>
    </row>
    <row r="18153" spans="1:7" x14ac:dyDescent="0.25">
      <c r="A18153" s="1" t="str">
        <f>"500049"</f>
        <v>500049</v>
      </c>
      <c r="B18153" s="2" t="str">
        <f>"PLACA ELETRONICA PREPAC 1/2000  SAQUINHO"</f>
        <v>PLACA ELETRONICA PREPAC 1/2000  SAQUINHO</v>
      </c>
      <c r="C18153" s="2" t="str">
        <f>"PC"</f>
        <v>PC</v>
      </c>
      <c r="D18153" s="7">
        <v>900</v>
      </c>
      <c r="E18153" s="3">
        <v>11</v>
      </c>
      <c r="F18153" s="3">
        <v>11</v>
      </c>
      <c r="G18153" t="s">
        <v>514</v>
      </c>
    </row>
    <row r="18154" spans="1:7" x14ac:dyDescent="0.25">
      <c r="A18154" s="1" t="str">
        <f>"512520"</f>
        <v>512520</v>
      </c>
      <c r="B18154" s="2" t="str">
        <f>"PLACA ELETRONICA RG AB 1264"</f>
        <v>PLACA ELETRONICA RG AB 1264</v>
      </c>
      <c r="C18154" s="2" t="str">
        <f t="shared" ref="C18154:C18193" si="715">"UN"</f>
        <v>UN</v>
      </c>
      <c r="D18154" s="7">
        <v>600</v>
      </c>
      <c r="E18154" s="3">
        <v>8</v>
      </c>
      <c r="F18154" s="3">
        <v>8</v>
      </c>
      <c r="G18154" t="s">
        <v>514</v>
      </c>
    </row>
    <row r="18155" spans="1:7" x14ac:dyDescent="0.25">
      <c r="A18155" s="1" t="str">
        <f>"519688"</f>
        <v>519688</v>
      </c>
      <c r="B18155" s="2" t="str">
        <f>"PLACA ELETRONICA TOP DATA"</f>
        <v>PLACA ELETRONICA TOP DATA</v>
      </c>
      <c r="C18155" s="2" t="str">
        <f t="shared" si="715"/>
        <v>UN</v>
      </c>
      <c r="D18155" s="7">
        <v>811</v>
      </c>
      <c r="E18155" s="3">
        <v>8</v>
      </c>
      <c r="F18155" s="3">
        <v>8</v>
      </c>
      <c r="G18155" t="s">
        <v>513</v>
      </c>
    </row>
    <row r="18156" spans="1:7" x14ac:dyDescent="0.25">
      <c r="A18156" s="1" t="str">
        <f>"525039"</f>
        <v>525039</v>
      </c>
      <c r="B18156" s="2" t="str">
        <f>"PLACA EPI'S OBRIGATORIOS 1M ALT. 1M50CM LARG."</f>
        <v>PLACA EPI'S OBRIGATORIOS 1M ALT. 1M50CM LARG.</v>
      </c>
      <c r="C18156" s="2" t="str">
        <f t="shared" si="715"/>
        <v>UN</v>
      </c>
      <c r="D18156" s="7">
        <v>402</v>
      </c>
      <c r="E18156" s="3">
        <v>4</v>
      </c>
      <c r="F18156" s="3">
        <v>4</v>
      </c>
      <c r="G18156" t="s">
        <v>513</v>
      </c>
    </row>
    <row r="18157" spans="1:7" x14ac:dyDescent="0.25">
      <c r="A18157" s="1" t="str">
        <f>"513668"</f>
        <v>513668</v>
      </c>
      <c r="B18157" s="2" t="str">
        <f>"PLACA ETHERNET IMPACTA 16/40/68"</f>
        <v>PLACA ETHERNET IMPACTA 16/40/68</v>
      </c>
      <c r="C18157" s="2" t="str">
        <f t="shared" si="715"/>
        <v>UN</v>
      </c>
      <c r="D18157" s="7">
        <v>811</v>
      </c>
      <c r="E18157" s="3">
        <v>8</v>
      </c>
      <c r="F18157" s="3">
        <v>8</v>
      </c>
      <c r="G18157" t="s">
        <v>513</v>
      </c>
    </row>
    <row r="18158" spans="1:7" x14ac:dyDescent="0.25">
      <c r="A18158" s="1" t="str">
        <f>"505915"</f>
        <v>505915</v>
      </c>
      <c r="B18158" s="2" t="str">
        <f>"PLACA ETSCHEID AGITADOR R3F"</f>
        <v>PLACA ETSCHEID AGITADOR R3F</v>
      </c>
      <c r="C18158" s="2" t="str">
        <f t="shared" si="715"/>
        <v>UN</v>
      </c>
      <c r="D18158" s="7">
        <v>600</v>
      </c>
      <c r="E18158" s="3">
        <v>8</v>
      </c>
      <c r="F18158" s="3">
        <v>8</v>
      </c>
      <c r="G18158" t="s">
        <v>512</v>
      </c>
    </row>
    <row r="18159" spans="1:7" x14ac:dyDescent="0.25">
      <c r="A18159" s="1" t="str">
        <f>"505916"</f>
        <v>505916</v>
      </c>
      <c r="B18159" s="2" t="str">
        <f>"PLACA ETSCHEID CM1"</f>
        <v>PLACA ETSCHEID CM1</v>
      </c>
      <c r="C18159" s="2" t="str">
        <f t="shared" si="715"/>
        <v>UN</v>
      </c>
      <c r="D18159" s="7">
        <v>600</v>
      </c>
      <c r="E18159" s="3">
        <v>8</v>
      </c>
      <c r="F18159" s="3">
        <v>8</v>
      </c>
      <c r="G18159" t="s">
        <v>513</v>
      </c>
    </row>
    <row r="18160" spans="1:7" x14ac:dyDescent="0.25">
      <c r="A18160" s="1" t="str">
        <f>"505917"</f>
        <v>505917</v>
      </c>
      <c r="B18160" s="2" t="str">
        <f>"PLACA ETSCHEID DMA"</f>
        <v>PLACA ETSCHEID DMA</v>
      </c>
      <c r="C18160" s="2" t="str">
        <f t="shared" si="715"/>
        <v>UN</v>
      </c>
      <c r="D18160" s="7">
        <v>600</v>
      </c>
      <c r="E18160" s="3">
        <v>8</v>
      </c>
      <c r="F18160" s="3">
        <v>8</v>
      </c>
      <c r="G18160" t="s">
        <v>514</v>
      </c>
    </row>
    <row r="18161" spans="1:7" x14ac:dyDescent="0.25">
      <c r="A18161" s="1" t="str">
        <f>"503670"</f>
        <v>503670</v>
      </c>
      <c r="B18161" s="2" t="str">
        <f>"PLACA ETSCHEID M3S"</f>
        <v>PLACA ETSCHEID M3S</v>
      </c>
      <c r="C18161" s="2" t="str">
        <f t="shared" si="715"/>
        <v>UN</v>
      </c>
      <c r="D18161" s="7">
        <v>900</v>
      </c>
      <c r="E18161" s="3">
        <v>11</v>
      </c>
      <c r="F18161" s="3">
        <v>11</v>
      </c>
      <c r="G18161" t="s">
        <v>515</v>
      </c>
    </row>
    <row r="18162" spans="1:7" x14ac:dyDescent="0.25">
      <c r="A18162" s="1" t="str">
        <f>"505918"</f>
        <v>505918</v>
      </c>
      <c r="B18162" s="2" t="str">
        <f>"PLACA ETSCHEID REDUTOR M3T"</f>
        <v>PLACA ETSCHEID REDUTOR M3T</v>
      </c>
      <c r="C18162" s="2" t="str">
        <f t="shared" si="715"/>
        <v>UN</v>
      </c>
      <c r="D18162" s="7">
        <v>600</v>
      </c>
      <c r="E18162" s="3">
        <v>8</v>
      </c>
      <c r="F18162" s="3">
        <v>8</v>
      </c>
      <c r="G18162" t="s">
        <v>512</v>
      </c>
    </row>
    <row r="18163" spans="1:7" x14ac:dyDescent="0.25">
      <c r="A18163" s="1" t="str">
        <f>"517373"</f>
        <v>517373</v>
      </c>
      <c r="B18163" s="2" t="str">
        <f>"PLACA EVA 1,00 X350X10MM"</f>
        <v>PLACA EVA 1,00 X350X10MM</v>
      </c>
      <c r="C18163" s="2" t="str">
        <f t="shared" si="715"/>
        <v>UN</v>
      </c>
      <c r="D18163" s="7">
        <v>918</v>
      </c>
      <c r="E18163" s="3">
        <v>11</v>
      </c>
      <c r="F18163" s="3">
        <v>11</v>
      </c>
      <c r="G18163" t="s">
        <v>516</v>
      </c>
    </row>
    <row r="18164" spans="1:7" x14ac:dyDescent="0.25">
      <c r="A18164" s="1" t="str">
        <f>"522444"</f>
        <v>522444</v>
      </c>
      <c r="B18164" s="2" t="str">
        <f>"PLACA EXTINTOR 25X25CM"</f>
        <v>PLACA EXTINTOR 25X25CM</v>
      </c>
      <c r="C18164" s="2" t="str">
        <f t="shared" si="715"/>
        <v>UN</v>
      </c>
      <c r="D18164" s="7">
        <v>99999</v>
      </c>
      <c r="E18164" s="3">
        <v>99</v>
      </c>
      <c r="F18164" s="3">
        <v>99</v>
      </c>
      <c r="G18164" t="s">
        <v>515</v>
      </c>
    </row>
    <row r="18165" spans="1:7" x14ac:dyDescent="0.25">
      <c r="A18165" s="1" t="str">
        <f>"509151"</f>
        <v>509151</v>
      </c>
      <c r="B18165" s="2" t="str">
        <f>"PLACA FINAL DIREITA SA240-316 9MM"</f>
        <v>PLACA FINAL DIREITA SA240-316 9MM</v>
      </c>
      <c r="C18165" s="2" t="str">
        <f t="shared" si="715"/>
        <v>UN</v>
      </c>
      <c r="D18165" s="7">
        <v>402</v>
      </c>
      <c r="E18165" s="3">
        <v>4</v>
      </c>
      <c r="F18165" s="3">
        <v>4</v>
      </c>
      <c r="G18165" t="s">
        <v>514</v>
      </c>
    </row>
    <row r="18166" spans="1:7" x14ac:dyDescent="0.25">
      <c r="A18166" s="1" t="str">
        <f>"509152"</f>
        <v>509152</v>
      </c>
      <c r="B18166" s="2" t="str">
        <f>"PLACA FINAL ESQUERDA SA240-316 9MM"</f>
        <v>PLACA FINAL ESQUERDA SA240-316 9MM</v>
      </c>
      <c r="C18166" s="2" t="str">
        <f t="shared" si="715"/>
        <v>UN</v>
      </c>
      <c r="D18166" s="7">
        <v>402</v>
      </c>
      <c r="E18166" s="3">
        <v>4</v>
      </c>
      <c r="F18166" s="3">
        <v>4</v>
      </c>
      <c r="G18166" t="s">
        <v>512</v>
      </c>
    </row>
    <row r="18167" spans="1:7" x14ac:dyDescent="0.25">
      <c r="A18167" s="1" t="str">
        <f>"509475"</f>
        <v>509475</v>
      </c>
      <c r="B18167" s="2" t="str">
        <f>"PLACA FORMAGEM (LADO HASTE) DMAX"</f>
        <v>PLACA FORMAGEM (LADO HASTE) DMAX</v>
      </c>
      <c r="C18167" s="2" t="str">
        <f t="shared" si="715"/>
        <v>UN</v>
      </c>
      <c r="D18167" s="7">
        <v>918</v>
      </c>
      <c r="E18167" s="3">
        <v>11</v>
      </c>
      <c r="F18167" s="3">
        <v>11</v>
      </c>
      <c r="G18167" t="s">
        <v>513</v>
      </c>
    </row>
    <row r="18168" spans="1:7" x14ac:dyDescent="0.25">
      <c r="A18168" s="1" t="str">
        <f>"510311"</f>
        <v>510311</v>
      </c>
      <c r="B18168" s="2" t="str">
        <f>"PLACA GEOVISION 16X120"</f>
        <v>PLACA GEOVISION 16X120</v>
      </c>
      <c r="C18168" s="2" t="str">
        <f t="shared" si="715"/>
        <v>UN</v>
      </c>
      <c r="D18168" s="7">
        <v>600</v>
      </c>
      <c r="E18168" s="3">
        <v>8</v>
      </c>
      <c r="F18168" s="3">
        <v>8</v>
      </c>
      <c r="G18168" t="s">
        <v>514</v>
      </c>
    </row>
    <row r="18169" spans="1:7" x14ac:dyDescent="0.25">
      <c r="A18169" s="1" t="str">
        <f>"510761"</f>
        <v>510761</v>
      </c>
      <c r="B18169" s="2" t="str">
        <f>"PLACA GEOVISION CAP. 16 CAMERAS XP VISTA"</f>
        <v>PLACA GEOVISION CAP. 16 CAMERAS XP VISTA</v>
      </c>
      <c r="C18169" s="2" t="str">
        <f t="shared" si="715"/>
        <v>UN</v>
      </c>
      <c r="D18169" s="7">
        <v>600</v>
      </c>
      <c r="E18169" s="3">
        <v>8</v>
      </c>
      <c r="F18169" s="3">
        <v>8</v>
      </c>
      <c r="G18169" t="s">
        <v>514</v>
      </c>
    </row>
    <row r="18170" spans="1:7" x14ac:dyDescent="0.25">
      <c r="A18170" s="1" t="str">
        <f>"521090"</f>
        <v>521090</v>
      </c>
      <c r="B18170" s="2" t="str">
        <f>"PLACA GESSO ACARTONADO"</f>
        <v>PLACA GESSO ACARTONADO</v>
      </c>
      <c r="C18170" s="2" t="str">
        <f t="shared" si="715"/>
        <v>UN</v>
      </c>
      <c r="D18170" s="7">
        <v>803</v>
      </c>
      <c r="E18170" s="3">
        <v>4</v>
      </c>
      <c r="F18170" s="3">
        <v>4</v>
      </c>
      <c r="G18170" t="s">
        <v>512</v>
      </c>
    </row>
    <row r="18171" spans="1:7" x14ac:dyDescent="0.25">
      <c r="A18171" s="1" t="str">
        <f>"516032"</f>
        <v>516032</v>
      </c>
      <c r="B18171" s="2" t="str">
        <f>"PLACA H CEGA VT 20 LOCK-IN GEA"</f>
        <v>PLACA H CEGA VT 20 LOCK-IN GEA</v>
      </c>
      <c r="C18171" s="2" t="str">
        <f t="shared" si="715"/>
        <v>UN</v>
      </c>
      <c r="D18171" s="7">
        <v>915</v>
      </c>
      <c r="E18171" s="3">
        <v>11</v>
      </c>
      <c r="F18171" s="3">
        <v>11</v>
      </c>
      <c r="G18171" t="s">
        <v>513</v>
      </c>
    </row>
    <row r="18172" spans="1:7" x14ac:dyDescent="0.25">
      <c r="A18172" s="1" t="str">
        <f>"528057"</f>
        <v>528057</v>
      </c>
      <c r="B18172" s="2" t="str">
        <f>"PLACA H TS6M 0.6MM T316 4 FUROS"</f>
        <v>PLACA H TS6M 0.6MM T316 4 FUROS</v>
      </c>
      <c r="C18172" s="2" t="str">
        <f t="shared" si="715"/>
        <v>UN</v>
      </c>
      <c r="D18172" s="7">
        <v>915</v>
      </c>
      <c r="E18172" s="3">
        <v>11</v>
      </c>
      <c r="F18172" s="3">
        <v>11</v>
      </c>
      <c r="G18172" t="s">
        <v>514</v>
      </c>
    </row>
    <row r="18173" spans="1:7" x14ac:dyDescent="0.25">
      <c r="A18173" s="1" t="str">
        <f>"516033"</f>
        <v>516033</v>
      </c>
      <c r="B18173" s="2" t="str">
        <f>"PLACA H VT 20  LOCK-IN 4 FUROS PLACA CEGA  316 6MM GEA"</f>
        <v>PLACA H VT 20  LOCK-IN 4 FUROS PLACA CEGA  316 6MM GEA</v>
      </c>
      <c r="C18173" s="2" t="str">
        <f t="shared" si="715"/>
        <v>UN</v>
      </c>
      <c r="D18173" s="7">
        <v>915</v>
      </c>
      <c r="E18173" s="3">
        <v>11</v>
      </c>
      <c r="F18173" s="3">
        <v>11</v>
      </c>
      <c r="G18173" t="s">
        <v>514</v>
      </c>
    </row>
    <row r="18174" spans="1:7" x14ac:dyDescent="0.25">
      <c r="A18174" s="1" t="str">
        <f>"528172"</f>
        <v>528172</v>
      </c>
      <c r="B18174" s="2" t="str">
        <f>"PLACA HBM 1AD103C ELEC RS-232 INTERFACE DC AMPLIFIE B IP65"</f>
        <v>PLACA HBM 1AD103C ELEC RS-232 INTERFACE DC AMPLIFIE B IP65</v>
      </c>
      <c r="C18174" s="2" t="str">
        <f t="shared" si="715"/>
        <v>UN</v>
      </c>
      <c r="D18174" s="7">
        <v>918</v>
      </c>
      <c r="E18174" s="3">
        <v>11</v>
      </c>
      <c r="F18174" s="3">
        <v>11</v>
      </c>
      <c r="G18174" t="s">
        <v>514</v>
      </c>
    </row>
    <row r="18175" spans="1:7" x14ac:dyDescent="0.25">
      <c r="A18175" s="1" t="str">
        <f>"516497"</f>
        <v>516497</v>
      </c>
      <c r="B18175" s="2" t="str">
        <f>"PLACA IDENTIFICAÇÃO"</f>
        <v>PLACA IDENTIFICAÇÃO</v>
      </c>
      <c r="C18175" s="2" t="str">
        <f t="shared" si="715"/>
        <v>UN</v>
      </c>
      <c r="D18175" s="7">
        <v>811</v>
      </c>
      <c r="E18175" s="3">
        <v>8</v>
      </c>
      <c r="F18175" s="3">
        <v>8</v>
      </c>
      <c r="G18175" t="s">
        <v>513</v>
      </c>
    </row>
    <row r="18176" spans="1:7" x14ac:dyDescent="0.25">
      <c r="A18176" s="1" t="str">
        <f>"511645"</f>
        <v>511645</v>
      </c>
      <c r="B18176" s="2" t="str">
        <f>"PLACA IDENTIFICAÇAO INOX  50X20X04MM"</f>
        <v>PLACA IDENTIFICAÇAO INOX  50X20X04MM</v>
      </c>
      <c r="C18176" s="2" t="str">
        <f t="shared" si="715"/>
        <v>UN</v>
      </c>
      <c r="D18176" s="7">
        <v>803</v>
      </c>
      <c r="E18176" s="3">
        <v>10</v>
      </c>
      <c r="F18176" s="3">
        <v>10</v>
      </c>
      <c r="G18176" t="s">
        <v>512</v>
      </c>
    </row>
    <row r="18177" spans="1:7" x14ac:dyDescent="0.25">
      <c r="A18177" s="1" t="str">
        <f>"511646"</f>
        <v>511646</v>
      </c>
      <c r="B18177" s="2" t="str">
        <f>"PLACA IDENTIFICAÇAO INOX 200X50X04MM"</f>
        <v>PLACA IDENTIFICAÇAO INOX 200X50X04MM</v>
      </c>
      <c r="C18177" s="2" t="str">
        <f t="shared" si="715"/>
        <v>UN</v>
      </c>
      <c r="D18177" s="7">
        <v>803</v>
      </c>
      <c r="E18177" s="3">
        <v>10</v>
      </c>
      <c r="F18177" s="3">
        <v>10</v>
      </c>
      <c r="G18177" t="s">
        <v>513</v>
      </c>
    </row>
    <row r="18178" spans="1:7" x14ac:dyDescent="0.25">
      <c r="A18178" s="1" t="str">
        <f>"516223"</f>
        <v>516223</v>
      </c>
      <c r="B18178" s="2" t="str">
        <f>"PLACA ISOPAINEL 100MM X 1500MM"</f>
        <v>PLACA ISOPAINEL 100MM X 1500MM</v>
      </c>
      <c r="C18178" s="2" t="str">
        <f t="shared" si="715"/>
        <v>UN</v>
      </c>
      <c r="D18178" s="7">
        <v>917</v>
      </c>
      <c r="E18178" s="3">
        <v>10</v>
      </c>
      <c r="F18178" s="3">
        <v>10</v>
      </c>
      <c r="G18178" t="s">
        <v>514</v>
      </c>
    </row>
    <row r="18179" spans="1:7" x14ac:dyDescent="0.25">
      <c r="A18179" s="1" t="str">
        <f>"516222"</f>
        <v>516222</v>
      </c>
      <c r="B18179" s="2" t="str">
        <f>"PLACA ISOPAINEL 100MM X 3500MM"</f>
        <v>PLACA ISOPAINEL 100MM X 3500MM</v>
      </c>
      <c r="C18179" s="2" t="str">
        <f t="shared" si="715"/>
        <v>UN</v>
      </c>
      <c r="D18179" s="7">
        <v>917</v>
      </c>
      <c r="E18179" s="3">
        <v>10</v>
      </c>
      <c r="F18179" s="3">
        <v>10</v>
      </c>
      <c r="G18179" t="s">
        <v>514</v>
      </c>
    </row>
    <row r="18180" spans="1:7" x14ac:dyDescent="0.25">
      <c r="A18180" s="1" t="str">
        <f>"516224"</f>
        <v>516224</v>
      </c>
      <c r="B18180" s="2" t="str">
        <f>"PLACA ISOPAINEL 100MM X 5000MM"</f>
        <v>PLACA ISOPAINEL 100MM X 5000MM</v>
      </c>
      <c r="C18180" s="2" t="str">
        <f t="shared" si="715"/>
        <v>UN</v>
      </c>
      <c r="D18180" s="7">
        <v>917</v>
      </c>
      <c r="E18180" s="3">
        <v>10</v>
      </c>
      <c r="F18180" s="3">
        <v>10</v>
      </c>
      <c r="G18180" t="s">
        <v>514</v>
      </c>
    </row>
    <row r="18181" spans="1:7" x14ac:dyDescent="0.25">
      <c r="A18181" s="1" t="str">
        <f>"506215"</f>
        <v>506215</v>
      </c>
      <c r="B18181" s="2" t="str">
        <f>"PLACA LUX  2P JUNTOS 4X2 CP"</f>
        <v>PLACA LUX  2P JUNTOS 4X2 CP</v>
      </c>
      <c r="C18181" s="2" t="str">
        <f t="shared" si="715"/>
        <v>UN</v>
      </c>
      <c r="D18181" s="7">
        <v>918</v>
      </c>
      <c r="E18181" s="3">
        <v>11</v>
      </c>
      <c r="F18181" s="3">
        <v>11</v>
      </c>
      <c r="G18181" t="s">
        <v>513</v>
      </c>
    </row>
    <row r="18182" spans="1:7" x14ac:dyDescent="0.25">
      <c r="A18182" s="1" t="str">
        <f>"514659"</f>
        <v>514659</v>
      </c>
      <c r="B18182" s="2" t="str">
        <f>"PLACA LUX 2 CEGA 4X2 CP"</f>
        <v>PLACA LUX 2 CEGA 4X2 CP</v>
      </c>
      <c r="C18182" s="2" t="str">
        <f t="shared" si="715"/>
        <v>UN</v>
      </c>
      <c r="D18182" s="7">
        <v>601</v>
      </c>
      <c r="E18182" s="3">
        <v>8</v>
      </c>
      <c r="F18182" s="3">
        <v>8</v>
      </c>
      <c r="G18182" t="s">
        <v>513</v>
      </c>
    </row>
    <row r="18183" spans="1:7" x14ac:dyDescent="0.25">
      <c r="A18183" s="1" t="str">
        <f>"523363"</f>
        <v>523363</v>
      </c>
      <c r="B18183" s="2" t="str">
        <f>"PLACA MC16P-02"</f>
        <v>PLACA MC16P-02</v>
      </c>
      <c r="C18183" s="2" t="str">
        <f t="shared" si="715"/>
        <v>UN</v>
      </c>
      <c r="D18183" s="7">
        <v>900</v>
      </c>
      <c r="E18183" s="3">
        <v>11</v>
      </c>
      <c r="F18183" s="3">
        <v>11</v>
      </c>
      <c r="G18183" t="s">
        <v>513</v>
      </c>
    </row>
    <row r="18184" spans="1:7" x14ac:dyDescent="0.25">
      <c r="A18184" s="1" t="str">
        <f>"517977"</f>
        <v>517977</v>
      </c>
      <c r="B18184" s="2" t="str">
        <f>"PLACA N-40 0,8 1.4401 L-NBR 1234"</f>
        <v>PLACA N-40 0,8 1.4401 L-NBR 1234</v>
      </c>
      <c r="C18184" s="2" t="str">
        <f t="shared" si="715"/>
        <v>UN</v>
      </c>
      <c r="D18184" s="7">
        <v>915</v>
      </c>
      <c r="E18184" s="3">
        <v>11</v>
      </c>
      <c r="F18184" s="3">
        <v>11</v>
      </c>
      <c r="G18184" t="s">
        <v>512</v>
      </c>
    </row>
    <row r="18185" spans="1:7" x14ac:dyDescent="0.25">
      <c r="A18185" s="1" t="str">
        <f>"517978"</f>
        <v>517978</v>
      </c>
      <c r="B18185" s="2" t="str">
        <f>"PLACA N-40 0,8 14401 L-NBR 0"</f>
        <v>PLACA N-40 0,8 14401 L-NBR 0</v>
      </c>
      <c r="C18185" s="2" t="str">
        <f t="shared" si="715"/>
        <v>UN</v>
      </c>
      <c r="D18185" s="7">
        <v>915</v>
      </c>
      <c r="E18185" s="3">
        <v>10</v>
      </c>
      <c r="F18185" s="3">
        <v>10</v>
      </c>
      <c r="G18185" t="s">
        <v>513</v>
      </c>
    </row>
    <row r="18186" spans="1:7" x14ac:dyDescent="0.25">
      <c r="A18186" s="1" t="str">
        <f>"525041"</f>
        <v>525041</v>
      </c>
      <c r="B18186" s="2" t="str">
        <f>"PLACA OBRIGATORIO USO DE COLETES SALV VIDAS 50CM ALT 1M LARG"</f>
        <v>PLACA OBRIGATORIO USO DE COLETES SALV VIDAS 50CM ALT 1M LARG</v>
      </c>
      <c r="C18186" s="2" t="str">
        <f t="shared" si="715"/>
        <v>UN</v>
      </c>
      <c r="D18186" s="7">
        <v>402</v>
      </c>
      <c r="E18186" s="3">
        <v>4</v>
      </c>
      <c r="F18186" s="3">
        <v>4</v>
      </c>
      <c r="G18186" t="s">
        <v>514</v>
      </c>
    </row>
    <row r="18187" spans="1:7" x14ac:dyDescent="0.25">
      <c r="A18187" s="1" t="str">
        <f>"520669"</f>
        <v>520669</v>
      </c>
      <c r="B18187" s="2" t="str">
        <f>"PLACA OPACA DE ARAMIDA NIVEL IIIA P/ AMAROK"</f>
        <v>PLACA OPACA DE ARAMIDA NIVEL IIIA P/ AMAROK</v>
      </c>
      <c r="C18187" s="2" t="str">
        <f t="shared" si="715"/>
        <v>UN</v>
      </c>
      <c r="D18187" s="7">
        <v>99999</v>
      </c>
      <c r="E18187" s="3">
        <v>99</v>
      </c>
      <c r="F18187" s="3">
        <v>99</v>
      </c>
      <c r="G18187" t="s">
        <v>515</v>
      </c>
    </row>
    <row r="18188" spans="1:7" x14ac:dyDescent="0.25">
      <c r="A18188" s="1" t="str">
        <f>"527889"</f>
        <v>527889</v>
      </c>
      <c r="B18188" s="2" t="str">
        <f>"PLACA P/ 1 MODULO C/ SUPORTE 4X2 HABITAT"</f>
        <v>PLACA P/ 1 MODULO C/ SUPORTE 4X2 HABITAT</v>
      </c>
      <c r="C18188" s="2" t="str">
        <f t="shared" si="715"/>
        <v>UN</v>
      </c>
      <c r="D18188" s="7">
        <v>811</v>
      </c>
      <c r="E18188" s="3">
        <v>10</v>
      </c>
      <c r="F18188" s="3">
        <v>10</v>
      </c>
      <c r="G18188" t="s">
        <v>512</v>
      </c>
    </row>
    <row r="18189" spans="1:7" x14ac:dyDescent="0.25">
      <c r="A18189" s="1" t="str">
        <f>"512827"</f>
        <v>512827</v>
      </c>
      <c r="B18189" s="2" t="str">
        <f>"PLACA P/ CONDULETE 1"" P/ RJ 45"</f>
        <v>PLACA P/ CONDULETE 1" P/ RJ 45</v>
      </c>
      <c r="C18189" s="2" t="str">
        <f t="shared" si="715"/>
        <v>UN</v>
      </c>
      <c r="D18189" s="7">
        <v>811</v>
      </c>
      <c r="E18189" s="3">
        <v>8</v>
      </c>
      <c r="F18189" s="3">
        <v>8</v>
      </c>
      <c r="G18189" t="s">
        <v>516</v>
      </c>
    </row>
    <row r="18190" spans="1:7" x14ac:dyDescent="0.25">
      <c r="A18190" s="1" t="str">
        <f>"522803"</f>
        <v>522803</v>
      </c>
      <c r="B18190" s="2" t="str">
        <f>"PLACA P/ CONDULETE 3 MODULO 1"" WETTZEL"</f>
        <v>PLACA P/ CONDULETE 3 MODULO 1" WETTZEL</v>
      </c>
      <c r="C18190" s="2" t="str">
        <f t="shared" si="715"/>
        <v>UN</v>
      </c>
      <c r="D18190" s="7">
        <v>811</v>
      </c>
      <c r="E18190" s="3">
        <v>11</v>
      </c>
      <c r="F18190" s="3">
        <v>11</v>
      </c>
      <c r="G18190" t="s">
        <v>515</v>
      </c>
    </row>
    <row r="18191" spans="1:7" x14ac:dyDescent="0.25">
      <c r="A18191" s="1" t="str">
        <f>"522802"</f>
        <v>522802</v>
      </c>
      <c r="B18191" s="2" t="str">
        <f>"PLACA P/ CONDULETE 3 MODULO 3/4 WETTZEL"</f>
        <v>PLACA P/ CONDULETE 3 MODULO 3/4 WETTZEL</v>
      </c>
      <c r="C18191" s="2" t="str">
        <f t="shared" si="715"/>
        <v>UN</v>
      </c>
      <c r="D18191" s="7">
        <v>811</v>
      </c>
      <c r="E18191" s="3">
        <v>11</v>
      </c>
      <c r="F18191" s="3">
        <v>11</v>
      </c>
      <c r="G18191" t="s">
        <v>514</v>
      </c>
    </row>
    <row r="18192" spans="1:7" x14ac:dyDescent="0.25">
      <c r="A18192" s="1" t="str">
        <f>"528015"</f>
        <v>528015</v>
      </c>
      <c r="B18192" s="2" t="str">
        <f>"PLACA P/ IMPRESSORA JPP-02"</f>
        <v>PLACA P/ IMPRESSORA JPP-02</v>
      </c>
      <c r="C18192" s="2" t="str">
        <f t="shared" si="715"/>
        <v>UN</v>
      </c>
      <c r="D18192" s="7">
        <v>900</v>
      </c>
      <c r="E18192" s="3">
        <v>13</v>
      </c>
      <c r="F18192" s="3">
        <v>13</v>
      </c>
      <c r="G18192" t="s">
        <v>512</v>
      </c>
    </row>
    <row r="18193" spans="1:7" x14ac:dyDescent="0.25">
      <c r="A18193" s="1" t="str">
        <f>"522389"</f>
        <v>522389</v>
      </c>
      <c r="B18193" s="2" t="str">
        <f>"PLACA P/ TOMADA 2P+T CONDULETE 3/4"</f>
        <v>PLACA P/ TOMADA 2P+T CONDULETE 3/4</v>
      </c>
      <c r="C18193" s="2" t="str">
        <f t="shared" si="715"/>
        <v>UN</v>
      </c>
      <c r="D18193" s="7">
        <v>811</v>
      </c>
      <c r="E18193" s="3">
        <v>10</v>
      </c>
      <c r="F18193" s="3">
        <v>10</v>
      </c>
      <c r="G18193" t="s">
        <v>513</v>
      </c>
    </row>
    <row r="18194" spans="1:7" x14ac:dyDescent="0.25">
      <c r="A18194" s="1" t="str">
        <f>"521670"</f>
        <v>521670</v>
      </c>
      <c r="B18194" s="2" t="str">
        <f>"PLACA PCB1 CONECTORES SENSOR SAIDA ALARME SP500095"</f>
        <v>PLACA PCB1 CONECTORES SENSOR SAIDA ALARME SP500095</v>
      </c>
      <c r="C18194" s="2" t="str">
        <f>"PC"</f>
        <v>PC</v>
      </c>
      <c r="D18194" s="7">
        <v>908</v>
      </c>
      <c r="E18194" s="3">
        <v>8</v>
      </c>
      <c r="F18194" s="3">
        <v>8</v>
      </c>
      <c r="G18194" t="s">
        <v>514</v>
      </c>
    </row>
    <row r="18195" spans="1:7" x14ac:dyDescent="0.25">
      <c r="A18195" s="1" t="str">
        <f>"524104"</f>
        <v>524104</v>
      </c>
      <c r="B18195" s="2" t="str">
        <f>"PLACA PERIGO MORTE 11,0KV TAM 25X20CM POLICARB. TEX. 0,18MM"</f>
        <v>PLACA PERIGO MORTE 11,0KV TAM 25X20CM POLICARB. TEX. 0,18MM</v>
      </c>
      <c r="C18195" s="2" t="str">
        <f t="shared" ref="C18195:C18239" si="716">"UN"</f>
        <v>UN</v>
      </c>
      <c r="D18195" s="7">
        <v>99999</v>
      </c>
      <c r="E18195" s="3">
        <v>99</v>
      </c>
      <c r="F18195" s="3">
        <v>99</v>
      </c>
      <c r="G18195" t="s">
        <v>514</v>
      </c>
    </row>
    <row r="18196" spans="1:7" x14ac:dyDescent="0.25">
      <c r="A18196" s="1" t="str">
        <f>"521303"</f>
        <v>521303</v>
      </c>
      <c r="B18196" s="2" t="str">
        <f>"PLACA PETRIFILM 3M MESÓFILOS AC6406"</f>
        <v>PLACA PETRIFILM 3M MESÓFILOS AC6406</v>
      </c>
      <c r="C18196" s="2" t="str">
        <f t="shared" si="716"/>
        <v>UN</v>
      </c>
      <c r="D18196" s="7">
        <v>406</v>
      </c>
      <c r="E18196" s="3">
        <v>4</v>
      </c>
      <c r="F18196" s="3">
        <v>4</v>
      </c>
      <c r="G18196" t="s">
        <v>512</v>
      </c>
    </row>
    <row r="18197" spans="1:7" x14ac:dyDescent="0.25">
      <c r="A18197" s="1" t="str">
        <f>"521121"</f>
        <v>521121</v>
      </c>
      <c r="B18197" s="2" t="str">
        <f>"PLACA PISO LATAO 2X4"</f>
        <v>PLACA PISO LATAO 2X4</v>
      </c>
      <c r="C18197" s="2" t="str">
        <f t="shared" si="716"/>
        <v>UN</v>
      </c>
      <c r="D18197" s="7">
        <v>811</v>
      </c>
      <c r="E18197" s="3">
        <v>8</v>
      </c>
      <c r="F18197" s="3">
        <v>8</v>
      </c>
      <c r="G18197" t="s">
        <v>513</v>
      </c>
    </row>
    <row r="18198" spans="1:7" x14ac:dyDescent="0.25">
      <c r="A18198" s="1" t="str">
        <f>"512545"</f>
        <v>512545</v>
      </c>
      <c r="B18198" s="2" t="str">
        <f>"PLACA PISO LATAO 2X4 CEGA"</f>
        <v>PLACA PISO LATAO 2X4 CEGA</v>
      </c>
      <c r="C18198" s="2" t="str">
        <f t="shared" si="716"/>
        <v>UN</v>
      </c>
      <c r="D18198" s="7">
        <v>601</v>
      </c>
      <c r="E18198" s="3">
        <v>8</v>
      </c>
      <c r="F18198" s="3">
        <v>8</v>
      </c>
      <c r="G18198" t="s">
        <v>514</v>
      </c>
    </row>
    <row r="18199" spans="1:7" x14ac:dyDescent="0.25">
      <c r="A18199" s="1" t="str">
        <f>"520895"</f>
        <v>520895</v>
      </c>
      <c r="B18199" s="2" t="str">
        <f>"PLACA PISO LATAO 2X4 P/1 TOMADA"</f>
        <v>PLACA PISO LATAO 2X4 P/1 TOMADA</v>
      </c>
      <c r="C18199" s="2" t="str">
        <f t="shared" si="716"/>
        <v>UN</v>
      </c>
      <c r="D18199" s="7">
        <v>601</v>
      </c>
      <c r="E18199" s="3">
        <v>8</v>
      </c>
      <c r="F18199" s="3">
        <v>8</v>
      </c>
      <c r="G18199" t="s">
        <v>514</v>
      </c>
    </row>
    <row r="18200" spans="1:7" x14ac:dyDescent="0.25">
      <c r="A18200" s="1" t="str">
        <f>"503785"</f>
        <v>503785</v>
      </c>
      <c r="B18200" s="2" t="str">
        <f>"PLACA PISO LATAO 2X4 P/2 TOMADA RJ45/RJ11"</f>
        <v>PLACA PISO LATAO 2X4 P/2 TOMADA RJ45/RJ11</v>
      </c>
      <c r="C18200" s="2" t="str">
        <f t="shared" si="716"/>
        <v>UN</v>
      </c>
      <c r="D18200" s="7">
        <v>601</v>
      </c>
      <c r="E18200" s="3">
        <v>8</v>
      </c>
      <c r="F18200" s="3">
        <v>8</v>
      </c>
      <c r="G18200" t="s">
        <v>514</v>
      </c>
    </row>
    <row r="18201" spans="1:7" x14ac:dyDescent="0.25">
      <c r="A18201" s="1" t="str">
        <f>"503789"</f>
        <v>503789</v>
      </c>
      <c r="B18201" s="2" t="str">
        <f>"PLACA PISO LATAO 4X4 CEGA"</f>
        <v>PLACA PISO LATAO 4X4 CEGA</v>
      </c>
      <c r="C18201" s="2" t="str">
        <f t="shared" si="716"/>
        <v>UN</v>
      </c>
      <c r="D18201" s="7">
        <v>601</v>
      </c>
      <c r="E18201" s="3">
        <v>8</v>
      </c>
      <c r="F18201" s="3">
        <v>8</v>
      </c>
      <c r="G18201" t="s">
        <v>513</v>
      </c>
    </row>
    <row r="18202" spans="1:7" x14ac:dyDescent="0.25">
      <c r="A18202" s="1" t="str">
        <f>"516005"</f>
        <v>516005</v>
      </c>
      <c r="B18202" s="2" t="str">
        <f>"PLACA PISO MOLHADO"</f>
        <v>PLACA PISO MOLHADO</v>
      </c>
      <c r="C18202" s="2" t="str">
        <f t="shared" si="716"/>
        <v>UN</v>
      </c>
      <c r="D18202" s="7">
        <v>400</v>
      </c>
      <c r="E18202" s="3">
        <v>10</v>
      </c>
      <c r="F18202" s="3">
        <v>10</v>
      </c>
      <c r="G18202" t="s">
        <v>512</v>
      </c>
    </row>
    <row r="18203" spans="1:7" x14ac:dyDescent="0.25">
      <c r="A18203" s="1" t="str">
        <f>"523675"</f>
        <v>523675</v>
      </c>
      <c r="B18203" s="2" t="str">
        <f>"PLACA PONTA GONDOLA CAROLINA 395X200MM"</f>
        <v>PLACA PONTA GONDOLA CAROLINA 395X200MM</v>
      </c>
      <c r="C18203" s="2" t="str">
        <f t="shared" si="716"/>
        <v>UN</v>
      </c>
      <c r="D18203" s="7">
        <v>99999</v>
      </c>
      <c r="E18203" s="3">
        <v>99</v>
      </c>
      <c r="F18203" s="3">
        <v>99</v>
      </c>
      <c r="G18203" t="s">
        <v>513</v>
      </c>
    </row>
    <row r="18204" spans="1:7" x14ac:dyDescent="0.25">
      <c r="A18204" s="1" t="str">
        <f>"526705"</f>
        <v>526705</v>
      </c>
      <c r="B18204" s="2" t="str">
        <f>"PLACA PORTA PUNÇÃO"</f>
        <v>PLACA PORTA PUNÇÃO</v>
      </c>
      <c r="C18204" s="2" t="str">
        <f t="shared" si="716"/>
        <v>UN</v>
      </c>
      <c r="D18204" s="7">
        <v>402</v>
      </c>
      <c r="E18204" s="3">
        <v>4</v>
      </c>
      <c r="F18204" s="3">
        <v>4</v>
      </c>
      <c r="G18204" t="s">
        <v>514</v>
      </c>
    </row>
    <row r="18205" spans="1:7" x14ac:dyDescent="0.25">
      <c r="A18205" s="1" t="str">
        <f>"510774"</f>
        <v>510774</v>
      </c>
      <c r="B18205" s="2" t="str">
        <f>"PLACA PRINCIPAL MONOJATO 9040 ROHS"</f>
        <v>PLACA PRINCIPAL MONOJATO 9040 ROHS</v>
      </c>
      <c r="C18205" s="2" t="str">
        <f t="shared" si="716"/>
        <v>UN</v>
      </c>
      <c r="D18205" s="7">
        <v>900</v>
      </c>
      <c r="E18205" s="3">
        <v>11</v>
      </c>
      <c r="F18205" s="3">
        <v>11</v>
      </c>
      <c r="G18205" t="s">
        <v>514</v>
      </c>
    </row>
    <row r="18206" spans="1:7" x14ac:dyDescent="0.25">
      <c r="A18206" s="1" t="str">
        <f>"519266"</f>
        <v>519266</v>
      </c>
      <c r="B18206" s="2" t="str">
        <f>"PLACA PRINCIPAL TOLEDO 9091 42876"</f>
        <v>PLACA PRINCIPAL TOLEDO 9091 42876</v>
      </c>
      <c r="C18206" s="2" t="str">
        <f t="shared" si="716"/>
        <v>UN</v>
      </c>
      <c r="D18206" s="7">
        <v>811</v>
      </c>
      <c r="E18206" s="3">
        <v>11</v>
      </c>
      <c r="F18206" s="3">
        <v>11</v>
      </c>
      <c r="G18206" t="s">
        <v>514</v>
      </c>
    </row>
    <row r="18207" spans="1:7" x14ac:dyDescent="0.25">
      <c r="A18207" s="1" t="str">
        <f>"525040"</f>
        <v>525040</v>
      </c>
      <c r="B18207" s="2" t="str">
        <f>"PLACA PROIBIDO O USO DE ADORNOS 50CM ALT. 1M LARG."</f>
        <v>PLACA PROIBIDO O USO DE ADORNOS 50CM ALT. 1M LARG.</v>
      </c>
      <c r="C18207" s="2" t="str">
        <f t="shared" si="716"/>
        <v>UN</v>
      </c>
      <c r="D18207" s="7">
        <v>402</v>
      </c>
      <c r="E18207" s="3">
        <v>4</v>
      </c>
      <c r="F18207" s="3">
        <v>4</v>
      </c>
      <c r="G18207" t="s">
        <v>513</v>
      </c>
    </row>
    <row r="18208" spans="1:7" x14ac:dyDescent="0.25">
      <c r="A18208" s="1" t="str">
        <f>"511174"</f>
        <v>511174</v>
      </c>
      <c r="B18208" s="2" t="str">
        <f>"PLACA PUNÇOES DMAX"</f>
        <v>PLACA PUNÇOES DMAX</v>
      </c>
      <c r="C18208" s="2" t="str">
        <f t="shared" si="716"/>
        <v>UN</v>
      </c>
      <c r="D18208" s="7">
        <v>918</v>
      </c>
      <c r="E18208" s="3">
        <v>11</v>
      </c>
      <c r="F18208" s="3">
        <v>11</v>
      </c>
      <c r="G18208" t="s">
        <v>513</v>
      </c>
    </row>
    <row r="18209" spans="1:7" x14ac:dyDescent="0.25">
      <c r="A18209" s="1" t="str">
        <f>"510132"</f>
        <v>510132</v>
      </c>
      <c r="B18209" s="2" t="str">
        <f>"PLACA PVC 2MM TAMP 2,10X0,47MT"</f>
        <v>PLACA PVC 2MM TAMP 2,10X0,47MT</v>
      </c>
      <c r="C18209" s="2" t="str">
        <f t="shared" si="716"/>
        <v>UN</v>
      </c>
      <c r="D18209" s="7">
        <v>402</v>
      </c>
      <c r="E18209" s="3">
        <v>4</v>
      </c>
      <c r="F18209" s="3">
        <v>4</v>
      </c>
      <c r="G18209" t="s">
        <v>513</v>
      </c>
    </row>
    <row r="18210" spans="1:7" x14ac:dyDescent="0.25">
      <c r="A18210" s="1" t="str">
        <f>"513665"</f>
        <v>513665</v>
      </c>
      <c r="B18210" s="2" t="str">
        <f>"PLACA RAMAL ANALOGICA INTELBRAS 4RM"</f>
        <v>PLACA RAMAL ANALOGICA INTELBRAS 4RM</v>
      </c>
      <c r="C18210" s="2" t="str">
        <f t="shared" si="716"/>
        <v>UN</v>
      </c>
      <c r="D18210" s="7">
        <v>811</v>
      </c>
      <c r="E18210" s="3">
        <v>8</v>
      </c>
      <c r="F18210" s="3">
        <v>8</v>
      </c>
      <c r="G18210" t="s">
        <v>512</v>
      </c>
    </row>
    <row r="18211" spans="1:7" x14ac:dyDescent="0.25">
      <c r="A18211" s="1" t="str">
        <f>"514652"</f>
        <v>514652</v>
      </c>
      <c r="B18211" s="2" t="str">
        <f>"PLACA RAMAL DESB. 04RM"</f>
        <v>PLACA RAMAL DESB. 04RM</v>
      </c>
      <c r="C18211" s="2" t="str">
        <f t="shared" si="716"/>
        <v>UN</v>
      </c>
      <c r="D18211" s="7">
        <v>601</v>
      </c>
      <c r="E18211" s="3">
        <v>8</v>
      </c>
      <c r="F18211" s="3">
        <v>8</v>
      </c>
      <c r="G18211" t="s">
        <v>513</v>
      </c>
    </row>
    <row r="18212" spans="1:7" x14ac:dyDescent="0.25">
      <c r="A18212" s="1" t="str">
        <f>"513666"</f>
        <v>513666</v>
      </c>
      <c r="B18212" s="2" t="str">
        <f>"PLACA RAMAL MISTA INTELBRAS IMPACTA 68/40/16 1X3 RM"</f>
        <v>PLACA RAMAL MISTA INTELBRAS IMPACTA 68/40/16 1X3 RM</v>
      </c>
      <c r="C18212" s="2" t="str">
        <f t="shared" si="716"/>
        <v>UN</v>
      </c>
      <c r="D18212" s="7">
        <v>811</v>
      </c>
      <c r="E18212" s="3">
        <v>8</v>
      </c>
      <c r="F18212" s="3">
        <v>8</v>
      </c>
      <c r="G18212" t="s">
        <v>514</v>
      </c>
    </row>
    <row r="18213" spans="1:7" x14ac:dyDescent="0.25">
      <c r="A18213" s="1" t="str">
        <f>"573838"</f>
        <v>573838</v>
      </c>
      <c r="B18213" s="2" t="str">
        <f>"PLACA REDE PCI 100/1000"</f>
        <v>PLACA REDE PCI 100/1000</v>
      </c>
      <c r="C18213" s="2" t="str">
        <f t="shared" si="716"/>
        <v>UN</v>
      </c>
      <c r="D18213" s="7">
        <v>601</v>
      </c>
      <c r="E18213" s="3">
        <v>13</v>
      </c>
      <c r="F18213" s="3">
        <v>13</v>
      </c>
      <c r="G18213" t="s">
        <v>515</v>
      </c>
    </row>
    <row r="18214" spans="1:7" x14ac:dyDescent="0.25">
      <c r="A18214" s="1" t="str">
        <f>"528056"</f>
        <v>528056</v>
      </c>
      <c r="B18214" s="2" t="str">
        <f>"PLACA REDE TIBBO MICROPOINT/BIOPOINT DIMEP"</f>
        <v>PLACA REDE TIBBO MICROPOINT/BIOPOINT DIMEP</v>
      </c>
      <c r="C18214" s="2" t="str">
        <f t="shared" si="716"/>
        <v>UN</v>
      </c>
      <c r="D18214" s="7">
        <v>1500</v>
      </c>
      <c r="E18214" s="3">
        <v>13</v>
      </c>
      <c r="F18214" s="3">
        <v>13</v>
      </c>
      <c r="G18214" t="s">
        <v>512</v>
      </c>
    </row>
    <row r="18215" spans="1:7" x14ac:dyDescent="0.25">
      <c r="A18215" s="1" t="str">
        <f>"502118"</f>
        <v>502118</v>
      </c>
      <c r="B18215" s="2" t="str">
        <f>"PLACA REDUTOR CM2 RESFRIADOR ETSCHEID"</f>
        <v>PLACA REDUTOR CM2 RESFRIADOR ETSCHEID</v>
      </c>
      <c r="C18215" s="2" t="str">
        <f t="shared" si="716"/>
        <v>UN</v>
      </c>
      <c r="D18215" s="7">
        <v>900</v>
      </c>
      <c r="E18215" s="3">
        <v>11</v>
      </c>
      <c r="F18215" s="3">
        <v>11</v>
      </c>
      <c r="G18215" t="s">
        <v>516</v>
      </c>
    </row>
    <row r="18216" spans="1:7" x14ac:dyDescent="0.25">
      <c r="A18216" s="1" t="str">
        <f>"508966"</f>
        <v>508966</v>
      </c>
      <c r="B18216" s="2" t="str">
        <f>"PLACA REGULADORA RG"</f>
        <v>PLACA REGULADORA RG</v>
      </c>
      <c r="C18216" s="2" t="str">
        <f t="shared" si="716"/>
        <v>UN</v>
      </c>
      <c r="D18216" s="7">
        <v>918</v>
      </c>
      <c r="E18216" s="3">
        <v>11</v>
      </c>
      <c r="F18216" s="3">
        <v>11</v>
      </c>
      <c r="G18216" t="s">
        <v>515</v>
      </c>
    </row>
    <row r="18217" spans="1:7" x14ac:dyDescent="0.25">
      <c r="A18217" s="1" t="str">
        <f>"513389"</f>
        <v>513389</v>
      </c>
      <c r="B18217" s="2" t="str">
        <f>"PLACA RET. VALV. DESC. NH3 - CMO MK2"</f>
        <v>PLACA RET. VALV. DESC. NH3 - CMO MK2</v>
      </c>
      <c r="C18217" s="2" t="str">
        <f t="shared" si="716"/>
        <v>UN</v>
      </c>
      <c r="D18217" s="7">
        <v>811</v>
      </c>
      <c r="E18217" s="3">
        <v>8</v>
      </c>
      <c r="F18217" s="3">
        <v>8</v>
      </c>
      <c r="G18217" t="s">
        <v>514</v>
      </c>
    </row>
    <row r="18218" spans="1:7" x14ac:dyDescent="0.25">
      <c r="A18218" s="1" t="str">
        <f>"524816"</f>
        <v>524816</v>
      </c>
      <c r="B18218" s="2" t="str">
        <f>"PLACA RISCO DE AFOGAMENTO 25CM ALT X 30CM LARG"</f>
        <v>PLACA RISCO DE AFOGAMENTO 25CM ALT X 30CM LARG</v>
      </c>
      <c r="C18218" s="2" t="str">
        <f t="shared" si="716"/>
        <v>UN</v>
      </c>
      <c r="D18218" s="7">
        <v>501</v>
      </c>
      <c r="E18218" s="3">
        <v>4</v>
      </c>
      <c r="F18218" s="3">
        <v>4</v>
      </c>
      <c r="G18218" t="s">
        <v>512</v>
      </c>
    </row>
    <row r="18219" spans="1:7" x14ac:dyDescent="0.25">
      <c r="A18219" s="1" t="str">
        <f>"516302"</f>
        <v>516302</v>
      </c>
      <c r="B18219" s="2" t="str">
        <f>"PLACA S-37 J-06.016-11"</f>
        <v>PLACA S-37 J-06.016-11</v>
      </c>
      <c r="C18219" s="2" t="str">
        <f t="shared" si="716"/>
        <v>UN</v>
      </c>
      <c r="D18219" s="7">
        <v>915</v>
      </c>
      <c r="E18219" s="3">
        <v>11</v>
      </c>
      <c r="F18219" s="3">
        <v>11</v>
      </c>
      <c r="G18219" t="s">
        <v>513</v>
      </c>
    </row>
    <row r="18220" spans="1:7" x14ac:dyDescent="0.25">
      <c r="A18220" s="1" t="str">
        <f>"515916"</f>
        <v>515916</v>
      </c>
      <c r="B18220" s="2" t="str">
        <f>"PLACA S-37 RKSN-6 SERIE- J-06.006-03"</f>
        <v>PLACA S-37 RKSN-6 SERIE- J-06.006-03</v>
      </c>
      <c r="C18220" s="2" t="str">
        <f t="shared" si="716"/>
        <v>UN</v>
      </c>
      <c r="D18220" s="7">
        <v>812</v>
      </c>
      <c r="E18220" s="3">
        <v>11</v>
      </c>
      <c r="F18220" s="3">
        <v>11</v>
      </c>
      <c r="G18220" t="s">
        <v>514</v>
      </c>
    </row>
    <row r="18221" spans="1:7" x14ac:dyDescent="0.25">
      <c r="A18221" s="1" t="str">
        <f>"516363"</f>
        <v>516363</v>
      </c>
      <c r="B18221" s="2" t="str">
        <f>"PLACA S37 TK-F04 SLOCK 0,5 316 NITRIL HT"</f>
        <v>PLACA S37 TK-F04 SLOCK 0,5 316 NITRIL HT</v>
      </c>
      <c r="C18221" s="2" t="str">
        <f t="shared" si="716"/>
        <v>UN</v>
      </c>
      <c r="D18221" s="7">
        <v>812</v>
      </c>
      <c r="E18221" s="3">
        <v>11</v>
      </c>
      <c r="F18221" s="3">
        <v>11</v>
      </c>
      <c r="G18221" t="s">
        <v>514</v>
      </c>
    </row>
    <row r="18222" spans="1:7" x14ac:dyDescent="0.25">
      <c r="A18222" s="1" t="str">
        <f>"516362"</f>
        <v>516362</v>
      </c>
      <c r="B18222" s="2" t="str">
        <f>"PLACA S37 TK-F4 SLOCK 0,5 316 NITRIL HT"</f>
        <v>PLACA S37 TK-F4 SLOCK 0,5 316 NITRIL HT</v>
      </c>
      <c r="C18222" s="2" t="str">
        <f t="shared" si="716"/>
        <v>UN</v>
      </c>
      <c r="D18222" s="7">
        <v>812</v>
      </c>
      <c r="E18222" s="3">
        <v>11</v>
      </c>
      <c r="F18222" s="3">
        <v>11</v>
      </c>
      <c r="G18222" t="s">
        <v>512</v>
      </c>
    </row>
    <row r="18223" spans="1:7" x14ac:dyDescent="0.25">
      <c r="A18223" s="1" t="str">
        <f>"516364"</f>
        <v>516364</v>
      </c>
      <c r="B18223" s="2" t="str">
        <f>"PLACA S37 TL-F04 SLOCK 0,5 316 NITRIL HT"</f>
        <v>PLACA S37 TL-F04 SLOCK 0,5 316 NITRIL HT</v>
      </c>
      <c r="C18223" s="2" t="str">
        <f t="shared" si="716"/>
        <v>UN</v>
      </c>
      <c r="D18223" s="7">
        <v>812</v>
      </c>
      <c r="E18223" s="3">
        <v>11</v>
      </c>
      <c r="F18223" s="3">
        <v>11</v>
      </c>
      <c r="G18223" t="s">
        <v>513</v>
      </c>
    </row>
    <row r="18224" spans="1:7" x14ac:dyDescent="0.25">
      <c r="A18224" s="1" t="str">
        <f>"516361"</f>
        <v>516361</v>
      </c>
      <c r="B18224" s="2" t="str">
        <f>"PLACA S37 TL-F4 SLOCK 0,5 316 NITRIL HT"</f>
        <v>PLACA S37 TL-F4 SLOCK 0,5 316 NITRIL HT</v>
      </c>
      <c r="C18224" s="2" t="str">
        <f t="shared" si="716"/>
        <v>UN</v>
      </c>
      <c r="D18224" s="7">
        <v>812</v>
      </c>
      <c r="E18224" s="3">
        <v>11</v>
      </c>
      <c r="F18224" s="3">
        <v>11</v>
      </c>
      <c r="G18224" t="s">
        <v>514</v>
      </c>
    </row>
    <row r="18225" spans="1:7" x14ac:dyDescent="0.25">
      <c r="A18225" s="1" t="str">
        <f>"511818"</f>
        <v>511818</v>
      </c>
      <c r="B18225" s="2" t="str">
        <f>"PLACA SERIAL OTICA PABX"</f>
        <v>PLACA SERIAL OTICA PABX</v>
      </c>
      <c r="C18225" s="2" t="str">
        <f t="shared" si="716"/>
        <v>UN</v>
      </c>
      <c r="D18225" s="7">
        <v>601</v>
      </c>
      <c r="E18225" s="3">
        <v>8</v>
      </c>
      <c r="F18225" s="3">
        <v>8</v>
      </c>
      <c r="G18225" t="s">
        <v>514</v>
      </c>
    </row>
    <row r="18226" spans="1:7" x14ac:dyDescent="0.25">
      <c r="A18226" s="1" t="str">
        <f>"515923"</f>
        <v>515923</v>
      </c>
      <c r="B18226" s="2" t="str">
        <f>"PLACA SIMPLES ZM BRASIL"</f>
        <v>PLACA SIMPLES ZM BRASIL</v>
      </c>
      <c r="C18226" s="2" t="str">
        <f t="shared" si="716"/>
        <v>UN</v>
      </c>
      <c r="D18226" s="7">
        <v>99999</v>
      </c>
      <c r="E18226" s="3">
        <v>99</v>
      </c>
      <c r="F18226" s="3">
        <v>99</v>
      </c>
      <c r="G18226" t="s">
        <v>514</v>
      </c>
    </row>
    <row r="18227" spans="1:7" x14ac:dyDescent="0.25">
      <c r="A18227" s="1" t="str">
        <f>"510299"</f>
        <v>510299</v>
      </c>
      <c r="B18227" s="2" t="str">
        <f>"PLACA SINALIZACAO"</f>
        <v>PLACA SINALIZACAO</v>
      </c>
      <c r="C18227" s="2" t="str">
        <f t="shared" si="716"/>
        <v>UN</v>
      </c>
      <c r="D18227" s="7">
        <v>803</v>
      </c>
      <c r="E18227" s="3">
        <v>10</v>
      </c>
      <c r="F18227" s="3">
        <v>10</v>
      </c>
      <c r="G18227" t="s">
        <v>513</v>
      </c>
    </row>
    <row r="18228" spans="1:7" x14ac:dyDescent="0.25">
      <c r="A18228" s="1" t="str">
        <f>"524347"</f>
        <v>524347</v>
      </c>
      <c r="B18228" s="2" t="str">
        <f>"PLACA SINALIZAÇÃO A-1"</f>
        <v>PLACA SINALIZAÇÃO A-1</v>
      </c>
      <c r="C18228" s="2" t="str">
        <f t="shared" si="716"/>
        <v>UN</v>
      </c>
      <c r="D18228" s="7">
        <v>99999</v>
      </c>
      <c r="E18228" s="3">
        <v>99</v>
      </c>
      <c r="F18228" s="3">
        <v>99</v>
      </c>
      <c r="G18228" t="s">
        <v>512</v>
      </c>
    </row>
    <row r="18229" spans="1:7" x14ac:dyDescent="0.25">
      <c r="A18229" s="1" t="str">
        <f>"524348"</f>
        <v>524348</v>
      </c>
      <c r="B18229" s="2" t="str">
        <f>"PLACA SINALIZAÇÃO A-2"</f>
        <v>PLACA SINALIZAÇÃO A-2</v>
      </c>
      <c r="C18229" s="2" t="str">
        <f t="shared" si="716"/>
        <v>UN</v>
      </c>
      <c r="D18229" s="7">
        <v>99999</v>
      </c>
      <c r="E18229" s="3">
        <v>99</v>
      </c>
      <c r="F18229" s="3">
        <v>99</v>
      </c>
      <c r="G18229" t="s">
        <v>513</v>
      </c>
    </row>
    <row r="18230" spans="1:7" x14ac:dyDescent="0.25">
      <c r="A18230" s="1" t="str">
        <f>"526250"</f>
        <v>526250</v>
      </c>
      <c r="B18230" s="2" t="str">
        <f>"PLACA SINALIZAÇÃO A-7"</f>
        <v>PLACA SINALIZAÇÃO A-7</v>
      </c>
      <c r="C18230" s="2" t="str">
        <f t="shared" si="716"/>
        <v>UN</v>
      </c>
      <c r="D18230" s="7">
        <v>99999</v>
      </c>
      <c r="E18230" s="3">
        <v>99</v>
      </c>
      <c r="F18230" s="3">
        <v>99</v>
      </c>
      <c r="G18230" t="s">
        <v>514</v>
      </c>
    </row>
    <row r="18231" spans="1:7" x14ac:dyDescent="0.25">
      <c r="A18231" s="1" t="str">
        <f>"524342"</f>
        <v>524342</v>
      </c>
      <c r="B18231" s="2" t="str">
        <f>"PLACA SINALIZAÇÃO E-1"</f>
        <v>PLACA SINALIZAÇÃO E-1</v>
      </c>
      <c r="C18231" s="2" t="str">
        <f t="shared" si="716"/>
        <v>UN</v>
      </c>
      <c r="D18231" s="7">
        <v>99999</v>
      </c>
      <c r="E18231" s="3">
        <v>99</v>
      </c>
      <c r="F18231" s="3">
        <v>99</v>
      </c>
      <c r="G18231" t="s">
        <v>514</v>
      </c>
    </row>
    <row r="18232" spans="1:7" x14ac:dyDescent="0.25">
      <c r="A18232" s="1" t="str">
        <f>"524343"</f>
        <v>524343</v>
      </c>
      <c r="B18232" s="2" t="str">
        <f>"PLACA SINALIZAÇÃO E-2"</f>
        <v>PLACA SINALIZAÇÃO E-2</v>
      </c>
      <c r="C18232" s="2" t="str">
        <f t="shared" si="716"/>
        <v>UN</v>
      </c>
      <c r="D18232" s="7">
        <v>99999</v>
      </c>
      <c r="E18232" s="3">
        <v>99</v>
      </c>
      <c r="F18232" s="3">
        <v>99</v>
      </c>
      <c r="G18232" t="s">
        <v>514</v>
      </c>
    </row>
    <row r="18233" spans="1:7" x14ac:dyDescent="0.25">
      <c r="A18233" s="1" t="str">
        <f>"526251"</f>
        <v>526251</v>
      </c>
      <c r="B18233" s="2" t="str">
        <f>"PLACA SINALIZAÇÃO E-5"</f>
        <v>PLACA SINALIZAÇÃO E-5</v>
      </c>
      <c r="C18233" s="2" t="str">
        <f t="shared" si="716"/>
        <v>UN</v>
      </c>
      <c r="D18233" s="7">
        <v>99999</v>
      </c>
      <c r="E18233" s="3">
        <v>99</v>
      </c>
      <c r="F18233" s="3">
        <v>99</v>
      </c>
      <c r="G18233" t="s">
        <v>513</v>
      </c>
    </row>
    <row r="18234" spans="1:7" x14ac:dyDescent="0.25">
      <c r="A18234" s="1" t="str">
        <f>"524340"</f>
        <v>524340</v>
      </c>
      <c r="B18234" s="2" t="str">
        <f>"PLACA SINALIZAÇÃO E-8"</f>
        <v>PLACA SINALIZAÇÃO E-8</v>
      </c>
      <c r="C18234" s="2" t="str">
        <f t="shared" si="716"/>
        <v>UN</v>
      </c>
      <c r="D18234" s="7">
        <v>99999</v>
      </c>
      <c r="E18234" s="3">
        <v>99</v>
      </c>
      <c r="F18234" s="3">
        <v>99</v>
      </c>
      <c r="G18234" t="s">
        <v>513</v>
      </c>
    </row>
    <row r="18235" spans="1:7" x14ac:dyDescent="0.25">
      <c r="A18235" s="1" t="str">
        <f>"524346"</f>
        <v>524346</v>
      </c>
      <c r="B18235" s="2" t="str">
        <f>"PLACA SINALIZAÇÃO P-1"</f>
        <v>PLACA SINALIZAÇÃO P-1</v>
      </c>
      <c r="C18235" s="2" t="str">
        <f t="shared" si="716"/>
        <v>UN</v>
      </c>
      <c r="D18235" s="7">
        <v>99999</v>
      </c>
      <c r="E18235" s="3">
        <v>99</v>
      </c>
      <c r="F18235" s="3">
        <v>99</v>
      </c>
      <c r="G18235" t="s">
        <v>513</v>
      </c>
    </row>
    <row r="18236" spans="1:7" x14ac:dyDescent="0.25">
      <c r="A18236" s="1" t="str">
        <f>"524341"</f>
        <v>524341</v>
      </c>
      <c r="B18236" s="2" t="str">
        <f>"PLACA SINALIZAÇÃO S-12"</f>
        <v>PLACA SINALIZAÇÃO S-12</v>
      </c>
      <c r="C18236" s="2" t="str">
        <f t="shared" si="716"/>
        <v>UN</v>
      </c>
      <c r="D18236" s="7">
        <v>99999</v>
      </c>
      <c r="E18236" s="3">
        <v>99</v>
      </c>
      <c r="F18236" s="3">
        <v>99</v>
      </c>
      <c r="G18236" t="s">
        <v>512</v>
      </c>
    </row>
    <row r="18237" spans="1:7" x14ac:dyDescent="0.25">
      <c r="A18237" s="1" t="str">
        <f>"524345"</f>
        <v>524345</v>
      </c>
      <c r="B18237" s="2" t="str">
        <f>"PLACA SINALIZAÇÃO S-2"</f>
        <v>PLACA SINALIZAÇÃO S-2</v>
      </c>
      <c r="C18237" s="2" t="str">
        <f t="shared" si="716"/>
        <v>UN</v>
      </c>
      <c r="D18237" s="7">
        <v>99999</v>
      </c>
      <c r="E18237" s="3">
        <v>99</v>
      </c>
      <c r="F18237" s="3">
        <v>99</v>
      </c>
      <c r="G18237" t="s">
        <v>513</v>
      </c>
    </row>
    <row r="18238" spans="1:7" x14ac:dyDescent="0.25">
      <c r="A18238" s="1" t="str">
        <f>"524344"</f>
        <v>524344</v>
      </c>
      <c r="B18238" s="2" t="str">
        <f>"PLACA SINALIZAÇÃO S-3"</f>
        <v>PLACA SINALIZAÇÃO S-3</v>
      </c>
      <c r="C18238" s="2" t="str">
        <f t="shared" si="716"/>
        <v>UN</v>
      </c>
      <c r="D18238" s="7">
        <v>99999</v>
      </c>
      <c r="E18238" s="3">
        <v>99</v>
      </c>
      <c r="F18238" s="3">
        <v>99</v>
      </c>
      <c r="G18238" t="s">
        <v>514</v>
      </c>
    </row>
    <row r="18239" spans="1:7" x14ac:dyDescent="0.25">
      <c r="A18239" s="1" t="str">
        <f>"508521"</f>
        <v>508521</v>
      </c>
      <c r="B18239" s="2" t="str">
        <f>"PLACA SINALIZADORA 05X25CM"</f>
        <v>PLACA SINALIZADORA 05X25CM</v>
      </c>
      <c r="C18239" s="2" t="str">
        <f t="shared" si="716"/>
        <v>UN</v>
      </c>
      <c r="D18239" s="7">
        <v>917</v>
      </c>
      <c r="E18239" s="3">
        <v>4</v>
      </c>
      <c r="F18239" s="3">
        <v>4</v>
      </c>
      <c r="G18239" t="s">
        <v>515</v>
      </c>
    </row>
    <row r="18240" spans="1:7" x14ac:dyDescent="0.25">
      <c r="A18240" s="1" t="str">
        <f>"511225"</f>
        <v>511225</v>
      </c>
      <c r="B18240" s="2" t="str">
        <f>"PLACA SINALIZADORA 13X30CM"</f>
        <v>PLACA SINALIZADORA 13X30CM</v>
      </c>
      <c r="C18240" s="2" t="str">
        <f>"PC"</f>
        <v>PC</v>
      </c>
      <c r="D18240" s="7">
        <v>402</v>
      </c>
      <c r="E18240" s="3">
        <v>4</v>
      </c>
      <c r="F18240" s="3">
        <v>4</v>
      </c>
      <c r="G18240" t="s">
        <v>512</v>
      </c>
    </row>
    <row r="18241" spans="1:7" x14ac:dyDescent="0.25">
      <c r="A18241" s="1" t="str">
        <f>"511226"</f>
        <v>511226</v>
      </c>
      <c r="B18241" s="2" t="str">
        <f>"PLACA SINALIZADORA 15X20CM"</f>
        <v>PLACA SINALIZADORA 15X20CM</v>
      </c>
      <c r="C18241" s="2" t="str">
        <f t="shared" ref="C18241:C18252" si="717">"UN"</f>
        <v>UN</v>
      </c>
      <c r="D18241" s="7">
        <v>402</v>
      </c>
      <c r="E18241" s="3">
        <v>4</v>
      </c>
      <c r="F18241" s="3">
        <v>4</v>
      </c>
      <c r="G18241" t="s">
        <v>516</v>
      </c>
    </row>
    <row r="18242" spans="1:7" x14ac:dyDescent="0.25">
      <c r="A18242" s="1" t="str">
        <f>"510760"</f>
        <v>510760</v>
      </c>
      <c r="B18242" s="2" t="str">
        <f>"PLACA SINALIZADORA 20X30CM"</f>
        <v>PLACA SINALIZADORA 20X30CM</v>
      </c>
      <c r="C18242" s="2" t="str">
        <f t="shared" si="717"/>
        <v>UN</v>
      </c>
      <c r="D18242" s="7">
        <v>402</v>
      </c>
      <c r="E18242" s="3">
        <v>4</v>
      </c>
      <c r="F18242" s="3">
        <v>4</v>
      </c>
      <c r="G18242" t="s">
        <v>515</v>
      </c>
    </row>
    <row r="18243" spans="1:7" x14ac:dyDescent="0.25">
      <c r="A18243" s="1" t="str">
        <f>"523684"</f>
        <v>523684</v>
      </c>
      <c r="B18243" s="2" t="str">
        <f>"PLACA SINALIZADORA 40X60CM"</f>
        <v>PLACA SINALIZADORA 40X60CM</v>
      </c>
      <c r="C18243" s="2" t="str">
        <f t="shared" si="717"/>
        <v>UN</v>
      </c>
      <c r="D18243" s="7">
        <v>99999</v>
      </c>
      <c r="E18243" s="3">
        <v>99</v>
      </c>
      <c r="F18243" s="3">
        <v>99</v>
      </c>
      <c r="G18243" t="s">
        <v>514</v>
      </c>
    </row>
    <row r="18244" spans="1:7" x14ac:dyDescent="0.25">
      <c r="A18244" s="1" t="str">
        <f>"520675"</f>
        <v>520675</v>
      </c>
      <c r="B18244" s="2" t="str">
        <f>"PLACA SINALIZADORA 88X88CM GM"</f>
        <v>PLACA SINALIZADORA 88X88CM GM</v>
      </c>
      <c r="C18244" s="2" t="str">
        <f t="shared" si="717"/>
        <v>UN</v>
      </c>
      <c r="D18244" s="7">
        <v>402</v>
      </c>
      <c r="E18244" s="3">
        <v>4</v>
      </c>
      <c r="F18244" s="3">
        <v>4</v>
      </c>
      <c r="G18244" t="s">
        <v>512</v>
      </c>
    </row>
    <row r="18245" spans="1:7" x14ac:dyDescent="0.25">
      <c r="A18245" s="1" t="str">
        <f>"523575"</f>
        <v>523575</v>
      </c>
      <c r="B18245" s="2" t="str">
        <f>"PLACA SINALIZADORA BOIA EMERGENCIA 25X30CM"</f>
        <v>PLACA SINALIZADORA BOIA EMERGENCIA 25X30CM</v>
      </c>
      <c r="C18245" s="2" t="str">
        <f t="shared" si="717"/>
        <v>UN</v>
      </c>
      <c r="D18245" s="7">
        <v>402</v>
      </c>
      <c r="E18245" s="3">
        <v>4</v>
      </c>
      <c r="F18245" s="3">
        <v>4</v>
      </c>
      <c r="G18245" t="s">
        <v>513</v>
      </c>
    </row>
    <row r="18246" spans="1:7" x14ac:dyDescent="0.25">
      <c r="A18246" s="1" t="str">
        <f>"525032"</f>
        <v>525032</v>
      </c>
      <c r="B18246" s="8" t="s">
        <v>432</v>
      </c>
      <c r="C18246" s="2" t="str">
        <f t="shared" si="717"/>
        <v>UN</v>
      </c>
      <c r="D18246" s="7">
        <v>402</v>
      </c>
      <c r="E18246" s="3">
        <v>4</v>
      </c>
      <c r="F18246" s="3">
        <v>4</v>
      </c>
      <c r="G18246" t="s">
        <v>514</v>
      </c>
    </row>
    <row r="18247" spans="1:7" x14ac:dyDescent="0.25">
      <c r="A18247" s="1" t="str">
        <f>"525033"</f>
        <v>525033</v>
      </c>
      <c r="B18247" s="8" t="s">
        <v>433</v>
      </c>
      <c r="C18247" s="2" t="str">
        <f t="shared" si="717"/>
        <v>UN</v>
      </c>
      <c r="D18247" s="7">
        <v>402</v>
      </c>
      <c r="E18247" s="3">
        <v>4</v>
      </c>
      <c r="F18247" s="3">
        <v>4</v>
      </c>
      <c r="G18247" t="s">
        <v>514</v>
      </c>
    </row>
    <row r="18248" spans="1:7" x14ac:dyDescent="0.25">
      <c r="A18248" s="1" t="str">
        <f>"525034"</f>
        <v>525034</v>
      </c>
      <c r="B18248" s="8" t="s">
        <v>434</v>
      </c>
      <c r="C18248" s="2" t="str">
        <f t="shared" si="717"/>
        <v>UN</v>
      </c>
      <c r="D18248" s="7">
        <v>402</v>
      </c>
      <c r="E18248" s="3">
        <v>4</v>
      </c>
      <c r="F18248" s="3">
        <v>4</v>
      </c>
      <c r="G18248" t="s">
        <v>512</v>
      </c>
    </row>
    <row r="18249" spans="1:7" x14ac:dyDescent="0.25">
      <c r="A18249" s="1" t="str">
        <f>"525035"</f>
        <v>525035</v>
      </c>
      <c r="B18249" s="2" t="str">
        <f>"PLACA SINALIZADORA TANQUE DE EQUALIZAÇÃO 50CM LARG.30CM ALT."</f>
        <v>PLACA SINALIZADORA TANQUE DE EQUALIZAÇÃO 50CM LARG.30CM ALT.</v>
      </c>
      <c r="C18249" s="2" t="str">
        <f t="shared" si="717"/>
        <v>UN</v>
      </c>
      <c r="D18249" s="7">
        <v>402</v>
      </c>
      <c r="E18249" s="3">
        <v>4</v>
      </c>
      <c r="F18249" s="3">
        <v>4</v>
      </c>
      <c r="G18249" t="s">
        <v>513</v>
      </c>
    </row>
    <row r="18250" spans="1:7" x14ac:dyDescent="0.25">
      <c r="A18250" s="1" t="str">
        <f>"510483"</f>
        <v>510483</v>
      </c>
      <c r="B18250" s="2" t="str">
        <f>"PLACA SOLDADORA 75MM"</f>
        <v>PLACA SOLDADORA 75MM</v>
      </c>
      <c r="C18250" s="2" t="str">
        <f t="shared" si="717"/>
        <v>UN</v>
      </c>
      <c r="D18250" s="7">
        <v>918</v>
      </c>
      <c r="E18250" s="3">
        <v>11</v>
      </c>
      <c r="F18250" s="3">
        <v>11</v>
      </c>
      <c r="G18250" t="s">
        <v>514</v>
      </c>
    </row>
    <row r="18251" spans="1:7" x14ac:dyDescent="0.25">
      <c r="A18251" s="1" t="str">
        <f>"503292"</f>
        <v>503292</v>
      </c>
      <c r="B18251" s="2" t="str">
        <f>"PLACA SOLDADORA P/ EMB 68MM COD.19902303"</f>
        <v>PLACA SOLDADORA P/ EMB 68MM COD.19902303</v>
      </c>
      <c r="C18251" s="2" t="str">
        <f t="shared" si="717"/>
        <v>UN</v>
      </c>
      <c r="D18251" s="7">
        <v>918</v>
      </c>
      <c r="E18251" s="3">
        <v>11</v>
      </c>
      <c r="F18251" s="3">
        <v>11</v>
      </c>
      <c r="G18251" t="s">
        <v>514</v>
      </c>
    </row>
    <row r="18252" spans="1:7" x14ac:dyDescent="0.25">
      <c r="A18252" s="1" t="str">
        <f>"512511"</f>
        <v>512511</v>
      </c>
      <c r="B18252" s="2" t="str">
        <f>"PLACA SUCCAO NH3 - 100MK 1/2/3/4"</f>
        <v>PLACA SUCCAO NH3 - 100MK 1/2/3/4</v>
      </c>
      <c r="C18252" s="2" t="str">
        <f t="shared" si="717"/>
        <v>UN</v>
      </c>
      <c r="D18252" s="7">
        <v>918</v>
      </c>
      <c r="E18252" s="3">
        <v>11</v>
      </c>
      <c r="F18252" s="3">
        <v>11</v>
      </c>
      <c r="G18252" t="s">
        <v>514</v>
      </c>
    </row>
    <row r="18253" spans="1:7" x14ac:dyDescent="0.25">
      <c r="A18253" s="1" t="str">
        <f>"512292"</f>
        <v>512292</v>
      </c>
      <c r="B18253" s="2" t="str">
        <f>"PLACA SUPORTE PISTAO FORMAGEM"</f>
        <v>PLACA SUPORTE PISTAO FORMAGEM</v>
      </c>
      <c r="C18253" s="2" t="str">
        <f>"PC"</f>
        <v>PC</v>
      </c>
      <c r="D18253" s="7">
        <v>918</v>
      </c>
      <c r="E18253" s="3">
        <v>11</v>
      </c>
      <c r="F18253" s="3">
        <v>11</v>
      </c>
      <c r="G18253" t="s">
        <v>513</v>
      </c>
    </row>
    <row r="18254" spans="1:7" x14ac:dyDescent="0.25">
      <c r="A18254" s="1" t="str">
        <f>"512293"</f>
        <v>512293</v>
      </c>
      <c r="B18254" s="2" t="str">
        <f>"PLACA SUPORTE PUNÇAO FORMAGEM"</f>
        <v>PLACA SUPORTE PUNÇAO FORMAGEM</v>
      </c>
      <c r="C18254" s="2" t="str">
        <f>"PC"</f>
        <v>PC</v>
      </c>
      <c r="D18254" s="7">
        <v>918</v>
      </c>
      <c r="E18254" s="3">
        <v>11</v>
      </c>
      <c r="F18254" s="3">
        <v>11</v>
      </c>
      <c r="G18254" t="s">
        <v>512</v>
      </c>
    </row>
    <row r="18255" spans="1:7" x14ac:dyDescent="0.25">
      <c r="A18255" s="1" t="str">
        <f>"509933"</f>
        <v>509933</v>
      </c>
      <c r="B18255" s="2" t="str">
        <f>"PLACA TAM. 0,98X0,47MT"</f>
        <v>PLACA TAM. 0,98X0,47MT</v>
      </c>
      <c r="C18255" s="2" t="str">
        <f t="shared" ref="C18255:C18287" si="718">"UN"</f>
        <v>UN</v>
      </c>
      <c r="D18255" s="7">
        <v>402</v>
      </c>
      <c r="E18255" s="3">
        <v>4</v>
      </c>
      <c r="F18255" s="3">
        <v>4</v>
      </c>
      <c r="G18255" t="s">
        <v>513</v>
      </c>
    </row>
    <row r="18256" spans="1:7" x14ac:dyDescent="0.25">
      <c r="A18256" s="1" t="str">
        <f>"503274"</f>
        <v>503274</v>
      </c>
      <c r="B18256" s="2" t="str">
        <f>"PLACA TERMOSTATO D30M ETSHEID"</f>
        <v>PLACA TERMOSTATO D30M ETSHEID</v>
      </c>
      <c r="C18256" s="2" t="str">
        <f t="shared" si="718"/>
        <v>UN</v>
      </c>
      <c r="D18256" s="7">
        <v>900</v>
      </c>
      <c r="E18256" s="3">
        <v>11</v>
      </c>
      <c r="F18256" s="3">
        <v>11</v>
      </c>
      <c r="G18256" t="s">
        <v>514</v>
      </c>
    </row>
    <row r="18257" spans="1:7" x14ac:dyDescent="0.25">
      <c r="A18257" s="1" t="str">
        <f>"520512"</f>
        <v>520512</v>
      </c>
      <c r="B18257" s="2" t="str">
        <f>"PLACA TESNET 911-S-01-00-17/0 TES+_V3 BOARD"</f>
        <v>PLACA TESNET 911-S-01-00-17/0 TES+_V3 BOARD</v>
      </c>
      <c r="C18257" s="2" t="str">
        <f t="shared" si="718"/>
        <v>UN</v>
      </c>
      <c r="D18257" s="7">
        <v>600</v>
      </c>
      <c r="E18257" s="3">
        <v>8</v>
      </c>
      <c r="F18257" s="3">
        <v>8</v>
      </c>
      <c r="G18257" t="s">
        <v>514</v>
      </c>
    </row>
    <row r="18258" spans="1:7" x14ac:dyDescent="0.25">
      <c r="A18258" s="1" t="str">
        <f>"505528"</f>
        <v>505528</v>
      </c>
      <c r="B18258" s="2" t="str">
        <f>"PLACA TRASEIRA FECHAMENTO P/ MAQ PAC-1"</f>
        <v>PLACA TRASEIRA FECHAMENTO P/ MAQ PAC-1</v>
      </c>
      <c r="C18258" s="2" t="str">
        <f t="shared" si="718"/>
        <v>UN</v>
      </c>
      <c r="D18258" s="7">
        <v>900</v>
      </c>
      <c r="E18258" s="3">
        <v>11</v>
      </c>
      <c r="F18258" s="3">
        <v>11</v>
      </c>
      <c r="G18258" t="s">
        <v>514</v>
      </c>
    </row>
    <row r="18259" spans="1:7" x14ac:dyDescent="0.25">
      <c r="A18259" s="1" t="str">
        <f>"518205"</f>
        <v>518205</v>
      </c>
      <c r="B18259" s="2" t="str">
        <f>"PLACA TROCADOR DE CALOR 1234 FUROS"</f>
        <v>PLACA TROCADOR DE CALOR 1234 FUROS</v>
      </c>
      <c r="C18259" s="2" t="str">
        <f t="shared" si="718"/>
        <v>UN</v>
      </c>
      <c r="D18259" s="7">
        <v>915</v>
      </c>
      <c r="E18259" s="3">
        <v>11</v>
      </c>
      <c r="F18259" s="3">
        <v>11</v>
      </c>
      <c r="G18259" t="s">
        <v>513</v>
      </c>
    </row>
    <row r="18260" spans="1:7" x14ac:dyDescent="0.25">
      <c r="A18260" s="1" t="str">
        <f>"513667"</f>
        <v>513667</v>
      </c>
      <c r="B18260" s="2" t="str">
        <f>"PLACA TRONCO ANALOGICO IMPACTA 68/40/16 2 TR INTELBRAS"</f>
        <v>PLACA TRONCO ANALOGICO IMPACTA 68/40/16 2 TR INTELBRAS</v>
      </c>
      <c r="C18260" s="2" t="str">
        <f t="shared" si="718"/>
        <v>UN</v>
      </c>
      <c r="D18260" s="7">
        <v>811</v>
      </c>
      <c r="E18260" s="3">
        <v>8</v>
      </c>
      <c r="F18260" s="3">
        <v>8</v>
      </c>
      <c r="G18260" t="s">
        <v>513</v>
      </c>
    </row>
    <row r="18261" spans="1:7" x14ac:dyDescent="0.25">
      <c r="A18261" s="1" t="str">
        <f>"514651"</f>
        <v>514651</v>
      </c>
      <c r="B18261" s="2" t="str">
        <f>"PLACA TRONCO MODULARE"</f>
        <v>PLACA TRONCO MODULARE</v>
      </c>
      <c r="C18261" s="2" t="str">
        <f t="shared" si="718"/>
        <v>UN</v>
      </c>
      <c r="D18261" s="7">
        <v>601</v>
      </c>
      <c r="E18261" s="3">
        <v>8</v>
      </c>
      <c r="F18261" s="3">
        <v>8</v>
      </c>
      <c r="G18261" t="s">
        <v>513</v>
      </c>
    </row>
    <row r="18262" spans="1:7" x14ac:dyDescent="0.25">
      <c r="A18262" s="1" t="str">
        <f>"528004"</f>
        <v>528004</v>
      </c>
      <c r="B18262" s="2" t="str">
        <f>"PLACA UNIVERSAL EOS-U10A C/ CONTROLE 220V SPLIT PISO TETO"</f>
        <v>PLACA UNIVERSAL EOS-U10A C/ CONTROLE 220V SPLIT PISO TETO</v>
      </c>
      <c r="C18262" s="2" t="str">
        <f t="shared" si="718"/>
        <v>UN</v>
      </c>
      <c r="D18262" s="7">
        <v>900</v>
      </c>
      <c r="E18262" s="3">
        <v>11</v>
      </c>
      <c r="F18262" s="3">
        <v>11</v>
      </c>
      <c r="G18262" t="s">
        <v>512</v>
      </c>
    </row>
    <row r="18263" spans="1:7" x14ac:dyDescent="0.25">
      <c r="A18263" s="1" t="str">
        <f>"524817"</f>
        <v>524817</v>
      </c>
      <c r="B18263" s="2" t="str">
        <f>"PLACA USO OBRIGATORIO DE COLETE SALVA-VIDAS 25CM ALT X 30CM"</f>
        <v>PLACA USO OBRIGATORIO DE COLETE SALVA-VIDAS 25CM ALT X 30CM</v>
      </c>
      <c r="C18263" s="2" t="str">
        <f t="shared" si="718"/>
        <v>UN</v>
      </c>
      <c r="D18263" s="7">
        <v>501</v>
      </c>
      <c r="E18263" s="3">
        <v>4</v>
      </c>
      <c r="F18263" s="3">
        <v>4</v>
      </c>
      <c r="G18263" t="s">
        <v>513</v>
      </c>
    </row>
    <row r="18264" spans="1:7" x14ac:dyDescent="0.25">
      <c r="A18264" s="1" t="str">
        <f>"514703"</f>
        <v>514703</v>
      </c>
      <c r="B18264" s="2" t="str">
        <f>"PLACA VAZADA ESTRIBO"</f>
        <v>PLACA VAZADA ESTRIBO</v>
      </c>
      <c r="C18264" s="2" t="str">
        <f t="shared" si="718"/>
        <v>UN</v>
      </c>
      <c r="D18264" s="7">
        <v>704</v>
      </c>
      <c r="E18264" s="3">
        <v>9</v>
      </c>
      <c r="F18264" s="3">
        <v>9</v>
      </c>
      <c r="G18264" t="s">
        <v>514</v>
      </c>
    </row>
    <row r="18265" spans="1:7" x14ac:dyDescent="0.25">
      <c r="A18265" s="1" t="str">
        <f>"524825"</f>
        <v>524825</v>
      </c>
      <c r="B18265" s="2" t="str">
        <f>"PLACA VEÍCULO DE EMERGÊNCIA"</f>
        <v>PLACA VEÍCULO DE EMERGÊNCIA</v>
      </c>
      <c r="C18265" s="2" t="str">
        <f t="shared" si="718"/>
        <v>UN</v>
      </c>
      <c r="D18265" s="7">
        <v>501</v>
      </c>
      <c r="E18265" s="3">
        <v>4</v>
      </c>
      <c r="F18265" s="3">
        <v>4</v>
      </c>
      <c r="G18265" t="s">
        <v>515</v>
      </c>
    </row>
    <row r="18266" spans="1:7" x14ac:dyDescent="0.25">
      <c r="A18266" s="1" t="str">
        <f>"503823"</f>
        <v>503823</v>
      </c>
      <c r="B18266" s="2" t="str">
        <f>"PLACA VT20 H 0,5 14401 L-NBR-HT 1234"</f>
        <v>PLACA VT20 H 0,5 14401 L-NBR-HT 1234</v>
      </c>
      <c r="C18266" s="2" t="str">
        <f t="shared" si="718"/>
        <v>UN</v>
      </c>
      <c r="D18266" s="7">
        <v>915</v>
      </c>
      <c r="E18266" s="3">
        <v>11</v>
      </c>
      <c r="F18266" s="3">
        <v>11</v>
      </c>
      <c r="G18266" t="s">
        <v>512</v>
      </c>
    </row>
    <row r="18267" spans="1:7" x14ac:dyDescent="0.25">
      <c r="A18267" s="1" t="str">
        <f>"503824"</f>
        <v>503824</v>
      </c>
      <c r="B18267" s="2" t="str">
        <f>"PLACA VT20 H 0,6 14401 L-NBR-HT 0"</f>
        <v>PLACA VT20 H 0,6 14401 L-NBR-HT 0</v>
      </c>
      <c r="C18267" s="2" t="str">
        <f t="shared" si="718"/>
        <v>UN</v>
      </c>
      <c r="D18267" s="7">
        <v>915</v>
      </c>
      <c r="E18267" s="3">
        <v>11</v>
      </c>
      <c r="F18267" s="3">
        <v>11</v>
      </c>
      <c r="G18267" t="s">
        <v>516</v>
      </c>
    </row>
    <row r="18268" spans="1:7" x14ac:dyDescent="0.25">
      <c r="A18268" s="1" t="str">
        <f>"517826"</f>
        <v>517826</v>
      </c>
      <c r="B18268" s="2" t="str">
        <f>"PLACA VT20 V 0,5 14401 L-EPDM 1234"</f>
        <v>PLACA VT20 V 0,5 14401 L-EPDM 1234</v>
      </c>
      <c r="C18268" s="2" t="str">
        <f t="shared" si="718"/>
        <v>UN</v>
      </c>
      <c r="D18268" s="7">
        <v>915</v>
      </c>
      <c r="E18268" s="3">
        <v>11</v>
      </c>
      <c r="F18268" s="3">
        <v>11</v>
      </c>
      <c r="G18268" t="s">
        <v>515</v>
      </c>
    </row>
    <row r="18269" spans="1:7" x14ac:dyDescent="0.25">
      <c r="A18269" s="1" t="str">
        <f>"517827"</f>
        <v>517827</v>
      </c>
      <c r="B18269" s="2" t="str">
        <f>"PLACA VT20 V 0,6 14401 L-NBR-HT 0"</f>
        <v>PLACA VT20 V 0,6 14401 L-NBR-HT 0</v>
      </c>
      <c r="C18269" s="2" t="str">
        <f t="shared" si="718"/>
        <v>UN</v>
      </c>
      <c r="D18269" s="7">
        <v>915</v>
      </c>
      <c r="E18269" s="3">
        <v>11</v>
      </c>
      <c r="F18269" s="3">
        <v>11</v>
      </c>
      <c r="G18269" t="s">
        <v>514</v>
      </c>
    </row>
    <row r="18270" spans="1:7" x14ac:dyDescent="0.25">
      <c r="A18270" s="1" t="str">
        <f>"516312"</f>
        <v>516312</v>
      </c>
      <c r="B18270" s="2" t="str">
        <f>"PLACAPASTEURIZADOR INOX S-38"</f>
        <v>PLACAPASTEURIZADOR INOX S-38</v>
      </c>
      <c r="C18270" s="2" t="str">
        <f t="shared" si="718"/>
        <v>UN</v>
      </c>
      <c r="D18270" s="7">
        <v>915</v>
      </c>
      <c r="E18270" s="3">
        <v>11</v>
      </c>
      <c r="F18270" s="3">
        <v>11</v>
      </c>
      <c r="G18270" t="s">
        <v>512</v>
      </c>
    </row>
    <row r="18271" spans="1:7" x14ac:dyDescent="0.25">
      <c r="A18271" s="1" t="str">
        <f>"514405"</f>
        <v>514405</v>
      </c>
      <c r="B18271" s="2" t="str">
        <f>"PLAFON GIRASSOL"</f>
        <v>PLAFON GIRASSOL</v>
      </c>
      <c r="C18271" s="2" t="str">
        <f t="shared" si="718"/>
        <v>UN</v>
      </c>
      <c r="D18271" s="7">
        <v>803</v>
      </c>
      <c r="E18271" s="3">
        <v>4</v>
      </c>
      <c r="F18271" s="3">
        <v>4</v>
      </c>
      <c r="G18271" t="s">
        <v>513</v>
      </c>
    </row>
    <row r="18272" spans="1:7" x14ac:dyDescent="0.25">
      <c r="A18272" s="1" t="str">
        <f>"518994"</f>
        <v>518994</v>
      </c>
      <c r="B18272" s="2" t="str">
        <f>"PLANO ATUAL. LICENÇA FIRWALL SOFTWARE INTEGR. 1 ANO"</f>
        <v>PLANO ATUAL. LICENÇA FIRWALL SOFTWARE INTEGR. 1 ANO</v>
      </c>
      <c r="C18272" s="2" t="str">
        <f t="shared" si="718"/>
        <v>UN</v>
      </c>
      <c r="D18272" s="7">
        <v>99999</v>
      </c>
      <c r="E18272" s="3">
        <v>99</v>
      </c>
      <c r="F18272" s="3">
        <v>99</v>
      </c>
      <c r="G18272" t="s">
        <v>514</v>
      </c>
    </row>
    <row r="18273" spans="1:7" x14ac:dyDescent="0.25">
      <c r="A18273" s="1" t="str">
        <f>"521729"</f>
        <v>521729</v>
      </c>
      <c r="B18273" s="2" t="str">
        <f>"PLANO DE SUPORTE E REVISÃO FOOSCARE-FT2"</f>
        <v>PLANO DE SUPORTE E REVISÃO FOOSCARE-FT2</v>
      </c>
      <c r="C18273" s="2" t="str">
        <f t="shared" si="718"/>
        <v>UN</v>
      </c>
      <c r="D18273" s="7">
        <v>1300</v>
      </c>
      <c r="E18273" s="3">
        <v>13</v>
      </c>
      <c r="F18273" s="3">
        <v>13</v>
      </c>
      <c r="G18273" t="s">
        <v>514</v>
      </c>
    </row>
    <row r="18274" spans="1:7" x14ac:dyDescent="0.25">
      <c r="A18274" s="1" t="str">
        <f>"514630"</f>
        <v>514630</v>
      </c>
      <c r="B18274" s="2" t="str">
        <f>"PLANTA LOGISTICA QUADRO LAMINADO"</f>
        <v>PLANTA LOGISTICA QUADRO LAMINADO</v>
      </c>
      <c r="C18274" s="2" t="str">
        <f t="shared" si="718"/>
        <v>UN</v>
      </c>
      <c r="D18274" s="7">
        <v>401</v>
      </c>
      <c r="E18274" s="3">
        <v>4</v>
      </c>
      <c r="F18274" s="3">
        <v>4</v>
      </c>
      <c r="G18274" t="s">
        <v>512</v>
      </c>
    </row>
    <row r="18275" spans="1:7" x14ac:dyDescent="0.25">
      <c r="A18275" s="1" t="str">
        <f>"509905"</f>
        <v>509905</v>
      </c>
      <c r="B18275" s="2" t="str">
        <f>"PLANTAS ORNAMENTAIS"</f>
        <v>PLANTAS ORNAMENTAIS</v>
      </c>
      <c r="C18275" s="2" t="str">
        <f t="shared" si="718"/>
        <v>UN</v>
      </c>
      <c r="D18275" s="7">
        <v>401</v>
      </c>
      <c r="E18275" s="3">
        <v>4</v>
      </c>
      <c r="F18275" s="3">
        <v>4</v>
      </c>
      <c r="G18275" t="s">
        <v>513</v>
      </c>
    </row>
    <row r="18276" spans="1:7" x14ac:dyDescent="0.25">
      <c r="A18276" s="1" t="str">
        <f>"525128"</f>
        <v>525128</v>
      </c>
      <c r="B18276" s="2" t="str">
        <f>"PLAQUETA D E SINALIZAÇÃO NR-10 (CHOQUE ELETRICO)"</f>
        <v>PLAQUETA D E SINALIZAÇÃO NR-10 (CHOQUE ELETRICO)</v>
      </c>
      <c r="C18276" s="2" t="str">
        <f t="shared" si="718"/>
        <v>UN</v>
      </c>
      <c r="D18276" s="7">
        <v>99999</v>
      </c>
      <c r="E18276" s="3">
        <v>99</v>
      </c>
      <c r="F18276" s="3">
        <v>99</v>
      </c>
      <c r="G18276" t="s">
        <v>514</v>
      </c>
    </row>
    <row r="18277" spans="1:7" x14ac:dyDescent="0.25">
      <c r="A18277" s="1" t="str">
        <f>"525163"</f>
        <v>525163</v>
      </c>
      <c r="B18277" s="2" t="str">
        <f>"PLAQUETA D E SINALIZAÇÃO NR-10 (RISCO ARCO ELETRICO)"</f>
        <v>PLAQUETA D E SINALIZAÇÃO NR-10 (RISCO ARCO ELETRICO)</v>
      </c>
      <c r="C18277" s="2" t="str">
        <f t="shared" si="718"/>
        <v>UN</v>
      </c>
      <c r="D18277" s="7">
        <v>99999</v>
      </c>
      <c r="E18277" s="3">
        <v>99</v>
      </c>
      <c r="F18277" s="3">
        <v>99</v>
      </c>
      <c r="G18277" t="s">
        <v>514</v>
      </c>
    </row>
    <row r="18278" spans="1:7" x14ac:dyDescent="0.25">
      <c r="A18278" s="1" t="str">
        <f>"525129"</f>
        <v>525129</v>
      </c>
      <c r="B18278" s="2" t="str">
        <f>"PLAQUETA D E SINALIZAÇÃO NR-10 (SOMENTE PESSOAS AUTORIZADAS)"</f>
        <v>PLAQUETA D E SINALIZAÇÃO NR-10 (SOMENTE PESSOAS AUTORIZADAS)</v>
      </c>
      <c r="C18278" s="2" t="str">
        <f t="shared" si="718"/>
        <v>UN</v>
      </c>
      <c r="D18278" s="7">
        <v>99999</v>
      </c>
      <c r="E18278" s="3">
        <v>99</v>
      </c>
      <c r="F18278" s="3">
        <v>99</v>
      </c>
      <c r="G18278" t="s">
        <v>514</v>
      </c>
    </row>
    <row r="18279" spans="1:7" x14ac:dyDescent="0.25">
      <c r="A18279" s="1" t="str">
        <f>"519622"</f>
        <v>519622</v>
      </c>
      <c r="B18279" s="2" t="str">
        <f>"PLAQUETA DE INDENTIFICAÇAO 25X18 3SB6900-0HB"</f>
        <v>PLAQUETA DE INDENTIFICAÇAO 25X18 3SB6900-0HB</v>
      </c>
      <c r="C18279" s="2" t="str">
        <f t="shared" si="718"/>
        <v>UN</v>
      </c>
      <c r="D18279" s="7">
        <v>811</v>
      </c>
      <c r="E18279" s="3">
        <v>8</v>
      </c>
      <c r="F18279" s="3">
        <v>8</v>
      </c>
      <c r="G18279" t="s">
        <v>513</v>
      </c>
    </row>
    <row r="18280" spans="1:7" x14ac:dyDescent="0.25">
      <c r="A18280" s="1" t="str">
        <f>"524916"</f>
        <v>524916</v>
      </c>
      <c r="B18280" s="2" t="str">
        <f>"PLAQUETA DE SEPARACAO PS1-BTWP WEG"</f>
        <v>PLAQUETA DE SEPARACAO PS1-BTWP WEG</v>
      </c>
      <c r="C18280" s="2" t="str">
        <f t="shared" si="718"/>
        <v>UN</v>
      </c>
      <c r="D18280" s="7">
        <v>811</v>
      </c>
      <c r="E18280" s="3">
        <v>8</v>
      </c>
      <c r="F18280" s="3">
        <v>8</v>
      </c>
      <c r="G18280" t="s">
        <v>512</v>
      </c>
    </row>
    <row r="18281" spans="1:7" x14ac:dyDescent="0.25">
      <c r="A18281" s="1" t="str">
        <f>"518756"</f>
        <v>518756</v>
      </c>
      <c r="B18281" s="2" t="str">
        <f>"PLAQUETA SEPARADORA CONECTOR SAK SIEMENS 2,5/4/6MM"</f>
        <v>PLAQUETA SEPARADORA CONECTOR SAK SIEMENS 2,5/4/6MM</v>
      </c>
      <c r="C18281" s="2" t="str">
        <f t="shared" si="718"/>
        <v>UN</v>
      </c>
      <c r="D18281" s="7">
        <v>811</v>
      </c>
      <c r="E18281" s="3">
        <v>8</v>
      </c>
      <c r="F18281" s="3">
        <v>8</v>
      </c>
      <c r="G18281" t="s">
        <v>513</v>
      </c>
    </row>
    <row r="18282" spans="1:7" x14ac:dyDescent="0.25">
      <c r="A18282" s="1" t="str">
        <f>"518758"</f>
        <v>518758</v>
      </c>
      <c r="B18282" s="2" t="str">
        <f>"PLAQUETA SEPARADORA CONECTOR SAK SIEMENS 35MM"</f>
        <v>PLAQUETA SEPARADORA CONECTOR SAK SIEMENS 35MM</v>
      </c>
      <c r="C18282" s="2" t="str">
        <f t="shared" si="718"/>
        <v>UN</v>
      </c>
      <c r="D18282" s="7">
        <v>811</v>
      </c>
      <c r="E18282" s="3">
        <v>8</v>
      </c>
      <c r="F18282" s="3">
        <v>8</v>
      </c>
      <c r="G18282" t="s">
        <v>514</v>
      </c>
    </row>
    <row r="18283" spans="1:7" x14ac:dyDescent="0.25">
      <c r="A18283" s="1" t="str">
        <f>"518757"</f>
        <v>518757</v>
      </c>
      <c r="B18283" s="2" t="str">
        <f>"PLAQUETA SEPARADORA CONECTOR SAK SIEMENS 6/16MM"</f>
        <v>PLAQUETA SEPARADORA CONECTOR SAK SIEMENS 6/16MM</v>
      </c>
      <c r="C18283" s="2" t="str">
        <f t="shared" si="718"/>
        <v>UN</v>
      </c>
      <c r="D18283" s="7">
        <v>811</v>
      </c>
      <c r="E18283" s="3">
        <v>8</v>
      </c>
      <c r="F18283" s="3">
        <v>8</v>
      </c>
      <c r="G18283" t="s">
        <v>514</v>
      </c>
    </row>
    <row r="18284" spans="1:7" x14ac:dyDescent="0.25">
      <c r="A18284" s="1" t="str">
        <f>"505626"</f>
        <v>505626</v>
      </c>
      <c r="B18284" s="2" t="str">
        <f>"PLASBOW 3 CASTANHA"</f>
        <v>PLASBOW 3 CASTANHA</v>
      </c>
      <c r="C18284" s="2" t="str">
        <f t="shared" si="718"/>
        <v>UN</v>
      </c>
      <c r="D18284" s="7">
        <v>601</v>
      </c>
      <c r="E18284" s="3">
        <v>8</v>
      </c>
      <c r="F18284" s="3">
        <v>8</v>
      </c>
      <c r="G18284" t="s">
        <v>514</v>
      </c>
    </row>
    <row r="18285" spans="1:7" x14ac:dyDescent="0.25">
      <c r="A18285" s="1" t="str">
        <f>"573798"</f>
        <v>573798</v>
      </c>
      <c r="B18285" s="2" t="str">
        <f>"PLASTIC DROPPER BOTTLE STOCK NUMBER 563. PART 56836"</f>
        <v>PLASTIC DROPPER BOTTLE STOCK NUMBER 563. PART 56836</v>
      </c>
      <c r="C18285" s="2" t="str">
        <f t="shared" si="718"/>
        <v>UN</v>
      </c>
      <c r="D18285" s="7">
        <v>99999</v>
      </c>
      <c r="E18285" s="3">
        <v>99</v>
      </c>
      <c r="F18285" s="3">
        <v>99</v>
      </c>
      <c r="G18285" t="s">
        <v>513</v>
      </c>
    </row>
    <row r="18286" spans="1:7" x14ac:dyDescent="0.25">
      <c r="A18286" s="1" t="str">
        <f>"515584"</f>
        <v>515584</v>
      </c>
      <c r="B18286" s="2" t="str">
        <f>"PLASTICO BOLHA 130 X100"</f>
        <v>PLASTICO BOLHA 130 X100</v>
      </c>
      <c r="C18286" s="2" t="str">
        <f t="shared" si="718"/>
        <v>UN</v>
      </c>
      <c r="D18286" s="7">
        <v>401</v>
      </c>
      <c r="E18286" s="3">
        <v>4</v>
      </c>
      <c r="F18286" s="3">
        <v>4</v>
      </c>
      <c r="G18286" t="s">
        <v>513</v>
      </c>
    </row>
    <row r="18287" spans="1:7" x14ac:dyDescent="0.25">
      <c r="A18287" s="1" t="str">
        <f>"514489"</f>
        <v>514489</v>
      </c>
      <c r="B18287" s="2" t="str">
        <f>"PLASTICO COM FURO"</f>
        <v>PLASTICO COM FURO</v>
      </c>
      <c r="C18287" s="2" t="str">
        <f t="shared" si="718"/>
        <v>UN</v>
      </c>
      <c r="D18287" s="7">
        <v>401</v>
      </c>
      <c r="E18287" s="3">
        <v>4</v>
      </c>
      <c r="F18287" s="3">
        <v>4</v>
      </c>
      <c r="G18287" t="s">
        <v>513</v>
      </c>
    </row>
    <row r="18288" spans="1:7" x14ac:dyDescent="0.25">
      <c r="A18288" s="1" t="str">
        <f>"521044"</f>
        <v>521044</v>
      </c>
      <c r="B18288" s="2" t="str">
        <f>"PLASTICO GRANDE 32X46CM"</f>
        <v>PLASTICO GRANDE 32X46CM</v>
      </c>
      <c r="C18288" s="2" t="str">
        <f>"PC"</f>
        <v>PC</v>
      </c>
      <c r="D18288" s="7">
        <v>401</v>
      </c>
      <c r="E18288" s="3">
        <v>4</v>
      </c>
      <c r="F18288" s="3">
        <v>4</v>
      </c>
      <c r="G18288" t="s">
        <v>512</v>
      </c>
    </row>
    <row r="18289" spans="1:7" x14ac:dyDescent="0.25">
      <c r="A18289" s="1" t="str">
        <f>"521043"</f>
        <v>521043</v>
      </c>
      <c r="B18289" s="2" t="str">
        <f>"PLASTICO SEM FURO"</f>
        <v>PLASTICO SEM FURO</v>
      </c>
      <c r="C18289" s="2" t="str">
        <f>"PC"</f>
        <v>PC</v>
      </c>
      <c r="D18289" s="7">
        <v>401</v>
      </c>
      <c r="E18289" s="3">
        <v>4</v>
      </c>
      <c r="F18289" s="3">
        <v>4</v>
      </c>
      <c r="G18289" t="s">
        <v>513</v>
      </c>
    </row>
    <row r="18290" spans="1:7" x14ac:dyDescent="0.25">
      <c r="A18290" s="1" t="str">
        <f>"509809"</f>
        <v>509809</v>
      </c>
      <c r="B18290" s="2" t="str">
        <f>"PLASTIFICACAO"</f>
        <v>PLASTIFICACAO</v>
      </c>
      <c r="C18290" s="2" t="str">
        <f t="shared" ref="C18290:C18312" si="719">"UN"</f>
        <v>UN</v>
      </c>
      <c r="D18290" s="7">
        <v>99999</v>
      </c>
      <c r="E18290" s="3">
        <v>99</v>
      </c>
      <c r="F18290" s="3">
        <v>99</v>
      </c>
      <c r="G18290" t="s">
        <v>514</v>
      </c>
    </row>
    <row r="18291" spans="1:7" x14ac:dyDescent="0.25">
      <c r="A18291" s="1" t="str">
        <f>"522967"</f>
        <v>522967</v>
      </c>
      <c r="B18291" s="2" t="str">
        <f>"PLASTIFICADORA OFICIO PLM-23 MENNO"</f>
        <v>PLASTIFICADORA OFICIO PLM-23 MENNO</v>
      </c>
      <c r="C18291" s="2" t="str">
        <f t="shared" si="719"/>
        <v>UN</v>
      </c>
      <c r="D18291" s="7">
        <v>1300</v>
      </c>
      <c r="E18291" s="3">
        <v>4</v>
      </c>
      <c r="F18291" s="3">
        <v>4</v>
      </c>
      <c r="G18291" t="s">
        <v>515</v>
      </c>
    </row>
    <row r="18292" spans="1:7" x14ac:dyDescent="0.25">
      <c r="A18292" s="1" t="str">
        <f>"517273"</f>
        <v>517273</v>
      </c>
      <c r="B18292" s="2" t="str">
        <f>"PLAT ESCADA MOVEL INOX MAQ D"</f>
        <v>PLAT ESCADA MOVEL INOX MAQ D</v>
      </c>
      <c r="C18292" s="2" t="str">
        <f t="shared" si="719"/>
        <v>UN</v>
      </c>
      <c r="D18292" s="7">
        <v>918</v>
      </c>
      <c r="E18292" s="3">
        <v>11</v>
      </c>
      <c r="F18292" s="3">
        <v>11</v>
      </c>
      <c r="G18292" t="s">
        <v>512</v>
      </c>
    </row>
    <row r="18293" spans="1:7" x14ac:dyDescent="0.25">
      <c r="A18293" s="1" t="str">
        <f>"517282"</f>
        <v>517282</v>
      </c>
      <c r="B18293" s="2" t="str">
        <f>"PLAT ESCADA MOVEL INOX MAQ E"</f>
        <v>PLAT ESCADA MOVEL INOX MAQ E</v>
      </c>
      <c r="C18293" s="2" t="str">
        <f t="shared" si="719"/>
        <v>UN</v>
      </c>
      <c r="D18293" s="7">
        <v>918</v>
      </c>
      <c r="E18293" s="3">
        <v>11</v>
      </c>
      <c r="F18293" s="3">
        <v>11</v>
      </c>
      <c r="G18293" t="s">
        <v>516</v>
      </c>
    </row>
    <row r="18294" spans="1:7" x14ac:dyDescent="0.25">
      <c r="A18294" s="1" t="str">
        <f>"517292"</f>
        <v>517292</v>
      </c>
      <c r="B18294" s="2" t="str">
        <f>"PLAT ESCADA MOVEL INOX MAQ F"</f>
        <v>PLAT ESCADA MOVEL INOX MAQ F</v>
      </c>
      <c r="C18294" s="2" t="str">
        <f t="shared" si="719"/>
        <v>UN</v>
      </c>
      <c r="D18294" s="7">
        <v>918</v>
      </c>
      <c r="E18294" s="3">
        <v>11</v>
      </c>
      <c r="F18294" s="3">
        <v>11</v>
      </c>
      <c r="G18294" t="s">
        <v>515</v>
      </c>
    </row>
    <row r="18295" spans="1:7" x14ac:dyDescent="0.25">
      <c r="A18295" s="1" t="str">
        <f>"517228"</f>
        <v>517228</v>
      </c>
      <c r="B18295" s="2" t="str">
        <f>"PLAT ESCADA MOVEL MAQ A"</f>
        <v>PLAT ESCADA MOVEL MAQ A</v>
      </c>
      <c r="C18295" s="2" t="str">
        <f t="shared" si="719"/>
        <v>UN</v>
      </c>
      <c r="D18295" s="7">
        <v>918</v>
      </c>
      <c r="E18295" s="3">
        <v>11</v>
      </c>
      <c r="F18295" s="3">
        <v>11</v>
      </c>
      <c r="G18295" t="s">
        <v>514</v>
      </c>
    </row>
    <row r="18296" spans="1:7" x14ac:dyDescent="0.25">
      <c r="A18296" s="1" t="str">
        <f>"517229"</f>
        <v>517229</v>
      </c>
      <c r="B18296" s="2" t="str">
        <f>"PLAT ESCADA MOVEL MAQ B"</f>
        <v>PLAT ESCADA MOVEL MAQ B</v>
      </c>
      <c r="C18296" s="2" t="str">
        <f t="shared" si="719"/>
        <v>UN</v>
      </c>
      <c r="D18296" s="7">
        <v>918</v>
      </c>
      <c r="E18296" s="3">
        <v>11</v>
      </c>
      <c r="F18296" s="3">
        <v>11</v>
      </c>
      <c r="G18296" t="s">
        <v>512</v>
      </c>
    </row>
    <row r="18297" spans="1:7" x14ac:dyDescent="0.25">
      <c r="A18297" s="1" t="str">
        <f>"517230"</f>
        <v>517230</v>
      </c>
      <c r="B18297" s="2" t="str">
        <f>"PLAT ESCADA MOVEL MAQ C"</f>
        <v>PLAT ESCADA MOVEL MAQ C</v>
      </c>
      <c r="C18297" s="2" t="str">
        <f t="shared" si="719"/>
        <v>UN</v>
      </c>
      <c r="D18297" s="7">
        <v>918</v>
      </c>
      <c r="E18297" s="3">
        <v>11</v>
      </c>
      <c r="F18297" s="3">
        <v>11</v>
      </c>
      <c r="G18297" t="s">
        <v>513</v>
      </c>
    </row>
    <row r="18298" spans="1:7" x14ac:dyDescent="0.25">
      <c r="A18298" s="1" t="str">
        <f>"520823"</f>
        <v>520823</v>
      </c>
      <c r="B18298" s="2" t="str">
        <f>"PLAT. GAB. ALIN. CEN. E FIX. PROBES E CORPO DE PROVA HDP/90"</f>
        <v>PLAT. GAB. ALIN. CEN. E FIX. PROBES E CORPO DE PROVA HDP/90</v>
      </c>
      <c r="C18298" s="2" t="str">
        <f t="shared" si="719"/>
        <v>UN</v>
      </c>
      <c r="D18298" s="7">
        <v>1200</v>
      </c>
      <c r="E18298" s="3">
        <v>13</v>
      </c>
      <c r="F18298" s="3">
        <v>13</v>
      </c>
      <c r="G18298" t="s">
        <v>514</v>
      </c>
    </row>
    <row r="18299" spans="1:7" x14ac:dyDescent="0.25">
      <c r="A18299" s="1" t="str">
        <f>"573712"</f>
        <v>573712</v>
      </c>
      <c r="B18299" s="2" t="str">
        <f>"PLATAFORMA AEREA ARTICULADA GENIE - Z-45 ELETRICA"</f>
        <v>PLATAFORMA AEREA ARTICULADA GENIE - Z-45 ELETRICA</v>
      </c>
      <c r="C18299" s="2" t="str">
        <f t="shared" si="719"/>
        <v>UN</v>
      </c>
      <c r="D18299" s="7">
        <v>1300</v>
      </c>
      <c r="E18299" s="3">
        <v>13</v>
      </c>
      <c r="F18299" s="3">
        <v>13</v>
      </c>
      <c r="G18299" t="s">
        <v>514</v>
      </c>
    </row>
    <row r="18300" spans="1:7" x14ac:dyDescent="0.25">
      <c r="A18300" s="1" t="str">
        <f>"523861"</f>
        <v>523861</v>
      </c>
      <c r="B18300" s="2" t="str">
        <f>"PLATAFORMA AEREA ARTICULADA JLG - 450AJ - DIESEL"</f>
        <v>PLATAFORMA AEREA ARTICULADA JLG - 450AJ - DIESEL</v>
      </c>
      <c r="C18300" s="2" t="str">
        <f t="shared" si="719"/>
        <v>UN</v>
      </c>
      <c r="D18300" s="7">
        <v>1300</v>
      </c>
      <c r="E18300" s="3">
        <v>13</v>
      </c>
      <c r="F18300" s="3">
        <v>13</v>
      </c>
      <c r="G18300" t="s">
        <v>512</v>
      </c>
    </row>
    <row r="18301" spans="1:7" x14ac:dyDescent="0.25">
      <c r="A18301" s="1" t="str">
        <f>"524446"</f>
        <v>524446</v>
      </c>
      <c r="B18301" s="2" t="str">
        <f>"PLATAFORMA AEREA TESOURA JLG 3246 ES ELETRICA"</f>
        <v>PLATAFORMA AEREA TESOURA JLG 3246 ES ELETRICA</v>
      </c>
      <c r="C18301" s="2" t="str">
        <f t="shared" si="719"/>
        <v>UN</v>
      </c>
      <c r="D18301" s="7">
        <v>99999</v>
      </c>
      <c r="E18301" s="3">
        <v>99</v>
      </c>
      <c r="F18301" s="3">
        <v>99</v>
      </c>
      <c r="G18301" t="s">
        <v>513</v>
      </c>
    </row>
    <row r="18302" spans="1:7" x14ac:dyDescent="0.25">
      <c r="A18302" s="1" t="str">
        <f>"521685"</f>
        <v>521685</v>
      </c>
      <c r="B18302" s="2" t="str">
        <f>"PLATAFORMA DE TRABALHO PARA CAMINHÕES INCOMAR"</f>
        <v>PLATAFORMA DE TRABALHO PARA CAMINHÕES INCOMAR</v>
      </c>
      <c r="C18302" s="2" t="str">
        <f t="shared" si="719"/>
        <v>UN</v>
      </c>
      <c r="D18302" s="7">
        <v>99999</v>
      </c>
      <c r="E18302" s="3">
        <v>99</v>
      </c>
      <c r="F18302" s="3">
        <v>99</v>
      </c>
      <c r="G18302" t="s">
        <v>514</v>
      </c>
    </row>
    <row r="18303" spans="1:7" x14ac:dyDescent="0.25">
      <c r="A18303" s="1" t="str">
        <f>"526856"</f>
        <v>526856</v>
      </c>
      <c r="B18303" s="2" t="str">
        <f>"PLATAFORMA ELEVADORA PANTOGRÁFICA CAP. 1200Kgf"</f>
        <v>PLATAFORMA ELEVADORA PANTOGRÁFICA CAP. 1200Kgf</v>
      </c>
      <c r="C18303" s="2" t="str">
        <f t="shared" si="719"/>
        <v>UN</v>
      </c>
      <c r="D18303" s="7">
        <v>1300</v>
      </c>
      <c r="E18303" s="3">
        <v>13</v>
      </c>
      <c r="F18303" s="3">
        <v>13</v>
      </c>
      <c r="G18303" t="s">
        <v>514</v>
      </c>
    </row>
    <row r="18304" spans="1:7" x14ac:dyDescent="0.25">
      <c r="A18304" s="1" t="str">
        <f>"526657"</f>
        <v>526657</v>
      </c>
      <c r="B18304" s="2" t="str">
        <f>"PLATAFORMA ELEVADORA PANTOGRÁFICA CAP. 300Kgf"</f>
        <v>PLATAFORMA ELEVADORA PANTOGRÁFICA CAP. 300Kgf</v>
      </c>
      <c r="C18304" s="2" t="str">
        <f t="shared" si="719"/>
        <v>UN</v>
      </c>
      <c r="D18304" s="7">
        <v>1300</v>
      </c>
      <c r="E18304" s="3">
        <v>13</v>
      </c>
      <c r="F18304" s="3">
        <v>13</v>
      </c>
      <c r="G18304" t="s">
        <v>514</v>
      </c>
    </row>
    <row r="18305" spans="1:7" x14ac:dyDescent="0.25">
      <c r="A18305" s="1" t="str">
        <f>"522571"</f>
        <v>522571</v>
      </c>
      <c r="B18305" s="2" t="str">
        <f>"PLATAFORMA METALICA P/ ANDAIME 1,50MT"</f>
        <v>PLATAFORMA METALICA P/ ANDAIME 1,50MT</v>
      </c>
      <c r="C18305" s="2" t="str">
        <f t="shared" si="719"/>
        <v>UN</v>
      </c>
      <c r="D18305" s="7">
        <v>919</v>
      </c>
      <c r="E18305" s="3">
        <v>4</v>
      </c>
      <c r="F18305" s="3">
        <v>4</v>
      </c>
      <c r="G18305" t="s">
        <v>513</v>
      </c>
    </row>
    <row r="18306" spans="1:7" x14ac:dyDescent="0.25">
      <c r="A18306" s="1" t="str">
        <f>"515746"</f>
        <v>515746</v>
      </c>
      <c r="B18306" s="2" t="str">
        <f>"PLATE COUNT AGAR"</f>
        <v>PLATE COUNT AGAR</v>
      </c>
      <c r="C18306" s="2" t="str">
        <f t="shared" si="719"/>
        <v>UN</v>
      </c>
      <c r="D18306" s="7">
        <v>406</v>
      </c>
      <c r="E18306" s="3">
        <v>4</v>
      </c>
      <c r="F18306" s="3">
        <v>4</v>
      </c>
      <c r="G18306" t="s">
        <v>512</v>
      </c>
    </row>
    <row r="18307" spans="1:7" x14ac:dyDescent="0.25">
      <c r="A18307" s="1" t="str">
        <f>"501588"</f>
        <v>501588</v>
      </c>
      <c r="B18307" s="2" t="str">
        <f>"PLATINADO"</f>
        <v>PLATINADO</v>
      </c>
      <c r="C18307" s="2" t="str">
        <f t="shared" si="719"/>
        <v>UN</v>
      </c>
      <c r="D18307" s="7">
        <v>704</v>
      </c>
      <c r="E18307" s="3">
        <v>9</v>
      </c>
      <c r="F18307" s="3">
        <v>9</v>
      </c>
      <c r="G18307" t="s">
        <v>513</v>
      </c>
    </row>
    <row r="18308" spans="1:7" x14ac:dyDescent="0.25">
      <c r="A18308" s="1" t="str">
        <f>"503797"</f>
        <v>503797</v>
      </c>
      <c r="B18308" s="2" t="str">
        <f>"PLATO INOX 155MM BOMBA SAN. BCR-600"</f>
        <v>PLATO INOX 155MM BOMBA SAN. BCR-600</v>
      </c>
      <c r="C18308" s="2" t="str">
        <f t="shared" si="719"/>
        <v>UN</v>
      </c>
      <c r="D18308" s="7">
        <v>915</v>
      </c>
      <c r="E18308" s="3">
        <v>11</v>
      </c>
      <c r="F18308" s="3">
        <v>11</v>
      </c>
      <c r="G18308" t="s">
        <v>514</v>
      </c>
    </row>
    <row r="18309" spans="1:7" x14ac:dyDescent="0.25">
      <c r="A18309" s="1" t="str">
        <f>"513016"</f>
        <v>513016</v>
      </c>
      <c r="B18309" s="2" t="str">
        <f>"PLATO/DISCO"</f>
        <v>PLATO/DISCO</v>
      </c>
      <c r="C18309" s="2" t="str">
        <f t="shared" si="719"/>
        <v>UN</v>
      </c>
      <c r="D18309" s="7">
        <v>704</v>
      </c>
      <c r="E18309" s="3">
        <v>9</v>
      </c>
      <c r="F18309" s="3">
        <v>9</v>
      </c>
      <c r="G18309" t="s">
        <v>514</v>
      </c>
    </row>
    <row r="18310" spans="1:7" x14ac:dyDescent="0.25">
      <c r="A18310" s="1" t="str">
        <f>"515244"</f>
        <v>515244</v>
      </c>
      <c r="B18310" s="2" t="str">
        <f>"PLAY 16 VIAL"</f>
        <v>PLAY 16 VIAL</v>
      </c>
      <c r="C18310" s="2" t="str">
        <f t="shared" si="719"/>
        <v>UN</v>
      </c>
      <c r="D18310" s="7">
        <v>704</v>
      </c>
      <c r="E18310" s="3">
        <v>9</v>
      </c>
      <c r="F18310" s="3">
        <v>9</v>
      </c>
      <c r="G18310" t="s">
        <v>514</v>
      </c>
    </row>
    <row r="18311" spans="1:7" x14ac:dyDescent="0.25">
      <c r="A18311" s="1" t="str">
        <f>"515737"</f>
        <v>515737</v>
      </c>
      <c r="B18311" s="2" t="str">
        <f>"PLOTAGEM"</f>
        <v>PLOTAGEM</v>
      </c>
      <c r="C18311" s="2" t="str">
        <f t="shared" si="719"/>
        <v>UN</v>
      </c>
      <c r="D18311" s="7">
        <v>401</v>
      </c>
      <c r="E18311" s="3">
        <v>4</v>
      </c>
      <c r="F18311" s="3">
        <v>4</v>
      </c>
      <c r="G18311" t="s">
        <v>513</v>
      </c>
    </row>
    <row r="18312" spans="1:7" x14ac:dyDescent="0.25">
      <c r="A18312" s="1" t="str">
        <f>"500803"</f>
        <v>500803</v>
      </c>
      <c r="B18312" s="2" t="str">
        <f>"PLUG"</f>
        <v>PLUG</v>
      </c>
      <c r="C18312" s="2" t="str">
        <f t="shared" si="719"/>
        <v>UN</v>
      </c>
      <c r="D18312" s="7">
        <v>601</v>
      </c>
      <c r="E18312" s="3">
        <v>8</v>
      </c>
      <c r="F18312" s="3">
        <v>8</v>
      </c>
      <c r="G18312" t="s">
        <v>513</v>
      </c>
    </row>
    <row r="18313" spans="1:7" x14ac:dyDescent="0.25">
      <c r="A18313" s="1" t="str">
        <f>"500157"</f>
        <v>500157</v>
      </c>
      <c r="B18313" s="2" t="str">
        <f>"PLUG 1"" PVC - ROSCA"</f>
        <v>PLUG 1" PVC - ROSCA</v>
      </c>
      <c r="C18313" s="2" t="str">
        <f>"BR"</f>
        <v>BR</v>
      </c>
      <c r="D18313" s="7">
        <v>808</v>
      </c>
      <c r="E18313" s="3">
        <v>10</v>
      </c>
      <c r="F18313" s="3">
        <v>10</v>
      </c>
      <c r="G18313" t="s">
        <v>513</v>
      </c>
    </row>
    <row r="18314" spans="1:7" x14ac:dyDescent="0.25">
      <c r="A18314" s="1" t="str">
        <f>"519804"</f>
        <v>519804</v>
      </c>
      <c r="B18314" s="2" t="str">
        <f>"PLUG 3/4 ALIVIO 1202899200"</f>
        <v>PLUG 3/4 ALIVIO 1202899200</v>
      </c>
      <c r="C18314" s="2" t="str">
        <f>"UN"</f>
        <v>UN</v>
      </c>
      <c r="D18314" s="7">
        <v>918</v>
      </c>
      <c r="E18314" s="3">
        <v>11</v>
      </c>
      <c r="F18314" s="3">
        <v>11</v>
      </c>
      <c r="G18314" t="s">
        <v>512</v>
      </c>
    </row>
    <row r="18315" spans="1:7" x14ac:dyDescent="0.25">
      <c r="A18315" s="1" t="str">
        <f>"527811"</f>
        <v>527811</v>
      </c>
      <c r="B18315" s="2" t="str">
        <f>"PLUG 3/4"" PVC - ROSCA EXTERNA"</f>
        <v>PLUG 3/4" PVC - ROSCA EXTERNA</v>
      </c>
      <c r="C18315" s="2" t="str">
        <f>"BR"</f>
        <v>BR</v>
      </c>
      <c r="D18315" s="7">
        <v>808</v>
      </c>
      <c r="E18315" s="3">
        <v>10</v>
      </c>
      <c r="F18315" s="3">
        <v>10</v>
      </c>
      <c r="G18315" t="s">
        <v>513</v>
      </c>
    </row>
    <row r="18316" spans="1:7" x14ac:dyDescent="0.25">
      <c r="A18316" s="1" t="str">
        <f>"527017"</f>
        <v>527017</v>
      </c>
      <c r="B18316" s="2" t="str">
        <f>"PLUG DO CABO CARREGADOR"</f>
        <v>PLUG DO CABO CARREGADOR</v>
      </c>
      <c r="C18316" s="2" t="str">
        <f>"UN"</f>
        <v>UN</v>
      </c>
      <c r="D18316" s="7">
        <v>402</v>
      </c>
      <c r="E18316" s="3">
        <v>4</v>
      </c>
      <c r="F18316" s="3">
        <v>4</v>
      </c>
      <c r="G18316" t="s">
        <v>514</v>
      </c>
    </row>
    <row r="18317" spans="1:7" x14ac:dyDescent="0.25">
      <c r="A18317" s="1" t="str">
        <f>"502621"</f>
        <v>502621</v>
      </c>
      <c r="B18317" s="2" t="str">
        <f>"PLUG F.G 1 1/2"""</f>
        <v>PLUG F.G 1 1/2"</v>
      </c>
      <c r="C18317" s="2" t="str">
        <f>"BR"</f>
        <v>BR</v>
      </c>
      <c r="D18317" s="7">
        <v>808</v>
      </c>
      <c r="E18317" s="3">
        <v>10</v>
      </c>
      <c r="F18317" s="3">
        <v>10</v>
      </c>
      <c r="G18317" t="s">
        <v>515</v>
      </c>
    </row>
    <row r="18318" spans="1:7" x14ac:dyDescent="0.25">
      <c r="A18318" s="1" t="str">
        <f>"501305"</f>
        <v>501305</v>
      </c>
      <c r="B18318" s="2" t="str">
        <f>"PLUG F.G 1"""</f>
        <v>PLUG F.G 1"</v>
      </c>
      <c r="C18318" s="2" t="str">
        <f>"BR"</f>
        <v>BR</v>
      </c>
      <c r="D18318" s="7">
        <v>808</v>
      </c>
      <c r="E18318" s="3">
        <v>10</v>
      </c>
      <c r="F18318" s="3">
        <v>10</v>
      </c>
      <c r="G18318" t="s">
        <v>512</v>
      </c>
    </row>
    <row r="18319" spans="1:7" x14ac:dyDescent="0.25">
      <c r="A18319" s="1" t="str">
        <f>"500296"</f>
        <v>500296</v>
      </c>
      <c r="B18319" s="2" t="str">
        <f>"PLUG F.G 1/2"</f>
        <v>PLUG F.G 1/2</v>
      </c>
      <c r="C18319" s="2" t="str">
        <f>"BR"</f>
        <v>BR</v>
      </c>
      <c r="D18319" s="7">
        <v>808</v>
      </c>
      <c r="E18319" s="3">
        <v>10</v>
      </c>
      <c r="F18319" s="3">
        <v>10</v>
      </c>
      <c r="G18319" t="s">
        <v>516</v>
      </c>
    </row>
    <row r="18320" spans="1:7" x14ac:dyDescent="0.25">
      <c r="A18320" s="1" t="str">
        <f>"502451"</f>
        <v>502451</v>
      </c>
      <c r="B18320" s="2" t="str">
        <f>"PLUG F.G 1/4"</f>
        <v>PLUG F.G 1/4</v>
      </c>
      <c r="C18320" s="2" t="str">
        <f>"UN"</f>
        <v>UN</v>
      </c>
      <c r="D18320" s="7">
        <v>601</v>
      </c>
      <c r="E18320" s="3">
        <v>8</v>
      </c>
      <c r="F18320" s="3">
        <v>8</v>
      </c>
      <c r="G18320" t="s">
        <v>515</v>
      </c>
    </row>
    <row r="18321" spans="1:7" x14ac:dyDescent="0.25">
      <c r="A18321" s="1" t="str">
        <f>"500607"</f>
        <v>500607</v>
      </c>
      <c r="B18321" s="2" t="str">
        <f>"PLUG F.G 3/4"</f>
        <v>PLUG F.G 3/4</v>
      </c>
      <c r="C18321" s="2" t="str">
        <f>"BR"</f>
        <v>BR</v>
      </c>
      <c r="D18321" s="7">
        <v>808</v>
      </c>
      <c r="E18321" s="3">
        <v>10</v>
      </c>
      <c r="F18321" s="3">
        <v>10</v>
      </c>
      <c r="G18321" t="s">
        <v>514</v>
      </c>
    </row>
    <row r="18322" spans="1:7" x14ac:dyDescent="0.25">
      <c r="A18322" s="1" t="str">
        <f>"503916"</f>
        <v>503916</v>
      </c>
      <c r="B18322" s="2" t="str">
        <f>"PLUG F.G 3/8"</f>
        <v>PLUG F.G 3/8</v>
      </c>
      <c r="C18322" s="2" t="str">
        <f>"BR"</f>
        <v>BR</v>
      </c>
      <c r="D18322" s="7">
        <v>808</v>
      </c>
      <c r="E18322" s="3">
        <v>10</v>
      </c>
      <c r="F18322" s="3">
        <v>10</v>
      </c>
      <c r="G18322" t="s">
        <v>512</v>
      </c>
    </row>
    <row r="18323" spans="1:7" x14ac:dyDescent="0.25">
      <c r="A18323" s="1" t="str">
        <f>"521122"</f>
        <v>521122</v>
      </c>
      <c r="B18323" s="2" t="str">
        <f>"PLUG FEMEA 2P+T 10A FAME"</f>
        <v>PLUG FEMEA 2P+T 10A FAME</v>
      </c>
      <c r="C18323" s="2" t="str">
        <f t="shared" ref="C18323:C18335" si="720">"UN"</f>
        <v>UN</v>
      </c>
      <c r="D18323" s="7">
        <v>811</v>
      </c>
      <c r="E18323" s="3">
        <v>8</v>
      </c>
      <c r="F18323" s="3">
        <v>8</v>
      </c>
      <c r="G18323" t="s">
        <v>513</v>
      </c>
    </row>
    <row r="18324" spans="1:7" x14ac:dyDescent="0.25">
      <c r="A18324" s="1" t="str">
        <f>"573778"</f>
        <v>573778</v>
      </c>
      <c r="B18324" s="2" t="str">
        <f>"PLUG FEMEA 2P+T PADRÃO BRASILEIRO 20 A"</f>
        <v>PLUG FEMEA 2P+T PADRÃO BRASILEIRO 20 A</v>
      </c>
      <c r="C18324" s="2" t="str">
        <f t="shared" si="720"/>
        <v>UN</v>
      </c>
      <c r="D18324" s="7">
        <v>811</v>
      </c>
      <c r="E18324" s="3">
        <v>8</v>
      </c>
      <c r="F18324" s="3">
        <v>8</v>
      </c>
      <c r="G18324" t="s">
        <v>514</v>
      </c>
    </row>
    <row r="18325" spans="1:7" x14ac:dyDescent="0.25">
      <c r="A18325" s="1" t="str">
        <f>"520163"</f>
        <v>520163</v>
      </c>
      <c r="B18325" s="2" t="str">
        <f>"PLUG FEMEA P/ TOMADA 2P+T 20A"</f>
        <v>PLUG FEMEA P/ TOMADA 2P+T 20A</v>
      </c>
      <c r="C18325" s="2" t="str">
        <f t="shared" si="720"/>
        <v>UN</v>
      </c>
      <c r="D18325" s="7">
        <v>601</v>
      </c>
      <c r="E18325" s="3">
        <v>8</v>
      </c>
      <c r="F18325" s="3">
        <v>8</v>
      </c>
      <c r="G18325" t="s">
        <v>514</v>
      </c>
    </row>
    <row r="18326" spans="1:7" x14ac:dyDescent="0.25">
      <c r="A18326" s="1" t="str">
        <f>"507088"</f>
        <v>507088</v>
      </c>
      <c r="B18326" s="2" t="str">
        <f>"PLUG FEMEA P/ TOMADA SIMPLES 10A  PIAL"</f>
        <v>PLUG FEMEA P/ TOMADA SIMPLES 10A  PIAL</v>
      </c>
      <c r="C18326" s="2" t="str">
        <f t="shared" si="720"/>
        <v>UN</v>
      </c>
      <c r="D18326" s="7">
        <v>601</v>
      </c>
      <c r="E18326" s="3">
        <v>8</v>
      </c>
      <c r="F18326" s="3">
        <v>8</v>
      </c>
      <c r="G18326" t="s">
        <v>512</v>
      </c>
    </row>
    <row r="18327" spans="1:7" x14ac:dyDescent="0.25">
      <c r="A18327" s="1" t="str">
        <f>"524794"</f>
        <v>524794</v>
      </c>
      <c r="B18327" s="2" t="str">
        <f>"PLUG FEMEA UNIVERSAL"</f>
        <v>PLUG FEMEA UNIVERSAL</v>
      </c>
      <c r="C18327" s="2" t="str">
        <f t="shared" si="720"/>
        <v>UN</v>
      </c>
      <c r="D18327" s="7">
        <v>99999</v>
      </c>
      <c r="E18327" s="3">
        <v>99</v>
      </c>
      <c r="F18327" s="3">
        <v>99</v>
      </c>
      <c r="G18327" t="s">
        <v>513</v>
      </c>
    </row>
    <row r="18328" spans="1:7" x14ac:dyDescent="0.25">
      <c r="A18328" s="1" t="str">
        <f>"521123"</f>
        <v>521123</v>
      </c>
      <c r="B18328" s="2" t="str">
        <f>"PLUG MACHO 2P+T 10A FAME"</f>
        <v>PLUG MACHO 2P+T 10A FAME</v>
      </c>
      <c r="C18328" s="2" t="str">
        <f t="shared" si="720"/>
        <v>UN</v>
      </c>
      <c r="D18328" s="7">
        <v>811</v>
      </c>
      <c r="E18328" s="3">
        <v>8</v>
      </c>
      <c r="F18328" s="3">
        <v>8</v>
      </c>
      <c r="G18328" t="s">
        <v>514</v>
      </c>
    </row>
    <row r="18329" spans="1:7" x14ac:dyDescent="0.25">
      <c r="A18329" s="1" t="str">
        <f>"520164"</f>
        <v>520164</v>
      </c>
      <c r="B18329" s="2" t="str">
        <f>"PLUG MACHO P/ TOMADA 2P+T 20A"</f>
        <v>PLUG MACHO P/ TOMADA 2P+T 20A</v>
      </c>
      <c r="C18329" s="2" t="str">
        <f t="shared" si="720"/>
        <v>UN</v>
      </c>
      <c r="D18329" s="7">
        <v>601</v>
      </c>
      <c r="E18329" s="3">
        <v>8</v>
      </c>
      <c r="F18329" s="3">
        <v>8</v>
      </c>
      <c r="G18329" t="s">
        <v>514</v>
      </c>
    </row>
    <row r="18330" spans="1:7" x14ac:dyDescent="0.25">
      <c r="A18330" s="1" t="str">
        <f>"507087"</f>
        <v>507087</v>
      </c>
      <c r="B18330" s="2" t="str">
        <f>"PLUG MACHO P/ TOMADA SIMPLES 10A  PIAL"</f>
        <v>PLUG MACHO P/ TOMADA SIMPLES 10A  PIAL</v>
      </c>
      <c r="C18330" s="2" t="str">
        <f t="shared" si="720"/>
        <v>UN</v>
      </c>
      <c r="D18330" s="7">
        <v>601</v>
      </c>
      <c r="E18330" s="3">
        <v>8</v>
      </c>
      <c r="F18330" s="3">
        <v>8</v>
      </c>
      <c r="G18330" t="s">
        <v>514</v>
      </c>
    </row>
    <row r="18331" spans="1:7" x14ac:dyDescent="0.25">
      <c r="A18331" s="1" t="str">
        <f>"524795"</f>
        <v>524795</v>
      </c>
      <c r="B18331" s="2" t="str">
        <f>"PLUG NEMA 30A L530P 125V"</f>
        <v>PLUG NEMA 30A L530P 125V</v>
      </c>
      <c r="C18331" s="2" t="str">
        <f t="shared" si="720"/>
        <v>UN</v>
      </c>
      <c r="D18331" s="7">
        <v>99999</v>
      </c>
      <c r="E18331" s="3">
        <v>99</v>
      </c>
      <c r="F18331" s="3">
        <v>99</v>
      </c>
      <c r="G18331" t="s">
        <v>513</v>
      </c>
    </row>
    <row r="18332" spans="1:7" x14ac:dyDescent="0.25">
      <c r="A18332" s="1" t="str">
        <f>"513438"</f>
        <v>513438</v>
      </c>
      <c r="B18332" s="2" t="str">
        <f>"PLUG P/ SOLDA 008376/2508 0/0250V"</f>
        <v>PLUG P/ SOLDA 008376/2508 0/0250V</v>
      </c>
      <c r="C18332" s="2" t="str">
        <f t="shared" si="720"/>
        <v>UN</v>
      </c>
      <c r="D18332" s="7">
        <v>918</v>
      </c>
      <c r="E18332" s="3">
        <v>11</v>
      </c>
      <c r="F18332" s="3">
        <v>11</v>
      </c>
      <c r="G18332" t="s">
        <v>512</v>
      </c>
    </row>
    <row r="18333" spans="1:7" x14ac:dyDescent="0.25">
      <c r="A18333" s="1" t="str">
        <f>"516902"</f>
        <v>516902</v>
      </c>
      <c r="B18333" s="2" t="str">
        <f>"PLUG P4 2.1 X 5.5 X 9"</f>
        <v>PLUG P4 2.1 X 5.5 X 9</v>
      </c>
      <c r="C18333" s="2" t="str">
        <f t="shared" si="720"/>
        <v>UN</v>
      </c>
      <c r="D18333" s="7">
        <v>600</v>
      </c>
      <c r="E18333" s="3">
        <v>8</v>
      </c>
      <c r="F18333" s="3">
        <v>8</v>
      </c>
      <c r="G18333" t="s">
        <v>513</v>
      </c>
    </row>
    <row r="18334" spans="1:7" x14ac:dyDescent="0.25">
      <c r="A18334" s="1" t="str">
        <f>"503210"</f>
        <v>503210</v>
      </c>
      <c r="B18334" s="2" t="str">
        <f>"PLUG QUICK CZ 3 POLOS PG 104"</f>
        <v>PLUG QUICK CZ 3 POLOS PG 104</v>
      </c>
      <c r="C18334" s="2" t="str">
        <f t="shared" si="720"/>
        <v>UN</v>
      </c>
      <c r="D18334" s="7">
        <v>601</v>
      </c>
      <c r="E18334" s="3">
        <v>8</v>
      </c>
      <c r="F18334" s="3">
        <v>8</v>
      </c>
      <c r="G18334" t="s">
        <v>514</v>
      </c>
    </row>
    <row r="18335" spans="1:7" x14ac:dyDescent="0.25">
      <c r="A18335" s="1" t="str">
        <f>"510103"</f>
        <v>510103</v>
      </c>
      <c r="B18335" s="2" t="str">
        <f>"PLUG ROSCA 1/2"</f>
        <v>PLUG ROSCA 1/2</v>
      </c>
      <c r="C18335" s="2" t="str">
        <f t="shared" si="720"/>
        <v>UN</v>
      </c>
      <c r="D18335" s="7">
        <v>912</v>
      </c>
      <c r="E18335" s="3">
        <v>11</v>
      </c>
      <c r="F18335" s="3">
        <v>11</v>
      </c>
      <c r="G18335" t="s">
        <v>514</v>
      </c>
    </row>
    <row r="18336" spans="1:7" x14ac:dyDescent="0.25">
      <c r="A18336" s="1" t="str">
        <f>"521833"</f>
        <v>521833</v>
      </c>
      <c r="B18336" s="2" t="str">
        <f>"PLUG STECK 5 PINOS 16A"</f>
        <v>PLUG STECK 5 PINOS 16A</v>
      </c>
      <c r="C18336" s="2" t="str">
        <f>"PC"</f>
        <v>PC</v>
      </c>
      <c r="D18336" s="7">
        <v>601</v>
      </c>
      <c r="E18336" s="3">
        <v>8</v>
      </c>
      <c r="F18336" s="3">
        <v>8</v>
      </c>
      <c r="G18336" t="s">
        <v>514</v>
      </c>
    </row>
    <row r="18337" spans="1:7" x14ac:dyDescent="0.25">
      <c r="A18337" s="1" t="str">
        <f>"521834"</f>
        <v>521834</v>
      </c>
      <c r="B18337" s="2" t="str">
        <f>"PLUG STECK 5 PINOS 32A"</f>
        <v>PLUG STECK 5 PINOS 32A</v>
      </c>
      <c r="C18337" s="2" t="str">
        <f>"PC"</f>
        <v>PC</v>
      </c>
      <c r="D18337" s="7">
        <v>601</v>
      </c>
      <c r="E18337" s="3">
        <v>8</v>
      </c>
      <c r="F18337" s="3">
        <v>8</v>
      </c>
      <c r="G18337" t="s">
        <v>513</v>
      </c>
    </row>
    <row r="18338" spans="1:7" x14ac:dyDescent="0.25">
      <c r="A18338" s="1" t="str">
        <f>"517550"</f>
        <v>517550</v>
      </c>
      <c r="B18338" s="2" t="str">
        <f>"PLUG STECK CARCAÇA BASE BX 1 TRA 6P 6 ENTRADAS INF SCBB1T-6P"</f>
        <v>PLUG STECK CARCAÇA BASE BX 1 TRA 6P 6 ENTRADAS INF SCBB1T-6P</v>
      </c>
      <c r="C18338" s="2" t="str">
        <f>"UN"</f>
        <v>UN</v>
      </c>
      <c r="D18338" s="7">
        <v>811</v>
      </c>
      <c r="E18338" s="3">
        <v>8</v>
      </c>
      <c r="F18338" s="3">
        <v>8</v>
      </c>
      <c r="G18338" t="s">
        <v>513</v>
      </c>
    </row>
    <row r="18339" spans="1:7" x14ac:dyDescent="0.25">
      <c r="A18339" s="1" t="str">
        <f>"517553"</f>
        <v>517553</v>
      </c>
      <c r="B18339" s="2" t="str">
        <f>"PLUG STECK CARCAÇA PLUG SCPL2 R06 STECK"</f>
        <v>PLUG STECK CARCAÇA PLUG SCPL2 R06 STECK</v>
      </c>
      <c r="C18339" s="2" t="str">
        <f>"UN"</f>
        <v>UN</v>
      </c>
      <c r="D18339" s="7">
        <v>811</v>
      </c>
      <c r="E18339" s="3">
        <v>8</v>
      </c>
      <c r="F18339" s="3">
        <v>8</v>
      </c>
      <c r="G18339" t="s">
        <v>513</v>
      </c>
    </row>
    <row r="18340" spans="1:7" x14ac:dyDescent="0.25">
      <c r="A18340" s="1" t="str">
        <f>"517551"</f>
        <v>517551</v>
      </c>
      <c r="B18340" s="2" t="str">
        <f>"PLUG STECK MIOLO FEMEA SMB-06"</f>
        <v>PLUG STECK MIOLO FEMEA SMB-06</v>
      </c>
      <c r="C18340" s="2" t="str">
        <f>"UN"</f>
        <v>UN</v>
      </c>
      <c r="D18340" s="7">
        <v>811</v>
      </c>
      <c r="E18340" s="3">
        <v>8</v>
      </c>
      <c r="F18340" s="3">
        <v>8</v>
      </c>
      <c r="G18340" t="s">
        <v>512</v>
      </c>
    </row>
    <row r="18341" spans="1:7" x14ac:dyDescent="0.25">
      <c r="A18341" s="1" t="str">
        <f>"517552"</f>
        <v>517552</v>
      </c>
      <c r="B18341" s="2" t="str">
        <f>"PLUG STECK MIOLO MACHO SMP-06"</f>
        <v>PLUG STECK MIOLO MACHO SMP-06</v>
      </c>
      <c r="C18341" s="2" t="str">
        <f>"UN"</f>
        <v>UN</v>
      </c>
      <c r="D18341" s="7">
        <v>811</v>
      </c>
      <c r="E18341" s="3">
        <v>8</v>
      </c>
      <c r="F18341" s="3">
        <v>8</v>
      </c>
      <c r="G18341" t="s">
        <v>513</v>
      </c>
    </row>
    <row r="18342" spans="1:7" x14ac:dyDescent="0.25">
      <c r="A18342" s="1" t="str">
        <f>"501732"</f>
        <v>501732</v>
      </c>
      <c r="B18342" s="2" t="str">
        <f>"PLUG STECK N-4076 380V 16A"</f>
        <v>PLUG STECK N-4076 380V 16A</v>
      </c>
      <c r="C18342" s="2" t="str">
        <f>"PC"</f>
        <v>PC</v>
      </c>
      <c r="D18342" s="7">
        <v>601</v>
      </c>
      <c r="E18342" s="3">
        <v>8</v>
      </c>
      <c r="F18342" s="3">
        <v>8</v>
      </c>
      <c r="G18342" t="s">
        <v>514</v>
      </c>
    </row>
    <row r="18343" spans="1:7" x14ac:dyDescent="0.25">
      <c r="A18343" s="1" t="str">
        <f>"503421"</f>
        <v>503421</v>
      </c>
      <c r="B18343" s="2" t="str">
        <f>"PLUG STECK S-4079 220V"</f>
        <v>PLUG STECK S-4079 220V</v>
      </c>
      <c r="C18343" s="2" t="str">
        <f>"UN"</f>
        <v>UN</v>
      </c>
      <c r="D18343" s="7">
        <v>601</v>
      </c>
      <c r="E18343" s="3">
        <v>8</v>
      </c>
      <c r="F18343" s="3">
        <v>8</v>
      </c>
      <c r="G18343" t="s">
        <v>515</v>
      </c>
    </row>
    <row r="18344" spans="1:7" x14ac:dyDescent="0.25">
      <c r="A18344" s="1" t="str">
        <f>"508458"</f>
        <v>508458</v>
      </c>
      <c r="B18344" s="2" t="str">
        <f>"PLUG STECK S-4276 380V 32A"</f>
        <v>PLUG STECK S-4276 380V 32A</v>
      </c>
      <c r="C18344" s="2" t="str">
        <f>"PC"</f>
        <v>PC</v>
      </c>
      <c r="D18344" s="7">
        <v>601</v>
      </c>
      <c r="E18344" s="3">
        <v>8</v>
      </c>
      <c r="F18344" s="3">
        <v>8</v>
      </c>
      <c r="G18344" t="s">
        <v>512</v>
      </c>
    </row>
    <row r="18345" spans="1:7" x14ac:dyDescent="0.25">
      <c r="A18345" s="1" t="str">
        <f>"524550"</f>
        <v>524550</v>
      </c>
      <c r="B18345" s="2" t="str">
        <f>"PLUG TRIFASICO SOBREPOR 16A IP67 4 POLOS A PROVA D'AGUA"</f>
        <v>PLUG TRIFASICO SOBREPOR 16A IP67 4 POLOS A PROVA D'AGUA</v>
      </c>
      <c r="C18345" s="2" t="str">
        <f t="shared" ref="C18345:C18374" si="721">"UN"</f>
        <v>UN</v>
      </c>
      <c r="D18345" s="7">
        <v>811</v>
      </c>
      <c r="E18345" s="3">
        <v>10</v>
      </c>
      <c r="F18345" s="3">
        <v>10</v>
      </c>
      <c r="G18345" t="s">
        <v>516</v>
      </c>
    </row>
    <row r="18346" spans="1:7" x14ac:dyDescent="0.25">
      <c r="A18346" s="1" t="str">
        <f>"517514"</f>
        <v>517514</v>
      </c>
      <c r="B18346" s="2" t="str">
        <f>"PLUMO PEDREIRO"</f>
        <v>PLUMO PEDREIRO</v>
      </c>
      <c r="C18346" s="2" t="str">
        <f t="shared" si="721"/>
        <v>UN</v>
      </c>
      <c r="D18346" s="7">
        <v>403</v>
      </c>
      <c r="E18346" s="3">
        <v>4</v>
      </c>
      <c r="F18346" s="3">
        <v>4</v>
      </c>
      <c r="G18346" t="s">
        <v>515</v>
      </c>
    </row>
    <row r="18347" spans="1:7" x14ac:dyDescent="0.25">
      <c r="A18347" s="1" t="str">
        <f>"523932"</f>
        <v>523932</v>
      </c>
      <c r="B18347" s="2" t="str">
        <f>"PLUVIOMETRO MEDIDOR VOLUME CHUVA 13CM"</f>
        <v>PLUVIOMETRO MEDIDOR VOLUME CHUVA 13CM</v>
      </c>
      <c r="C18347" s="2" t="str">
        <f t="shared" si="721"/>
        <v>UN</v>
      </c>
      <c r="D18347" s="7">
        <v>99999</v>
      </c>
      <c r="E18347" s="3">
        <v>99</v>
      </c>
      <c r="F18347" s="3">
        <v>99</v>
      </c>
      <c r="G18347" t="s">
        <v>514</v>
      </c>
    </row>
    <row r="18348" spans="1:7" x14ac:dyDescent="0.25">
      <c r="A18348" s="1" t="str">
        <f>"522840"</f>
        <v>522840</v>
      </c>
      <c r="B18348" s="2" t="str">
        <f>"PN 00AE912 LON.N2225 SAS/SATA HBA U PGRPWRADE SAS RAID DRIV"</f>
        <v>PN 00AE912 LON.N2225 SAS/SATA HBA U PGRPWRADE SAS RAID DRIV</v>
      </c>
      <c r="C18348" s="2" t="str">
        <f t="shared" si="721"/>
        <v>UN</v>
      </c>
      <c r="D18348" s="7">
        <v>401</v>
      </c>
      <c r="E18348" s="3">
        <v>4</v>
      </c>
      <c r="F18348" s="3">
        <v>4</v>
      </c>
      <c r="G18348" t="s">
        <v>512</v>
      </c>
    </row>
    <row r="18349" spans="1:7" x14ac:dyDescent="0.25">
      <c r="A18349" s="1" t="str">
        <f>"524314"</f>
        <v>524314</v>
      </c>
      <c r="B18349" s="2" t="str">
        <f>"PN 00MM860 INTEL X550 T2 DUAL PORT 10G CTLR"</f>
        <v>PN 00MM860 INTEL X550 T2 DUAL PORT 10G CTLR</v>
      </c>
      <c r="C18349" s="2" t="str">
        <f t="shared" si="721"/>
        <v>UN</v>
      </c>
      <c r="D18349" s="7">
        <v>99999</v>
      </c>
      <c r="E18349" s="3">
        <v>99</v>
      </c>
      <c r="F18349" s="3">
        <v>99</v>
      </c>
      <c r="G18349" t="s">
        <v>513</v>
      </c>
    </row>
    <row r="18350" spans="1:7" x14ac:dyDescent="0.25">
      <c r="A18350" s="1" t="str">
        <f>"526733"</f>
        <v>526733</v>
      </c>
      <c r="B18350" s="8" t="s">
        <v>477</v>
      </c>
      <c r="C18350" s="2" t="str">
        <f t="shared" si="721"/>
        <v>UN</v>
      </c>
      <c r="D18350" s="7">
        <v>99999</v>
      </c>
      <c r="E18350" s="3">
        <v>99</v>
      </c>
      <c r="F18350" s="3">
        <v>99</v>
      </c>
      <c r="G18350" t="s">
        <v>514</v>
      </c>
    </row>
    <row r="18351" spans="1:7" x14ac:dyDescent="0.25">
      <c r="A18351" s="1" t="str">
        <f>"526732"</f>
        <v>526732</v>
      </c>
      <c r="B18351" s="8" t="s">
        <v>476</v>
      </c>
      <c r="C18351" s="2" t="str">
        <f t="shared" si="721"/>
        <v>UN</v>
      </c>
      <c r="D18351" s="7">
        <v>99999</v>
      </c>
      <c r="E18351" s="3">
        <v>99</v>
      </c>
      <c r="F18351" s="3">
        <v>99</v>
      </c>
      <c r="G18351" t="s">
        <v>514</v>
      </c>
    </row>
    <row r="18352" spans="1:7" x14ac:dyDescent="0.25">
      <c r="A18352" s="1" t="str">
        <f>"526286"</f>
        <v>526286</v>
      </c>
      <c r="B18352" s="8" t="s">
        <v>471</v>
      </c>
      <c r="C18352" s="2" t="str">
        <f t="shared" si="721"/>
        <v>UN</v>
      </c>
      <c r="D18352" s="7">
        <v>99999</v>
      </c>
      <c r="E18352" s="3">
        <v>99</v>
      </c>
      <c r="F18352" s="3">
        <v>99</v>
      </c>
      <c r="G18352" t="s">
        <v>512</v>
      </c>
    </row>
    <row r="18353" spans="1:7" x14ac:dyDescent="0.25">
      <c r="A18353" s="1" t="str">
        <f>"526744"</f>
        <v>526744</v>
      </c>
      <c r="B18353" s="8" t="s">
        <v>480</v>
      </c>
      <c r="C18353" s="2" t="str">
        <f t="shared" si="721"/>
        <v>UN</v>
      </c>
      <c r="D18353" s="7">
        <v>99999</v>
      </c>
      <c r="E18353" s="3">
        <v>99</v>
      </c>
      <c r="F18353" s="3">
        <v>99</v>
      </c>
      <c r="G18353" t="s">
        <v>513</v>
      </c>
    </row>
    <row r="18354" spans="1:7" x14ac:dyDescent="0.25">
      <c r="A18354" s="1" t="str">
        <f>"526745"</f>
        <v>526745</v>
      </c>
      <c r="B18354" s="8" t="s">
        <v>481</v>
      </c>
      <c r="C18354" s="2" t="str">
        <f t="shared" si="721"/>
        <v>UN</v>
      </c>
      <c r="D18354" s="7">
        <v>99999</v>
      </c>
      <c r="E18354" s="3">
        <v>99</v>
      </c>
      <c r="F18354" s="3">
        <v>99</v>
      </c>
      <c r="G18354" t="s">
        <v>514</v>
      </c>
    </row>
    <row r="18355" spans="1:7" x14ac:dyDescent="0.25">
      <c r="A18355" s="1" t="str">
        <f>"526743"</f>
        <v>526743</v>
      </c>
      <c r="B18355" s="8" t="s">
        <v>479</v>
      </c>
      <c r="C18355" s="2" t="str">
        <f t="shared" si="721"/>
        <v>UN</v>
      </c>
      <c r="D18355" s="7">
        <v>99999</v>
      </c>
      <c r="E18355" s="3">
        <v>99</v>
      </c>
      <c r="F18355" s="3">
        <v>99</v>
      </c>
      <c r="G18355" t="s">
        <v>514</v>
      </c>
    </row>
    <row r="18356" spans="1:7" x14ac:dyDescent="0.25">
      <c r="A18356" s="1" t="str">
        <f>"526285"</f>
        <v>526285</v>
      </c>
      <c r="B18356" s="8" t="s">
        <v>470</v>
      </c>
      <c r="C18356" s="2" t="str">
        <f t="shared" si="721"/>
        <v>UN</v>
      </c>
      <c r="D18356" s="7">
        <v>99999</v>
      </c>
      <c r="E18356" s="3">
        <v>99</v>
      </c>
      <c r="F18356" s="3">
        <v>99</v>
      </c>
      <c r="G18356" t="s">
        <v>514</v>
      </c>
    </row>
    <row r="18357" spans="1:7" x14ac:dyDescent="0.25">
      <c r="A18357" s="1" t="str">
        <f>"526287"</f>
        <v>526287</v>
      </c>
      <c r="B18357" s="8" t="s">
        <v>472</v>
      </c>
      <c r="C18357" s="2" t="str">
        <f t="shared" si="721"/>
        <v>UN</v>
      </c>
      <c r="D18357" s="7">
        <v>99999</v>
      </c>
      <c r="E18357" s="3">
        <v>99</v>
      </c>
      <c r="F18357" s="3">
        <v>99</v>
      </c>
      <c r="G18357" t="s">
        <v>513</v>
      </c>
    </row>
    <row r="18358" spans="1:7" x14ac:dyDescent="0.25">
      <c r="A18358" s="1" t="str">
        <f>"518960"</f>
        <v>518960</v>
      </c>
      <c r="B18358" s="8" t="s">
        <v>108</v>
      </c>
      <c r="C18358" s="2" t="str">
        <f t="shared" si="721"/>
        <v>UN</v>
      </c>
      <c r="D18358" s="7">
        <v>811</v>
      </c>
      <c r="E18358" s="3">
        <v>4</v>
      </c>
      <c r="F18358" s="3">
        <v>4</v>
      </c>
      <c r="G18358" t="s">
        <v>512</v>
      </c>
    </row>
    <row r="18359" spans="1:7" x14ac:dyDescent="0.25">
      <c r="A18359" s="1" t="str">
        <f>"518958"</f>
        <v>518958</v>
      </c>
      <c r="B18359" s="8" t="s">
        <v>107</v>
      </c>
      <c r="C18359" s="2" t="str">
        <f t="shared" si="721"/>
        <v>UN</v>
      </c>
      <c r="D18359" s="7">
        <v>811</v>
      </c>
      <c r="E18359" s="3">
        <v>4</v>
      </c>
      <c r="F18359" s="3">
        <v>4</v>
      </c>
      <c r="G18359" t="s">
        <v>513</v>
      </c>
    </row>
    <row r="18360" spans="1:7" x14ac:dyDescent="0.25">
      <c r="A18360" s="1" t="str">
        <f>"518957"</f>
        <v>518957</v>
      </c>
      <c r="B18360" s="8" t="s">
        <v>106</v>
      </c>
      <c r="C18360" s="2" t="str">
        <f t="shared" si="721"/>
        <v>UN</v>
      </c>
      <c r="D18360" s="7">
        <v>811</v>
      </c>
      <c r="E18360" s="3">
        <v>4</v>
      </c>
      <c r="F18360" s="3">
        <v>4</v>
      </c>
      <c r="G18360" t="s">
        <v>514</v>
      </c>
    </row>
    <row r="18361" spans="1:7" x14ac:dyDescent="0.25">
      <c r="A18361" s="1" t="str">
        <f>"526731"</f>
        <v>526731</v>
      </c>
      <c r="B18361" s="8" t="s">
        <v>475</v>
      </c>
      <c r="C18361" s="2" t="str">
        <f t="shared" si="721"/>
        <v>UN</v>
      </c>
      <c r="D18361" s="7">
        <v>99999</v>
      </c>
      <c r="E18361" s="3">
        <v>99</v>
      </c>
      <c r="F18361" s="3">
        <v>99</v>
      </c>
      <c r="G18361" t="s">
        <v>514</v>
      </c>
    </row>
    <row r="18362" spans="1:7" x14ac:dyDescent="0.25">
      <c r="A18362" s="1" t="str">
        <f>"518956"</f>
        <v>518956</v>
      </c>
      <c r="B18362" s="8" t="s">
        <v>105</v>
      </c>
      <c r="C18362" s="2" t="str">
        <f t="shared" si="721"/>
        <v>UN</v>
      </c>
      <c r="D18362" s="7">
        <v>811</v>
      </c>
      <c r="E18362" s="3">
        <v>4</v>
      </c>
      <c r="F18362" s="3">
        <v>4</v>
      </c>
      <c r="G18362" t="s">
        <v>514</v>
      </c>
    </row>
    <row r="18363" spans="1:7" x14ac:dyDescent="0.25">
      <c r="A18363" s="1" t="str">
        <f>"524312"</f>
        <v>524312</v>
      </c>
      <c r="B18363" s="8" t="s">
        <v>371</v>
      </c>
      <c r="C18363" s="2" t="str">
        <f t="shared" si="721"/>
        <v>UN</v>
      </c>
      <c r="D18363" s="7">
        <v>99999</v>
      </c>
      <c r="E18363" s="3">
        <v>99</v>
      </c>
      <c r="F18363" s="3">
        <v>99</v>
      </c>
      <c r="G18363" t="s">
        <v>513</v>
      </c>
    </row>
    <row r="18364" spans="1:7" x14ac:dyDescent="0.25">
      <c r="A18364" s="1" t="str">
        <f>"524313"</f>
        <v>524313</v>
      </c>
      <c r="B18364" s="8" t="s">
        <v>372</v>
      </c>
      <c r="C18364" s="2" t="str">
        <f t="shared" si="721"/>
        <v>UN</v>
      </c>
      <c r="D18364" s="7">
        <v>99999</v>
      </c>
      <c r="E18364" s="3">
        <v>99</v>
      </c>
      <c r="F18364" s="3">
        <v>99</v>
      </c>
      <c r="G18364" t="s">
        <v>513</v>
      </c>
    </row>
    <row r="18365" spans="1:7" x14ac:dyDescent="0.25">
      <c r="A18365" s="1" t="str">
        <f>"521124"</f>
        <v>521124</v>
      </c>
      <c r="B18365" s="8" t="s">
        <v>191</v>
      </c>
      <c r="C18365" s="2" t="str">
        <f t="shared" si="721"/>
        <v>UN</v>
      </c>
      <c r="D18365" s="7">
        <v>99999</v>
      </c>
      <c r="E18365" s="3">
        <v>99</v>
      </c>
      <c r="F18365" s="3">
        <v>99</v>
      </c>
      <c r="G18365" t="s">
        <v>513</v>
      </c>
    </row>
    <row r="18366" spans="1:7" x14ac:dyDescent="0.25">
      <c r="A18366" s="1" t="str">
        <f>"520900"</f>
        <v>520900</v>
      </c>
      <c r="B18366" s="8" t="s">
        <v>185</v>
      </c>
      <c r="C18366" s="2" t="str">
        <f t="shared" si="721"/>
        <v>UN</v>
      </c>
      <c r="D18366" s="7">
        <v>99999</v>
      </c>
      <c r="E18366" s="3">
        <v>99</v>
      </c>
      <c r="F18366" s="3">
        <v>99</v>
      </c>
      <c r="G18366" t="s">
        <v>512</v>
      </c>
    </row>
    <row r="18367" spans="1:7" x14ac:dyDescent="0.25">
      <c r="A18367" s="1" t="str">
        <f>"504691"</f>
        <v>504691</v>
      </c>
      <c r="B18367" s="2" t="str">
        <f>"PNEU 1000/20"</f>
        <v>PNEU 1000/20</v>
      </c>
      <c r="C18367" s="2" t="str">
        <f t="shared" si="721"/>
        <v>UN</v>
      </c>
      <c r="D18367" s="7">
        <v>700</v>
      </c>
      <c r="E18367" s="3">
        <v>9</v>
      </c>
      <c r="F18367" s="3">
        <v>9</v>
      </c>
      <c r="G18367" t="s">
        <v>513</v>
      </c>
    </row>
    <row r="18368" spans="1:7" x14ac:dyDescent="0.25">
      <c r="A18368" s="1" t="str">
        <f>"504741"</f>
        <v>504741</v>
      </c>
      <c r="B18368" s="2" t="str">
        <f>"PNEU 1100/22"</f>
        <v>PNEU 1100/22</v>
      </c>
      <c r="C18368" s="2" t="str">
        <f t="shared" si="721"/>
        <v>UN</v>
      </c>
      <c r="D18368" s="7">
        <v>99999</v>
      </c>
      <c r="E18368" s="3">
        <v>99</v>
      </c>
      <c r="F18368" s="3">
        <v>99</v>
      </c>
      <c r="G18368" t="s">
        <v>514</v>
      </c>
    </row>
    <row r="18369" spans="1:7" x14ac:dyDescent="0.25">
      <c r="A18369" s="1" t="str">
        <f>"523120"</f>
        <v>523120</v>
      </c>
      <c r="B18369" s="2" t="str">
        <f>"PNEU 175/65 R14"</f>
        <v>PNEU 175/65 R14</v>
      </c>
      <c r="C18369" s="2" t="str">
        <f t="shared" si="721"/>
        <v>UN</v>
      </c>
      <c r="D18369" s="7">
        <v>99999</v>
      </c>
      <c r="E18369" s="3">
        <v>99</v>
      </c>
      <c r="F18369" s="3">
        <v>99</v>
      </c>
      <c r="G18369" t="s">
        <v>515</v>
      </c>
    </row>
    <row r="18370" spans="1:7" x14ac:dyDescent="0.25">
      <c r="A18370" s="1" t="str">
        <f>"515954"</f>
        <v>515954</v>
      </c>
      <c r="B18370" s="2" t="str">
        <f>"PNEU 175/70 R14"</f>
        <v>PNEU 175/70 R14</v>
      </c>
      <c r="C18370" s="2" t="str">
        <f t="shared" si="721"/>
        <v>UN</v>
      </c>
      <c r="D18370" s="7">
        <v>99999</v>
      </c>
      <c r="E18370" s="3">
        <v>99</v>
      </c>
      <c r="F18370" s="3">
        <v>99</v>
      </c>
      <c r="G18370" t="s">
        <v>512</v>
      </c>
    </row>
    <row r="18371" spans="1:7" x14ac:dyDescent="0.25">
      <c r="A18371" s="1" t="str">
        <f>"517662"</f>
        <v>517662</v>
      </c>
      <c r="B18371" s="2" t="str">
        <f>"PNEU 185/60 R14"</f>
        <v>PNEU 185/60 R14</v>
      </c>
      <c r="C18371" s="2" t="str">
        <f t="shared" si="721"/>
        <v>UN</v>
      </c>
      <c r="D18371" s="7">
        <v>2000</v>
      </c>
      <c r="E18371" s="3">
        <v>9</v>
      </c>
      <c r="F18371" s="3">
        <v>9</v>
      </c>
      <c r="G18371" t="s">
        <v>516</v>
      </c>
    </row>
    <row r="18372" spans="1:7" x14ac:dyDescent="0.25">
      <c r="A18372" s="1" t="str">
        <f>"512919"</f>
        <v>512919</v>
      </c>
      <c r="B18372" s="2" t="str">
        <f>"PNEU 185/60 R15"</f>
        <v>PNEU 185/60 R15</v>
      </c>
      <c r="C18372" s="2" t="str">
        <f t="shared" si="721"/>
        <v>UN</v>
      </c>
      <c r="D18372" s="7">
        <v>700</v>
      </c>
      <c r="E18372" s="3">
        <v>9</v>
      </c>
      <c r="F18372" s="3">
        <v>9</v>
      </c>
      <c r="G18372" t="s">
        <v>515</v>
      </c>
    </row>
    <row r="18373" spans="1:7" x14ac:dyDescent="0.25">
      <c r="A18373" s="1" t="str">
        <f>"518286"</f>
        <v>518286</v>
      </c>
      <c r="B18373" s="2" t="str">
        <f>"PNEU 185/65 R15"</f>
        <v>PNEU 185/65 R15</v>
      </c>
      <c r="C18373" s="2" t="str">
        <f t="shared" si="721"/>
        <v>UN</v>
      </c>
      <c r="D18373" s="7">
        <v>700</v>
      </c>
      <c r="E18373" s="3">
        <v>9</v>
      </c>
      <c r="F18373" s="3">
        <v>9</v>
      </c>
      <c r="G18373" t="s">
        <v>514</v>
      </c>
    </row>
    <row r="18374" spans="1:7" x14ac:dyDescent="0.25">
      <c r="A18374" s="1" t="str">
        <f>"525101"</f>
        <v>525101</v>
      </c>
      <c r="B18374" s="2" t="str">
        <f>"PNEU 185/70 R14"</f>
        <v>PNEU 185/70 R14</v>
      </c>
      <c r="C18374" s="2" t="str">
        <f t="shared" si="721"/>
        <v>UN</v>
      </c>
      <c r="D18374" s="7">
        <v>700</v>
      </c>
      <c r="E18374" s="3">
        <v>9</v>
      </c>
      <c r="F18374" s="3">
        <v>9</v>
      </c>
      <c r="G18374" t="s">
        <v>512</v>
      </c>
    </row>
    <row r="18375" spans="1:7" x14ac:dyDescent="0.25">
      <c r="A18375" s="1" t="str">
        <f>"512385"</f>
        <v>512385</v>
      </c>
      <c r="B18375" s="2" t="str">
        <f>"PNEU 19.5L 24 10 LONAS - CAT 416-E"</f>
        <v>PNEU 19.5L 24 10 LONAS - CAT 416-E</v>
      </c>
      <c r="C18375" s="2" t="str">
        <f>"PC"</f>
        <v>PC</v>
      </c>
      <c r="D18375" s="7">
        <v>700</v>
      </c>
      <c r="E18375" s="3">
        <v>9</v>
      </c>
      <c r="F18375" s="3">
        <v>9</v>
      </c>
      <c r="G18375" t="s">
        <v>513</v>
      </c>
    </row>
    <row r="18376" spans="1:7" x14ac:dyDescent="0.25">
      <c r="A18376" s="1" t="str">
        <f>"528049"</f>
        <v>528049</v>
      </c>
      <c r="B18376" s="2" t="str">
        <f>"PNEU 195/55 R. 15"</f>
        <v>PNEU 195/55 R. 15</v>
      </c>
      <c r="C18376" s="2" t="str">
        <f t="shared" ref="C18376:C18397" si="722">"UN"</f>
        <v>UN</v>
      </c>
      <c r="D18376" s="7">
        <v>700</v>
      </c>
      <c r="E18376" s="3">
        <v>9</v>
      </c>
      <c r="F18376" s="3">
        <v>9</v>
      </c>
      <c r="G18376" t="s">
        <v>514</v>
      </c>
    </row>
    <row r="18377" spans="1:7" x14ac:dyDescent="0.25">
      <c r="A18377" s="1" t="str">
        <f>"528114"</f>
        <v>528114</v>
      </c>
      <c r="B18377" s="2" t="str">
        <f>"PNEU 195/60 R15"</f>
        <v>PNEU 195/60 R15</v>
      </c>
      <c r="C18377" s="2" t="str">
        <f t="shared" si="722"/>
        <v>UN</v>
      </c>
      <c r="D18377" s="7">
        <v>700</v>
      </c>
      <c r="E18377" s="3">
        <v>9</v>
      </c>
      <c r="F18377" s="3">
        <v>9</v>
      </c>
      <c r="G18377" t="s">
        <v>514</v>
      </c>
    </row>
    <row r="18378" spans="1:7" x14ac:dyDescent="0.25">
      <c r="A18378" s="1" t="str">
        <f>"525258"</f>
        <v>525258</v>
      </c>
      <c r="B18378" s="2" t="str">
        <f>"PNEU 215/55 R17"</f>
        <v>PNEU 215/55 R17</v>
      </c>
      <c r="C18378" s="2" t="str">
        <f t="shared" si="722"/>
        <v>UN</v>
      </c>
      <c r="D18378" s="7">
        <v>700</v>
      </c>
      <c r="E18378" s="3">
        <v>9</v>
      </c>
      <c r="F18378" s="3">
        <v>9</v>
      </c>
      <c r="G18378" t="s">
        <v>512</v>
      </c>
    </row>
    <row r="18379" spans="1:7" x14ac:dyDescent="0.25">
      <c r="A18379" s="1" t="str">
        <f>"515163"</f>
        <v>515163</v>
      </c>
      <c r="B18379" s="2" t="str">
        <f>"PNEU 235/55/19 105 V SC-VEAS"</f>
        <v>PNEU 235/55/19 105 V SC-VEAS</v>
      </c>
      <c r="C18379" s="2" t="str">
        <f t="shared" si="722"/>
        <v>UN</v>
      </c>
      <c r="D18379" s="7">
        <v>700</v>
      </c>
      <c r="E18379" s="3">
        <v>9</v>
      </c>
      <c r="F18379" s="3">
        <v>9</v>
      </c>
      <c r="G18379" t="s">
        <v>513</v>
      </c>
    </row>
    <row r="18380" spans="1:7" x14ac:dyDescent="0.25">
      <c r="A18380" s="1" t="str">
        <f>"518477"</f>
        <v>518477</v>
      </c>
      <c r="B18380" s="2" t="str">
        <f>"PNEU 245/50 R20 102H S-STR"</f>
        <v>PNEU 245/50 R20 102H S-STR</v>
      </c>
      <c r="C18380" s="2" t="str">
        <f t="shared" si="722"/>
        <v>UN</v>
      </c>
      <c r="D18380" s="7">
        <v>99999</v>
      </c>
      <c r="E18380" s="3">
        <v>99</v>
      </c>
      <c r="F18380" s="3">
        <v>99</v>
      </c>
      <c r="G18380" t="s">
        <v>514</v>
      </c>
    </row>
    <row r="18381" spans="1:7" x14ac:dyDescent="0.25">
      <c r="A18381" s="1" t="str">
        <f>"524961"</f>
        <v>524961</v>
      </c>
      <c r="B18381" s="2" t="str">
        <f>"PNEU 245/65 R17"</f>
        <v>PNEU 245/65 R17</v>
      </c>
      <c r="C18381" s="2" t="str">
        <f t="shared" si="722"/>
        <v>UN</v>
      </c>
      <c r="D18381" s="7">
        <v>700</v>
      </c>
      <c r="E18381" s="3">
        <v>9</v>
      </c>
      <c r="F18381" s="3">
        <v>9</v>
      </c>
      <c r="G18381" t="s">
        <v>514</v>
      </c>
    </row>
    <row r="18382" spans="1:7" x14ac:dyDescent="0.25">
      <c r="A18382" s="1" t="str">
        <f>"514856"</f>
        <v>514856</v>
      </c>
      <c r="B18382" s="2" t="str">
        <f>"PNEU 265/50 R20 RO-HP NEXEN"</f>
        <v>PNEU 265/50 R20 RO-HP NEXEN</v>
      </c>
      <c r="C18382" s="2" t="str">
        <f t="shared" si="722"/>
        <v>UN</v>
      </c>
      <c r="D18382" s="7">
        <v>700</v>
      </c>
      <c r="E18382" s="3">
        <v>4</v>
      </c>
      <c r="F18382" s="3">
        <v>4</v>
      </c>
      <c r="G18382" t="s">
        <v>514</v>
      </c>
    </row>
    <row r="18383" spans="1:7" x14ac:dyDescent="0.25">
      <c r="A18383" s="1" t="str">
        <f>"518643"</f>
        <v>518643</v>
      </c>
      <c r="B18383" s="2" t="str">
        <f>"PNEU 265/75 R16 123/120rltxat2"</f>
        <v>PNEU 265/75 R16 123/120rltxat2</v>
      </c>
      <c r="C18383" s="2" t="str">
        <f t="shared" si="722"/>
        <v>UN</v>
      </c>
      <c r="D18383" s="7">
        <v>700</v>
      </c>
      <c r="E18383" s="3">
        <v>4</v>
      </c>
      <c r="F18383" s="3">
        <v>4</v>
      </c>
      <c r="G18383" t="s">
        <v>513</v>
      </c>
    </row>
    <row r="18384" spans="1:7" x14ac:dyDescent="0.25">
      <c r="A18384" s="1" t="str">
        <f>"518339"</f>
        <v>518339</v>
      </c>
      <c r="B18384" s="2" t="str">
        <f>"PNEU 275/50 R20 - MERCEDES CLEIDE"</f>
        <v>PNEU 275/50 R20 - MERCEDES CLEIDE</v>
      </c>
      <c r="C18384" s="2" t="str">
        <f t="shared" si="722"/>
        <v>UN</v>
      </c>
      <c r="D18384" s="7">
        <v>700</v>
      </c>
      <c r="E18384" s="3">
        <v>9</v>
      </c>
      <c r="F18384" s="3">
        <v>9</v>
      </c>
      <c r="G18384" t="s">
        <v>512</v>
      </c>
    </row>
    <row r="18385" spans="1:7" x14ac:dyDescent="0.25">
      <c r="A18385" s="1" t="str">
        <f>"504631"</f>
        <v>504631</v>
      </c>
      <c r="B18385" s="2" t="str">
        <f>"PNEU 275/80 R22.5"</f>
        <v>PNEU 275/80 R22.5</v>
      </c>
      <c r="C18385" s="2" t="str">
        <f t="shared" si="722"/>
        <v>UN</v>
      </c>
      <c r="D18385" s="7">
        <v>99999</v>
      </c>
      <c r="E18385" s="3">
        <v>99</v>
      </c>
      <c r="F18385" s="3">
        <v>99</v>
      </c>
      <c r="G18385" t="s">
        <v>513</v>
      </c>
    </row>
    <row r="18386" spans="1:7" x14ac:dyDescent="0.25">
      <c r="A18386" s="1" t="str">
        <f>"505785"</f>
        <v>505785</v>
      </c>
      <c r="B18386" s="2" t="str">
        <f>"PNEU 295/80 R22.5"</f>
        <v>PNEU 295/80 R22.5</v>
      </c>
      <c r="C18386" s="2" t="str">
        <f t="shared" si="722"/>
        <v>UN</v>
      </c>
      <c r="D18386" s="7">
        <v>700</v>
      </c>
      <c r="E18386" s="3">
        <v>9</v>
      </c>
      <c r="F18386" s="3">
        <v>9</v>
      </c>
      <c r="G18386" t="s">
        <v>514</v>
      </c>
    </row>
    <row r="18387" spans="1:7" x14ac:dyDescent="0.25">
      <c r="A18387" s="1" t="str">
        <f>"520145"</f>
        <v>520145</v>
      </c>
      <c r="B18387" s="2" t="str">
        <f>"PNEU 750X16 LISO -  CARRETA DO TRATOR"</f>
        <v>PNEU 750X16 LISO -  CARRETA DO TRATOR</v>
      </c>
      <c r="C18387" s="2" t="str">
        <f t="shared" si="722"/>
        <v>UN</v>
      </c>
      <c r="D18387" s="7">
        <v>700</v>
      </c>
      <c r="E18387" s="3">
        <v>9</v>
      </c>
      <c r="F18387" s="3">
        <v>9</v>
      </c>
      <c r="G18387" t="s">
        <v>514</v>
      </c>
    </row>
    <row r="18388" spans="1:7" x14ac:dyDescent="0.25">
      <c r="A18388" s="1" t="str">
        <f>"527011"</f>
        <v>527011</v>
      </c>
      <c r="B18388" s="2" t="str">
        <f>"PNEU CARRINHO 3.5 / 4"</f>
        <v>PNEU CARRINHO 3.5 / 4</v>
      </c>
      <c r="C18388" s="2" t="str">
        <f t="shared" si="722"/>
        <v>UN</v>
      </c>
      <c r="D18388" s="7">
        <v>403</v>
      </c>
      <c r="E18388" s="3">
        <v>4</v>
      </c>
      <c r="F18388" s="3">
        <v>4</v>
      </c>
      <c r="G18388" t="s">
        <v>514</v>
      </c>
    </row>
    <row r="18389" spans="1:7" x14ac:dyDescent="0.25">
      <c r="A18389" s="1" t="str">
        <f>"516114"</f>
        <v>516114</v>
      </c>
      <c r="B18389" s="2" t="str">
        <f>"PNEU CARRINHO 4.80/400-8"""</f>
        <v>PNEU CARRINHO 4.80/400-8"</v>
      </c>
      <c r="C18389" s="2" t="str">
        <f t="shared" si="722"/>
        <v>UN</v>
      </c>
      <c r="D18389" s="7">
        <v>403</v>
      </c>
      <c r="E18389" s="3">
        <v>4</v>
      </c>
      <c r="F18389" s="3">
        <v>4</v>
      </c>
      <c r="G18389" t="s">
        <v>513</v>
      </c>
    </row>
    <row r="18390" spans="1:7" x14ac:dyDescent="0.25">
      <c r="A18390" s="1" t="str">
        <f>"517041"</f>
        <v>517041</v>
      </c>
      <c r="B18390" s="2" t="str">
        <f>"PNEU EMPILHADEIRA 6.90/6.00-9NHS"</f>
        <v>PNEU EMPILHADEIRA 6.90/6.00-9NHS</v>
      </c>
      <c r="C18390" s="2" t="str">
        <f t="shared" si="722"/>
        <v>UN</v>
      </c>
      <c r="D18390" s="7">
        <v>700</v>
      </c>
      <c r="E18390" s="3">
        <v>16</v>
      </c>
      <c r="F18390" s="3">
        <v>16</v>
      </c>
      <c r="G18390" t="s">
        <v>513</v>
      </c>
    </row>
    <row r="18391" spans="1:7" x14ac:dyDescent="0.25">
      <c r="A18391" s="1" t="str">
        <f>"515731"</f>
        <v>515731</v>
      </c>
      <c r="B18391" s="2" t="str">
        <f>"PNEU EMPILHADEIRA 7.00-12 NHS 12PR"</f>
        <v>PNEU EMPILHADEIRA 7.00-12 NHS 12PR</v>
      </c>
      <c r="C18391" s="2" t="str">
        <f t="shared" si="722"/>
        <v>UN</v>
      </c>
      <c r="D18391" s="7">
        <v>812</v>
      </c>
      <c r="E18391" s="3">
        <v>4</v>
      </c>
      <c r="F18391" s="3">
        <v>4</v>
      </c>
      <c r="G18391" t="s">
        <v>513</v>
      </c>
    </row>
    <row r="18392" spans="1:7" x14ac:dyDescent="0.25">
      <c r="A18392" s="1" t="str">
        <f>"517559"</f>
        <v>517559</v>
      </c>
      <c r="B18392" s="2" t="str">
        <f>"PNEU GOODYEAR TRAMINE II"</f>
        <v>PNEU GOODYEAR TRAMINE II</v>
      </c>
      <c r="C18392" s="2" t="str">
        <f t="shared" si="722"/>
        <v>UN</v>
      </c>
      <c r="D18392" s="7">
        <v>700</v>
      </c>
      <c r="E18392" s="3">
        <v>11</v>
      </c>
      <c r="F18392" s="3">
        <v>11</v>
      </c>
      <c r="G18392" t="s">
        <v>512</v>
      </c>
    </row>
    <row r="18393" spans="1:7" x14ac:dyDescent="0.25">
      <c r="A18393" s="1" t="str">
        <f>"515952"</f>
        <v>515952</v>
      </c>
      <c r="B18393" s="2" t="str">
        <f>"PNEU GY 165/70R13 79T GPS-3 SPORT SC"</f>
        <v>PNEU GY 165/70R13 79T GPS-3 SPORT SC</v>
      </c>
      <c r="C18393" s="2" t="str">
        <f t="shared" si="722"/>
        <v>UN</v>
      </c>
      <c r="D18393" s="7">
        <v>99999</v>
      </c>
      <c r="E18393" s="3">
        <v>99</v>
      </c>
      <c r="F18393" s="3">
        <v>99</v>
      </c>
      <c r="G18393" t="s">
        <v>513</v>
      </c>
    </row>
    <row r="18394" spans="1:7" x14ac:dyDescent="0.25">
      <c r="A18394" s="1" t="str">
        <f>"514968"</f>
        <v>514968</v>
      </c>
      <c r="B18394" s="2" t="str">
        <f>"PNEU MICHELIN 195/55 R16"</f>
        <v>PNEU MICHELIN 195/55 R16</v>
      </c>
      <c r="C18394" s="2" t="str">
        <f t="shared" si="722"/>
        <v>UN</v>
      </c>
      <c r="D18394" s="7">
        <v>700</v>
      </c>
      <c r="E18394" s="3">
        <v>9</v>
      </c>
      <c r="F18394" s="3">
        <v>9</v>
      </c>
      <c r="G18394" t="s">
        <v>514</v>
      </c>
    </row>
    <row r="18395" spans="1:7" x14ac:dyDescent="0.25">
      <c r="A18395" s="1" t="str">
        <f>"518902"</f>
        <v>518902</v>
      </c>
      <c r="B18395" s="2" t="str">
        <f>"PO BROTHER 7040"</f>
        <v>PO BROTHER 7040</v>
      </c>
      <c r="C18395" s="2" t="str">
        <f t="shared" si="722"/>
        <v>UN</v>
      </c>
      <c r="D18395" s="7">
        <v>401</v>
      </c>
      <c r="E18395" s="3">
        <v>4</v>
      </c>
      <c r="F18395" s="3">
        <v>4</v>
      </c>
      <c r="G18395" t="s">
        <v>515</v>
      </c>
    </row>
    <row r="18396" spans="1:7" x14ac:dyDescent="0.25">
      <c r="A18396" s="1" t="str">
        <f>"517013"</f>
        <v>517013</v>
      </c>
      <c r="B18396" s="2" t="str">
        <f>"PÓ DE PEDRA"</f>
        <v>PÓ DE PEDRA</v>
      </c>
      <c r="C18396" s="2" t="str">
        <f t="shared" si="722"/>
        <v>UN</v>
      </c>
      <c r="D18396" s="7">
        <v>917</v>
      </c>
      <c r="E18396" s="3">
        <v>4</v>
      </c>
      <c r="F18396" s="3">
        <v>4</v>
      </c>
      <c r="G18396" t="s">
        <v>512</v>
      </c>
    </row>
    <row r="18397" spans="1:7" x14ac:dyDescent="0.25">
      <c r="A18397" s="1" t="str">
        <f>"526800"</f>
        <v>526800</v>
      </c>
      <c r="B18397" s="2" t="str">
        <f>"PO DESINCRUSTANTE SACHÊ P/ AUTOCLAVE CLEAN"</f>
        <v>PO DESINCRUSTANTE SACHÊ P/ AUTOCLAVE CLEAN</v>
      </c>
      <c r="C18397" s="2" t="str">
        <f t="shared" si="722"/>
        <v>UN</v>
      </c>
      <c r="D18397" s="7">
        <v>99999</v>
      </c>
      <c r="E18397" s="3">
        <v>99</v>
      </c>
      <c r="F18397" s="3">
        <v>99</v>
      </c>
      <c r="G18397" t="s">
        <v>516</v>
      </c>
    </row>
    <row r="18398" spans="1:7" x14ac:dyDescent="0.25">
      <c r="A18398" s="1" t="str">
        <f>"524123"</f>
        <v>524123</v>
      </c>
      <c r="B18398" s="2" t="str">
        <f>"PÓ P/ RADIADOR"</f>
        <v>PÓ P/ RADIADOR</v>
      </c>
      <c r="C18398" s="2" t="str">
        <f>"LT"</f>
        <v>LT</v>
      </c>
      <c r="D18398" s="7">
        <v>702</v>
      </c>
      <c r="E18398" s="3">
        <v>9</v>
      </c>
      <c r="F18398" s="3">
        <v>9</v>
      </c>
      <c r="G18398" t="s">
        <v>515</v>
      </c>
    </row>
    <row r="18399" spans="1:7" x14ac:dyDescent="0.25">
      <c r="A18399" s="1" t="str">
        <f>"520759"</f>
        <v>520759</v>
      </c>
      <c r="B18399" s="2" t="str">
        <f>"PÓ ROYAL"</f>
        <v>PÓ ROYAL</v>
      </c>
      <c r="C18399" s="2" t="str">
        <f t="shared" ref="C18399:C18438" si="723">"UN"</f>
        <v>UN</v>
      </c>
      <c r="D18399" s="7">
        <v>99999</v>
      </c>
      <c r="E18399" s="3">
        <v>99</v>
      </c>
      <c r="F18399" s="3">
        <v>99</v>
      </c>
      <c r="G18399" t="s">
        <v>514</v>
      </c>
    </row>
    <row r="18400" spans="1:7" x14ac:dyDescent="0.25">
      <c r="A18400" s="1" t="str">
        <f>"510419"</f>
        <v>510419</v>
      </c>
      <c r="B18400" s="2" t="str">
        <f>"PO TRINCAL"</f>
        <v>PO TRINCAL</v>
      </c>
      <c r="C18400" s="2" t="str">
        <f t="shared" si="723"/>
        <v>UN</v>
      </c>
      <c r="D18400" s="7">
        <v>818</v>
      </c>
      <c r="E18400" s="3">
        <v>10</v>
      </c>
      <c r="F18400" s="3">
        <v>10</v>
      </c>
      <c r="G18400" t="s">
        <v>512</v>
      </c>
    </row>
    <row r="18401" spans="1:7" x14ac:dyDescent="0.25">
      <c r="A18401" s="1" t="str">
        <f>"527209"</f>
        <v>527209</v>
      </c>
      <c r="B18401" s="2" t="str">
        <f>"POCHETE PERNA"</f>
        <v>POCHETE PERNA</v>
      </c>
      <c r="C18401" s="2" t="str">
        <f t="shared" si="723"/>
        <v>UN</v>
      </c>
      <c r="D18401" s="7">
        <v>99999</v>
      </c>
      <c r="E18401" s="3">
        <v>99</v>
      </c>
      <c r="F18401" s="3">
        <v>99</v>
      </c>
      <c r="G18401" t="s">
        <v>513</v>
      </c>
    </row>
    <row r="18402" spans="1:7" x14ac:dyDescent="0.25">
      <c r="A18402" s="1" t="str">
        <f>"512387"</f>
        <v>512387</v>
      </c>
      <c r="B18402" s="2" t="str">
        <f>"POÇO P/ SENSOR"</f>
        <v>POÇO P/ SENSOR</v>
      </c>
      <c r="C18402" s="2" t="str">
        <f t="shared" si="723"/>
        <v>UN</v>
      </c>
      <c r="D18402" s="7">
        <v>99999</v>
      </c>
      <c r="E18402" s="3">
        <v>99</v>
      </c>
      <c r="F18402" s="3">
        <v>99</v>
      </c>
      <c r="G18402" t="s">
        <v>514</v>
      </c>
    </row>
    <row r="18403" spans="1:7" x14ac:dyDescent="0.25">
      <c r="A18403" s="1" t="str">
        <f>"523026"</f>
        <v>523026</v>
      </c>
      <c r="B18403" s="2" t="str">
        <f>"POLASEAL 220X307X005 A4 C/100 UND"</f>
        <v>POLASEAL 220X307X005 A4 C/100 UND</v>
      </c>
      <c r="C18403" s="2" t="str">
        <f t="shared" si="723"/>
        <v>UN</v>
      </c>
      <c r="D18403" s="7">
        <v>401</v>
      </c>
      <c r="E18403" s="3">
        <v>4</v>
      </c>
      <c r="F18403" s="3">
        <v>4</v>
      </c>
      <c r="G18403" t="s">
        <v>514</v>
      </c>
    </row>
    <row r="18404" spans="1:7" x14ac:dyDescent="0.25">
      <c r="A18404" s="1" t="str">
        <f>"508548"</f>
        <v>508548</v>
      </c>
      <c r="B18404" s="2" t="str">
        <f>"POLIA"</f>
        <v>POLIA</v>
      </c>
      <c r="C18404" s="2" t="str">
        <f t="shared" si="723"/>
        <v>UN</v>
      </c>
      <c r="D18404" s="7">
        <v>704</v>
      </c>
      <c r="E18404" s="3">
        <v>9</v>
      </c>
      <c r="F18404" s="3">
        <v>9</v>
      </c>
      <c r="G18404" t="s">
        <v>512</v>
      </c>
    </row>
    <row r="18405" spans="1:7" x14ac:dyDescent="0.25">
      <c r="A18405" s="1" t="str">
        <f>"503067"</f>
        <v>503067</v>
      </c>
      <c r="B18405" s="2" t="str">
        <f>"POLIA 1 CANAL V DIAMETRO 110MM EIXO 16MM"</f>
        <v>POLIA 1 CANAL V DIAMETRO 110MM EIXO 16MM</v>
      </c>
      <c r="C18405" s="2" t="str">
        <f t="shared" si="723"/>
        <v>UN</v>
      </c>
      <c r="D18405" s="7">
        <v>402</v>
      </c>
      <c r="E18405" s="3">
        <v>4</v>
      </c>
      <c r="F18405" s="3">
        <v>4</v>
      </c>
      <c r="G18405" t="s">
        <v>513</v>
      </c>
    </row>
    <row r="18406" spans="1:7" x14ac:dyDescent="0.25">
      <c r="A18406" s="1" t="str">
        <f>"524984"</f>
        <v>524984</v>
      </c>
      <c r="B18406" s="2" t="str">
        <f>"POLIA 100MM A1 ALUMINIO"</f>
        <v>POLIA 100MM A1 ALUMINIO</v>
      </c>
      <c r="C18406" s="2" t="str">
        <f t="shared" si="723"/>
        <v>UN</v>
      </c>
      <c r="D18406" s="7">
        <v>812</v>
      </c>
      <c r="E18406" s="3">
        <v>11</v>
      </c>
      <c r="F18406" s="3">
        <v>11</v>
      </c>
      <c r="G18406" t="s">
        <v>514</v>
      </c>
    </row>
    <row r="18407" spans="1:7" x14ac:dyDescent="0.25">
      <c r="A18407" s="1" t="str">
        <f>"524985"</f>
        <v>524985</v>
      </c>
      <c r="B18407" s="2" t="str">
        <f>"POLIA 115MM A1 ALUMINIO"</f>
        <v>POLIA 115MM A1 ALUMINIO</v>
      </c>
      <c r="C18407" s="2" t="str">
        <f t="shared" si="723"/>
        <v>UN</v>
      </c>
      <c r="D18407" s="7">
        <v>812</v>
      </c>
      <c r="E18407" s="3">
        <v>11</v>
      </c>
      <c r="F18407" s="3">
        <v>11</v>
      </c>
      <c r="G18407" t="s">
        <v>514</v>
      </c>
    </row>
    <row r="18408" spans="1:7" x14ac:dyDescent="0.25">
      <c r="A18408" s="1" t="str">
        <f>"512142"</f>
        <v>512142</v>
      </c>
      <c r="B18408" s="2" t="str">
        <f>"POLIA 1A CANAL V 150MM"</f>
        <v>POLIA 1A CANAL V 150MM</v>
      </c>
      <c r="C18408" s="2" t="str">
        <f t="shared" si="723"/>
        <v>UN</v>
      </c>
      <c r="D18408" s="7">
        <v>918</v>
      </c>
      <c r="E18408" s="3">
        <v>11</v>
      </c>
      <c r="F18408" s="3">
        <v>11</v>
      </c>
      <c r="G18408" t="s">
        <v>514</v>
      </c>
    </row>
    <row r="18409" spans="1:7" x14ac:dyDescent="0.25">
      <c r="A18409" s="1" t="str">
        <f>"511079"</f>
        <v>511079</v>
      </c>
      <c r="B18409" s="2" t="str">
        <f>"POLIA 1VB 300"</f>
        <v>POLIA 1VB 300</v>
      </c>
      <c r="C18409" s="2" t="str">
        <f t="shared" si="723"/>
        <v>UN</v>
      </c>
      <c r="D18409" s="7">
        <v>812</v>
      </c>
      <c r="E18409" s="3">
        <v>10</v>
      </c>
      <c r="F18409" s="3">
        <v>10</v>
      </c>
      <c r="G18409" t="s">
        <v>513</v>
      </c>
    </row>
    <row r="18410" spans="1:7" x14ac:dyDescent="0.25">
      <c r="A18410" s="1" t="str">
        <f>"511078"</f>
        <v>511078</v>
      </c>
      <c r="B18410" s="2" t="str">
        <f>"POLIA 1VB 70"</f>
        <v>POLIA 1VB 70</v>
      </c>
      <c r="C18410" s="2" t="str">
        <f t="shared" si="723"/>
        <v>UN</v>
      </c>
      <c r="D18410" s="7">
        <v>812</v>
      </c>
      <c r="E18410" s="3">
        <v>10</v>
      </c>
      <c r="F18410" s="3">
        <v>10</v>
      </c>
      <c r="G18410" t="s">
        <v>512</v>
      </c>
    </row>
    <row r="18411" spans="1:7" x14ac:dyDescent="0.25">
      <c r="A18411" s="1" t="str">
        <f>"526937"</f>
        <v>526937</v>
      </c>
      <c r="B18411" s="2" t="str">
        <f>"POLIA 2 CANAL A DIAMETRO 150MM"</f>
        <v>POLIA 2 CANAL A DIAMETRO 150MM</v>
      </c>
      <c r="C18411" s="2" t="str">
        <f t="shared" si="723"/>
        <v>UN</v>
      </c>
      <c r="D18411" s="7">
        <v>918</v>
      </c>
      <c r="E18411" s="3">
        <v>11</v>
      </c>
      <c r="F18411" s="3">
        <v>11</v>
      </c>
      <c r="G18411" t="s">
        <v>513</v>
      </c>
    </row>
    <row r="18412" spans="1:7" x14ac:dyDescent="0.25">
      <c r="A18412" s="1" t="str">
        <f>"505466"</f>
        <v>505466</v>
      </c>
      <c r="B18412" s="2" t="str">
        <f>"POLIA 2 CANAL B DIAMETRO 120MM"</f>
        <v>POLIA 2 CANAL B DIAMETRO 120MM</v>
      </c>
      <c r="C18412" s="2" t="str">
        <f t="shared" si="723"/>
        <v>UN</v>
      </c>
      <c r="D18412" s="7">
        <v>402</v>
      </c>
      <c r="E18412" s="3">
        <v>4</v>
      </c>
      <c r="F18412" s="3">
        <v>4</v>
      </c>
      <c r="G18412" t="s">
        <v>514</v>
      </c>
    </row>
    <row r="18413" spans="1:7" x14ac:dyDescent="0.25">
      <c r="A18413" s="1" t="str">
        <f>"527903"</f>
        <v>527903</v>
      </c>
      <c r="B18413" s="2" t="str">
        <f>"POLIA 2 CANAL B DIAMETRO 80"</f>
        <v>POLIA 2 CANAL B DIAMETRO 80</v>
      </c>
      <c r="C18413" s="2" t="str">
        <f t="shared" si="723"/>
        <v>UN</v>
      </c>
      <c r="D18413" s="7">
        <v>812</v>
      </c>
      <c r="E18413" s="3">
        <v>11</v>
      </c>
      <c r="F18413" s="3">
        <v>11</v>
      </c>
      <c r="G18413" t="s">
        <v>514</v>
      </c>
    </row>
    <row r="18414" spans="1:7" x14ac:dyDescent="0.25">
      <c r="A18414" s="1" t="str">
        <f>"527904"</f>
        <v>527904</v>
      </c>
      <c r="B18414" s="2" t="str">
        <f>"POLIA 2 CANAL B DIAMETRO 90"</f>
        <v>POLIA 2 CANAL B DIAMETRO 90</v>
      </c>
      <c r="C18414" s="2" t="str">
        <f t="shared" si="723"/>
        <v>UN</v>
      </c>
      <c r="D18414" s="7">
        <v>812</v>
      </c>
      <c r="E18414" s="3">
        <v>11</v>
      </c>
      <c r="F18414" s="3">
        <v>11</v>
      </c>
      <c r="G18414" t="s">
        <v>514</v>
      </c>
    </row>
    <row r="18415" spans="1:7" x14ac:dyDescent="0.25">
      <c r="A18415" s="1" t="str">
        <f>"527685"</f>
        <v>527685</v>
      </c>
      <c r="B18415" s="2" t="str">
        <f>"POLIA 2 CANAL CORREIA  A DIAMETRO 160MM"</f>
        <v>POLIA 2 CANAL CORREIA  A DIAMETRO 160MM</v>
      </c>
      <c r="C18415" s="2" t="str">
        <f t="shared" si="723"/>
        <v>UN</v>
      </c>
      <c r="D18415" s="7">
        <v>918</v>
      </c>
      <c r="E18415" s="3">
        <v>11</v>
      </c>
      <c r="F18415" s="3">
        <v>11</v>
      </c>
      <c r="G18415" t="s">
        <v>513</v>
      </c>
    </row>
    <row r="18416" spans="1:7" x14ac:dyDescent="0.25">
      <c r="A18416" s="1" t="str">
        <f>"505892"</f>
        <v>505892</v>
      </c>
      <c r="B18416" s="2" t="str">
        <f>"POLIA 2 CANAL V DIAM 100MM P/CORREIA B"</f>
        <v>POLIA 2 CANAL V DIAM 100MM P/CORREIA B</v>
      </c>
      <c r="C18416" s="2" t="str">
        <f t="shared" si="723"/>
        <v>UN</v>
      </c>
      <c r="D18416" s="7">
        <v>918</v>
      </c>
      <c r="E18416" s="3">
        <v>11</v>
      </c>
      <c r="F18416" s="3">
        <v>11</v>
      </c>
      <c r="G18416" t="s">
        <v>513</v>
      </c>
    </row>
    <row r="18417" spans="1:7" x14ac:dyDescent="0.25">
      <c r="A18417" s="1" t="str">
        <f>"505450"</f>
        <v>505450</v>
      </c>
      <c r="B18417" s="2" t="str">
        <f>"POLIA 2 CANAL V DIAMETRO 180MM"</f>
        <v>POLIA 2 CANAL V DIAMETRO 180MM</v>
      </c>
      <c r="C18417" s="2" t="str">
        <f t="shared" si="723"/>
        <v>UN</v>
      </c>
      <c r="D18417" s="7">
        <v>918</v>
      </c>
      <c r="E18417" s="3">
        <v>11</v>
      </c>
      <c r="F18417" s="3">
        <v>11</v>
      </c>
      <c r="G18417" t="s">
        <v>513</v>
      </c>
    </row>
    <row r="18418" spans="1:7" x14ac:dyDescent="0.25">
      <c r="A18418" s="1" t="str">
        <f>"508916"</f>
        <v>508916</v>
      </c>
      <c r="B18418" s="2" t="str">
        <f>"POLIA 3 CANAIS A DIAMETRO 140MM"</f>
        <v>POLIA 3 CANAIS A DIAMETRO 140MM</v>
      </c>
      <c r="C18418" s="2" t="str">
        <f t="shared" si="723"/>
        <v>UN</v>
      </c>
      <c r="D18418" s="7">
        <v>812</v>
      </c>
      <c r="E18418" s="3">
        <v>10</v>
      </c>
      <c r="F18418" s="3">
        <v>10</v>
      </c>
      <c r="G18418" t="s">
        <v>512</v>
      </c>
    </row>
    <row r="18419" spans="1:7" x14ac:dyDescent="0.25">
      <c r="A18419" s="1" t="str">
        <f>"502513"</f>
        <v>502513</v>
      </c>
      <c r="B18419" s="2" t="str">
        <f>"POLIA 3 CANAL B DIAMETRO 115MM EIXO 33MM"</f>
        <v>POLIA 3 CANAL B DIAMETRO 115MM EIXO 33MM</v>
      </c>
      <c r="C18419" s="2" t="str">
        <f t="shared" si="723"/>
        <v>UN</v>
      </c>
      <c r="D18419" s="7">
        <v>402</v>
      </c>
      <c r="E18419" s="3">
        <v>4</v>
      </c>
      <c r="F18419" s="3">
        <v>4</v>
      </c>
      <c r="G18419" t="s">
        <v>513</v>
      </c>
    </row>
    <row r="18420" spans="1:7" x14ac:dyDescent="0.25">
      <c r="A18420" s="1" t="str">
        <f>"502145"</f>
        <v>502145</v>
      </c>
      <c r="B18420" s="2" t="str">
        <f>"POLIA 36 DENTES 8MM (MAQ. DO PETIT)"</f>
        <v>POLIA 36 DENTES 8MM (MAQ. DO PETIT)</v>
      </c>
      <c r="C18420" s="2" t="str">
        <f t="shared" si="723"/>
        <v>UN</v>
      </c>
      <c r="D18420" s="7">
        <v>918</v>
      </c>
      <c r="E18420" s="3">
        <v>11</v>
      </c>
      <c r="F18420" s="3">
        <v>11</v>
      </c>
      <c r="G18420" t="s">
        <v>514</v>
      </c>
    </row>
    <row r="18421" spans="1:7" x14ac:dyDescent="0.25">
      <c r="A18421" s="1" t="str">
        <f>"507796"</f>
        <v>507796</v>
      </c>
      <c r="B18421" s="2" t="str">
        <f>"POLIA 4 CANAIS ""C"" DIAMETRO 240MM"</f>
        <v>POLIA 4 CANAIS "C" DIAMETRO 240MM</v>
      </c>
      <c r="C18421" s="2" t="str">
        <f t="shared" si="723"/>
        <v>UN</v>
      </c>
      <c r="D18421" s="7">
        <v>918</v>
      </c>
      <c r="E18421" s="3">
        <v>11</v>
      </c>
      <c r="F18421" s="3">
        <v>11</v>
      </c>
      <c r="G18421" t="s">
        <v>515</v>
      </c>
    </row>
    <row r="18422" spans="1:7" x14ac:dyDescent="0.25">
      <c r="A18422" s="1" t="str">
        <f>"507797"</f>
        <v>507797</v>
      </c>
      <c r="B18422" s="2" t="str">
        <f>"POLIA 4 CANAIS ""C"" DIAMETRO 280MM"</f>
        <v>POLIA 4 CANAIS "C" DIAMETRO 280MM</v>
      </c>
      <c r="C18422" s="2" t="str">
        <f t="shared" si="723"/>
        <v>UN</v>
      </c>
      <c r="D18422" s="7">
        <v>918</v>
      </c>
      <c r="E18422" s="3">
        <v>11</v>
      </c>
      <c r="F18422" s="3">
        <v>11</v>
      </c>
      <c r="G18422" t="s">
        <v>512</v>
      </c>
    </row>
    <row r="18423" spans="1:7" x14ac:dyDescent="0.25">
      <c r="A18423" s="1" t="str">
        <f>"502598"</f>
        <v>502598</v>
      </c>
      <c r="B18423" s="2" t="str">
        <f>"POLIA 4 CANAL EM V TIP COR.C 330X115MM"</f>
        <v>POLIA 4 CANAL EM V TIP COR.C 330X115MM</v>
      </c>
      <c r="C18423" s="2" t="str">
        <f t="shared" si="723"/>
        <v>UN</v>
      </c>
      <c r="D18423" s="7">
        <v>402</v>
      </c>
      <c r="E18423" s="3">
        <v>4</v>
      </c>
      <c r="F18423" s="3">
        <v>4</v>
      </c>
      <c r="G18423" t="s">
        <v>516</v>
      </c>
    </row>
    <row r="18424" spans="1:7" x14ac:dyDescent="0.25">
      <c r="A18424" s="1" t="str">
        <f>"519391"</f>
        <v>519391</v>
      </c>
      <c r="B18424" s="2" t="str">
        <f>"POLIA 6 CANAIS B DIAMETRO 275MM"</f>
        <v>POLIA 6 CANAIS B DIAMETRO 275MM</v>
      </c>
      <c r="C18424" s="2" t="str">
        <f t="shared" si="723"/>
        <v>UN</v>
      </c>
      <c r="D18424" s="7">
        <v>812</v>
      </c>
      <c r="E18424" s="3">
        <v>10</v>
      </c>
      <c r="F18424" s="3">
        <v>10</v>
      </c>
      <c r="G18424" t="s">
        <v>515</v>
      </c>
    </row>
    <row r="18425" spans="1:7" x14ac:dyDescent="0.25">
      <c r="A18425" s="1" t="str">
        <f>"511186"</f>
        <v>511186</v>
      </c>
      <c r="B18425" s="2" t="str">
        <f>"POLIA ALUMINIO"</f>
        <v>POLIA ALUMINIO</v>
      </c>
      <c r="C18425" s="2" t="str">
        <f t="shared" si="723"/>
        <v>UN</v>
      </c>
      <c r="D18425" s="7">
        <v>918</v>
      </c>
      <c r="E18425" s="3">
        <v>11</v>
      </c>
      <c r="F18425" s="3">
        <v>11</v>
      </c>
      <c r="G18425" t="s">
        <v>514</v>
      </c>
    </row>
    <row r="18426" spans="1:7" x14ac:dyDescent="0.25">
      <c r="A18426" s="1" t="str">
        <f>"511917"</f>
        <v>511917</v>
      </c>
      <c r="B18426" s="2" t="str">
        <f>"POLIA ALUMINIO A1 75MM"</f>
        <v>POLIA ALUMINIO A1 75MM</v>
      </c>
      <c r="C18426" s="2" t="str">
        <f t="shared" si="723"/>
        <v>UN</v>
      </c>
      <c r="D18426" s="7">
        <v>918</v>
      </c>
      <c r="E18426" s="3">
        <v>11</v>
      </c>
      <c r="F18426" s="3">
        <v>11</v>
      </c>
      <c r="G18426" t="s">
        <v>512</v>
      </c>
    </row>
    <row r="18427" spans="1:7" x14ac:dyDescent="0.25">
      <c r="A18427" s="1" t="str">
        <f>"509284"</f>
        <v>509284</v>
      </c>
      <c r="B18427" s="2" t="str">
        <f>"POLIA DA CORREIA DO DESBOBINADOR"</f>
        <v>POLIA DA CORREIA DO DESBOBINADOR</v>
      </c>
      <c r="C18427" s="2" t="str">
        <f t="shared" si="723"/>
        <v>UN</v>
      </c>
      <c r="D18427" s="7">
        <v>918</v>
      </c>
      <c r="E18427" s="3">
        <v>11</v>
      </c>
      <c r="F18427" s="3">
        <v>11</v>
      </c>
      <c r="G18427" t="s">
        <v>513</v>
      </c>
    </row>
    <row r="18428" spans="1:7" x14ac:dyDescent="0.25">
      <c r="A18428" s="1" t="str">
        <f>"510450"</f>
        <v>510450</v>
      </c>
      <c r="B18428" s="2" t="str">
        <f>"POLIA DO COMANDO DE VALVULAS"</f>
        <v>POLIA DO COMANDO DE VALVULAS</v>
      </c>
      <c r="C18428" s="2" t="str">
        <f t="shared" si="723"/>
        <v>UN</v>
      </c>
      <c r="D18428" s="7">
        <v>918</v>
      </c>
      <c r="E18428" s="3">
        <v>11</v>
      </c>
      <c r="F18428" s="3">
        <v>11</v>
      </c>
      <c r="G18428" t="s">
        <v>514</v>
      </c>
    </row>
    <row r="18429" spans="1:7" x14ac:dyDescent="0.25">
      <c r="A18429" s="1" t="str">
        <f>"521823"</f>
        <v>521823</v>
      </c>
      <c r="B18429" s="2" t="str">
        <f>"POLIA DUPLA OSCILANTE ALUMINIO HLA013 HERCULES"</f>
        <v>POLIA DUPLA OSCILANTE ALUMINIO HLA013 HERCULES</v>
      </c>
      <c r="C18429" s="2" t="str">
        <f t="shared" si="723"/>
        <v>UN</v>
      </c>
      <c r="D18429" s="7">
        <v>99999</v>
      </c>
      <c r="E18429" s="3">
        <v>99</v>
      </c>
      <c r="F18429" s="3">
        <v>99</v>
      </c>
      <c r="G18429" t="s">
        <v>514</v>
      </c>
    </row>
    <row r="18430" spans="1:7" x14ac:dyDescent="0.25">
      <c r="A18430" s="1" t="str">
        <f>"524399"</f>
        <v>524399</v>
      </c>
      <c r="B18430" s="2" t="str">
        <f>"POLIA EJETOR 80MM REVESTIDA - RS1112"</f>
        <v>POLIA EJETOR 80MM REVESTIDA - RS1112</v>
      </c>
      <c r="C18430" s="2" t="str">
        <f t="shared" si="723"/>
        <v>UN</v>
      </c>
      <c r="D18430" s="7">
        <v>918</v>
      </c>
      <c r="E18430" s="3">
        <v>11</v>
      </c>
      <c r="F18430" s="3">
        <v>11</v>
      </c>
      <c r="G18430" t="s">
        <v>512</v>
      </c>
    </row>
    <row r="18431" spans="1:7" x14ac:dyDescent="0.25">
      <c r="A18431" s="1" t="str">
        <f>"519369"</f>
        <v>519369</v>
      </c>
      <c r="B18431" s="2" t="str">
        <f>"POLIA EJETOR REVISADA 80MM RUTULADORA"</f>
        <v>POLIA EJETOR REVISADA 80MM RUTULADORA</v>
      </c>
      <c r="C18431" s="2" t="str">
        <f t="shared" si="723"/>
        <v>UN</v>
      </c>
      <c r="D18431" s="7">
        <v>918</v>
      </c>
      <c r="E18431" s="3">
        <v>11</v>
      </c>
      <c r="F18431" s="3">
        <v>11</v>
      </c>
      <c r="G18431" t="s">
        <v>513</v>
      </c>
    </row>
    <row r="18432" spans="1:7" x14ac:dyDescent="0.25">
      <c r="A18432" s="1" t="str">
        <f>"502556"</f>
        <v>502556</v>
      </c>
      <c r="B18432" s="2" t="str">
        <f>"POLIA F. FUNDIDO V 13-4""GC"" EIXO 2""3/8"""</f>
        <v>POLIA F. FUNDIDO V 13-4"GC" EIXO 2"3/8"</v>
      </c>
      <c r="C18432" s="2" t="str">
        <f t="shared" si="723"/>
        <v>UN</v>
      </c>
      <c r="D18432" s="7">
        <v>402</v>
      </c>
      <c r="E18432" s="3">
        <v>4</v>
      </c>
      <c r="F18432" s="3">
        <v>4</v>
      </c>
      <c r="G18432" t="s">
        <v>514</v>
      </c>
    </row>
    <row r="18433" spans="1:7" x14ac:dyDescent="0.25">
      <c r="A18433" s="1" t="str">
        <f>"526584"</f>
        <v>526584</v>
      </c>
      <c r="B18433" s="2" t="str">
        <f>"POLIA J06710148 P/HOMOG NCM.84199090"</f>
        <v>POLIA J06710148 P/HOMOG NCM.84199090</v>
      </c>
      <c r="C18433" s="2" t="str">
        <f t="shared" si="723"/>
        <v>UN</v>
      </c>
      <c r="D18433" s="7">
        <v>812</v>
      </c>
      <c r="E18433" s="3">
        <v>10</v>
      </c>
      <c r="F18433" s="3">
        <v>10</v>
      </c>
      <c r="G18433" t="s">
        <v>514</v>
      </c>
    </row>
    <row r="18434" spans="1:7" x14ac:dyDescent="0.25">
      <c r="A18434" s="1" t="str">
        <f>"527444"</f>
        <v>527444</v>
      </c>
      <c r="B18434" s="2" t="str">
        <f>"POLIA POLYCHAIN 60 8M 36 + BUCHA"</f>
        <v>POLIA POLYCHAIN 60 8M 36 + BUCHA</v>
      </c>
      <c r="C18434" s="2" t="str">
        <f t="shared" si="723"/>
        <v>UN</v>
      </c>
      <c r="D18434" s="7">
        <v>402</v>
      </c>
      <c r="E18434" s="3">
        <v>4</v>
      </c>
      <c r="F18434" s="3">
        <v>4</v>
      </c>
      <c r="G18434" t="s">
        <v>514</v>
      </c>
    </row>
    <row r="18435" spans="1:7" x14ac:dyDescent="0.25">
      <c r="A18435" s="1" t="str">
        <f>"510455"</f>
        <v>510455</v>
      </c>
      <c r="B18435" s="2" t="str">
        <f>"POLIA REGULADORA DE TENSAO"</f>
        <v>POLIA REGULADORA DE TENSAO</v>
      </c>
      <c r="C18435" s="2" t="str">
        <f t="shared" si="723"/>
        <v>UN</v>
      </c>
      <c r="D18435" s="7">
        <v>918</v>
      </c>
      <c r="E18435" s="3">
        <v>11</v>
      </c>
      <c r="F18435" s="3">
        <v>11</v>
      </c>
      <c r="G18435" t="s">
        <v>513</v>
      </c>
    </row>
    <row r="18436" spans="1:7" x14ac:dyDescent="0.25">
      <c r="A18436" s="1" t="str">
        <f>"502259"</f>
        <v>502259</v>
      </c>
      <c r="B18436" s="2" t="str">
        <f>"POLIA TIPO A 1 CANAL DE 80MM DE DIAMETRO"</f>
        <v>POLIA TIPO A 1 CANAL DE 80MM DE DIAMETRO</v>
      </c>
      <c r="C18436" s="2" t="str">
        <f t="shared" si="723"/>
        <v>UN</v>
      </c>
      <c r="D18436" s="7">
        <v>402</v>
      </c>
      <c r="E18436" s="3">
        <v>4</v>
      </c>
      <c r="F18436" s="3">
        <v>4</v>
      </c>
      <c r="G18436" t="s">
        <v>512</v>
      </c>
    </row>
    <row r="18437" spans="1:7" x14ac:dyDescent="0.25">
      <c r="A18437" s="1" t="str">
        <f>"508538"</f>
        <v>508538</v>
      </c>
      <c r="B18437" s="2" t="str">
        <f>"POLIA TRACIONADOR K4M"</f>
        <v>POLIA TRACIONADOR K4M</v>
      </c>
      <c r="C18437" s="2" t="str">
        <f t="shared" si="723"/>
        <v>UN</v>
      </c>
      <c r="D18437" s="7">
        <v>704</v>
      </c>
      <c r="E18437" s="3">
        <v>9</v>
      </c>
      <c r="F18437" s="3">
        <v>9</v>
      </c>
      <c r="G18437" t="s">
        <v>513</v>
      </c>
    </row>
    <row r="18438" spans="1:7" x14ac:dyDescent="0.25">
      <c r="A18438" s="1" t="str">
        <f>"509641"</f>
        <v>509641</v>
      </c>
      <c r="B18438" s="2" t="str">
        <f>"POLICORTE GARTHEN"</f>
        <v>POLICORTE GARTHEN</v>
      </c>
      <c r="C18438" s="2" t="str">
        <f t="shared" si="723"/>
        <v>UN</v>
      </c>
      <c r="D18438" s="7">
        <v>1300</v>
      </c>
      <c r="E18438" s="3">
        <v>13</v>
      </c>
      <c r="F18438" s="3">
        <v>13</v>
      </c>
      <c r="G18438" t="s">
        <v>514</v>
      </c>
    </row>
    <row r="18439" spans="1:7" x14ac:dyDescent="0.25">
      <c r="A18439" s="1" t="str">
        <f>"5829"</f>
        <v>5829</v>
      </c>
      <c r="B18439" s="2" t="str">
        <f>"POLIDEXTROSE (LITESSE)"</f>
        <v>POLIDEXTROSE (LITESSE)</v>
      </c>
      <c r="C18439" s="2" t="str">
        <f>"KG"</f>
        <v>KG</v>
      </c>
      <c r="D18439" s="7">
        <v>209</v>
      </c>
      <c r="E18439" s="3">
        <v>2</v>
      </c>
      <c r="F18439" s="3">
        <v>2</v>
      </c>
      <c r="G18439" t="s">
        <v>514</v>
      </c>
    </row>
    <row r="18440" spans="1:7" x14ac:dyDescent="0.25">
      <c r="A18440" s="1" t="str">
        <f>"7023"</f>
        <v>7023</v>
      </c>
      <c r="B18440" s="2" t="str">
        <f>"POLIETILENO ALTA DENS. 35060L (DOW)"</f>
        <v>POLIETILENO ALTA DENS. 35060L (DOW)</v>
      </c>
      <c r="C18440" s="2" t="str">
        <f>"KG"</f>
        <v>KG</v>
      </c>
      <c r="D18440" s="7">
        <v>111</v>
      </c>
      <c r="E18440" s="3">
        <v>1</v>
      </c>
      <c r="F18440" s="3">
        <v>1</v>
      </c>
      <c r="G18440" t="s">
        <v>514</v>
      </c>
    </row>
    <row r="18441" spans="1:7" x14ac:dyDescent="0.25">
      <c r="A18441" s="1" t="str">
        <f>"AG39012029"</f>
        <v>AG39012029</v>
      </c>
      <c r="B18441" s="2" t="str">
        <f>"POLIETILENO ALTA DENS. AMOSTRA GRATIS"</f>
        <v>POLIETILENO ALTA DENS. AMOSTRA GRATIS</v>
      </c>
      <c r="C18441" s="2" t="str">
        <f>"UN"</f>
        <v>UN</v>
      </c>
      <c r="D18441" s="7">
        <v>99999</v>
      </c>
      <c r="E18441" s="3">
        <v>99</v>
      </c>
      <c r="F18441" s="3">
        <v>99</v>
      </c>
      <c r="G18441" t="s">
        <v>513</v>
      </c>
    </row>
    <row r="18442" spans="1:7" x14ac:dyDescent="0.25">
      <c r="A18442" s="1" t="str">
        <f>"7024"</f>
        <v>7024</v>
      </c>
      <c r="B18442" s="2" t="str">
        <f>"POLIETILENO ALTA DENS. DMDA (USA)"</f>
        <v>POLIETILENO ALTA DENS. DMDA (USA)</v>
      </c>
      <c r="C18442" s="2" t="str">
        <f>"KG"</f>
        <v>KG</v>
      </c>
      <c r="D18442" s="7">
        <v>111</v>
      </c>
      <c r="E18442" s="3">
        <v>1</v>
      </c>
      <c r="F18442" s="3">
        <v>1</v>
      </c>
      <c r="G18442" t="s">
        <v>513</v>
      </c>
    </row>
    <row r="18443" spans="1:7" x14ac:dyDescent="0.25">
      <c r="A18443" s="1" t="str">
        <f>"2404"</f>
        <v>2404</v>
      </c>
      <c r="B18443" s="2" t="str">
        <f>"POLIETILENO ALTA DENS. ES-6004 (BRASKEM)"</f>
        <v>POLIETILENO ALTA DENS. ES-6004 (BRASKEM)</v>
      </c>
      <c r="C18443" s="2" t="str">
        <f>"KG"</f>
        <v>KG</v>
      </c>
      <c r="D18443" s="7">
        <v>111</v>
      </c>
      <c r="E18443" s="3">
        <v>1</v>
      </c>
      <c r="F18443" s="3">
        <v>1</v>
      </c>
      <c r="G18443" t="s">
        <v>513</v>
      </c>
    </row>
    <row r="18444" spans="1:7" x14ac:dyDescent="0.25">
      <c r="A18444" s="1" t="str">
        <f>"2403"</f>
        <v>2403</v>
      </c>
      <c r="B18444" s="2" t="str">
        <f>"POLIETILENO ALTA DENS. GF-4960(BRASKEM)"</f>
        <v>POLIETILENO ALTA DENS. GF-4960(BRASKEM)</v>
      </c>
      <c r="C18444" s="2" t="str">
        <f>"KG"</f>
        <v>KG</v>
      </c>
      <c r="D18444" s="7">
        <v>111</v>
      </c>
      <c r="E18444" s="3">
        <v>1</v>
      </c>
      <c r="F18444" s="3">
        <v>1</v>
      </c>
      <c r="G18444" t="s">
        <v>512</v>
      </c>
    </row>
    <row r="18445" spans="1:7" x14ac:dyDescent="0.25">
      <c r="A18445" s="1" t="str">
        <f>"3444"</f>
        <v>3444</v>
      </c>
      <c r="B18445" s="2" t="str">
        <f>"POLIETILENO INDUSTRIALIZADO"</f>
        <v>POLIETILENO INDUSTRIALIZADO</v>
      </c>
      <c r="C18445" s="2" t="str">
        <f>"KG"</f>
        <v>KG</v>
      </c>
      <c r="D18445" s="7">
        <v>111</v>
      </c>
      <c r="E18445" s="3">
        <v>1</v>
      </c>
      <c r="F18445" s="3">
        <v>1</v>
      </c>
      <c r="G18445" t="s">
        <v>513</v>
      </c>
    </row>
    <row r="18446" spans="1:7" x14ac:dyDescent="0.25">
      <c r="A18446" s="1" t="str">
        <f>"3443"</f>
        <v>3443</v>
      </c>
      <c r="B18446" s="2" t="str">
        <f>"POLIETILENO TRITURADO"</f>
        <v>POLIETILENO TRITURADO</v>
      </c>
      <c r="C18446" s="2" t="str">
        <f>"UN"</f>
        <v>UN</v>
      </c>
      <c r="D18446" s="7">
        <v>111</v>
      </c>
      <c r="E18446" s="3">
        <v>1</v>
      </c>
      <c r="F18446" s="3">
        <v>1</v>
      </c>
      <c r="G18446" t="s">
        <v>514</v>
      </c>
    </row>
    <row r="18447" spans="1:7" x14ac:dyDescent="0.25">
      <c r="A18447" s="1" t="str">
        <f>"6237"</f>
        <v>6237</v>
      </c>
      <c r="B18447" s="2" t="str">
        <f>"POLÍMERO PA 150 AP (ANIONICO)"</f>
        <v>POLÍMERO PA 150 AP (ANIONICO)</v>
      </c>
      <c r="C18447" s="2" t="str">
        <f>"UN"</f>
        <v>UN</v>
      </c>
      <c r="D18447" s="7">
        <v>400</v>
      </c>
      <c r="E18447" s="3">
        <v>10</v>
      </c>
      <c r="F18447" s="3">
        <v>10</v>
      </c>
      <c r="G18447" t="s">
        <v>515</v>
      </c>
    </row>
    <row r="18448" spans="1:7" x14ac:dyDescent="0.25">
      <c r="A18448" s="1" t="str">
        <f>"6244"</f>
        <v>6244</v>
      </c>
      <c r="B18448" s="2" t="str">
        <f>"POLÍMERO PC 0009 (CATIONICO)"</f>
        <v>POLÍMERO PC 0009 (CATIONICO)</v>
      </c>
      <c r="C18448" s="2" t="str">
        <f>"KG"</f>
        <v>KG</v>
      </c>
      <c r="D18448" s="7">
        <v>400</v>
      </c>
      <c r="E18448" s="3">
        <v>10</v>
      </c>
      <c r="F18448" s="3">
        <v>10</v>
      </c>
      <c r="G18448" t="s">
        <v>512</v>
      </c>
    </row>
    <row r="18449" spans="1:7" x14ac:dyDescent="0.25">
      <c r="A18449" s="1" t="str">
        <f>"6160"</f>
        <v>6160</v>
      </c>
      <c r="B18449" s="2" t="str">
        <f>"POLITOHZAI - 235"</f>
        <v>POLITOHZAI - 235</v>
      </c>
      <c r="C18449" s="2" t="str">
        <f>"KG"</f>
        <v>KG</v>
      </c>
      <c r="D18449" s="7">
        <v>400</v>
      </c>
      <c r="E18449" s="3">
        <v>4</v>
      </c>
      <c r="F18449" s="3">
        <v>4</v>
      </c>
      <c r="G18449" t="s">
        <v>516</v>
      </c>
    </row>
    <row r="18450" spans="1:7" x14ac:dyDescent="0.25">
      <c r="A18450" s="1" t="str">
        <f>"6380"</f>
        <v>6380</v>
      </c>
      <c r="B18450" s="2" t="str">
        <f>"POLITOHZAI - 433"</f>
        <v>POLITOHZAI - 433</v>
      </c>
      <c r="C18450" s="2" t="str">
        <f>"KG"</f>
        <v>KG</v>
      </c>
      <c r="D18450" s="7">
        <v>400</v>
      </c>
      <c r="E18450" s="3">
        <v>4</v>
      </c>
      <c r="F18450" s="3">
        <v>4</v>
      </c>
      <c r="G18450" t="s">
        <v>515</v>
      </c>
    </row>
    <row r="18451" spans="1:7" x14ac:dyDescent="0.25">
      <c r="A18451" s="1" t="str">
        <f>"418"</f>
        <v>418</v>
      </c>
      <c r="B18451" s="2" t="str">
        <f>"POLITOHZAI - 439"</f>
        <v>POLITOHZAI - 439</v>
      </c>
      <c r="C18451" s="2" t="str">
        <f>"KG"</f>
        <v>KG</v>
      </c>
      <c r="D18451" s="7">
        <v>400</v>
      </c>
      <c r="E18451" s="3">
        <v>4</v>
      </c>
      <c r="F18451" s="3">
        <v>4</v>
      </c>
      <c r="G18451" t="s">
        <v>514</v>
      </c>
    </row>
    <row r="18452" spans="1:7" x14ac:dyDescent="0.25">
      <c r="A18452" s="1" t="str">
        <f>"6158"</f>
        <v>6158</v>
      </c>
      <c r="B18452" s="2" t="str">
        <f>"POLITOHZAI - NP"</f>
        <v>POLITOHZAI - NP</v>
      </c>
      <c r="C18452" s="2" t="str">
        <f>"KG"</f>
        <v>KG</v>
      </c>
      <c r="D18452" s="7">
        <v>400</v>
      </c>
      <c r="E18452" s="3">
        <v>4</v>
      </c>
      <c r="F18452" s="3">
        <v>4</v>
      </c>
      <c r="G18452" t="s">
        <v>512</v>
      </c>
    </row>
    <row r="18453" spans="1:7" x14ac:dyDescent="0.25">
      <c r="A18453" s="1" t="str">
        <f>"522219"</f>
        <v>522219</v>
      </c>
      <c r="B18453" s="2" t="str">
        <f>"POLIURETANO ISO 112"</f>
        <v>POLIURETANO ISO 112</v>
      </c>
      <c r="C18453" s="2" t="str">
        <f>"UN"</f>
        <v>UN</v>
      </c>
      <c r="D18453" s="7">
        <v>400</v>
      </c>
      <c r="E18453" s="3">
        <v>4</v>
      </c>
      <c r="F18453" s="3">
        <v>4</v>
      </c>
      <c r="G18453" t="s">
        <v>513</v>
      </c>
    </row>
    <row r="18454" spans="1:7" x14ac:dyDescent="0.25">
      <c r="A18454" s="1" t="str">
        <f>"516242"</f>
        <v>516242</v>
      </c>
      <c r="B18454" s="2" t="str">
        <f>"POLIURETANO ISOCENADO (A)"</f>
        <v>POLIURETANO ISOCENADO (A)</v>
      </c>
      <c r="C18454" s="2" t="str">
        <f>"KG"</f>
        <v>KG</v>
      </c>
      <c r="D18454" s="7">
        <v>803</v>
      </c>
      <c r="E18454" s="3">
        <v>10</v>
      </c>
      <c r="F18454" s="3">
        <v>10</v>
      </c>
      <c r="G18454" t="s">
        <v>514</v>
      </c>
    </row>
    <row r="18455" spans="1:7" x14ac:dyDescent="0.25">
      <c r="A18455" s="1" t="str">
        <f>"2419"</f>
        <v>2419</v>
      </c>
      <c r="B18455" s="2" t="str">
        <f>"POLIURETANO ISOCIANATO ARIDUR 5M2"</f>
        <v>POLIURETANO ISOCIANATO ARIDUR 5M2</v>
      </c>
      <c r="C18455" s="2" t="str">
        <f>"UN"</f>
        <v>UN</v>
      </c>
      <c r="D18455" s="7">
        <v>403</v>
      </c>
      <c r="E18455" s="3">
        <v>4</v>
      </c>
      <c r="F18455" s="3">
        <v>4</v>
      </c>
      <c r="G18455" t="s">
        <v>514</v>
      </c>
    </row>
    <row r="18456" spans="1:7" x14ac:dyDescent="0.25">
      <c r="A18456" s="1" t="str">
        <f>"516243"</f>
        <v>516243</v>
      </c>
      <c r="B18456" s="2" t="str">
        <f>"POLIURETANO POLIOL (B)"</f>
        <v>POLIURETANO POLIOL (B)</v>
      </c>
      <c r="C18456" s="2" t="str">
        <f>"KG"</f>
        <v>KG</v>
      </c>
      <c r="D18456" s="7">
        <v>803</v>
      </c>
      <c r="E18456" s="3">
        <v>10</v>
      </c>
      <c r="F18456" s="3">
        <v>10</v>
      </c>
      <c r="G18456" t="s">
        <v>512</v>
      </c>
    </row>
    <row r="18457" spans="1:7" x14ac:dyDescent="0.25">
      <c r="A18457" s="1" t="str">
        <f>"2420"</f>
        <v>2420</v>
      </c>
      <c r="B18457" s="2" t="str">
        <f>"POLIURETANO POLIOL ARIPOL 511"</f>
        <v>POLIURETANO POLIOL ARIPOL 511</v>
      </c>
      <c r="C18457" s="2" t="str">
        <f>"UN"</f>
        <v>UN</v>
      </c>
      <c r="D18457" s="7">
        <v>403</v>
      </c>
      <c r="E18457" s="3">
        <v>4</v>
      </c>
      <c r="F18457" s="3">
        <v>4</v>
      </c>
      <c r="G18457" t="s">
        <v>513</v>
      </c>
    </row>
    <row r="18458" spans="1:7" x14ac:dyDescent="0.25">
      <c r="A18458" s="1" t="str">
        <f>"522220"</f>
        <v>522220</v>
      </c>
      <c r="B18458" s="2" t="str">
        <f>"POLIURETANO POLIOL CK 443"</f>
        <v>POLIURETANO POLIOL CK 443</v>
      </c>
      <c r="C18458" s="2" t="str">
        <f>"UN"</f>
        <v>UN</v>
      </c>
      <c r="D18458" s="7">
        <v>400</v>
      </c>
      <c r="E18458" s="3">
        <v>4</v>
      </c>
      <c r="F18458" s="3">
        <v>4</v>
      </c>
      <c r="G18458" t="s">
        <v>514</v>
      </c>
    </row>
    <row r="18459" spans="1:7" x14ac:dyDescent="0.25">
      <c r="A18459" s="1" t="str">
        <f>"CO20071000"</f>
        <v>CO20071000</v>
      </c>
      <c r="B18459" s="2" t="str">
        <f>"POLPA"</f>
        <v>POLPA</v>
      </c>
      <c r="C18459" s="2" t="str">
        <f>"UN"</f>
        <v>UN</v>
      </c>
      <c r="D18459" s="7">
        <v>99999</v>
      </c>
      <c r="E18459" s="3">
        <v>99</v>
      </c>
      <c r="F18459" s="3">
        <v>99</v>
      </c>
      <c r="G18459" t="s">
        <v>514</v>
      </c>
    </row>
    <row r="18460" spans="1:7" x14ac:dyDescent="0.25">
      <c r="A18460" s="1" t="str">
        <f>"4130"</f>
        <v>4130</v>
      </c>
      <c r="B18460" s="2" t="str">
        <f>"POLPA 1%  BANANA E MACA P/ PETIT- CBXC-101 CA (BORSATO)"</f>
        <v>POLPA 1%  BANANA E MACA P/ PETIT- CBXC-101 CA (BORSATO)</v>
      </c>
      <c r="C18460" s="2" t="str">
        <f t="shared" ref="C18460:C18479" si="724">"KG"</f>
        <v>KG</v>
      </c>
      <c r="D18460" s="7">
        <v>205</v>
      </c>
      <c r="E18460" s="3">
        <v>2</v>
      </c>
      <c r="F18460" s="3">
        <v>2</v>
      </c>
      <c r="G18460" t="s">
        <v>514</v>
      </c>
    </row>
    <row r="18461" spans="1:7" x14ac:dyDescent="0.25">
      <c r="A18461" s="1" t="str">
        <f>"6822"</f>
        <v>6822</v>
      </c>
      <c r="B18461" s="2" t="str">
        <f>"POLPA 1%  MAÇÃ E BANANA - CÓD.836738 PETIT (DOEHLER)"</f>
        <v>POLPA 1%  MAÇÃ E BANANA - CÓD.836738 PETIT (DOEHLER)</v>
      </c>
      <c r="C18461" s="2" t="str">
        <f t="shared" si="724"/>
        <v>KG</v>
      </c>
      <c r="D18461" s="7">
        <v>205</v>
      </c>
      <c r="E18461" s="3">
        <v>2</v>
      </c>
      <c r="F18461" s="3">
        <v>2</v>
      </c>
      <c r="G18461" t="s">
        <v>513</v>
      </c>
    </row>
    <row r="18462" spans="1:7" x14ac:dyDescent="0.25">
      <c r="A18462" s="1" t="str">
        <f>"6866"</f>
        <v>6866</v>
      </c>
      <c r="B18462" s="2" t="str">
        <f>"POLPA 1%  MORANGO PETIT B MOR 101 CP (BORSATO)"</f>
        <v>POLPA 1%  MORANGO PETIT B MOR 101 CP (BORSATO)</v>
      </c>
      <c r="C18462" s="2" t="str">
        <f t="shared" si="724"/>
        <v>KG</v>
      </c>
      <c r="D18462" s="7">
        <v>205</v>
      </c>
      <c r="E18462" s="3">
        <v>2</v>
      </c>
      <c r="F18462" s="3">
        <v>2</v>
      </c>
      <c r="G18462" t="s">
        <v>512</v>
      </c>
    </row>
    <row r="18463" spans="1:7" x14ac:dyDescent="0.25">
      <c r="A18463" s="1" t="str">
        <f>"6821"</f>
        <v>6821</v>
      </c>
      <c r="B18463" s="2" t="str">
        <f>"POLPA 1%  MORANGO-CÓD.850751 PETIT (DOEHLER)"</f>
        <v>POLPA 1%  MORANGO-CÓD.850751 PETIT (DOEHLER)</v>
      </c>
      <c r="C18463" s="2" t="str">
        <f t="shared" si="724"/>
        <v>KG</v>
      </c>
      <c r="D18463" s="7">
        <v>205</v>
      </c>
      <c r="E18463" s="3">
        <v>2</v>
      </c>
      <c r="F18463" s="3">
        <v>2</v>
      </c>
      <c r="G18463" t="s">
        <v>513</v>
      </c>
    </row>
    <row r="18464" spans="1:7" x14ac:dyDescent="0.25">
      <c r="A18464" s="1" t="str">
        <f>"6833"</f>
        <v>6833</v>
      </c>
      <c r="B18464" s="2" t="str">
        <f>"POLPA 1% AMEIXA SEM AÇÚCAR - CÓD. D AME-101 CR  (BORSATO)"</f>
        <v>POLPA 1% AMEIXA SEM AÇÚCAR - CÓD. D AME-101 CR  (BORSATO)</v>
      </c>
      <c r="C18464" s="2" t="str">
        <f t="shared" si="724"/>
        <v>KG</v>
      </c>
      <c r="D18464" s="7">
        <v>205</v>
      </c>
      <c r="E18464" s="3">
        <v>2</v>
      </c>
      <c r="F18464" s="3">
        <v>2</v>
      </c>
      <c r="G18464" t="s">
        <v>514</v>
      </c>
    </row>
    <row r="18465" spans="1:7" x14ac:dyDescent="0.25">
      <c r="A18465" s="1" t="str">
        <f>"6823"</f>
        <v>6823</v>
      </c>
      <c r="B18465" s="2" t="str">
        <f>"POLPA 1% COCO - CÓD. D COC-100 CN (BORSATO)"</f>
        <v>POLPA 1% COCO - CÓD. D COC-100 CN (BORSATO)</v>
      </c>
      <c r="C18465" s="2" t="str">
        <f t="shared" si="724"/>
        <v>KG</v>
      </c>
      <c r="D18465" s="7">
        <v>205</v>
      </c>
      <c r="E18465" s="3">
        <v>2</v>
      </c>
      <c r="F18465" s="3">
        <v>2</v>
      </c>
      <c r="G18465" t="s">
        <v>514</v>
      </c>
    </row>
    <row r="18466" spans="1:7" x14ac:dyDescent="0.25">
      <c r="A18466" s="1" t="str">
        <f>"6861"</f>
        <v>6861</v>
      </c>
      <c r="B18466" s="2" t="str">
        <f>"POLPA 1% DE PERA - CÓD. A PER 101 GM  (BORSATO)"</f>
        <v>POLPA 1% DE PERA - CÓD. A PER 101 GM  (BORSATO)</v>
      </c>
      <c r="C18466" s="2" t="str">
        <f t="shared" si="724"/>
        <v>KG</v>
      </c>
      <c r="D18466" s="7">
        <v>205</v>
      </c>
      <c r="E18466" s="3">
        <v>2</v>
      </c>
      <c r="F18466" s="3">
        <v>2</v>
      </c>
      <c r="G18466" t="s">
        <v>514</v>
      </c>
    </row>
    <row r="18467" spans="1:7" x14ac:dyDescent="0.25">
      <c r="A18467" s="1" t="str">
        <f>"6824"</f>
        <v>6824</v>
      </c>
      <c r="B18467" s="2" t="str">
        <f>"POLPA 1% FRUTAS VERMELHAS - CÓD, E FRV-101 CR  (BORSATO)"</f>
        <v>POLPA 1% FRUTAS VERMELHAS - CÓD, E FRV-101 CR  (BORSATO)</v>
      </c>
      <c r="C18467" s="2" t="str">
        <f t="shared" si="724"/>
        <v>KG</v>
      </c>
      <c r="D18467" s="7">
        <v>205</v>
      </c>
      <c r="E18467" s="3">
        <v>2</v>
      </c>
      <c r="F18467" s="3">
        <v>2</v>
      </c>
      <c r="G18467" t="s">
        <v>513</v>
      </c>
    </row>
    <row r="18468" spans="1:7" x14ac:dyDescent="0.25">
      <c r="A18468" s="1" t="str">
        <f>"6825"</f>
        <v>6825</v>
      </c>
      <c r="B18468" s="2" t="str">
        <f>"POLPA 1% GRAVIOLA - CÓD, C GVL-101 CR  (BORSATO)"</f>
        <v>POLPA 1% GRAVIOLA - CÓD, C GVL-101 CR  (BORSATO)</v>
      </c>
      <c r="C18468" s="2" t="str">
        <f t="shared" si="724"/>
        <v>KG</v>
      </c>
      <c r="D18468" s="7">
        <v>205</v>
      </c>
      <c r="E18468" s="3">
        <v>2</v>
      </c>
      <c r="F18468" s="3">
        <v>2</v>
      </c>
      <c r="G18468" t="s">
        <v>513</v>
      </c>
    </row>
    <row r="18469" spans="1:7" x14ac:dyDescent="0.25">
      <c r="A18469" s="1" t="str">
        <f>"6828"</f>
        <v>6828</v>
      </c>
      <c r="B18469" s="2" t="str">
        <f>"POLPA 1% LAR/CEN/MEL - CÓD.C CLM-105 CA (BORSATO)"</f>
        <v>POLPA 1% LAR/CEN/MEL - CÓD.C CLM-105 CA (BORSATO)</v>
      </c>
      <c r="C18469" s="2" t="str">
        <f t="shared" si="724"/>
        <v>KG</v>
      </c>
      <c r="D18469" s="7">
        <v>205</v>
      </c>
      <c r="E18469" s="3">
        <v>2</v>
      </c>
      <c r="F18469" s="3">
        <v>2</v>
      </c>
      <c r="G18469" t="s">
        <v>513</v>
      </c>
    </row>
    <row r="18470" spans="1:7" x14ac:dyDescent="0.25">
      <c r="A18470" s="1" t="str">
        <f>"6836"</f>
        <v>6836</v>
      </c>
      <c r="B18470" s="2" t="str">
        <f>"POLPA 1% LAR/CEN/MEL - CÓD.C CLM-105 CA (BORSATO)"</f>
        <v>POLPA 1% LAR/CEN/MEL - CÓD.C CLM-105 CA (BORSATO)</v>
      </c>
      <c r="C18470" s="2" t="str">
        <f t="shared" si="724"/>
        <v>KG</v>
      </c>
      <c r="D18470" s="7">
        <v>205</v>
      </c>
      <c r="E18470" s="3">
        <v>2</v>
      </c>
      <c r="F18470" s="3">
        <v>2</v>
      </c>
      <c r="G18470" t="s">
        <v>512</v>
      </c>
    </row>
    <row r="18471" spans="1:7" x14ac:dyDescent="0.25">
      <c r="A18471" s="1" t="str">
        <f>"6835"</f>
        <v>6835</v>
      </c>
      <c r="B18471" s="2" t="str">
        <f>"POLPA 1% MAÇÃ ORIGINAL - CÓD. 241367 (AGRANA)"</f>
        <v>POLPA 1% MAÇÃ ORIGINAL - CÓD. 241367 (AGRANA)</v>
      </c>
      <c r="C18471" s="2" t="str">
        <f t="shared" si="724"/>
        <v>KG</v>
      </c>
      <c r="D18471" s="7">
        <v>205</v>
      </c>
      <c r="E18471" s="3">
        <v>2</v>
      </c>
      <c r="F18471" s="3">
        <v>2</v>
      </c>
      <c r="G18471" t="s">
        <v>513</v>
      </c>
    </row>
    <row r="18472" spans="1:7" x14ac:dyDescent="0.25">
      <c r="A18472" s="1" t="str">
        <f>"6834"</f>
        <v>6834</v>
      </c>
      <c r="B18472" s="2" t="str">
        <f>"POLPA 1% MAÇÃ/ BANANA PET-CÓD.836738999 S/CORANTE  (DOEHLER)"</f>
        <v>POLPA 1% MAÇÃ/ BANANA PET-CÓD.836738999 S/CORANTE  (DOEHLER)</v>
      </c>
      <c r="C18472" s="2" t="str">
        <f t="shared" si="724"/>
        <v>KG</v>
      </c>
      <c r="D18472" s="7">
        <v>205</v>
      </c>
      <c r="E18472" s="3">
        <v>2</v>
      </c>
      <c r="F18472" s="3">
        <v>2</v>
      </c>
      <c r="G18472" t="s">
        <v>514</v>
      </c>
    </row>
    <row r="18473" spans="1:7" x14ac:dyDescent="0.25">
      <c r="A18473" s="1" t="str">
        <f>"6820"</f>
        <v>6820</v>
      </c>
      <c r="B18473" s="2" t="str">
        <f>"POLPA 1% MAMÃO/ MAÇÃ /BANANA-CÓD.829403 (DOEHLER)"</f>
        <v>POLPA 1% MAMÃO/ MAÇÃ /BANANA-CÓD.829403 (DOEHLER)</v>
      </c>
      <c r="C18473" s="2" t="str">
        <f t="shared" si="724"/>
        <v>KG</v>
      </c>
      <c r="D18473" s="7">
        <v>205</v>
      </c>
      <c r="E18473" s="3">
        <v>2</v>
      </c>
      <c r="F18473" s="3">
        <v>2</v>
      </c>
      <c r="G18473" t="s">
        <v>515</v>
      </c>
    </row>
    <row r="18474" spans="1:7" x14ac:dyDescent="0.25">
      <c r="A18474" s="1" t="str">
        <f>"6867"</f>
        <v>6867</v>
      </c>
      <c r="B18474" s="2" t="str">
        <f>"POLPA 1% MAMÃO/ MAÇÃ /BANANA-CÓD.MBC-101 CA (BORSATO)"</f>
        <v>POLPA 1% MAMÃO/ MAÇÃ /BANANA-CÓD.MBC-101 CA (BORSATO)</v>
      </c>
      <c r="C18474" s="2" t="str">
        <f t="shared" si="724"/>
        <v>KG</v>
      </c>
      <c r="D18474" s="7">
        <v>205</v>
      </c>
      <c r="E18474" s="3">
        <v>2</v>
      </c>
      <c r="F18474" s="3">
        <v>2</v>
      </c>
      <c r="G18474" t="s">
        <v>512</v>
      </c>
    </row>
    <row r="18475" spans="1:7" x14ac:dyDescent="0.25">
      <c r="A18475" s="1" t="str">
        <f>"6826"</f>
        <v>6826</v>
      </c>
      <c r="B18475" s="2" t="str">
        <f>"POLPA 1% MEL - CÓD. D MEL-101 CR  (BORSATO)"</f>
        <v>POLPA 1% MEL - CÓD. D MEL-101 CR  (BORSATO)</v>
      </c>
      <c r="C18475" s="2" t="str">
        <f t="shared" si="724"/>
        <v>KG</v>
      </c>
      <c r="D18475" s="7">
        <v>205</v>
      </c>
      <c r="E18475" s="3">
        <v>2</v>
      </c>
      <c r="F18475" s="3">
        <v>2</v>
      </c>
      <c r="G18475" t="s">
        <v>516</v>
      </c>
    </row>
    <row r="18476" spans="1:7" x14ac:dyDescent="0.25">
      <c r="A18476" s="1" t="str">
        <f>"6827"</f>
        <v>6827</v>
      </c>
      <c r="B18476" s="2" t="str">
        <f>"POLPA 1% MORANGO SEM AÇÚCAR - CÓD. E MOR-101 CR  (BORSATO)"</f>
        <v>POLPA 1% MORANGO SEM AÇÚCAR - CÓD. E MOR-101 CR  (BORSATO)</v>
      </c>
      <c r="C18476" s="2" t="str">
        <f t="shared" si="724"/>
        <v>KG</v>
      </c>
      <c r="D18476" s="7">
        <v>205</v>
      </c>
      <c r="E18476" s="3">
        <v>2</v>
      </c>
      <c r="F18476" s="3">
        <v>2</v>
      </c>
      <c r="G18476" t="s">
        <v>515</v>
      </c>
    </row>
    <row r="18477" spans="1:7" x14ac:dyDescent="0.25">
      <c r="A18477" s="1" t="str">
        <f>"4160"</f>
        <v>4160</v>
      </c>
      <c r="B18477" s="2" t="str">
        <f>"POLPA ACAI E MORANGO - A AXM 810CR (BORSATO)"</f>
        <v>POLPA ACAI E MORANGO - A AXM 810CR (BORSATO)</v>
      </c>
      <c r="C18477" s="2" t="str">
        <f t="shared" si="724"/>
        <v>KG</v>
      </c>
      <c r="D18477" s="7">
        <v>205</v>
      </c>
      <c r="E18477" s="3">
        <v>2</v>
      </c>
      <c r="F18477" s="3">
        <v>2</v>
      </c>
      <c r="G18477" t="s">
        <v>514</v>
      </c>
    </row>
    <row r="18478" spans="1:7" x14ac:dyDescent="0.25">
      <c r="A18478" s="1" t="str">
        <f>"5993"</f>
        <v>5993</v>
      </c>
      <c r="B18478" s="2" t="str">
        <f>"POLPA BICAMADA FRUTAS VERMELHAS/CHIA COD. AM81-15"</f>
        <v>POLPA BICAMADA FRUTAS VERMELHAS/CHIA COD. AM81-15</v>
      </c>
      <c r="C18478" s="2" t="str">
        <f t="shared" si="724"/>
        <v>KG</v>
      </c>
      <c r="D18478" s="7">
        <v>205</v>
      </c>
      <c r="E18478" s="3">
        <v>2</v>
      </c>
      <c r="F18478" s="3">
        <v>2</v>
      </c>
      <c r="G18478" t="s">
        <v>512</v>
      </c>
    </row>
    <row r="18479" spans="1:7" x14ac:dyDescent="0.25">
      <c r="A18479" s="1" t="str">
        <f>"5991"</f>
        <v>5991</v>
      </c>
      <c r="B18479" s="2" t="str">
        <f>"POLPA BICAMADA MORANGO/CHIA COD. AM79-15"</f>
        <v>POLPA BICAMADA MORANGO/CHIA COD. AM79-15</v>
      </c>
      <c r="C18479" s="2" t="str">
        <f t="shared" si="724"/>
        <v>KG</v>
      </c>
      <c r="D18479" s="7">
        <v>205</v>
      </c>
      <c r="E18479" s="3">
        <v>2</v>
      </c>
      <c r="F18479" s="3">
        <v>2</v>
      </c>
      <c r="G18479" t="s">
        <v>513</v>
      </c>
    </row>
    <row r="18480" spans="1:7" x14ac:dyDescent="0.25">
      <c r="A18480" s="1" t="str">
        <f>"3328"</f>
        <v>3328</v>
      </c>
      <c r="B18480" s="2" t="str">
        <f>"POLPA COCO - CO 03 (VIVARE)"</f>
        <v>POLPA COCO - CO 03 (VIVARE)</v>
      </c>
      <c r="C18480" s="2" t="str">
        <f>"kg"</f>
        <v>kg</v>
      </c>
      <c r="D18480" s="7">
        <v>206</v>
      </c>
      <c r="E18480" s="3">
        <v>2</v>
      </c>
      <c r="F18480" s="3">
        <v>2</v>
      </c>
      <c r="G18480" t="s">
        <v>514</v>
      </c>
    </row>
    <row r="18481" spans="1:7" x14ac:dyDescent="0.25">
      <c r="A18481" s="1" t="str">
        <f>"6406"</f>
        <v>6406</v>
      </c>
      <c r="B18481" s="2" t="str">
        <f>"POLPA COCO COC-101 CA"</f>
        <v>POLPA COCO COC-101 CA</v>
      </c>
      <c r="C18481" s="2" t="str">
        <f>"KG"</f>
        <v>KG</v>
      </c>
      <c r="D18481" s="7">
        <v>205</v>
      </c>
      <c r="E18481" s="3">
        <v>2</v>
      </c>
      <c r="F18481" s="3">
        <v>2</v>
      </c>
      <c r="G18481" t="s">
        <v>514</v>
      </c>
    </row>
    <row r="18482" spans="1:7" x14ac:dyDescent="0.25">
      <c r="A18482" s="1" t="str">
        <f>"5970"</f>
        <v>5970</v>
      </c>
      <c r="B18482" s="2" t="str">
        <f>"POLPA COCO COD. CD.D 4822/6 DOHLER"</f>
        <v>POLPA COCO COD. CD.D 4822/6 DOHLER</v>
      </c>
      <c r="C18482" s="2" t="str">
        <f>"kg"</f>
        <v>kg</v>
      </c>
      <c r="D18482" s="7">
        <v>206</v>
      </c>
      <c r="E18482" s="3">
        <v>2</v>
      </c>
      <c r="F18482" s="3">
        <v>2</v>
      </c>
      <c r="G18482" t="s">
        <v>512</v>
      </c>
    </row>
    <row r="18483" spans="1:7" x14ac:dyDescent="0.25">
      <c r="A18483" s="1" t="str">
        <f>"6116"</f>
        <v>6116</v>
      </c>
      <c r="B18483" s="2" t="str">
        <f>"POLPA DE ABACAXI/COCO/FLOCOS 8% PARATY COD.279788 AGRANA"</f>
        <v>POLPA DE ABACAXI/COCO/FLOCOS 8% PARATY COD.279788 AGRANA</v>
      </c>
      <c r="C18483" s="2" t="str">
        <f t="shared" ref="C18483:C18507" si="725">"KG"</f>
        <v>KG</v>
      </c>
      <c r="D18483" s="7">
        <v>205</v>
      </c>
      <c r="E18483" s="3">
        <v>2</v>
      </c>
      <c r="F18483" s="3">
        <v>2</v>
      </c>
      <c r="G18483" t="s">
        <v>513</v>
      </c>
    </row>
    <row r="18484" spans="1:7" x14ac:dyDescent="0.25">
      <c r="A18484" s="1" t="str">
        <f>"6122"</f>
        <v>6122</v>
      </c>
      <c r="B18484" s="2" t="str">
        <f>"POLPA DE ABACAXI/COCO/FLOCOS 8% PARATY COD.288841 AGRANA"</f>
        <v>POLPA DE ABACAXI/COCO/FLOCOS 8% PARATY COD.288841 AGRANA</v>
      </c>
      <c r="C18484" s="2" t="str">
        <f t="shared" si="725"/>
        <v>KG</v>
      </c>
      <c r="D18484" s="7">
        <v>205</v>
      </c>
      <c r="E18484" s="3">
        <v>2</v>
      </c>
      <c r="F18484" s="3">
        <v>2</v>
      </c>
      <c r="G18484" t="s">
        <v>514</v>
      </c>
    </row>
    <row r="18485" spans="1:7" x14ac:dyDescent="0.25">
      <c r="A18485" s="1" t="str">
        <f>"4098"</f>
        <v>4098</v>
      </c>
      <c r="B18485" s="2" t="str">
        <f>"POLPA DE ACAI COM GUARANA (C) ACG - 081 PE"</f>
        <v>POLPA DE ACAI COM GUARANA (C) ACG - 081 PE</v>
      </c>
      <c r="C18485" s="2" t="str">
        <f t="shared" si="725"/>
        <v>KG</v>
      </c>
      <c r="D18485" s="7">
        <v>205</v>
      </c>
      <c r="E18485" s="3">
        <v>2</v>
      </c>
      <c r="F18485" s="3">
        <v>2</v>
      </c>
      <c r="G18485" t="s">
        <v>514</v>
      </c>
    </row>
    <row r="18486" spans="1:7" x14ac:dyDescent="0.25">
      <c r="A18486" s="1" t="str">
        <f>"4089"</f>
        <v>4089</v>
      </c>
      <c r="B18486" s="2" t="str">
        <f>"POLPA DE ACAI COM MORANGO (B) AXM-101 PE"</f>
        <v>POLPA DE ACAI COM MORANGO (B) AXM-101 PE</v>
      </c>
      <c r="C18486" s="2" t="str">
        <f t="shared" si="725"/>
        <v>KG</v>
      </c>
      <c r="D18486" s="7">
        <v>205</v>
      </c>
      <c r="E18486" s="3">
        <v>2</v>
      </c>
      <c r="F18486" s="3">
        <v>2</v>
      </c>
      <c r="G18486" t="s">
        <v>514</v>
      </c>
    </row>
    <row r="18487" spans="1:7" x14ac:dyDescent="0.25">
      <c r="A18487" s="1" t="str">
        <f>"4099"</f>
        <v>4099</v>
      </c>
      <c r="B18487" s="2" t="str">
        <f>"POLPA DE ACAI E BANANA (B) ACB-101 PE"</f>
        <v>POLPA DE ACAI E BANANA (B) ACB-101 PE</v>
      </c>
      <c r="C18487" s="2" t="str">
        <f t="shared" si="725"/>
        <v>KG</v>
      </c>
      <c r="D18487" s="7">
        <v>205</v>
      </c>
      <c r="E18487" s="3">
        <v>2</v>
      </c>
      <c r="F18487" s="3">
        <v>2</v>
      </c>
      <c r="G18487" t="s">
        <v>513</v>
      </c>
    </row>
    <row r="18488" spans="1:7" x14ac:dyDescent="0.25">
      <c r="A18488" s="1" t="str">
        <f>"5826"</f>
        <v>5826</v>
      </c>
      <c r="B18488" s="2" t="str">
        <f>"POLPA DE AMEIXA (AME - CP/CA)(20KG)"</f>
        <v>POLPA DE AMEIXA (AME - CP/CA)(20KG)</v>
      </c>
      <c r="C18488" s="2" t="str">
        <f t="shared" si="725"/>
        <v>KG</v>
      </c>
      <c r="D18488" s="7">
        <v>205</v>
      </c>
      <c r="E18488" s="3">
        <v>2</v>
      </c>
      <c r="F18488" s="3">
        <v>2</v>
      </c>
      <c r="G18488" t="s">
        <v>512</v>
      </c>
    </row>
    <row r="18489" spans="1:7" x14ac:dyDescent="0.25">
      <c r="A18489" s="1" t="str">
        <f>"2258"</f>
        <v>2258</v>
      </c>
      <c r="B18489" s="2" t="str">
        <f>"POLPA DE AMEIXA AME-101 CR"</f>
        <v>POLPA DE AMEIXA AME-101 CR</v>
      </c>
      <c r="C18489" s="2" t="str">
        <f t="shared" si="725"/>
        <v>KG</v>
      </c>
      <c r="D18489" s="7">
        <v>205</v>
      </c>
      <c r="E18489" s="3">
        <v>2</v>
      </c>
      <c r="F18489" s="3">
        <v>2</v>
      </c>
      <c r="G18489" t="s">
        <v>513</v>
      </c>
    </row>
    <row r="18490" spans="1:7" x14ac:dyDescent="0.25">
      <c r="A18490" s="1" t="str">
        <f>"95"</f>
        <v>95</v>
      </c>
      <c r="B18490" s="2" t="str">
        <f>"POLPA DE AMEIXA AME-CP/CA ZERO"</f>
        <v>POLPA DE AMEIXA AME-CP/CA ZERO</v>
      </c>
      <c r="C18490" s="2" t="str">
        <f t="shared" si="725"/>
        <v>KG</v>
      </c>
      <c r="D18490" s="7">
        <v>205</v>
      </c>
      <c r="E18490" s="3">
        <v>2</v>
      </c>
      <c r="F18490" s="3">
        <v>2</v>
      </c>
      <c r="G18490" t="s">
        <v>514</v>
      </c>
    </row>
    <row r="18491" spans="1:7" x14ac:dyDescent="0.25">
      <c r="A18491" s="1" t="str">
        <f>"6121"</f>
        <v>6121</v>
      </c>
      <c r="B18491" s="2" t="str">
        <f>"POLPA DE AMORA/GOIABA AXG"</f>
        <v>POLPA DE AMORA/GOIABA AXG</v>
      </c>
      <c r="C18491" s="2" t="str">
        <f t="shared" si="725"/>
        <v>KG</v>
      </c>
      <c r="D18491" s="7">
        <v>205</v>
      </c>
      <c r="E18491" s="3">
        <v>2</v>
      </c>
      <c r="F18491" s="3">
        <v>2</v>
      </c>
      <c r="G18491" t="s">
        <v>514</v>
      </c>
    </row>
    <row r="18492" spans="1:7" x14ac:dyDescent="0.25">
      <c r="A18492" s="1" t="str">
        <f>"515844"</f>
        <v>515844</v>
      </c>
      <c r="B18492" s="2" t="str">
        <f>"POLPA DE AVEIA AVE-505"</f>
        <v>POLPA DE AVEIA AVE-505</v>
      </c>
      <c r="C18492" s="2" t="str">
        <f t="shared" si="725"/>
        <v>KG</v>
      </c>
      <c r="D18492" s="7">
        <v>205</v>
      </c>
      <c r="E18492" s="3">
        <v>2</v>
      </c>
      <c r="F18492" s="3">
        <v>2</v>
      </c>
      <c r="G18492" t="s">
        <v>514</v>
      </c>
    </row>
    <row r="18493" spans="1:7" x14ac:dyDescent="0.25">
      <c r="A18493" s="1" t="str">
        <f>"5797"</f>
        <v>5797</v>
      </c>
      <c r="B18493" s="2" t="str">
        <f>"POLPA DE BANANA E AVEIA BXA-501 CA - PÃO AÇÚCAR"</f>
        <v>POLPA DE BANANA E AVEIA BXA-501 CA - PÃO AÇÚCAR</v>
      </c>
      <c r="C18493" s="2" t="str">
        <f t="shared" si="725"/>
        <v>KG</v>
      </c>
      <c r="D18493" s="7">
        <v>205</v>
      </c>
      <c r="E18493" s="3">
        <v>2</v>
      </c>
      <c r="F18493" s="3">
        <v>2</v>
      </c>
      <c r="G18493" t="s">
        <v>513</v>
      </c>
    </row>
    <row r="18494" spans="1:7" x14ac:dyDescent="0.25">
      <c r="A18494" s="1" t="str">
        <f>"6060"</f>
        <v>6060</v>
      </c>
      <c r="B18494" s="2" t="str">
        <f>"POLPA DE BANANA E MORANGO B BXM-810 GM (BORSATO)"</f>
        <v>POLPA DE BANANA E MORANGO B BXM-810 GM (BORSATO)</v>
      </c>
      <c r="C18494" s="2" t="str">
        <f t="shared" si="725"/>
        <v>KG</v>
      </c>
      <c r="D18494" s="7">
        <v>205</v>
      </c>
      <c r="E18494" s="3">
        <v>2</v>
      </c>
      <c r="F18494" s="3">
        <v>2</v>
      </c>
      <c r="G18494" t="s">
        <v>513</v>
      </c>
    </row>
    <row r="18495" spans="1:7" x14ac:dyDescent="0.25">
      <c r="A18495" s="1" t="str">
        <f>"6376"</f>
        <v>6376</v>
      </c>
      <c r="B18495" s="2" t="str">
        <f>"POLPA DE BANANA/MORANGO 6% TRIT 1A COD.290340 AGRANA"</f>
        <v>POLPA DE BANANA/MORANGO 6% TRIT 1A COD.290340 AGRANA</v>
      </c>
      <c r="C18495" s="2" t="str">
        <f t="shared" si="725"/>
        <v>KG</v>
      </c>
      <c r="D18495" s="7">
        <v>205</v>
      </c>
      <c r="E18495" s="3">
        <v>2</v>
      </c>
      <c r="F18495" s="3">
        <v>2</v>
      </c>
      <c r="G18495" t="s">
        <v>513</v>
      </c>
    </row>
    <row r="18496" spans="1:7" x14ac:dyDescent="0.25">
      <c r="A18496" s="1" t="str">
        <f>"736"</f>
        <v>736</v>
      </c>
      <c r="B18496" s="2" t="str">
        <f>"POLPA DE CALDA DE AMEIXA COD. A AME-CA - FLAN"</f>
        <v>POLPA DE CALDA DE AMEIXA COD. A AME-CA - FLAN</v>
      </c>
      <c r="C18496" s="2" t="str">
        <f t="shared" si="725"/>
        <v>KG</v>
      </c>
      <c r="D18496" s="7">
        <v>205</v>
      </c>
      <c r="E18496" s="3">
        <v>2</v>
      </c>
      <c r="F18496" s="3">
        <v>2</v>
      </c>
      <c r="G18496" t="s">
        <v>512</v>
      </c>
    </row>
    <row r="18497" spans="1:7" x14ac:dyDescent="0.25">
      <c r="A18497" s="1" t="str">
        <f>"737"</f>
        <v>737</v>
      </c>
      <c r="B18497" s="2" t="str">
        <f>"POLPA DE CALDA DE CARAMELO COD. CAR-FLAN CA - FLAN"</f>
        <v>POLPA DE CALDA DE CARAMELO COD. CAR-FLAN CA - FLAN</v>
      </c>
      <c r="C18497" s="2" t="str">
        <f t="shared" si="725"/>
        <v>KG</v>
      </c>
      <c r="D18497" s="7">
        <v>205</v>
      </c>
      <c r="E18497" s="3">
        <v>2</v>
      </c>
      <c r="F18497" s="3">
        <v>2</v>
      </c>
      <c r="G18497" t="s">
        <v>513</v>
      </c>
    </row>
    <row r="18498" spans="1:7" x14ac:dyDescent="0.25">
      <c r="A18498" s="1" t="str">
        <f>"5793"</f>
        <v>5793</v>
      </c>
      <c r="B18498" s="2" t="str">
        <f>"POLPA DE CEN.LAR.E MEL-CLM 505/CA (25KG)"</f>
        <v>POLPA DE CEN.LAR.E MEL-CLM 505/CA (25KG)</v>
      </c>
      <c r="C18498" s="2" t="str">
        <f t="shared" si="725"/>
        <v>KG</v>
      </c>
      <c r="D18498" s="7">
        <v>205</v>
      </c>
      <c r="E18498" s="3">
        <v>2</v>
      </c>
      <c r="F18498" s="3">
        <v>2</v>
      </c>
      <c r="G18498" t="s">
        <v>514</v>
      </c>
    </row>
    <row r="18499" spans="1:7" x14ac:dyDescent="0.25">
      <c r="A18499" s="1" t="str">
        <f>"739"</f>
        <v>739</v>
      </c>
      <c r="B18499" s="2" t="str">
        <f>"POLPA DE CEREAIS - 501 (25KG)"</f>
        <v>POLPA DE CEREAIS - 501 (25KG)</v>
      </c>
      <c r="C18499" s="2" t="str">
        <f t="shared" si="725"/>
        <v>KG</v>
      </c>
      <c r="D18499" s="7">
        <v>205</v>
      </c>
      <c r="E18499" s="3">
        <v>2</v>
      </c>
      <c r="F18499" s="3">
        <v>2</v>
      </c>
      <c r="G18499" t="s">
        <v>515</v>
      </c>
    </row>
    <row r="18500" spans="1:7" x14ac:dyDescent="0.25">
      <c r="A18500" s="1" t="str">
        <f>"5930"</f>
        <v>5930</v>
      </c>
      <c r="B18500" s="2" t="str">
        <f>"POLPA DE CHOCOLATE C/MORANGO CXM501(25K)"</f>
        <v>POLPA DE CHOCOLATE C/MORANGO CXM501(25K)</v>
      </c>
      <c r="C18500" s="2" t="str">
        <f t="shared" si="725"/>
        <v>KG</v>
      </c>
      <c r="D18500" s="7">
        <v>205</v>
      </c>
      <c r="E18500" s="3">
        <v>2</v>
      </c>
      <c r="F18500" s="3">
        <v>2</v>
      </c>
      <c r="G18500" t="s">
        <v>512</v>
      </c>
    </row>
    <row r="18501" spans="1:7" x14ac:dyDescent="0.25">
      <c r="A18501" s="1" t="str">
        <f>"6097"</f>
        <v>6097</v>
      </c>
      <c r="B18501" s="2" t="str">
        <f>"POLPA DE CHOCOLATE DOREMUS(20Kg)"</f>
        <v>POLPA DE CHOCOLATE DOREMUS(20Kg)</v>
      </c>
      <c r="C18501" s="2" t="str">
        <f t="shared" si="725"/>
        <v>KG</v>
      </c>
      <c r="D18501" s="7">
        <v>205</v>
      </c>
      <c r="E18501" s="3">
        <v>2</v>
      </c>
      <c r="F18501" s="3">
        <v>2</v>
      </c>
      <c r="G18501" t="s">
        <v>516</v>
      </c>
    </row>
    <row r="18502" spans="1:7" x14ac:dyDescent="0.25">
      <c r="A18502" s="1" t="str">
        <f>"29"</f>
        <v>29</v>
      </c>
      <c r="B18502" s="2" t="str">
        <f>"POLPA DE COCO  - COC 505 Z"</f>
        <v>POLPA DE COCO  - COC 505 Z</v>
      </c>
      <c r="C18502" s="2" t="str">
        <f t="shared" si="725"/>
        <v>KG</v>
      </c>
      <c r="D18502" s="7">
        <v>205</v>
      </c>
      <c r="E18502" s="3">
        <v>2</v>
      </c>
      <c r="F18502" s="3">
        <v>2</v>
      </c>
      <c r="G18502" t="s">
        <v>515</v>
      </c>
    </row>
    <row r="18503" spans="1:7" x14ac:dyDescent="0.25">
      <c r="A18503" s="1" t="str">
        <f>"748"</f>
        <v>748</v>
      </c>
      <c r="B18503" s="2" t="str">
        <f>"POLPA DE COCO CP COD. 730024M - PEDAÇOS RITTER"</f>
        <v>POLPA DE COCO CP COD. 730024M - PEDAÇOS RITTER</v>
      </c>
      <c r="C18503" s="2" t="str">
        <f t="shared" si="725"/>
        <v>KG</v>
      </c>
      <c r="D18503" s="7">
        <v>205</v>
      </c>
      <c r="E18503" s="3">
        <v>2</v>
      </c>
      <c r="F18503" s="3">
        <v>2</v>
      </c>
      <c r="G18503" t="s">
        <v>514</v>
      </c>
    </row>
    <row r="18504" spans="1:7" x14ac:dyDescent="0.25">
      <c r="A18504" s="1" t="str">
        <f>"738"</f>
        <v>738</v>
      </c>
      <c r="B18504" s="2" t="str">
        <f>"POLPA DE COCO TECGEM AA 75.310 - GEMACOM"</f>
        <v>POLPA DE COCO TECGEM AA 75.310 - GEMACOM</v>
      </c>
      <c r="C18504" s="2" t="str">
        <f t="shared" si="725"/>
        <v>KG</v>
      </c>
      <c r="D18504" s="7">
        <v>205</v>
      </c>
      <c r="E18504" s="3">
        <v>2</v>
      </c>
      <c r="F18504" s="3">
        <v>2</v>
      </c>
      <c r="G18504" t="s">
        <v>512</v>
      </c>
    </row>
    <row r="18505" spans="1:7" x14ac:dyDescent="0.25">
      <c r="A18505" s="1" t="str">
        <f>"4164"</f>
        <v>4164</v>
      </c>
      <c r="B18505" s="2" t="str">
        <f>"POLPA DE FLOCOS COD. 916405001 (DOEHLER)"</f>
        <v>POLPA DE FLOCOS COD. 916405001 (DOEHLER)</v>
      </c>
      <c r="C18505" s="2" t="str">
        <f t="shared" si="725"/>
        <v>KG</v>
      </c>
      <c r="D18505" s="7">
        <v>205</v>
      </c>
      <c r="E18505" s="3">
        <v>2</v>
      </c>
      <c r="F18505" s="3">
        <v>2</v>
      </c>
      <c r="G18505" t="s">
        <v>513</v>
      </c>
    </row>
    <row r="18506" spans="1:7" x14ac:dyDescent="0.25">
      <c r="A18506" s="1" t="str">
        <f>"733"</f>
        <v>733</v>
      </c>
      <c r="B18506" s="2" t="str">
        <f>"POLPA DE FR. VERMELHAS (ALTO TEOR DE FRUTAS) GREGO/FRUTAS"</f>
        <v>POLPA DE FR. VERMELHAS (ALTO TEOR DE FRUTAS) GREGO/FRUTAS</v>
      </c>
      <c r="C18506" s="2" t="str">
        <f t="shared" si="725"/>
        <v>KG</v>
      </c>
      <c r="D18506" s="7">
        <v>205</v>
      </c>
      <c r="E18506" s="3">
        <v>2</v>
      </c>
      <c r="F18506" s="3">
        <v>2</v>
      </c>
      <c r="G18506" t="s">
        <v>514</v>
      </c>
    </row>
    <row r="18507" spans="1:7" x14ac:dyDescent="0.25">
      <c r="A18507" s="1" t="str">
        <f>"720"</f>
        <v>720</v>
      </c>
      <c r="B18507" s="2" t="str">
        <f>"POLPA DE FR. VERMELHAS FV BC CA3 (GREGO)"</f>
        <v>POLPA DE FR. VERMELHAS FV BC CA3 (GREGO)</v>
      </c>
      <c r="C18507" s="2" t="str">
        <f t="shared" si="725"/>
        <v>KG</v>
      </c>
      <c r="D18507" s="7">
        <v>205</v>
      </c>
      <c r="E18507" s="3">
        <v>2</v>
      </c>
      <c r="F18507" s="3">
        <v>2</v>
      </c>
      <c r="G18507" t="s">
        <v>514</v>
      </c>
    </row>
    <row r="18508" spans="1:7" x14ac:dyDescent="0.25">
      <c r="A18508" s="1" t="str">
        <f>"AG20071000"</f>
        <v>AG20071000</v>
      </c>
      <c r="B18508" s="2" t="str">
        <f>"POLPA DE FRUTA AMOSTRA GRATIS"</f>
        <v>POLPA DE FRUTA AMOSTRA GRATIS</v>
      </c>
      <c r="C18508" s="2" t="str">
        <f>"UN"</f>
        <v>UN</v>
      </c>
      <c r="D18508" s="7">
        <v>99999</v>
      </c>
      <c r="E18508" s="3">
        <v>99</v>
      </c>
      <c r="F18508" s="3">
        <v>99</v>
      </c>
      <c r="G18508" t="s">
        <v>512</v>
      </c>
    </row>
    <row r="18509" spans="1:7" x14ac:dyDescent="0.25">
      <c r="A18509" s="1" t="str">
        <f>"6373"</f>
        <v>6373</v>
      </c>
      <c r="B18509" s="2" t="str">
        <f>"POLPA DE FRUTAS VERMELHAS 6% TRIT 1A COD.290337 AGRANA"</f>
        <v>POLPA DE FRUTAS VERMELHAS 6% TRIT 1A COD.290337 AGRANA</v>
      </c>
      <c r="C18509" s="2" t="str">
        <f t="shared" ref="C18509:C18549" si="726">"KG"</f>
        <v>KG</v>
      </c>
      <c r="D18509" s="7">
        <v>205</v>
      </c>
      <c r="E18509" s="3">
        <v>2</v>
      </c>
      <c r="F18509" s="3">
        <v>2</v>
      </c>
      <c r="G18509" t="s">
        <v>513</v>
      </c>
    </row>
    <row r="18510" spans="1:7" x14ac:dyDescent="0.25">
      <c r="A18510" s="1" t="str">
        <f>"1329"</f>
        <v>1329</v>
      </c>
      <c r="B18510" s="2" t="str">
        <f>"POLPA DE FRUTAS VERMELHAS FV2-501(25KG)"</f>
        <v>POLPA DE FRUTAS VERMELHAS FV2-501(25KG)</v>
      </c>
      <c r="C18510" s="2" t="str">
        <f t="shared" si="726"/>
        <v>KG</v>
      </c>
      <c r="D18510" s="7">
        <v>205</v>
      </c>
      <c r="E18510" s="3">
        <v>2</v>
      </c>
      <c r="F18510" s="3">
        <v>2</v>
      </c>
      <c r="G18510" t="s">
        <v>514</v>
      </c>
    </row>
    <row r="18511" spans="1:7" x14ac:dyDescent="0.25">
      <c r="A18511" s="1" t="str">
        <f>"6120"</f>
        <v>6120</v>
      </c>
      <c r="B18511" s="2" t="str">
        <f>"POLPA DE GOIABA GOI 505"</f>
        <v>POLPA DE GOIABA GOI 505</v>
      </c>
      <c r="C18511" s="2" t="str">
        <f t="shared" si="726"/>
        <v>KG</v>
      </c>
      <c r="D18511" s="7">
        <v>205</v>
      </c>
      <c r="E18511" s="3">
        <v>2</v>
      </c>
      <c r="F18511" s="3">
        <v>2</v>
      </c>
      <c r="G18511" t="s">
        <v>514</v>
      </c>
    </row>
    <row r="18512" spans="1:7" x14ac:dyDescent="0.25">
      <c r="A18512" s="1" t="str">
        <f>"716"</f>
        <v>716</v>
      </c>
      <c r="B18512" s="2" t="str">
        <f>"POLPA DE GRAVIOLA GVL-501 E"</f>
        <v>POLPA DE GRAVIOLA GVL-501 E</v>
      </c>
      <c r="C18512" s="2" t="str">
        <f t="shared" si="726"/>
        <v>KG</v>
      </c>
      <c r="D18512" s="7">
        <v>205</v>
      </c>
      <c r="E18512" s="3">
        <v>2</v>
      </c>
      <c r="F18512" s="3">
        <v>2</v>
      </c>
      <c r="G18512" t="s">
        <v>514</v>
      </c>
    </row>
    <row r="18513" spans="1:7" x14ac:dyDescent="0.25">
      <c r="A18513" s="1" t="str">
        <f>"6229"</f>
        <v>6229</v>
      </c>
      <c r="B18513" s="2" t="str">
        <f>"POLPA DE LARANJA COM CELULAS DOHLER"</f>
        <v>POLPA DE LARANJA COM CELULAS DOHLER</v>
      </c>
      <c r="C18513" s="2" t="str">
        <f t="shared" si="726"/>
        <v>KG</v>
      </c>
      <c r="D18513" s="7">
        <v>205</v>
      </c>
      <c r="E18513" s="3">
        <v>2</v>
      </c>
      <c r="F18513" s="3">
        <v>2</v>
      </c>
      <c r="G18513" t="s">
        <v>513</v>
      </c>
    </row>
    <row r="18514" spans="1:7" x14ac:dyDescent="0.25">
      <c r="A18514" s="1" t="str">
        <f>"6230"</f>
        <v>6230</v>
      </c>
      <c r="B18514" s="2" t="str">
        <f>"POLPA DE LIMÃO COM CELULAS DOHLER"</f>
        <v>POLPA DE LIMÃO COM CELULAS DOHLER</v>
      </c>
      <c r="C18514" s="2" t="str">
        <f t="shared" si="726"/>
        <v>KG</v>
      </c>
      <c r="D18514" s="7">
        <v>205</v>
      </c>
      <c r="E18514" s="3">
        <v>2</v>
      </c>
      <c r="F18514" s="3">
        <v>2</v>
      </c>
      <c r="G18514" t="s">
        <v>512</v>
      </c>
    </row>
    <row r="18515" spans="1:7" x14ac:dyDescent="0.25">
      <c r="A18515" s="1" t="str">
        <f>"6837"</f>
        <v>6837</v>
      </c>
      <c r="B18515" s="2" t="str">
        <f>"POLPA DE MAÇÃ A MAC-101CA"</f>
        <v>POLPA DE MAÇÃ A MAC-101CA</v>
      </c>
      <c r="C18515" s="2" t="str">
        <f t="shared" si="726"/>
        <v>KG</v>
      </c>
      <c r="D18515" s="7">
        <v>205</v>
      </c>
      <c r="E18515" s="3">
        <v>2</v>
      </c>
      <c r="F18515" s="3">
        <v>2</v>
      </c>
      <c r="G18515" t="s">
        <v>513</v>
      </c>
    </row>
    <row r="18516" spans="1:7" x14ac:dyDescent="0.25">
      <c r="A18516" s="1" t="str">
        <f>"5931"</f>
        <v>5931</v>
      </c>
      <c r="B18516" s="2" t="str">
        <f>"POLPA DE MACA C/ CANELA CXC 501/1 (25KG)"</f>
        <v>POLPA DE MACA C/ CANELA CXC 501/1 (25KG)</v>
      </c>
      <c r="C18516" s="2" t="str">
        <f t="shared" si="726"/>
        <v>KG</v>
      </c>
      <c r="D18516" s="7">
        <v>205</v>
      </c>
      <c r="E18516" s="3">
        <v>2</v>
      </c>
      <c r="F18516" s="3">
        <v>2</v>
      </c>
      <c r="G18516" t="s">
        <v>514</v>
      </c>
    </row>
    <row r="18517" spans="1:7" x14ac:dyDescent="0.25">
      <c r="A18517" s="1" t="str">
        <f>"6225"</f>
        <v>6225</v>
      </c>
      <c r="B18517" s="2" t="str">
        <f>"POLPA DE MAÇÃ COM CANELA 3A 4% ATENAS COD.286897 AGRANA"</f>
        <v>POLPA DE MAÇÃ COM CANELA 3A 4% ATENAS COD.286897 AGRANA</v>
      </c>
      <c r="C18517" s="2" t="str">
        <f t="shared" si="726"/>
        <v>KG</v>
      </c>
      <c r="D18517" s="7">
        <v>205</v>
      </c>
      <c r="E18517" s="3">
        <v>2</v>
      </c>
      <c r="F18517" s="3">
        <v>2</v>
      </c>
      <c r="G18517" t="s">
        <v>514</v>
      </c>
    </row>
    <row r="18518" spans="1:7" x14ac:dyDescent="0.25">
      <c r="A18518" s="1" t="str">
        <f>"5981"</f>
        <v>5981</v>
      </c>
      <c r="B18518" s="2" t="str">
        <f>"POLPA DE MAÇÃ E BANANA-CXB501/CA (PETIT SALADA DE FRUTAS)"</f>
        <v>POLPA DE MAÇÃ E BANANA-CXB501/CA (PETIT SALADA DE FRUTAS)</v>
      </c>
      <c r="C18518" s="2" t="str">
        <f t="shared" si="726"/>
        <v>KG</v>
      </c>
      <c r="D18518" s="7">
        <v>205</v>
      </c>
      <c r="E18518" s="3">
        <v>2</v>
      </c>
      <c r="F18518" s="3">
        <v>2</v>
      </c>
      <c r="G18518" t="s">
        <v>514</v>
      </c>
    </row>
    <row r="18519" spans="1:7" x14ac:dyDescent="0.25">
      <c r="A18519" s="1" t="str">
        <f>"5796"</f>
        <v>5796</v>
      </c>
      <c r="B18519" s="2" t="str">
        <f>"POLPA DE MAÇÃ MVM-505 CA - PÃO AÇÚCAR"</f>
        <v>POLPA DE MAÇÃ MVM-505 CA - PÃO AÇÚCAR</v>
      </c>
      <c r="C18519" s="2" t="str">
        <f t="shared" si="726"/>
        <v>KG</v>
      </c>
      <c r="D18519" s="7">
        <v>205</v>
      </c>
      <c r="E18519" s="3">
        <v>2</v>
      </c>
      <c r="F18519" s="3">
        <v>2</v>
      </c>
      <c r="G18519" t="s">
        <v>513</v>
      </c>
    </row>
    <row r="18520" spans="1:7" x14ac:dyDescent="0.25">
      <c r="A18520" s="1" t="str">
        <f>"763"</f>
        <v>763</v>
      </c>
      <c r="B18520" s="2" t="str">
        <f>"POLPA DE MAÇÃ, MAMÃO E BANANA - ÇMB 501 Z (FRASCOS)"</f>
        <v>POLPA DE MAÇÃ, MAMÃO E BANANA - ÇMB 501 Z (FRASCOS)</v>
      </c>
      <c r="C18520" s="2" t="str">
        <f t="shared" si="726"/>
        <v>KG</v>
      </c>
      <c r="D18520" s="7">
        <v>205</v>
      </c>
      <c r="E18520" s="3">
        <v>2</v>
      </c>
      <c r="F18520" s="3">
        <v>2</v>
      </c>
      <c r="G18520" t="s">
        <v>513</v>
      </c>
    </row>
    <row r="18521" spans="1:7" x14ac:dyDescent="0.25">
      <c r="A18521" s="1" t="str">
        <f>"93"</f>
        <v>93</v>
      </c>
      <c r="B18521" s="2" t="str">
        <f>"POLPA DE MACA, MAMAO E BANANA ÇMB-501 ZERO"</f>
        <v>POLPA DE MACA, MAMAO E BANANA ÇMB-501 ZERO</v>
      </c>
      <c r="C18521" s="2" t="str">
        <f t="shared" si="726"/>
        <v>KG</v>
      </c>
      <c r="D18521" s="7">
        <v>205</v>
      </c>
      <c r="E18521" s="3">
        <v>2</v>
      </c>
      <c r="F18521" s="3">
        <v>2</v>
      </c>
      <c r="G18521" t="s">
        <v>513</v>
      </c>
    </row>
    <row r="18522" spans="1:7" x14ac:dyDescent="0.25">
      <c r="A18522" s="1" t="str">
        <f>"764"</f>
        <v>764</v>
      </c>
      <c r="B18522" s="2" t="str">
        <f>"POLPA DE MACA,/MAMAO/ BANANA -COD. 8.13387 DOHLER  (FRASCO"</f>
        <v>POLPA DE MACA,/MAMAO/ BANANA -COD. 8.13387 DOHLER  (FRASCO</v>
      </c>
      <c r="C18522" s="2" t="str">
        <f t="shared" si="726"/>
        <v>KG</v>
      </c>
      <c r="D18522" s="7">
        <v>205</v>
      </c>
      <c r="E18522" s="3">
        <v>2</v>
      </c>
      <c r="F18522" s="3">
        <v>2</v>
      </c>
      <c r="G18522" t="s">
        <v>512</v>
      </c>
    </row>
    <row r="18523" spans="1:7" x14ac:dyDescent="0.25">
      <c r="A18523" s="1" t="str">
        <f>"721"</f>
        <v>721</v>
      </c>
      <c r="B18523" s="2" t="str">
        <f>"POLPA DE MARACUJÁ  A GEL-MAR CA  (GREGO)"</f>
        <v>POLPA DE MARACUJÁ  A GEL-MAR CA  (GREGO)</v>
      </c>
      <c r="C18523" s="2" t="str">
        <f t="shared" si="726"/>
        <v>KG</v>
      </c>
      <c r="D18523" s="7">
        <v>205</v>
      </c>
      <c r="E18523" s="3">
        <v>2</v>
      </c>
      <c r="F18523" s="3">
        <v>2</v>
      </c>
      <c r="G18523" t="s">
        <v>513</v>
      </c>
    </row>
    <row r="18524" spans="1:7" x14ac:dyDescent="0.25">
      <c r="A18524" s="1" t="str">
        <f>"734"</f>
        <v>734</v>
      </c>
      <c r="B18524" s="2" t="str">
        <f>"POLPA DE MARACUJA COD. A MAR-201CA - FRASCOS"</f>
        <v>POLPA DE MARACUJA COD. A MAR-201CA - FRASCOS</v>
      </c>
      <c r="C18524" s="2" t="str">
        <f t="shared" si="726"/>
        <v>KG</v>
      </c>
      <c r="D18524" s="7">
        <v>205</v>
      </c>
      <c r="E18524" s="3">
        <v>2</v>
      </c>
      <c r="F18524" s="3">
        <v>2</v>
      </c>
      <c r="G18524" t="s">
        <v>514</v>
      </c>
    </row>
    <row r="18525" spans="1:7" x14ac:dyDescent="0.25">
      <c r="A18525" s="1" t="str">
        <f>"4162"</f>
        <v>4162</v>
      </c>
      <c r="B18525" s="2" t="str">
        <f>"POLPA DE MIRTILO E AMORA - B MXA-805 CR (BORSATO)"</f>
        <v>POLPA DE MIRTILO E AMORA - B MXA-805 CR (BORSATO)</v>
      </c>
      <c r="C18525" s="2" t="str">
        <f t="shared" si="726"/>
        <v>KG</v>
      </c>
      <c r="D18525" s="7">
        <v>205</v>
      </c>
      <c r="E18525" s="3">
        <v>2</v>
      </c>
      <c r="F18525" s="3">
        <v>2</v>
      </c>
      <c r="G18525" t="s">
        <v>515</v>
      </c>
    </row>
    <row r="18526" spans="1:7" x14ac:dyDescent="0.25">
      <c r="A18526" s="1" t="str">
        <f>"4163"</f>
        <v>4163</v>
      </c>
      <c r="B18526" s="2" t="str">
        <f>"POLPA DE MIRTILO E AMORA PEDACOS 8% (AGRANA)"</f>
        <v>POLPA DE MIRTILO E AMORA PEDACOS 8% (AGRANA)</v>
      </c>
      <c r="C18526" s="2" t="str">
        <f t="shared" si="726"/>
        <v>KG</v>
      </c>
      <c r="D18526" s="7">
        <v>205</v>
      </c>
      <c r="E18526" s="3">
        <v>2</v>
      </c>
      <c r="F18526" s="3">
        <v>2</v>
      </c>
      <c r="G18526" t="s">
        <v>512</v>
      </c>
    </row>
    <row r="18527" spans="1:7" x14ac:dyDescent="0.25">
      <c r="A18527" s="1" t="str">
        <f>"515845"</f>
        <v>515845</v>
      </c>
      <c r="B18527" s="2" t="str">
        <f>"POLPA DE MIRTILO MIR-101Z (GLUCK ZERO)"</f>
        <v>POLPA DE MIRTILO MIR-101Z (GLUCK ZERO)</v>
      </c>
      <c r="C18527" s="2" t="str">
        <f t="shared" si="726"/>
        <v>KG</v>
      </c>
      <c r="D18527" s="7">
        <v>205</v>
      </c>
      <c r="E18527" s="3">
        <v>2</v>
      </c>
      <c r="F18527" s="3">
        <v>2</v>
      </c>
      <c r="G18527" t="s">
        <v>516</v>
      </c>
    </row>
    <row r="18528" spans="1:7" x14ac:dyDescent="0.25">
      <c r="A18528" s="1" t="str">
        <f>"732"</f>
        <v>732</v>
      </c>
      <c r="B18528" s="2" t="str">
        <f>"POLPA DE MORANGO (ALTO TEOR DE FRUTAS) GREGO/FRUTAS"</f>
        <v>POLPA DE MORANGO (ALTO TEOR DE FRUTAS) GREGO/FRUTAS</v>
      </c>
      <c r="C18528" s="2" t="str">
        <f t="shared" si="726"/>
        <v>KG</v>
      </c>
      <c r="D18528" s="7">
        <v>205</v>
      </c>
      <c r="E18528" s="3">
        <v>2</v>
      </c>
      <c r="F18528" s="3">
        <v>2</v>
      </c>
      <c r="G18528" t="s">
        <v>515</v>
      </c>
    </row>
    <row r="18529" spans="1:7" x14ac:dyDescent="0.25">
      <c r="A18529" s="1" t="str">
        <f>"6375"</f>
        <v>6375</v>
      </c>
      <c r="B18529" s="2" t="str">
        <f>"POLPA DE MORANGO 6% TRIT 1A COD.290339 AGRANA"</f>
        <v>POLPA DE MORANGO 6% TRIT 1A COD.290339 AGRANA</v>
      </c>
      <c r="C18529" s="2" t="str">
        <f t="shared" si="726"/>
        <v>KG</v>
      </c>
      <c r="D18529" s="7">
        <v>205</v>
      </c>
      <c r="E18529" s="3">
        <v>2</v>
      </c>
      <c r="F18529" s="3">
        <v>2</v>
      </c>
      <c r="G18529" t="s">
        <v>514</v>
      </c>
    </row>
    <row r="18530" spans="1:7" x14ac:dyDescent="0.25">
      <c r="A18530" s="1" t="str">
        <f>"6222"</f>
        <v>6222</v>
      </c>
      <c r="B18530" s="2" t="str">
        <f>"POLPA DE MORANGO MOIDO MOR-CA Z"</f>
        <v>POLPA DE MORANGO MOIDO MOR-CA Z</v>
      </c>
      <c r="C18530" s="2" t="str">
        <f t="shared" si="726"/>
        <v>KG</v>
      </c>
      <c r="D18530" s="7">
        <v>205</v>
      </c>
      <c r="E18530" s="3">
        <v>2</v>
      </c>
      <c r="F18530" s="3">
        <v>2</v>
      </c>
      <c r="G18530" t="s">
        <v>512</v>
      </c>
    </row>
    <row r="18531" spans="1:7" x14ac:dyDescent="0.25">
      <c r="A18531" s="1" t="str">
        <f>"719"</f>
        <v>719</v>
      </c>
      <c r="B18531" s="2" t="str">
        <f>"POLPA DE MORANGO MOR BC CA2 (GREGO)"</f>
        <v>POLPA DE MORANGO MOR BC CA2 (GREGO)</v>
      </c>
      <c r="C18531" s="2" t="str">
        <f t="shared" si="726"/>
        <v>KG</v>
      </c>
      <c r="D18531" s="7">
        <v>205</v>
      </c>
      <c r="E18531" s="3">
        <v>2</v>
      </c>
      <c r="F18531" s="3">
        <v>2</v>
      </c>
      <c r="G18531" t="s">
        <v>513</v>
      </c>
    </row>
    <row r="18532" spans="1:7" x14ac:dyDescent="0.25">
      <c r="A18532" s="1" t="str">
        <f>"94"</f>
        <v>94</v>
      </c>
      <c r="B18532" s="2" t="str">
        <f>"POLPA DE MORANGO MOR-CP/CA ZERO"</f>
        <v>POLPA DE MORANGO MOR-CP/CA ZERO</v>
      </c>
      <c r="C18532" s="2" t="str">
        <f t="shared" si="726"/>
        <v>KG</v>
      </c>
      <c r="D18532" s="7">
        <v>205</v>
      </c>
      <c r="E18532" s="3">
        <v>2</v>
      </c>
      <c r="F18532" s="3">
        <v>2</v>
      </c>
      <c r="G18532" t="s">
        <v>514</v>
      </c>
    </row>
    <row r="18533" spans="1:7" x14ac:dyDescent="0.25">
      <c r="A18533" s="1" t="str">
        <f>"765"</f>
        <v>765</v>
      </c>
      <c r="B18533" s="2" t="str">
        <f>"POLPA DE MORANGO P/PETIT MOR-101 PI (BORSATO)"</f>
        <v>POLPA DE MORANGO P/PETIT MOR-101 PI (BORSATO)</v>
      </c>
      <c r="C18533" s="2" t="str">
        <f t="shared" si="726"/>
        <v>KG</v>
      </c>
      <c r="D18533" s="7">
        <v>205</v>
      </c>
      <c r="E18533" s="3">
        <v>2</v>
      </c>
      <c r="F18533" s="3">
        <v>2</v>
      </c>
      <c r="G18533" t="s">
        <v>514</v>
      </c>
    </row>
    <row r="18534" spans="1:7" x14ac:dyDescent="0.25">
      <c r="A18534" s="1" t="str">
        <f>"223"</f>
        <v>223</v>
      </c>
      <c r="B18534" s="2" t="str">
        <f>"POLPA DE PESSEGO - 505 (25KG)"</f>
        <v>POLPA DE PESSEGO - 505 (25KG)</v>
      </c>
      <c r="C18534" s="2" t="str">
        <f t="shared" si="726"/>
        <v>KG</v>
      </c>
      <c r="D18534" s="7">
        <v>205</v>
      </c>
      <c r="E18534" s="3">
        <v>2</v>
      </c>
      <c r="F18534" s="3">
        <v>2</v>
      </c>
      <c r="G18534" t="s">
        <v>512</v>
      </c>
    </row>
    <row r="18535" spans="1:7" x14ac:dyDescent="0.25">
      <c r="A18535" s="1" t="str">
        <f>"6374"</f>
        <v>6374</v>
      </c>
      <c r="B18535" s="2" t="str">
        <f>"POLPA DE PESSEGO 6% TRIT 1A COD.290338 AGRANA"</f>
        <v>POLPA DE PESSEGO 6% TRIT 1A COD.290338 AGRANA</v>
      </c>
      <c r="C18535" s="2" t="str">
        <f t="shared" si="726"/>
        <v>KG</v>
      </c>
      <c r="D18535" s="7">
        <v>205</v>
      </c>
      <c r="E18535" s="3">
        <v>2</v>
      </c>
      <c r="F18535" s="3">
        <v>2</v>
      </c>
      <c r="G18535" t="s">
        <v>513</v>
      </c>
    </row>
    <row r="18536" spans="1:7" x14ac:dyDescent="0.25">
      <c r="A18536" s="1" t="str">
        <f>"6224"</f>
        <v>6224</v>
      </c>
      <c r="B18536" s="2" t="str">
        <f>"POLPA DE TORTA DE LIMÃO 1A 4% ATENAS COD.287903 AGRANA"</f>
        <v>POLPA DE TORTA DE LIMÃO 1A 4% ATENAS COD.287903 AGRANA</v>
      </c>
      <c r="C18536" s="2" t="str">
        <f t="shared" si="726"/>
        <v>KG</v>
      </c>
      <c r="D18536" s="7">
        <v>205</v>
      </c>
      <c r="E18536" s="3">
        <v>2</v>
      </c>
      <c r="F18536" s="3">
        <v>2</v>
      </c>
      <c r="G18536" t="s">
        <v>514</v>
      </c>
    </row>
    <row r="18537" spans="1:7" x14ac:dyDescent="0.25">
      <c r="A18537" s="1" t="str">
        <f>"4161"</f>
        <v>4161</v>
      </c>
      <c r="B18537" s="2" t="str">
        <f>"POLPA DE UVA ROXA COD 965388 (ASHLAND)"</f>
        <v>POLPA DE UVA ROXA COD 965388 (ASHLAND)</v>
      </c>
      <c r="C18537" s="2" t="str">
        <f t="shared" si="726"/>
        <v>KG</v>
      </c>
      <c r="D18537" s="7">
        <v>205</v>
      </c>
      <c r="E18537" s="3">
        <v>2</v>
      </c>
      <c r="F18537" s="3">
        <v>2</v>
      </c>
      <c r="G18537" t="s">
        <v>514</v>
      </c>
    </row>
    <row r="18538" spans="1:7" x14ac:dyDescent="0.25">
      <c r="A18538" s="1" t="str">
        <f>"6063"</f>
        <v>6063</v>
      </c>
      <c r="B18538" s="2" t="str">
        <f>"POLPA FR VERMELHAS PEDAÇOS 8% COD.253759 -1A  AGRANA"</f>
        <v>POLPA FR VERMELHAS PEDAÇOS 8% COD.253759 -1A  AGRANA</v>
      </c>
      <c r="C18538" s="2" t="str">
        <f t="shared" si="726"/>
        <v>KG</v>
      </c>
      <c r="D18538" s="7">
        <v>205</v>
      </c>
      <c r="E18538" s="3">
        <v>2</v>
      </c>
      <c r="F18538" s="3">
        <v>2</v>
      </c>
      <c r="G18538" t="s">
        <v>514</v>
      </c>
    </row>
    <row r="18539" spans="1:7" x14ac:dyDescent="0.25">
      <c r="A18539" s="1" t="str">
        <f>"6000"</f>
        <v>6000</v>
      </c>
      <c r="B18539" s="2" t="str">
        <f>"POLPA FRUTAS VERMELHAS 10% COD.415213 AGRANA"</f>
        <v>POLPA FRUTAS VERMELHAS 10% COD.415213 AGRANA</v>
      </c>
      <c r="C18539" s="2" t="str">
        <f t="shared" si="726"/>
        <v>KG</v>
      </c>
      <c r="D18539" s="7">
        <v>205</v>
      </c>
      <c r="E18539" s="3">
        <v>2</v>
      </c>
      <c r="F18539" s="3">
        <v>2</v>
      </c>
      <c r="G18539" t="s">
        <v>513</v>
      </c>
    </row>
    <row r="18540" spans="1:7" x14ac:dyDescent="0.25">
      <c r="A18540" s="1" t="str">
        <f>"6403"</f>
        <v>6403</v>
      </c>
      <c r="B18540" s="2" t="str">
        <f>"POLPA FRUTAS VERMELHAS FRV-101 CA"</f>
        <v>POLPA FRUTAS VERMELHAS FRV-101 CA</v>
      </c>
      <c r="C18540" s="2" t="str">
        <f t="shared" si="726"/>
        <v>KG</v>
      </c>
      <c r="D18540" s="7">
        <v>205</v>
      </c>
      <c r="E18540" s="3">
        <v>2</v>
      </c>
      <c r="F18540" s="3">
        <v>2</v>
      </c>
      <c r="G18540" t="s">
        <v>512</v>
      </c>
    </row>
    <row r="18541" spans="1:7" x14ac:dyDescent="0.25">
      <c r="A18541" s="1" t="str">
        <f>"5999"</f>
        <v>5999</v>
      </c>
      <c r="B18541" s="2" t="str">
        <f>"POLPA FRUTAS VERMELHAS PEDAÇOS AGRANA"</f>
        <v>POLPA FRUTAS VERMELHAS PEDAÇOS AGRANA</v>
      </c>
      <c r="C18541" s="2" t="str">
        <f t="shared" si="726"/>
        <v>KG</v>
      </c>
      <c r="D18541" s="7">
        <v>205</v>
      </c>
      <c r="E18541" s="3">
        <v>2</v>
      </c>
      <c r="F18541" s="3">
        <v>2</v>
      </c>
      <c r="G18541" t="s">
        <v>513</v>
      </c>
    </row>
    <row r="18542" spans="1:7" x14ac:dyDescent="0.25">
      <c r="A18542" s="1" t="str">
        <f>"6360"</f>
        <v>6360</v>
      </c>
      <c r="B18542" s="2" t="str">
        <f>"POLPA MORANGO MOR-080 CA (ADICAO 0,8%)"</f>
        <v>POLPA MORANGO MOR-080 CA (ADICAO 0,8%)</v>
      </c>
      <c r="C18542" s="2" t="str">
        <f t="shared" si="726"/>
        <v>KG</v>
      </c>
      <c r="D18542" s="7">
        <v>205</v>
      </c>
      <c r="E18542" s="3">
        <v>2</v>
      </c>
      <c r="F18542" s="3">
        <v>2</v>
      </c>
      <c r="G18542" t="s">
        <v>514</v>
      </c>
    </row>
    <row r="18543" spans="1:7" x14ac:dyDescent="0.25">
      <c r="A18543" s="1" t="str">
        <f>"6404"</f>
        <v>6404</v>
      </c>
      <c r="B18543" s="2" t="str">
        <f>"POLPA MORANGO MOR-101 CA"</f>
        <v>POLPA MORANGO MOR-101 CA</v>
      </c>
      <c r="C18543" s="2" t="str">
        <f t="shared" si="726"/>
        <v>KG</v>
      </c>
      <c r="D18543" s="7">
        <v>205</v>
      </c>
      <c r="E18543" s="3">
        <v>2</v>
      </c>
      <c r="F18543" s="3">
        <v>2</v>
      </c>
      <c r="G18543" t="s">
        <v>514</v>
      </c>
    </row>
    <row r="18544" spans="1:7" x14ac:dyDescent="0.25">
      <c r="A18544" s="1" t="str">
        <f>"5989"</f>
        <v>5989</v>
      </c>
      <c r="B18544" s="2" t="str">
        <f>"POLPA MORANGO PEDACOS 2A-10% (AGRANA)"</f>
        <v>POLPA MORANGO PEDACOS 2A-10% (AGRANA)</v>
      </c>
      <c r="C18544" s="2" t="str">
        <f t="shared" si="726"/>
        <v>KG</v>
      </c>
      <c r="D18544" s="7">
        <v>205</v>
      </c>
      <c r="E18544" s="3">
        <v>2</v>
      </c>
      <c r="F18544" s="3">
        <v>2</v>
      </c>
      <c r="G18544" t="s">
        <v>514</v>
      </c>
    </row>
    <row r="18545" spans="1:7" x14ac:dyDescent="0.25">
      <c r="A18545" s="1" t="str">
        <f>"6064"</f>
        <v>6064</v>
      </c>
      <c r="B18545" s="2" t="str">
        <f>"POLPA MORANGO PEDACOS 8%  COD.253856-1B AGRANA"</f>
        <v>POLPA MORANGO PEDACOS 8%  COD.253856-1B AGRANA</v>
      </c>
      <c r="C18545" s="2" t="str">
        <f t="shared" si="726"/>
        <v>KG</v>
      </c>
      <c r="D18545" s="7">
        <v>205</v>
      </c>
      <c r="E18545" s="3">
        <v>2</v>
      </c>
      <c r="F18545" s="3">
        <v>2</v>
      </c>
      <c r="G18545" t="s">
        <v>513</v>
      </c>
    </row>
    <row r="18546" spans="1:7" x14ac:dyDescent="0.25">
      <c r="A18546" s="1" t="str">
        <f>"6359"</f>
        <v>6359</v>
      </c>
      <c r="B18546" s="2" t="str">
        <f>"POLPA MORANGO PETIT SUISSE MOR-CA P"</f>
        <v>POLPA MORANGO PETIT SUISSE MOR-CA P</v>
      </c>
      <c r="C18546" s="2" t="str">
        <f t="shared" si="726"/>
        <v>KG</v>
      </c>
      <c r="D18546" s="7">
        <v>205</v>
      </c>
      <c r="E18546" s="3">
        <v>2</v>
      </c>
      <c r="F18546" s="3">
        <v>2</v>
      </c>
      <c r="G18546" t="s">
        <v>513</v>
      </c>
    </row>
    <row r="18547" spans="1:7" x14ac:dyDescent="0.25">
      <c r="A18547" s="1" t="str">
        <f>"6862"</f>
        <v>6862</v>
      </c>
      <c r="B18547" s="2" t="str">
        <f>"POLPA P/ FERMEN. COD. G MAC-101 GM 1% MAÇÃ  (BORSATO)"</f>
        <v>POLPA P/ FERMEN. COD. G MAC-101 GM 1% MAÇÃ  (BORSATO)</v>
      </c>
      <c r="C18547" s="2" t="str">
        <f t="shared" si="726"/>
        <v>KG</v>
      </c>
      <c r="D18547" s="7">
        <v>205</v>
      </c>
      <c r="E18547" s="3">
        <v>2</v>
      </c>
      <c r="F18547" s="3">
        <v>2</v>
      </c>
      <c r="G18547" t="s">
        <v>513</v>
      </c>
    </row>
    <row r="18548" spans="1:7" x14ac:dyDescent="0.25">
      <c r="A18548" s="1" t="str">
        <f>"6838"</f>
        <v>6838</v>
      </c>
      <c r="B18548" s="2" t="str">
        <f>"POLPA P/ IOGURTE COD. A MAC-101 CA 1% MAÇÃ (BORSATO)"</f>
        <v>POLPA P/ IOGURTE COD. A MAC-101 CA 1% MAÇÃ (BORSATO)</v>
      </c>
      <c r="C18548" s="2" t="str">
        <f t="shared" si="726"/>
        <v>KG</v>
      </c>
      <c r="D18548" s="7">
        <v>205</v>
      </c>
      <c r="E18548" s="3">
        <v>2</v>
      </c>
      <c r="F18548" s="3">
        <v>2</v>
      </c>
      <c r="G18548" t="s">
        <v>512</v>
      </c>
    </row>
    <row r="18549" spans="1:7" x14ac:dyDescent="0.25">
      <c r="A18549" s="1" t="str">
        <f>"6405"</f>
        <v>6405</v>
      </c>
      <c r="B18549" s="2" t="str">
        <f>"POLPA SALADA DE FRUTAS CMB-080 CA"</f>
        <v>POLPA SALADA DE FRUTAS CMB-080 CA</v>
      </c>
      <c r="C18549" s="2" t="str">
        <f t="shared" si="726"/>
        <v>KG</v>
      </c>
      <c r="D18549" s="7">
        <v>205</v>
      </c>
      <c r="E18549" s="3">
        <v>2</v>
      </c>
      <c r="F18549" s="3">
        <v>2</v>
      </c>
      <c r="G18549" t="s">
        <v>513</v>
      </c>
    </row>
    <row r="18550" spans="1:7" x14ac:dyDescent="0.25">
      <c r="A18550" s="1" t="str">
        <f>"514195"</f>
        <v>514195</v>
      </c>
      <c r="B18550" s="2" t="str">
        <f>"POLTRONA DIRETOR GIRATORIA"</f>
        <v>POLTRONA DIRETOR GIRATORIA</v>
      </c>
      <c r="C18550" s="2" t="str">
        <f t="shared" ref="C18550:C18562" si="727">"UN"</f>
        <v>UN</v>
      </c>
      <c r="D18550" s="7">
        <v>401</v>
      </c>
      <c r="E18550" s="3">
        <v>4</v>
      </c>
      <c r="F18550" s="3">
        <v>4</v>
      </c>
      <c r="G18550" t="s">
        <v>514</v>
      </c>
    </row>
    <row r="18551" spans="1:7" x14ac:dyDescent="0.25">
      <c r="A18551" s="1" t="str">
        <f>"513104"</f>
        <v>513104</v>
      </c>
      <c r="B18551" s="2" t="str">
        <f>"POLTRONA PRES. GIRATORIO MODELO GOMADA COR PRETA"</f>
        <v>POLTRONA PRES. GIRATORIO MODELO GOMADA COR PRETA</v>
      </c>
      <c r="C18551" s="2" t="str">
        <f t="shared" si="727"/>
        <v>UN</v>
      </c>
      <c r="D18551" s="7">
        <v>401</v>
      </c>
      <c r="E18551" s="3">
        <v>4</v>
      </c>
      <c r="F18551" s="3">
        <v>4</v>
      </c>
      <c r="G18551" t="s">
        <v>515</v>
      </c>
    </row>
    <row r="18552" spans="1:7" x14ac:dyDescent="0.25">
      <c r="A18552" s="1" t="str">
        <f>"518717"</f>
        <v>518717</v>
      </c>
      <c r="B18552" s="2" t="str">
        <f>"POLTRONA PRESIDENTE GIRATÓRIA"</f>
        <v>POLTRONA PRESIDENTE GIRATÓRIA</v>
      </c>
      <c r="C18552" s="2" t="str">
        <f t="shared" si="727"/>
        <v>UN</v>
      </c>
      <c r="D18552" s="7">
        <v>1200</v>
      </c>
      <c r="E18552" s="3">
        <v>4</v>
      </c>
      <c r="F18552" s="3">
        <v>4</v>
      </c>
      <c r="G18552" t="s">
        <v>512</v>
      </c>
    </row>
    <row r="18553" spans="1:7" x14ac:dyDescent="0.25">
      <c r="A18553" s="1" t="str">
        <f>"526346"</f>
        <v>526346</v>
      </c>
      <c r="B18553" s="2" t="str">
        <f>"POLYETHHYLENE TANK 120L"</f>
        <v>POLYETHHYLENE TANK 120L</v>
      </c>
      <c r="C18553" s="2" t="str">
        <f t="shared" si="727"/>
        <v>UN</v>
      </c>
      <c r="D18553" s="7">
        <v>99999</v>
      </c>
      <c r="E18553" s="3">
        <v>99</v>
      </c>
      <c r="F18553" s="3">
        <v>99</v>
      </c>
      <c r="G18553" t="s">
        <v>516</v>
      </c>
    </row>
    <row r="18554" spans="1:7" x14ac:dyDescent="0.25">
      <c r="A18554" s="1" t="str">
        <f>"527965"</f>
        <v>527965</v>
      </c>
      <c r="B18554" s="2" t="str">
        <f>"POMADA DICLOFENACO DIETILAMONIO 60GR"</f>
        <v>POMADA DICLOFENACO DIETILAMONIO 60GR</v>
      </c>
      <c r="C18554" s="2" t="str">
        <f t="shared" si="727"/>
        <v>UN</v>
      </c>
      <c r="D18554" s="7">
        <v>406</v>
      </c>
      <c r="E18554" s="3">
        <v>4</v>
      </c>
      <c r="F18554" s="3">
        <v>4</v>
      </c>
      <c r="G18554" t="s">
        <v>515</v>
      </c>
    </row>
    <row r="18555" spans="1:7" x14ac:dyDescent="0.25">
      <c r="A18555" s="1" t="str">
        <f>"523573"</f>
        <v>523573</v>
      </c>
      <c r="B18555" s="2" t="str">
        <f>"POMADA HIRUDOID"</f>
        <v>POMADA HIRUDOID</v>
      </c>
      <c r="C18555" s="2" t="str">
        <f t="shared" si="727"/>
        <v>UN</v>
      </c>
      <c r="D18555" s="7">
        <v>406</v>
      </c>
      <c r="E18555" s="3">
        <v>4</v>
      </c>
      <c r="F18555" s="3">
        <v>4</v>
      </c>
      <c r="G18555" t="s">
        <v>514</v>
      </c>
    </row>
    <row r="18556" spans="1:7" x14ac:dyDescent="0.25">
      <c r="A18556" s="1" t="str">
        <f>"514623"</f>
        <v>514623</v>
      </c>
      <c r="B18556" s="2" t="str">
        <f>"POMADA QUEIMALIV"</f>
        <v>POMADA QUEIMALIV</v>
      </c>
      <c r="C18556" s="2" t="str">
        <f t="shared" si="727"/>
        <v>UN</v>
      </c>
      <c r="D18556" s="7">
        <v>406</v>
      </c>
      <c r="E18556" s="3">
        <v>4</v>
      </c>
      <c r="F18556" s="3">
        <v>4</v>
      </c>
      <c r="G18556" t="s">
        <v>512</v>
      </c>
    </row>
    <row r="18557" spans="1:7" x14ac:dyDescent="0.25">
      <c r="A18557" s="1" t="str">
        <f>"508355"</f>
        <v>508355</v>
      </c>
      <c r="B18557" s="2" t="str">
        <f>"PONTA 2085235 MAQ. CATERPILAR"</f>
        <v>PONTA 2085235 MAQ. CATERPILAR</v>
      </c>
      <c r="C18557" s="2" t="str">
        <f t="shared" si="727"/>
        <v>UN</v>
      </c>
      <c r="D18557" s="7">
        <v>704</v>
      </c>
      <c r="E18557" s="3">
        <v>9</v>
      </c>
      <c r="F18557" s="3">
        <v>9</v>
      </c>
      <c r="G18557" t="s">
        <v>513</v>
      </c>
    </row>
    <row r="18558" spans="1:7" x14ac:dyDescent="0.25">
      <c r="A18558" s="1" t="str">
        <f>"523047"</f>
        <v>523047</v>
      </c>
      <c r="B18558" s="2" t="str">
        <f>"PONTA BICO INF"</f>
        <v>PONTA BICO INF</v>
      </c>
      <c r="C18558" s="2" t="str">
        <f t="shared" si="727"/>
        <v>UN</v>
      </c>
      <c r="D18558" s="7">
        <v>99999</v>
      </c>
      <c r="E18558" s="3">
        <v>99</v>
      </c>
      <c r="F18558" s="3">
        <v>99</v>
      </c>
      <c r="G18558" t="s">
        <v>514</v>
      </c>
    </row>
    <row r="18559" spans="1:7" x14ac:dyDescent="0.25">
      <c r="A18559" s="1" t="str">
        <f>"510224"</f>
        <v>510224</v>
      </c>
      <c r="B18559" s="2" t="str">
        <f>"PONTA BIT POWER 49,2 PARAFUSADEIRA PHILI"</f>
        <v>PONTA BIT POWER 49,2 PARAFUSADEIRA PHILI</v>
      </c>
      <c r="C18559" s="2" t="str">
        <f t="shared" si="727"/>
        <v>UN</v>
      </c>
      <c r="D18559" s="7">
        <v>402</v>
      </c>
      <c r="E18559" s="3">
        <v>4</v>
      </c>
      <c r="F18559" s="3">
        <v>4</v>
      </c>
      <c r="G18559" t="s">
        <v>514</v>
      </c>
    </row>
    <row r="18560" spans="1:7" x14ac:dyDescent="0.25">
      <c r="A18560" s="1" t="str">
        <f>"515131"</f>
        <v>515131</v>
      </c>
      <c r="B18560" s="2" t="str">
        <f>"PONTA DE EIXO"</f>
        <v>PONTA DE EIXO</v>
      </c>
      <c r="C18560" s="2" t="str">
        <f t="shared" si="727"/>
        <v>UN</v>
      </c>
      <c r="D18560" s="7">
        <v>704</v>
      </c>
      <c r="E18560" s="3">
        <v>9</v>
      </c>
      <c r="F18560" s="3">
        <v>9</v>
      </c>
      <c r="G18560" t="s">
        <v>512</v>
      </c>
    </row>
    <row r="18561" spans="1:7" x14ac:dyDescent="0.25">
      <c r="A18561" s="1" t="str">
        <f>"510949"</f>
        <v>510949</v>
      </c>
      <c r="B18561" s="2" t="str">
        <f>"PONTA DE PROVA P/ ALICATE AMPERIMETRO MINIPA MTL-7"</f>
        <v>PONTA DE PROVA P/ ALICATE AMPERIMETRO MINIPA MTL-7</v>
      </c>
      <c r="C18561" s="2" t="str">
        <f t="shared" si="727"/>
        <v>UN</v>
      </c>
      <c r="D18561" s="7">
        <v>402</v>
      </c>
      <c r="E18561" s="3">
        <v>4</v>
      </c>
      <c r="F18561" s="3">
        <v>4</v>
      </c>
      <c r="G18561" t="s">
        <v>513</v>
      </c>
    </row>
    <row r="18562" spans="1:7" x14ac:dyDescent="0.25">
      <c r="A18562" s="1" t="str">
        <f>"527423"</f>
        <v>527423</v>
      </c>
      <c r="B18562" s="2" t="str">
        <f>"PONTA DE ROSCA 1 1/2"</f>
        <v>PONTA DE ROSCA 1 1/2</v>
      </c>
      <c r="C18562" s="2" t="str">
        <f t="shared" si="727"/>
        <v>UN</v>
      </c>
      <c r="D18562" s="7">
        <v>808</v>
      </c>
      <c r="E18562" s="3">
        <v>10</v>
      </c>
      <c r="F18562" s="3">
        <v>10</v>
      </c>
      <c r="G18562" t="s">
        <v>514</v>
      </c>
    </row>
    <row r="18563" spans="1:7" x14ac:dyDescent="0.25">
      <c r="A18563" s="1" t="str">
        <f>"527246"</f>
        <v>527246</v>
      </c>
      <c r="B18563" s="2" t="str">
        <f>"PONTA DE ROSCA 2 1/2"</f>
        <v>PONTA DE ROSCA 2 1/2</v>
      </c>
      <c r="C18563" s="2" t="str">
        <f>"BR"</f>
        <v>BR</v>
      </c>
      <c r="D18563" s="7">
        <v>808</v>
      </c>
      <c r="E18563" s="3">
        <v>10</v>
      </c>
      <c r="F18563" s="3">
        <v>10</v>
      </c>
      <c r="G18563" t="s">
        <v>514</v>
      </c>
    </row>
    <row r="18564" spans="1:7" x14ac:dyDescent="0.25">
      <c r="A18564" s="1" t="str">
        <f>"515597"</f>
        <v>515597</v>
      </c>
      <c r="B18564" s="2" t="str">
        <f>"PONTA DOSADORA"</f>
        <v>PONTA DOSADORA</v>
      </c>
      <c r="C18564" s="2" t="str">
        <f t="shared" ref="C18564:C18606" si="728">"UN"</f>
        <v>UN</v>
      </c>
      <c r="D18564" s="7">
        <v>918</v>
      </c>
      <c r="E18564" s="3">
        <v>11</v>
      </c>
      <c r="F18564" s="3">
        <v>11</v>
      </c>
      <c r="G18564" t="s">
        <v>514</v>
      </c>
    </row>
    <row r="18565" spans="1:7" x14ac:dyDescent="0.25">
      <c r="A18565" s="1" t="str">
        <f>"505705"</f>
        <v>505705</v>
      </c>
      <c r="B18565" s="2" t="str">
        <f>"PONTA EIXO C/ PONTA PIVO P/VISCOSIMETRO"</f>
        <v>PONTA EIXO C/ PONTA PIVO P/VISCOSIMETRO</v>
      </c>
      <c r="C18565" s="2" t="str">
        <f t="shared" si="728"/>
        <v>UN</v>
      </c>
      <c r="D18565" s="7">
        <v>918</v>
      </c>
      <c r="E18565" s="3">
        <v>11</v>
      </c>
      <c r="F18565" s="3">
        <v>11</v>
      </c>
      <c r="G18565" t="s">
        <v>513</v>
      </c>
    </row>
    <row r="18566" spans="1:7" x14ac:dyDescent="0.25">
      <c r="A18566" s="1" t="str">
        <f>"510631"</f>
        <v>510631</v>
      </c>
      <c r="B18566" s="2" t="str">
        <f>"PONTA MONTADA 13 X 20MM HASTE 1/8"</f>
        <v>PONTA MONTADA 13 X 20MM HASTE 1/8</v>
      </c>
      <c r="C18566" s="2" t="str">
        <f t="shared" si="728"/>
        <v>UN</v>
      </c>
      <c r="D18566" s="7">
        <v>920</v>
      </c>
      <c r="E18566" s="3">
        <v>11</v>
      </c>
      <c r="F18566" s="3">
        <v>11</v>
      </c>
      <c r="G18566" t="s">
        <v>512</v>
      </c>
    </row>
    <row r="18567" spans="1:7" x14ac:dyDescent="0.25">
      <c r="A18567" s="1" t="str">
        <f>"510632"</f>
        <v>510632</v>
      </c>
      <c r="B18567" s="2" t="str">
        <f>"PONTA MONTADA DIAM 13 X 3MM ENC 1/8"</f>
        <v>PONTA MONTADA DIAM 13 X 3MM ENC 1/8</v>
      </c>
      <c r="C18567" s="2" t="str">
        <f t="shared" si="728"/>
        <v>UN</v>
      </c>
      <c r="D18567" s="7">
        <v>920</v>
      </c>
      <c r="E18567" s="3">
        <v>11</v>
      </c>
      <c r="F18567" s="3">
        <v>11</v>
      </c>
      <c r="G18567" t="s">
        <v>513</v>
      </c>
    </row>
    <row r="18568" spans="1:7" x14ac:dyDescent="0.25">
      <c r="A18568" s="1" t="str">
        <f>"518160"</f>
        <v>518160</v>
      </c>
      <c r="B18568" s="2" t="str">
        <f>"PONTA MONTADA DIAM 16 X 14MM ENC 1/4"</f>
        <v>PONTA MONTADA DIAM 16 X 14MM ENC 1/4</v>
      </c>
      <c r="C18568" s="2" t="str">
        <f t="shared" si="728"/>
        <v>UN</v>
      </c>
      <c r="D18568" s="7">
        <v>918</v>
      </c>
      <c r="E18568" s="3">
        <v>11</v>
      </c>
      <c r="F18568" s="3">
        <v>11</v>
      </c>
      <c r="G18568" t="s">
        <v>514</v>
      </c>
    </row>
    <row r="18569" spans="1:7" x14ac:dyDescent="0.25">
      <c r="A18569" s="1" t="str">
        <f>"510634"</f>
        <v>510634</v>
      </c>
      <c r="B18569" s="2" t="str">
        <f>"PONTA MONTADA DIAM 18 X 30MM ENC 1/4"</f>
        <v>PONTA MONTADA DIAM 18 X 30MM ENC 1/4</v>
      </c>
      <c r="C18569" s="2" t="str">
        <f t="shared" si="728"/>
        <v>UN</v>
      </c>
      <c r="D18569" s="7">
        <v>920</v>
      </c>
      <c r="E18569" s="3">
        <v>11</v>
      </c>
      <c r="F18569" s="3">
        <v>11</v>
      </c>
      <c r="G18569" t="s">
        <v>514</v>
      </c>
    </row>
    <row r="18570" spans="1:7" x14ac:dyDescent="0.25">
      <c r="A18570" s="1" t="str">
        <f>"518159"</f>
        <v>518159</v>
      </c>
      <c r="B18570" s="2" t="str">
        <f>"PONTA MONTADA DIAM 20 X 30MM ENC 1/4"</f>
        <v>PONTA MONTADA DIAM 20 X 30MM ENC 1/4</v>
      </c>
      <c r="C18570" s="2" t="str">
        <f t="shared" si="728"/>
        <v>UN</v>
      </c>
      <c r="D18570" s="7">
        <v>918</v>
      </c>
      <c r="E18570" s="3">
        <v>11</v>
      </c>
      <c r="F18570" s="3">
        <v>11</v>
      </c>
      <c r="G18570" t="s">
        <v>514</v>
      </c>
    </row>
    <row r="18571" spans="1:7" x14ac:dyDescent="0.25">
      <c r="A18571" s="1" t="str">
        <f>"518161"</f>
        <v>518161</v>
      </c>
      <c r="B18571" s="2" t="str">
        <f>"PONTA MONTADA DIAM 20 X 45MM ENC 1/4"</f>
        <v>PONTA MONTADA DIAM 20 X 45MM ENC 1/4</v>
      </c>
      <c r="C18571" s="2" t="str">
        <f t="shared" si="728"/>
        <v>UN</v>
      </c>
      <c r="D18571" s="7">
        <v>918</v>
      </c>
      <c r="E18571" s="3">
        <v>11</v>
      </c>
      <c r="F18571" s="3">
        <v>11</v>
      </c>
      <c r="G18571" t="s">
        <v>513</v>
      </c>
    </row>
    <row r="18572" spans="1:7" x14ac:dyDescent="0.25">
      <c r="A18572" s="1" t="str">
        <f>"507858"</f>
        <v>507858</v>
      </c>
      <c r="B18572" s="2" t="str">
        <f>"PONTA MONTADA DIAM 20X25MM HASTE 1/4"</f>
        <v>PONTA MONTADA DIAM 20X25MM HASTE 1/4</v>
      </c>
      <c r="C18572" s="2" t="str">
        <f t="shared" si="728"/>
        <v>UN</v>
      </c>
      <c r="D18572" s="7">
        <v>920</v>
      </c>
      <c r="E18572" s="3">
        <v>11</v>
      </c>
      <c r="F18572" s="3">
        <v>11</v>
      </c>
      <c r="G18572" t="s">
        <v>513</v>
      </c>
    </row>
    <row r="18573" spans="1:7" x14ac:dyDescent="0.25">
      <c r="A18573" s="1" t="str">
        <f>"518637"</f>
        <v>518637</v>
      </c>
      <c r="B18573" s="2" t="str">
        <f>"PONTA MONTADA DIAM 30 X 30MM ENC 1/4"</f>
        <v>PONTA MONTADA DIAM 30 X 30MM ENC 1/4</v>
      </c>
      <c r="C18573" s="2" t="str">
        <f t="shared" si="728"/>
        <v>UN</v>
      </c>
      <c r="D18573" s="7">
        <v>918</v>
      </c>
      <c r="E18573" s="3">
        <v>11</v>
      </c>
      <c r="F18573" s="3">
        <v>11</v>
      </c>
      <c r="G18573" t="s">
        <v>513</v>
      </c>
    </row>
    <row r="18574" spans="1:7" x14ac:dyDescent="0.25">
      <c r="A18574" s="1" t="str">
        <f>"510633"</f>
        <v>510633</v>
      </c>
      <c r="B18574" s="2" t="str">
        <f>"PONTA MONTADA HASTE 1/4"</f>
        <v>PONTA MONTADA HASTE 1/4</v>
      </c>
      <c r="C18574" s="2" t="str">
        <f t="shared" si="728"/>
        <v>UN</v>
      </c>
      <c r="D18574" s="7">
        <v>920</v>
      </c>
      <c r="E18574" s="3">
        <v>11</v>
      </c>
      <c r="F18574" s="3">
        <v>11</v>
      </c>
      <c r="G18574" t="s">
        <v>512</v>
      </c>
    </row>
    <row r="18575" spans="1:7" x14ac:dyDescent="0.25">
      <c r="A18575" s="1" t="str">
        <f>"521453"</f>
        <v>521453</v>
      </c>
      <c r="B18575" s="2" t="str">
        <f>"PONTA P/ PARAFUSADEIRA CANHÃO 1/4"</f>
        <v>PONTA P/ PARAFUSADEIRA CANHÃO 1/4</v>
      </c>
      <c r="C18575" s="2" t="str">
        <f t="shared" si="728"/>
        <v>UN</v>
      </c>
      <c r="D18575" s="7">
        <v>920</v>
      </c>
      <c r="E18575" s="3">
        <v>4</v>
      </c>
      <c r="F18575" s="3">
        <v>4</v>
      </c>
      <c r="G18575" t="s">
        <v>513</v>
      </c>
    </row>
    <row r="18576" spans="1:7" x14ac:dyDescent="0.25">
      <c r="A18576" s="1" t="str">
        <f>"521452"</f>
        <v>521452</v>
      </c>
      <c r="B18576" s="2" t="str">
        <f>"PONTA P/ PARAFUSADEIRA CANHÃO 11"</f>
        <v>PONTA P/ PARAFUSADEIRA CANHÃO 11</v>
      </c>
      <c r="C18576" s="2" t="str">
        <f t="shared" si="728"/>
        <v>UN</v>
      </c>
      <c r="D18576" s="7">
        <v>920</v>
      </c>
      <c r="E18576" s="3">
        <v>4</v>
      </c>
      <c r="F18576" s="3">
        <v>4</v>
      </c>
      <c r="G18576" t="s">
        <v>514</v>
      </c>
    </row>
    <row r="18577" spans="1:7" x14ac:dyDescent="0.25">
      <c r="A18577" s="1" t="str">
        <f>"521450"</f>
        <v>521450</v>
      </c>
      <c r="B18577" s="2" t="str">
        <f>"PONTA P/ PARAFUSADEIRA CANHÃO 6"</f>
        <v>PONTA P/ PARAFUSADEIRA CANHÃO 6</v>
      </c>
      <c r="C18577" s="2" t="str">
        <f t="shared" si="728"/>
        <v>UN</v>
      </c>
      <c r="D18577" s="7">
        <v>920</v>
      </c>
      <c r="E18577" s="3">
        <v>4</v>
      </c>
      <c r="F18577" s="3">
        <v>4</v>
      </c>
      <c r="G18577" t="s">
        <v>515</v>
      </c>
    </row>
    <row r="18578" spans="1:7" x14ac:dyDescent="0.25">
      <c r="A18578" s="1" t="str">
        <f>"521451"</f>
        <v>521451</v>
      </c>
      <c r="B18578" s="2" t="str">
        <f>"PONTA P/ PARAFUSADEIRA CANHÃO 8"</f>
        <v>PONTA P/ PARAFUSADEIRA CANHÃO 8</v>
      </c>
      <c r="C18578" s="2" t="str">
        <f t="shared" si="728"/>
        <v>UN</v>
      </c>
      <c r="D18578" s="7">
        <v>920</v>
      </c>
      <c r="E18578" s="3">
        <v>4</v>
      </c>
      <c r="F18578" s="3">
        <v>4</v>
      </c>
      <c r="G18578" t="s">
        <v>512</v>
      </c>
    </row>
    <row r="18579" spans="1:7" x14ac:dyDescent="0.25">
      <c r="A18579" s="1" t="str">
        <f>"521447"</f>
        <v>521447</v>
      </c>
      <c r="B18579" s="2" t="str">
        <f>"PONTA P/ PARAFUSADEIRA PHILIPS 1"</f>
        <v>PONTA P/ PARAFUSADEIRA PHILIPS 1</v>
      </c>
      <c r="C18579" s="2" t="str">
        <f t="shared" si="728"/>
        <v>UN</v>
      </c>
      <c r="D18579" s="7">
        <v>920</v>
      </c>
      <c r="E18579" s="3">
        <v>4</v>
      </c>
      <c r="F18579" s="3">
        <v>4</v>
      </c>
      <c r="G18579" t="s">
        <v>516</v>
      </c>
    </row>
    <row r="18580" spans="1:7" x14ac:dyDescent="0.25">
      <c r="A18580" s="1" t="str">
        <f>"521448"</f>
        <v>521448</v>
      </c>
      <c r="B18580" s="2" t="str">
        <f>"PONTA P/ PARAFUSADEIRA PHILIPS 2"</f>
        <v>PONTA P/ PARAFUSADEIRA PHILIPS 2</v>
      </c>
      <c r="C18580" s="2" t="str">
        <f t="shared" si="728"/>
        <v>UN</v>
      </c>
      <c r="D18580" s="7">
        <v>920</v>
      </c>
      <c r="E18580" s="3">
        <v>4</v>
      </c>
      <c r="F18580" s="3">
        <v>4</v>
      </c>
      <c r="G18580" t="s">
        <v>515</v>
      </c>
    </row>
    <row r="18581" spans="1:7" x14ac:dyDescent="0.25">
      <c r="A18581" s="1" t="str">
        <f>"521449"</f>
        <v>521449</v>
      </c>
      <c r="B18581" s="2" t="str">
        <f>"PONTA P/ PARAFUSADEIRA PHILIPS 3"</f>
        <v>PONTA P/ PARAFUSADEIRA PHILIPS 3</v>
      </c>
      <c r="C18581" s="2" t="str">
        <f t="shared" si="728"/>
        <v>UN</v>
      </c>
      <c r="D18581" s="7">
        <v>920</v>
      </c>
      <c r="E18581" s="3">
        <v>4</v>
      </c>
      <c r="F18581" s="3">
        <v>4</v>
      </c>
      <c r="G18581" t="s">
        <v>514</v>
      </c>
    </row>
    <row r="18582" spans="1:7" x14ac:dyDescent="0.25">
      <c r="A18582" s="1" t="str">
        <f>"526909"</f>
        <v>526909</v>
      </c>
      <c r="B18582" s="2" t="str">
        <f>"PONTA P/ RETIFICA HASTE 3MM"</f>
        <v>PONTA P/ RETIFICA HASTE 3MM</v>
      </c>
      <c r="C18582" s="2" t="str">
        <f t="shared" si="728"/>
        <v>UN</v>
      </c>
      <c r="D18582" s="7">
        <v>918</v>
      </c>
      <c r="E18582" s="3">
        <v>11</v>
      </c>
      <c r="F18582" s="3">
        <v>11</v>
      </c>
      <c r="G18582" t="s">
        <v>512</v>
      </c>
    </row>
    <row r="18583" spans="1:7" x14ac:dyDescent="0.25">
      <c r="A18583" s="1" t="str">
        <f>"515377"</f>
        <v>515377</v>
      </c>
      <c r="B18583" s="2" t="str">
        <f>"PONTA POWER BIT CANHÃO 1/4 X 5/16 49,2MM"</f>
        <v>PONTA POWER BIT CANHÃO 1/4 X 5/16 49,2MM</v>
      </c>
      <c r="C18583" s="2" t="str">
        <f t="shared" si="728"/>
        <v>UN</v>
      </c>
      <c r="D18583" s="7">
        <v>817</v>
      </c>
      <c r="E18583" s="3">
        <v>4</v>
      </c>
      <c r="F18583" s="3">
        <v>4</v>
      </c>
      <c r="G18583" t="s">
        <v>513</v>
      </c>
    </row>
    <row r="18584" spans="1:7" x14ac:dyDescent="0.25">
      <c r="A18584" s="1" t="str">
        <f>"516208"</f>
        <v>516208</v>
      </c>
      <c r="B18584" s="2" t="str">
        <f>"PONTE  INTERLIGAÇÃO 8W1898 2,5MM"</f>
        <v>PONTE  INTERLIGAÇÃO 8W1898 2,5MM</v>
      </c>
      <c r="C18584" s="2" t="str">
        <f t="shared" si="728"/>
        <v>UN</v>
      </c>
      <c r="D18584" s="7">
        <v>600</v>
      </c>
      <c r="E18584" s="3">
        <v>8</v>
      </c>
      <c r="F18584" s="3">
        <v>8</v>
      </c>
      <c r="G18584" t="s">
        <v>514</v>
      </c>
    </row>
    <row r="18585" spans="1:7" x14ac:dyDescent="0.25">
      <c r="A18585" s="1" t="str">
        <f>"527428"</f>
        <v>527428</v>
      </c>
      <c r="B18585" s="2" t="str">
        <f>"PONTE DE ENCAIXE SEM FIM FBST 500-PLC BU-PHOENIX 25675100"</f>
        <v>PONTE DE ENCAIXE SEM FIM FBST 500-PLC BU-PHOENIX 25675100</v>
      </c>
      <c r="C18585" s="2" t="str">
        <f t="shared" si="728"/>
        <v>UN</v>
      </c>
      <c r="D18585" s="7">
        <v>811</v>
      </c>
      <c r="E18585" s="3">
        <v>8</v>
      </c>
      <c r="F18585" s="3">
        <v>8</v>
      </c>
      <c r="G18585" t="s">
        <v>514</v>
      </c>
    </row>
    <row r="18586" spans="1:7" x14ac:dyDescent="0.25">
      <c r="A18586" s="1" t="str">
        <f>"519717"</f>
        <v>519717</v>
      </c>
      <c r="B18586" s="2" t="str">
        <f>"PONTE RETIFICADORA 220V 1A"</f>
        <v>PONTE RETIFICADORA 220V 1A</v>
      </c>
      <c r="C18586" s="2" t="str">
        <f t="shared" si="728"/>
        <v>UN</v>
      </c>
      <c r="D18586" s="7">
        <v>811</v>
      </c>
      <c r="E18586" s="3">
        <v>8</v>
      </c>
      <c r="F18586" s="3">
        <v>8</v>
      </c>
      <c r="G18586" t="s">
        <v>512</v>
      </c>
    </row>
    <row r="18587" spans="1:7" x14ac:dyDescent="0.25">
      <c r="A18587" s="1" t="str">
        <f>"516914"</f>
        <v>516914</v>
      </c>
      <c r="B18587" s="2" t="str">
        <f>"PONTE RETIFICADORA WEG P/ MOTOFREIO 220V"</f>
        <v>PONTE RETIFICADORA WEG P/ MOTOFREIO 220V</v>
      </c>
      <c r="C18587" s="2" t="str">
        <f t="shared" si="728"/>
        <v>UN</v>
      </c>
      <c r="D18587" s="7">
        <v>811</v>
      </c>
      <c r="E18587" s="3">
        <v>8</v>
      </c>
      <c r="F18587" s="3">
        <v>8</v>
      </c>
      <c r="G18587" t="s">
        <v>513</v>
      </c>
    </row>
    <row r="18588" spans="1:7" x14ac:dyDescent="0.25">
      <c r="A18588" s="1" t="str">
        <f>"508798"</f>
        <v>508798</v>
      </c>
      <c r="B18588" s="2" t="str">
        <f>"PONTE SINDAL P/ FIO 04MM"</f>
        <v>PONTE SINDAL P/ FIO 04MM</v>
      </c>
      <c r="C18588" s="2" t="str">
        <f t="shared" si="728"/>
        <v>UN</v>
      </c>
      <c r="D18588" s="7">
        <v>601</v>
      </c>
      <c r="E18588" s="3">
        <v>8</v>
      </c>
      <c r="F18588" s="3">
        <v>8</v>
      </c>
      <c r="G18588" t="s">
        <v>514</v>
      </c>
    </row>
    <row r="18589" spans="1:7" x14ac:dyDescent="0.25">
      <c r="A18589" s="1" t="str">
        <f>"509816"</f>
        <v>509816</v>
      </c>
      <c r="B18589" s="2" t="str">
        <f>"PONTE SINDAL P/ FIO 06MM"</f>
        <v>PONTE SINDAL P/ FIO 06MM</v>
      </c>
      <c r="C18589" s="2" t="str">
        <f t="shared" si="728"/>
        <v>UN</v>
      </c>
      <c r="D18589" s="7">
        <v>601</v>
      </c>
      <c r="E18589" s="3">
        <v>8</v>
      </c>
      <c r="F18589" s="3">
        <v>8</v>
      </c>
      <c r="G18589" t="s">
        <v>514</v>
      </c>
    </row>
    <row r="18590" spans="1:7" x14ac:dyDescent="0.25">
      <c r="A18590" s="1" t="str">
        <f>"500481"</f>
        <v>500481</v>
      </c>
      <c r="B18590" s="2" t="str">
        <f>"PONTE SINDAL P/ FIO 1,5MM"</f>
        <v>PONTE SINDAL P/ FIO 1,5MM</v>
      </c>
      <c r="C18590" s="2" t="str">
        <f t="shared" si="728"/>
        <v>UN</v>
      </c>
      <c r="D18590" s="7">
        <v>601</v>
      </c>
      <c r="E18590" s="3">
        <v>8</v>
      </c>
      <c r="F18590" s="3">
        <v>8</v>
      </c>
      <c r="G18590" t="s">
        <v>514</v>
      </c>
    </row>
    <row r="18591" spans="1:7" x14ac:dyDescent="0.25">
      <c r="A18591" s="1" t="str">
        <f>"509817"</f>
        <v>509817</v>
      </c>
      <c r="B18591" s="2" t="str">
        <f>"PONTE SINDAL P/ FIO 10MM"</f>
        <v>PONTE SINDAL P/ FIO 10MM</v>
      </c>
      <c r="C18591" s="2" t="str">
        <f t="shared" si="728"/>
        <v>UN</v>
      </c>
      <c r="D18591" s="7">
        <v>601</v>
      </c>
      <c r="E18591" s="3">
        <v>8</v>
      </c>
      <c r="F18591" s="3">
        <v>8</v>
      </c>
      <c r="G18591" t="s">
        <v>513</v>
      </c>
    </row>
    <row r="18592" spans="1:7" x14ac:dyDescent="0.25">
      <c r="A18592" s="1" t="str">
        <f>"503333"</f>
        <v>503333</v>
      </c>
      <c r="B18592" s="2" t="str">
        <f>"PONTE SINDAL P/ FIO 2,5MM"</f>
        <v>PONTE SINDAL P/ FIO 2,5MM</v>
      </c>
      <c r="C18592" s="2" t="str">
        <f t="shared" si="728"/>
        <v>UN</v>
      </c>
      <c r="D18592" s="7">
        <v>601</v>
      </c>
      <c r="E18592" s="3">
        <v>8</v>
      </c>
      <c r="F18592" s="3">
        <v>8</v>
      </c>
      <c r="G18592" t="s">
        <v>512</v>
      </c>
    </row>
    <row r="18593" spans="1:7" x14ac:dyDescent="0.25">
      <c r="A18593" s="1" t="str">
        <f>"514933"</f>
        <v>514933</v>
      </c>
      <c r="B18593" s="2" t="str">
        <f>"PONTEIRA 100 A 1000 UL"</f>
        <v>PONTEIRA 100 A 1000 UL</v>
      </c>
      <c r="C18593" s="2" t="str">
        <f t="shared" si="728"/>
        <v>UN</v>
      </c>
      <c r="D18593" s="7">
        <v>406</v>
      </c>
      <c r="E18593" s="3">
        <v>4</v>
      </c>
      <c r="F18593" s="3">
        <v>4</v>
      </c>
      <c r="G18593" t="s">
        <v>513</v>
      </c>
    </row>
    <row r="18594" spans="1:7" x14ac:dyDescent="0.25">
      <c r="A18594" s="1" t="str">
        <f>"521036"</f>
        <v>521036</v>
      </c>
      <c r="B18594" s="2" t="str">
        <f>"PONTEIRA 1000UL"</f>
        <v>PONTEIRA 1000UL</v>
      </c>
      <c r="C18594" s="2" t="str">
        <f t="shared" si="728"/>
        <v>UN</v>
      </c>
      <c r="D18594" s="7">
        <v>406</v>
      </c>
      <c r="E18594" s="3">
        <v>4</v>
      </c>
      <c r="F18594" s="3">
        <v>4</v>
      </c>
      <c r="G18594" t="s">
        <v>514</v>
      </c>
    </row>
    <row r="18595" spans="1:7" x14ac:dyDescent="0.25">
      <c r="A18595" s="1" t="str">
        <f>"526770"</f>
        <v>526770</v>
      </c>
      <c r="B18595" s="2" t="str">
        <f>"PONTEIRA 100-1000 UL S/ FILTRO - PCT C/ 1000"</f>
        <v>PONTEIRA 100-1000 UL S/ FILTRO - PCT C/ 1000</v>
      </c>
      <c r="C18595" s="2" t="str">
        <f t="shared" si="728"/>
        <v>UN</v>
      </c>
      <c r="D18595" s="7">
        <v>99999</v>
      </c>
      <c r="E18595" s="3">
        <v>99</v>
      </c>
      <c r="F18595" s="3">
        <v>99</v>
      </c>
      <c r="G18595" t="s">
        <v>514</v>
      </c>
    </row>
    <row r="18596" spans="1:7" x14ac:dyDescent="0.25">
      <c r="A18596" s="1" t="str">
        <f>"519000"</f>
        <v>519000</v>
      </c>
      <c r="B18596" s="2" t="str">
        <f>"PONTEIRA 2000 A 10000 UL"</f>
        <v>PONTEIRA 2000 A 10000 UL</v>
      </c>
      <c r="C18596" s="2" t="str">
        <f t="shared" si="728"/>
        <v>UN</v>
      </c>
      <c r="D18596" s="7">
        <v>406</v>
      </c>
      <c r="E18596" s="3">
        <v>4</v>
      </c>
      <c r="F18596" s="3">
        <v>4</v>
      </c>
      <c r="G18596" t="s">
        <v>514</v>
      </c>
    </row>
    <row r="18597" spans="1:7" x14ac:dyDescent="0.25">
      <c r="A18597" s="1" t="str">
        <f>"518917"</f>
        <v>518917</v>
      </c>
      <c r="B18597" s="2" t="str">
        <f>"PONTEIRA A.T 15KV 20 C 50 25/50MM2 EXTERNA"</f>
        <v>PONTEIRA A.T 15KV 20 C 50 25/50MM2 EXTERNA</v>
      </c>
      <c r="C18597" s="2" t="str">
        <f t="shared" si="728"/>
        <v>UN</v>
      </c>
      <c r="D18597" s="7">
        <v>811</v>
      </c>
      <c r="E18597" s="3">
        <v>8</v>
      </c>
      <c r="F18597" s="3">
        <v>8</v>
      </c>
      <c r="G18597" t="s">
        <v>513</v>
      </c>
    </row>
    <row r="18598" spans="1:7" x14ac:dyDescent="0.25">
      <c r="A18598" s="1" t="str">
        <f>"518918"</f>
        <v>518918</v>
      </c>
      <c r="B18598" s="2" t="str">
        <f>"PONTEIRA A.T 15KV 20 C 50 25/50MM2 INTERNA"</f>
        <v>PONTEIRA A.T 15KV 20 C 50 25/50MM2 INTERNA</v>
      </c>
      <c r="C18598" s="2" t="str">
        <f t="shared" si="728"/>
        <v>UN</v>
      </c>
      <c r="D18598" s="7">
        <v>811</v>
      </c>
      <c r="E18598" s="3">
        <v>8</v>
      </c>
      <c r="F18598" s="3">
        <v>8</v>
      </c>
      <c r="G18598" t="s">
        <v>513</v>
      </c>
    </row>
    <row r="18599" spans="1:7" x14ac:dyDescent="0.25">
      <c r="A18599" s="1" t="str">
        <f>"522492"</f>
        <v>522492</v>
      </c>
      <c r="B18599" s="2" t="str">
        <f>"PONTEIRA AZUL 50 - 1000UL BOECO HX0087-01421 (PCT COM 100UN)"</f>
        <v>PONTEIRA AZUL 50 - 1000UL BOECO HX0087-01421 (PCT COM 100UN)</v>
      </c>
      <c r="C18599" s="2" t="str">
        <f t="shared" si="728"/>
        <v>UN</v>
      </c>
      <c r="D18599" s="7">
        <v>406</v>
      </c>
      <c r="E18599" s="3">
        <v>4</v>
      </c>
      <c r="F18599" s="3">
        <v>4</v>
      </c>
      <c r="G18599" t="s">
        <v>513</v>
      </c>
    </row>
    <row r="18600" spans="1:7" x14ac:dyDescent="0.25">
      <c r="A18600" s="1" t="str">
        <f>"517065"</f>
        <v>517065</v>
      </c>
      <c r="B18600" s="2" t="str">
        <f>"PONTEIRA BICO SOPRO COMP. 160/180/600ML SP10025897"</f>
        <v>PONTEIRA BICO SOPRO COMP. 160/180/600ML SP10025897</v>
      </c>
      <c r="C18600" s="2" t="str">
        <f t="shared" si="728"/>
        <v>UN</v>
      </c>
      <c r="D18600" s="7">
        <v>918</v>
      </c>
      <c r="E18600" s="3">
        <v>11</v>
      </c>
      <c r="F18600" s="3">
        <v>11</v>
      </c>
      <c r="G18600" t="s">
        <v>512</v>
      </c>
    </row>
    <row r="18601" spans="1:7" x14ac:dyDescent="0.25">
      <c r="A18601" s="1" t="str">
        <f>"501908"</f>
        <v>501908</v>
      </c>
      <c r="B18601" s="2" t="str">
        <f>"PONTEIRA DE 12 POLEGADAS"</f>
        <v>PONTEIRA DE 12 POLEGADAS</v>
      </c>
      <c r="C18601" s="2" t="str">
        <f t="shared" si="728"/>
        <v>UN</v>
      </c>
      <c r="D18601" s="7">
        <v>402</v>
      </c>
      <c r="E18601" s="3">
        <v>4</v>
      </c>
      <c r="F18601" s="3">
        <v>4</v>
      </c>
      <c r="G18601" t="s">
        <v>513</v>
      </c>
    </row>
    <row r="18602" spans="1:7" x14ac:dyDescent="0.25">
      <c r="A18602" s="1" t="str">
        <f>"515723"</f>
        <v>515723</v>
      </c>
      <c r="B18602" s="2" t="str">
        <f>"PONTEIRA DESLIZANTE CARDAN"</f>
        <v>PONTEIRA DESLIZANTE CARDAN</v>
      </c>
      <c r="C18602" s="2" t="str">
        <f t="shared" si="728"/>
        <v>UN</v>
      </c>
      <c r="D18602" s="7">
        <v>704</v>
      </c>
      <c r="E18602" s="3">
        <v>9</v>
      </c>
      <c r="F18602" s="3">
        <v>9</v>
      </c>
      <c r="G18602" t="s">
        <v>514</v>
      </c>
    </row>
    <row r="18603" spans="1:7" x14ac:dyDescent="0.25">
      <c r="A18603" s="1" t="str">
        <f>"506186"</f>
        <v>506186</v>
      </c>
      <c r="B18603" s="2" t="str">
        <f>"PONTEIRA ESCAPE"</f>
        <v>PONTEIRA ESCAPE</v>
      </c>
      <c r="C18603" s="2" t="str">
        <f t="shared" si="728"/>
        <v>UN</v>
      </c>
      <c r="D18603" s="7">
        <v>704</v>
      </c>
      <c r="E18603" s="3">
        <v>9</v>
      </c>
      <c r="F18603" s="3">
        <v>9</v>
      </c>
      <c r="G18603" t="s">
        <v>515</v>
      </c>
    </row>
    <row r="18604" spans="1:7" x14ac:dyDescent="0.25">
      <c r="A18604" s="1" t="str">
        <f>"515376"</f>
        <v>515376</v>
      </c>
      <c r="B18604" s="2" t="str">
        <f>"PONTEIRA MAQUITA 50MM"</f>
        <v>PONTEIRA MAQUITA 50MM</v>
      </c>
      <c r="C18604" s="2" t="str">
        <f t="shared" si="728"/>
        <v>UN</v>
      </c>
      <c r="D18604" s="7">
        <v>817</v>
      </c>
      <c r="E18604" s="3">
        <v>4</v>
      </c>
      <c r="F18604" s="3">
        <v>4</v>
      </c>
      <c r="G18604" t="s">
        <v>512</v>
      </c>
    </row>
    <row r="18605" spans="1:7" x14ac:dyDescent="0.25">
      <c r="A18605" s="1" t="str">
        <f>"516544"</f>
        <v>516544</v>
      </c>
      <c r="B18605" s="2" t="str">
        <f>"PONTEIRA POWER BIT CANHÃO 1/4"" X 5/16"" 49,2MM"</f>
        <v>PONTEIRA POWER BIT CANHÃO 1/4" X 5/16" 49,2MM</v>
      </c>
      <c r="C18605" s="2" t="str">
        <f t="shared" si="728"/>
        <v>UN</v>
      </c>
      <c r="D18605" s="7">
        <v>403</v>
      </c>
      <c r="E18605" s="3">
        <v>4</v>
      </c>
      <c r="F18605" s="3">
        <v>4</v>
      </c>
      <c r="G18605" t="s">
        <v>516</v>
      </c>
    </row>
    <row r="18606" spans="1:7" x14ac:dyDescent="0.25">
      <c r="A18606" s="1" t="str">
        <f>"527637"</f>
        <v>527637</v>
      </c>
      <c r="B18606" s="2" t="str">
        <f>"PONTEIRA REDONDA INTERNA EMBUTIR EM TUBO REDONDO 1.1/2 PRETA"</f>
        <v>PONTEIRA REDONDA INTERNA EMBUTIR EM TUBO REDONDO 1.1/2 PRETA</v>
      </c>
      <c r="C18606" s="2" t="str">
        <f t="shared" si="728"/>
        <v>UN</v>
      </c>
      <c r="D18606" s="7">
        <v>807</v>
      </c>
      <c r="E18606" s="3">
        <v>10</v>
      </c>
      <c r="F18606" s="3">
        <v>10</v>
      </c>
      <c r="G18606" t="s">
        <v>515</v>
      </c>
    </row>
    <row r="18607" spans="1:7" x14ac:dyDescent="0.25">
      <c r="A18607" s="1" t="str">
        <f>"527639"</f>
        <v>527639</v>
      </c>
      <c r="B18607" s="2" t="str">
        <f>"PONTEIRA REDONDA INTERNA EMBUTIR EM TUBO REDONDO 2.1/2 PRETA"</f>
        <v>PONTEIRA REDONDA INTERNA EMBUTIR EM TUBO REDONDO 2.1/2 PRETA</v>
      </c>
      <c r="C18607" s="2" t="str">
        <f>"BR"</f>
        <v>BR</v>
      </c>
      <c r="D18607" s="7">
        <v>807</v>
      </c>
      <c r="E18607" s="3">
        <v>10</v>
      </c>
      <c r="F18607" s="3">
        <v>10</v>
      </c>
      <c r="G18607" t="s">
        <v>514</v>
      </c>
    </row>
    <row r="18608" spans="1:7" x14ac:dyDescent="0.25">
      <c r="A18608" s="1" t="str">
        <f>"527640"</f>
        <v>527640</v>
      </c>
      <c r="B18608" s="2" t="str">
        <f>"PONTEIRA REDONDA INTERNA EMBUTIR EM TUBO REDONDO 3""  PRETA"</f>
        <v>PONTEIRA REDONDA INTERNA EMBUTIR EM TUBO REDONDO 3"  PRETA</v>
      </c>
      <c r="C18608" s="2" t="str">
        <f>"BR"</f>
        <v>BR</v>
      </c>
      <c r="D18608" s="7">
        <v>807</v>
      </c>
      <c r="E18608" s="3">
        <v>10</v>
      </c>
      <c r="F18608" s="3">
        <v>10</v>
      </c>
      <c r="G18608" t="s">
        <v>512</v>
      </c>
    </row>
    <row r="18609" spans="1:7" x14ac:dyDescent="0.25">
      <c r="A18609" s="1" t="str">
        <f>"527641"</f>
        <v>527641</v>
      </c>
      <c r="B18609" s="2" t="str">
        <f>"PONTEIRA REDONDA INTERNA EMBUTIR EM TUBO REDONDO 4""  C/ ABA"</f>
        <v>PONTEIRA REDONDA INTERNA EMBUTIR EM TUBO REDONDO 4"  C/ ABA</v>
      </c>
      <c r="C18609" s="2" t="str">
        <f>"BR"</f>
        <v>BR</v>
      </c>
      <c r="D18609" s="7">
        <v>807</v>
      </c>
      <c r="E18609" s="3">
        <v>10</v>
      </c>
      <c r="F18609" s="3">
        <v>10</v>
      </c>
      <c r="G18609" t="s">
        <v>513</v>
      </c>
    </row>
    <row r="18610" spans="1:7" x14ac:dyDescent="0.25">
      <c r="A18610" s="1" t="str">
        <f>"527638"</f>
        <v>527638</v>
      </c>
      <c r="B18610" s="2" t="str">
        <f>"PONTEIRA REDONDA INTERNA P/EMBUTIR EM TUBO REDONDO 2""  PRETA"</f>
        <v>PONTEIRA REDONDA INTERNA P/EMBUTIR EM TUBO REDONDO 2"  PRETA</v>
      </c>
      <c r="C18610" s="2" t="str">
        <f t="shared" ref="C18610:C18620" si="729">"UN"</f>
        <v>UN</v>
      </c>
      <c r="D18610" s="7">
        <v>807</v>
      </c>
      <c r="E18610" s="3">
        <v>10</v>
      </c>
      <c r="F18610" s="3">
        <v>10</v>
      </c>
      <c r="G18610" t="s">
        <v>514</v>
      </c>
    </row>
    <row r="18611" spans="1:7" x14ac:dyDescent="0.25">
      <c r="A18611" s="1" t="str">
        <f>"517193"</f>
        <v>517193</v>
      </c>
      <c r="B18611" s="2" t="str">
        <f>"PONTEIRA SOPRO 160/200 COD. 508276"</f>
        <v>PONTEIRA SOPRO 160/200 COD. 508276</v>
      </c>
      <c r="C18611" s="2" t="str">
        <f t="shared" si="729"/>
        <v>UN</v>
      </c>
      <c r="D18611" s="7">
        <v>918</v>
      </c>
      <c r="E18611" s="3">
        <v>11</v>
      </c>
      <c r="F18611" s="3">
        <v>11</v>
      </c>
      <c r="G18611" t="s">
        <v>514</v>
      </c>
    </row>
    <row r="18612" spans="1:7" x14ac:dyDescent="0.25">
      <c r="A18612" s="1" t="str">
        <f>"521689"</f>
        <v>521689</v>
      </c>
      <c r="B18612" s="2" t="str">
        <f>"PONTEIRO"</f>
        <v>PONTEIRO</v>
      </c>
      <c r="C18612" s="2" t="str">
        <f t="shared" si="729"/>
        <v>UN</v>
      </c>
      <c r="D18612" s="7">
        <v>99999</v>
      </c>
      <c r="E18612" s="3">
        <v>99</v>
      </c>
      <c r="F18612" s="3">
        <v>99</v>
      </c>
      <c r="G18612" t="s">
        <v>512</v>
      </c>
    </row>
    <row r="18613" spans="1:7" x14ac:dyDescent="0.25">
      <c r="A18613" s="1" t="str">
        <f>"513917"</f>
        <v>513917</v>
      </c>
      <c r="B18613" s="2" t="str">
        <f>"PONTEIRO 3/4 X 12"</f>
        <v>PONTEIRO 3/4 X 12</v>
      </c>
      <c r="C18613" s="2" t="str">
        <f t="shared" si="729"/>
        <v>UN</v>
      </c>
      <c r="D18613" s="7">
        <v>919</v>
      </c>
      <c r="E18613" s="3">
        <v>4</v>
      </c>
      <c r="F18613" s="3">
        <v>4</v>
      </c>
      <c r="G18613" t="s">
        <v>513</v>
      </c>
    </row>
    <row r="18614" spans="1:7" x14ac:dyDescent="0.25">
      <c r="A18614" s="1" t="str">
        <f>"526966"</f>
        <v>526966</v>
      </c>
      <c r="B18614" s="2" t="str">
        <f>"PONTEIRO ENGATE RAPIDO SDS PLUS 300MM"</f>
        <v>PONTEIRO ENGATE RAPIDO SDS PLUS 300MM</v>
      </c>
      <c r="C18614" s="2" t="str">
        <f t="shared" si="729"/>
        <v>UN</v>
      </c>
      <c r="D18614" s="7">
        <v>402</v>
      </c>
      <c r="E18614" s="3">
        <v>4</v>
      </c>
      <c r="F18614" s="3">
        <v>4</v>
      </c>
      <c r="G18614" t="s">
        <v>514</v>
      </c>
    </row>
    <row r="18615" spans="1:7" x14ac:dyDescent="0.25">
      <c r="A18615" s="1" t="str">
        <f>"509376"</f>
        <v>509376</v>
      </c>
      <c r="B18615" s="2" t="str">
        <f>"PONTO DE ACESSO AP-700 FCC-MU"</f>
        <v>PONTO DE ACESSO AP-700 FCC-MU</v>
      </c>
      <c r="C18615" s="2" t="str">
        <f t="shared" si="729"/>
        <v>UN</v>
      </c>
      <c r="D18615" s="7">
        <v>402</v>
      </c>
      <c r="E18615" s="3">
        <v>4</v>
      </c>
      <c r="F18615" s="3">
        <v>4</v>
      </c>
      <c r="G18615" t="s">
        <v>514</v>
      </c>
    </row>
    <row r="18616" spans="1:7" x14ac:dyDescent="0.25">
      <c r="A18616" s="1" t="str">
        <f>"508859"</f>
        <v>508859</v>
      </c>
      <c r="B18616" s="2" t="str">
        <f>"PONTO SINDAL 10MM"</f>
        <v>PONTO SINDAL 10MM</v>
      </c>
      <c r="C18616" s="2" t="str">
        <f t="shared" si="729"/>
        <v>UN</v>
      </c>
      <c r="D18616" s="7">
        <v>601</v>
      </c>
      <c r="E18616" s="3">
        <v>8</v>
      </c>
      <c r="F18616" s="3">
        <v>8</v>
      </c>
      <c r="G18616" t="s">
        <v>514</v>
      </c>
    </row>
    <row r="18617" spans="1:7" x14ac:dyDescent="0.25">
      <c r="A18617" s="1" t="str">
        <f>"508860"</f>
        <v>508860</v>
      </c>
      <c r="B18617" s="2" t="str">
        <f>"PONTO SINDAL 16MM"</f>
        <v>PONTO SINDAL 16MM</v>
      </c>
      <c r="C18617" s="2" t="str">
        <f t="shared" si="729"/>
        <v>UN</v>
      </c>
      <c r="D18617" s="7">
        <v>601</v>
      </c>
      <c r="E18617" s="3">
        <v>8</v>
      </c>
      <c r="F18617" s="3">
        <v>8</v>
      </c>
      <c r="G18617" t="s">
        <v>513</v>
      </c>
    </row>
    <row r="18618" spans="1:7" x14ac:dyDescent="0.25">
      <c r="A18618" s="1" t="str">
        <f>"512111"</f>
        <v>512111</v>
      </c>
      <c r="B18618" s="2" t="str">
        <f>"POR AUTOF 3/8 UNF GR.5"</f>
        <v>POR AUTOF 3/8 UNF GR.5</v>
      </c>
      <c r="C18618" s="2" t="str">
        <f t="shared" si="729"/>
        <v>UN</v>
      </c>
      <c r="D18618" s="7">
        <v>918</v>
      </c>
      <c r="E18618" s="3">
        <v>11</v>
      </c>
      <c r="F18618" s="3">
        <v>11</v>
      </c>
      <c r="G18618" t="s">
        <v>512</v>
      </c>
    </row>
    <row r="18619" spans="1:7" x14ac:dyDescent="0.25">
      <c r="A18619" s="1" t="str">
        <f>"513447"</f>
        <v>513447</v>
      </c>
      <c r="B18619" s="2" t="str">
        <f>"PORCA"</f>
        <v>PORCA</v>
      </c>
      <c r="C18619" s="2" t="str">
        <f t="shared" si="729"/>
        <v>UN</v>
      </c>
      <c r="D18619" s="7">
        <v>918</v>
      </c>
      <c r="E18619" s="3">
        <v>11</v>
      </c>
      <c r="F18619" s="3">
        <v>11</v>
      </c>
      <c r="G18619" t="s">
        <v>513</v>
      </c>
    </row>
    <row r="18620" spans="1:7" x14ac:dyDescent="0.25">
      <c r="A18620" s="1" t="str">
        <f>"CO73181600"</f>
        <v>CO73181600</v>
      </c>
      <c r="B18620" s="2" t="str">
        <f>"PORCA"</f>
        <v>PORCA</v>
      </c>
      <c r="C18620" s="2" t="str">
        <f t="shared" si="729"/>
        <v>UN</v>
      </c>
      <c r="D18620" s="7">
        <v>99999</v>
      </c>
      <c r="E18620" s="3">
        <v>99</v>
      </c>
      <c r="F18620" s="3">
        <v>99</v>
      </c>
      <c r="G18620" t="s">
        <v>514</v>
      </c>
    </row>
    <row r="18621" spans="1:7" x14ac:dyDescent="0.25">
      <c r="A18621" s="1" t="str">
        <f>"502026"</f>
        <v>502026</v>
      </c>
      <c r="B18621" s="2" t="str">
        <f>"PORCA - 1"""</f>
        <v>PORCA - 1"</v>
      </c>
      <c r="C18621" s="2" t="str">
        <f>"PC"</f>
        <v>PC</v>
      </c>
      <c r="D18621" s="7">
        <v>800</v>
      </c>
      <c r="E18621" s="3">
        <v>10</v>
      </c>
      <c r="F18621" s="3">
        <v>10</v>
      </c>
      <c r="G18621" t="s">
        <v>514</v>
      </c>
    </row>
    <row r="18622" spans="1:7" x14ac:dyDescent="0.25">
      <c r="A18622" s="1" t="str">
        <f>"500211"</f>
        <v>500211</v>
      </c>
      <c r="B18622" s="2" t="str">
        <f>"PORCA - 1/2"</f>
        <v>PORCA - 1/2</v>
      </c>
      <c r="C18622" s="2" t="str">
        <f t="shared" ref="C18622:C18666" si="730">"UN"</f>
        <v>UN</v>
      </c>
      <c r="D18622" s="7">
        <v>402</v>
      </c>
      <c r="E18622" s="3">
        <v>4</v>
      </c>
      <c r="F18622" s="3">
        <v>4</v>
      </c>
      <c r="G18622" t="s">
        <v>514</v>
      </c>
    </row>
    <row r="18623" spans="1:7" x14ac:dyDescent="0.25">
      <c r="A18623" s="1" t="str">
        <f>"500331"</f>
        <v>500331</v>
      </c>
      <c r="B18623" s="2" t="str">
        <f>"PORCA - 1/4"</f>
        <v>PORCA - 1/4</v>
      </c>
      <c r="C18623" s="2" t="str">
        <f t="shared" si="730"/>
        <v>UN</v>
      </c>
      <c r="D18623" s="7">
        <v>402</v>
      </c>
      <c r="E18623" s="3">
        <v>4</v>
      </c>
      <c r="F18623" s="3">
        <v>4</v>
      </c>
      <c r="G18623" t="s">
        <v>513</v>
      </c>
    </row>
    <row r="18624" spans="1:7" x14ac:dyDescent="0.25">
      <c r="A18624" s="1" t="str">
        <f>"500665"</f>
        <v>500665</v>
      </c>
      <c r="B18624" s="2" t="str">
        <f>"PORCA - 3/16"</f>
        <v>PORCA - 3/16</v>
      </c>
      <c r="C18624" s="2" t="str">
        <f t="shared" si="730"/>
        <v>UN</v>
      </c>
      <c r="D18624" s="7">
        <v>402</v>
      </c>
      <c r="E18624" s="3">
        <v>4</v>
      </c>
      <c r="F18624" s="3">
        <v>4</v>
      </c>
      <c r="G18624" t="s">
        <v>513</v>
      </c>
    </row>
    <row r="18625" spans="1:7" x14ac:dyDescent="0.25">
      <c r="A18625" s="1" t="str">
        <f>"509597"</f>
        <v>509597</v>
      </c>
      <c r="B18625" s="2" t="str">
        <f>"PORCA - 3/4"""</f>
        <v>PORCA - 3/4"</v>
      </c>
      <c r="C18625" s="2" t="str">
        <f t="shared" si="730"/>
        <v>UN</v>
      </c>
      <c r="D18625" s="7">
        <v>402</v>
      </c>
      <c r="E18625" s="3">
        <v>4</v>
      </c>
      <c r="F18625" s="3">
        <v>4</v>
      </c>
      <c r="G18625" t="s">
        <v>513</v>
      </c>
    </row>
    <row r="18626" spans="1:7" x14ac:dyDescent="0.25">
      <c r="A18626" s="1" t="str">
        <f>"500251"</f>
        <v>500251</v>
      </c>
      <c r="B18626" s="2" t="str">
        <f>"PORCA - 3/8"</f>
        <v>PORCA - 3/8</v>
      </c>
      <c r="C18626" s="2" t="str">
        <f t="shared" si="730"/>
        <v>UN</v>
      </c>
      <c r="D18626" s="7">
        <v>402</v>
      </c>
      <c r="E18626" s="3">
        <v>4</v>
      </c>
      <c r="F18626" s="3">
        <v>4</v>
      </c>
      <c r="G18626" t="s">
        <v>512</v>
      </c>
    </row>
    <row r="18627" spans="1:7" x14ac:dyDescent="0.25">
      <c r="A18627" s="1" t="str">
        <f>"500139"</f>
        <v>500139</v>
      </c>
      <c r="B18627" s="2" t="str">
        <f>"PORCA - 5/16"</f>
        <v>PORCA - 5/16</v>
      </c>
      <c r="C18627" s="2" t="str">
        <f t="shared" si="730"/>
        <v>UN</v>
      </c>
      <c r="D18627" s="7">
        <v>402</v>
      </c>
      <c r="E18627" s="3">
        <v>4</v>
      </c>
      <c r="F18627" s="3">
        <v>4</v>
      </c>
      <c r="G18627" t="s">
        <v>513</v>
      </c>
    </row>
    <row r="18628" spans="1:7" x14ac:dyDescent="0.25">
      <c r="A18628" s="1" t="str">
        <f>"519407"</f>
        <v>519407</v>
      </c>
      <c r="B18628" s="2" t="str">
        <f>"PORCA - 5/8"</f>
        <v>PORCA - 5/8</v>
      </c>
      <c r="C18628" s="2" t="str">
        <f t="shared" si="730"/>
        <v>UN</v>
      </c>
      <c r="D18628" s="7">
        <v>402</v>
      </c>
      <c r="E18628" s="3">
        <v>4</v>
      </c>
      <c r="F18628" s="3">
        <v>4</v>
      </c>
      <c r="G18628" t="s">
        <v>514</v>
      </c>
    </row>
    <row r="18629" spans="1:7" x14ac:dyDescent="0.25">
      <c r="A18629" s="1" t="str">
        <f>"500353"</f>
        <v>500353</v>
      </c>
      <c r="B18629" s="2" t="str">
        <f>"PORCA - 7/8"</f>
        <v>PORCA - 7/8</v>
      </c>
      <c r="C18629" s="2" t="str">
        <f t="shared" si="730"/>
        <v>UN</v>
      </c>
      <c r="D18629" s="7">
        <v>402</v>
      </c>
      <c r="E18629" s="3">
        <v>4</v>
      </c>
      <c r="F18629" s="3">
        <v>4</v>
      </c>
      <c r="G18629" t="s">
        <v>515</v>
      </c>
    </row>
    <row r="18630" spans="1:7" x14ac:dyDescent="0.25">
      <c r="A18630" s="1" t="str">
        <f>"517494"</f>
        <v>517494</v>
      </c>
      <c r="B18630" s="2" t="str">
        <f>"PORCA 1/2 SAE FORJADA"</f>
        <v>PORCA 1/2 SAE FORJADA</v>
      </c>
      <c r="C18630" s="2" t="str">
        <f t="shared" si="730"/>
        <v>UN</v>
      </c>
      <c r="D18630" s="7">
        <v>918</v>
      </c>
      <c r="E18630" s="3">
        <v>10</v>
      </c>
      <c r="F18630" s="3">
        <v>10</v>
      </c>
      <c r="G18630" t="s">
        <v>512</v>
      </c>
    </row>
    <row r="18631" spans="1:7" x14ac:dyDescent="0.25">
      <c r="A18631" s="1" t="str">
        <f>"518711"</f>
        <v>518711</v>
      </c>
      <c r="B18631" s="2" t="str">
        <f>"PORCA 1/2 SAE FORJADA CURTA"</f>
        <v>PORCA 1/2 SAE FORJADA CURTA</v>
      </c>
      <c r="C18631" s="2" t="str">
        <f t="shared" si="730"/>
        <v>UN</v>
      </c>
      <c r="D18631" s="7">
        <v>818</v>
      </c>
      <c r="E18631" s="3">
        <v>11</v>
      </c>
      <c r="F18631" s="3">
        <v>11</v>
      </c>
      <c r="G18631" t="s">
        <v>516</v>
      </c>
    </row>
    <row r="18632" spans="1:7" x14ac:dyDescent="0.25">
      <c r="A18632" s="1" t="str">
        <f>"517492"</f>
        <v>517492</v>
      </c>
      <c r="B18632" s="2" t="str">
        <f>"PORCA 1/4 SAE FORJADA"</f>
        <v>PORCA 1/4 SAE FORJADA</v>
      </c>
      <c r="C18632" s="2" t="str">
        <f t="shared" si="730"/>
        <v>UN</v>
      </c>
      <c r="D18632" s="7">
        <v>918</v>
      </c>
      <c r="E18632" s="3">
        <v>10</v>
      </c>
      <c r="F18632" s="3">
        <v>10</v>
      </c>
      <c r="G18632" t="s">
        <v>515</v>
      </c>
    </row>
    <row r="18633" spans="1:7" x14ac:dyDescent="0.25">
      <c r="A18633" s="1" t="str">
        <f>"518709"</f>
        <v>518709</v>
      </c>
      <c r="B18633" s="2" t="str">
        <f>"PORCA 1/4 SAE FORJADA CURTA"</f>
        <v>PORCA 1/4 SAE FORJADA CURTA</v>
      </c>
      <c r="C18633" s="2" t="str">
        <f t="shared" si="730"/>
        <v>UN</v>
      </c>
      <c r="D18633" s="7">
        <v>818</v>
      </c>
      <c r="E18633" s="3">
        <v>11</v>
      </c>
      <c r="F18633" s="3">
        <v>11</v>
      </c>
      <c r="G18633" t="s">
        <v>514</v>
      </c>
    </row>
    <row r="18634" spans="1:7" x14ac:dyDescent="0.25">
      <c r="A18634" s="1" t="str">
        <f>"522167"</f>
        <v>522167</v>
      </c>
      <c r="B18634" s="2" t="str">
        <f>"PORCA 1/4"" INOX"</f>
        <v>PORCA 1/4" INOX</v>
      </c>
      <c r="C18634" s="2" t="str">
        <f t="shared" si="730"/>
        <v>UN</v>
      </c>
      <c r="D18634" s="7">
        <v>600</v>
      </c>
      <c r="E18634" s="3">
        <v>8</v>
      </c>
      <c r="F18634" s="3">
        <v>8</v>
      </c>
      <c r="G18634" t="s">
        <v>512</v>
      </c>
    </row>
    <row r="18635" spans="1:7" x14ac:dyDescent="0.25">
      <c r="A18635" s="1" t="str">
        <f>"511255"</f>
        <v>511255</v>
      </c>
      <c r="B18635" s="2" t="str">
        <f>"PORCA 1/8"" - ZINCADA"</f>
        <v>PORCA 1/8" - ZINCADA</v>
      </c>
      <c r="C18635" s="2" t="str">
        <f t="shared" si="730"/>
        <v>UN</v>
      </c>
      <c r="D18635" s="7">
        <v>601</v>
      </c>
      <c r="E18635" s="3">
        <v>8</v>
      </c>
      <c r="F18635" s="3">
        <v>8</v>
      </c>
      <c r="G18635" t="s">
        <v>513</v>
      </c>
    </row>
    <row r="18636" spans="1:7" x14ac:dyDescent="0.25">
      <c r="A18636" s="1" t="str">
        <f>"505400"</f>
        <v>505400</v>
      </c>
      <c r="B18636" s="2" t="str">
        <f>"PORCA 12MM TRAVANTE"</f>
        <v>PORCA 12MM TRAVANTE</v>
      </c>
      <c r="C18636" s="2" t="str">
        <f t="shared" si="730"/>
        <v>UN</v>
      </c>
      <c r="D18636" s="7">
        <v>704</v>
      </c>
      <c r="E18636" s="3">
        <v>9</v>
      </c>
      <c r="F18636" s="3">
        <v>9</v>
      </c>
      <c r="G18636" t="s">
        <v>514</v>
      </c>
    </row>
    <row r="18637" spans="1:7" x14ac:dyDescent="0.25">
      <c r="A18637" s="1" t="str">
        <f>"504365"</f>
        <v>504365</v>
      </c>
      <c r="B18637" s="2" t="str">
        <f>"PORCA 14MM TRAVANTE"</f>
        <v>PORCA 14MM TRAVANTE</v>
      </c>
      <c r="C18637" s="2" t="str">
        <f t="shared" si="730"/>
        <v>UN</v>
      </c>
      <c r="D18637" s="7">
        <v>704</v>
      </c>
      <c r="E18637" s="3">
        <v>9</v>
      </c>
      <c r="F18637" s="3">
        <v>9</v>
      </c>
      <c r="G18637" t="s">
        <v>514</v>
      </c>
    </row>
    <row r="18638" spans="1:7" x14ac:dyDescent="0.25">
      <c r="A18638" s="1" t="str">
        <f>"502476"</f>
        <v>502476</v>
      </c>
      <c r="B18638" s="2" t="str">
        <f>"PORCA 16MM"</f>
        <v>PORCA 16MM</v>
      </c>
      <c r="C18638" s="2" t="str">
        <f t="shared" si="730"/>
        <v>UN</v>
      </c>
      <c r="D18638" s="7">
        <v>704</v>
      </c>
      <c r="E18638" s="3">
        <v>9</v>
      </c>
      <c r="F18638" s="3">
        <v>9</v>
      </c>
      <c r="G18638" t="s">
        <v>512</v>
      </c>
    </row>
    <row r="18639" spans="1:7" x14ac:dyDescent="0.25">
      <c r="A18639" s="1" t="str">
        <f>"501583"</f>
        <v>501583</v>
      </c>
      <c r="B18639" s="2" t="str">
        <f>"PORCA 18MM"</f>
        <v>PORCA 18MM</v>
      </c>
      <c r="C18639" s="2" t="str">
        <f t="shared" si="730"/>
        <v>UN</v>
      </c>
      <c r="D18639" s="7">
        <v>704</v>
      </c>
      <c r="E18639" s="3">
        <v>9</v>
      </c>
      <c r="F18639" s="3">
        <v>9</v>
      </c>
      <c r="G18639" t="s">
        <v>513</v>
      </c>
    </row>
    <row r="18640" spans="1:7" x14ac:dyDescent="0.25">
      <c r="A18640" s="1" t="str">
        <f>"502010"</f>
        <v>502010</v>
      </c>
      <c r="B18640" s="2" t="str">
        <f>"PORCA 18MM TRAVANTE"</f>
        <v>PORCA 18MM TRAVANTE</v>
      </c>
      <c r="C18640" s="2" t="str">
        <f t="shared" si="730"/>
        <v>UN</v>
      </c>
      <c r="D18640" s="7">
        <v>704</v>
      </c>
      <c r="E18640" s="3">
        <v>9</v>
      </c>
      <c r="F18640" s="3">
        <v>9</v>
      </c>
      <c r="G18640" t="s">
        <v>514</v>
      </c>
    </row>
    <row r="18641" spans="1:7" x14ac:dyDescent="0.25">
      <c r="A18641" s="1" t="str">
        <f>"505649"</f>
        <v>505649</v>
      </c>
      <c r="B18641" s="2" t="str">
        <f>"PORCA 20MM"</f>
        <v>PORCA 20MM</v>
      </c>
      <c r="C18641" s="2" t="str">
        <f t="shared" si="730"/>
        <v>UN</v>
      </c>
      <c r="D18641" s="7">
        <v>704</v>
      </c>
      <c r="E18641" s="3">
        <v>9</v>
      </c>
      <c r="F18641" s="3">
        <v>9</v>
      </c>
      <c r="G18641" t="s">
        <v>514</v>
      </c>
    </row>
    <row r="18642" spans="1:7" x14ac:dyDescent="0.25">
      <c r="A18642" s="1" t="str">
        <f>"513827"</f>
        <v>513827</v>
      </c>
      <c r="B18642" s="2" t="str">
        <f>"PORCA 3/4"</f>
        <v>PORCA 3/4</v>
      </c>
      <c r="C18642" s="2" t="str">
        <f t="shared" si="730"/>
        <v>UN</v>
      </c>
      <c r="D18642" s="7">
        <v>704</v>
      </c>
      <c r="E18642" s="3">
        <v>9</v>
      </c>
      <c r="F18642" s="3">
        <v>9</v>
      </c>
      <c r="G18642" t="s">
        <v>514</v>
      </c>
    </row>
    <row r="18643" spans="1:7" x14ac:dyDescent="0.25">
      <c r="A18643" s="1" t="str">
        <f>"517493"</f>
        <v>517493</v>
      </c>
      <c r="B18643" s="2" t="str">
        <f>"PORCA 3/8 SAE FORJADA"</f>
        <v>PORCA 3/8 SAE FORJADA</v>
      </c>
      <c r="C18643" s="2" t="str">
        <f t="shared" si="730"/>
        <v>UN</v>
      </c>
      <c r="D18643" s="7">
        <v>918</v>
      </c>
      <c r="E18643" s="3">
        <v>10</v>
      </c>
      <c r="F18643" s="3">
        <v>10</v>
      </c>
      <c r="G18643" t="s">
        <v>513</v>
      </c>
    </row>
    <row r="18644" spans="1:7" x14ac:dyDescent="0.25">
      <c r="A18644" s="1" t="str">
        <f>"506388"</f>
        <v>506388</v>
      </c>
      <c r="B18644" s="2" t="str">
        <f>"PORCA 5 MM"</f>
        <v>PORCA 5 MM</v>
      </c>
      <c r="C18644" s="2" t="str">
        <f t="shared" si="730"/>
        <v>UN</v>
      </c>
      <c r="D18644" s="7">
        <v>918</v>
      </c>
      <c r="E18644" s="3">
        <v>11</v>
      </c>
      <c r="F18644" s="3">
        <v>11</v>
      </c>
      <c r="G18644" t="s">
        <v>512</v>
      </c>
    </row>
    <row r="18645" spans="1:7" x14ac:dyDescent="0.25">
      <c r="A18645" s="1" t="str">
        <f>"510186"</f>
        <v>510186</v>
      </c>
      <c r="B18645" s="2" t="str">
        <f>"PORCA 7/16"</f>
        <v>PORCA 7/16</v>
      </c>
      <c r="C18645" s="2" t="str">
        <f t="shared" si="730"/>
        <v>UN</v>
      </c>
      <c r="D18645" s="7">
        <v>918</v>
      </c>
      <c r="E18645" s="3">
        <v>11</v>
      </c>
      <c r="F18645" s="3">
        <v>11</v>
      </c>
      <c r="G18645" t="s">
        <v>513</v>
      </c>
    </row>
    <row r="18646" spans="1:7" x14ac:dyDescent="0.25">
      <c r="A18646" s="1" t="str">
        <f>"520212"</f>
        <v>520212</v>
      </c>
      <c r="B18646" s="2" t="str">
        <f>"PORCA 7/8"</f>
        <v>PORCA 7/8</v>
      </c>
      <c r="C18646" s="2" t="str">
        <f t="shared" si="730"/>
        <v>UN</v>
      </c>
      <c r="D18646" s="7">
        <v>402</v>
      </c>
      <c r="E18646" s="3">
        <v>4</v>
      </c>
      <c r="F18646" s="3">
        <v>4</v>
      </c>
      <c r="G18646" t="s">
        <v>514</v>
      </c>
    </row>
    <row r="18647" spans="1:7" x14ac:dyDescent="0.25">
      <c r="A18647" s="1" t="str">
        <f>"520213"</f>
        <v>520213</v>
      </c>
      <c r="B18647" s="2" t="str">
        <f>"PORCA 9/16"</f>
        <v>PORCA 9/16</v>
      </c>
      <c r="C18647" s="2" t="str">
        <f t="shared" si="730"/>
        <v>UN</v>
      </c>
      <c r="D18647" s="7">
        <v>800</v>
      </c>
      <c r="E18647" s="3">
        <v>4</v>
      </c>
      <c r="F18647" s="3">
        <v>4</v>
      </c>
      <c r="G18647" t="s">
        <v>514</v>
      </c>
    </row>
    <row r="18648" spans="1:7" x14ac:dyDescent="0.25">
      <c r="A18648" s="1" t="str">
        <f>"523539"</f>
        <v>523539</v>
      </c>
      <c r="B18648" s="2" t="str">
        <f>"PORCA AÇO CARBONO BOCROM. 3/4 + ARR. LISA + ARR. PRESSÃO"</f>
        <v>PORCA AÇO CARBONO BOCROM. 3/4 + ARR. LISA + ARR. PRESSÃO</v>
      </c>
      <c r="C18648" s="2" t="str">
        <f t="shared" si="730"/>
        <v>UN</v>
      </c>
      <c r="D18648" s="7">
        <v>807</v>
      </c>
      <c r="E18648" s="3">
        <v>10</v>
      </c>
      <c r="F18648" s="3">
        <v>10</v>
      </c>
      <c r="G18648" t="s">
        <v>514</v>
      </c>
    </row>
    <row r="18649" spans="1:7" x14ac:dyDescent="0.25">
      <c r="A18649" s="1" t="str">
        <f>"523538"</f>
        <v>523538</v>
      </c>
      <c r="B18649" s="2" t="str">
        <f>"PORCA AÇO CARBONO BOCROM. M16 + ARR. LISA + ARR. PRESSÃO"</f>
        <v>PORCA AÇO CARBONO BOCROM. M16 + ARR. LISA + ARR. PRESSÃO</v>
      </c>
      <c r="C18649" s="2" t="str">
        <f t="shared" si="730"/>
        <v>UN</v>
      </c>
      <c r="D18649" s="7">
        <v>807</v>
      </c>
      <c r="E18649" s="3">
        <v>10</v>
      </c>
      <c r="F18649" s="3">
        <v>10</v>
      </c>
      <c r="G18649" t="s">
        <v>513</v>
      </c>
    </row>
    <row r="18650" spans="1:7" x14ac:dyDescent="0.25">
      <c r="A18650" s="1" t="str">
        <f>"521652"</f>
        <v>521652</v>
      </c>
      <c r="B18650" s="2" t="str">
        <f>"PORCA ACO GALV. M6X5 27C/EM50 PN2270700"</f>
        <v>PORCA ACO GALV. M6X5 27C/EM50 PN2270700</v>
      </c>
      <c r="C18650" s="2" t="str">
        <f t="shared" si="730"/>
        <v>UN</v>
      </c>
      <c r="D18650" s="7">
        <v>916</v>
      </c>
      <c r="E18650" s="3">
        <v>10</v>
      </c>
      <c r="F18650" s="3">
        <v>10</v>
      </c>
      <c r="G18650" t="s">
        <v>513</v>
      </c>
    </row>
    <row r="18651" spans="1:7" x14ac:dyDescent="0.25">
      <c r="A18651" s="1" t="str">
        <f>"524881"</f>
        <v>524881</v>
      </c>
      <c r="B18651" s="2" t="str">
        <f>"PORCA ARREBITE M6 INOX"</f>
        <v>PORCA ARREBITE M6 INOX</v>
      </c>
      <c r="C18651" s="2" t="str">
        <f t="shared" si="730"/>
        <v>UN</v>
      </c>
      <c r="D18651" s="7">
        <v>918</v>
      </c>
      <c r="E18651" s="3">
        <v>11</v>
      </c>
      <c r="F18651" s="3">
        <v>11</v>
      </c>
      <c r="G18651" t="s">
        <v>513</v>
      </c>
    </row>
    <row r="18652" spans="1:7" x14ac:dyDescent="0.25">
      <c r="A18652" s="1" t="str">
        <f>"510038"</f>
        <v>510038</v>
      </c>
      <c r="B18652" s="2" t="str">
        <f>"PORCA ASSENTO - 65/CMO MK1/2"</f>
        <v>PORCA ASSENTO - 65/CMO MK1/2</v>
      </c>
      <c r="C18652" s="2" t="str">
        <f t="shared" si="730"/>
        <v>UN</v>
      </c>
      <c r="D18652" s="7">
        <v>918</v>
      </c>
      <c r="E18652" s="3">
        <v>11</v>
      </c>
      <c r="F18652" s="3">
        <v>11</v>
      </c>
      <c r="G18652" t="s">
        <v>512</v>
      </c>
    </row>
    <row r="18653" spans="1:7" x14ac:dyDescent="0.25">
      <c r="A18653" s="1" t="str">
        <f>"504967"</f>
        <v>504967</v>
      </c>
      <c r="B18653" s="2" t="str">
        <f>"PORCA AUTO TRAVA"</f>
        <v>PORCA AUTO TRAVA</v>
      </c>
      <c r="C18653" s="2" t="str">
        <f t="shared" si="730"/>
        <v>UN</v>
      </c>
      <c r="D18653" s="7">
        <v>704</v>
      </c>
      <c r="E18653" s="3">
        <v>9</v>
      </c>
      <c r="F18653" s="3">
        <v>9</v>
      </c>
      <c r="G18653" t="s">
        <v>513</v>
      </c>
    </row>
    <row r="18654" spans="1:7" x14ac:dyDescent="0.25">
      <c r="A18654" s="1" t="str">
        <f>"509084"</f>
        <v>509084</v>
      </c>
      <c r="B18654" s="2" t="str">
        <f>"PORCA AUTO TRAVANTE 009100515"</f>
        <v>PORCA AUTO TRAVANTE 009100515</v>
      </c>
      <c r="C18654" s="2" t="str">
        <f t="shared" si="730"/>
        <v>UN</v>
      </c>
      <c r="D18654" s="7">
        <v>918</v>
      </c>
      <c r="E18654" s="3">
        <v>11</v>
      </c>
      <c r="F18654" s="3">
        <v>11</v>
      </c>
      <c r="G18654" t="s">
        <v>514</v>
      </c>
    </row>
    <row r="18655" spans="1:7" x14ac:dyDescent="0.25">
      <c r="A18655" s="1" t="str">
        <f>"510696"</f>
        <v>510696</v>
      </c>
      <c r="B18655" s="2" t="str">
        <f>"PORCA AUTO TRAVANTE TIPO OVAL 1"""</f>
        <v>PORCA AUTO TRAVANTE TIPO OVAL 1"</v>
      </c>
      <c r="C18655" s="2" t="str">
        <f t="shared" si="730"/>
        <v>UN</v>
      </c>
      <c r="D18655" s="7">
        <v>704</v>
      </c>
      <c r="E18655" s="3">
        <v>9</v>
      </c>
      <c r="F18655" s="3">
        <v>9</v>
      </c>
      <c r="G18655" t="s">
        <v>515</v>
      </c>
    </row>
    <row r="18656" spans="1:7" x14ac:dyDescent="0.25">
      <c r="A18656" s="1" t="str">
        <f>"507809"</f>
        <v>507809</v>
      </c>
      <c r="B18656" s="2" t="str">
        <f>"PORCA BIELA 100 SLE"</f>
        <v>PORCA BIELA 100 SLE</v>
      </c>
      <c r="C18656" s="2" t="str">
        <f t="shared" si="730"/>
        <v>UN</v>
      </c>
      <c r="D18656" s="7">
        <v>918</v>
      </c>
      <c r="E18656" s="3">
        <v>11</v>
      </c>
      <c r="F18656" s="3">
        <v>11</v>
      </c>
      <c r="G18656" t="s">
        <v>512</v>
      </c>
    </row>
    <row r="18657" spans="1:7" x14ac:dyDescent="0.25">
      <c r="A18657" s="1" t="str">
        <f>"510039"</f>
        <v>510039</v>
      </c>
      <c r="B18657" s="2" t="str">
        <f>"PORCA BIELA 65/CMO MK 1/2"</f>
        <v>PORCA BIELA 65/CMO MK 1/2</v>
      </c>
      <c r="C18657" s="2" t="str">
        <f t="shared" si="730"/>
        <v>UN</v>
      </c>
      <c r="D18657" s="7">
        <v>918</v>
      </c>
      <c r="E18657" s="3">
        <v>11</v>
      </c>
      <c r="F18657" s="3">
        <v>11</v>
      </c>
      <c r="G18657" t="s">
        <v>516</v>
      </c>
    </row>
    <row r="18658" spans="1:7" x14ac:dyDescent="0.25">
      <c r="A18658" s="1" t="str">
        <f>"509349"</f>
        <v>509349</v>
      </c>
      <c r="B18658" s="2" t="str">
        <f>"PORCA BIELA A NR.1"</f>
        <v>PORCA BIELA A NR.1</v>
      </c>
      <c r="C18658" s="2" t="str">
        <f t="shared" si="730"/>
        <v>UN</v>
      </c>
      <c r="D18658" s="7">
        <v>918</v>
      </c>
      <c r="E18658" s="3">
        <v>11</v>
      </c>
      <c r="F18658" s="3">
        <v>11</v>
      </c>
      <c r="G18658" t="s">
        <v>515</v>
      </c>
    </row>
    <row r="18659" spans="1:7" x14ac:dyDescent="0.25">
      <c r="A18659" s="1" t="str">
        <f>"509348"</f>
        <v>509348</v>
      </c>
      <c r="B18659" s="2" t="str">
        <f>"PORCA BIELA A NR.2"</f>
        <v>PORCA BIELA A NR.2</v>
      </c>
      <c r="C18659" s="2" t="str">
        <f t="shared" si="730"/>
        <v>UN</v>
      </c>
      <c r="D18659" s="7">
        <v>918</v>
      </c>
      <c r="E18659" s="3">
        <v>11</v>
      </c>
      <c r="F18659" s="3">
        <v>11</v>
      </c>
      <c r="G18659" t="s">
        <v>514</v>
      </c>
    </row>
    <row r="18660" spans="1:7" x14ac:dyDescent="0.25">
      <c r="A18660" s="1" t="str">
        <f>"501723"</f>
        <v>501723</v>
      </c>
      <c r="B18660" s="2" t="str">
        <f>"PORCA BORBOLETA 3/8"</f>
        <v>PORCA BORBOLETA 3/8</v>
      </c>
      <c r="C18660" s="2" t="str">
        <f t="shared" si="730"/>
        <v>UN</v>
      </c>
      <c r="D18660" s="7">
        <v>402</v>
      </c>
      <c r="E18660" s="3">
        <v>4</v>
      </c>
      <c r="F18660" s="3">
        <v>4</v>
      </c>
      <c r="G18660" t="s">
        <v>512</v>
      </c>
    </row>
    <row r="18661" spans="1:7" x14ac:dyDescent="0.25">
      <c r="A18661" s="1" t="str">
        <f>"501722"</f>
        <v>501722</v>
      </c>
      <c r="B18661" s="2" t="str">
        <f>"PORCA BORBOLETA 5/16"</f>
        <v>PORCA BORBOLETA 5/16</v>
      </c>
      <c r="C18661" s="2" t="str">
        <f t="shared" si="730"/>
        <v>UN</v>
      </c>
      <c r="D18661" s="7">
        <v>402</v>
      </c>
      <c r="E18661" s="3">
        <v>4</v>
      </c>
      <c r="F18661" s="3">
        <v>4</v>
      </c>
      <c r="G18661" t="s">
        <v>513</v>
      </c>
    </row>
    <row r="18662" spans="1:7" x14ac:dyDescent="0.25">
      <c r="A18662" s="1" t="str">
        <f>"516036"</f>
        <v>516036</v>
      </c>
      <c r="B18662" s="2" t="str">
        <f>"PORCA BRONZE 1"""</f>
        <v>PORCA BRONZE 1"</v>
      </c>
      <c r="C18662" s="2" t="str">
        <f t="shared" si="730"/>
        <v>UN</v>
      </c>
      <c r="D18662" s="7">
        <v>915</v>
      </c>
      <c r="E18662" s="3">
        <v>11</v>
      </c>
      <c r="F18662" s="3">
        <v>11</v>
      </c>
      <c r="G18662" t="s">
        <v>514</v>
      </c>
    </row>
    <row r="18663" spans="1:7" x14ac:dyDescent="0.25">
      <c r="A18663" s="1" t="str">
        <f>"524277"</f>
        <v>524277</v>
      </c>
      <c r="B18663" s="2" t="str">
        <f>"PORCA BRONZE 3/4"" PLACA TROCADOR DE CALOR"</f>
        <v>PORCA BRONZE 3/4" PLACA TROCADOR DE CALOR</v>
      </c>
      <c r="C18663" s="2" t="str">
        <f t="shared" si="730"/>
        <v>UN</v>
      </c>
      <c r="D18663" s="7">
        <v>915</v>
      </c>
      <c r="E18663" s="3">
        <v>11</v>
      </c>
      <c r="F18663" s="3">
        <v>11</v>
      </c>
      <c r="G18663" t="s">
        <v>514</v>
      </c>
    </row>
    <row r="18664" spans="1:7" x14ac:dyDescent="0.25">
      <c r="A18664" s="1" t="str">
        <f>"502397"</f>
        <v>502397</v>
      </c>
      <c r="B18664" s="2" t="str">
        <f>"PORCA CASTELO 1"</f>
        <v>PORCA CASTELO 1</v>
      </c>
      <c r="C18664" s="2" t="str">
        <f t="shared" si="730"/>
        <v>UN</v>
      </c>
      <c r="D18664" s="7">
        <v>704</v>
      </c>
      <c r="E18664" s="3">
        <v>9</v>
      </c>
      <c r="F18664" s="3">
        <v>9</v>
      </c>
      <c r="G18664" t="s">
        <v>512</v>
      </c>
    </row>
    <row r="18665" spans="1:7" x14ac:dyDescent="0.25">
      <c r="A18665" s="1" t="str">
        <f>"503850"</f>
        <v>503850</v>
      </c>
      <c r="B18665" s="2" t="str">
        <f>"PORCA CILINDRO D54186 COD.10906703"</f>
        <v>PORCA CILINDRO D54186 COD.10906703</v>
      </c>
      <c r="C18665" s="2" t="str">
        <f t="shared" si="730"/>
        <v>UN</v>
      </c>
      <c r="D18665" s="7">
        <v>913</v>
      </c>
      <c r="E18665" s="3">
        <v>11</v>
      </c>
      <c r="F18665" s="3">
        <v>11</v>
      </c>
      <c r="G18665" t="s">
        <v>513</v>
      </c>
    </row>
    <row r="18666" spans="1:7" x14ac:dyDescent="0.25">
      <c r="A18666" s="1" t="str">
        <f>"503872"</f>
        <v>503872</v>
      </c>
      <c r="B18666" s="2" t="str">
        <f>"PORCA CILULAR COD.192283-3"</f>
        <v>PORCA CILULAR COD.192283-3</v>
      </c>
      <c r="C18666" s="2" t="str">
        <f t="shared" si="730"/>
        <v>UN</v>
      </c>
      <c r="D18666" s="7">
        <v>918</v>
      </c>
      <c r="E18666" s="3">
        <v>11</v>
      </c>
      <c r="F18666" s="3">
        <v>11</v>
      </c>
      <c r="G18666" t="s">
        <v>514</v>
      </c>
    </row>
    <row r="18667" spans="1:7" x14ac:dyDescent="0.25">
      <c r="A18667" s="1" t="str">
        <f>"502595"</f>
        <v>502595</v>
      </c>
      <c r="B18667" s="2" t="str">
        <f>"PORCA CIRCULAR RJT 3"""</f>
        <v>PORCA CIRCULAR RJT 3"</v>
      </c>
      <c r="C18667" s="2" t="str">
        <f t="shared" ref="C18667:C18679" si="731">"BR"</f>
        <v>BR</v>
      </c>
      <c r="D18667" s="7">
        <v>807</v>
      </c>
      <c r="E18667" s="3">
        <v>10</v>
      </c>
      <c r="F18667" s="3">
        <v>10</v>
      </c>
      <c r="G18667" t="s">
        <v>514</v>
      </c>
    </row>
    <row r="18668" spans="1:7" x14ac:dyDescent="0.25">
      <c r="A18668" s="1" t="str">
        <f>"520320"</f>
        <v>520320</v>
      </c>
      <c r="B18668" s="2" t="str">
        <f>"PORCA CIRCULAR RJT 304 1"""</f>
        <v>PORCA CIRCULAR RJT 304 1"</v>
      </c>
      <c r="C18668" s="2" t="str">
        <f t="shared" si="731"/>
        <v>BR</v>
      </c>
      <c r="D18668" s="7">
        <v>807</v>
      </c>
      <c r="E18668" s="3">
        <v>10</v>
      </c>
      <c r="F18668" s="3">
        <v>10</v>
      </c>
      <c r="G18668" t="s">
        <v>514</v>
      </c>
    </row>
    <row r="18669" spans="1:7" x14ac:dyDescent="0.25">
      <c r="A18669" s="1" t="str">
        <f>"520319"</f>
        <v>520319</v>
      </c>
      <c r="B18669" s="2" t="str">
        <f>"PORCA CIRCULAR RJT 304 1""1/2"</f>
        <v>PORCA CIRCULAR RJT 304 1"1/2</v>
      </c>
      <c r="C18669" s="2" t="str">
        <f t="shared" si="731"/>
        <v>BR</v>
      </c>
      <c r="D18669" s="7">
        <v>807</v>
      </c>
      <c r="E18669" s="3">
        <v>10</v>
      </c>
      <c r="F18669" s="3">
        <v>10</v>
      </c>
      <c r="G18669" t="s">
        <v>513</v>
      </c>
    </row>
    <row r="18670" spans="1:7" x14ac:dyDescent="0.25">
      <c r="A18670" s="1" t="str">
        <f>"503318"</f>
        <v>503318</v>
      </c>
      <c r="B18670" s="2" t="str">
        <f>"PORCA CIRCULAR RJT 304 2"""</f>
        <v>PORCA CIRCULAR RJT 304 2"</v>
      </c>
      <c r="C18670" s="2" t="str">
        <f t="shared" si="731"/>
        <v>BR</v>
      </c>
      <c r="D18670" s="7">
        <v>807</v>
      </c>
      <c r="E18670" s="3">
        <v>10</v>
      </c>
      <c r="F18670" s="3">
        <v>10</v>
      </c>
      <c r="G18670" t="s">
        <v>512</v>
      </c>
    </row>
    <row r="18671" spans="1:7" x14ac:dyDescent="0.25">
      <c r="A18671" s="1" t="str">
        <f>"520325"</f>
        <v>520325</v>
      </c>
      <c r="B18671" s="2" t="str">
        <f>"PORCA CIRCULAR RJT 304 2"""</f>
        <v>PORCA CIRCULAR RJT 304 2"</v>
      </c>
      <c r="C18671" s="2" t="str">
        <f t="shared" si="731"/>
        <v>BR</v>
      </c>
      <c r="D18671" s="7">
        <v>807</v>
      </c>
      <c r="E18671" s="3">
        <v>10</v>
      </c>
      <c r="F18671" s="3">
        <v>10</v>
      </c>
      <c r="G18671" t="s">
        <v>513</v>
      </c>
    </row>
    <row r="18672" spans="1:7" x14ac:dyDescent="0.25">
      <c r="A18672" s="1" t="str">
        <f>"503373"</f>
        <v>503373</v>
      </c>
      <c r="B18672" s="2" t="str">
        <f>"PORCA CIRCULAR RJT 304 2""1/2"</f>
        <v>PORCA CIRCULAR RJT 304 2"1/2</v>
      </c>
      <c r="C18672" s="2" t="str">
        <f t="shared" si="731"/>
        <v>BR</v>
      </c>
      <c r="D18672" s="7">
        <v>807</v>
      </c>
      <c r="E18672" s="3">
        <v>10</v>
      </c>
      <c r="F18672" s="3">
        <v>10</v>
      </c>
      <c r="G18672" t="s">
        <v>514</v>
      </c>
    </row>
    <row r="18673" spans="1:7" x14ac:dyDescent="0.25">
      <c r="A18673" s="1" t="str">
        <f>"502573"</f>
        <v>502573</v>
      </c>
      <c r="B18673" s="2" t="str">
        <f>"PORCA CIRCULAR SMS 1"""</f>
        <v>PORCA CIRCULAR SMS 1"</v>
      </c>
      <c r="C18673" s="2" t="str">
        <f t="shared" si="731"/>
        <v>BR</v>
      </c>
      <c r="D18673" s="7">
        <v>807</v>
      </c>
      <c r="E18673" s="3">
        <v>10</v>
      </c>
      <c r="F18673" s="3">
        <v>10</v>
      </c>
      <c r="G18673" t="s">
        <v>514</v>
      </c>
    </row>
    <row r="18674" spans="1:7" x14ac:dyDescent="0.25">
      <c r="A18674" s="1" t="str">
        <f>"505373"</f>
        <v>505373</v>
      </c>
      <c r="B18674" s="2" t="str">
        <f>"PORCA CIRCULAR SMS 1""1/2"</f>
        <v>PORCA CIRCULAR SMS 1"1/2</v>
      </c>
      <c r="C18674" s="2" t="str">
        <f t="shared" si="731"/>
        <v>BR</v>
      </c>
      <c r="D18674" s="7">
        <v>807</v>
      </c>
      <c r="E18674" s="3">
        <v>10</v>
      </c>
      <c r="F18674" s="3">
        <v>10</v>
      </c>
      <c r="G18674" t="s">
        <v>514</v>
      </c>
    </row>
    <row r="18675" spans="1:7" x14ac:dyDescent="0.25">
      <c r="A18675" s="1" t="str">
        <f>"502174"</f>
        <v>502174</v>
      </c>
      <c r="B18675" s="2" t="str">
        <f>"PORCA CIRCULAR SMS 2"""</f>
        <v>PORCA CIRCULAR SMS 2"</v>
      </c>
      <c r="C18675" s="2" t="str">
        <f t="shared" si="731"/>
        <v>BR</v>
      </c>
      <c r="D18675" s="7">
        <v>807</v>
      </c>
      <c r="E18675" s="3">
        <v>10</v>
      </c>
      <c r="F18675" s="3">
        <v>10</v>
      </c>
      <c r="G18675" t="s">
        <v>513</v>
      </c>
    </row>
    <row r="18676" spans="1:7" x14ac:dyDescent="0.25">
      <c r="A18676" s="1" t="str">
        <f>"502232"</f>
        <v>502232</v>
      </c>
      <c r="B18676" s="2" t="str">
        <f>"PORCA CIRCULAR SMS 2""1/2"</f>
        <v>PORCA CIRCULAR SMS 2"1/2</v>
      </c>
      <c r="C18676" s="2" t="str">
        <f t="shared" si="731"/>
        <v>BR</v>
      </c>
      <c r="D18676" s="7">
        <v>807</v>
      </c>
      <c r="E18676" s="3">
        <v>10</v>
      </c>
      <c r="F18676" s="3">
        <v>10</v>
      </c>
      <c r="G18676" t="s">
        <v>513</v>
      </c>
    </row>
    <row r="18677" spans="1:7" x14ac:dyDescent="0.25">
      <c r="A18677" s="1" t="str">
        <f>"502108"</f>
        <v>502108</v>
      </c>
      <c r="B18677" s="2" t="str">
        <f>"PORCA CIRCULAR SMS 3"""</f>
        <v>PORCA CIRCULAR SMS 3"</v>
      </c>
      <c r="C18677" s="2" t="str">
        <f t="shared" si="731"/>
        <v>BR</v>
      </c>
      <c r="D18677" s="7">
        <v>807</v>
      </c>
      <c r="E18677" s="3">
        <v>10</v>
      </c>
      <c r="F18677" s="3">
        <v>10</v>
      </c>
      <c r="G18677" t="s">
        <v>513</v>
      </c>
    </row>
    <row r="18678" spans="1:7" x14ac:dyDescent="0.25">
      <c r="A18678" s="1" t="str">
        <f>"505198"</f>
        <v>505198</v>
      </c>
      <c r="B18678" s="2" t="str">
        <f>"PORCA CIRCULAR SMS 4"""</f>
        <v>PORCA CIRCULAR SMS 4"</v>
      </c>
      <c r="C18678" s="2" t="str">
        <f t="shared" si="731"/>
        <v>BR</v>
      </c>
      <c r="D18678" s="7">
        <v>807</v>
      </c>
      <c r="E18678" s="3">
        <v>10</v>
      </c>
      <c r="F18678" s="3">
        <v>10</v>
      </c>
      <c r="G18678" t="s">
        <v>512</v>
      </c>
    </row>
    <row r="18679" spans="1:7" x14ac:dyDescent="0.25">
      <c r="A18679" s="1" t="str">
        <f>"511966"</f>
        <v>511966</v>
      </c>
      <c r="B18679" s="2" t="str">
        <f>"PORCA CIRCULAR SMS 6"""</f>
        <v>PORCA CIRCULAR SMS 6"</v>
      </c>
      <c r="C18679" s="2" t="str">
        <f t="shared" si="731"/>
        <v>BR</v>
      </c>
      <c r="D18679" s="7">
        <v>807</v>
      </c>
      <c r="E18679" s="3">
        <v>10</v>
      </c>
      <c r="F18679" s="3">
        <v>10</v>
      </c>
      <c r="G18679" t="s">
        <v>513</v>
      </c>
    </row>
    <row r="18680" spans="1:7" x14ac:dyDescent="0.25">
      <c r="A18680" s="1" t="str">
        <f>"521648"</f>
        <v>521648</v>
      </c>
      <c r="B18680" s="2" t="str">
        <f>"PORCA DE ACO GALV. M6X6 23C/EM50 PN2273400"</f>
        <v>PORCA DE ACO GALV. M6X6 23C/EM50 PN2273400</v>
      </c>
      <c r="C18680" s="2" t="str">
        <f>"UN"</f>
        <v>UN</v>
      </c>
      <c r="D18680" s="7">
        <v>916</v>
      </c>
      <c r="E18680" s="3">
        <v>10</v>
      </c>
      <c r="F18680" s="3">
        <v>10</v>
      </c>
      <c r="G18680" t="s">
        <v>514</v>
      </c>
    </row>
    <row r="18681" spans="1:7" x14ac:dyDescent="0.25">
      <c r="A18681" s="1" t="str">
        <f>"521790"</f>
        <v>521790</v>
      </c>
      <c r="B18681" s="2" t="str">
        <f>"PORCA DE FIXAÇÃO DO BLOCO"</f>
        <v>PORCA DE FIXAÇÃO DO BLOCO</v>
      </c>
      <c r="C18681" s="2" t="str">
        <f>"UN"</f>
        <v>UN</v>
      </c>
      <c r="D18681" s="7">
        <v>918</v>
      </c>
      <c r="E18681" s="3">
        <v>11</v>
      </c>
      <c r="F18681" s="3">
        <v>11</v>
      </c>
      <c r="G18681" t="s">
        <v>515</v>
      </c>
    </row>
    <row r="18682" spans="1:7" x14ac:dyDescent="0.25">
      <c r="A18682" s="1" t="str">
        <f>"511776"</f>
        <v>511776</v>
      </c>
      <c r="B18682" s="2" t="str">
        <f>"PORCA DESCARGA IGE 00140"</f>
        <v>PORCA DESCARGA IGE 00140</v>
      </c>
      <c r="C18682" s="2" t="str">
        <f>"UN"</f>
        <v>UN</v>
      </c>
      <c r="D18682" s="7">
        <v>918</v>
      </c>
      <c r="E18682" s="3">
        <v>11</v>
      </c>
      <c r="F18682" s="3">
        <v>11</v>
      </c>
      <c r="G18682" t="s">
        <v>512</v>
      </c>
    </row>
    <row r="18683" spans="1:7" x14ac:dyDescent="0.25">
      <c r="A18683" s="1" t="str">
        <f>"502258"</f>
        <v>502258</v>
      </c>
      <c r="B18683" s="2" t="str">
        <f>"PORCA DIN DE 2"""</f>
        <v>PORCA DIN DE 2"</v>
      </c>
      <c r="C18683" s="2" t="str">
        <f>"BR"</f>
        <v>BR</v>
      </c>
      <c r="D18683" s="7">
        <v>807</v>
      </c>
      <c r="E18683" s="3">
        <v>10</v>
      </c>
      <c r="F18683" s="3">
        <v>10</v>
      </c>
      <c r="G18683" t="s">
        <v>516</v>
      </c>
    </row>
    <row r="18684" spans="1:7" x14ac:dyDescent="0.25">
      <c r="A18684" s="1" t="str">
        <f>"513370"</f>
        <v>513370</v>
      </c>
      <c r="B18684" s="2" t="str">
        <f>"PORCA DO CARDAN 1 1/4"</f>
        <v>PORCA DO CARDAN 1 1/4</v>
      </c>
      <c r="C18684" s="2" t="str">
        <f t="shared" ref="C18684:C18701" si="732">"UN"</f>
        <v>UN</v>
      </c>
      <c r="D18684" s="7">
        <v>704</v>
      </c>
      <c r="E18684" s="3">
        <v>9</v>
      </c>
      <c r="F18684" s="3">
        <v>9</v>
      </c>
      <c r="G18684" t="s">
        <v>515</v>
      </c>
    </row>
    <row r="18685" spans="1:7" x14ac:dyDescent="0.25">
      <c r="A18685" s="1" t="str">
        <f>"520288"</f>
        <v>520288</v>
      </c>
      <c r="B18685" s="8" t="s">
        <v>123</v>
      </c>
      <c r="C18685" s="2" t="str">
        <f t="shared" si="732"/>
        <v>UN</v>
      </c>
      <c r="D18685" s="7">
        <v>918</v>
      </c>
      <c r="E18685" s="3">
        <v>10</v>
      </c>
      <c r="F18685" s="3">
        <v>10</v>
      </c>
      <c r="G18685" t="s">
        <v>514</v>
      </c>
    </row>
    <row r="18686" spans="1:7" x14ac:dyDescent="0.25">
      <c r="A18686" s="1" t="str">
        <f>"503646"</f>
        <v>503646</v>
      </c>
      <c r="B18686" s="2" t="str">
        <f>"PORCA DO EIXO PORTA COPO BRASKOP 2000"</f>
        <v>PORCA DO EIXO PORTA COPO BRASKOP 2000</v>
      </c>
      <c r="C18686" s="2" t="str">
        <f t="shared" si="732"/>
        <v>UN</v>
      </c>
      <c r="D18686" s="7">
        <v>918</v>
      </c>
      <c r="E18686" s="3">
        <v>11</v>
      </c>
      <c r="F18686" s="3">
        <v>11</v>
      </c>
      <c r="G18686" t="s">
        <v>512</v>
      </c>
    </row>
    <row r="18687" spans="1:7" x14ac:dyDescent="0.25">
      <c r="A18687" s="1" t="str">
        <f>"503924"</f>
        <v>503924</v>
      </c>
      <c r="B18687" s="2" t="str">
        <f>"PORCA DO EIXO TRACAO EMPILHADEIRA"</f>
        <v>PORCA DO EIXO TRACAO EMPILHADEIRA</v>
      </c>
      <c r="C18687" s="2" t="str">
        <f t="shared" si="732"/>
        <v>UN</v>
      </c>
      <c r="D18687" s="7">
        <v>918</v>
      </c>
      <c r="E18687" s="3">
        <v>11</v>
      </c>
      <c r="F18687" s="3">
        <v>11</v>
      </c>
      <c r="G18687" t="s">
        <v>513</v>
      </c>
    </row>
    <row r="18688" spans="1:7" x14ac:dyDescent="0.25">
      <c r="A18688" s="1" t="str">
        <f>"504357"</f>
        <v>504357</v>
      </c>
      <c r="B18688" s="2" t="str">
        <f>"PORCA ENGATE AUTOMAICO"</f>
        <v>PORCA ENGATE AUTOMAICO</v>
      </c>
      <c r="C18688" s="2" t="str">
        <f t="shared" si="732"/>
        <v>UN</v>
      </c>
      <c r="D18688" s="7">
        <v>704</v>
      </c>
      <c r="E18688" s="3">
        <v>9</v>
      </c>
      <c r="F18688" s="3">
        <v>9</v>
      </c>
      <c r="G18688" t="s">
        <v>514</v>
      </c>
    </row>
    <row r="18689" spans="1:7" x14ac:dyDescent="0.25">
      <c r="A18689" s="1" t="str">
        <f>"509685"</f>
        <v>509685</v>
      </c>
      <c r="B18689" s="2" t="str">
        <f>"PORCA INOX 1/8"""</f>
        <v>PORCA INOX 1/8"</v>
      </c>
      <c r="C18689" s="2" t="str">
        <f t="shared" si="732"/>
        <v>UN</v>
      </c>
      <c r="D18689" s="7">
        <v>402</v>
      </c>
      <c r="E18689" s="3">
        <v>4</v>
      </c>
      <c r="F18689" s="3">
        <v>4</v>
      </c>
      <c r="G18689" t="s">
        <v>514</v>
      </c>
    </row>
    <row r="18690" spans="1:7" x14ac:dyDescent="0.25">
      <c r="A18690" s="1" t="str">
        <f>"508337"</f>
        <v>508337</v>
      </c>
      <c r="B18690" s="2" t="str">
        <f>"PORCA INOX 11G 5/8"" ROSCA ESQUERDA"</f>
        <v>PORCA INOX 11G 5/8" ROSCA ESQUERDA</v>
      </c>
      <c r="C18690" s="2" t="str">
        <f t="shared" si="732"/>
        <v>UN</v>
      </c>
      <c r="D18690" s="7">
        <v>402</v>
      </c>
      <c r="E18690" s="3">
        <v>4</v>
      </c>
      <c r="F18690" s="3">
        <v>4</v>
      </c>
      <c r="G18690" t="s">
        <v>512</v>
      </c>
    </row>
    <row r="18691" spans="1:7" x14ac:dyDescent="0.25">
      <c r="A18691" s="1" t="str">
        <f>"523218"</f>
        <v>523218</v>
      </c>
      <c r="B18691" s="2" t="str">
        <f>"PORCA INOX 3/8"</f>
        <v>PORCA INOX 3/8</v>
      </c>
      <c r="C18691" s="2" t="str">
        <f t="shared" si="732"/>
        <v>UN</v>
      </c>
      <c r="D18691" s="7">
        <v>917</v>
      </c>
      <c r="E18691" s="3">
        <v>10</v>
      </c>
      <c r="F18691" s="3">
        <v>10</v>
      </c>
      <c r="G18691" t="s">
        <v>513</v>
      </c>
    </row>
    <row r="18692" spans="1:7" x14ac:dyDescent="0.25">
      <c r="A18692" s="1" t="str">
        <f>"506858"</f>
        <v>506858</v>
      </c>
      <c r="B18692" s="2" t="str">
        <f>"PORCA INOX MA 10X1,5 CH17"</f>
        <v>PORCA INOX MA 10X1,5 CH17</v>
      </c>
      <c r="C18692" s="2" t="str">
        <f t="shared" si="732"/>
        <v>UN</v>
      </c>
      <c r="D18692" s="7">
        <v>402</v>
      </c>
      <c r="E18692" s="3">
        <v>4</v>
      </c>
      <c r="F18692" s="3">
        <v>4</v>
      </c>
      <c r="G18692" t="s">
        <v>514</v>
      </c>
    </row>
    <row r="18693" spans="1:7" x14ac:dyDescent="0.25">
      <c r="A18693" s="1" t="str">
        <f>"506859"</f>
        <v>506859</v>
      </c>
      <c r="B18693" s="2" t="str">
        <f>"PORCA INOX MA 5X0,8 CH8"</f>
        <v>PORCA INOX MA 5X0,8 CH8</v>
      </c>
      <c r="C18693" s="2" t="str">
        <f t="shared" si="732"/>
        <v>UN</v>
      </c>
      <c r="D18693" s="7">
        <v>402</v>
      </c>
      <c r="E18693" s="3">
        <v>4</v>
      </c>
      <c r="F18693" s="3">
        <v>4</v>
      </c>
      <c r="G18693" t="s">
        <v>514</v>
      </c>
    </row>
    <row r="18694" spans="1:7" x14ac:dyDescent="0.25">
      <c r="A18694" s="1" t="str">
        <f>"506865"</f>
        <v>506865</v>
      </c>
      <c r="B18694" s="2" t="str">
        <f>"PORCA INOX MA4X0,7 CH7"</f>
        <v>PORCA INOX MA4X0,7 CH7</v>
      </c>
      <c r="C18694" s="2" t="str">
        <f t="shared" si="732"/>
        <v>UN</v>
      </c>
      <c r="D18694" s="7">
        <v>402</v>
      </c>
      <c r="E18694" s="3">
        <v>4</v>
      </c>
      <c r="F18694" s="3">
        <v>4</v>
      </c>
      <c r="G18694" t="s">
        <v>514</v>
      </c>
    </row>
    <row r="18695" spans="1:7" x14ac:dyDescent="0.25">
      <c r="A18695" s="1" t="str">
        <f>"505546"</f>
        <v>505546</v>
      </c>
      <c r="B18695" s="2" t="str">
        <f>"PORCA KM 06"</f>
        <v>PORCA KM 06</v>
      </c>
      <c r="C18695" s="2" t="str">
        <f t="shared" si="732"/>
        <v>UN</v>
      </c>
      <c r="D18695" s="7">
        <v>1300</v>
      </c>
      <c r="E18695" s="3">
        <v>13</v>
      </c>
      <c r="F18695" s="3">
        <v>13</v>
      </c>
      <c r="G18695" t="s">
        <v>513</v>
      </c>
    </row>
    <row r="18696" spans="1:7" x14ac:dyDescent="0.25">
      <c r="A18696" s="1" t="str">
        <f>"510571"</f>
        <v>510571</v>
      </c>
      <c r="B18696" s="2" t="str">
        <f>"PORCA LATAO 1/2"""</f>
        <v>PORCA LATAO 1/2"</v>
      </c>
      <c r="C18696" s="2" t="str">
        <f t="shared" si="732"/>
        <v>UN</v>
      </c>
      <c r="D18696" s="7">
        <v>600</v>
      </c>
      <c r="E18696" s="3">
        <v>8</v>
      </c>
      <c r="F18696" s="3">
        <v>8</v>
      </c>
      <c r="G18696" t="s">
        <v>512</v>
      </c>
    </row>
    <row r="18697" spans="1:7" x14ac:dyDescent="0.25">
      <c r="A18697" s="1" t="str">
        <f>"510401"</f>
        <v>510401</v>
      </c>
      <c r="B18697" s="2" t="str">
        <f>"PORCA LATAO 1/4"""</f>
        <v>PORCA LATAO 1/4"</v>
      </c>
      <c r="C18697" s="2" t="str">
        <f t="shared" si="732"/>
        <v>UN</v>
      </c>
      <c r="D18697" s="7">
        <v>99999</v>
      </c>
      <c r="E18697" s="3">
        <v>99</v>
      </c>
      <c r="F18697" s="3">
        <v>99</v>
      </c>
      <c r="G18697" t="s">
        <v>513</v>
      </c>
    </row>
    <row r="18698" spans="1:7" x14ac:dyDescent="0.25">
      <c r="A18698" s="1" t="str">
        <f>"511493"</f>
        <v>511493</v>
      </c>
      <c r="B18698" s="2" t="str">
        <f>"PORCA LATAO 1/8"""</f>
        <v>PORCA LATAO 1/8"</v>
      </c>
      <c r="C18698" s="2" t="str">
        <f t="shared" si="732"/>
        <v>UN</v>
      </c>
      <c r="D18698" s="7">
        <v>600</v>
      </c>
      <c r="E18698" s="3">
        <v>8</v>
      </c>
      <c r="F18698" s="3">
        <v>8</v>
      </c>
      <c r="G18698" t="s">
        <v>514</v>
      </c>
    </row>
    <row r="18699" spans="1:7" x14ac:dyDescent="0.25">
      <c r="A18699" s="1" t="str">
        <f>"510292"</f>
        <v>510292</v>
      </c>
      <c r="B18699" s="2" t="str">
        <f>"PORCA LATAO 3/16"""</f>
        <v>PORCA LATAO 3/16"</v>
      </c>
      <c r="C18699" s="2" t="str">
        <f t="shared" si="732"/>
        <v>UN</v>
      </c>
      <c r="D18699" s="7">
        <v>99999</v>
      </c>
      <c r="E18699" s="3">
        <v>99</v>
      </c>
      <c r="F18699" s="3">
        <v>99</v>
      </c>
      <c r="G18699" t="s">
        <v>514</v>
      </c>
    </row>
    <row r="18700" spans="1:7" x14ac:dyDescent="0.25">
      <c r="A18700" s="1" t="str">
        <f>"511494"</f>
        <v>511494</v>
      </c>
      <c r="B18700" s="2" t="str">
        <f>"PORCA LATAO 3/8"""</f>
        <v>PORCA LATAO 3/8"</v>
      </c>
      <c r="C18700" s="2" t="str">
        <f t="shared" si="732"/>
        <v>UN</v>
      </c>
      <c r="D18700" s="7">
        <v>99999</v>
      </c>
      <c r="E18700" s="3">
        <v>99</v>
      </c>
      <c r="F18700" s="3">
        <v>99</v>
      </c>
      <c r="G18700" t="s">
        <v>514</v>
      </c>
    </row>
    <row r="18701" spans="1:7" x14ac:dyDescent="0.25">
      <c r="A18701" s="1" t="str">
        <f>"515821"</f>
        <v>515821</v>
      </c>
      <c r="B18701" s="2" t="str">
        <f>"PORCA LATÃO 5/16"""</f>
        <v>PORCA LATÃO 5/16"</v>
      </c>
      <c r="C18701" s="2" t="str">
        <f t="shared" si="732"/>
        <v>UN</v>
      </c>
      <c r="D18701" s="7">
        <v>99999</v>
      </c>
      <c r="E18701" s="3">
        <v>99</v>
      </c>
      <c r="F18701" s="3">
        <v>99</v>
      </c>
      <c r="G18701" t="s">
        <v>513</v>
      </c>
    </row>
    <row r="18702" spans="1:7" x14ac:dyDescent="0.25">
      <c r="A18702" s="1" t="str">
        <f>"506906"</f>
        <v>506906</v>
      </c>
      <c r="B18702" s="2" t="str">
        <f>"PORCA M10 - INOX"</f>
        <v>PORCA M10 - INOX</v>
      </c>
      <c r="C18702" s="2" t="str">
        <f>"PC"</f>
        <v>PC</v>
      </c>
      <c r="D18702" s="7">
        <v>800</v>
      </c>
      <c r="E18702" s="3">
        <v>10</v>
      </c>
      <c r="F18702" s="3">
        <v>10</v>
      </c>
      <c r="G18702" t="s">
        <v>513</v>
      </c>
    </row>
    <row r="18703" spans="1:7" x14ac:dyDescent="0.25">
      <c r="A18703" s="1" t="str">
        <f>"511235"</f>
        <v>511235</v>
      </c>
      <c r="B18703" s="2" t="str">
        <f>"PORCA M12 - INOX"</f>
        <v>PORCA M12 - INOX</v>
      </c>
      <c r="C18703" s="2" t="str">
        <f t="shared" ref="C18703:C18719" si="733">"UN"</f>
        <v>UN</v>
      </c>
      <c r="D18703" s="7">
        <v>918</v>
      </c>
      <c r="E18703" s="3">
        <v>11</v>
      </c>
      <c r="F18703" s="3">
        <v>11</v>
      </c>
      <c r="G18703" t="s">
        <v>513</v>
      </c>
    </row>
    <row r="18704" spans="1:7" x14ac:dyDescent="0.25">
      <c r="A18704" s="1" t="str">
        <f>"518748"</f>
        <v>518748</v>
      </c>
      <c r="B18704" s="2" t="str">
        <f>"PORCA M16 - INOX"</f>
        <v>PORCA M16 - INOX</v>
      </c>
      <c r="C18704" s="2" t="str">
        <f t="shared" si="733"/>
        <v>UN</v>
      </c>
      <c r="D18704" s="7">
        <v>99999</v>
      </c>
      <c r="E18704" s="3">
        <v>99</v>
      </c>
      <c r="F18704" s="3">
        <v>99</v>
      </c>
      <c r="G18704" t="s">
        <v>512</v>
      </c>
    </row>
    <row r="18705" spans="1:7" x14ac:dyDescent="0.25">
      <c r="A18705" s="1" t="str">
        <f>"520108"</f>
        <v>520108</v>
      </c>
      <c r="B18705" s="2" t="str">
        <f>"PORCA M16 - INOX"</f>
        <v>PORCA M16 - INOX</v>
      </c>
      <c r="C18705" s="2" t="str">
        <f t="shared" si="733"/>
        <v>UN</v>
      </c>
      <c r="D18705" s="7">
        <v>918</v>
      </c>
      <c r="E18705" s="3">
        <v>11</v>
      </c>
      <c r="F18705" s="3">
        <v>11</v>
      </c>
      <c r="G18705" t="s">
        <v>513</v>
      </c>
    </row>
    <row r="18706" spans="1:7" x14ac:dyDescent="0.25">
      <c r="A18706" s="1" t="str">
        <f>"507878"</f>
        <v>507878</v>
      </c>
      <c r="B18706" s="2" t="str">
        <f>"PORCA M3 - INOX"</f>
        <v>PORCA M3 - INOX</v>
      </c>
      <c r="C18706" s="2" t="str">
        <f t="shared" si="733"/>
        <v>UN</v>
      </c>
      <c r="D18706" s="7">
        <v>402</v>
      </c>
      <c r="E18706" s="3">
        <v>4</v>
      </c>
      <c r="F18706" s="3">
        <v>4</v>
      </c>
      <c r="G18706" t="s">
        <v>514</v>
      </c>
    </row>
    <row r="18707" spans="1:7" x14ac:dyDescent="0.25">
      <c r="A18707" s="1" t="str">
        <f>"507068"</f>
        <v>507068</v>
      </c>
      <c r="B18707" s="2" t="str">
        <f>"PORCA M4 - INOX"</f>
        <v>PORCA M4 - INOX</v>
      </c>
      <c r="C18707" s="2" t="str">
        <f t="shared" si="733"/>
        <v>UN</v>
      </c>
      <c r="D18707" s="7">
        <v>99999</v>
      </c>
      <c r="E18707" s="3">
        <v>99</v>
      </c>
      <c r="F18707" s="3">
        <v>99</v>
      </c>
      <c r="G18707" t="s">
        <v>515</v>
      </c>
    </row>
    <row r="18708" spans="1:7" x14ac:dyDescent="0.25">
      <c r="A18708" s="1" t="str">
        <f>"506860"</f>
        <v>506860</v>
      </c>
      <c r="B18708" s="2" t="str">
        <f>"PORCA M5 - INOX"</f>
        <v>PORCA M5 - INOX</v>
      </c>
      <c r="C18708" s="2" t="str">
        <f t="shared" si="733"/>
        <v>UN</v>
      </c>
      <c r="D18708" s="7">
        <v>99999</v>
      </c>
      <c r="E18708" s="3">
        <v>99</v>
      </c>
      <c r="F18708" s="3">
        <v>99</v>
      </c>
      <c r="G18708" t="s">
        <v>512</v>
      </c>
    </row>
    <row r="18709" spans="1:7" x14ac:dyDescent="0.25">
      <c r="A18709" s="1" t="str">
        <f>"527543"</f>
        <v>527543</v>
      </c>
      <c r="B18709" s="2" t="str">
        <f>"PORCA M50 ESQUERDA PORTA FACAS"</f>
        <v>PORCA M50 ESQUERDA PORTA FACAS</v>
      </c>
      <c r="C18709" s="2" t="str">
        <f t="shared" si="733"/>
        <v>UN</v>
      </c>
      <c r="D18709" s="7">
        <v>99999</v>
      </c>
      <c r="E18709" s="3">
        <v>99</v>
      </c>
      <c r="F18709" s="3">
        <v>99</v>
      </c>
      <c r="G18709" t="s">
        <v>516</v>
      </c>
    </row>
    <row r="18710" spans="1:7" x14ac:dyDescent="0.25">
      <c r="A18710" s="1" t="str">
        <f>"506905"</f>
        <v>506905</v>
      </c>
      <c r="B18710" s="2" t="str">
        <f>"PORCA M6 - INOX"</f>
        <v>PORCA M6 - INOX</v>
      </c>
      <c r="C18710" s="2" t="str">
        <f t="shared" si="733"/>
        <v>UN</v>
      </c>
      <c r="D18710" s="7">
        <v>99999</v>
      </c>
      <c r="E18710" s="3">
        <v>99</v>
      </c>
      <c r="F18710" s="3">
        <v>99</v>
      </c>
      <c r="G18710" t="s">
        <v>515</v>
      </c>
    </row>
    <row r="18711" spans="1:7" x14ac:dyDescent="0.25">
      <c r="A18711" s="1" t="str">
        <f>"500948"</f>
        <v>500948</v>
      </c>
      <c r="B18711" s="2" t="str">
        <f>"PORCA M8 - INOX"</f>
        <v>PORCA M8 - INOX</v>
      </c>
      <c r="C18711" s="2" t="str">
        <f t="shared" si="733"/>
        <v>UN</v>
      </c>
      <c r="D18711" s="7">
        <v>99999</v>
      </c>
      <c r="E18711" s="3">
        <v>99</v>
      </c>
      <c r="F18711" s="3">
        <v>99</v>
      </c>
      <c r="G18711" t="s">
        <v>514</v>
      </c>
    </row>
    <row r="18712" spans="1:7" x14ac:dyDescent="0.25">
      <c r="A18712" s="1" t="str">
        <f>"502956"</f>
        <v>502956</v>
      </c>
      <c r="B18712" s="2" t="str">
        <f>"PORCA METAL 1/2 P/ REFRIGERAÇAO"</f>
        <v>PORCA METAL 1/2 P/ REFRIGERAÇAO</v>
      </c>
      <c r="C18712" s="2" t="str">
        <f t="shared" si="733"/>
        <v>UN</v>
      </c>
      <c r="D18712" s="7">
        <v>818</v>
      </c>
      <c r="E18712" s="3">
        <v>10</v>
      </c>
      <c r="F18712" s="3">
        <v>10</v>
      </c>
      <c r="G18712" t="s">
        <v>512</v>
      </c>
    </row>
    <row r="18713" spans="1:7" x14ac:dyDescent="0.25">
      <c r="A18713" s="1" t="str">
        <f>"502957"</f>
        <v>502957</v>
      </c>
      <c r="B18713" s="2" t="str">
        <f>"PORCA METAL 3/4 P/ REFRIGERAÇAO"</f>
        <v>PORCA METAL 3/4 P/ REFRIGERAÇAO</v>
      </c>
      <c r="C18713" s="2" t="str">
        <f t="shared" si="733"/>
        <v>UN</v>
      </c>
      <c r="D18713" s="7">
        <v>818</v>
      </c>
      <c r="E18713" s="3">
        <v>10</v>
      </c>
      <c r="F18713" s="3">
        <v>10</v>
      </c>
      <c r="G18713" t="s">
        <v>513</v>
      </c>
    </row>
    <row r="18714" spans="1:7" x14ac:dyDescent="0.25">
      <c r="A18714" s="1" t="str">
        <f>"502955"</f>
        <v>502955</v>
      </c>
      <c r="B18714" s="2" t="str">
        <f>"PORCA METAL 3/8 P/ REFRIGERAÇAO"</f>
        <v>PORCA METAL 3/8 P/ REFRIGERAÇAO</v>
      </c>
      <c r="C18714" s="2" t="str">
        <f t="shared" si="733"/>
        <v>UN</v>
      </c>
      <c r="D18714" s="7">
        <v>818</v>
      </c>
      <c r="E18714" s="3">
        <v>10</v>
      </c>
      <c r="F18714" s="3">
        <v>10</v>
      </c>
      <c r="G18714" t="s">
        <v>514</v>
      </c>
    </row>
    <row r="18715" spans="1:7" x14ac:dyDescent="0.25">
      <c r="A18715" s="1" t="str">
        <f>"502954"</f>
        <v>502954</v>
      </c>
      <c r="B18715" s="2" t="str">
        <f>"PORCA METAL 5/16 P/ REFRIGERAÇAO"</f>
        <v>PORCA METAL 5/16 P/ REFRIGERAÇAO</v>
      </c>
      <c r="C18715" s="2" t="str">
        <f t="shared" si="733"/>
        <v>UN</v>
      </c>
      <c r="D18715" s="7">
        <v>818</v>
      </c>
      <c r="E18715" s="3">
        <v>10</v>
      </c>
      <c r="F18715" s="3">
        <v>10</v>
      </c>
      <c r="G18715" t="s">
        <v>514</v>
      </c>
    </row>
    <row r="18716" spans="1:7" x14ac:dyDescent="0.25">
      <c r="A18716" s="1" t="str">
        <f>"505943"</f>
        <v>505943</v>
      </c>
      <c r="B18716" s="2" t="str">
        <f>"PORCA METAL 5/8 P/ REFRIGERACAO"</f>
        <v>PORCA METAL 5/8 P/ REFRIGERACAO</v>
      </c>
      <c r="C18716" s="2" t="str">
        <f t="shared" si="733"/>
        <v>UN</v>
      </c>
      <c r="D18716" s="7">
        <v>818</v>
      </c>
      <c r="E18716" s="3">
        <v>10</v>
      </c>
      <c r="F18716" s="3">
        <v>10</v>
      </c>
      <c r="G18716" t="s">
        <v>512</v>
      </c>
    </row>
    <row r="18717" spans="1:7" x14ac:dyDescent="0.25">
      <c r="A18717" s="1" t="str">
        <f>"505115"</f>
        <v>505115</v>
      </c>
      <c r="B18717" s="2" t="str">
        <f>"PORCA P/ REGULADOR PRESSÃO  PRECISÃO"</f>
        <v>PORCA P/ REGULADOR PRESSÃO  PRECISÃO</v>
      </c>
      <c r="C18717" s="2" t="str">
        <f t="shared" si="733"/>
        <v>UN</v>
      </c>
      <c r="D18717" s="7">
        <v>918</v>
      </c>
      <c r="E18717" s="3">
        <v>11</v>
      </c>
      <c r="F18717" s="3">
        <v>11</v>
      </c>
      <c r="G18717" t="s">
        <v>513</v>
      </c>
    </row>
    <row r="18718" spans="1:7" x14ac:dyDescent="0.25">
      <c r="A18718" s="1" t="str">
        <f>"526787"</f>
        <v>526787</v>
      </c>
      <c r="B18718" s="2" t="str">
        <f>"PORCA PARLOCK - 3/16 INOX"</f>
        <v>PORCA PARLOCK - 3/16 INOX</v>
      </c>
      <c r="C18718" s="2" t="str">
        <f t="shared" si="733"/>
        <v>UN</v>
      </c>
      <c r="D18718" s="7">
        <v>402</v>
      </c>
      <c r="E18718" s="3">
        <v>4</v>
      </c>
      <c r="F18718" s="3">
        <v>4</v>
      </c>
      <c r="G18718" t="s">
        <v>514</v>
      </c>
    </row>
    <row r="18719" spans="1:7" x14ac:dyDescent="0.25">
      <c r="A18719" s="1" t="str">
        <f>"524256"</f>
        <v>524256</v>
      </c>
      <c r="B18719" s="2" t="str">
        <f>"PORCA PARLOCK M05 - INOX"</f>
        <v>PORCA PARLOCK M05 - INOX</v>
      </c>
      <c r="C18719" s="2" t="str">
        <f t="shared" si="733"/>
        <v>UN</v>
      </c>
      <c r="D18719" s="7">
        <v>99999</v>
      </c>
      <c r="E18719" s="3">
        <v>99</v>
      </c>
      <c r="F18719" s="3">
        <v>99</v>
      </c>
      <c r="G18719" t="s">
        <v>514</v>
      </c>
    </row>
    <row r="18720" spans="1:7" x14ac:dyDescent="0.25">
      <c r="A18720" s="1" t="str">
        <f>"512576"</f>
        <v>512576</v>
      </c>
      <c r="B18720" s="2" t="str">
        <f>"PORCA PARLOCK M10 INOX"</f>
        <v>PORCA PARLOCK M10 INOX</v>
      </c>
      <c r="C18720" s="2" t="str">
        <f>"KG"</f>
        <v>KG</v>
      </c>
      <c r="D18720" s="7">
        <v>800</v>
      </c>
      <c r="E18720" s="3">
        <v>10</v>
      </c>
      <c r="F18720" s="3">
        <v>10</v>
      </c>
      <c r="G18720" t="s">
        <v>514</v>
      </c>
    </row>
    <row r="18721" spans="1:7" x14ac:dyDescent="0.25">
      <c r="A18721" s="1" t="str">
        <f>"524599"</f>
        <v>524599</v>
      </c>
      <c r="B18721" s="2" t="str">
        <f>"PORCA PARLOCK M6 - INOX"</f>
        <v>PORCA PARLOCK M6 - INOX</v>
      </c>
      <c r="C18721" s="2" t="str">
        <f>"UN"</f>
        <v>UN</v>
      </c>
      <c r="D18721" s="7">
        <v>99999</v>
      </c>
      <c r="E18721" s="3">
        <v>99</v>
      </c>
      <c r="F18721" s="3">
        <v>99</v>
      </c>
      <c r="G18721" t="s">
        <v>513</v>
      </c>
    </row>
    <row r="18722" spans="1:7" x14ac:dyDescent="0.25">
      <c r="A18722" s="1" t="str">
        <f>"512575"</f>
        <v>512575</v>
      </c>
      <c r="B18722" s="2" t="str">
        <f>"PORCA PARLOCK M8 INOX"</f>
        <v>PORCA PARLOCK M8 INOX</v>
      </c>
      <c r="C18722" s="2" t="str">
        <f>"KG"</f>
        <v>KG</v>
      </c>
      <c r="D18722" s="7">
        <v>800</v>
      </c>
      <c r="E18722" s="3">
        <v>10</v>
      </c>
      <c r="F18722" s="3">
        <v>10</v>
      </c>
      <c r="G18722" t="s">
        <v>512</v>
      </c>
    </row>
    <row r="18723" spans="1:7" x14ac:dyDescent="0.25">
      <c r="A18723" s="1" t="str">
        <f>"521610"</f>
        <v>521610</v>
      </c>
      <c r="B18723" s="2" t="str">
        <f>"PORCA PARLOCK ZINCADO  1/2"</f>
        <v>PORCA PARLOCK ZINCADO  1/2</v>
      </c>
      <c r="C18723" s="2" t="str">
        <f>"KG"</f>
        <v>KG</v>
      </c>
      <c r="D18723" s="7">
        <v>800</v>
      </c>
      <c r="E18723" s="3">
        <v>10</v>
      </c>
      <c r="F18723" s="3">
        <v>10</v>
      </c>
      <c r="G18723" t="s">
        <v>513</v>
      </c>
    </row>
    <row r="18724" spans="1:7" x14ac:dyDescent="0.25">
      <c r="A18724" s="1" t="str">
        <f>"503091"</f>
        <v>503091</v>
      </c>
      <c r="B18724" s="2" t="str">
        <f>"PORCA PRISIONEIRO TURBINA 14220"</f>
        <v>PORCA PRISIONEIRO TURBINA 14220</v>
      </c>
      <c r="C18724" s="2" t="str">
        <f t="shared" ref="C18724:C18755" si="734">"UN"</f>
        <v>UN</v>
      </c>
      <c r="D18724" s="7">
        <v>704</v>
      </c>
      <c r="E18724" s="3">
        <v>9</v>
      </c>
      <c r="F18724" s="3">
        <v>9</v>
      </c>
      <c r="G18724" t="s">
        <v>514</v>
      </c>
    </row>
    <row r="18725" spans="1:7" x14ac:dyDescent="0.25">
      <c r="A18725" s="1" t="str">
        <f>"517079"</f>
        <v>517079</v>
      </c>
      <c r="B18725" s="2" t="str">
        <f>"PORCA RECARTILHADA HMR"</f>
        <v>PORCA RECARTILHADA HMR</v>
      </c>
      <c r="C18725" s="2" t="str">
        <f t="shared" si="734"/>
        <v>UN</v>
      </c>
      <c r="D18725" s="7">
        <v>913</v>
      </c>
      <c r="E18725" s="3">
        <v>11</v>
      </c>
      <c r="F18725" s="3">
        <v>11</v>
      </c>
      <c r="G18725" t="s">
        <v>514</v>
      </c>
    </row>
    <row r="18726" spans="1:7" x14ac:dyDescent="0.25">
      <c r="A18726" s="1" t="str">
        <f>"509143"</f>
        <v>509143</v>
      </c>
      <c r="B18726" s="2" t="str">
        <f>"PORCA REFRIGERAÇAO 1/2"</f>
        <v>PORCA REFRIGERAÇAO 1/2</v>
      </c>
      <c r="C18726" s="2" t="str">
        <f t="shared" si="734"/>
        <v>UN</v>
      </c>
      <c r="D18726" s="7">
        <v>818</v>
      </c>
      <c r="E18726" s="3">
        <v>10</v>
      </c>
      <c r="F18726" s="3">
        <v>10</v>
      </c>
      <c r="G18726" t="s">
        <v>514</v>
      </c>
    </row>
    <row r="18727" spans="1:7" x14ac:dyDescent="0.25">
      <c r="A18727" s="1" t="str">
        <f>"509009"</f>
        <v>509009</v>
      </c>
      <c r="B18727" s="2" t="str">
        <f>"PORCA REFRIGERAÇAO 1/4"</f>
        <v>PORCA REFRIGERAÇAO 1/4</v>
      </c>
      <c r="C18727" s="2" t="str">
        <f t="shared" si="734"/>
        <v>UN</v>
      </c>
      <c r="D18727" s="7">
        <v>818</v>
      </c>
      <c r="E18727" s="3">
        <v>10</v>
      </c>
      <c r="F18727" s="3">
        <v>10</v>
      </c>
      <c r="G18727" t="s">
        <v>513</v>
      </c>
    </row>
    <row r="18728" spans="1:7" x14ac:dyDescent="0.25">
      <c r="A18728" s="1" t="str">
        <f>"508965"</f>
        <v>508965</v>
      </c>
      <c r="B18728" s="2" t="str">
        <f>"PORCA REFRIGERAÇAO 3/4"</f>
        <v>PORCA REFRIGERAÇAO 3/4</v>
      </c>
      <c r="C18728" s="2" t="str">
        <f t="shared" si="734"/>
        <v>UN</v>
      </c>
      <c r="D18728" s="7">
        <v>402</v>
      </c>
      <c r="E18728" s="3">
        <v>4</v>
      </c>
      <c r="F18728" s="3">
        <v>4</v>
      </c>
      <c r="G18728" t="s">
        <v>513</v>
      </c>
    </row>
    <row r="18729" spans="1:7" x14ac:dyDescent="0.25">
      <c r="A18729" s="1" t="str">
        <f>"504968"</f>
        <v>504968</v>
      </c>
      <c r="B18729" s="2" t="str">
        <f>"PORCA RODA C/ ARRUELA"</f>
        <v>PORCA RODA C/ ARRUELA</v>
      </c>
      <c r="C18729" s="2" t="str">
        <f t="shared" si="734"/>
        <v>UN</v>
      </c>
      <c r="D18729" s="7">
        <v>704</v>
      </c>
      <c r="E18729" s="3">
        <v>9</v>
      </c>
      <c r="F18729" s="3">
        <v>9</v>
      </c>
      <c r="G18729" t="s">
        <v>513</v>
      </c>
    </row>
    <row r="18730" spans="1:7" x14ac:dyDescent="0.25">
      <c r="A18730" s="1" t="str">
        <f>"527004"</f>
        <v>527004</v>
      </c>
      <c r="B18730" s="2" t="str">
        <f>"PORCA RODA PAMPA"</f>
        <v>PORCA RODA PAMPA</v>
      </c>
      <c r="C18730" s="2" t="str">
        <f t="shared" si="734"/>
        <v>UN</v>
      </c>
      <c r="D18730" s="7">
        <v>704</v>
      </c>
      <c r="E18730" s="3">
        <v>9</v>
      </c>
      <c r="F18730" s="3">
        <v>9</v>
      </c>
      <c r="G18730" t="s">
        <v>512</v>
      </c>
    </row>
    <row r="18731" spans="1:7" x14ac:dyDescent="0.25">
      <c r="A18731" s="1" t="str">
        <f>"502022"</f>
        <v>502022</v>
      </c>
      <c r="B18731" s="2" t="str">
        <f>"PORCA SEGUR M14X"</f>
        <v>PORCA SEGUR M14X</v>
      </c>
      <c r="C18731" s="2" t="str">
        <f t="shared" si="734"/>
        <v>UN</v>
      </c>
      <c r="D18731" s="7">
        <v>704</v>
      </c>
      <c r="E18731" s="3">
        <v>9</v>
      </c>
      <c r="F18731" s="3">
        <v>9</v>
      </c>
      <c r="G18731" t="s">
        <v>513</v>
      </c>
    </row>
    <row r="18732" spans="1:7" x14ac:dyDescent="0.25">
      <c r="A18732" s="1" t="str">
        <f>"527160"</f>
        <v>527160</v>
      </c>
      <c r="B18732" s="2" t="str">
        <f>"PORCA SEXTAVADA 3/4 INOX AUTROTRAVANTE COM NYLON"</f>
        <v>PORCA SEXTAVADA 3/4 INOX AUTROTRAVANTE COM NYLON</v>
      </c>
      <c r="C18732" s="2" t="str">
        <f t="shared" si="734"/>
        <v>UN</v>
      </c>
      <c r="D18732" s="7">
        <v>402</v>
      </c>
      <c r="E18732" s="3">
        <v>4</v>
      </c>
      <c r="F18732" s="3">
        <v>4</v>
      </c>
      <c r="G18732" t="s">
        <v>514</v>
      </c>
    </row>
    <row r="18733" spans="1:7" x14ac:dyDescent="0.25">
      <c r="A18733" s="1" t="str">
        <f>"509674"</f>
        <v>509674</v>
      </c>
      <c r="B18733" s="2" t="str">
        <f>"PORCA SEXTAVADA 3/8"</f>
        <v>PORCA SEXTAVADA 3/8</v>
      </c>
      <c r="C18733" s="2" t="str">
        <f t="shared" si="734"/>
        <v>UN</v>
      </c>
      <c r="D18733" s="7">
        <v>402</v>
      </c>
      <c r="E18733" s="3">
        <v>4</v>
      </c>
      <c r="F18733" s="3">
        <v>4</v>
      </c>
      <c r="G18733" t="s">
        <v>515</v>
      </c>
    </row>
    <row r="18734" spans="1:7" x14ac:dyDescent="0.25">
      <c r="A18734" s="1" t="str">
        <f>"510686"</f>
        <v>510686</v>
      </c>
      <c r="B18734" s="2" t="str">
        <f>"PORCA SEXTAVADA 5/8"</f>
        <v>PORCA SEXTAVADA 5/8</v>
      </c>
      <c r="C18734" s="2" t="str">
        <f t="shared" si="734"/>
        <v>UN</v>
      </c>
      <c r="D18734" s="7">
        <v>918</v>
      </c>
      <c r="E18734" s="3">
        <v>11</v>
      </c>
      <c r="F18734" s="3">
        <v>11</v>
      </c>
      <c r="G18734" t="s">
        <v>512</v>
      </c>
    </row>
    <row r="18735" spans="1:7" x14ac:dyDescent="0.25">
      <c r="A18735" s="1" t="str">
        <f>"518905"</f>
        <v>518905</v>
      </c>
      <c r="B18735" s="2" t="str">
        <f>"PORCA SEXTAVADA BICROMATIZADA 5/16"""</f>
        <v>PORCA SEXTAVADA BICROMATIZADA 5/16"</v>
      </c>
      <c r="C18735" s="2" t="str">
        <f t="shared" si="734"/>
        <v>UN</v>
      </c>
      <c r="D18735" s="7">
        <v>811</v>
      </c>
      <c r="E18735" s="3">
        <v>8</v>
      </c>
      <c r="F18735" s="3">
        <v>8</v>
      </c>
      <c r="G18735" t="s">
        <v>516</v>
      </c>
    </row>
    <row r="18736" spans="1:7" x14ac:dyDescent="0.25">
      <c r="A18736" s="1" t="str">
        <f>"527166"</f>
        <v>527166</v>
      </c>
      <c r="B18736" s="2" t="str">
        <f>"PORCA SEXTAVADA INOX AUTOTRAVANTE 1/4"</f>
        <v>PORCA SEXTAVADA INOX AUTOTRAVANTE 1/4</v>
      </c>
      <c r="C18736" s="2" t="str">
        <f t="shared" si="734"/>
        <v>UN</v>
      </c>
      <c r="D18736" s="7">
        <v>800</v>
      </c>
      <c r="E18736" s="3">
        <v>10</v>
      </c>
      <c r="F18736" s="3">
        <v>10</v>
      </c>
      <c r="G18736" t="s">
        <v>515</v>
      </c>
    </row>
    <row r="18737" spans="1:7" x14ac:dyDescent="0.25">
      <c r="A18737" s="1" t="str">
        <f>"527162"</f>
        <v>527162</v>
      </c>
      <c r="B18737" s="2" t="str">
        <f>"PORCA SEXTAVADA INOX AUTOTRAVANTE COM NYLON 1/2"</f>
        <v>PORCA SEXTAVADA INOX AUTOTRAVANTE COM NYLON 1/2</v>
      </c>
      <c r="C18737" s="2" t="str">
        <f t="shared" si="734"/>
        <v>UN</v>
      </c>
      <c r="D18737" s="7">
        <v>800</v>
      </c>
      <c r="E18737" s="3">
        <v>10</v>
      </c>
      <c r="F18737" s="3">
        <v>10</v>
      </c>
      <c r="G18737" t="s">
        <v>514</v>
      </c>
    </row>
    <row r="18738" spans="1:7" x14ac:dyDescent="0.25">
      <c r="A18738" s="1" t="str">
        <f>"509796"</f>
        <v>509796</v>
      </c>
      <c r="B18738" s="2" t="str">
        <f>"PORCA SEXTAVADA LATAO P PARAF SEXT 1/2"</f>
        <v>PORCA SEXTAVADA LATAO P PARAF SEXT 1/2</v>
      </c>
      <c r="C18738" s="2" t="str">
        <f t="shared" si="734"/>
        <v>UN</v>
      </c>
      <c r="D18738" s="7">
        <v>918</v>
      </c>
      <c r="E18738" s="3">
        <v>11</v>
      </c>
      <c r="F18738" s="3">
        <v>11</v>
      </c>
      <c r="G18738" t="s">
        <v>512</v>
      </c>
    </row>
    <row r="18739" spans="1:7" x14ac:dyDescent="0.25">
      <c r="A18739" s="1" t="str">
        <f>"509675"</f>
        <v>509675</v>
      </c>
      <c r="B18739" s="2" t="str">
        <f>"PORCA SEXTAVADA ZINC 1/4"""</f>
        <v>PORCA SEXTAVADA ZINC 1/4"</v>
      </c>
      <c r="C18739" s="2" t="str">
        <f t="shared" si="734"/>
        <v>UN</v>
      </c>
      <c r="D18739" s="7">
        <v>402</v>
      </c>
      <c r="E18739" s="3">
        <v>4</v>
      </c>
      <c r="F18739" s="3">
        <v>4</v>
      </c>
      <c r="G18739" t="s">
        <v>513</v>
      </c>
    </row>
    <row r="18740" spans="1:7" x14ac:dyDescent="0.25">
      <c r="A18740" s="1" t="str">
        <f>"505730"</f>
        <v>505730</v>
      </c>
      <c r="B18740" s="2" t="str">
        <f>"PORCA SEXTAVADO 1/4"" REF.130114"</f>
        <v>PORCA SEXTAVADO 1/4" REF.130114</v>
      </c>
      <c r="C18740" s="2" t="str">
        <f t="shared" si="734"/>
        <v>UN</v>
      </c>
      <c r="D18740" s="7">
        <v>402</v>
      </c>
      <c r="E18740" s="3">
        <v>4</v>
      </c>
      <c r="F18740" s="3">
        <v>4</v>
      </c>
      <c r="G18740" t="s">
        <v>514</v>
      </c>
    </row>
    <row r="18741" spans="1:7" x14ac:dyDescent="0.25">
      <c r="A18741" s="1" t="str">
        <f>"519839"</f>
        <v>519839</v>
      </c>
      <c r="B18741" s="2" t="str">
        <f>"PORCA SEXTAVADO INOX 1/2"</f>
        <v>PORCA SEXTAVADO INOX 1/2</v>
      </c>
      <c r="C18741" s="2" t="str">
        <f t="shared" si="734"/>
        <v>UN</v>
      </c>
      <c r="D18741" s="7">
        <v>704</v>
      </c>
      <c r="E18741" s="3">
        <v>9</v>
      </c>
      <c r="F18741" s="3">
        <v>9</v>
      </c>
      <c r="G18741" t="s">
        <v>514</v>
      </c>
    </row>
    <row r="18742" spans="1:7" x14ac:dyDescent="0.25">
      <c r="A18742" s="1" t="str">
        <f>"502950"</f>
        <v>502950</v>
      </c>
      <c r="B18742" s="2" t="str">
        <f>"PORCA SEXTAVADO INOX 10MM"</f>
        <v>PORCA SEXTAVADO INOX 10MM</v>
      </c>
      <c r="C18742" s="2" t="str">
        <f t="shared" si="734"/>
        <v>UN</v>
      </c>
      <c r="D18742" s="7">
        <v>99999</v>
      </c>
      <c r="E18742" s="3">
        <v>99</v>
      </c>
      <c r="F18742" s="3">
        <v>99</v>
      </c>
      <c r="G18742" t="s">
        <v>512</v>
      </c>
    </row>
    <row r="18743" spans="1:7" x14ac:dyDescent="0.25">
      <c r="A18743" s="1" t="str">
        <f>"501859"</f>
        <v>501859</v>
      </c>
      <c r="B18743" s="2" t="str">
        <f>"PORCA SEXTAVADO INOX 12MM"</f>
        <v>PORCA SEXTAVADO INOX 12MM</v>
      </c>
      <c r="C18743" s="2" t="str">
        <f t="shared" si="734"/>
        <v>UN</v>
      </c>
      <c r="D18743" s="7">
        <v>704</v>
      </c>
      <c r="E18743" s="3">
        <v>9</v>
      </c>
      <c r="F18743" s="3">
        <v>9</v>
      </c>
      <c r="G18743" t="s">
        <v>513</v>
      </c>
    </row>
    <row r="18744" spans="1:7" x14ac:dyDescent="0.25">
      <c r="A18744" s="1" t="str">
        <f>"500949"</f>
        <v>500949</v>
      </c>
      <c r="B18744" s="2" t="str">
        <f>"PORCA SEXTAVADO INOX 3/16"</f>
        <v>PORCA SEXTAVADO INOX 3/16</v>
      </c>
      <c r="C18744" s="2" t="str">
        <f t="shared" si="734"/>
        <v>UN</v>
      </c>
      <c r="D18744" s="7">
        <v>402</v>
      </c>
      <c r="E18744" s="3">
        <v>4</v>
      </c>
      <c r="F18744" s="3">
        <v>4</v>
      </c>
      <c r="G18744" t="s">
        <v>514</v>
      </c>
    </row>
    <row r="18745" spans="1:7" x14ac:dyDescent="0.25">
      <c r="A18745" s="1" t="str">
        <f>"522340"</f>
        <v>522340</v>
      </c>
      <c r="B18745" s="2" t="str">
        <f>"PORCA SEXTAVADO INOX 3/8"</f>
        <v>PORCA SEXTAVADO INOX 3/8</v>
      </c>
      <c r="C18745" s="2" t="str">
        <f t="shared" si="734"/>
        <v>UN</v>
      </c>
      <c r="D18745" s="7">
        <v>402</v>
      </c>
      <c r="E18745" s="3">
        <v>4</v>
      </c>
      <c r="F18745" s="3">
        <v>4</v>
      </c>
      <c r="G18745" t="s">
        <v>514</v>
      </c>
    </row>
    <row r="18746" spans="1:7" x14ac:dyDescent="0.25">
      <c r="A18746" s="1" t="str">
        <f>"500945"</f>
        <v>500945</v>
      </c>
      <c r="B18746" s="2" t="str">
        <f>"PORCA SEXTAVADO INOX 4MM"</f>
        <v>PORCA SEXTAVADO INOX 4MM</v>
      </c>
      <c r="C18746" s="2" t="str">
        <f t="shared" si="734"/>
        <v>UN</v>
      </c>
      <c r="D18746" s="7">
        <v>402</v>
      </c>
      <c r="E18746" s="3">
        <v>4</v>
      </c>
      <c r="F18746" s="3">
        <v>4</v>
      </c>
      <c r="G18746" t="s">
        <v>514</v>
      </c>
    </row>
    <row r="18747" spans="1:7" x14ac:dyDescent="0.25">
      <c r="A18747" s="1" t="str">
        <f>"503146"</f>
        <v>503146</v>
      </c>
      <c r="B18747" s="2" t="str">
        <f>"PORCA SEXTAVADO INOX 5/16"</f>
        <v>PORCA SEXTAVADO INOX 5/16</v>
      </c>
      <c r="C18747" s="2" t="str">
        <f t="shared" si="734"/>
        <v>UN</v>
      </c>
      <c r="D18747" s="7">
        <v>402</v>
      </c>
      <c r="E18747" s="3">
        <v>4</v>
      </c>
      <c r="F18747" s="3">
        <v>4</v>
      </c>
      <c r="G18747" t="s">
        <v>513</v>
      </c>
    </row>
    <row r="18748" spans="1:7" x14ac:dyDescent="0.25">
      <c r="A18748" s="1" t="str">
        <f>"527781"</f>
        <v>527781</v>
      </c>
      <c r="B18748" s="2" t="str">
        <f>"PORCA SEXTAVADO INOX 5/8"</f>
        <v>PORCA SEXTAVADO INOX 5/8</v>
      </c>
      <c r="C18748" s="2" t="str">
        <f t="shared" si="734"/>
        <v>UN</v>
      </c>
      <c r="D18748" s="7">
        <v>402</v>
      </c>
      <c r="E18748" s="3">
        <v>4</v>
      </c>
      <c r="F18748" s="3">
        <v>4</v>
      </c>
      <c r="G18748" t="s">
        <v>512</v>
      </c>
    </row>
    <row r="18749" spans="1:7" x14ac:dyDescent="0.25">
      <c r="A18749" s="1" t="str">
        <f>"500946"</f>
        <v>500946</v>
      </c>
      <c r="B18749" s="2" t="str">
        <f>"PORCA SEXTAVADO INOX 5MM"</f>
        <v>PORCA SEXTAVADO INOX 5MM</v>
      </c>
      <c r="C18749" s="2" t="str">
        <f t="shared" si="734"/>
        <v>UN</v>
      </c>
      <c r="D18749" s="7">
        <v>402</v>
      </c>
      <c r="E18749" s="3">
        <v>4</v>
      </c>
      <c r="F18749" s="3">
        <v>4</v>
      </c>
      <c r="G18749" t="s">
        <v>513</v>
      </c>
    </row>
    <row r="18750" spans="1:7" x14ac:dyDescent="0.25">
      <c r="A18750" s="1" t="str">
        <f>"500947"</f>
        <v>500947</v>
      </c>
      <c r="B18750" s="2" t="str">
        <f>"PORCA SEXTAVADO INOX 6MM"</f>
        <v>PORCA SEXTAVADO INOX 6MM</v>
      </c>
      <c r="C18750" s="2" t="str">
        <f t="shared" si="734"/>
        <v>UN</v>
      </c>
      <c r="D18750" s="7">
        <v>402</v>
      </c>
      <c r="E18750" s="3">
        <v>4</v>
      </c>
      <c r="F18750" s="3">
        <v>4</v>
      </c>
      <c r="G18750" t="s">
        <v>514</v>
      </c>
    </row>
    <row r="18751" spans="1:7" x14ac:dyDescent="0.25">
      <c r="A18751" s="1" t="str">
        <f>"513828"</f>
        <v>513828</v>
      </c>
      <c r="B18751" s="2" t="str">
        <f>"PORCA TAMPA SUPERIOR"</f>
        <v>PORCA TAMPA SUPERIOR</v>
      </c>
      <c r="C18751" s="2" t="str">
        <f t="shared" si="734"/>
        <v>UN</v>
      </c>
      <c r="D18751" s="7">
        <v>99999</v>
      </c>
      <c r="E18751" s="3">
        <v>99</v>
      </c>
      <c r="F18751" s="3">
        <v>99</v>
      </c>
      <c r="G18751" t="s">
        <v>514</v>
      </c>
    </row>
    <row r="18752" spans="1:7" x14ac:dyDescent="0.25">
      <c r="A18752" s="1" t="str">
        <f>"501935"</f>
        <v>501935</v>
      </c>
      <c r="B18752" s="2" t="str">
        <f>"PORCA TRAVA DA FBRE EMPILHADEIRA TOYOTA"</f>
        <v>PORCA TRAVA DA FBRE EMPILHADEIRA TOYOTA</v>
      </c>
      <c r="C18752" s="2" t="str">
        <f t="shared" si="734"/>
        <v>UN</v>
      </c>
      <c r="D18752" s="7">
        <v>918</v>
      </c>
      <c r="E18752" s="3">
        <v>11</v>
      </c>
      <c r="F18752" s="3">
        <v>11</v>
      </c>
      <c r="G18752" t="s">
        <v>514</v>
      </c>
    </row>
    <row r="18753" spans="1:7" x14ac:dyDescent="0.25">
      <c r="A18753" s="1" t="str">
        <f>"502995"</f>
        <v>502995</v>
      </c>
      <c r="B18753" s="2" t="str">
        <f>"PORCA TRAVANTE INOX 5/16 REF.30400330"</f>
        <v>PORCA TRAVANTE INOX 5/16 REF.30400330</v>
      </c>
      <c r="C18753" s="2" t="str">
        <f t="shared" si="734"/>
        <v>UN</v>
      </c>
      <c r="D18753" s="7">
        <v>402</v>
      </c>
      <c r="E18753" s="3">
        <v>4</v>
      </c>
      <c r="F18753" s="3">
        <v>4</v>
      </c>
      <c r="G18753" t="s">
        <v>513</v>
      </c>
    </row>
    <row r="18754" spans="1:7" x14ac:dyDescent="0.25">
      <c r="A18754" s="1" t="str">
        <f>"526974"</f>
        <v>526974</v>
      </c>
      <c r="B18754" s="2" t="str">
        <f>"PORCA TROCADOR DE CALOR"</f>
        <v>PORCA TROCADOR DE CALOR</v>
      </c>
      <c r="C18754" s="2" t="str">
        <f t="shared" si="734"/>
        <v>UN</v>
      </c>
      <c r="D18754" s="7">
        <v>901</v>
      </c>
      <c r="E18754" s="3">
        <v>10</v>
      </c>
      <c r="F18754" s="3">
        <v>10</v>
      </c>
      <c r="G18754" t="s">
        <v>513</v>
      </c>
    </row>
    <row r="18755" spans="1:7" x14ac:dyDescent="0.25">
      <c r="A18755" s="1" t="str">
        <f>"520109"</f>
        <v>520109</v>
      </c>
      <c r="B18755" s="2" t="str">
        <f>"PORCA ZINCADO 1/2"</f>
        <v>PORCA ZINCADO 1/2</v>
      </c>
      <c r="C18755" s="2" t="str">
        <f t="shared" si="734"/>
        <v>UN</v>
      </c>
      <c r="D18755" s="7">
        <v>918</v>
      </c>
      <c r="E18755" s="3">
        <v>11</v>
      </c>
      <c r="F18755" s="3">
        <v>11</v>
      </c>
      <c r="G18755" t="s">
        <v>513</v>
      </c>
    </row>
    <row r="18756" spans="1:7" x14ac:dyDescent="0.25">
      <c r="A18756" s="1" t="str">
        <f>"512902"</f>
        <v>512902</v>
      </c>
      <c r="B18756" s="2" t="str">
        <f>"PORÇÃO"</f>
        <v>PORÇÃO</v>
      </c>
      <c r="C18756" s="2" t="str">
        <f t="shared" ref="C18756:C18787" si="735">"UN"</f>
        <v>UN</v>
      </c>
      <c r="D18756" s="7">
        <v>99999</v>
      </c>
      <c r="E18756" s="3">
        <v>99</v>
      </c>
      <c r="F18756" s="3">
        <v>99</v>
      </c>
      <c r="G18756" t="s">
        <v>512</v>
      </c>
    </row>
    <row r="18757" spans="1:7" x14ac:dyDescent="0.25">
      <c r="A18757" s="1" t="str">
        <f>"518669"</f>
        <v>518669</v>
      </c>
      <c r="B18757" s="2" t="str">
        <f>"PORCO"</f>
        <v>PORCO</v>
      </c>
      <c r="C18757" s="2" t="str">
        <f t="shared" si="735"/>
        <v>UN</v>
      </c>
      <c r="D18757" s="7">
        <v>99999</v>
      </c>
      <c r="E18757" s="3">
        <v>99</v>
      </c>
      <c r="F18757" s="3">
        <v>99</v>
      </c>
      <c r="G18757" t="s">
        <v>513</v>
      </c>
    </row>
    <row r="18758" spans="1:7" x14ac:dyDescent="0.25">
      <c r="A18758" s="1" t="str">
        <f>"514600"</f>
        <v>514600</v>
      </c>
      <c r="B18758" s="2" t="str">
        <f>"PORTA"</f>
        <v>PORTA</v>
      </c>
      <c r="C18758" s="2" t="str">
        <f t="shared" si="735"/>
        <v>UN</v>
      </c>
      <c r="D18758" s="7">
        <v>803</v>
      </c>
      <c r="E18758" s="3">
        <v>10</v>
      </c>
      <c r="F18758" s="3">
        <v>10</v>
      </c>
      <c r="G18758" t="s">
        <v>514</v>
      </c>
    </row>
    <row r="18759" spans="1:7" x14ac:dyDescent="0.25">
      <c r="A18759" s="1" t="str">
        <f>"525314"</f>
        <v>525314</v>
      </c>
      <c r="B18759" s="2" t="str">
        <f>"PORTA ALUMINIO ACABADA MED. 700X2100MM"</f>
        <v>PORTA ALUMINIO ACABADA MED. 700X2100MM</v>
      </c>
      <c r="C18759" s="2" t="str">
        <f t="shared" si="735"/>
        <v>UN</v>
      </c>
      <c r="D18759" s="7">
        <v>99999</v>
      </c>
      <c r="E18759" s="3">
        <v>99</v>
      </c>
      <c r="F18759" s="3">
        <v>99</v>
      </c>
      <c r="G18759" t="s">
        <v>515</v>
      </c>
    </row>
    <row r="18760" spans="1:7" x14ac:dyDescent="0.25">
      <c r="A18760" s="1" t="str">
        <f>"522020"</f>
        <v>522020</v>
      </c>
      <c r="B18760" s="2" t="str">
        <f>"PORTA ALUMINIO CORRER L-90CM BRANCA"</f>
        <v>PORTA ALUMINIO CORRER L-90CM BRANCA</v>
      </c>
      <c r="C18760" s="2" t="str">
        <f t="shared" si="735"/>
        <v>UN</v>
      </c>
      <c r="D18760" s="7">
        <v>917</v>
      </c>
      <c r="E18760" s="3">
        <v>10</v>
      </c>
      <c r="F18760" s="3">
        <v>10</v>
      </c>
      <c r="G18760" t="s">
        <v>512</v>
      </c>
    </row>
    <row r="18761" spans="1:7" x14ac:dyDescent="0.25">
      <c r="A18761" s="1" t="str">
        <f>"522019"</f>
        <v>522019</v>
      </c>
      <c r="B18761" s="2" t="str">
        <f>"PORTA ALUMINIO GIRO L-80CM DIREITA BRANCA"</f>
        <v>PORTA ALUMINIO GIRO L-80CM DIREITA BRANCA</v>
      </c>
      <c r="C18761" s="2" t="str">
        <f t="shared" si="735"/>
        <v>UN</v>
      </c>
      <c r="D18761" s="7">
        <v>917</v>
      </c>
      <c r="E18761" s="3">
        <v>10</v>
      </c>
      <c r="F18761" s="3">
        <v>10</v>
      </c>
      <c r="G18761" t="s">
        <v>516</v>
      </c>
    </row>
    <row r="18762" spans="1:7" x14ac:dyDescent="0.25">
      <c r="A18762" s="1" t="str">
        <f>"512905"</f>
        <v>512905</v>
      </c>
      <c r="B18762" s="2" t="str">
        <f>"PORTA ALUMINIO VENEZIANA ALFIT SASAZAKI 78411031"</f>
        <v>PORTA ALUMINIO VENEZIANA ALFIT SASAZAKI 78411031</v>
      </c>
      <c r="C18762" s="2" t="str">
        <f t="shared" si="735"/>
        <v>UN</v>
      </c>
      <c r="D18762" s="7">
        <v>1700</v>
      </c>
      <c r="E18762" s="3">
        <v>10</v>
      </c>
      <c r="F18762" s="3">
        <v>10</v>
      </c>
      <c r="G18762" t="s">
        <v>515</v>
      </c>
    </row>
    <row r="18763" spans="1:7" x14ac:dyDescent="0.25">
      <c r="A18763" s="1" t="str">
        <f>"509808"</f>
        <v>509808</v>
      </c>
      <c r="B18763" s="2" t="str">
        <f>"PORTA ALVARA"</f>
        <v>PORTA ALVARA</v>
      </c>
      <c r="C18763" s="2" t="str">
        <f t="shared" si="735"/>
        <v>UN</v>
      </c>
      <c r="D18763" s="7">
        <v>401</v>
      </c>
      <c r="E18763" s="3">
        <v>4</v>
      </c>
      <c r="F18763" s="3">
        <v>4</v>
      </c>
      <c r="G18763" t="s">
        <v>514</v>
      </c>
    </row>
    <row r="18764" spans="1:7" x14ac:dyDescent="0.25">
      <c r="A18764" s="1" t="str">
        <f>"522308"</f>
        <v>522308</v>
      </c>
      <c r="B18764" s="2" t="str">
        <f>"PORTA AUT. FRIGOISO 2,5 X 3 MT C/ INV. FREQ."</f>
        <v>PORTA AUT. FRIGOISO 2,5 X 3 MT C/ INV. FREQ.</v>
      </c>
      <c r="C18764" s="2" t="str">
        <f t="shared" si="735"/>
        <v>UN</v>
      </c>
      <c r="D18764" s="7">
        <v>913</v>
      </c>
      <c r="E18764" s="3">
        <v>10</v>
      </c>
      <c r="F18764" s="3">
        <v>10</v>
      </c>
      <c r="G18764" t="s">
        <v>512</v>
      </c>
    </row>
    <row r="18765" spans="1:7" x14ac:dyDescent="0.25">
      <c r="A18765" s="1" t="str">
        <f>"522264"</f>
        <v>522264</v>
      </c>
      <c r="B18765" s="2" t="str">
        <f>"PORTA AUTOMATICA RP 2,5 X 3 MT"</f>
        <v>PORTA AUTOMATICA RP 2,5 X 3 MT</v>
      </c>
      <c r="C18765" s="2" t="str">
        <f t="shared" si="735"/>
        <v>UN</v>
      </c>
      <c r="D18765" s="7">
        <v>99999</v>
      </c>
      <c r="E18765" s="3">
        <v>99</v>
      </c>
      <c r="F18765" s="3">
        <v>99</v>
      </c>
      <c r="G18765" t="s">
        <v>513</v>
      </c>
    </row>
    <row r="18766" spans="1:7" x14ac:dyDescent="0.25">
      <c r="A18766" s="1" t="str">
        <f>"523368"</f>
        <v>523368</v>
      </c>
      <c r="B18766" s="2" t="str">
        <f>"PORTA AUTOMÁTICA RP X-FORCE - LARG. 2.500 X 3.000 ALT."</f>
        <v>PORTA AUTOMÁTICA RP X-FORCE - LARG. 2.500 X 3.000 ALT.</v>
      </c>
      <c r="C18766" s="2" t="str">
        <f t="shared" si="735"/>
        <v>UN</v>
      </c>
      <c r="D18766" s="7">
        <v>803</v>
      </c>
      <c r="E18766" s="3">
        <v>10</v>
      </c>
      <c r="F18766" s="3">
        <v>10</v>
      </c>
      <c r="G18766" t="s">
        <v>514</v>
      </c>
    </row>
    <row r="18767" spans="1:7" x14ac:dyDescent="0.25">
      <c r="A18767" s="1" t="str">
        <f>"500392"</f>
        <v>500392</v>
      </c>
      <c r="B18767" s="2" t="str">
        <f>"PORTA CADEADO 2"" (PEQUENO)"</f>
        <v>PORTA CADEADO 2" (PEQUENO)</v>
      </c>
      <c r="C18767" s="2" t="str">
        <f t="shared" si="735"/>
        <v>UN</v>
      </c>
      <c r="D18767" s="7">
        <v>403</v>
      </c>
      <c r="E18767" s="3">
        <v>4</v>
      </c>
      <c r="F18767" s="3">
        <v>4</v>
      </c>
      <c r="G18767" t="s">
        <v>514</v>
      </c>
    </row>
    <row r="18768" spans="1:7" x14ac:dyDescent="0.25">
      <c r="A18768" s="1" t="str">
        <f>"519875"</f>
        <v>519875</v>
      </c>
      <c r="B18768" s="2" t="str">
        <f>"PORTA CADEADO 3"" (PEQUENO)"</f>
        <v>PORTA CADEADO 3" (PEQUENO)</v>
      </c>
      <c r="C18768" s="2" t="str">
        <f t="shared" si="735"/>
        <v>UN</v>
      </c>
      <c r="D18768" s="7">
        <v>403</v>
      </c>
      <c r="E18768" s="3">
        <v>4</v>
      </c>
      <c r="F18768" s="3">
        <v>4</v>
      </c>
      <c r="G18768" t="s">
        <v>512</v>
      </c>
    </row>
    <row r="18769" spans="1:7" x14ac:dyDescent="0.25">
      <c r="A18769" s="1" t="str">
        <f>"515669"</f>
        <v>515669</v>
      </c>
      <c r="B18769" s="2" t="str">
        <f>"PORTA CANETA"</f>
        <v>PORTA CANETA</v>
      </c>
      <c r="C18769" s="2" t="str">
        <f t="shared" si="735"/>
        <v>UN</v>
      </c>
      <c r="D18769" s="7">
        <v>401</v>
      </c>
      <c r="E18769" s="3">
        <v>4</v>
      </c>
      <c r="F18769" s="3">
        <v>4</v>
      </c>
      <c r="G18769" t="s">
        <v>513</v>
      </c>
    </row>
    <row r="18770" spans="1:7" x14ac:dyDescent="0.25">
      <c r="A18770" s="1" t="str">
        <f>"513339"</f>
        <v>513339</v>
      </c>
      <c r="B18770" s="2" t="str">
        <f>"PORTA CARIMBO PLAST CRISTAL"</f>
        <v>PORTA CARIMBO PLAST CRISTAL</v>
      </c>
      <c r="C18770" s="2" t="str">
        <f t="shared" si="735"/>
        <v>UN</v>
      </c>
      <c r="D18770" s="7">
        <v>401</v>
      </c>
      <c r="E18770" s="3">
        <v>4</v>
      </c>
      <c r="F18770" s="3">
        <v>4</v>
      </c>
      <c r="G18770" t="s">
        <v>514</v>
      </c>
    </row>
    <row r="18771" spans="1:7" x14ac:dyDescent="0.25">
      <c r="A18771" s="1" t="str">
        <f>"522512"</f>
        <v>522512</v>
      </c>
      <c r="B18771" s="2" t="str">
        <f>"PORTA CARTÃO"</f>
        <v>PORTA CARTÃO</v>
      </c>
      <c r="C18771" s="2" t="str">
        <f t="shared" si="735"/>
        <v>UN</v>
      </c>
      <c r="D18771" s="7">
        <v>99999</v>
      </c>
      <c r="E18771" s="3">
        <v>99</v>
      </c>
      <c r="F18771" s="3">
        <v>99</v>
      </c>
      <c r="G18771" t="s">
        <v>514</v>
      </c>
    </row>
    <row r="18772" spans="1:7" x14ac:dyDescent="0.25">
      <c r="A18772" s="1" t="str">
        <f>"523029"</f>
        <v>523029</v>
      </c>
      <c r="B18772" s="2" t="str">
        <f>"PORTA CHÁ"</f>
        <v>PORTA CHÁ</v>
      </c>
      <c r="C18772" s="2" t="str">
        <f t="shared" si="735"/>
        <v>UN</v>
      </c>
      <c r="D18772" s="7">
        <v>99999</v>
      </c>
      <c r="E18772" s="3">
        <v>99</v>
      </c>
      <c r="F18772" s="3">
        <v>99</v>
      </c>
      <c r="G18772" t="s">
        <v>514</v>
      </c>
    </row>
    <row r="18773" spans="1:7" x14ac:dyDescent="0.25">
      <c r="A18773" s="1" t="str">
        <f>"527468"</f>
        <v>527468</v>
      </c>
      <c r="B18773" s="2" t="str">
        <f>"PORTA CHAVES CLAVICULÁRIO P/ 24 CHAVES T4624 FUNDO FELTRO PR"</f>
        <v>PORTA CHAVES CLAVICULÁRIO P/ 24 CHAVES T4624 FUNDO FELTRO PR</v>
      </c>
      <c r="C18773" s="2" t="str">
        <f t="shared" si="735"/>
        <v>UN</v>
      </c>
      <c r="D18773" s="7">
        <v>99999</v>
      </c>
      <c r="E18773" s="3">
        <v>99</v>
      </c>
      <c r="F18773" s="3">
        <v>99</v>
      </c>
      <c r="G18773" t="s">
        <v>513</v>
      </c>
    </row>
    <row r="18774" spans="1:7" x14ac:dyDescent="0.25">
      <c r="A18774" s="1" t="str">
        <f>"522654"</f>
        <v>522654</v>
      </c>
      <c r="B18774" s="2" t="str">
        <f>"PORTA CHAVES CLAVICULÁRIO P/ 36 CHAVES T4636 40X45CM"</f>
        <v>PORTA CHAVES CLAVICULÁRIO P/ 36 CHAVES T4636 40X45CM</v>
      </c>
      <c r="C18774" s="2" t="str">
        <f t="shared" si="735"/>
        <v>UN</v>
      </c>
      <c r="D18774" s="7">
        <v>99999</v>
      </c>
      <c r="E18774" s="3">
        <v>99</v>
      </c>
      <c r="F18774" s="3">
        <v>99</v>
      </c>
      <c r="G18774" t="s">
        <v>512</v>
      </c>
    </row>
    <row r="18775" spans="1:7" x14ac:dyDescent="0.25">
      <c r="A18775" s="1" t="str">
        <f>"509700"</f>
        <v>509700</v>
      </c>
      <c r="B18775" s="2" t="str">
        <f>"PORTA CHAVES M-16 MENNO"</f>
        <v>PORTA CHAVES M-16 MENNO</v>
      </c>
      <c r="C18775" s="2" t="str">
        <f t="shared" si="735"/>
        <v>UN</v>
      </c>
      <c r="D18775" s="7">
        <v>402</v>
      </c>
      <c r="E18775" s="3">
        <v>4</v>
      </c>
      <c r="F18775" s="3">
        <v>4</v>
      </c>
      <c r="G18775" t="s">
        <v>513</v>
      </c>
    </row>
    <row r="18776" spans="1:7" x14ac:dyDescent="0.25">
      <c r="A18776" s="1" t="str">
        <f>"523321"</f>
        <v>523321</v>
      </c>
      <c r="B18776" s="2" t="str">
        <f>"PORTA CLS 50MM X 1700MM X 2300MM"</f>
        <v>PORTA CLS 50MM X 1700MM X 2300MM</v>
      </c>
      <c r="C18776" s="2" t="str">
        <f t="shared" si="735"/>
        <v>UN</v>
      </c>
      <c r="D18776" s="7">
        <v>803</v>
      </c>
      <c r="E18776" s="3">
        <v>10</v>
      </c>
      <c r="F18776" s="3">
        <v>10</v>
      </c>
      <c r="G18776" t="s">
        <v>514</v>
      </c>
    </row>
    <row r="18777" spans="1:7" x14ac:dyDescent="0.25">
      <c r="A18777" s="1" t="str">
        <f>"523322"</f>
        <v>523322</v>
      </c>
      <c r="B18777" s="2" t="str">
        <f>"PORTA CLS 50MM X 1700MM X 2800MM"</f>
        <v>PORTA CLS 50MM X 1700MM X 2800MM</v>
      </c>
      <c r="C18777" s="2" t="str">
        <f t="shared" si="735"/>
        <v>UN</v>
      </c>
      <c r="D18777" s="7">
        <v>803</v>
      </c>
      <c r="E18777" s="3">
        <v>10</v>
      </c>
      <c r="F18777" s="3">
        <v>10</v>
      </c>
      <c r="G18777" t="s">
        <v>514</v>
      </c>
    </row>
    <row r="18778" spans="1:7" x14ac:dyDescent="0.25">
      <c r="A18778" s="1" t="str">
        <f>"518938"</f>
        <v>518938</v>
      </c>
      <c r="B18778" s="2" t="str">
        <f>"PORTA COM BATENTE E DOBRADIÇA DE MOLA"</f>
        <v>PORTA COM BATENTE E DOBRADIÇA DE MOLA</v>
      </c>
      <c r="C18778" s="2" t="str">
        <f t="shared" si="735"/>
        <v>UN</v>
      </c>
      <c r="D18778" s="7">
        <v>917</v>
      </c>
      <c r="E18778" s="3">
        <v>10</v>
      </c>
      <c r="F18778" s="3">
        <v>10</v>
      </c>
      <c r="G18778" t="s">
        <v>514</v>
      </c>
    </row>
    <row r="18779" spans="1:7" x14ac:dyDescent="0.25">
      <c r="A18779" s="1" t="str">
        <f>"522832"</f>
        <v>522832</v>
      </c>
      <c r="B18779" s="2" t="str">
        <f>"PORTA COPO"</f>
        <v>PORTA COPO</v>
      </c>
      <c r="C18779" s="2" t="str">
        <f t="shared" si="735"/>
        <v>UN</v>
      </c>
      <c r="D18779" s="7">
        <v>1300</v>
      </c>
      <c r="E18779" s="3">
        <v>10</v>
      </c>
      <c r="F18779" s="3">
        <v>10</v>
      </c>
      <c r="G18779" t="s">
        <v>513</v>
      </c>
    </row>
    <row r="18780" spans="1:7" x14ac:dyDescent="0.25">
      <c r="A18780" s="1" t="str">
        <f>"502387"</f>
        <v>502387</v>
      </c>
      <c r="B18780" s="2" t="str">
        <f>"PORTA COPO 68MM C59 MESA 100 DES 42616"</f>
        <v>PORTA COPO 68MM C59 MESA 100 DES 42616</v>
      </c>
      <c r="C18780" s="2" t="str">
        <f t="shared" si="735"/>
        <v>UN</v>
      </c>
      <c r="D18780" s="7">
        <v>918</v>
      </c>
      <c r="E18780" s="3">
        <v>11</v>
      </c>
      <c r="F18780" s="3">
        <v>11</v>
      </c>
      <c r="G18780" t="s">
        <v>513</v>
      </c>
    </row>
    <row r="18781" spans="1:7" x14ac:dyDescent="0.25">
      <c r="A18781" s="1" t="str">
        <f>"509589"</f>
        <v>509589</v>
      </c>
      <c r="B18781" s="2" t="str">
        <f>"PORTA COPO BRASKOP 7000"</f>
        <v>PORTA COPO BRASKOP 7000</v>
      </c>
      <c r="C18781" s="2" t="str">
        <f t="shared" si="735"/>
        <v>UN</v>
      </c>
      <c r="D18781" s="7">
        <v>918</v>
      </c>
      <c r="E18781" s="3">
        <v>11</v>
      </c>
      <c r="F18781" s="3">
        <v>11</v>
      </c>
      <c r="G18781" t="s">
        <v>513</v>
      </c>
    </row>
    <row r="18782" spans="1:7" x14ac:dyDescent="0.25">
      <c r="A18782" s="1" t="str">
        <f>"526431"</f>
        <v>526431</v>
      </c>
      <c r="B18782" s="2" t="str">
        <f>"PORTA CORREDIÇA 0,1M x 2,4M x 0,4M"</f>
        <v>PORTA CORREDIÇA 0,1M x 2,4M x 0,4M</v>
      </c>
      <c r="C18782" s="2" t="str">
        <f t="shared" si="735"/>
        <v>UN</v>
      </c>
      <c r="D18782" s="7">
        <v>803</v>
      </c>
      <c r="E18782" s="3">
        <v>10</v>
      </c>
      <c r="F18782" s="3">
        <v>10</v>
      </c>
      <c r="G18782" t="s">
        <v>512</v>
      </c>
    </row>
    <row r="18783" spans="1:7" x14ac:dyDescent="0.25">
      <c r="A18783" s="1" t="str">
        <f>"524998"</f>
        <v>524998</v>
      </c>
      <c r="B18783" s="2" t="str">
        <f>"PORTA CORREDIÇA 1,20 X 2,20 M - RESFRIADOS"</f>
        <v>PORTA CORREDIÇA 1,20 X 2,20 M - RESFRIADOS</v>
      </c>
      <c r="C18783" s="2" t="str">
        <f t="shared" si="735"/>
        <v>UN</v>
      </c>
      <c r="D18783" s="7">
        <v>916</v>
      </c>
      <c r="E18783" s="3">
        <v>10</v>
      </c>
      <c r="F18783" s="3">
        <v>10</v>
      </c>
      <c r="G18783" t="s">
        <v>513</v>
      </c>
    </row>
    <row r="18784" spans="1:7" x14ac:dyDescent="0.25">
      <c r="A18784" s="1" t="str">
        <f>"523274"</f>
        <v>523274</v>
      </c>
      <c r="B18784" s="2" t="str">
        <f>"PORTA CORREDIÇA 1200MM X 2200MM"</f>
        <v>PORTA CORREDIÇA 1200MM X 2200MM</v>
      </c>
      <c r="C18784" s="2" t="str">
        <f t="shared" si="735"/>
        <v>UN</v>
      </c>
      <c r="D18784" s="7">
        <v>803</v>
      </c>
      <c r="E18784" s="3">
        <v>10</v>
      </c>
      <c r="F18784" s="3">
        <v>10</v>
      </c>
      <c r="G18784" t="s">
        <v>514</v>
      </c>
    </row>
    <row r="18785" spans="1:7" x14ac:dyDescent="0.25">
      <c r="A18785" s="1" t="str">
        <f>"523233"</f>
        <v>523233</v>
      </c>
      <c r="B18785" s="2" t="str">
        <f>"PORTA CORREDIÇA 2200MM X 3400MM"</f>
        <v>PORTA CORREDIÇA 2200MM X 3400MM</v>
      </c>
      <c r="C18785" s="2" t="str">
        <f t="shared" si="735"/>
        <v>UN</v>
      </c>
      <c r="D18785" s="7">
        <v>803</v>
      </c>
      <c r="E18785" s="3">
        <v>10</v>
      </c>
      <c r="F18785" s="3">
        <v>10</v>
      </c>
      <c r="G18785" t="s">
        <v>515</v>
      </c>
    </row>
    <row r="18786" spans="1:7" x14ac:dyDescent="0.25">
      <c r="A18786" s="1" t="str">
        <f>"518043"</f>
        <v>518043</v>
      </c>
      <c r="B18786" s="2" t="str">
        <f>"PORTA CORTA FOGO DUPLA CLASSE P90 1,80 X 2,10 X 0,5MM"</f>
        <v>PORTA CORTA FOGO DUPLA CLASSE P90 1,80 X 2,10 X 0,5MM</v>
      </c>
      <c r="C18786" s="2" t="str">
        <f t="shared" si="735"/>
        <v>UN</v>
      </c>
      <c r="D18786" s="7">
        <v>917</v>
      </c>
      <c r="E18786" s="3">
        <v>10</v>
      </c>
      <c r="F18786" s="3">
        <v>10</v>
      </c>
      <c r="G18786" t="s">
        <v>512</v>
      </c>
    </row>
    <row r="18787" spans="1:7" x14ac:dyDescent="0.25">
      <c r="A18787" s="1" t="str">
        <f>"525189"</f>
        <v>525189</v>
      </c>
      <c r="B18787" s="2" t="str">
        <f>"PORTA CORTA FOGO SAÍDA DE EMERGENCIA P90."</f>
        <v>PORTA CORTA FOGO SAÍDA DE EMERGENCIA P90.</v>
      </c>
      <c r="C18787" s="2" t="str">
        <f t="shared" si="735"/>
        <v>UN</v>
      </c>
      <c r="D18787" s="7">
        <v>917</v>
      </c>
      <c r="E18787" s="3">
        <v>10</v>
      </c>
      <c r="F18787" s="3">
        <v>10</v>
      </c>
      <c r="G18787" t="s">
        <v>516</v>
      </c>
    </row>
    <row r="18788" spans="1:7" x14ac:dyDescent="0.25">
      <c r="A18788" s="1" t="str">
        <f>"509623"</f>
        <v>509623</v>
      </c>
      <c r="B18788" s="2" t="str">
        <f>"PORTA CRACHA"</f>
        <v>PORTA CRACHA</v>
      </c>
      <c r="C18788" s="2" t="str">
        <f t="shared" ref="C18788:C18799" si="736">"UN"</f>
        <v>UN</v>
      </c>
      <c r="D18788" s="7">
        <v>401</v>
      </c>
      <c r="E18788" s="3">
        <v>4</v>
      </c>
      <c r="F18788" s="3">
        <v>4</v>
      </c>
      <c r="G18788" t="s">
        <v>515</v>
      </c>
    </row>
    <row r="18789" spans="1:7" x14ac:dyDescent="0.25">
      <c r="A18789" s="1" t="str">
        <f>"510498"</f>
        <v>510498</v>
      </c>
      <c r="B18789" s="2" t="str">
        <f>"PORTA DETERGENTE"</f>
        <v>PORTA DETERGENTE</v>
      </c>
      <c r="C18789" s="2" t="str">
        <f t="shared" si="736"/>
        <v>UN</v>
      </c>
      <c r="D18789" s="7">
        <v>400</v>
      </c>
      <c r="E18789" s="3">
        <v>4</v>
      </c>
      <c r="F18789" s="3">
        <v>4</v>
      </c>
      <c r="G18789" t="s">
        <v>514</v>
      </c>
    </row>
    <row r="18790" spans="1:7" x14ac:dyDescent="0.25">
      <c r="A18790" s="1" t="str">
        <f>"515608"</f>
        <v>515608</v>
      </c>
      <c r="B18790" s="2" t="str">
        <f>"PORTA DIVISORIA"</f>
        <v>PORTA DIVISORIA</v>
      </c>
      <c r="C18790" s="2" t="str">
        <f t="shared" si="736"/>
        <v>UN</v>
      </c>
      <c r="D18790" s="7">
        <v>408</v>
      </c>
      <c r="E18790" s="3">
        <v>4</v>
      </c>
      <c r="F18790" s="3">
        <v>4</v>
      </c>
      <c r="G18790" t="s">
        <v>512</v>
      </c>
    </row>
    <row r="18791" spans="1:7" x14ac:dyDescent="0.25">
      <c r="A18791" s="1" t="str">
        <f>"503194"</f>
        <v>503194</v>
      </c>
      <c r="B18791" s="2" t="str">
        <f>"PORTA DO FORD CARGO 2422 ANO/MOD.2004"</f>
        <v>PORTA DO FORD CARGO 2422 ANO/MOD.2004</v>
      </c>
      <c r="C18791" s="2" t="str">
        <f t="shared" si="736"/>
        <v>UN</v>
      </c>
      <c r="D18791" s="7">
        <v>704</v>
      </c>
      <c r="E18791" s="3">
        <v>9</v>
      </c>
      <c r="F18791" s="3">
        <v>9</v>
      </c>
      <c r="G18791" t="s">
        <v>513</v>
      </c>
    </row>
    <row r="18792" spans="1:7" x14ac:dyDescent="0.25">
      <c r="A18792" s="1" t="str">
        <f>"3842"</f>
        <v>3842</v>
      </c>
      <c r="B18792" s="2" t="str">
        <f>"PORTA DOCUMENTO 7X10,7 PCT 100"</f>
        <v>PORTA DOCUMENTO 7X10,7 PCT 100</v>
      </c>
      <c r="C18792" s="2" t="str">
        <f t="shared" si="736"/>
        <v>UN</v>
      </c>
      <c r="D18792" s="7">
        <v>401</v>
      </c>
      <c r="E18792" s="3">
        <v>4</v>
      </c>
      <c r="F18792" s="3">
        <v>4</v>
      </c>
      <c r="G18792" t="s">
        <v>514</v>
      </c>
    </row>
    <row r="18793" spans="1:7" x14ac:dyDescent="0.25">
      <c r="A18793" s="1" t="str">
        <f>"512929"</f>
        <v>512929</v>
      </c>
      <c r="B18793" s="2" t="str">
        <f>"PORTA DOCUMENTO EJR 05 UN AGRUP. A4 RETRATO REF. 1017"</f>
        <v>PORTA DOCUMENTO EJR 05 UN AGRUP. A4 RETRATO REF. 1017</v>
      </c>
      <c r="C18793" s="2" t="str">
        <f t="shared" si="736"/>
        <v>UN</v>
      </c>
      <c r="D18793" s="7">
        <v>401</v>
      </c>
      <c r="E18793" s="3">
        <v>4</v>
      </c>
      <c r="F18793" s="3">
        <v>4</v>
      </c>
      <c r="G18793" t="s">
        <v>514</v>
      </c>
    </row>
    <row r="18794" spans="1:7" x14ac:dyDescent="0.25">
      <c r="A18794" s="1" t="str">
        <f>"520646"</f>
        <v>520646</v>
      </c>
      <c r="B18794" s="2" t="str">
        <f>"PORTA DOCUMENTO EJR 10 UN AGRUP. A4 PAISAGEM REF. 1019"</f>
        <v>PORTA DOCUMENTO EJR 10 UN AGRUP. A4 PAISAGEM REF. 1019</v>
      </c>
      <c r="C18794" s="2" t="str">
        <f t="shared" si="736"/>
        <v>UN</v>
      </c>
      <c r="D18794" s="7">
        <v>401</v>
      </c>
      <c r="E18794" s="3">
        <v>4</v>
      </c>
      <c r="F18794" s="3">
        <v>4</v>
      </c>
      <c r="G18794" t="s">
        <v>512</v>
      </c>
    </row>
    <row r="18795" spans="1:7" x14ac:dyDescent="0.25">
      <c r="A18795" s="1" t="str">
        <f>"512930"</f>
        <v>512930</v>
      </c>
      <c r="B18795" s="2" t="str">
        <f>"PORTA DOCUMENTO EJR 10 UN AGRUP. A4 RETRATO REF. 1016"</f>
        <v>PORTA DOCUMENTO EJR 10 UN AGRUP. A4 RETRATO REF. 1016</v>
      </c>
      <c r="C18795" s="2" t="str">
        <f t="shared" si="736"/>
        <v>UN</v>
      </c>
      <c r="D18795" s="7">
        <v>401</v>
      </c>
      <c r="E18795" s="3">
        <v>4</v>
      </c>
      <c r="F18795" s="3">
        <v>4</v>
      </c>
      <c r="G18795" t="s">
        <v>513</v>
      </c>
    </row>
    <row r="18796" spans="1:7" x14ac:dyDescent="0.25">
      <c r="A18796" s="1" t="str">
        <f>"519802"</f>
        <v>519802</v>
      </c>
      <c r="B18796" s="2" t="str">
        <f>"PORTA DOCUMENTO EJR 15 UN AGRUP. A4 PAISAGEM REF. 1018"</f>
        <v>PORTA DOCUMENTO EJR 15 UN AGRUP. A4 PAISAGEM REF. 1018</v>
      </c>
      <c r="C18796" s="2" t="str">
        <f t="shared" si="736"/>
        <v>UN</v>
      </c>
      <c r="D18796" s="7">
        <v>401</v>
      </c>
      <c r="E18796" s="3">
        <v>4</v>
      </c>
      <c r="F18796" s="3">
        <v>4</v>
      </c>
      <c r="G18796" t="s">
        <v>514</v>
      </c>
    </row>
    <row r="18797" spans="1:7" x14ac:dyDescent="0.25">
      <c r="A18797" s="1" t="str">
        <f>"519647"</f>
        <v>519647</v>
      </c>
      <c r="B18797" s="2" t="str">
        <f>"PORTA DOCUMENTO EJR 15 UN AGRUP. A4 RETRATO REF. 1015"</f>
        <v>PORTA DOCUMENTO EJR 15 UN AGRUP. A4 RETRATO REF. 1015</v>
      </c>
      <c r="C18797" s="2" t="str">
        <f t="shared" si="736"/>
        <v>UN</v>
      </c>
      <c r="D18797" s="7">
        <v>401</v>
      </c>
      <c r="E18797" s="3">
        <v>4</v>
      </c>
      <c r="F18797" s="3">
        <v>4</v>
      </c>
      <c r="G18797" t="s">
        <v>514</v>
      </c>
    </row>
    <row r="18798" spans="1:7" x14ac:dyDescent="0.25">
      <c r="A18798" s="1" t="str">
        <f>"524921"</f>
        <v>524921</v>
      </c>
      <c r="B18798" s="2" t="str">
        <f>"PORTA DOCUMENTOS 08963 SCHNEIDER"</f>
        <v>PORTA DOCUMENTOS 08963 SCHNEIDER</v>
      </c>
      <c r="C18798" s="2" t="str">
        <f t="shared" si="736"/>
        <v>UN</v>
      </c>
      <c r="D18798" s="7">
        <v>811</v>
      </c>
      <c r="E18798" s="3">
        <v>8</v>
      </c>
      <c r="F18798" s="3">
        <v>8</v>
      </c>
      <c r="G18798" t="s">
        <v>514</v>
      </c>
    </row>
    <row r="18799" spans="1:7" x14ac:dyDescent="0.25">
      <c r="A18799" s="1" t="str">
        <f>"510900"</f>
        <v>510900</v>
      </c>
      <c r="B18799" s="2" t="str">
        <f>"PORTA ELETRODO C 1000 CARBOGRAFITE"</f>
        <v>PORTA ELETRODO C 1000 CARBOGRAFITE</v>
      </c>
      <c r="C18799" s="2" t="str">
        <f t="shared" si="736"/>
        <v>UN</v>
      </c>
      <c r="D18799" s="7">
        <v>900</v>
      </c>
      <c r="E18799" s="3">
        <v>11</v>
      </c>
      <c r="F18799" s="3">
        <v>11</v>
      </c>
      <c r="G18799" t="s">
        <v>513</v>
      </c>
    </row>
    <row r="18800" spans="1:7" x14ac:dyDescent="0.25">
      <c r="A18800" s="1" t="str">
        <f>"512074"</f>
        <v>512074</v>
      </c>
      <c r="B18800" s="2" t="str">
        <f>"PORTA EM CHAPA 2MM"</f>
        <v>PORTA EM CHAPA 2MM</v>
      </c>
      <c r="C18800" s="2" t="str">
        <f>"PC"</f>
        <v>PC</v>
      </c>
      <c r="D18800" s="7">
        <v>806</v>
      </c>
      <c r="E18800" s="3">
        <v>10</v>
      </c>
      <c r="F18800" s="3">
        <v>10</v>
      </c>
      <c r="G18800" t="s">
        <v>512</v>
      </c>
    </row>
    <row r="18801" spans="1:7" x14ac:dyDescent="0.25">
      <c r="A18801" s="1" t="str">
        <f>"510825"</f>
        <v>510825</v>
      </c>
      <c r="B18801" s="2" t="str">
        <f>"PORTA EPS 100MM CF 2500X5000MM"</f>
        <v>PORTA EPS 100MM CF 2500X5000MM</v>
      </c>
      <c r="C18801" s="2" t="str">
        <f t="shared" ref="C18801:C18809" si="737">"UN"</f>
        <v>UN</v>
      </c>
      <c r="D18801" s="7">
        <v>803</v>
      </c>
      <c r="E18801" s="3">
        <v>10</v>
      </c>
      <c r="F18801" s="3">
        <v>10</v>
      </c>
      <c r="G18801" t="s">
        <v>513</v>
      </c>
    </row>
    <row r="18802" spans="1:7" x14ac:dyDescent="0.25">
      <c r="A18802" s="1" t="str">
        <f>"509985"</f>
        <v>509985</v>
      </c>
      <c r="B18802" s="2" t="str">
        <f>"PORTA EPS 32MM AÇO PRE GSL 1100 A 2200"</f>
        <v>PORTA EPS 32MM AÇO PRE GSL 1100 A 2200</v>
      </c>
      <c r="C18802" s="2" t="str">
        <f t="shared" si="737"/>
        <v>UN</v>
      </c>
      <c r="D18802" s="7">
        <v>1700</v>
      </c>
      <c r="E18802" s="3">
        <v>13</v>
      </c>
      <c r="F18802" s="3">
        <v>13</v>
      </c>
      <c r="G18802" t="s">
        <v>514</v>
      </c>
    </row>
    <row r="18803" spans="1:7" x14ac:dyDescent="0.25">
      <c r="A18803" s="1" t="str">
        <f>"509983"</f>
        <v>509983</v>
      </c>
      <c r="B18803" s="2" t="str">
        <f>"PORTA EPS 40MM AÇO VAI E VEM 1100 A 2200"</f>
        <v>PORTA EPS 40MM AÇO VAI E VEM 1100 A 2200</v>
      </c>
      <c r="C18803" s="2" t="str">
        <f t="shared" si="737"/>
        <v>UN</v>
      </c>
      <c r="D18803" s="7">
        <v>1700</v>
      </c>
      <c r="E18803" s="3">
        <v>13</v>
      </c>
      <c r="F18803" s="3">
        <v>13</v>
      </c>
      <c r="G18803" t="s">
        <v>514</v>
      </c>
    </row>
    <row r="18804" spans="1:7" x14ac:dyDescent="0.25">
      <c r="A18804" s="1" t="str">
        <f>"510823"</f>
        <v>510823</v>
      </c>
      <c r="B18804" s="2" t="str">
        <f>"PORTA EPS 40MM SECCIONAL  3000X4000MM"</f>
        <v>PORTA EPS 40MM SECCIONAL  3000X4000MM</v>
      </c>
      <c r="C18804" s="2" t="str">
        <f t="shared" si="737"/>
        <v>UN</v>
      </c>
      <c r="D18804" s="7">
        <v>803</v>
      </c>
      <c r="E18804" s="3">
        <v>10</v>
      </c>
      <c r="F18804" s="3">
        <v>10</v>
      </c>
      <c r="G18804" t="s">
        <v>514</v>
      </c>
    </row>
    <row r="18805" spans="1:7" x14ac:dyDescent="0.25">
      <c r="A18805" s="1" t="str">
        <f>"509981"</f>
        <v>509981</v>
      </c>
      <c r="B18805" s="2" t="str">
        <f>"PORTA EPS 50MM AÇO PRE MOD CI 600A2500MM"</f>
        <v>PORTA EPS 50MM AÇO PRE MOD CI 600A2500MM</v>
      </c>
      <c r="C18805" s="2" t="str">
        <f t="shared" si="737"/>
        <v>UN</v>
      </c>
      <c r="D18805" s="7">
        <v>1700</v>
      </c>
      <c r="E18805" s="3">
        <v>13</v>
      </c>
      <c r="F18805" s="3">
        <v>13</v>
      </c>
      <c r="G18805" t="s">
        <v>513</v>
      </c>
    </row>
    <row r="18806" spans="1:7" x14ac:dyDescent="0.25">
      <c r="A18806" s="1" t="str">
        <f>"526135"</f>
        <v>526135</v>
      </c>
      <c r="B18806" s="2" t="str">
        <f>"PORTA EQUIPAMENTO 3 BLOCO BRANCO"</f>
        <v>PORTA EQUIPAMENTO 3 BLOCO BRANCO</v>
      </c>
      <c r="C18806" s="2" t="str">
        <f t="shared" si="737"/>
        <v>UN</v>
      </c>
      <c r="D18806" s="7">
        <v>601</v>
      </c>
      <c r="E18806" s="3">
        <v>8</v>
      </c>
      <c r="F18806" s="3">
        <v>8</v>
      </c>
      <c r="G18806" t="s">
        <v>513</v>
      </c>
    </row>
    <row r="18807" spans="1:7" x14ac:dyDescent="0.25">
      <c r="A18807" s="1" t="str">
        <f>"513760"</f>
        <v>513760</v>
      </c>
      <c r="B18807" s="2" t="str">
        <f>"PORTA ESCOVA"</f>
        <v>PORTA ESCOVA</v>
      </c>
      <c r="C18807" s="2" t="str">
        <f t="shared" si="737"/>
        <v>UN</v>
      </c>
      <c r="D18807" s="7">
        <v>918</v>
      </c>
      <c r="E18807" s="3">
        <v>11</v>
      </c>
      <c r="F18807" s="3">
        <v>11</v>
      </c>
      <c r="G18807" t="s">
        <v>513</v>
      </c>
    </row>
    <row r="18808" spans="1:7" x14ac:dyDescent="0.25">
      <c r="A18808" s="1" t="str">
        <f>"520683"</f>
        <v>520683</v>
      </c>
      <c r="B18808" s="8" t="s">
        <v>174</v>
      </c>
      <c r="C18808" s="2" t="str">
        <f t="shared" si="737"/>
        <v>UN</v>
      </c>
      <c r="D18808" s="7">
        <v>918</v>
      </c>
      <c r="E18808" s="3">
        <v>11</v>
      </c>
      <c r="F18808" s="3">
        <v>11</v>
      </c>
      <c r="G18808" t="s">
        <v>512</v>
      </c>
    </row>
    <row r="18809" spans="1:7" x14ac:dyDescent="0.25">
      <c r="A18809" s="1" t="str">
        <f>"511176"</f>
        <v>511176</v>
      </c>
      <c r="B18809" s="2" t="str">
        <f>"PORTA ESCOVA GA 032 - MITRI"</f>
        <v>PORTA ESCOVA GA 032 - MITRI</v>
      </c>
      <c r="C18809" s="2" t="str">
        <f t="shared" si="737"/>
        <v>UN</v>
      </c>
      <c r="D18809" s="7">
        <v>99999</v>
      </c>
      <c r="E18809" s="3">
        <v>99</v>
      </c>
      <c r="F18809" s="3">
        <v>99</v>
      </c>
      <c r="G18809" t="s">
        <v>513</v>
      </c>
    </row>
    <row r="18810" spans="1:7" x14ac:dyDescent="0.25">
      <c r="A18810" s="1" t="str">
        <f>"525490"</f>
        <v>525490</v>
      </c>
      <c r="B18810" s="2" t="str">
        <f>"PORTA ETIQUETA ELESYS SLE23"</f>
        <v>PORTA ETIQUETA ELESYS SLE23</v>
      </c>
      <c r="C18810" s="2" t="str">
        <f>"PC"</f>
        <v>PC</v>
      </c>
      <c r="D18810" s="7">
        <v>600</v>
      </c>
      <c r="E18810" s="3">
        <v>8</v>
      </c>
      <c r="F18810" s="3">
        <v>8</v>
      </c>
      <c r="G18810" t="s">
        <v>514</v>
      </c>
    </row>
    <row r="18811" spans="1:7" x14ac:dyDescent="0.25">
      <c r="A18811" s="1" t="str">
        <f>"526885"</f>
        <v>526885</v>
      </c>
      <c r="B18811" s="2" t="str">
        <f>"PORTA ETIQUETA N ELESYS SLE209 CX C/ 200 PÇS"</f>
        <v>PORTA ETIQUETA N ELESYS SLE209 CX C/ 200 PÇS</v>
      </c>
      <c r="C18811" s="2" t="str">
        <f t="shared" ref="C18811:C18850" si="738">"UN"</f>
        <v>UN</v>
      </c>
      <c r="D18811" s="7">
        <v>1300</v>
      </c>
      <c r="E18811" s="3">
        <v>13</v>
      </c>
      <c r="F18811" s="3">
        <v>13</v>
      </c>
      <c r="G18811" t="s">
        <v>515</v>
      </c>
    </row>
    <row r="18812" spans="1:7" x14ac:dyDescent="0.25">
      <c r="A18812" s="1" t="str">
        <f>"516961"</f>
        <v>516961</v>
      </c>
      <c r="B18812" s="2" t="str">
        <f>"PORTA ETIQUETA P1 P/ PORTA DE PAINEL"</f>
        <v>PORTA ETIQUETA P1 P/ PORTA DE PAINEL</v>
      </c>
      <c r="C18812" s="2" t="str">
        <f t="shared" si="738"/>
        <v>UN</v>
      </c>
      <c r="D18812" s="7">
        <v>811</v>
      </c>
      <c r="E18812" s="3">
        <v>8</v>
      </c>
      <c r="F18812" s="3">
        <v>8</v>
      </c>
      <c r="G18812" t="s">
        <v>512</v>
      </c>
    </row>
    <row r="18813" spans="1:7" x14ac:dyDescent="0.25">
      <c r="A18813" s="1" t="str">
        <f>"516962"</f>
        <v>516962</v>
      </c>
      <c r="B18813" s="2" t="str">
        <f>"PORTA ETIQUETA P2 P/ PORTA DE PAINEL"</f>
        <v>PORTA ETIQUETA P2 P/ PORTA DE PAINEL</v>
      </c>
      <c r="C18813" s="2" t="str">
        <f t="shared" si="738"/>
        <v>UN</v>
      </c>
      <c r="D18813" s="7">
        <v>811</v>
      </c>
      <c r="E18813" s="3">
        <v>8</v>
      </c>
      <c r="F18813" s="3">
        <v>8</v>
      </c>
      <c r="G18813" t="s">
        <v>516</v>
      </c>
    </row>
    <row r="18814" spans="1:7" x14ac:dyDescent="0.25">
      <c r="A18814" s="1" t="str">
        <f>"521808"</f>
        <v>521808</v>
      </c>
      <c r="B18814" s="2" t="str">
        <f>"PORTA FIXA I D659965146"</f>
        <v>PORTA FIXA I D659965146</v>
      </c>
      <c r="C18814" s="2" t="str">
        <f t="shared" si="738"/>
        <v>UN</v>
      </c>
      <c r="D18814" s="7">
        <v>918</v>
      </c>
      <c r="E18814" s="3">
        <v>11</v>
      </c>
      <c r="F18814" s="3">
        <v>11</v>
      </c>
      <c r="G18814" t="s">
        <v>515</v>
      </c>
    </row>
    <row r="18815" spans="1:7" x14ac:dyDescent="0.25">
      <c r="A18815" s="1" t="str">
        <f>"503312"</f>
        <v>503312</v>
      </c>
      <c r="B18815" s="2" t="str">
        <f>"PORTA FUSIVEL"</f>
        <v>PORTA FUSIVEL</v>
      </c>
      <c r="C18815" s="2" t="str">
        <f t="shared" si="738"/>
        <v>UN</v>
      </c>
      <c r="D18815" s="7">
        <v>704</v>
      </c>
      <c r="E18815" s="3">
        <v>9</v>
      </c>
      <c r="F18815" s="3">
        <v>9</v>
      </c>
      <c r="G18815" t="s">
        <v>514</v>
      </c>
    </row>
    <row r="18816" spans="1:7" x14ac:dyDescent="0.25">
      <c r="A18816" s="1" t="str">
        <f>"526054"</f>
        <v>526054</v>
      </c>
      <c r="B18816" s="2" t="str">
        <f>"PORTA FUZIVEL ASK 1 LD"</f>
        <v>PORTA FUZIVEL ASK 1 LD</v>
      </c>
      <c r="C18816" s="2" t="str">
        <f t="shared" si="738"/>
        <v>UN</v>
      </c>
      <c r="D18816" s="7">
        <v>600</v>
      </c>
      <c r="E18816" s="3">
        <v>8</v>
      </c>
      <c r="F18816" s="3">
        <v>8</v>
      </c>
      <c r="G18816" t="s">
        <v>512</v>
      </c>
    </row>
    <row r="18817" spans="1:7" x14ac:dyDescent="0.25">
      <c r="A18817" s="1" t="str">
        <f>"503031"</f>
        <v>503031</v>
      </c>
      <c r="B18817" s="2" t="str">
        <f>"PORTA FUZIVEL SAK"</f>
        <v>PORTA FUZIVEL SAK</v>
      </c>
      <c r="C18817" s="2" t="str">
        <f t="shared" si="738"/>
        <v>UN</v>
      </c>
      <c r="D18817" s="7">
        <v>600</v>
      </c>
      <c r="E18817" s="3">
        <v>8</v>
      </c>
      <c r="F18817" s="3">
        <v>8</v>
      </c>
      <c r="G18817" t="s">
        <v>513</v>
      </c>
    </row>
    <row r="18818" spans="1:7" x14ac:dyDescent="0.25">
      <c r="A18818" s="1" t="str">
        <f>"526430"</f>
        <v>526430</v>
      </c>
      <c r="B18818" s="2" t="str">
        <f>"PORTA GIRATORIA - 0,03M x 0,8M x 2,1M"</f>
        <v>PORTA GIRATORIA - 0,03M x 0,8M x 2,1M</v>
      </c>
      <c r="C18818" s="2" t="str">
        <f t="shared" si="738"/>
        <v>UN</v>
      </c>
      <c r="D18818" s="7">
        <v>803</v>
      </c>
      <c r="E18818" s="3">
        <v>10</v>
      </c>
      <c r="F18818" s="3">
        <v>10</v>
      </c>
      <c r="G18818" t="s">
        <v>514</v>
      </c>
    </row>
    <row r="18819" spans="1:7" x14ac:dyDescent="0.25">
      <c r="A18819" s="1" t="str">
        <f>"522212"</f>
        <v>522212</v>
      </c>
      <c r="B18819" s="2" t="str">
        <f>"PORTA GIRATORIA 1200MM X 2200MM"</f>
        <v>PORTA GIRATORIA 1200MM X 2200MM</v>
      </c>
      <c r="C18819" s="2" t="str">
        <f t="shared" si="738"/>
        <v>UN</v>
      </c>
      <c r="D18819" s="7">
        <v>803</v>
      </c>
      <c r="E18819" s="3">
        <v>10</v>
      </c>
      <c r="F18819" s="3">
        <v>10</v>
      </c>
      <c r="G18819" t="s">
        <v>514</v>
      </c>
    </row>
    <row r="18820" spans="1:7" x14ac:dyDescent="0.25">
      <c r="A18820" s="1" t="str">
        <f>"526118"</f>
        <v>526118</v>
      </c>
      <c r="B18820" s="2" t="str">
        <f>"PORTA GSL 1,10 X 2,10 X 0,32MM"</f>
        <v>PORTA GSL 1,10 X 2,10 X 0,32MM</v>
      </c>
      <c r="C18820" s="2" t="str">
        <f t="shared" si="738"/>
        <v>UN</v>
      </c>
      <c r="D18820" s="7">
        <v>99999</v>
      </c>
      <c r="E18820" s="3">
        <v>99</v>
      </c>
      <c r="F18820" s="3">
        <v>99</v>
      </c>
      <c r="G18820" t="s">
        <v>512</v>
      </c>
    </row>
    <row r="18821" spans="1:7" x14ac:dyDescent="0.25">
      <c r="A18821" s="1" t="str">
        <f>"517364"</f>
        <v>517364</v>
      </c>
      <c r="B18821" s="2" t="str">
        <f>"PORTA GUARDANAPO AÇO INÓX TRAMONTINA"</f>
        <v>PORTA GUARDANAPO AÇO INÓX TRAMONTINA</v>
      </c>
      <c r="C18821" s="2" t="str">
        <f t="shared" si="738"/>
        <v>UN</v>
      </c>
      <c r="D18821" s="7">
        <v>410</v>
      </c>
      <c r="E18821" s="3">
        <v>4</v>
      </c>
      <c r="F18821" s="3">
        <v>4</v>
      </c>
      <c r="G18821" t="s">
        <v>513</v>
      </c>
    </row>
    <row r="18822" spans="1:7" x14ac:dyDescent="0.25">
      <c r="A18822" s="1" t="str">
        <f>"524365"</f>
        <v>524365</v>
      </c>
      <c r="B18822" s="2" t="str">
        <f>"PORTA INJETOR COMMON-RAIL"</f>
        <v>PORTA INJETOR COMMON-RAIL</v>
      </c>
      <c r="C18822" s="2" t="str">
        <f t="shared" si="738"/>
        <v>UN</v>
      </c>
      <c r="D18822" s="7">
        <v>704</v>
      </c>
      <c r="E18822" s="3">
        <v>9</v>
      </c>
      <c r="F18822" s="3">
        <v>9</v>
      </c>
      <c r="G18822" t="s">
        <v>514</v>
      </c>
    </row>
    <row r="18823" spans="1:7" x14ac:dyDescent="0.25">
      <c r="A18823" s="1" t="str">
        <f>"513995"</f>
        <v>513995</v>
      </c>
      <c r="B18823" s="2" t="str">
        <f>"PORTA LAMINADA 70CM DIREITA P/ ESQUERDA"</f>
        <v>PORTA LAMINADA 70CM DIREITA P/ ESQUERDA</v>
      </c>
      <c r="C18823" s="2" t="str">
        <f t="shared" si="738"/>
        <v>UN</v>
      </c>
      <c r="D18823" s="7">
        <v>917</v>
      </c>
      <c r="E18823" s="3">
        <v>10</v>
      </c>
      <c r="F18823" s="3">
        <v>10</v>
      </c>
      <c r="G18823" t="s">
        <v>514</v>
      </c>
    </row>
    <row r="18824" spans="1:7" x14ac:dyDescent="0.25">
      <c r="A18824" s="1" t="str">
        <f>"524586"</f>
        <v>524586</v>
      </c>
      <c r="B18824" s="2" t="str">
        <f>"PORTA LAMINADA 70CM ESQUERDA P/ DIREITA"</f>
        <v>PORTA LAMINADA 70CM ESQUERDA P/ DIREITA</v>
      </c>
      <c r="C18824" s="2" t="str">
        <f t="shared" si="738"/>
        <v>UN</v>
      </c>
      <c r="D18824" s="7">
        <v>917</v>
      </c>
      <c r="E18824" s="3">
        <v>10</v>
      </c>
      <c r="F18824" s="3">
        <v>10</v>
      </c>
      <c r="G18824" t="s">
        <v>514</v>
      </c>
    </row>
    <row r="18825" spans="1:7" x14ac:dyDescent="0.25">
      <c r="A18825" s="1" t="str">
        <f>"512925"</f>
        <v>512925</v>
      </c>
      <c r="B18825" s="2" t="str">
        <f>"PORTA LAMINADA 80CM DIREITA"</f>
        <v>PORTA LAMINADA 80CM DIREITA</v>
      </c>
      <c r="C18825" s="2" t="str">
        <f t="shared" si="738"/>
        <v>UN</v>
      </c>
      <c r="D18825" s="7">
        <v>917</v>
      </c>
      <c r="E18825" s="3">
        <v>10</v>
      </c>
      <c r="F18825" s="3">
        <v>10</v>
      </c>
      <c r="G18825" t="s">
        <v>513</v>
      </c>
    </row>
    <row r="18826" spans="1:7" x14ac:dyDescent="0.25">
      <c r="A18826" s="1" t="str">
        <f>"516517"</f>
        <v>516517</v>
      </c>
      <c r="B18826" s="2" t="str">
        <f>"PORTA LAMINADA 80CM ESQUERDA"</f>
        <v>PORTA LAMINADA 80CM ESQUERDA</v>
      </c>
      <c r="C18826" s="2" t="str">
        <f t="shared" si="738"/>
        <v>UN</v>
      </c>
      <c r="D18826" s="7">
        <v>917</v>
      </c>
      <c r="E18826" s="3">
        <v>10</v>
      </c>
      <c r="F18826" s="3">
        <v>10</v>
      </c>
      <c r="G18826" t="s">
        <v>512</v>
      </c>
    </row>
    <row r="18827" spans="1:7" x14ac:dyDescent="0.25">
      <c r="A18827" s="1" t="str">
        <f>"514120"</f>
        <v>514120</v>
      </c>
      <c r="B18827" s="2" t="str">
        <f>"PORTA LAPIS"</f>
        <v>PORTA LAPIS</v>
      </c>
      <c r="C18827" s="2" t="str">
        <f t="shared" si="738"/>
        <v>UN</v>
      </c>
      <c r="D18827" s="7">
        <v>401</v>
      </c>
      <c r="E18827" s="3">
        <v>4</v>
      </c>
      <c r="F18827" s="3">
        <v>4</v>
      </c>
      <c r="G18827" t="s">
        <v>513</v>
      </c>
    </row>
    <row r="18828" spans="1:7" x14ac:dyDescent="0.25">
      <c r="A18828" s="1" t="str">
        <f>"513210"</f>
        <v>513210</v>
      </c>
      <c r="B18828" s="2" t="str">
        <f>"PORTA LE"</f>
        <v>PORTA LE</v>
      </c>
      <c r="C18828" s="2" t="str">
        <f t="shared" si="738"/>
        <v>UN</v>
      </c>
      <c r="D18828" s="7">
        <v>918</v>
      </c>
      <c r="E18828" s="3">
        <v>11</v>
      </c>
      <c r="F18828" s="3">
        <v>11</v>
      </c>
      <c r="G18828" t="s">
        <v>514</v>
      </c>
    </row>
    <row r="18829" spans="1:7" x14ac:dyDescent="0.25">
      <c r="A18829" s="1" t="str">
        <f>"515783"</f>
        <v>515783</v>
      </c>
      <c r="B18829" s="2" t="str">
        <f>"PORTA MARCADOR HELLERMANN AT-1"</f>
        <v>PORTA MARCADOR HELLERMANN AT-1</v>
      </c>
      <c r="C18829" s="2" t="str">
        <f t="shared" si="738"/>
        <v>UN</v>
      </c>
      <c r="D18829" s="7">
        <v>99999</v>
      </c>
      <c r="E18829" s="3">
        <v>99</v>
      </c>
      <c r="F18829" s="3">
        <v>99</v>
      </c>
      <c r="G18829" t="s">
        <v>514</v>
      </c>
    </row>
    <row r="18830" spans="1:7" x14ac:dyDescent="0.25">
      <c r="A18830" s="1" t="str">
        <f>"515784"</f>
        <v>515784</v>
      </c>
      <c r="B18830" s="2" t="str">
        <f>"PORTA MARCADOR HELLERMANN AT-2"</f>
        <v>PORTA MARCADOR HELLERMANN AT-2</v>
      </c>
      <c r="C18830" s="2" t="str">
        <f t="shared" si="738"/>
        <v>UN</v>
      </c>
      <c r="D18830" s="7">
        <v>99999</v>
      </c>
      <c r="E18830" s="3">
        <v>99</v>
      </c>
      <c r="F18830" s="3">
        <v>99</v>
      </c>
      <c r="G18830" t="s">
        <v>514</v>
      </c>
    </row>
    <row r="18831" spans="1:7" x14ac:dyDescent="0.25">
      <c r="A18831" s="1" t="str">
        <f>"515785"</f>
        <v>515785</v>
      </c>
      <c r="B18831" s="2" t="str">
        <f>"PORTA MARCADOR HELLERMANN AT-3"</f>
        <v>PORTA MARCADOR HELLERMANN AT-3</v>
      </c>
      <c r="C18831" s="2" t="str">
        <f t="shared" si="738"/>
        <v>UN</v>
      </c>
      <c r="D18831" s="7">
        <v>99999</v>
      </c>
      <c r="E18831" s="3">
        <v>99</v>
      </c>
      <c r="F18831" s="3">
        <v>99</v>
      </c>
      <c r="G18831" t="s">
        <v>513</v>
      </c>
    </row>
    <row r="18832" spans="1:7" x14ac:dyDescent="0.25">
      <c r="A18832" s="1" t="str">
        <f>"527789"</f>
        <v>527789</v>
      </c>
      <c r="B18832" s="2" t="str">
        <f>"PORTA MÁSCARA C/ REFIL DE ALCOOL"</f>
        <v>PORTA MÁSCARA C/ REFIL DE ALCOOL</v>
      </c>
      <c r="C18832" s="2" t="str">
        <f t="shared" si="738"/>
        <v>UN</v>
      </c>
      <c r="D18832" s="7">
        <v>99999</v>
      </c>
      <c r="E18832" s="3">
        <v>99</v>
      </c>
      <c r="F18832" s="3">
        <v>99</v>
      </c>
      <c r="G18832" t="s">
        <v>513</v>
      </c>
    </row>
    <row r="18833" spans="1:7" x14ac:dyDescent="0.25">
      <c r="A18833" s="1" t="str">
        <f>"512841"</f>
        <v>512841</v>
      </c>
      <c r="B18833" s="2" t="str">
        <f>"PORTA OBJETO PLASTICO"</f>
        <v>PORTA OBJETO PLASTICO</v>
      </c>
      <c r="C18833" s="2" t="str">
        <f t="shared" si="738"/>
        <v>UN</v>
      </c>
      <c r="D18833" s="7">
        <v>401</v>
      </c>
      <c r="E18833" s="3">
        <v>4</v>
      </c>
      <c r="F18833" s="3">
        <v>4</v>
      </c>
      <c r="G18833" t="s">
        <v>513</v>
      </c>
    </row>
    <row r="18834" spans="1:7" x14ac:dyDescent="0.25">
      <c r="A18834" s="1" t="str">
        <f>"521266"</f>
        <v>521266</v>
      </c>
      <c r="B18834" s="2" t="str">
        <f>"PORTA PALLET AREA A"</f>
        <v>PORTA PALLET AREA A</v>
      </c>
      <c r="C18834" s="2" t="str">
        <f t="shared" si="738"/>
        <v>UN</v>
      </c>
      <c r="D18834" s="7">
        <v>918</v>
      </c>
      <c r="E18834" s="3">
        <v>11</v>
      </c>
      <c r="F18834" s="3">
        <v>11</v>
      </c>
      <c r="G18834" t="s">
        <v>512</v>
      </c>
    </row>
    <row r="18835" spans="1:7" x14ac:dyDescent="0.25">
      <c r="A18835" s="1" t="str">
        <f>"521268"</f>
        <v>521268</v>
      </c>
      <c r="B18835" s="2" t="str">
        <f>"PORTA PALLET AREA C"</f>
        <v>PORTA PALLET AREA C</v>
      </c>
      <c r="C18835" s="2" t="str">
        <f t="shared" si="738"/>
        <v>UN</v>
      </c>
      <c r="D18835" s="7">
        <v>918</v>
      </c>
      <c r="E18835" s="3">
        <v>11</v>
      </c>
      <c r="F18835" s="3">
        <v>11</v>
      </c>
      <c r="G18835" t="s">
        <v>513</v>
      </c>
    </row>
    <row r="18836" spans="1:7" x14ac:dyDescent="0.25">
      <c r="A18836" s="1" t="str">
        <f>"521142"</f>
        <v>521142</v>
      </c>
      <c r="B18836" s="2" t="str">
        <f>"PORTA PARA ARMARIO"</f>
        <v>PORTA PARA ARMARIO</v>
      </c>
      <c r="C18836" s="2" t="str">
        <f t="shared" si="738"/>
        <v>UN</v>
      </c>
      <c r="D18836" s="7">
        <v>1200</v>
      </c>
      <c r="E18836" s="3">
        <v>4</v>
      </c>
      <c r="F18836" s="3">
        <v>4</v>
      </c>
      <c r="G18836" t="s">
        <v>514</v>
      </c>
    </row>
    <row r="18837" spans="1:7" x14ac:dyDescent="0.25">
      <c r="A18837" s="1" t="str">
        <f>"527838"</f>
        <v>527838</v>
      </c>
      <c r="B18837" s="2" t="str">
        <f>"PORTA PIVOTANTE EM VIDRO FUMÊ 0,01M X 0,8M X 2,1M"</f>
        <v>PORTA PIVOTANTE EM VIDRO FUMÊ 0,01M X 0,8M X 2,1M</v>
      </c>
      <c r="C18837" s="2" t="str">
        <f t="shared" si="738"/>
        <v>UN</v>
      </c>
      <c r="D18837" s="7">
        <v>803</v>
      </c>
      <c r="E18837" s="3">
        <v>10</v>
      </c>
      <c r="F18837" s="3">
        <v>10</v>
      </c>
      <c r="G18837" t="s">
        <v>515</v>
      </c>
    </row>
    <row r="18838" spans="1:7" x14ac:dyDescent="0.25">
      <c r="A18838" s="1" t="str">
        <f>"527569"</f>
        <v>527569</v>
      </c>
      <c r="B18838" s="2" t="str">
        <f>"PORTA PVC 1 FOLHA ESTRUTURA INOX 0,82 X 2,00M"</f>
        <v>PORTA PVC 1 FOLHA ESTRUTURA INOX 0,82 X 2,00M</v>
      </c>
      <c r="C18838" s="2" t="str">
        <f t="shared" si="738"/>
        <v>UN</v>
      </c>
      <c r="D18838" s="7">
        <v>917</v>
      </c>
      <c r="E18838" s="3">
        <v>10</v>
      </c>
      <c r="F18838" s="3">
        <v>10</v>
      </c>
      <c r="G18838" t="s">
        <v>512</v>
      </c>
    </row>
    <row r="18839" spans="1:7" x14ac:dyDescent="0.25">
      <c r="A18839" s="1" t="str">
        <f>"527571"</f>
        <v>527571</v>
      </c>
      <c r="B18839" s="2" t="str">
        <f>"PORTA PVC 2 FOLHAS ESTRUTURA INOX 1,20  X 2,00M"</f>
        <v>PORTA PVC 2 FOLHAS ESTRUTURA INOX 1,20  X 2,00M</v>
      </c>
      <c r="C18839" s="2" t="str">
        <f t="shared" si="738"/>
        <v>UN</v>
      </c>
      <c r="D18839" s="7">
        <v>917</v>
      </c>
      <c r="E18839" s="3">
        <v>10</v>
      </c>
      <c r="F18839" s="3">
        <v>10</v>
      </c>
      <c r="G18839" t="s">
        <v>516</v>
      </c>
    </row>
    <row r="18840" spans="1:7" x14ac:dyDescent="0.25">
      <c r="A18840" s="1" t="str">
        <f>"527570"</f>
        <v>527570</v>
      </c>
      <c r="B18840" s="2" t="str">
        <f>"PORTA PVC 2 FOLHAS ESTRUTURA INOX 1,30  X 2,00M"</f>
        <v>PORTA PVC 2 FOLHAS ESTRUTURA INOX 1,30  X 2,00M</v>
      </c>
      <c r="C18840" s="2" t="str">
        <f t="shared" si="738"/>
        <v>UN</v>
      </c>
      <c r="D18840" s="7">
        <v>917</v>
      </c>
      <c r="E18840" s="3">
        <v>10</v>
      </c>
      <c r="F18840" s="3">
        <v>10</v>
      </c>
      <c r="G18840" t="s">
        <v>515</v>
      </c>
    </row>
    <row r="18841" spans="1:7" x14ac:dyDescent="0.25">
      <c r="A18841" s="1" t="str">
        <f>"519128"</f>
        <v>519128</v>
      </c>
      <c r="B18841" s="2" t="str">
        <f>"PORTA QUADRO"</f>
        <v>PORTA QUADRO</v>
      </c>
      <c r="C18841" s="2" t="str">
        <f t="shared" si="738"/>
        <v>UN</v>
      </c>
      <c r="D18841" s="7">
        <v>401</v>
      </c>
      <c r="E18841" s="3">
        <v>4</v>
      </c>
      <c r="F18841" s="3">
        <v>4</v>
      </c>
      <c r="G18841" t="s">
        <v>514</v>
      </c>
    </row>
    <row r="18842" spans="1:7" x14ac:dyDescent="0.25">
      <c r="A18842" s="1" t="str">
        <f>"527046"</f>
        <v>527046</v>
      </c>
      <c r="B18842" s="2" t="str">
        <f>"PORTA RÁPIDA MODELO RP - PINTADA 2500x2700"</f>
        <v>PORTA RÁPIDA MODELO RP - PINTADA 2500x2700</v>
      </c>
      <c r="C18842" s="2" t="str">
        <f t="shared" si="738"/>
        <v>UN</v>
      </c>
      <c r="D18842" s="7">
        <v>917</v>
      </c>
      <c r="E18842" s="3">
        <v>10</v>
      </c>
      <c r="F18842" s="3">
        <v>10</v>
      </c>
      <c r="G18842" t="s">
        <v>512</v>
      </c>
    </row>
    <row r="18843" spans="1:7" x14ac:dyDescent="0.25">
      <c r="A18843" s="1" t="str">
        <f>"516225"</f>
        <v>516225</v>
      </c>
      <c r="B18843" s="2" t="str">
        <f>"PORTA SAIDA EMERGENCIA 1500MM"</f>
        <v>PORTA SAIDA EMERGENCIA 1500MM</v>
      </c>
      <c r="C18843" s="2" t="str">
        <f t="shared" si="738"/>
        <v>UN</v>
      </c>
      <c r="D18843" s="7">
        <v>917</v>
      </c>
      <c r="E18843" s="3">
        <v>10</v>
      </c>
      <c r="F18843" s="3">
        <v>10</v>
      </c>
      <c r="G18843" t="s">
        <v>513</v>
      </c>
    </row>
    <row r="18844" spans="1:7" x14ac:dyDescent="0.25">
      <c r="A18844" s="1" t="str">
        <f>"525997"</f>
        <v>525997</v>
      </c>
      <c r="B18844" s="2" t="str">
        <f>"PORTA SANFONADA EM PVC 90CM"</f>
        <v>PORTA SANFONADA EM PVC 90CM</v>
      </c>
      <c r="C18844" s="2" t="str">
        <f t="shared" si="738"/>
        <v>UN</v>
      </c>
      <c r="D18844" s="7">
        <v>99999</v>
      </c>
      <c r="E18844" s="3">
        <v>99</v>
      </c>
      <c r="F18844" s="3">
        <v>99</v>
      </c>
      <c r="G18844" t="s">
        <v>514</v>
      </c>
    </row>
    <row r="18845" spans="1:7" x14ac:dyDescent="0.25">
      <c r="A18845" s="1" t="str">
        <f>"522302"</f>
        <v>522302</v>
      </c>
      <c r="B18845" s="2" t="str">
        <f>"PORTA SECC. MANUAL HIGH LIFT 2350X2300 DISP.RUPT/CABO/MOLA"</f>
        <v>PORTA SECC. MANUAL HIGH LIFT 2350X2300 DISP.RUPT/CABO/MOLA</v>
      </c>
      <c r="C18845" s="2" t="str">
        <f t="shared" si="738"/>
        <v>UN</v>
      </c>
      <c r="D18845" s="7">
        <v>917</v>
      </c>
      <c r="E18845" s="3">
        <v>10</v>
      </c>
      <c r="F18845" s="3">
        <v>10</v>
      </c>
      <c r="G18845" t="s">
        <v>514</v>
      </c>
    </row>
    <row r="18846" spans="1:7" x14ac:dyDescent="0.25">
      <c r="A18846" s="1" t="str">
        <f>"520919"</f>
        <v>520919</v>
      </c>
      <c r="B18846" s="2" t="str">
        <f>"PORTA SECC.HIGH LIFT 2400 X 2400 C/ DISP. RUPT. DE CABO/MOLA"</f>
        <v>PORTA SECC.HIGH LIFT 2400 X 2400 C/ DISP. RUPT. DE CABO/MOLA</v>
      </c>
      <c r="C18846" s="2" t="str">
        <f t="shared" si="738"/>
        <v>UN</v>
      </c>
      <c r="D18846" s="7">
        <v>914</v>
      </c>
      <c r="E18846" s="3">
        <v>10</v>
      </c>
      <c r="F18846" s="3">
        <v>10</v>
      </c>
      <c r="G18846" t="s">
        <v>512</v>
      </c>
    </row>
    <row r="18847" spans="1:7" x14ac:dyDescent="0.25">
      <c r="A18847" s="1" t="str">
        <f>"511320"</f>
        <v>511320</v>
      </c>
      <c r="B18847" s="2" t="str">
        <f>"PORTA SELADOR DIAMETRO 100 B209-113"</f>
        <v>PORTA SELADOR DIAMETRO 100 B209-113</v>
      </c>
      <c r="C18847" s="2" t="str">
        <f t="shared" si="738"/>
        <v>UN</v>
      </c>
      <c r="D18847" s="7">
        <v>918</v>
      </c>
      <c r="E18847" s="3">
        <v>11</v>
      </c>
      <c r="F18847" s="3">
        <v>11</v>
      </c>
      <c r="G18847" t="s">
        <v>513</v>
      </c>
    </row>
    <row r="18848" spans="1:7" x14ac:dyDescent="0.25">
      <c r="A18848" s="1" t="str">
        <f>"512851"</f>
        <v>512851</v>
      </c>
      <c r="B18848" s="2" t="str">
        <f>"PORTA TALHER"</f>
        <v>PORTA TALHER</v>
      </c>
      <c r="C18848" s="2" t="str">
        <f t="shared" si="738"/>
        <v>UN</v>
      </c>
      <c r="D18848" s="7">
        <v>99999</v>
      </c>
      <c r="E18848" s="3">
        <v>99</v>
      </c>
      <c r="F18848" s="3">
        <v>99</v>
      </c>
      <c r="G18848" t="s">
        <v>514</v>
      </c>
    </row>
    <row r="18849" spans="1:7" x14ac:dyDescent="0.25">
      <c r="A18849" s="1" t="str">
        <f>"525584"</f>
        <v>525584</v>
      </c>
      <c r="B18849" s="2" t="str">
        <f>"PORTA TAMPA FLEX COM DOBRA"</f>
        <v>PORTA TAMPA FLEX COM DOBRA</v>
      </c>
      <c r="C18849" s="2" t="str">
        <f t="shared" si="738"/>
        <v>UN</v>
      </c>
      <c r="D18849" s="7">
        <v>1300</v>
      </c>
      <c r="E18849" s="3">
        <v>10</v>
      </c>
      <c r="F18849" s="3">
        <v>10</v>
      </c>
      <c r="G18849" t="s">
        <v>514</v>
      </c>
    </row>
    <row r="18850" spans="1:7" x14ac:dyDescent="0.25">
      <c r="A18850" s="1" t="str">
        <f>"517948"</f>
        <v>517948</v>
      </c>
      <c r="B18850" s="2" t="str">
        <f>"PORTAAB VENEZIANA (E) ALFIT BR 78411040 215X87X3,15MM"</f>
        <v>PORTAAB VENEZIANA (E) ALFIT BR 78411040 215X87X3,15MM</v>
      </c>
      <c r="C18850" s="2" t="str">
        <f t="shared" si="738"/>
        <v>UN</v>
      </c>
      <c r="D18850" s="7">
        <v>917</v>
      </c>
      <c r="E18850" s="3">
        <v>10</v>
      </c>
      <c r="F18850" s="3">
        <v>10</v>
      </c>
      <c r="G18850" t="s">
        <v>514</v>
      </c>
    </row>
    <row r="18851" spans="1:7" x14ac:dyDescent="0.25">
      <c r="A18851" s="1" t="str">
        <f>"509334"</f>
        <v>509334</v>
      </c>
      <c r="B18851" s="2" t="str">
        <f>"PORTEIRO ELETRONICO F8-AZ HDL"</f>
        <v>PORTEIRO ELETRONICO F8-AZ HDL</v>
      </c>
      <c r="C18851" s="2" t="str">
        <f>"PC"</f>
        <v>PC</v>
      </c>
      <c r="D18851" s="7">
        <v>601</v>
      </c>
      <c r="E18851" s="3">
        <v>8</v>
      </c>
      <c r="F18851" s="3">
        <v>8</v>
      </c>
      <c r="G18851" t="s">
        <v>513</v>
      </c>
    </row>
    <row r="18852" spans="1:7" x14ac:dyDescent="0.25">
      <c r="A18852" s="1" t="str">
        <f>"516885"</f>
        <v>516885</v>
      </c>
      <c r="B18852" s="2" t="str">
        <f>"PORTEIRO ELETRONICO VID PINH COLOR 60HZ SENSE"</f>
        <v>PORTEIRO ELETRONICO VID PINH COLOR 60HZ SENSE</v>
      </c>
      <c r="C18852" s="2" t="str">
        <f t="shared" ref="C18852:C18883" si="739">"UN"</f>
        <v>UN</v>
      </c>
      <c r="D18852" s="7">
        <v>811</v>
      </c>
      <c r="E18852" s="3">
        <v>8</v>
      </c>
      <c r="F18852" s="3">
        <v>8</v>
      </c>
      <c r="G18852" t="s">
        <v>512</v>
      </c>
    </row>
    <row r="18853" spans="1:7" x14ac:dyDescent="0.25">
      <c r="A18853" s="1" t="str">
        <f>"507273"</f>
        <v>507273</v>
      </c>
      <c r="B18853" s="2" t="str">
        <f>"POSICIONADOR DE ROTULOS"</f>
        <v>POSICIONADOR DE ROTULOS</v>
      </c>
      <c r="C18853" s="2" t="str">
        <f t="shared" si="739"/>
        <v>UN</v>
      </c>
      <c r="D18853" s="7">
        <v>1300</v>
      </c>
      <c r="E18853" s="3">
        <v>13</v>
      </c>
      <c r="F18853" s="3">
        <v>13</v>
      </c>
      <c r="G18853" t="s">
        <v>513</v>
      </c>
    </row>
    <row r="18854" spans="1:7" x14ac:dyDescent="0.25">
      <c r="A18854" s="1" t="str">
        <f>"527980"</f>
        <v>527980</v>
      </c>
      <c r="B18854" s="2" t="str">
        <f>"POSICIONADOR DE ROTULOS"</f>
        <v>POSICIONADOR DE ROTULOS</v>
      </c>
      <c r="C18854" s="2" t="str">
        <f t="shared" si="739"/>
        <v>UN</v>
      </c>
      <c r="D18854" s="7">
        <v>812</v>
      </c>
      <c r="E18854" s="3">
        <v>11</v>
      </c>
      <c r="F18854" s="3">
        <v>11</v>
      </c>
      <c r="G18854" t="s">
        <v>514</v>
      </c>
    </row>
    <row r="18855" spans="1:7" x14ac:dyDescent="0.25">
      <c r="A18855" s="1" t="str">
        <f>"515960"</f>
        <v>515960</v>
      </c>
      <c r="B18855" s="2" t="str">
        <f>"POSICIONADORA FRASCOS POSIMEC"</f>
        <v>POSICIONADORA FRASCOS POSIMEC</v>
      </c>
      <c r="C18855" s="2" t="str">
        <f t="shared" si="739"/>
        <v>UN</v>
      </c>
      <c r="D18855" s="7">
        <v>99999</v>
      </c>
      <c r="E18855" s="3">
        <v>99</v>
      </c>
      <c r="F18855" s="3">
        <v>99</v>
      </c>
      <c r="G18855" t="s">
        <v>514</v>
      </c>
    </row>
    <row r="18856" spans="1:7" x14ac:dyDescent="0.25">
      <c r="A18856" s="1" t="str">
        <f>"520987"</f>
        <v>520987</v>
      </c>
      <c r="B18856" s="2" t="str">
        <f>"POSICIONADORES DE OFERTA"</f>
        <v>POSICIONADORES DE OFERTA</v>
      </c>
      <c r="C18856" s="2" t="str">
        <f t="shared" si="739"/>
        <v>UN</v>
      </c>
      <c r="D18856" s="7">
        <v>401</v>
      </c>
      <c r="E18856" s="3">
        <v>4</v>
      </c>
      <c r="F18856" s="3">
        <v>4</v>
      </c>
      <c r="G18856" t="s">
        <v>514</v>
      </c>
    </row>
    <row r="18857" spans="1:7" x14ac:dyDescent="0.25">
      <c r="A18857" s="1" t="str">
        <f>"522686"</f>
        <v>522686</v>
      </c>
      <c r="B18857" s="2" t="str">
        <f>"POSTE 11MTS CONCRETO CIRC. 1000 daN"</f>
        <v>POSTE 11MTS CONCRETO CIRC. 1000 daN</v>
      </c>
      <c r="C18857" s="2" t="str">
        <f t="shared" si="739"/>
        <v>UN</v>
      </c>
      <c r="D18857" s="7">
        <v>811</v>
      </c>
      <c r="E18857" s="3">
        <v>8</v>
      </c>
      <c r="F18857" s="3">
        <v>8</v>
      </c>
      <c r="G18857" t="s">
        <v>513</v>
      </c>
    </row>
    <row r="18858" spans="1:7" x14ac:dyDescent="0.25">
      <c r="A18858" s="1" t="str">
        <f>"514658"</f>
        <v>514658</v>
      </c>
      <c r="B18858" s="2" t="str">
        <f>"POSTE CLARAO ALUM. PJ 74/1"</f>
        <v>POSTE CLARAO ALUM. PJ 74/1</v>
      </c>
      <c r="C18858" s="2" t="str">
        <f t="shared" si="739"/>
        <v>UN</v>
      </c>
      <c r="D18858" s="7">
        <v>601</v>
      </c>
      <c r="E18858" s="3">
        <v>8</v>
      </c>
      <c r="F18858" s="3">
        <v>8</v>
      </c>
      <c r="G18858" t="s">
        <v>513</v>
      </c>
    </row>
    <row r="18859" spans="1:7" x14ac:dyDescent="0.25">
      <c r="A18859" s="1" t="str">
        <f>"516156"</f>
        <v>516156</v>
      </c>
      <c r="B18859" s="2" t="str">
        <f>"POSTE CONCRETO ALAMBRADO 2,5MT 20X20"</f>
        <v>POSTE CONCRETO ALAMBRADO 2,5MT 20X20</v>
      </c>
      <c r="C18859" s="2" t="str">
        <f t="shared" si="739"/>
        <v>UN</v>
      </c>
      <c r="D18859" s="7">
        <v>917</v>
      </c>
      <c r="E18859" s="3">
        <v>10</v>
      </c>
      <c r="F18859" s="3">
        <v>10</v>
      </c>
      <c r="G18859" t="s">
        <v>513</v>
      </c>
    </row>
    <row r="18860" spans="1:7" x14ac:dyDescent="0.25">
      <c r="A18860" s="1" t="str">
        <f>"509394"</f>
        <v>509394</v>
      </c>
      <c r="B18860" s="2" t="str">
        <f>"POSTE CONCRETO ALAMBRADO 2,8 X 0,40MT 10X10CM"</f>
        <v>POSTE CONCRETO ALAMBRADO 2,8 X 0,40MT 10X10CM</v>
      </c>
      <c r="C18860" s="2" t="str">
        <f t="shared" si="739"/>
        <v>UN</v>
      </c>
      <c r="D18860" s="7">
        <v>917</v>
      </c>
      <c r="E18860" s="3">
        <v>11</v>
      </c>
      <c r="F18860" s="3">
        <v>11</v>
      </c>
      <c r="G18860" t="s">
        <v>512</v>
      </c>
    </row>
    <row r="18861" spans="1:7" x14ac:dyDescent="0.25">
      <c r="A18861" s="1" t="str">
        <f>"518764"</f>
        <v>518764</v>
      </c>
      <c r="B18861" s="2" t="str">
        <f>"POSTE CONCRETO ARMADO 7,5 X 600 DAN 1CX"</f>
        <v>POSTE CONCRETO ARMADO 7,5 X 600 DAN 1CX</v>
      </c>
      <c r="C18861" s="2" t="str">
        <f t="shared" si="739"/>
        <v>UN</v>
      </c>
      <c r="D18861" s="7">
        <v>811</v>
      </c>
      <c r="E18861" s="3">
        <v>8</v>
      </c>
      <c r="F18861" s="3">
        <v>8</v>
      </c>
      <c r="G18861" t="s">
        <v>513</v>
      </c>
    </row>
    <row r="18862" spans="1:7" x14ac:dyDescent="0.25">
      <c r="A18862" s="1" t="str">
        <f>"518875"</f>
        <v>518875</v>
      </c>
      <c r="B18862" s="2" t="str">
        <f>"POSTE CONCRETO ARMADO 7,5 X 90 DAN"</f>
        <v>POSTE CONCRETO ARMADO 7,5 X 90 DAN</v>
      </c>
      <c r="C18862" s="2" t="str">
        <f t="shared" si="739"/>
        <v>UN</v>
      </c>
      <c r="D18862" s="7">
        <v>811</v>
      </c>
      <c r="E18862" s="3">
        <v>8</v>
      </c>
      <c r="F18862" s="3">
        <v>8</v>
      </c>
      <c r="G18862" t="s">
        <v>514</v>
      </c>
    </row>
    <row r="18863" spans="1:7" x14ac:dyDescent="0.25">
      <c r="A18863" s="1" t="str">
        <f>"501825"</f>
        <v>501825</v>
      </c>
      <c r="B18863" s="2" t="str">
        <f>"POSTE DE CONCRETO 7,5MT X 0,90MT P/ ILUMINAÇÃO"</f>
        <v>POSTE DE CONCRETO 7,5MT X 0,90MT P/ ILUMINAÇÃO</v>
      </c>
      <c r="C18863" s="2" t="str">
        <f t="shared" si="739"/>
        <v>UN</v>
      </c>
      <c r="D18863" s="7">
        <v>403</v>
      </c>
      <c r="E18863" s="3">
        <v>4</v>
      </c>
      <c r="F18863" s="3">
        <v>4</v>
      </c>
      <c r="G18863" t="s">
        <v>515</v>
      </c>
    </row>
    <row r="18864" spans="1:7" x14ac:dyDescent="0.25">
      <c r="A18864" s="1" t="str">
        <f>"515535"</f>
        <v>515535</v>
      </c>
      <c r="B18864" s="2" t="str">
        <f>"POSTE EW35"</f>
        <v>POSTE EW35</v>
      </c>
      <c r="C18864" s="2" t="str">
        <f t="shared" si="739"/>
        <v>UN</v>
      </c>
      <c r="D18864" s="7">
        <v>811</v>
      </c>
      <c r="E18864" s="3">
        <v>8</v>
      </c>
      <c r="F18864" s="3">
        <v>8</v>
      </c>
      <c r="G18864" t="s">
        <v>512</v>
      </c>
    </row>
    <row r="18865" spans="1:7" x14ac:dyDescent="0.25">
      <c r="A18865" s="1" t="str">
        <f>"505625"</f>
        <v>505625</v>
      </c>
      <c r="B18865" s="2" t="str">
        <f>"POSTE FERRO PADRAO CPFL 6MT"</f>
        <v>POSTE FERRO PADRAO CPFL 6MT</v>
      </c>
      <c r="C18865" s="2" t="str">
        <f t="shared" si="739"/>
        <v>UN</v>
      </c>
      <c r="D18865" s="7">
        <v>601</v>
      </c>
      <c r="E18865" s="3">
        <v>8</v>
      </c>
      <c r="F18865" s="3">
        <v>8</v>
      </c>
      <c r="G18865" t="s">
        <v>516</v>
      </c>
    </row>
    <row r="18866" spans="1:7" x14ac:dyDescent="0.25">
      <c r="A18866" s="1" t="str">
        <f>"505948"</f>
        <v>505948</v>
      </c>
      <c r="B18866" s="2" t="str">
        <f>"POSTE TRILHO CONECTOR SAK"</f>
        <v>POSTE TRILHO CONECTOR SAK</v>
      </c>
      <c r="C18866" s="2" t="str">
        <f t="shared" si="739"/>
        <v>UN</v>
      </c>
      <c r="D18866" s="7">
        <v>601</v>
      </c>
      <c r="E18866" s="3">
        <v>8</v>
      </c>
      <c r="F18866" s="3">
        <v>8</v>
      </c>
      <c r="G18866" t="s">
        <v>515</v>
      </c>
    </row>
    <row r="18867" spans="1:7" x14ac:dyDescent="0.25">
      <c r="A18867" s="1" t="str">
        <f>"512992"</f>
        <v>512992</v>
      </c>
      <c r="B18867" s="2" t="str">
        <f>"POSTIÇO DES E4199-30207"</f>
        <v>POSTIÇO DES E4199-30207</v>
      </c>
      <c r="C18867" s="2" t="str">
        <f t="shared" si="739"/>
        <v>UN</v>
      </c>
      <c r="D18867" s="7">
        <v>918</v>
      </c>
      <c r="E18867" s="3">
        <v>11</v>
      </c>
      <c r="F18867" s="3">
        <v>11</v>
      </c>
      <c r="G18867" t="s">
        <v>514</v>
      </c>
    </row>
    <row r="18868" spans="1:7" x14ac:dyDescent="0.25">
      <c r="A18868" s="1" t="str">
        <f>"524283"</f>
        <v>524283</v>
      </c>
      <c r="B18868" s="2" t="str">
        <f>"POST-IT 37,5 X 50MM"</f>
        <v>POST-IT 37,5 X 50MM</v>
      </c>
      <c r="C18868" s="2" t="str">
        <f t="shared" si="739"/>
        <v>UN</v>
      </c>
      <c r="D18868" s="7">
        <v>99999</v>
      </c>
      <c r="E18868" s="3">
        <v>99</v>
      </c>
      <c r="F18868" s="3">
        <v>99</v>
      </c>
      <c r="G18868" t="s">
        <v>512</v>
      </c>
    </row>
    <row r="18869" spans="1:7" x14ac:dyDescent="0.25">
      <c r="A18869" s="1" t="str">
        <f>"513778"</f>
        <v>513778</v>
      </c>
      <c r="B18869" s="2" t="str">
        <f>"POST-IT 75 X 75MM"</f>
        <v>POST-IT 75 X 75MM</v>
      </c>
      <c r="C18869" s="2" t="str">
        <f t="shared" si="739"/>
        <v>UN</v>
      </c>
      <c r="D18869" s="7">
        <v>99999</v>
      </c>
      <c r="E18869" s="3">
        <v>99</v>
      </c>
      <c r="F18869" s="3">
        <v>99</v>
      </c>
      <c r="G18869" t="s">
        <v>513</v>
      </c>
    </row>
    <row r="18870" spans="1:7" x14ac:dyDescent="0.25">
      <c r="A18870" s="1" t="str">
        <f>"527337"</f>
        <v>527337</v>
      </c>
      <c r="B18870" s="2" t="str">
        <f>"POST-IT PLASTICO (SETA)"</f>
        <v>POST-IT PLASTICO (SETA)</v>
      </c>
      <c r="C18870" s="2" t="str">
        <f t="shared" si="739"/>
        <v>UN</v>
      </c>
      <c r="D18870" s="7">
        <v>99999</v>
      </c>
      <c r="E18870" s="3">
        <v>99</v>
      </c>
      <c r="F18870" s="3">
        <v>99</v>
      </c>
      <c r="G18870" t="s">
        <v>514</v>
      </c>
    </row>
    <row r="18871" spans="1:7" x14ac:dyDescent="0.25">
      <c r="A18871" s="1" t="str">
        <f>"518574"</f>
        <v>518574</v>
      </c>
      <c r="B18871" s="2" t="str">
        <f>"POTATO DEXTROSE AGAR GRANULADO"</f>
        <v>POTATO DEXTROSE AGAR GRANULADO</v>
      </c>
      <c r="C18871" s="2" t="str">
        <f t="shared" si="739"/>
        <v>UN</v>
      </c>
      <c r="D18871" s="7">
        <v>406</v>
      </c>
      <c r="E18871" s="3">
        <v>4</v>
      </c>
      <c r="F18871" s="3">
        <v>4</v>
      </c>
      <c r="G18871" t="s">
        <v>514</v>
      </c>
    </row>
    <row r="18872" spans="1:7" x14ac:dyDescent="0.25">
      <c r="A18872" s="1" t="str">
        <f>"527602"</f>
        <v>527602</v>
      </c>
      <c r="B18872" s="2" t="str">
        <f>"POTE DE ALUMÍNIO"</f>
        <v>POTE DE ALUMÍNIO</v>
      </c>
      <c r="C18872" s="2" t="str">
        <f t="shared" si="739"/>
        <v>UN</v>
      </c>
      <c r="D18872" s="7">
        <v>99999</v>
      </c>
      <c r="E18872" s="3">
        <v>99</v>
      </c>
      <c r="F18872" s="3">
        <v>99</v>
      </c>
      <c r="G18872" t="s">
        <v>512</v>
      </c>
    </row>
    <row r="18873" spans="1:7" x14ac:dyDescent="0.25">
      <c r="A18873" s="1" t="str">
        <f>"514598"</f>
        <v>514598</v>
      </c>
      <c r="B18873" s="2" t="str">
        <f>"POTE DE PLASTICO"</f>
        <v>POTE DE PLASTICO</v>
      </c>
      <c r="C18873" s="2" t="str">
        <f t="shared" si="739"/>
        <v>UN</v>
      </c>
      <c r="D18873" s="7">
        <v>401</v>
      </c>
      <c r="E18873" s="3">
        <v>4</v>
      </c>
      <c r="F18873" s="3">
        <v>4</v>
      </c>
      <c r="G18873" t="s">
        <v>513</v>
      </c>
    </row>
    <row r="18874" spans="1:7" x14ac:dyDescent="0.25">
      <c r="A18874" s="1" t="str">
        <f>"2504"</f>
        <v>2504</v>
      </c>
      <c r="B18874" s="2" t="str">
        <f>"POTE PARA REQUEIJAO 200GR FUNDO FALSO"</f>
        <v>POTE PARA REQUEIJAO 200GR FUNDO FALSO</v>
      </c>
      <c r="C18874" s="2" t="str">
        <f t="shared" si="739"/>
        <v>UN</v>
      </c>
      <c r="D18874" s="7">
        <v>103</v>
      </c>
      <c r="E18874" s="3">
        <v>1</v>
      </c>
      <c r="F18874" s="3">
        <v>1</v>
      </c>
      <c r="G18874" t="s">
        <v>514</v>
      </c>
    </row>
    <row r="18875" spans="1:7" x14ac:dyDescent="0.25">
      <c r="A18875" s="1" t="str">
        <f>"5934"</f>
        <v>5934</v>
      </c>
      <c r="B18875" s="2" t="str">
        <f>"POTE PARA REQUEIJAO 220GR PLASTICO"</f>
        <v>POTE PARA REQUEIJAO 220GR PLASTICO</v>
      </c>
      <c r="C18875" s="2" t="str">
        <f t="shared" si="739"/>
        <v>UN</v>
      </c>
      <c r="D18875" s="7">
        <v>103</v>
      </c>
      <c r="E18875" s="3">
        <v>1</v>
      </c>
      <c r="F18875" s="3">
        <v>1</v>
      </c>
      <c r="G18875" t="s">
        <v>514</v>
      </c>
    </row>
    <row r="18876" spans="1:7" x14ac:dyDescent="0.25">
      <c r="A18876" s="1" t="str">
        <f>"3024"</f>
        <v>3024</v>
      </c>
      <c r="B18876" s="2" t="str">
        <f>"POTE PARA REQUEIJAO 250GR PLASTICO"</f>
        <v>POTE PARA REQUEIJAO 250GR PLASTICO</v>
      </c>
      <c r="C18876" s="2" t="str">
        <f t="shared" si="739"/>
        <v>UN</v>
      </c>
      <c r="D18876" s="7">
        <v>103</v>
      </c>
      <c r="E18876" s="3">
        <v>1</v>
      </c>
      <c r="F18876" s="3">
        <v>1</v>
      </c>
      <c r="G18876" t="s">
        <v>514</v>
      </c>
    </row>
    <row r="18877" spans="1:7" x14ac:dyDescent="0.25">
      <c r="A18877" s="1" t="str">
        <f>"6111"</f>
        <v>6111</v>
      </c>
      <c r="B18877" s="2" t="str">
        <f>"POTE PARA REQUEIJÃO 500GR - 500.100 NT"</f>
        <v>POTE PARA REQUEIJÃO 500GR - 500.100 NT</v>
      </c>
      <c r="C18877" s="2" t="str">
        <f t="shared" si="739"/>
        <v>UN</v>
      </c>
      <c r="D18877" s="7">
        <v>115</v>
      </c>
      <c r="E18877" s="3">
        <v>1</v>
      </c>
      <c r="F18877" s="3">
        <v>1</v>
      </c>
      <c r="G18877" t="s">
        <v>513</v>
      </c>
    </row>
    <row r="18878" spans="1:7" x14ac:dyDescent="0.25">
      <c r="A18878" s="1" t="str">
        <f>"6852"</f>
        <v>6852</v>
      </c>
      <c r="B18878" s="2" t="str">
        <f>"POTE PP DIVERSOS DIAMETROS (S/P)"</f>
        <v>POTE PP DIVERSOS DIAMETROS (S/P)</v>
      </c>
      <c r="C18878" s="2" t="str">
        <f t="shared" si="739"/>
        <v>UN</v>
      </c>
      <c r="D18878" s="7">
        <v>103</v>
      </c>
      <c r="E18878" s="3">
        <v>1</v>
      </c>
      <c r="F18878" s="3">
        <v>1</v>
      </c>
      <c r="G18878" t="s">
        <v>512</v>
      </c>
    </row>
    <row r="18879" spans="1:7" x14ac:dyDescent="0.25">
      <c r="A18879" s="1" t="str">
        <f>"4071"</f>
        <v>4071</v>
      </c>
      <c r="B18879" s="2" t="str">
        <f>"POTE PP REQ 420/100 TRANSP C/1000 CX 500 CÓD 16566"</f>
        <v>POTE PP REQ 420/100 TRANSP C/1000 CX 500 CÓD 16566</v>
      </c>
      <c r="C18879" s="2" t="str">
        <f t="shared" si="739"/>
        <v>UN</v>
      </c>
      <c r="D18879" s="7">
        <v>115</v>
      </c>
      <c r="E18879" s="3">
        <v>1</v>
      </c>
      <c r="F18879" s="3">
        <v>1</v>
      </c>
      <c r="G18879" t="s">
        <v>513</v>
      </c>
    </row>
    <row r="18880" spans="1:7" x14ac:dyDescent="0.25">
      <c r="A18880" s="1" t="str">
        <f>"5976"</f>
        <v>5976</v>
      </c>
      <c r="B18880" s="2" t="str">
        <f>"POTE REQUEIJAO BOCA 68MM -  CÓD.200.68"</f>
        <v>POTE REQUEIJAO BOCA 68MM -  CÓD.200.68</v>
      </c>
      <c r="C18880" s="2" t="str">
        <f t="shared" si="739"/>
        <v>UN</v>
      </c>
      <c r="D18880" s="7">
        <v>115</v>
      </c>
      <c r="E18880" s="3">
        <v>1</v>
      </c>
      <c r="F18880" s="3">
        <v>1</v>
      </c>
      <c r="G18880" t="s">
        <v>514</v>
      </c>
    </row>
    <row r="18881" spans="1:7" x14ac:dyDescent="0.25">
      <c r="A18881" s="1" t="str">
        <f>"522517"</f>
        <v>522517</v>
      </c>
      <c r="B18881" s="2" t="str">
        <f>"POTENCIOMETRO"</f>
        <v>POTENCIOMETRO</v>
      </c>
      <c r="C18881" s="2" t="str">
        <f t="shared" si="739"/>
        <v>UN</v>
      </c>
      <c r="D18881" s="7">
        <v>918</v>
      </c>
      <c r="E18881" s="3">
        <v>10</v>
      </c>
      <c r="F18881" s="3">
        <v>10</v>
      </c>
      <c r="G18881" t="s">
        <v>514</v>
      </c>
    </row>
    <row r="18882" spans="1:7" x14ac:dyDescent="0.25">
      <c r="A18882" s="1" t="str">
        <f>"500725"</f>
        <v>500725</v>
      </c>
      <c r="B18882" s="2" t="str">
        <f>"POTENCIOMETRO 100K. MAQ SAQUINHO"</f>
        <v>POTENCIOMETRO 100K. MAQ SAQUINHO</v>
      </c>
      <c r="C18882" s="2" t="str">
        <f t="shared" si="739"/>
        <v>UN</v>
      </c>
      <c r="D18882" s="7">
        <v>600</v>
      </c>
      <c r="E18882" s="3">
        <v>8</v>
      </c>
      <c r="F18882" s="3">
        <v>8</v>
      </c>
      <c r="G18882" t="s">
        <v>514</v>
      </c>
    </row>
    <row r="18883" spans="1:7" x14ac:dyDescent="0.25">
      <c r="A18883" s="1" t="str">
        <f>"505622"</f>
        <v>505622</v>
      </c>
      <c r="B18883" s="2" t="str">
        <f>"POTENCIOMETRO 10K"</f>
        <v>POTENCIOMETRO 10K</v>
      </c>
      <c r="C18883" s="2" t="str">
        <f t="shared" si="739"/>
        <v>UN</v>
      </c>
      <c r="D18883" s="7">
        <v>900</v>
      </c>
      <c r="E18883" s="3">
        <v>11</v>
      </c>
      <c r="F18883" s="3">
        <v>11</v>
      </c>
      <c r="G18883" t="s">
        <v>513</v>
      </c>
    </row>
    <row r="18884" spans="1:7" x14ac:dyDescent="0.25">
      <c r="A18884" s="1" t="str">
        <f>"504123"</f>
        <v>504123</v>
      </c>
      <c r="B18884" s="2" t="str">
        <f>"POTENCIOMETRO 150K MAQ. SAQUINHO"</f>
        <v>POTENCIOMETRO 150K MAQ. SAQUINHO</v>
      </c>
      <c r="C18884" s="2" t="str">
        <f t="shared" ref="C18884:C18904" si="740">"UN"</f>
        <v>UN</v>
      </c>
      <c r="D18884" s="7">
        <v>600</v>
      </c>
      <c r="E18884" s="3">
        <v>8</v>
      </c>
      <c r="F18884" s="3">
        <v>8</v>
      </c>
      <c r="G18884" t="s">
        <v>513</v>
      </c>
    </row>
    <row r="18885" spans="1:7" x14ac:dyDescent="0.25">
      <c r="A18885" s="1" t="str">
        <f>"503238"</f>
        <v>503238</v>
      </c>
      <c r="B18885" s="2" t="str">
        <f>"POTENCIOMETRO 220K MAQ SAQUINHO"</f>
        <v>POTENCIOMETRO 220K MAQ SAQUINHO</v>
      </c>
      <c r="C18885" s="2" t="str">
        <f t="shared" si="740"/>
        <v>UN</v>
      </c>
      <c r="D18885" s="7">
        <v>600</v>
      </c>
      <c r="E18885" s="3">
        <v>8</v>
      </c>
      <c r="F18885" s="3">
        <v>8</v>
      </c>
      <c r="G18885" t="s">
        <v>513</v>
      </c>
    </row>
    <row r="18886" spans="1:7" x14ac:dyDescent="0.25">
      <c r="A18886" s="1" t="str">
        <f>"501047"</f>
        <v>501047</v>
      </c>
      <c r="B18886" s="2" t="str">
        <f>"POTENCIOMETRO 22K MAQ. SAQUINHO"</f>
        <v>POTENCIOMETRO 22K MAQ. SAQUINHO</v>
      </c>
      <c r="C18886" s="2" t="str">
        <f t="shared" si="740"/>
        <v>UN</v>
      </c>
      <c r="D18886" s="7">
        <v>600</v>
      </c>
      <c r="E18886" s="3">
        <v>8</v>
      </c>
      <c r="F18886" s="3">
        <v>8</v>
      </c>
      <c r="G18886" t="s">
        <v>512</v>
      </c>
    </row>
    <row r="18887" spans="1:7" x14ac:dyDescent="0.25">
      <c r="A18887" s="1" t="str">
        <f>"502306"</f>
        <v>502306</v>
      </c>
      <c r="B18887" s="2" t="str">
        <f>"POTENCIOMETRO 3590S-2103 10K+-5%LIN+-25%"</f>
        <v>POTENCIOMETRO 3590S-2103 10K+-5%LIN+-25%</v>
      </c>
      <c r="C18887" s="2" t="str">
        <f t="shared" si="740"/>
        <v>UN</v>
      </c>
      <c r="D18887" s="7">
        <v>600</v>
      </c>
      <c r="E18887" s="3">
        <v>8</v>
      </c>
      <c r="F18887" s="3">
        <v>8</v>
      </c>
      <c r="G18887" t="s">
        <v>513</v>
      </c>
    </row>
    <row r="18888" spans="1:7" x14ac:dyDescent="0.25">
      <c r="A18888" s="1" t="str">
        <f>"504285"</f>
        <v>504285</v>
      </c>
      <c r="B18888" s="2" t="str">
        <f>"POTENCIOMETRO 4.7K PONTA LONGA"</f>
        <v>POTENCIOMETRO 4.7K PONTA LONGA</v>
      </c>
      <c r="C18888" s="2" t="str">
        <f t="shared" si="740"/>
        <v>UN</v>
      </c>
      <c r="D18888" s="7">
        <v>600</v>
      </c>
      <c r="E18888" s="3">
        <v>8</v>
      </c>
      <c r="F18888" s="3">
        <v>8</v>
      </c>
      <c r="G18888" t="s">
        <v>514</v>
      </c>
    </row>
    <row r="18889" spans="1:7" x14ac:dyDescent="0.25">
      <c r="A18889" s="1" t="str">
        <f>"504894"</f>
        <v>504894</v>
      </c>
      <c r="B18889" s="2" t="str">
        <f>"POTENCIOMETRO ACELERADOR REF.15SB103 974"</f>
        <v>POTENCIOMETRO ACELERADOR REF.15SB103 974</v>
      </c>
      <c r="C18889" s="2" t="str">
        <f t="shared" si="740"/>
        <v>UN</v>
      </c>
      <c r="D18889" s="7">
        <v>900</v>
      </c>
      <c r="E18889" s="3">
        <v>11</v>
      </c>
      <c r="F18889" s="3">
        <v>11</v>
      </c>
      <c r="G18889" t="s">
        <v>515</v>
      </c>
    </row>
    <row r="18890" spans="1:7" x14ac:dyDescent="0.25">
      <c r="A18890" s="1" t="str">
        <f>"501492"</f>
        <v>501492</v>
      </c>
      <c r="B18890" s="2" t="str">
        <f>"POTENCIOMETRO DESLIZANTE 10KB+-5%"</f>
        <v>POTENCIOMETRO DESLIZANTE 10KB+-5%</v>
      </c>
      <c r="C18890" s="2" t="str">
        <f t="shared" si="740"/>
        <v>UN</v>
      </c>
      <c r="D18890" s="7">
        <v>600</v>
      </c>
      <c r="E18890" s="3">
        <v>8</v>
      </c>
      <c r="F18890" s="3">
        <v>8</v>
      </c>
      <c r="G18890" t="s">
        <v>512</v>
      </c>
    </row>
    <row r="18891" spans="1:7" x14ac:dyDescent="0.25">
      <c r="A18891" s="1" t="str">
        <f>"515021"</f>
        <v>515021</v>
      </c>
      <c r="B18891" s="2" t="str">
        <f>"POWERSANI"</f>
        <v>POWERSANI</v>
      </c>
      <c r="C18891" s="2" t="str">
        <f t="shared" si="740"/>
        <v>UN</v>
      </c>
      <c r="D18891" s="7">
        <v>406</v>
      </c>
      <c r="E18891" s="3">
        <v>4</v>
      </c>
      <c r="F18891" s="3">
        <v>4</v>
      </c>
      <c r="G18891" t="s">
        <v>516</v>
      </c>
    </row>
    <row r="18892" spans="1:7" x14ac:dyDescent="0.25">
      <c r="A18892" s="1" t="str">
        <f>"2697"</f>
        <v>2697</v>
      </c>
      <c r="B18892" s="2" t="str">
        <f>"PRANCHETA ACRILICA TRASNPARENTE OFICIO"</f>
        <v>PRANCHETA ACRILICA TRASNPARENTE OFICIO</v>
      </c>
      <c r="C18892" s="2" t="str">
        <f t="shared" si="740"/>
        <v>UN</v>
      </c>
      <c r="D18892" s="7">
        <v>401</v>
      </c>
      <c r="E18892" s="3">
        <v>4</v>
      </c>
      <c r="F18892" s="3">
        <v>4</v>
      </c>
      <c r="G18892" t="s">
        <v>515</v>
      </c>
    </row>
    <row r="18893" spans="1:7" x14ac:dyDescent="0.25">
      <c r="A18893" s="1" t="str">
        <f>"2699"</f>
        <v>2699</v>
      </c>
      <c r="B18893" s="2" t="str">
        <f>"PRANCHETA ALUMINIO ACRIMET REF. 123"</f>
        <v>PRANCHETA ALUMINIO ACRIMET REF. 123</v>
      </c>
      <c r="C18893" s="2" t="str">
        <f t="shared" si="740"/>
        <v>UN</v>
      </c>
      <c r="D18893" s="7">
        <v>401</v>
      </c>
      <c r="E18893" s="3">
        <v>4</v>
      </c>
      <c r="F18893" s="3">
        <v>4</v>
      </c>
      <c r="G18893" t="s">
        <v>514</v>
      </c>
    </row>
    <row r="18894" spans="1:7" x14ac:dyDescent="0.25">
      <c r="A18894" s="1" t="str">
        <f>"519501"</f>
        <v>519501</v>
      </c>
      <c r="B18894" s="2" t="str">
        <f>"PRANCHETA C/ CALCULADORA CLASSE"</f>
        <v>PRANCHETA C/ CALCULADORA CLASSE</v>
      </c>
      <c r="C18894" s="2" t="str">
        <f t="shared" si="740"/>
        <v>UN</v>
      </c>
      <c r="D18894" s="7">
        <v>401</v>
      </c>
      <c r="E18894" s="3">
        <v>4</v>
      </c>
      <c r="F18894" s="3">
        <v>4</v>
      </c>
      <c r="G18894" t="s">
        <v>512</v>
      </c>
    </row>
    <row r="18895" spans="1:7" x14ac:dyDescent="0.25">
      <c r="A18895" s="1" t="str">
        <f>"510375"</f>
        <v>510375</v>
      </c>
      <c r="B18895" s="2" t="str">
        <f>"PRATELEIRA"</f>
        <v>PRATELEIRA</v>
      </c>
      <c r="C18895" s="2" t="str">
        <f t="shared" si="740"/>
        <v>UN</v>
      </c>
      <c r="D18895" s="7">
        <v>402</v>
      </c>
      <c r="E18895" s="3">
        <v>4</v>
      </c>
      <c r="F18895" s="3">
        <v>4</v>
      </c>
      <c r="G18895" t="s">
        <v>513</v>
      </c>
    </row>
    <row r="18896" spans="1:7" x14ac:dyDescent="0.25">
      <c r="A18896" s="1" t="str">
        <f>"514463"</f>
        <v>514463</v>
      </c>
      <c r="B18896" s="2" t="str">
        <f>"PRATELEIRA"</f>
        <v>PRATELEIRA</v>
      </c>
      <c r="C18896" s="2" t="str">
        <f t="shared" si="740"/>
        <v>UN</v>
      </c>
      <c r="D18896" s="7">
        <v>401</v>
      </c>
      <c r="E18896" s="3">
        <v>4</v>
      </c>
      <c r="F18896" s="3">
        <v>4</v>
      </c>
      <c r="G18896" t="s">
        <v>514</v>
      </c>
    </row>
    <row r="18897" spans="1:7" x14ac:dyDescent="0.25">
      <c r="A18897" s="1" t="str">
        <f>"515617"</f>
        <v>515617</v>
      </c>
      <c r="B18897" s="2" t="str">
        <f>"PRATELEIRA 350742.02 GSTO-130"</f>
        <v>PRATELEIRA 350742.02 GSTO-130</v>
      </c>
      <c r="C18897" s="2" t="str">
        <f t="shared" si="740"/>
        <v>UN</v>
      </c>
      <c r="D18897" s="7">
        <v>818</v>
      </c>
      <c r="E18897" s="3">
        <v>4</v>
      </c>
      <c r="F18897" s="3">
        <v>4</v>
      </c>
      <c r="G18897" t="s">
        <v>514</v>
      </c>
    </row>
    <row r="18898" spans="1:7" x14ac:dyDescent="0.25">
      <c r="A18898" s="1" t="str">
        <f>"515416"</f>
        <v>515416</v>
      </c>
      <c r="B18898" s="2" t="str">
        <f>"PRATELEIRA EM AÇO INOX"</f>
        <v>PRATELEIRA EM AÇO INOX</v>
      </c>
      <c r="C18898" s="2" t="str">
        <f t="shared" si="740"/>
        <v>UN</v>
      </c>
      <c r="D18898" s="7">
        <v>1300</v>
      </c>
      <c r="E18898" s="3">
        <v>13</v>
      </c>
      <c r="F18898" s="3">
        <v>13</v>
      </c>
      <c r="G18898" t="s">
        <v>512</v>
      </c>
    </row>
    <row r="18899" spans="1:7" x14ac:dyDescent="0.25">
      <c r="A18899" s="1" t="str">
        <f>"512844"</f>
        <v>512844</v>
      </c>
      <c r="B18899" s="2" t="str">
        <f>"PRATIC BOX 10L PARAMONT"</f>
        <v>PRATIC BOX 10L PARAMONT</v>
      </c>
      <c r="C18899" s="2" t="str">
        <f t="shared" si="740"/>
        <v>UN</v>
      </c>
      <c r="D18899" s="7">
        <v>811</v>
      </c>
      <c r="E18899" s="3">
        <v>8</v>
      </c>
      <c r="F18899" s="3">
        <v>8</v>
      </c>
      <c r="G18899" t="s">
        <v>513</v>
      </c>
    </row>
    <row r="18900" spans="1:7" x14ac:dyDescent="0.25">
      <c r="A18900" s="1" t="str">
        <f>"521640"</f>
        <v>521640</v>
      </c>
      <c r="B18900" s="2" t="str">
        <f>"PRATIC BOX 25L"</f>
        <v>PRATIC BOX 25L</v>
      </c>
      <c r="C18900" s="2" t="str">
        <f t="shared" si="740"/>
        <v>UN</v>
      </c>
      <c r="D18900" s="7">
        <v>99999</v>
      </c>
      <c r="E18900" s="3">
        <v>99</v>
      </c>
      <c r="F18900" s="3">
        <v>99</v>
      </c>
      <c r="G18900" t="s">
        <v>514</v>
      </c>
    </row>
    <row r="18901" spans="1:7" x14ac:dyDescent="0.25">
      <c r="A18901" s="1" t="str">
        <f>"515634"</f>
        <v>515634</v>
      </c>
      <c r="B18901" s="2" t="str">
        <f>"PRATO"</f>
        <v>PRATO</v>
      </c>
      <c r="C18901" s="2" t="str">
        <f t="shared" si="740"/>
        <v>UN</v>
      </c>
      <c r="D18901" s="7">
        <v>401</v>
      </c>
      <c r="E18901" s="3">
        <v>4</v>
      </c>
      <c r="F18901" s="3">
        <v>4</v>
      </c>
      <c r="G18901" t="s">
        <v>514</v>
      </c>
    </row>
    <row r="18902" spans="1:7" x14ac:dyDescent="0.25">
      <c r="A18902" s="1" t="str">
        <f>"523842"</f>
        <v>523842</v>
      </c>
      <c r="B18902" s="2" t="str">
        <f>"PRATO AMOSTRA KIT C/50"</f>
        <v>PRATO AMOSTRA KIT C/50</v>
      </c>
      <c r="C18902" s="2" t="str">
        <f t="shared" si="740"/>
        <v>UN</v>
      </c>
      <c r="D18902" s="7">
        <v>99999</v>
      </c>
      <c r="E18902" s="3">
        <v>99</v>
      </c>
      <c r="F18902" s="3">
        <v>99</v>
      </c>
      <c r="G18902" t="s">
        <v>514</v>
      </c>
    </row>
    <row r="18903" spans="1:7" x14ac:dyDescent="0.25">
      <c r="A18903" s="1" t="str">
        <f>"505439"</f>
        <v>505439</v>
      </c>
      <c r="B18903" s="2" t="str">
        <f>"PRATO DA MOLA"</f>
        <v>PRATO DA MOLA</v>
      </c>
      <c r="C18903" s="2" t="str">
        <f t="shared" si="740"/>
        <v>UN</v>
      </c>
      <c r="D18903" s="7">
        <v>704</v>
      </c>
      <c r="E18903" s="3">
        <v>9</v>
      </c>
      <c r="F18903" s="3">
        <v>9</v>
      </c>
      <c r="G18903" t="s">
        <v>513</v>
      </c>
    </row>
    <row r="18904" spans="1:7" x14ac:dyDescent="0.25">
      <c r="A18904" s="1" t="str">
        <f>"503549"</f>
        <v>503549</v>
      </c>
      <c r="B18904" s="2" t="str">
        <f>"PRATO SUPERIOR"</f>
        <v>PRATO SUPERIOR</v>
      </c>
      <c r="C18904" s="2" t="str">
        <f t="shared" si="740"/>
        <v>UN</v>
      </c>
      <c r="D18904" s="7">
        <v>918</v>
      </c>
      <c r="E18904" s="3">
        <v>11</v>
      </c>
      <c r="F18904" s="3">
        <v>11</v>
      </c>
      <c r="G18904" t="s">
        <v>512</v>
      </c>
    </row>
    <row r="18905" spans="1:7" x14ac:dyDescent="0.25">
      <c r="A18905" s="1" t="str">
        <f>"509826"</f>
        <v>509826</v>
      </c>
      <c r="B18905" s="2" t="str">
        <f>"PRE - FILTRO 5FAB0050 595X390X45MM"</f>
        <v>PRE - FILTRO 5FAB0050 595X390X45MM</v>
      </c>
      <c r="C18905" s="2" t="str">
        <f>"BR"</f>
        <v>BR</v>
      </c>
      <c r="D18905" s="7">
        <v>808</v>
      </c>
      <c r="E18905" s="3">
        <v>10</v>
      </c>
      <c r="F18905" s="3">
        <v>10</v>
      </c>
      <c r="G18905" t="s">
        <v>513</v>
      </c>
    </row>
    <row r="18906" spans="1:7" x14ac:dyDescent="0.25">
      <c r="A18906" s="1" t="str">
        <f>"505064"</f>
        <v>505064</v>
      </c>
      <c r="B18906" s="2" t="str">
        <f>"PRE CORTE DMAX"</f>
        <v>PRE CORTE DMAX</v>
      </c>
      <c r="C18906" s="2" t="str">
        <f t="shared" ref="C18906:C18918" si="741">"UN"</f>
        <v>UN</v>
      </c>
      <c r="D18906" s="7">
        <v>918</v>
      </c>
      <c r="E18906" s="3">
        <v>11</v>
      </c>
      <c r="F18906" s="3">
        <v>11</v>
      </c>
      <c r="G18906" t="s">
        <v>514</v>
      </c>
    </row>
    <row r="18907" spans="1:7" x14ac:dyDescent="0.25">
      <c r="A18907" s="1" t="str">
        <f>"523666"</f>
        <v>523666</v>
      </c>
      <c r="B18907" s="2" t="str">
        <f>"PRÉ FILTRO 3M 5N11 (P2/P95)"</f>
        <v>PRÉ FILTRO 3M 5N11 (P2/P95)</v>
      </c>
      <c r="C18907" s="2" t="str">
        <f t="shared" si="741"/>
        <v>UN</v>
      </c>
      <c r="D18907" s="7">
        <v>502</v>
      </c>
      <c r="E18907" s="3">
        <v>5</v>
      </c>
      <c r="F18907" s="3">
        <v>5</v>
      </c>
      <c r="G18907" t="s">
        <v>514</v>
      </c>
    </row>
    <row r="18908" spans="1:7" x14ac:dyDescent="0.25">
      <c r="A18908" s="1" t="str">
        <f>"521712"</f>
        <v>521712</v>
      </c>
      <c r="B18908" s="2" t="str">
        <f>"PRECIFICADOR DE GÔNDOLA"</f>
        <v>PRECIFICADOR DE GÔNDOLA</v>
      </c>
      <c r="C18908" s="2" t="str">
        <f t="shared" si="741"/>
        <v>UN</v>
      </c>
      <c r="D18908" s="7">
        <v>99999</v>
      </c>
      <c r="E18908" s="3">
        <v>99</v>
      </c>
      <c r="F18908" s="3">
        <v>99</v>
      </c>
      <c r="G18908" t="s">
        <v>514</v>
      </c>
    </row>
    <row r="18909" spans="1:7" x14ac:dyDescent="0.25">
      <c r="A18909" s="1" t="str">
        <f>"521577"</f>
        <v>521577</v>
      </c>
      <c r="B18909" s="2" t="str">
        <f>"PRECIFICADOR PS BRANCO 4 CORES 11X11CM - CAROLINA"</f>
        <v>PRECIFICADOR PS BRANCO 4 CORES 11X11CM - CAROLINA</v>
      </c>
      <c r="C18909" s="2" t="str">
        <f t="shared" si="741"/>
        <v>UN</v>
      </c>
      <c r="D18909" s="7">
        <v>99999</v>
      </c>
      <c r="E18909" s="3">
        <v>99</v>
      </c>
      <c r="F18909" s="3">
        <v>99</v>
      </c>
      <c r="G18909" t="s">
        <v>513</v>
      </c>
    </row>
    <row r="18910" spans="1:7" x14ac:dyDescent="0.25">
      <c r="A18910" s="1" t="str">
        <f>"522931"</f>
        <v>522931</v>
      </c>
      <c r="B18910" s="2" t="str">
        <f>"PRECIFICADOR PS BRANCO 4 CORES 11X11CM - GREGO"</f>
        <v>PRECIFICADOR PS BRANCO 4 CORES 11X11CM - GREGO</v>
      </c>
      <c r="C18910" s="2" t="str">
        <f t="shared" si="741"/>
        <v>UN</v>
      </c>
      <c r="D18910" s="7">
        <v>99999</v>
      </c>
      <c r="E18910" s="3">
        <v>99</v>
      </c>
      <c r="F18910" s="3">
        <v>99</v>
      </c>
      <c r="G18910" t="s">
        <v>513</v>
      </c>
    </row>
    <row r="18911" spans="1:7" x14ac:dyDescent="0.25">
      <c r="A18911" s="1" t="str">
        <f>"523997"</f>
        <v>523997</v>
      </c>
      <c r="B18911" s="2" t="str">
        <f>"PREDNISONA 20MG - CX COM 10 CPS"</f>
        <v>PREDNISONA 20MG - CX COM 10 CPS</v>
      </c>
      <c r="C18911" s="2" t="str">
        <f t="shared" si="741"/>
        <v>UN</v>
      </c>
      <c r="D18911" s="7">
        <v>99999</v>
      </c>
      <c r="E18911" s="3">
        <v>99</v>
      </c>
      <c r="F18911" s="3">
        <v>99</v>
      </c>
      <c r="G18911" t="s">
        <v>513</v>
      </c>
    </row>
    <row r="18912" spans="1:7" x14ac:dyDescent="0.25">
      <c r="A18912" s="1" t="str">
        <f>"522921"</f>
        <v>522921</v>
      </c>
      <c r="B18912" s="2" t="str">
        <f>"PREFIL U 50 X 100 X 50MM CHAPA PRE EXT."</f>
        <v>PREFIL U 50 X 100 X 50MM CHAPA PRE EXT.</v>
      </c>
      <c r="C18912" s="2" t="str">
        <f t="shared" si="741"/>
        <v>UN</v>
      </c>
      <c r="D18912" s="7">
        <v>803</v>
      </c>
      <c r="E18912" s="3">
        <v>10</v>
      </c>
      <c r="F18912" s="3">
        <v>10</v>
      </c>
      <c r="G18912" t="s">
        <v>512</v>
      </c>
    </row>
    <row r="18913" spans="1:7" x14ac:dyDescent="0.25">
      <c r="A18913" s="1" t="str">
        <f>"522920"</f>
        <v>522920</v>
      </c>
      <c r="B18913" s="2" t="str">
        <f>"PREFIL U 50 X 50 X 50MM CHAPA PRE EXT."</f>
        <v>PREFIL U 50 X 50 X 50MM CHAPA PRE EXT.</v>
      </c>
      <c r="C18913" s="2" t="str">
        <f t="shared" si="741"/>
        <v>UN</v>
      </c>
      <c r="D18913" s="7">
        <v>803</v>
      </c>
      <c r="E18913" s="3">
        <v>10</v>
      </c>
      <c r="F18913" s="3">
        <v>10</v>
      </c>
      <c r="G18913" t="s">
        <v>513</v>
      </c>
    </row>
    <row r="18914" spans="1:7" x14ac:dyDescent="0.25">
      <c r="A18914" s="1" t="str">
        <f>"4147"</f>
        <v>4147</v>
      </c>
      <c r="B18914" s="2" t="str">
        <f>"PREFORMA PET 26GR CRISTAL - FORTUCE"</f>
        <v>PREFORMA PET 26GR CRISTAL - FORTUCE</v>
      </c>
      <c r="C18914" s="2" t="str">
        <f t="shared" si="741"/>
        <v>UN</v>
      </c>
      <c r="D18914" s="7">
        <v>105</v>
      </c>
      <c r="E18914" s="3">
        <v>1</v>
      </c>
      <c r="F18914" s="3">
        <v>1</v>
      </c>
      <c r="G18914" t="s">
        <v>514</v>
      </c>
    </row>
    <row r="18915" spans="1:7" x14ac:dyDescent="0.25">
      <c r="A18915" s="1" t="str">
        <f>"4148"</f>
        <v>4148</v>
      </c>
      <c r="B18915" s="2" t="str">
        <f>"PREFORMA PET 26GR LEITOSA - FORTUCE"</f>
        <v>PREFORMA PET 26GR LEITOSA - FORTUCE</v>
      </c>
      <c r="C18915" s="2" t="str">
        <f t="shared" si="741"/>
        <v>UN</v>
      </c>
      <c r="D18915" s="7">
        <v>105</v>
      </c>
      <c r="E18915" s="3">
        <v>1</v>
      </c>
      <c r="F18915" s="3">
        <v>1</v>
      </c>
      <c r="G18915" t="s">
        <v>515</v>
      </c>
    </row>
    <row r="18916" spans="1:7" x14ac:dyDescent="0.25">
      <c r="A18916" s="1" t="str">
        <f>"4131"</f>
        <v>4131</v>
      </c>
      <c r="B18916" s="2" t="str">
        <f>"PREFORMA PET 28GR BRANCA"</f>
        <v>PREFORMA PET 28GR BRANCA</v>
      </c>
      <c r="C18916" s="2" t="str">
        <f t="shared" si="741"/>
        <v>UN</v>
      </c>
      <c r="D18916" s="7">
        <v>105</v>
      </c>
      <c r="E18916" s="3">
        <v>1</v>
      </c>
      <c r="F18916" s="3">
        <v>1</v>
      </c>
      <c r="G18916" t="s">
        <v>512</v>
      </c>
    </row>
    <row r="18917" spans="1:7" x14ac:dyDescent="0.25">
      <c r="A18917" s="1" t="str">
        <f>"4132"</f>
        <v>4132</v>
      </c>
      <c r="B18917" s="2" t="str">
        <f>"PREFORMA PET 28GR CLARA"</f>
        <v>PREFORMA PET 28GR CLARA</v>
      </c>
      <c r="C18917" s="2" t="str">
        <f t="shared" si="741"/>
        <v>UN</v>
      </c>
      <c r="D18917" s="7">
        <v>105</v>
      </c>
      <c r="E18917" s="3">
        <v>1</v>
      </c>
      <c r="F18917" s="3">
        <v>1</v>
      </c>
      <c r="G18917" t="s">
        <v>516</v>
      </c>
    </row>
    <row r="18918" spans="1:7" x14ac:dyDescent="0.25">
      <c r="A18918" s="1" t="str">
        <f>"4177"</f>
        <v>4177</v>
      </c>
      <c r="B18918" s="2" t="str">
        <f>"PREFORMA PET 35,2GR BRANCA 38MM"</f>
        <v>PREFORMA PET 35,2GR BRANCA 38MM</v>
      </c>
      <c r="C18918" s="2" t="str">
        <f t="shared" si="741"/>
        <v>UN</v>
      </c>
      <c r="D18918" s="7">
        <v>105</v>
      </c>
      <c r="E18918" s="3">
        <v>1</v>
      </c>
      <c r="F18918" s="3">
        <v>1</v>
      </c>
      <c r="G18918" t="s">
        <v>515</v>
      </c>
    </row>
    <row r="18919" spans="1:7" x14ac:dyDescent="0.25">
      <c r="A18919" s="1" t="str">
        <f>"514536"</f>
        <v>514536</v>
      </c>
      <c r="B18919" s="2" t="str">
        <f>"PREGO 10 X 10"</f>
        <v>PREGO 10 X 10</v>
      </c>
      <c r="C18919" s="2" t="str">
        <f>"KG"</f>
        <v>KG</v>
      </c>
      <c r="D18919" s="7">
        <v>801</v>
      </c>
      <c r="E18919" s="3">
        <v>4</v>
      </c>
      <c r="F18919" s="3">
        <v>4</v>
      </c>
      <c r="G18919" t="s">
        <v>514</v>
      </c>
    </row>
    <row r="18920" spans="1:7" x14ac:dyDescent="0.25">
      <c r="A18920" s="1" t="str">
        <f>"514535"</f>
        <v>514535</v>
      </c>
      <c r="B18920" s="2" t="str">
        <f>"PREGO 12 X 12"</f>
        <v>PREGO 12 X 12</v>
      </c>
      <c r="C18920" s="2" t="str">
        <f>"KG"</f>
        <v>KG</v>
      </c>
      <c r="D18920" s="7">
        <v>801</v>
      </c>
      <c r="E18920" s="3">
        <v>4</v>
      </c>
      <c r="F18920" s="3">
        <v>4</v>
      </c>
      <c r="G18920" t="s">
        <v>512</v>
      </c>
    </row>
    <row r="18921" spans="1:7" x14ac:dyDescent="0.25">
      <c r="A18921" s="1" t="str">
        <f>"501866"</f>
        <v>501866</v>
      </c>
      <c r="B18921" s="2" t="str">
        <f>"PREGO 13 X 18"</f>
        <v>PREGO 13 X 18</v>
      </c>
      <c r="C18921" s="2" t="str">
        <f>"UN"</f>
        <v>UN</v>
      </c>
      <c r="D18921" s="7">
        <v>403</v>
      </c>
      <c r="E18921" s="3">
        <v>4</v>
      </c>
      <c r="F18921" s="3">
        <v>4</v>
      </c>
      <c r="G18921" t="s">
        <v>513</v>
      </c>
    </row>
    <row r="18922" spans="1:7" x14ac:dyDescent="0.25">
      <c r="A18922" s="1" t="str">
        <f>"500178"</f>
        <v>500178</v>
      </c>
      <c r="B18922" s="2" t="str">
        <f>"PREGO 15 X 15"</f>
        <v>PREGO 15 X 15</v>
      </c>
      <c r="C18922" s="2" t="str">
        <f>"UN"</f>
        <v>UN</v>
      </c>
      <c r="D18922" s="7">
        <v>403</v>
      </c>
      <c r="E18922" s="3">
        <v>4</v>
      </c>
      <c r="F18922" s="3">
        <v>4</v>
      </c>
      <c r="G18922" t="s">
        <v>514</v>
      </c>
    </row>
    <row r="18923" spans="1:7" x14ac:dyDescent="0.25">
      <c r="A18923" s="1" t="str">
        <f>"504042"</f>
        <v>504042</v>
      </c>
      <c r="B18923" s="2" t="str">
        <f>"PREGO 15 X 21"</f>
        <v>PREGO 15 X 21</v>
      </c>
      <c r="C18923" s="2" t="str">
        <f>"UN"</f>
        <v>UN</v>
      </c>
      <c r="D18923" s="7">
        <v>403</v>
      </c>
      <c r="E18923" s="3">
        <v>4</v>
      </c>
      <c r="F18923" s="3">
        <v>4</v>
      </c>
      <c r="G18923" t="s">
        <v>514</v>
      </c>
    </row>
    <row r="18924" spans="1:7" x14ac:dyDescent="0.25">
      <c r="A18924" s="1" t="str">
        <f>"500112"</f>
        <v>500112</v>
      </c>
      <c r="B18924" s="2" t="str">
        <f>"PREGO 17 X 21"</f>
        <v>PREGO 17 X 21</v>
      </c>
      <c r="C18924" s="2" t="str">
        <f>"KG"</f>
        <v>KG</v>
      </c>
      <c r="D18924" s="7">
        <v>403</v>
      </c>
      <c r="E18924" s="3">
        <v>4</v>
      </c>
      <c r="F18924" s="3">
        <v>4</v>
      </c>
      <c r="G18924" t="s">
        <v>512</v>
      </c>
    </row>
    <row r="18925" spans="1:7" x14ac:dyDescent="0.25">
      <c r="A18925" s="1" t="str">
        <f>"501867"</f>
        <v>501867</v>
      </c>
      <c r="B18925" s="2" t="str">
        <f>"PREGO 17 X 27"</f>
        <v>PREGO 17 X 27</v>
      </c>
      <c r="C18925" s="2" t="str">
        <f t="shared" ref="C18925:C18936" si="742">"UN"</f>
        <v>UN</v>
      </c>
      <c r="D18925" s="7">
        <v>403</v>
      </c>
      <c r="E18925" s="3">
        <v>4</v>
      </c>
      <c r="F18925" s="3">
        <v>4</v>
      </c>
      <c r="G18925" t="s">
        <v>513</v>
      </c>
    </row>
    <row r="18926" spans="1:7" x14ac:dyDescent="0.25">
      <c r="A18926" s="1" t="str">
        <f>"500196"</f>
        <v>500196</v>
      </c>
      <c r="B18926" s="2" t="str">
        <f>"PREGO 18 X 24"</f>
        <v>PREGO 18 X 24</v>
      </c>
      <c r="C18926" s="2" t="str">
        <f t="shared" si="742"/>
        <v>UN</v>
      </c>
      <c r="D18926" s="7">
        <v>403</v>
      </c>
      <c r="E18926" s="3">
        <v>4</v>
      </c>
      <c r="F18926" s="3">
        <v>4</v>
      </c>
      <c r="G18926" t="s">
        <v>514</v>
      </c>
    </row>
    <row r="18927" spans="1:7" x14ac:dyDescent="0.25">
      <c r="A18927" s="1" t="str">
        <f>"500111"</f>
        <v>500111</v>
      </c>
      <c r="B18927" s="2" t="str">
        <f>"PREGO 18 X 27"</f>
        <v>PREGO 18 X 27</v>
      </c>
      <c r="C18927" s="2" t="str">
        <f t="shared" si="742"/>
        <v>UN</v>
      </c>
      <c r="D18927" s="7">
        <v>403</v>
      </c>
      <c r="E18927" s="3">
        <v>4</v>
      </c>
      <c r="F18927" s="3">
        <v>4</v>
      </c>
      <c r="G18927" t="s">
        <v>514</v>
      </c>
    </row>
    <row r="18928" spans="1:7" x14ac:dyDescent="0.25">
      <c r="A18928" s="1" t="str">
        <f>"522385"</f>
        <v>522385</v>
      </c>
      <c r="B18928" s="2" t="str">
        <f>"PREGO 18 X 30"</f>
        <v>PREGO 18 X 30</v>
      </c>
      <c r="C18928" s="2" t="str">
        <f t="shared" si="742"/>
        <v>UN</v>
      </c>
      <c r="D18928" s="7">
        <v>403</v>
      </c>
      <c r="E18928" s="3">
        <v>4</v>
      </c>
      <c r="F18928" s="3">
        <v>4</v>
      </c>
      <c r="G18928" t="s">
        <v>514</v>
      </c>
    </row>
    <row r="18929" spans="1:7" x14ac:dyDescent="0.25">
      <c r="A18929" s="1" t="str">
        <f>"504878"</f>
        <v>504878</v>
      </c>
      <c r="B18929" s="2" t="str">
        <f>"PREGO 18 X 36"</f>
        <v>PREGO 18 X 36</v>
      </c>
      <c r="C18929" s="2" t="str">
        <f t="shared" si="742"/>
        <v>UN</v>
      </c>
      <c r="D18929" s="7">
        <v>403</v>
      </c>
      <c r="E18929" s="3">
        <v>4</v>
      </c>
      <c r="F18929" s="3">
        <v>4</v>
      </c>
      <c r="G18929" t="s">
        <v>513</v>
      </c>
    </row>
    <row r="18930" spans="1:7" x14ac:dyDescent="0.25">
      <c r="A18930" s="1" t="str">
        <f>"503539"</f>
        <v>503539</v>
      </c>
      <c r="B18930" s="2" t="str">
        <f>"PREGO 19 X 36"</f>
        <v>PREGO 19 X 36</v>
      </c>
      <c r="C18930" s="2" t="str">
        <f t="shared" si="742"/>
        <v>UN</v>
      </c>
      <c r="D18930" s="7">
        <v>403</v>
      </c>
      <c r="E18930" s="3">
        <v>4</v>
      </c>
      <c r="F18930" s="3">
        <v>4</v>
      </c>
      <c r="G18930" t="s">
        <v>512</v>
      </c>
    </row>
    <row r="18931" spans="1:7" x14ac:dyDescent="0.25">
      <c r="A18931" s="1" t="str">
        <f>"500506"</f>
        <v>500506</v>
      </c>
      <c r="B18931" s="2" t="str">
        <f>"PREGO 20 X 30"</f>
        <v>PREGO 20 X 30</v>
      </c>
      <c r="C18931" s="2" t="str">
        <f t="shared" si="742"/>
        <v>UN</v>
      </c>
      <c r="D18931" s="7">
        <v>403</v>
      </c>
      <c r="E18931" s="3">
        <v>4</v>
      </c>
      <c r="F18931" s="3">
        <v>4</v>
      </c>
      <c r="G18931" t="s">
        <v>513</v>
      </c>
    </row>
    <row r="18932" spans="1:7" x14ac:dyDescent="0.25">
      <c r="A18932" s="1" t="str">
        <f>"500504"</f>
        <v>500504</v>
      </c>
      <c r="B18932" s="2" t="str">
        <f>"PREGO 22 X 42"</f>
        <v>PREGO 22 X 42</v>
      </c>
      <c r="C18932" s="2" t="str">
        <f t="shared" si="742"/>
        <v>UN</v>
      </c>
      <c r="D18932" s="7">
        <v>403</v>
      </c>
      <c r="E18932" s="3">
        <v>4</v>
      </c>
      <c r="F18932" s="3">
        <v>4</v>
      </c>
      <c r="G18932" t="s">
        <v>514</v>
      </c>
    </row>
    <row r="18933" spans="1:7" x14ac:dyDescent="0.25">
      <c r="A18933" s="1" t="str">
        <f>"522000"</f>
        <v>522000</v>
      </c>
      <c r="B18933" s="2" t="str">
        <f>"PREGO 22 X 48"</f>
        <v>PREGO 22 X 48</v>
      </c>
      <c r="C18933" s="2" t="str">
        <f t="shared" si="742"/>
        <v>UN</v>
      </c>
      <c r="D18933" s="7">
        <v>403</v>
      </c>
      <c r="E18933" s="3">
        <v>4</v>
      </c>
      <c r="F18933" s="3">
        <v>4</v>
      </c>
      <c r="G18933" t="s">
        <v>514</v>
      </c>
    </row>
    <row r="18934" spans="1:7" x14ac:dyDescent="0.25">
      <c r="A18934" s="1" t="str">
        <f>"504086"</f>
        <v>504086</v>
      </c>
      <c r="B18934" s="2" t="str">
        <f>"PREGO 25 X 72"</f>
        <v>PREGO 25 X 72</v>
      </c>
      <c r="C18934" s="2" t="str">
        <f t="shared" si="742"/>
        <v>UN</v>
      </c>
      <c r="D18934" s="7">
        <v>403</v>
      </c>
      <c r="E18934" s="3">
        <v>4</v>
      </c>
      <c r="F18934" s="3">
        <v>4</v>
      </c>
      <c r="G18934" t="s">
        <v>514</v>
      </c>
    </row>
    <row r="18935" spans="1:7" x14ac:dyDescent="0.25">
      <c r="A18935" s="1" t="str">
        <f>"6284"</f>
        <v>6284</v>
      </c>
      <c r="B18935" s="2" t="str">
        <f>"PRENDEDOR BINDER CLIPS 15MM CX12"</f>
        <v>PRENDEDOR BINDER CLIPS 15MM CX12</v>
      </c>
      <c r="C18935" s="2" t="str">
        <f t="shared" si="742"/>
        <v>UN</v>
      </c>
      <c r="D18935" s="7">
        <v>401</v>
      </c>
      <c r="E18935" s="3">
        <v>4</v>
      </c>
      <c r="F18935" s="3">
        <v>4</v>
      </c>
      <c r="G18935" t="s">
        <v>513</v>
      </c>
    </row>
    <row r="18936" spans="1:7" x14ac:dyDescent="0.25">
      <c r="A18936" s="1" t="str">
        <f>"6278"</f>
        <v>6278</v>
      </c>
      <c r="B18936" s="2" t="str">
        <f>"PRENDEDOR BINDER CLIPS 19MM CX12"</f>
        <v>PRENDEDOR BINDER CLIPS 19MM CX12</v>
      </c>
      <c r="C18936" s="2" t="str">
        <f t="shared" si="742"/>
        <v>UN</v>
      </c>
      <c r="D18936" s="7">
        <v>401</v>
      </c>
      <c r="E18936" s="3">
        <v>4</v>
      </c>
      <c r="F18936" s="3">
        <v>4</v>
      </c>
      <c r="G18936" t="s">
        <v>513</v>
      </c>
    </row>
    <row r="18937" spans="1:7" x14ac:dyDescent="0.25">
      <c r="A18937" s="1" t="str">
        <f>"6277"</f>
        <v>6277</v>
      </c>
      <c r="B18937" s="2" t="str">
        <f>"PRENDEDOR BINDER CLIPS 32MM CX12"</f>
        <v>PRENDEDOR BINDER CLIPS 32MM CX12</v>
      </c>
      <c r="C18937" s="2" t="str">
        <f>"PC"</f>
        <v>PC</v>
      </c>
      <c r="D18937" s="7">
        <v>401</v>
      </c>
      <c r="E18937" s="3">
        <v>4</v>
      </c>
      <c r="F18937" s="3">
        <v>4</v>
      </c>
      <c r="G18937" t="s">
        <v>513</v>
      </c>
    </row>
    <row r="18938" spans="1:7" x14ac:dyDescent="0.25">
      <c r="A18938" s="1" t="str">
        <f>"6645"</f>
        <v>6645</v>
      </c>
      <c r="B18938" s="2" t="str">
        <f>"PRENDEDOR BINDER CLIPS 41 MM CX C/12"</f>
        <v>PRENDEDOR BINDER CLIPS 41 MM CX C/12</v>
      </c>
      <c r="C18938" s="2" t="str">
        <f>"CX"</f>
        <v>CX</v>
      </c>
      <c r="D18938" s="7">
        <v>401</v>
      </c>
      <c r="E18938" s="3">
        <v>4</v>
      </c>
      <c r="F18938" s="3">
        <v>4</v>
      </c>
      <c r="G18938" t="s">
        <v>512</v>
      </c>
    </row>
    <row r="18939" spans="1:7" x14ac:dyDescent="0.25">
      <c r="A18939" s="1" t="str">
        <f>"523213"</f>
        <v>523213</v>
      </c>
      <c r="B18939" s="2" t="str">
        <f>"PRENSA CABO 3/4"</f>
        <v>PRENSA CABO 3/4</v>
      </c>
      <c r="C18939" s="2" t="str">
        <f t="shared" ref="C18939:C18964" si="743">"UN"</f>
        <v>UN</v>
      </c>
      <c r="D18939" s="7">
        <v>811</v>
      </c>
      <c r="E18939" s="3">
        <v>11</v>
      </c>
      <c r="F18939" s="3">
        <v>11</v>
      </c>
      <c r="G18939" t="s">
        <v>513</v>
      </c>
    </row>
    <row r="18940" spans="1:7" x14ac:dyDescent="0.25">
      <c r="A18940" s="1" t="str">
        <f>"523212"</f>
        <v>523212</v>
      </c>
      <c r="B18940" s="2" t="str">
        <f>"PRENSA CABO M20 BSP"</f>
        <v>PRENSA CABO M20 BSP</v>
      </c>
      <c r="C18940" s="2" t="str">
        <f t="shared" si="743"/>
        <v>UN</v>
      </c>
      <c r="D18940" s="7">
        <v>811</v>
      </c>
      <c r="E18940" s="3">
        <v>10</v>
      </c>
      <c r="F18940" s="3">
        <v>10</v>
      </c>
      <c r="G18940" t="s">
        <v>514</v>
      </c>
    </row>
    <row r="18941" spans="1:7" x14ac:dyDescent="0.25">
      <c r="A18941" s="1" t="str">
        <f>"503363"</f>
        <v>503363</v>
      </c>
      <c r="B18941" s="2" t="str">
        <f>"PRENSA CABO MOOG PGA1315"</f>
        <v>PRENSA CABO MOOG PGA1315</v>
      </c>
      <c r="C18941" s="2" t="str">
        <f t="shared" si="743"/>
        <v>UN</v>
      </c>
      <c r="D18941" s="7">
        <v>900</v>
      </c>
      <c r="E18941" s="3">
        <v>11</v>
      </c>
      <c r="F18941" s="3">
        <v>11</v>
      </c>
      <c r="G18941" t="s">
        <v>515</v>
      </c>
    </row>
    <row r="18942" spans="1:7" x14ac:dyDescent="0.25">
      <c r="A18942" s="1" t="str">
        <f>"501168"</f>
        <v>501168</v>
      </c>
      <c r="B18942" s="2" t="str">
        <f>"PRENSA CABO P/ SOQUETE AMP DINIEPER"</f>
        <v>PRENSA CABO P/ SOQUETE AMP DINIEPER</v>
      </c>
      <c r="C18942" s="2" t="str">
        <f t="shared" si="743"/>
        <v>UN</v>
      </c>
      <c r="D18942" s="7">
        <v>900</v>
      </c>
      <c r="E18942" s="3">
        <v>11</v>
      </c>
      <c r="F18942" s="3">
        <v>11</v>
      </c>
      <c r="G18942" t="s">
        <v>512</v>
      </c>
    </row>
    <row r="18943" spans="1:7" x14ac:dyDescent="0.25">
      <c r="A18943" s="1" t="str">
        <f>"510207"</f>
        <v>510207</v>
      </c>
      <c r="B18943" s="2" t="str">
        <f>"PRENSA CABO PG11"</f>
        <v>PRENSA CABO PG11</v>
      </c>
      <c r="C18943" s="2" t="str">
        <f t="shared" si="743"/>
        <v>UN</v>
      </c>
      <c r="D18943" s="7">
        <v>900</v>
      </c>
      <c r="E18943" s="3">
        <v>11</v>
      </c>
      <c r="F18943" s="3">
        <v>11</v>
      </c>
      <c r="G18943" t="s">
        <v>516</v>
      </c>
    </row>
    <row r="18944" spans="1:7" x14ac:dyDescent="0.25">
      <c r="A18944" s="1" t="str">
        <f>"521990"</f>
        <v>521990</v>
      </c>
      <c r="B18944" s="2" t="str">
        <f>"PRENSA CABO PG13,5 BSP"</f>
        <v>PRENSA CABO PG13,5 BSP</v>
      </c>
      <c r="C18944" s="2" t="str">
        <f t="shared" si="743"/>
        <v>UN</v>
      </c>
      <c r="D18944" s="7">
        <v>600</v>
      </c>
      <c r="E18944" s="3">
        <v>8</v>
      </c>
      <c r="F18944" s="3">
        <v>8</v>
      </c>
      <c r="G18944" t="s">
        <v>515</v>
      </c>
    </row>
    <row r="18945" spans="1:7" x14ac:dyDescent="0.25">
      <c r="A18945" s="1" t="str">
        <f>"510397"</f>
        <v>510397</v>
      </c>
      <c r="B18945" s="2" t="str">
        <f>"PRENSA CABO PG16 BSP"</f>
        <v>PRENSA CABO PG16 BSP</v>
      </c>
      <c r="C18945" s="2" t="str">
        <f t="shared" si="743"/>
        <v>UN</v>
      </c>
      <c r="D18945" s="7">
        <v>600</v>
      </c>
      <c r="E18945" s="3">
        <v>8</v>
      </c>
      <c r="F18945" s="3">
        <v>8</v>
      </c>
      <c r="G18945" t="s">
        <v>514</v>
      </c>
    </row>
    <row r="18946" spans="1:7" x14ac:dyDescent="0.25">
      <c r="A18946" s="1" t="str">
        <f>"521989"</f>
        <v>521989</v>
      </c>
      <c r="B18946" s="2" t="str">
        <f>"PRENSA CABO PG21 BSP"</f>
        <v>PRENSA CABO PG21 BSP</v>
      </c>
      <c r="C18946" s="2" t="str">
        <f t="shared" si="743"/>
        <v>UN</v>
      </c>
      <c r="D18946" s="7">
        <v>600</v>
      </c>
      <c r="E18946" s="3">
        <v>8</v>
      </c>
      <c r="F18946" s="3">
        <v>8</v>
      </c>
      <c r="G18946" t="s">
        <v>512</v>
      </c>
    </row>
    <row r="18947" spans="1:7" x14ac:dyDescent="0.25">
      <c r="A18947" s="1" t="str">
        <f>"521988"</f>
        <v>521988</v>
      </c>
      <c r="B18947" s="2" t="str">
        <f>"PRENSA CABO PG29 BSP"</f>
        <v>PRENSA CABO PG29 BSP</v>
      </c>
      <c r="C18947" s="2" t="str">
        <f t="shared" si="743"/>
        <v>UN</v>
      </c>
      <c r="D18947" s="7">
        <v>600</v>
      </c>
      <c r="E18947" s="3">
        <v>8</v>
      </c>
      <c r="F18947" s="3">
        <v>8</v>
      </c>
      <c r="G18947" t="s">
        <v>513</v>
      </c>
    </row>
    <row r="18948" spans="1:7" x14ac:dyDescent="0.25">
      <c r="A18948" s="1" t="str">
        <f>"510206"</f>
        <v>510206</v>
      </c>
      <c r="B18948" s="2" t="str">
        <f>"PRENSA CABO PG7 PORCA METALICA (C3-5102)"</f>
        <v>PRENSA CABO PG7 PORCA METALICA (C3-5102)</v>
      </c>
      <c r="C18948" s="2" t="str">
        <f t="shared" si="743"/>
        <v>UN</v>
      </c>
      <c r="D18948" s="7">
        <v>900</v>
      </c>
      <c r="E18948" s="3">
        <v>11</v>
      </c>
      <c r="F18948" s="3">
        <v>11</v>
      </c>
      <c r="G18948" t="s">
        <v>514</v>
      </c>
    </row>
    <row r="18949" spans="1:7" x14ac:dyDescent="0.25">
      <c r="A18949" s="1" t="str">
        <f>"514265"</f>
        <v>514265</v>
      </c>
      <c r="B18949" s="2" t="str">
        <f>"PRENSA CABO PG9"</f>
        <v>PRENSA CABO PG9</v>
      </c>
      <c r="C18949" s="2" t="str">
        <f t="shared" si="743"/>
        <v>UN</v>
      </c>
      <c r="D18949" s="7">
        <v>811</v>
      </c>
      <c r="E18949" s="3">
        <v>8</v>
      </c>
      <c r="F18949" s="3">
        <v>8</v>
      </c>
      <c r="G18949" t="s">
        <v>514</v>
      </c>
    </row>
    <row r="18950" spans="1:7" x14ac:dyDescent="0.25">
      <c r="A18950" s="1" t="str">
        <f>"510204"</f>
        <v>510204</v>
      </c>
      <c r="B18950" s="2" t="str">
        <f>"PRENSA CABO PG9 PORCA METALICA (C3-5102)"</f>
        <v>PRENSA CABO PG9 PORCA METALICA (C3-5102)</v>
      </c>
      <c r="C18950" s="2" t="str">
        <f t="shared" si="743"/>
        <v>UN</v>
      </c>
      <c r="D18950" s="7">
        <v>900</v>
      </c>
      <c r="E18950" s="3">
        <v>11</v>
      </c>
      <c r="F18950" s="3">
        <v>11</v>
      </c>
      <c r="G18950" t="s">
        <v>512</v>
      </c>
    </row>
    <row r="18951" spans="1:7" x14ac:dyDescent="0.25">
      <c r="A18951" s="1" t="str">
        <f>"520737"</f>
        <v>520737</v>
      </c>
      <c r="B18951" s="2" t="str">
        <f>"PRENSA CABO PLASTICO 6 FUROS"</f>
        <v>PRENSA CABO PLASTICO 6 FUROS</v>
      </c>
      <c r="C18951" s="2" t="str">
        <f t="shared" si="743"/>
        <v>UN</v>
      </c>
      <c r="D18951" s="7">
        <v>817</v>
      </c>
      <c r="E18951" s="3">
        <v>4</v>
      </c>
      <c r="F18951" s="3">
        <v>4</v>
      </c>
      <c r="G18951" t="s">
        <v>513</v>
      </c>
    </row>
    <row r="18952" spans="1:7" x14ac:dyDescent="0.25">
      <c r="A18952" s="1" t="str">
        <f>"506145"</f>
        <v>506145</v>
      </c>
      <c r="B18952" s="2" t="str">
        <f>"PRENSA CABO S-851/C 1/4""BSP"</f>
        <v>PRENSA CABO S-851/C 1/4"BSP</v>
      </c>
      <c r="C18952" s="2" t="str">
        <f t="shared" si="743"/>
        <v>UN</v>
      </c>
      <c r="D18952" s="7">
        <v>600</v>
      </c>
      <c r="E18952" s="3">
        <v>8</v>
      </c>
      <c r="F18952" s="3">
        <v>8</v>
      </c>
      <c r="G18952" t="s">
        <v>514</v>
      </c>
    </row>
    <row r="18953" spans="1:7" x14ac:dyDescent="0.25">
      <c r="A18953" s="1" t="str">
        <f>"506146"</f>
        <v>506146</v>
      </c>
      <c r="B18953" s="2" t="str">
        <f>"PRENSA CABO S-851/C 3/8""BSP"</f>
        <v>PRENSA CABO S-851/C 3/8"BSP</v>
      </c>
      <c r="C18953" s="2" t="str">
        <f t="shared" si="743"/>
        <v>UN</v>
      </c>
      <c r="D18953" s="7">
        <v>600</v>
      </c>
      <c r="E18953" s="3">
        <v>8</v>
      </c>
      <c r="F18953" s="3">
        <v>8</v>
      </c>
      <c r="G18953" t="s">
        <v>514</v>
      </c>
    </row>
    <row r="18954" spans="1:7" x14ac:dyDescent="0.25">
      <c r="A18954" s="1" t="str">
        <f>"511338"</f>
        <v>511338</v>
      </c>
      <c r="B18954" s="2" t="str">
        <f>"PRENSA CABO S-852/C 1 1/2"""</f>
        <v>PRENSA CABO S-852/C 1 1/2"</v>
      </c>
      <c r="C18954" s="2" t="str">
        <f t="shared" si="743"/>
        <v>UN</v>
      </c>
      <c r="D18954" s="7">
        <v>600</v>
      </c>
      <c r="E18954" s="3">
        <v>8</v>
      </c>
      <c r="F18954" s="3">
        <v>8</v>
      </c>
      <c r="G18954" t="s">
        <v>514</v>
      </c>
    </row>
    <row r="18955" spans="1:7" x14ac:dyDescent="0.25">
      <c r="A18955" s="1" t="str">
        <f>"500839"</f>
        <v>500839</v>
      </c>
      <c r="B18955" s="2" t="str">
        <f>"PRENSA CABO S-852/C 1/2""BSP"</f>
        <v>PRENSA CABO S-852/C 1/2"BSP</v>
      </c>
      <c r="C18955" s="2" t="str">
        <f t="shared" si="743"/>
        <v>UN</v>
      </c>
      <c r="D18955" s="7">
        <v>600</v>
      </c>
      <c r="E18955" s="3">
        <v>8</v>
      </c>
      <c r="F18955" s="3">
        <v>8</v>
      </c>
      <c r="G18955" t="s">
        <v>513</v>
      </c>
    </row>
    <row r="18956" spans="1:7" x14ac:dyDescent="0.25">
      <c r="A18956" s="1" t="str">
        <f>"500840"</f>
        <v>500840</v>
      </c>
      <c r="B18956" s="2" t="str">
        <f>"PRENSA CABO S-853/C 3/4""BSP"</f>
        <v>PRENSA CABO S-853/C 3/4"BSP</v>
      </c>
      <c r="C18956" s="2" t="str">
        <f t="shared" si="743"/>
        <v>UN</v>
      </c>
      <c r="D18956" s="7">
        <v>600</v>
      </c>
      <c r="E18956" s="3">
        <v>8</v>
      </c>
      <c r="F18956" s="3">
        <v>8</v>
      </c>
      <c r="G18956" t="s">
        <v>512</v>
      </c>
    </row>
    <row r="18957" spans="1:7" x14ac:dyDescent="0.25">
      <c r="A18957" s="1" t="str">
        <f>"504068"</f>
        <v>504068</v>
      </c>
      <c r="B18957" s="2" t="str">
        <f>"PRENSA CABO S-854/C 1""BSP"</f>
        <v>PRENSA CABO S-854/C 1"BSP</v>
      </c>
      <c r="C18957" s="2" t="str">
        <f t="shared" si="743"/>
        <v>UN</v>
      </c>
      <c r="D18957" s="7">
        <v>600</v>
      </c>
      <c r="E18957" s="3">
        <v>8</v>
      </c>
      <c r="F18957" s="3">
        <v>8</v>
      </c>
      <c r="G18957" t="s">
        <v>513</v>
      </c>
    </row>
    <row r="18958" spans="1:7" x14ac:dyDescent="0.25">
      <c r="A18958" s="1" t="str">
        <f>"505047"</f>
        <v>505047</v>
      </c>
      <c r="B18958" s="2" t="str">
        <f>"PRENSA CORTE DINIEPER"</f>
        <v>PRENSA CORTE DINIEPER</v>
      </c>
      <c r="C18958" s="2" t="str">
        <f t="shared" si="743"/>
        <v>UN</v>
      </c>
      <c r="D18958" s="7">
        <v>918</v>
      </c>
      <c r="E18958" s="3">
        <v>11</v>
      </c>
      <c r="F18958" s="3">
        <v>11</v>
      </c>
      <c r="G18958" t="s">
        <v>514</v>
      </c>
    </row>
    <row r="18959" spans="1:7" x14ac:dyDescent="0.25">
      <c r="A18959" s="1" t="str">
        <f>"505041"</f>
        <v>505041</v>
      </c>
      <c r="B18959" s="2" t="str">
        <f>"PRENSA FORMAGEM DINIEPER"</f>
        <v>PRENSA FORMAGEM DINIEPER</v>
      </c>
      <c r="C18959" s="2" t="str">
        <f t="shared" si="743"/>
        <v>UN</v>
      </c>
      <c r="D18959" s="7">
        <v>918</v>
      </c>
      <c r="E18959" s="3">
        <v>11</v>
      </c>
      <c r="F18959" s="3">
        <v>11</v>
      </c>
      <c r="G18959" t="s">
        <v>514</v>
      </c>
    </row>
    <row r="18960" spans="1:7" x14ac:dyDescent="0.25">
      <c r="A18960" s="1" t="str">
        <f>"522665"</f>
        <v>522665</v>
      </c>
      <c r="B18960" s="8" t="s">
        <v>325</v>
      </c>
      <c r="C18960" s="2" t="str">
        <f t="shared" si="743"/>
        <v>UN</v>
      </c>
      <c r="D18960" s="7">
        <v>817</v>
      </c>
      <c r="E18960" s="3">
        <v>10</v>
      </c>
      <c r="F18960" s="3">
        <v>10</v>
      </c>
      <c r="G18960" t="s">
        <v>514</v>
      </c>
    </row>
    <row r="18961" spans="1:7" x14ac:dyDescent="0.25">
      <c r="A18961" s="1" t="str">
        <f>"505040"</f>
        <v>505040</v>
      </c>
      <c r="B18961" s="2" t="str">
        <f>"PRENSA PLACA CONTATO DINIEPER"</f>
        <v>PRENSA PLACA CONTATO DINIEPER</v>
      </c>
      <c r="C18961" s="2" t="str">
        <f t="shared" si="743"/>
        <v>UN</v>
      </c>
      <c r="D18961" s="7">
        <v>918</v>
      </c>
      <c r="E18961" s="3">
        <v>11</v>
      </c>
      <c r="F18961" s="3">
        <v>11</v>
      </c>
      <c r="G18961" t="s">
        <v>513</v>
      </c>
    </row>
    <row r="18962" spans="1:7" x14ac:dyDescent="0.25">
      <c r="A18962" s="1" t="str">
        <f>"505050"</f>
        <v>505050</v>
      </c>
      <c r="B18962" s="2" t="str">
        <f>"PRENSA PRE CORTE DINIEPER"</f>
        <v>PRENSA PRE CORTE DINIEPER</v>
      </c>
      <c r="C18962" s="2" t="str">
        <f t="shared" si="743"/>
        <v>UN</v>
      </c>
      <c r="D18962" s="7">
        <v>918</v>
      </c>
      <c r="E18962" s="3">
        <v>11</v>
      </c>
      <c r="F18962" s="3">
        <v>11</v>
      </c>
      <c r="G18962" t="s">
        <v>513</v>
      </c>
    </row>
    <row r="18963" spans="1:7" x14ac:dyDescent="0.25">
      <c r="A18963" s="1" t="str">
        <f>"505046"</f>
        <v>505046</v>
      </c>
      <c r="B18963" s="2" t="str">
        <f>"PRENSA SELAGEM DINIEPER"</f>
        <v>PRENSA SELAGEM DINIEPER</v>
      </c>
      <c r="C18963" s="2" t="str">
        <f t="shared" si="743"/>
        <v>UN</v>
      </c>
      <c r="D18963" s="7">
        <v>918</v>
      </c>
      <c r="E18963" s="3">
        <v>11</v>
      </c>
      <c r="F18963" s="3">
        <v>11</v>
      </c>
      <c r="G18963" t="s">
        <v>513</v>
      </c>
    </row>
    <row r="18964" spans="1:7" x14ac:dyDescent="0.25">
      <c r="A18964" s="1" t="str">
        <f>"508479"</f>
        <v>508479</v>
      </c>
      <c r="B18964" s="2" t="str">
        <f>"PRENSADO PARA-CHOQUE ONIBUS 10.305"</f>
        <v>PRENSADO PARA-CHOQUE ONIBUS 10.305</v>
      </c>
      <c r="C18964" s="2" t="str">
        <f t="shared" si="743"/>
        <v>UN</v>
      </c>
      <c r="D18964" s="7">
        <v>704</v>
      </c>
      <c r="E18964" s="3">
        <v>9</v>
      </c>
      <c r="F18964" s="3">
        <v>9</v>
      </c>
      <c r="G18964" t="s">
        <v>512</v>
      </c>
    </row>
    <row r="18965" spans="1:7" x14ac:dyDescent="0.25">
      <c r="A18965" s="1" t="str">
        <f>"6845"</f>
        <v>6845</v>
      </c>
      <c r="B18965" s="2" t="str">
        <f>"PREP BLUEBERRY LIQ NATURAL 15% CÓD.267044 (AGRANA) GRENÁ"</f>
        <v>PREP BLUEBERRY LIQ NATURAL 15% CÓD.267044 (AGRANA) GRENÁ</v>
      </c>
      <c r="C18965" s="2" t="str">
        <f t="shared" ref="C18965:C18986" si="744">"KG"</f>
        <v>KG</v>
      </c>
      <c r="D18965" s="7">
        <v>205</v>
      </c>
      <c r="E18965" s="3">
        <v>2</v>
      </c>
      <c r="F18965" s="3">
        <v>2</v>
      </c>
      <c r="G18965" t="s">
        <v>513</v>
      </c>
    </row>
    <row r="18966" spans="1:7" x14ac:dyDescent="0.25">
      <c r="A18966" s="1" t="str">
        <f>"6847"</f>
        <v>6847</v>
      </c>
      <c r="B18966" s="2" t="str">
        <f>"PREP FRUTAS VERDES  NATURAL 15% CÓD.271255 (AGRANA) GRENA"</f>
        <v>PREP FRUTAS VERDES  NATURAL 15% CÓD.271255 (AGRANA) GRENA</v>
      </c>
      <c r="C18966" s="2" t="str">
        <f t="shared" si="744"/>
        <v>KG</v>
      </c>
      <c r="D18966" s="7">
        <v>205</v>
      </c>
      <c r="E18966" s="3">
        <v>2</v>
      </c>
      <c r="F18966" s="3">
        <v>2</v>
      </c>
      <c r="G18966" t="s">
        <v>514</v>
      </c>
    </row>
    <row r="18967" spans="1:7" x14ac:dyDescent="0.25">
      <c r="A18967" s="1" t="str">
        <f>"6859"</f>
        <v>6859</v>
      </c>
      <c r="B18967" s="2" t="str">
        <f>"PREP MANGA TRITURADO NATURAL  15% CÓD.272056 (AGRANA) GRENA"</f>
        <v>PREP MANGA TRITURADO NATURAL  15% CÓD.272056 (AGRANA) GRENA</v>
      </c>
      <c r="C18967" s="2" t="str">
        <f t="shared" si="744"/>
        <v>KG</v>
      </c>
      <c r="D18967" s="7">
        <v>205</v>
      </c>
      <c r="E18967" s="3">
        <v>2</v>
      </c>
      <c r="F18967" s="3">
        <v>2</v>
      </c>
      <c r="G18967" t="s">
        <v>515</v>
      </c>
    </row>
    <row r="18968" spans="1:7" x14ac:dyDescent="0.25">
      <c r="A18968" s="1" t="str">
        <f>"6846"</f>
        <v>6846</v>
      </c>
      <c r="B18968" s="2" t="str">
        <f>"PREP MORANGO LIQ TRITURADO NATURAL 15% CÓD.268398 (AGRANA) G"</f>
        <v>PREP MORANGO LIQ TRITURADO NATURAL 15% CÓD.268398 (AGRANA) G</v>
      </c>
      <c r="C18968" s="2" t="str">
        <f t="shared" si="744"/>
        <v>KG</v>
      </c>
      <c r="D18968" s="7">
        <v>205</v>
      </c>
      <c r="E18968" s="3">
        <v>2</v>
      </c>
      <c r="F18968" s="3">
        <v>2</v>
      </c>
      <c r="G18968" t="s">
        <v>512</v>
      </c>
    </row>
    <row r="18969" spans="1:7" x14ac:dyDescent="0.25">
      <c r="A18969" s="1" t="str">
        <f>"4428"</f>
        <v>4428</v>
      </c>
      <c r="B18969" s="2" t="str">
        <f>"PREP. CAPUCCINO BLD 25KG"</f>
        <v>PREP. CAPUCCINO BLD 25KG</v>
      </c>
      <c r="C18969" s="2" t="str">
        <f t="shared" si="744"/>
        <v>KG</v>
      </c>
      <c r="D18969" s="7">
        <v>205</v>
      </c>
      <c r="E18969" s="3">
        <v>2</v>
      </c>
      <c r="F18969" s="3">
        <v>2</v>
      </c>
      <c r="G18969" t="s">
        <v>516</v>
      </c>
    </row>
    <row r="18970" spans="1:7" x14ac:dyDescent="0.25">
      <c r="A18970" s="1" t="str">
        <f>"519513"</f>
        <v>519513</v>
      </c>
      <c r="B18970" s="2" t="str">
        <f>"PREP. DE FRUTAS LAMBADA QLA  - QUALA"</f>
        <v>PREP. DE FRUTAS LAMBADA QLA  - QUALA</v>
      </c>
      <c r="C18970" s="2" t="str">
        <f t="shared" si="744"/>
        <v>KG</v>
      </c>
      <c r="D18970" s="7">
        <v>205</v>
      </c>
      <c r="E18970" s="3">
        <v>2</v>
      </c>
      <c r="F18970" s="3">
        <v>2</v>
      </c>
      <c r="G18970" t="s">
        <v>515</v>
      </c>
    </row>
    <row r="18971" spans="1:7" x14ac:dyDescent="0.25">
      <c r="A18971" s="1" t="str">
        <f>"513422"</f>
        <v>513422</v>
      </c>
      <c r="B18971" s="2" t="str">
        <f>"PREP.DE FRUTAS ABACAXI/COCO - QLB (3003357)"</f>
        <v>PREP.DE FRUTAS ABACAXI/COCO - QLB (3003357)</v>
      </c>
      <c r="C18971" s="2" t="str">
        <f t="shared" si="744"/>
        <v>KG</v>
      </c>
      <c r="D18971" s="7">
        <v>205</v>
      </c>
      <c r="E18971" s="3">
        <v>2</v>
      </c>
      <c r="F18971" s="3">
        <v>2</v>
      </c>
      <c r="G18971" t="s">
        <v>514</v>
      </c>
    </row>
    <row r="18972" spans="1:7" x14ac:dyDescent="0.25">
      <c r="A18972" s="1" t="str">
        <f>"514345"</f>
        <v>514345</v>
      </c>
      <c r="B18972" s="2" t="str">
        <f>"PREP.DE FRUTAS COCO -  QLA QUALA"</f>
        <v>PREP.DE FRUTAS COCO -  QLA QUALA</v>
      </c>
      <c r="C18972" s="2" t="str">
        <f t="shared" si="744"/>
        <v>KG</v>
      </c>
      <c r="D18972" s="7">
        <v>205</v>
      </c>
      <c r="E18972" s="3">
        <v>2</v>
      </c>
      <c r="F18972" s="3">
        <v>2</v>
      </c>
      <c r="G18972" t="s">
        <v>512</v>
      </c>
    </row>
    <row r="18973" spans="1:7" x14ac:dyDescent="0.25">
      <c r="A18973" s="1" t="str">
        <f>"6555"</f>
        <v>6555</v>
      </c>
      <c r="B18973" s="2" t="str">
        <f>"PREP.DE FRUTAS COCO -  QLA QUALA"</f>
        <v>PREP.DE FRUTAS COCO -  QLA QUALA</v>
      </c>
      <c r="C18973" s="2" t="str">
        <f t="shared" si="744"/>
        <v>KG</v>
      </c>
      <c r="D18973" s="7">
        <v>205</v>
      </c>
      <c r="E18973" s="3">
        <v>2</v>
      </c>
      <c r="F18973" s="3">
        <v>2</v>
      </c>
      <c r="G18973" t="s">
        <v>513</v>
      </c>
    </row>
    <row r="18974" spans="1:7" x14ac:dyDescent="0.25">
      <c r="A18974" s="1" t="str">
        <f>"514346"</f>
        <v>514346</v>
      </c>
      <c r="B18974" s="2" t="str">
        <f>"PREP.DE FRUTAS GRAVIOLA QLA - QUALA"</f>
        <v>PREP.DE FRUTAS GRAVIOLA QLA - QUALA</v>
      </c>
      <c r="C18974" s="2" t="str">
        <f t="shared" si="744"/>
        <v>KG</v>
      </c>
      <c r="D18974" s="7">
        <v>205</v>
      </c>
      <c r="E18974" s="3">
        <v>2</v>
      </c>
      <c r="F18974" s="3">
        <v>2</v>
      </c>
      <c r="G18974" t="s">
        <v>514</v>
      </c>
    </row>
    <row r="18975" spans="1:7" x14ac:dyDescent="0.25">
      <c r="A18975" s="1" t="str">
        <f>"6557"</f>
        <v>6557</v>
      </c>
      <c r="B18975" s="2" t="str">
        <f>"PREP.DE FRUTAS GRAVIOLA QLA - QUALA"</f>
        <v>PREP.DE FRUTAS GRAVIOLA QLA - QUALA</v>
      </c>
      <c r="C18975" s="2" t="str">
        <f t="shared" si="744"/>
        <v>KG</v>
      </c>
      <c r="D18975" s="7">
        <v>205</v>
      </c>
      <c r="E18975" s="3">
        <v>2</v>
      </c>
      <c r="F18975" s="3">
        <v>2</v>
      </c>
      <c r="G18975" t="s">
        <v>514</v>
      </c>
    </row>
    <row r="18976" spans="1:7" x14ac:dyDescent="0.25">
      <c r="A18976" s="1" t="str">
        <f>"514347"</f>
        <v>514347</v>
      </c>
      <c r="B18976" s="2" t="str">
        <f>"PREP.DE FRUTAS LIMAO QLA-  QUALA"</f>
        <v>PREP.DE FRUTAS LIMAO QLA-  QUALA</v>
      </c>
      <c r="C18976" s="2" t="str">
        <f t="shared" si="744"/>
        <v>KG</v>
      </c>
      <c r="D18976" s="7">
        <v>205</v>
      </c>
      <c r="E18976" s="3">
        <v>2</v>
      </c>
      <c r="F18976" s="3">
        <v>2</v>
      </c>
      <c r="G18976" t="s">
        <v>512</v>
      </c>
    </row>
    <row r="18977" spans="1:7" x14ac:dyDescent="0.25">
      <c r="A18977" s="1" t="str">
        <f>"6771"</f>
        <v>6771</v>
      </c>
      <c r="B18977" s="2" t="str">
        <f>"PREP.DE FRUTAS LIMAO QLA-  QUALA"</f>
        <v>PREP.DE FRUTAS LIMAO QLA-  QUALA</v>
      </c>
      <c r="C18977" s="2" t="str">
        <f t="shared" si="744"/>
        <v>KG</v>
      </c>
      <c r="D18977" s="7">
        <v>205</v>
      </c>
      <c r="E18977" s="3">
        <v>2</v>
      </c>
      <c r="F18977" s="3">
        <v>2</v>
      </c>
      <c r="G18977" t="s">
        <v>513</v>
      </c>
    </row>
    <row r="18978" spans="1:7" x14ac:dyDescent="0.25">
      <c r="A18978" s="1" t="str">
        <f>"514348"</f>
        <v>514348</v>
      </c>
      <c r="B18978" s="2" t="str">
        <f>"PREP.DE FRUTAS MANGA QLA -  QLA QUALA"</f>
        <v>PREP.DE FRUTAS MANGA QLA -  QLA QUALA</v>
      </c>
      <c r="C18978" s="2" t="str">
        <f t="shared" si="744"/>
        <v>KG</v>
      </c>
      <c r="D18978" s="7">
        <v>205</v>
      </c>
      <c r="E18978" s="3">
        <v>2</v>
      </c>
      <c r="F18978" s="3">
        <v>2</v>
      </c>
      <c r="G18978" t="s">
        <v>514</v>
      </c>
    </row>
    <row r="18979" spans="1:7" x14ac:dyDescent="0.25">
      <c r="A18979" s="1" t="str">
        <f>"6575"</f>
        <v>6575</v>
      </c>
      <c r="B18979" s="2" t="str">
        <f>"PREP.DE FRUTAS MANGA QLA -  QLA QUALA"</f>
        <v>PREP.DE FRUTAS MANGA QLA -  QLA QUALA</v>
      </c>
      <c r="C18979" s="2" t="str">
        <f t="shared" si="744"/>
        <v>KG</v>
      </c>
      <c r="D18979" s="7">
        <v>205</v>
      </c>
      <c r="E18979" s="3">
        <v>2</v>
      </c>
      <c r="F18979" s="3">
        <v>2</v>
      </c>
      <c r="G18979" t="s">
        <v>514</v>
      </c>
    </row>
    <row r="18980" spans="1:7" x14ac:dyDescent="0.25">
      <c r="A18980" s="1" t="str">
        <f>"514349"</f>
        <v>514349</v>
      </c>
      <c r="B18980" s="2" t="str">
        <f>"PREP.DE FRUTAS MARACUJA -  QLA QUALA"</f>
        <v>PREP.DE FRUTAS MARACUJA -  QLA QUALA</v>
      </c>
      <c r="C18980" s="2" t="str">
        <f t="shared" si="744"/>
        <v>KG</v>
      </c>
      <c r="D18980" s="7">
        <v>205</v>
      </c>
      <c r="E18980" s="3">
        <v>2</v>
      </c>
      <c r="F18980" s="3">
        <v>2</v>
      </c>
      <c r="G18980" t="s">
        <v>514</v>
      </c>
    </row>
    <row r="18981" spans="1:7" x14ac:dyDescent="0.25">
      <c r="A18981" s="1" t="str">
        <f>"6558"</f>
        <v>6558</v>
      </c>
      <c r="B18981" s="2" t="str">
        <f>"PREP.DE FRUTAS MARACUJA -  QLA QUALA"</f>
        <v>PREP.DE FRUTAS MARACUJA -  QLA QUALA</v>
      </c>
      <c r="C18981" s="2" t="str">
        <f t="shared" si="744"/>
        <v>KG</v>
      </c>
      <c r="D18981" s="7">
        <v>205</v>
      </c>
      <c r="E18981" s="3">
        <v>2</v>
      </c>
      <c r="F18981" s="3">
        <v>2</v>
      </c>
      <c r="G18981" t="s">
        <v>513</v>
      </c>
    </row>
    <row r="18982" spans="1:7" x14ac:dyDescent="0.25">
      <c r="A18982" s="1" t="str">
        <f>"6885"</f>
        <v>6885</v>
      </c>
      <c r="B18982" s="2" t="str">
        <f>"PREP.DE FRUTAS MORANGO QLB - QUALA"</f>
        <v>PREP.DE FRUTAS MORANGO QLB - QUALA</v>
      </c>
      <c r="C18982" s="2" t="str">
        <f t="shared" si="744"/>
        <v>KG</v>
      </c>
      <c r="D18982" s="7">
        <v>205</v>
      </c>
      <c r="E18982" s="3">
        <v>2</v>
      </c>
      <c r="F18982" s="3">
        <v>2</v>
      </c>
      <c r="G18982" t="s">
        <v>512</v>
      </c>
    </row>
    <row r="18983" spans="1:7" x14ac:dyDescent="0.25">
      <c r="A18983" s="1" t="str">
        <f>"514350"</f>
        <v>514350</v>
      </c>
      <c r="B18983" s="2" t="str">
        <f>"PREP.DE FRUTAS MORANGO QLC - QUALA"</f>
        <v>PREP.DE FRUTAS MORANGO QLC - QUALA</v>
      </c>
      <c r="C18983" s="2" t="str">
        <f t="shared" si="744"/>
        <v>KG</v>
      </c>
      <c r="D18983" s="7">
        <v>205</v>
      </c>
      <c r="E18983" s="3">
        <v>2</v>
      </c>
      <c r="F18983" s="3">
        <v>2</v>
      </c>
      <c r="G18983" t="s">
        <v>513</v>
      </c>
    </row>
    <row r="18984" spans="1:7" x14ac:dyDescent="0.25">
      <c r="A18984" s="1" t="str">
        <f>"516325"</f>
        <v>516325</v>
      </c>
      <c r="B18984" s="2" t="str">
        <f>"PREP.DE FRUTAS UVA 3003365 - QUALA"</f>
        <v>PREP.DE FRUTAS UVA 3003365 - QUALA</v>
      </c>
      <c r="C18984" s="2" t="str">
        <f t="shared" si="744"/>
        <v>KG</v>
      </c>
      <c r="D18984" s="7">
        <v>205</v>
      </c>
      <c r="E18984" s="3">
        <v>2</v>
      </c>
      <c r="F18984" s="3">
        <v>2</v>
      </c>
      <c r="G18984" t="s">
        <v>514</v>
      </c>
    </row>
    <row r="18985" spans="1:7" x14ac:dyDescent="0.25">
      <c r="A18985" s="1" t="str">
        <f>"516852"</f>
        <v>516852</v>
      </c>
      <c r="B18985" s="2" t="str">
        <f>"PREP.DE FRUTAS VERMELHAS FV-QLB (COD.1003366)"</f>
        <v>PREP.DE FRUTAS VERMELHAS FV-QLB (COD.1003366)</v>
      </c>
      <c r="C18985" s="2" t="str">
        <f t="shared" si="744"/>
        <v>KG</v>
      </c>
      <c r="D18985" s="7">
        <v>205</v>
      </c>
      <c r="E18985" s="3">
        <v>2</v>
      </c>
      <c r="F18985" s="3">
        <v>2</v>
      </c>
      <c r="G18985" t="s">
        <v>514</v>
      </c>
    </row>
    <row r="18986" spans="1:7" x14ac:dyDescent="0.25">
      <c r="A18986" s="1" t="str">
        <f>"515213"</f>
        <v>515213</v>
      </c>
      <c r="B18986" s="2" t="str">
        <f>"PREP.DE MAÇA VERDE - QUALA"</f>
        <v>PREP.DE MAÇA VERDE - QUALA</v>
      </c>
      <c r="C18986" s="2" t="str">
        <f t="shared" si="744"/>
        <v>KG</v>
      </c>
      <c r="D18986" s="7">
        <v>205</v>
      </c>
      <c r="E18986" s="3">
        <v>2</v>
      </c>
      <c r="F18986" s="3">
        <v>2</v>
      </c>
      <c r="G18986" t="s">
        <v>514</v>
      </c>
    </row>
    <row r="18987" spans="1:7" x14ac:dyDescent="0.25">
      <c r="A18987" s="1" t="str">
        <f>"AG21069010"</f>
        <v>AG21069010</v>
      </c>
      <c r="B18987" s="2" t="str">
        <f>"PREPARADO"</f>
        <v>PREPARADO</v>
      </c>
      <c r="C18987" s="2" t="str">
        <f>"UN"</f>
        <v>UN</v>
      </c>
      <c r="D18987" s="7">
        <v>99999</v>
      </c>
      <c r="E18987" s="3">
        <v>99</v>
      </c>
      <c r="F18987" s="3">
        <v>99</v>
      </c>
      <c r="G18987" t="s">
        <v>513</v>
      </c>
    </row>
    <row r="18988" spans="1:7" x14ac:dyDescent="0.25">
      <c r="A18988" s="1" t="str">
        <f>"CO20079990"</f>
        <v>CO20079990</v>
      </c>
      <c r="B18988" s="2" t="str">
        <f>"PREPARADO"</f>
        <v>PREPARADO</v>
      </c>
      <c r="C18988" s="2" t="str">
        <f>"UN"</f>
        <v>UN</v>
      </c>
      <c r="D18988" s="7">
        <v>99999</v>
      </c>
      <c r="E18988" s="3">
        <v>99</v>
      </c>
      <c r="F18988" s="3">
        <v>99</v>
      </c>
      <c r="G18988" t="s">
        <v>513</v>
      </c>
    </row>
    <row r="18989" spans="1:7" x14ac:dyDescent="0.25">
      <c r="A18989" s="1" t="str">
        <f>"520776"</f>
        <v>520776</v>
      </c>
      <c r="B18989" s="2" t="str">
        <f>"PREPARADO ABACAXI PEDAÇOS 8%"</f>
        <v>PREPARADO ABACAXI PEDAÇOS 8%</v>
      </c>
      <c r="C18989" s="2" t="str">
        <f>"KG"</f>
        <v>KG</v>
      </c>
      <c r="D18989" s="7">
        <v>205</v>
      </c>
      <c r="E18989" s="3">
        <v>2</v>
      </c>
      <c r="F18989" s="3">
        <v>2</v>
      </c>
      <c r="G18989" t="s">
        <v>513</v>
      </c>
    </row>
    <row r="18990" spans="1:7" x14ac:dyDescent="0.25">
      <c r="A18990" s="1" t="str">
        <f>"520778"</f>
        <v>520778</v>
      </c>
      <c r="B18990" s="2" t="str">
        <f>"PREPARADO BANANA/GRANOLA PEDAÇOS 8%"</f>
        <v>PREPARADO BANANA/GRANOLA PEDAÇOS 8%</v>
      </c>
      <c r="C18990" s="2" t="str">
        <f>"KG"</f>
        <v>KG</v>
      </c>
      <c r="D18990" s="7">
        <v>205</v>
      </c>
      <c r="E18990" s="3">
        <v>2</v>
      </c>
      <c r="F18990" s="3">
        <v>2</v>
      </c>
      <c r="G18990" t="s">
        <v>512</v>
      </c>
    </row>
    <row r="18991" spans="1:7" x14ac:dyDescent="0.25">
      <c r="A18991" s="1" t="str">
        <f>"4199"</f>
        <v>4199</v>
      </c>
      <c r="B18991" s="2" t="str">
        <f>"PREPARADO DE ACAI E BANANA- AACB 1PM7 CR"</f>
        <v>PREPARADO DE ACAI E BANANA- AACB 1PM7 CR</v>
      </c>
      <c r="C18991" s="2" t="str">
        <f>"KG"</f>
        <v>KG</v>
      </c>
      <c r="D18991" s="7">
        <v>205</v>
      </c>
      <c r="E18991" s="3">
        <v>2</v>
      </c>
      <c r="F18991" s="3">
        <v>2</v>
      </c>
      <c r="G18991" t="s">
        <v>513</v>
      </c>
    </row>
    <row r="18992" spans="1:7" x14ac:dyDescent="0.25">
      <c r="A18992" s="1" t="str">
        <f>"4200"</f>
        <v>4200</v>
      </c>
      <c r="B18992" s="2" t="str">
        <f>"PREPARADO DE ACAI E BANANA- AAXM 1PN0 CR"</f>
        <v>PREPARADO DE ACAI E BANANA- AAXM 1PN0 CR</v>
      </c>
      <c r="C18992" s="2" t="str">
        <f>"KG"</f>
        <v>KG</v>
      </c>
      <c r="D18992" s="7">
        <v>205</v>
      </c>
      <c r="E18992" s="3">
        <v>2</v>
      </c>
      <c r="F18992" s="3">
        <v>2</v>
      </c>
      <c r="G18992" t="s">
        <v>514</v>
      </c>
    </row>
    <row r="18993" spans="1:7" x14ac:dyDescent="0.25">
      <c r="A18993" s="1" t="str">
        <f>"5794"</f>
        <v>5794</v>
      </c>
      <c r="B18993" s="2" t="str">
        <f>"PREPARADO DE FRUTA (MISTURA) TOFFE"</f>
        <v>PREPARADO DE FRUTA (MISTURA) TOFFE</v>
      </c>
      <c r="C18993" s="2" t="str">
        <f>"KG"</f>
        <v>KG</v>
      </c>
      <c r="D18993" s="7">
        <v>205</v>
      </c>
      <c r="E18993" s="3">
        <v>2</v>
      </c>
      <c r="F18993" s="3">
        <v>2</v>
      </c>
      <c r="G18993" t="s">
        <v>515</v>
      </c>
    </row>
    <row r="18994" spans="1:7" x14ac:dyDescent="0.25">
      <c r="A18994" s="1" t="str">
        <f>"AG20089900"</f>
        <v>AG20089900</v>
      </c>
      <c r="B18994" s="2" t="str">
        <f>"PREPARADO DE FRUTAS EM CALDAS AMOSTRA GRATIS"</f>
        <v>PREPARADO DE FRUTAS EM CALDAS AMOSTRA GRATIS</v>
      </c>
      <c r="C18994" s="2" t="str">
        <f>"UN"</f>
        <v>UN</v>
      </c>
      <c r="D18994" s="7">
        <v>99999</v>
      </c>
      <c r="E18994" s="3">
        <v>99</v>
      </c>
      <c r="F18994" s="3">
        <v>99</v>
      </c>
      <c r="G18994" t="s">
        <v>512</v>
      </c>
    </row>
    <row r="18995" spans="1:7" x14ac:dyDescent="0.25">
      <c r="A18995" s="1" t="str">
        <f>"5982"</f>
        <v>5982</v>
      </c>
      <c r="B18995" s="2" t="str">
        <f>"PREPARADO DE FRUTAS VERMELHAS FRV-101CR"</f>
        <v>PREPARADO DE FRUTAS VERMELHAS FRV-101CR</v>
      </c>
      <c r="C18995" s="2" t="str">
        <f t="shared" ref="C18995:C19008" si="745">"KG"</f>
        <v>KG</v>
      </c>
      <c r="D18995" s="7">
        <v>205</v>
      </c>
      <c r="E18995" s="3">
        <v>2</v>
      </c>
      <c r="F18995" s="3">
        <v>2</v>
      </c>
      <c r="G18995" t="s">
        <v>516</v>
      </c>
    </row>
    <row r="18996" spans="1:7" x14ac:dyDescent="0.25">
      <c r="A18996" s="1" t="str">
        <f>"514860"</f>
        <v>514860</v>
      </c>
      <c r="B18996" s="2" t="str">
        <f>"PREPARADO DE MAÇA E BANANA PARA PETIT SUISSE T11/366"</f>
        <v>PREPARADO DE MAÇA E BANANA PARA PETIT SUISSE T11/366</v>
      </c>
      <c r="C18996" s="2" t="str">
        <f t="shared" si="745"/>
        <v>KG</v>
      </c>
      <c r="D18996" s="7">
        <v>205</v>
      </c>
      <c r="E18996" s="3">
        <v>2</v>
      </c>
      <c r="F18996" s="3">
        <v>2</v>
      </c>
      <c r="G18996" t="s">
        <v>515</v>
      </c>
    </row>
    <row r="18997" spans="1:7" x14ac:dyDescent="0.25">
      <c r="A18997" s="1" t="str">
        <f>"5984"</f>
        <v>5984</v>
      </c>
      <c r="B18997" s="2" t="str">
        <f>"PREPARADO DE MAÇÂ/MAMÃO E BANANA CMB-101CR"</f>
        <v>PREPARADO DE MAÇÂ/MAMÃO E BANANA CMB-101CR</v>
      </c>
      <c r="C18997" s="2" t="str">
        <f t="shared" si="745"/>
        <v>KG</v>
      </c>
      <c r="D18997" s="7">
        <v>205</v>
      </c>
      <c r="E18997" s="3">
        <v>2</v>
      </c>
      <c r="F18997" s="3">
        <v>2</v>
      </c>
      <c r="G18997" t="s">
        <v>514</v>
      </c>
    </row>
    <row r="18998" spans="1:7" x14ac:dyDescent="0.25">
      <c r="A18998" s="1" t="str">
        <f>"746"</f>
        <v>746</v>
      </c>
      <c r="B18998" s="2" t="str">
        <f>"PREPARADO DE MEL - 400 CR (BORSATO)"</f>
        <v>PREPARADO DE MEL - 400 CR (BORSATO)</v>
      </c>
      <c r="C18998" s="2" t="str">
        <f t="shared" si="745"/>
        <v>KG</v>
      </c>
      <c r="D18998" s="7">
        <v>205</v>
      </c>
      <c r="E18998" s="3">
        <v>2</v>
      </c>
      <c r="F18998" s="3">
        <v>2</v>
      </c>
      <c r="G18998" t="s">
        <v>512</v>
      </c>
    </row>
    <row r="18999" spans="1:7" x14ac:dyDescent="0.25">
      <c r="A18999" s="1" t="str">
        <f>"717"</f>
        <v>717</v>
      </c>
      <c r="B18999" s="2" t="str">
        <f>"PREPARADO DE MORANGO CARINO (LA VITA)"</f>
        <v>PREPARADO DE MORANGO CARINO (LA VITA)</v>
      </c>
      <c r="C18999" s="2" t="str">
        <f t="shared" si="745"/>
        <v>KG</v>
      </c>
      <c r="D18999" s="7">
        <v>205</v>
      </c>
      <c r="E18999" s="3">
        <v>2</v>
      </c>
      <c r="F18999" s="3">
        <v>2</v>
      </c>
      <c r="G18999" t="s">
        <v>513</v>
      </c>
    </row>
    <row r="19000" spans="1:7" x14ac:dyDescent="0.25">
      <c r="A19000" s="1" t="str">
        <f>"5985"</f>
        <v>5985</v>
      </c>
      <c r="B19000" s="2" t="str">
        <f>"PREPARADO DE MORANGO MOR-101CR"</f>
        <v>PREPARADO DE MORANGO MOR-101CR</v>
      </c>
      <c r="C19000" s="2" t="str">
        <f t="shared" si="745"/>
        <v>KG</v>
      </c>
      <c r="D19000" s="7">
        <v>205</v>
      </c>
      <c r="E19000" s="3">
        <v>2</v>
      </c>
      <c r="F19000" s="3">
        <v>2</v>
      </c>
      <c r="G19000" t="s">
        <v>514</v>
      </c>
    </row>
    <row r="19001" spans="1:7" x14ac:dyDescent="0.25">
      <c r="A19001" s="1" t="str">
        <f>"514859"</f>
        <v>514859</v>
      </c>
      <c r="B19001" s="2" t="str">
        <f>"PREPARADO DE MORANGO PARA PETIT SUISSE T11/367"</f>
        <v>PREPARADO DE MORANGO PARA PETIT SUISSE T11/367</v>
      </c>
      <c r="C19001" s="2" t="str">
        <f t="shared" si="745"/>
        <v>KG</v>
      </c>
      <c r="D19001" s="7">
        <v>205</v>
      </c>
      <c r="E19001" s="3">
        <v>2</v>
      </c>
      <c r="F19001" s="3">
        <v>2</v>
      </c>
      <c r="G19001" t="s">
        <v>514</v>
      </c>
    </row>
    <row r="19002" spans="1:7" x14ac:dyDescent="0.25">
      <c r="A19002" s="1" t="str">
        <f>"718"</f>
        <v>718</v>
      </c>
      <c r="B19002" s="2" t="str">
        <f>"PREPARADO DE PESSEGO CARINO (LA VITA)"</f>
        <v>PREPARADO DE PESSEGO CARINO (LA VITA)</v>
      </c>
      <c r="C19002" s="2" t="str">
        <f t="shared" si="745"/>
        <v>KG</v>
      </c>
      <c r="D19002" s="7">
        <v>205</v>
      </c>
      <c r="E19002" s="3">
        <v>2</v>
      </c>
      <c r="F19002" s="3">
        <v>2</v>
      </c>
      <c r="G19002" t="s">
        <v>512</v>
      </c>
    </row>
    <row r="19003" spans="1:7" x14ac:dyDescent="0.25">
      <c r="A19003" s="1" t="str">
        <f>"520780"</f>
        <v>520780</v>
      </c>
      <c r="B19003" s="2" t="str">
        <f>"PREPARADO FRUTAS AMARELAS PEDAÇOS 8%"</f>
        <v>PREPARADO FRUTAS AMARELAS PEDAÇOS 8%</v>
      </c>
      <c r="C19003" s="2" t="str">
        <f t="shared" si="745"/>
        <v>KG</v>
      </c>
      <c r="D19003" s="7">
        <v>205</v>
      </c>
      <c r="E19003" s="3">
        <v>2</v>
      </c>
      <c r="F19003" s="3">
        <v>2</v>
      </c>
      <c r="G19003" t="s">
        <v>513</v>
      </c>
    </row>
    <row r="19004" spans="1:7" x14ac:dyDescent="0.25">
      <c r="A19004" s="1" t="str">
        <f>"520775"</f>
        <v>520775</v>
      </c>
      <c r="B19004" s="2" t="str">
        <f>"PREPARADO MAÇÃ/CANELA PEDAÇOS 8%"</f>
        <v>PREPARADO MAÇÃ/CANELA PEDAÇOS 8%</v>
      </c>
      <c r="C19004" s="2" t="str">
        <f t="shared" si="745"/>
        <v>KG</v>
      </c>
      <c r="D19004" s="7">
        <v>205</v>
      </c>
      <c r="E19004" s="3">
        <v>2</v>
      </c>
      <c r="F19004" s="3">
        <v>2</v>
      </c>
      <c r="G19004" t="s">
        <v>514</v>
      </c>
    </row>
    <row r="19005" spans="1:7" x14ac:dyDescent="0.25">
      <c r="A19005" s="1" t="str">
        <f>"520777"</f>
        <v>520777</v>
      </c>
      <c r="B19005" s="2" t="str">
        <f>"PREPARADO MANGA PEDAÇOS 8%"</f>
        <v>PREPARADO MANGA PEDAÇOS 8%</v>
      </c>
      <c r="C19005" s="2" t="str">
        <f t="shared" si="745"/>
        <v>KG</v>
      </c>
      <c r="D19005" s="7">
        <v>205</v>
      </c>
      <c r="E19005" s="3">
        <v>2</v>
      </c>
      <c r="F19005" s="3">
        <v>2</v>
      </c>
      <c r="G19005" t="s">
        <v>514</v>
      </c>
    </row>
    <row r="19006" spans="1:7" x14ac:dyDescent="0.25">
      <c r="A19006" s="1" t="str">
        <f>"521080"</f>
        <v>521080</v>
      </c>
      <c r="B19006" s="2" t="str">
        <f>"PREPARADO P/ AMOSTRA"</f>
        <v>PREPARADO P/ AMOSTRA</v>
      </c>
      <c r="C19006" s="2" t="str">
        <f t="shared" si="745"/>
        <v>KG</v>
      </c>
      <c r="D19006" s="7">
        <v>205</v>
      </c>
      <c r="E19006" s="3">
        <v>2</v>
      </c>
      <c r="F19006" s="3">
        <v>2</v>
      </c>
      <c r="G19006" t="s">
        <v>514</v>
      </c>
    </row>
    <row r="19007" spans="1:7" x14ac:dyDescent="0.25">
      <c r="A19007" s="1" t="str">
        <f>"520781"</f>
        <v>520781</v>
      </c>
      <c r="B19007" s="2" t="str">
        <f>"PREPARADO PERA PEDAÇOS 8%"</f>
        <v>PREPARADO PERA PEDAÇOS 8%</v>
      </c>
      <c r="C19007" s="2" t="str">
        <f t="shared" si="745"/>
        <v>KG</v>
      </c>
      <c r="D19007" s="7">
        <v>205</v>
      </c>
      <c r="E19007" s="3">
        <v>2</v>
      </c>
      <c r="F19007" s="3">
        <v>2</v>
      </c>
      <c r="G19007" t="s">
        <v>513</v>
      </c>
    </row>
    <row r="19008" spans="1:7" x14ac:dyDescent="0.25">
      <c r="A19008" s="1" t="str">
        <f>"520779"</f>
        <v>520779</v>
      </c>
      <c r="B19008" s="2" t="str">
        <f>"PREPARADO SAL. FRUTAS PEDAÇOS 8%"</f>
        <v>PREPARADO SAL. FRUTAS PEDAÇOS 8%</v>
      </c>
      <c r="C19008" s="2" t="str">
        <f t="shared" si="745"/>
        <v>KG</v>
      </c>
      <c r="D19008" s="7">
        <v>205</v>
      </c>
      <c r="E19008" s="3">
        <v>2</v>
      </c>
      <c r="F19008" s="3">
        <v>2</v>
      </c>
      <c r="G19008" t="s">
        <v>512</v>
      </c>
    </row>
    <row r="19009" spans="1:7" x14ac:dyDescent="0.25">
      <c r="A19009" s="1" t="str">
        <f>"524910"</f>
        <v>524910</v>
      </c>
      <c r="B19009" s="2" t="str">
        <f>"PREPARADO/RECHEIO P/ AMOSTRA"</f>
        <v>PREPARADO/RECHEIO P/ AMOSTRA</v>
      </c>
      <c r="C19009" s="2" t="str">
        <f t="shared" ref="C19009:C19039" si="746">"UN"</f>
        <v>UN</v>
      </c>
      <c r="D19009" s="7">
        <v>99999</v>
      </c>
      <c r="E19009" s="3">
        <v>99</v>
      </c>
      <c r="F19009" s="3">
        <v>99</v>
      </c>
      <c r="G19009" t="s">
        <v>513</v>
      </c>
    </row>
    <row r="19010" spans="1:7" x14ac:dyDescent="0.25">
      <c r="A19010" s="1" t="str">
        <f>"505066"</f>
        <v>505066</v>
      </c>
      <c r="B19010" s="2" t="str">
        <f>"PRESILHA"</f>
        <v>PRESILHA</v>
      </c>
      <c r="C19010" s="2" t="str">
        <f t="shared" si="746"/>
        <v>UN</v>
      </c>
      <c r="D19010" s="7">
        <v>704</v>
      </c>
      <c r="E19010" s="3">
        <v>9</v>
      </c>
      <c r="F19010" s="3">
        <v>9</v>
      </c>
      <c r="G19010" t="s">
        <v>514</v>
      </c>
    </row>
    <row r="19011" spans="1:7" x14ac:dyDescent="0.25">
      <c r="A19011" s="1" t="str">
        <f>"511686"</f>
        <v>511686</v>
      </c>
      <c r="B19011" s="2" t="str">
        <f>"PRESILHA"</f>
        <v>PRESILHA</v>
      </c>
      <c r="C19011" s="2" t="str">
        <f t="shared" si="746"/>
        <v>UN</v>
      </c>
      <c r="D19011" s="7">
        <v>704</v>
      </c>
      <c r="E19011" s="3">
        <v>9</v>
      </c>
      <c r="F19011" s="3">
        <v>9</v>
      </c>
      <c r="G19011" t="s">
        <v>514</v>
      </c>
    </row>
    <row r="19012" spans="1:7" x14ac:dyDescent="0.25">
      <c r="A19012" s="1" t="str">
        <f>"504175"</f>
        <v>504175</v>
      </c>
      <c r="B19012" s="2" t="str">
        <f>"PRESILHA DO CAPUZ COD. 81DB 16C680AA"</f>
        <v>PRESILHA DO CAPUZ COD. 81DB 16C680AA</v>
      </c>
      <c r="C19012" s="2" t="str">
        <f t="shared" si="746"/>
        <v>UN</v>
      </c>
      <c r="D19012" s="7">
        <v>704</v>
      </c>
      <c r="E19012" s="3">
        <v>9</v>
      </c>
      <c r="F19012" s="3">
        <v>9</v>
      </c>
      <c r="G19012" t="s">
        <v>514</v>
      </c>
    </row>
    <row r="19013" spans="1:7" x14ac:dyDescent="0.25">
      <c r="A19013" s="1" t="str">
        <f>"504940"</f>
        <v>504940</v>
      </c>
      <c r="B19013" s="2" t="str">
        <f>"PRESILHA FILTRO DE AR"</f>
        <v>PRESILHA FILTRO DE AR</v>
      </c>
      <c r="C19013" s="2" t="str">
        <f t="shared" si="746"/>
        <v>UN</v>
      </c>
      <c r="D19013" s="7">
        <v>918</v>
      </c>
      <c r="E19013" s="3">
        <v>11</v>
      </c>
      <c r="F19013" s="3">
        <v>11</v>
      </c>
      <c r="G19013" t="s">
        <v>513</v>
      </c>
    </row>
    <row r="19014" spans="1:7" x14ac:dyDescent="0.25">
      <c r="A19014" s="1" t="str">
        <f>"519885"</f>
        <v>519885</v>
      </c>
      <c r="B19014" s="2" t="str">
        <f>"PRESILHA FORRO TETO PRETO PARACHOQUE"</f>
        <v>PRESILHA FORRO TETO PRETO PARACHOQUE</v>
      </c>
      <c r="C19014" s="2" t="str">
        <f t="shared" si="746"/>
        <v>UN</v>
      </c>
      <c r="D19014" s="7">
        <v>704</v>
      </c>
      <c r="E19014" s="3">
        <v>9</v>
      </c>
      <c r="F19014" s="3">
        <v>9</v>
      </c>
      <c r="G19014" t="s">
        <v>513</v>
      </c>
    </row>
    <row r="19015" spans="1:7" x14ac:dyDescent="0.25">
      <c r="A19015" s="1" t="str">
        <f>"521048"</f>
        <v>521048</v>
      </c>
      <c r="B19015" s="2" t="str">
        <f>"PRESILHA MOVEL PARA LUMINARIA"</f>
        <v>PRESILHA MOVEL PARA LUMINARIA</v>
      </c>
      <c r="C19015" s="2" t="str">
        <f t="shared" si="746"/>
        <v>UN</v>
      </c>
      <c r="D19015" s="7">
        <v>811</v>
      </c>
      <c r="E19015" s="3">
        <v>4</v>
      </c>
      <c r="F19015" s="3">
        <v>4</v>
      </c>
      <c r="G19015" t="s">
        <v>513</v>
      </c>
    </row>
    <row r="19016" spans="1:7" x14ac:dyDescent="0.25">
      <c r="A19016" s="1" t="str">
        <f>"511483"</f>
        <v>511483</v>
      </c>
      <c r="B19016" s="2" t="str">
        <f>"PRESILHA P/ CABO AÇO 3/8"""</f>
        <v>PRESILHA P/ CABO AÇO 3/8"</v>
      </c>
      <c r="C19016" s="2" t="str">
        <f t="shared" si="746"/>
        <v>UN</v>
      </c>
      <c r="D19016" s="7">
        <v>402</v>
      </c>
      <c r="E19016" s="3">
        <v>4</v>
      </c>
      <c r="F19016" s="3">
        <v>4</v>
      </c>
      <c r="G19016" t="s">
        <v>512</v>
      </c>
    </row>
    <row r="19017" spans="1:7" x14ac:dyDescent="0.25">
      <c r="A19017" s="1" t="str">
        <f>"523450"</f>
        <v>523450</v>
      </c>
      <c r="B19017" s="2" t="str">
        <f>"PRESILHA P/ CABO AÇO 5/8"""</f>
        <v>PRESILHA P/ CABO AÇO 5/8"</v>
      </c>
      <c r="C19017" s="2" t="str">
        <f t="shared" si="746"/>
        <v>UN</v>
      </c>
      <c r="D19017" s="7">
        <v>402</v>
      </c>
      <c r="E19017" s="3">
        <v>4</v>
      </c>
      <c r="F19017" s="3">
        <v>4</v>
      </c>
      <c r="G19017" t="s">
        <v>513</v>
      </c>
    </row>
    <row r="19018" spans="1:7" x14ac:dyDescent="0.25">
      <c r="A19018" s="1" t="str">
        <f>"502816"</f>
        <v>502816</v>
      </c>
      <c r="B19018" s="2" t="str">
        <f>"PRESILHA PAINEL PORTA"</f>
        <v>PRESILHA PAINEL PORTA</v>
      </c>
      <c r="C19018" s="2" t="str">
        <f t="shared" si="746"/>
        <v>UN</v>
      </c>
      <c r="D19018" s="7">
        <v>704</v>
      </c>
      <c r="E19018" s="3">
        <v>9</v>
      </c>
      <c r="F19018" s="3">
        <v>9</v>
      </c>
      <c r="G19018" t="s">
        <v>514</v>
      </c>
    </row>
    <row r="19019" spans="1:7" x14ac:dyDescent="0.25">
      <c r="A19019" s="1" t="str">
        <f>"519890"</f>
        <v>519890</v>
      </c>
      <c r="B19019" s="2" t="str">
        <f>"PRESILHA PINO GRADE"</f>
        <v>PRESILHA PINO GRADE</v>
      </c>
      <c r="C19019" s="2" t="str">
        <f t="shared" si="746"/>
        <v>UN</v>
      </c>
      <c r="D19019" s="7">
        <v>704</v>
      </c>
      <c r="E19019" s="3">
        <v>9</v>
      </c>
      <c r="F19019" s="3">
        <v>9</v>
      </c>
      <c r="G19019" t="s">
        <v>515</v>
      </c>
    </row>
    <row r="19020" spans="1:7" x14ac:dyDescent="0.25">
      <c r="A19020" s="1" t="str">
        <f>"519106"</f>
        <v>519106</v>
      </c>
      <c r="B19020" s="2" t="str">
        <f>"PRESSÃO DE NITROGENIO"</f>
        <v>PRESSÃO DE NITROGENIO</v>
      </c>
      <c r="C19020" s="2" t="str">
        <f t="shared" si="746"/>
        <v>UN</v>
      </c>
      <c r="D19020" s="7">
        <v>704</v>
      </c>
      <c r="E19020" s="3">
        <v>9</v>
      </c>
      <c r="F19020" s="3">
        <v>9</v>
      </c>
      <c r="G19020" t="s">
        <v>512</v>
      </c>
    </row>
    <row r="19021" spans="1:7" x14ac:dyDescent="0.25">
      <c r="A19021" s="1" t="str">
        <f>"501690"</f>
        <v>501690</v>
      </c>
      <c r="B19021" s="2" t="str">
        <f>"PRESSMATIC TORN.P/EAVAT.CR.COMPACT DOCOL"</f>
        <v>PRESSMATIC TORN.P/EAVAT.CR.COMPACT DOCOL</v>
      </c>
      <c r="C19021" s="2" t="str">
        <f t="shared" si="746"/>
        <v>UN</v>
      </c>
      <c r="D19021" s="7">
        <v>403</v>
      </c>
      <c r="E19021" s="3">
        <v>4</v>
      </c>
      <c r="F19021" s="3">
        <v>4</v>
      </c>
      <c r="G19021" t="s">
        <v>516</v>
      </c>
    </row>
    <row r="19022" spans="1:7" x14ac:dyDescent="0.25">
      <c r="A19022" s="1" t="str">
        <f>"512436"</f>
        <v>512436</v>
      </c>
      <c r="B19022" s="2" t="str">
        <f>"PRESSOSTATO DANFOSS ALTA KP5A REARME AUTOMATICO"</f>
        <v>PRESSOSTATO DANFOSS ALTA KP5A REARME AUTOMATICO</v>
      </c>
      <c r="C19022" s="2" t="str">
        <f t="shared" si="746"/>
        <v>UN</v>
      </c>
      <c r="D19022" s="7">
        <v>900</v>
      </c>
      <c r="E19022" s="3">
        <v>11</v>
      </c>
      <c r="F19022" s="3">
        <v>11</v>
      </c>
      <c r="G19022" t="s">
        <v>515</v>
      </c>
    </row>
    <row r="19023" spans="1:7" x14ac:dyDescent="0.25">
      <c r="A19023" s="1" t="str">
        <f>"507804"</f>
        <v>507804</v>
      </c>
      <c r="B19023" s="2" t="str">
        <f>"PRESSOSTATO DANFOSS ALTA/BAIXA KP-15A AUT/MANUAL ROSCA 1/4"""</f>
        <v>PRESSOSTATO DANFOSS ALTA/BAIXA KP-15A AUT/MANUAL ROSCA 1/4"</v>
      </c>
      <c r="C19023" s="2" t="str">
        <f t="shared" si="746"/>
        <v>UN</v>
      </c>
      <c r="D19023" s="7">
        <v>900</v>
      </c>
      <c r="E19023" s="3">
        <v>11</v>
      </c>
      <c r="F19023" s="3">
        <v>11</v>
      </c>
      <c r="G19023" t="s">
        <v>514</v>
      </c>
    </row>
    <row r="19024" spans="1:7" x14ac:dyDescent="0.25">
      <c r="A19024" s="1" t="str">
        <f>"512437"</f>
        <v>512437</v>
      </c>
      <c r="B19024" s="2" t="str">
        <f>"PRESSOSTATO DANFOSS BAIXA KP1A REARME AUT. P/ AMONIA"</f>
        <v>PRESSOSTATO DANFOSS BAIXA KP1A REARME AUT. P/ AMONIA</v>
      </c>
      <c r="C19024" s="2" t="str">
        <f t="shared" si="746"/>
        <v>UN</v>
      </c>
      <c r="D19024" s="7">
        <v>918</v>
      </c>
      <c r="E19024" s="3">
        <v>11</v>
      </c>
      <c r="F19024" s="3">
        <v>11</v>
      </c>
      <c r="G19024" t="s">
        <v>512</v>
      </c>
    </row>
    <row r="19025" spans="1:7" x14ac:dyDescent="0.25">
      <c r="A19025" s="1" t="str">
        <f>"511383"</f>
        <v>511383</v>
      </c>
      <c r="B19025" s="2" t="str">
        <f>"PRESSOSTATO DANFOSS KP1A 060-110166"</f>
        <v>PRESSOSTATO DANFOSS KP1A 060-110166</v>
      </c>
      <c r="C19025" s="2" t="str">
        <f t="shared" si="746"/>
        <v>UN</v>
      </c>
      <c r="D19025" s="7">
        <v>600</v>
      </c>
      <c r="E19025" s="3">
        <v>8</v>
      </c>
      <c r="F19025" s="3">
        <v>8</v>
      </c>
      <c r="G19025" t="s">
        <v>513</v>
      </c>
    </row>
    <row r="19026" spans="1:7" x14ac:dyDescent="0.25">
      <c r="A19026" s="1" t="str">
        <f>"505419"</f>
        <v>505419</v>
      </c>
      <c r="B19026" s="2" t="str">
        <f>"PRESSOSTATO DANFOSS KPI 35"</f>
        <v>PRESSOSTATO DANFOSS KPI 35</v>
      </c>
      <c r="C19026" s="2" t="str">
        <f t="shared" si="746"/>
        <v>UN</v>
      </c>
      <c r="D19026" s="7">
        <v>900</v>
      </c>
      <c r="E19026" s="3">
        <v>11</v>
      </c>
      <c r="F19026" s="3">
        <v>11</v>
      </c>
      <c r="G19026" t="s">
        <v>514</v>
      </c>
    </row>
    <row r="19027" spans="1:7" x14ac:dyDescent="0.25">
      <c r="A19027" s="1" t="str">
        <f>"501758"</f>
        <v>501758</v>
      </c>
      <c r="B19027" s="2" t="str">
        <f>"PRESSOSTATO DANFOSS KPI 36"</f>
        <v>PRESSOSTATO DANFOSS KPI 36</v>
      </c>
      <c r="C19027" s="2" t="str">
        <f t="shared" si="746"/>
        <v>UN</v>
      </c>
      <c r="D19027" s="7">
        <v>900</v>
      </c>
      <c r="E19027" s="3">
        <v>11</v>
      </c>
      <c r="F19027" s="3">
        <v>11</v>
      </c>
      <c r="G19027" t="s">
        <v>514</v>
      </c>
    </row>
    <row r="19028" spans="1:7" x14ac:dyDescent="0.25">
      <c r="A19028" s="1" t="str">
        <f>"508546"</f>
        <v>508546</v>
      </c>
      <c r="B19028" s="2" t="str">
        <f>"PRESSOSTATO DE DIREÇAO"</f>
        <v>PRESSOSTATO DE DIREÇAO</v>
      </c>
      <c r="C19028" s="2" t="str">
        <f t="shared" si="746"/>
        <v>UN</v>
      </c>
      <c r="D19028" s="7">
        <v>704</v>
      </c>
      <c r="E19028" s="3">
        <v>9</v>
      </c>
      <c r="F19028" s="3">
        <v>9</v>
      </c>
      <c r="G19028" t="s">
        <v>512</v>
      </c>
    </row>
    <row r="19029" spans="1:7" x14ac:dyDescent="0.25">
      <c r="A19029" s="1" t="str">
        <f>"523008"</f>
        <v>523008</v>
      </c>
      <c r="B19029" s="2" t="str">
        <f>"PRESSOSTATO DIFERENCIAL P/ AR, SET POINT AJUST, 20-200 PA"</f>
        <v>PRESSOSTATO DIFERENCIAL P/ AR, SET POINT AJUST, 20-200 PA</v>
      </c>
      <c r="C19029" s="2" t="str">
        <f t="shared" si="746"/>
        <v>UN</v>
      </c>
      <c r="D19029" s="7">
        <v>811</v>
      </c>
      <c r="E19029" s="3">
        <v>11</v>
      </c>
      <c r="F19029" s="3">
        <v>11</v>
      </c>
      <c r="G19029" t="s">
        <v>513</v>
      </c>
    </row>
    <row r="19030" spans="1:7" x14ac:dyDescent="0.25">
      <c r="A19030" s="1" t="str">
        <f>"516207"</f>
        <v>516207</v>
      </c>
      <c r="B19030" s="2" t="str">
        <f>"PRESSOSTATO ELETRONICO 0 A 300 BAR P3.FLUSH  1/2 BSP"</f>
        <v>PRESSOSTATO ELETRONICO 0 A 300 BAR P3.FLUSH  1/2 BSP</v>
      </c>
      <c r="C19030" s="2" t="str">
        <f t="shared" si="746"/>
        <v>UN</v>
      </c>
      <c r="D19030" s="7">
        <v>600</v>
      </c>
      <c r="E19030" s="3">
        <v>8</v>
      </c>
      <c r="F19030" s="3">
        <v>8</v>
      </c>
      <c r="G19030" t="s">
        <v>514</v>
      </c>
    </row>
    <row r="19031" spans="1:7" x14ac:dyDescent="0.25">
      <c r="A19031" s="1" t="str">
        <f>"520403"</f>
        <v>520403</v>
      </c>
      <c r="B19031" s="2" t="str">
        <f>"PRESSOSTATO FESTO 527467 D713 30VDC BBN2U"</f>
        <v>PRESSOSTATO FESTO 527467 D713 30VDC BBN2U</v>
      </c>
      <c r="C19031" s="2" t="str">
        <f t="shared" si="746"/>
        <v>UN</v>
      </c>
      <c r="D19031" s="7">
        <v>913</v>
      </c>
      <c r="E19031" s="3">
        <v>11</v>
      </c>
      <c r="F19031" s="3">
        <v>11</v>
      </c>
      <c r="G19031" t="s">
        <v>514</v>
      </c>
    </row>
    <row r="19032" spans="1:7" x14ac:dyDescent="0.25">
      <c r="A19032" s="1" t="str">
        <f>"517194"</f>
        <v>517194</v>
      </c>
      <c r="B19032" s="2" t="str">
        <f>"PRESSOSTATO FESTO PE-1/8-2N"</f>
        <v>PRESSOSTATO FESTO PE-1/8-2N</v>
      </c>
      <c r="C19032" s="2" t="str">
        <f t="shared" si="746"/>
        <v>UN</v>
      </c>
      <c r="D19032" s="7">
        <v>913</v>
      </c>
      <c r="E19032" s="3">
        <v>11</v>
      </c>
      <c r="F19032" s="3">
        <v>11</v>
      </c>
      <c r="G19032" t="s">
        <v>514</v>
      </c>
    </row>
    <row r="19033" spans="1:7" x14ac:dyDescent="0.25">
      <c r="A19033" s="1" t="str">
        <f>"517801"</f>
        <v>517801</v>
      </c>
      <c r="B19033" s="2" t="str">
        <f>"PRESSOSTATO FESTO SDE5-D10-0-Q6E-P-M8"</f>
        <v>PRESSOSTATO FESTO SDE5-D10-0-Q6E-P-M8</v>
      </c>
      <c r="C19033" s="2" t="str">
        <f t="shared" si="746"/>
        <v>UN</v>
      </c>
      <c r="D19033" s="7">
        <v>913</v>
      </c>
      <c r="E19033" s="3">
        <v>11</v>
      </c>
      <c r="F19033" s="3">
        <v>11</v>
      </c>
      <c r="G19033" t="s">
        <v>513</v>
      </c>
    </row>
    <row r="19034" spans="1:7" x14ac:dyDescent="0.25">
      <c r="A19034" s="1" t="str">
        <f>"517203"</f>
        <v>517203</v>
      </c>
      <c r="B19034" s="2" t="str">
        <f>"PRESSOSTATO FESTO SDE5-D10-0-QE6--P-M8 527467B872"</f>
        <v>PRESSOSTATO FESTO SDE5-D10-0-QE6--P-M8 527467B872</v>
      </c>
      <c r="C19034" s="2" t="str">
        <f t="shared" si="746"/>
        <v>UN</v>
      </c>
      <c r="D19034" s="7">
        <v>913</v>
      </c>
      <c r="E19034" s="3">
        <v>11</v>
      </c>
      <c r="F19034" s="3">
        <v>11</v>
      </c>
      <c r="G19034" t="s">
        <v>512</v>
      </c>
    </row>
    <row r="19035" spans="1:7" x14ac:dyDescent="0.25">
      <c r="A19035" s="1" t="str">
        <f>"516151"</f>
        <v>516151</v>
      </c>
      <c r="B19035" s="2" t="str">
        <f>"PRESSOSTATO KPI36 4/12 BAR DANFFOS 060-118966"</f>
        <v>PRESSOSTATO KPI36 4/12 BAR DANFFOS 060-118966</v>
      </c>
      <c r="C19035" s="2" t="str">
        <f t="shared" si="746"/>
        <v>UN</v>
      </c>
      <c r="D19035" s="7">
        <v>1001</v>
      </c>
      <c r="E19035" s="3">
        <v>11</v>
      </c>
      <c r="F19035" s="3">
        <v>11</v>
      </c>
      <c r="G19035" t="s">
        <v>513</v>
      </c>
    </row>
    <row r="19036" spans="1:7" x14ac:dyDescent="0.25">
      <c r="A19036" s="1" t="str">
        <f>"517023"</f>
        <v>517023</v>
      </c>
      <c r="B19036" s="2" t="str">
        <f>"PRESSOSTATO MARGIRIUS 35106SIBQ1"</f>
        <v>PRESSOSTATO MARGIRIUS 35106SIBQ1</v>
      </c>
      <c r="C19036" s="2" t="str">
        <f t="shared" si="746"/>
        <v>UN</v>
      </c>
      <c r="D19036" s="7">
        <v>811</v>
      </c>
      <c r="E19036" s="3">
        <v>8</v>
      </c>
      <c r="F19036" s="3">
        <v>8</v>
      </c>
      <c r="G19036" t="s">
        <v>514</v>
      </c>
    </row>
    <row r="19037" spans="1:7" x14ac:dyDescent="0.25">
      <c r="A19037" s="1" t="str">
        <f>"507805"</f>
        <v>507805</v>
      </c>
      <c r="B19037" s="2" t="str">
        <f>"PRESSOSTATO OLEO MP55A 060B100666 0,3 A 4,5 BAR 60SEG G3/8A"</f>
        <v>PRESSOSTATO OLEO MP55A 060B100666 0,3 A 4,5 BAR 60SEG G3/8A</v>
      </c>
      <c r="C19037" s="2" t="str">
        <f t="shared" si="746"/>
        <v>UN</v>
      </c>
      <c r="D19037" s="7">
        <v>900</v>
      </c>
      <c r="E19037" s="3">
        <v>11</v>
      </c>
      <c r="F19037" s="3">
        <v>11</v>
      </c>
      <c r="G19037" t="s">
        <v>514</v>
      </c>
    </row>
    <row r="19038" spans="1:7" x14ac:dyDescent="0.25">
      <c r="A19038" s="1" t="str">
        <f>"512438"</f>
        <v>512438</v>
      </c>
      <c r="B19038" s="2" t="str">
        <f>"PRESSOSTATO OLEO MP55A 60 SEGUNDOS"</f>
        <v>PRESSOSTATO OLEO MP55A 60 SEGUNDOS</v>
      </c>
      <c r="C19038" s="2" t="str">
        <f t="shared" si="746"/>
        <v>UN</v>
      </c>
      <c r="D19038" s="7">
        <v>900</v>
      </c>
      <c r="E19038" s="3">
        <v>11</v>
      </c>
      <c r="F19038" s="3">
        <v>11</v>
      </c>
      <c r="G19038" t="s">
        <v>514</v>
      </c>
    </row>
    <row r="19039" spans="1:7" x14ac:dyDescent="0.25">
      <c r="A19039" s="1" t="str">
        <f>"514262"</f>
        <v>514262</v>
      </c>
      <c r="B19039" s="2" t="str">
        <f>"PRESSOSTATO PSI"</f>
        <v>PRESSOSTATO PSI</v>
      </c>
      <c r="C19039" s="2" t="str">
        <f t="shared" si="746"/>
        <v>UN</v>
      </c>
      <c r="D19039" s="7">
        <v>811</v>
      </c>
      <c r="E19039" s="3">
        <v>8</v>
      </c>
      <c r="F19039" s="3">
        <v>8</v>
      </c>
      <c r="G19039" t="s">
        <v>513</v>
      </c>
    </row>
    <row r="19040" spans="1:7" x14ac:dyDescent="0.25">
      <c r="A19040" s="1" t="str">
        <f>"504126"</f>
        <v>504126</v>
      </c>
      <c r="B19040" s="2" t="str">
        <f>"PRESSOSTATO ZURICH REF.SPU 0-10KGF TC.38"</f>
        <v>PRESSOSTATO ZURICH REF.SPU 0-10KGF TC.38</v>
      </c>
      <c r="C19040" s="2" t="str">
        <f>"BR"</f>
        <v>BR</v>
      </c>
      <c r="D19040" s="7">
        <v>808</v>
      </c>
      <c r="E19040" s="3">
        <v>10</v>
      </c>
      <c r="F19040" s="3">
        <v>10</v>
      </c>
      <c r="G19040" t="s">
        <v>513</v>
      </c>
    </row>
    <row r="19041" spans="1:7" x14ac:dyDescent="0.25">
      <c r="A19041" s="1" t="str">
        <f>"516593"</f>
        <v>516593</v>
      </c>
      <c r="B19041" s="2" t="str">
        <f>"PRESSOSTATO/TRANSMISSOR PRESSÃO/MANOMETRO P3.SR 10 BAR TC.38"</f>
        <v>PRESSOSTATO/TRANSMISSOR PRESSÃO/MANOMETRO P3.SR 10 BAR TC.38</v>
      </c>
      <c r="C19041" s="2" t="str">
        <f t="shared" ref="C19041:C19062" si="747">"UN"</f>
        <v>UN</v>
      </c>
      <c r="D19041" s="7">
        <v>918</v>
      </c>
      <c r="E19041" s="3">
        <v>11</v>
      </c>
      <c r="F19041" s="3">
        <v>11</v>
      </c>
      <c r="G19041" t="s">
        <v>513</v>
      </c>
    </row>
    <row r="19042" spans="1:7" x14ac:dyDescent="0.25">
      <c r="A19042" s="1" t="str">
        <f>"522028"</f>
        <v>522028</v>
      </c>
      <c r="B19042" s="2" t="str">
        <f>"PRESTAÇÃO DE SERVIÇO - ABASTECIMENTO FROTA LEVE"</f>
        <v>PRESTAÇÃO DE SERVIÇO - ABASTECIMENTO FROTA LEVE</v>
      </c>
      <c r="C19042" s="2" t="str">
        <f t="shared" si="747"/>
        <v>UN</v>
      </c>
      <c r="D19042" s="7">
        <v>99999</v>
      </c>
      <c r="E19042" s="3">
        <v>99</v>
      </c>
      <c r="F19042" s="3">
        <v>99</v>
      </c>
      <c r="G19042" t="s">
        <v>512</v>
      </c>
    </row>
    <row r="19043" spans="1:7" x14ac:dyDescent="0.25">
      <c r="A19043" s="1" t="str">
        <f>"522004"</f>
        <v>522004</v>
      </c>
      <c r="B19043" s="2" t="str">
        <f>"PRESTO BARBA"</f>
        <v>PRESTO BARBA</v>
      </c>
      <c r="C19043" s="2" t="str">
        <f t="shared" si="747"/>
        <v>UN</v>
      </c>
      <c r="D19043" s="7">
        <v>99999</v>
      </c>
      <c r="E19043" s="3">
        <v>99</v>
      </c>
      <c r="F19043" s="3">
        <v>99</v>
      </c>
      <c r="G19043" t="s">
        <v>513</v>
      </c>
    </row>
    <row r="19044" spans="1:7" x14ac:dyDescent="0.25">
      <c r="A19044" s="1" t="str">
        <f>"515443"</f>
        <v>515443</v>
      </c>
      <c r="B19044" s="2" t="str">
        <f>"PRESUNTO"</f>
        <v>PRESUNTO</v>
      </c>
      <c r="C19044" s="2" t="str">
        <f t="shared" si="747"/>
        <v>UN</v>
      </c>
      <c r="D19044" s="7">
        <v>401</v>
      </c>
      <c r="E19044" s="3">
        <v>4</v>
      </c>
      <c r="F19044" s="3">
        <v>4</v>
      </c>
      <c r="G19044" t="s">
        <v>514</v>
      </c>
    </row>
    <row r="19045" spans="1:7" x14ac:dyDescent="0.25">
      <c r="A19045" s="1" t="str">
        <f>"515415"</f>
        <v>515415</v>
      </c>
      <c r="B19045" s="2" t="str">
        <f>"PRETELEIRA DE METALON AZUL"</f>
        <v>PRETELEIRA DE METALON AZUL</v>
      </c>
      <c r="C19045" s="2" t="str">
        <f t="shared" si="747"/>
        <v>UN</v>
      </c>
      <c r="D19045" s="7">
        <v>1300</v>
      </c>
      <c r="E19045" s="3">
        <v>13</v>
      </c>
      <c r="F19045" s="3">
        <v>13</v>
      </c>
      <c r="G19045" t="s">
        <v>515</v>
      </c>
    </row>
    <row r="19046" spans="1:7" x14ac:dyDescent="0.25">
      <c r="A19046" s="1" t="str">
        <f>"514288"</f>
        <v>514288</v>
      </c>
      <c r="B19046" s="2" t="str">
        <f>"PRETINHO PNEU"</f>
        <v>PRETINHO PNEU</v>
      </c>
      <c r="C19046" s="2" t="str">
        <f t="shared" si="747"/>
        <v>UN</v>
      </c>
      <c r="D19046" s="7">
        <v>704</v>
      </c>
      <c r="E19046" s="3">
        <v>9</v>
      </c>
      <c r="F19046" s="3">
        <v>9</v>
      </c>
      <c r="G19046" t="s">
        <v>512</v>
      </c>
    </row>
    <row r="19047" spans="1:7" x14ac:dyDescent="0.25">
      <c r="A19047" s="1" t="str">
        <f>"515077"</f>
        <v>515077</v>
      </c>
      <c r="B19047" s="2" t="str">
        <f>"PRETO ERIOC EM TRIETIL 100ML"</f>
        <v>PRETO ERIOC EM TRIETIL 100ML</v>
      </c>
      <c r="C19047" s="2" t="str">
        <f t="shared" si="747"/>
        <v>UN</v>
      </c>
      <c r="D19047" s="7">
        <v>401</v>
      </c>
      <c r="E19047" s="3">
        <v>4</v>
      </c>
      <c r="F19047" s="3">
        <v>4</v>
      </c>
      <c r="G19047" t="s">
        <v>516</v>
      </c>
    </row>
    <row r="19048" spans="1:7" x14ac:dyDescent="0.25">
      <c r="A19048" s="1" t="str">
        <f>"512110"</f>
        <v>512110</v>
      </c>
      <c r="B19048" s="2" t="str">
        <f>"PRF-CC M6X30 DIN-912"</f>
        <v>PRF-CC M6X30 DIN-912</v>
      </c>
      <c r="C19048" s="2" t="str">
        <f t="shared" si="747"/>
        <v>UN</v>
      </c>
      <c r="D19048" s="7">
        <v>918</v>
      </c>
      <c r="E19048" s="3">
        <v>11</v>
      </c>
      <c r="F19048" s="3">
        <v>11</v>
      </c>
      <c r="G19048" t="s">
        <v>515</v>
      </c>
    </row>
    <row r="19049" spans="1:7" x14ac:dyDescent="0.25">
      <c r="A19049" s="1" t="str">
        <f>"524671"</f>
        <v>524671</v>
      </c>
      <c r="B19049" s="2" t="str">
        <f>"PRIMER EPOXI ACAB.AMARELO SEG. MAZA"</f>
        <v>PRIMER EPOXI ACAB.AMARELO SEG. MAZA</v>
      </c>
      <c r="C19049" s="2" t="str">
        <f t="shared" si="747"/>
        <v>UN</v>
      </c>
      <c r="D19049" s="7">
        <v>804</v>
      </c>
      <c r="E19049" s="3">
        <v>10</v>
      </c>
      <c r="F19049" s="3">
        <v>10</v>
      </c>
      <c r="G19049" t="s">
        <v>514</v>
      </c>
    </row>
    <row r="19050" spans="1:7" x14ac:dyDescent="0.25">
      <c r="A19050" s="1" t="str">
        <f>"524531"</f>
        <v>524531</v>
      </c>
      <c r="B19050" s="2" t="str">
        <f>"PRIMER EPOXI CINZA C/CATAL.RIBERLUX"</f>
        <v>PRIMER EPOXI CINZA C/CATAL.RIBERLUX</v>
      </c>
      <c r="C19050" s="2" t="str">
        <f t="shared" si="747"/>
        <v>UN</v>
      </c>
      <c r="D19050" s="7">
        <v>917</v>
      </c>
      <c r="E19050" s="3">
        <v>4</v>
      </c>
      <c r="F19050" s="3">
        <v>4</v>
      </c>
      <c r="G19050" t="s">
        <v>512</v>
      </c>
    </row>
    <row r="19051" spans="1:7" x14ac:dyDescent="0.25">
      <c r="A19051" s="1" t="str">
        <f>"512960"</f>
        <v>512960</v>
      </c>
      <c r="B19051" s="2" t="str">
        <f>"PRIMER HS CINZA P/ PLASTICO 900ML"</f>
        <v>PRIMER HS CINZA P/ PLASTICO 900ML</v>
      </c>
      <c r="C19051" s="2" t="str">
        <f t="shared" si="747"/>
        <v>UN</v>
      </c>
      <c r="D19051" s="7">
        <v>402</v>
      </c>
      <c r="E19051" s="3">
        <v>4</v>
      </c>
      <c r="F19051" s="3">
        <v>4</v>
      </c>
      <c r="G19051" t="s">
        <v>513</v>
      </c>
    </row>
    <row r="19052" spans="1:7" x14ac:dyDescent="0.25">
      <c r="A19052" s="1" t="str">
        <f>"522249"</f>
        <v>522249</v>
      </c>
      <c r="B19052" s="2" t="str">
        <f>"PRIMER MANTA 3,600 LT"</f>
        <v>PRIMER MANTA 3,600 LT</v>
      </c>
      <c r="C19052" s="2" t="str">
        <f t="shared" si="747"/>
        <v>UN</v>
      </c>
      <c r="D19052" s="7">
        <v>803</v>
      </c>
      <c r="E19052" s="3">
        <v>10</v>
      </c>
      <c r="F19052" s="3">
        <v>10</v>
      </c>
      <c r="G19052" t="s">
        <v>514</v>
      </c>
    </row>
    <row r="19053" spans="1:7" x14ac:dyDescent="0.25">
      <c r="A19053" s="1" t="str">
        <f>"509399"</f>
        <v>509399</v>
      </c>
      <c r="B19053" s="2" t="str">
        <f>"PRIMER MANTA VEDACIT - TAMBOR 200L"</f>
        <v>PRIMER MANTA VEDACIT - TAMBOR 200L</v>
      </c>
      <c r="C19053" s="2" t="str">
        <f t="shared" si="747"/>
        <v>UN</v>
      </c>
      <c r="D19053" s="7">
        <v>803</v>
      </c>
      <c r="E19053" s="3">
        <v>10</v>
      </c>
      <c r="F19053" s="3">
        <v>10</v>
      </c>
      <c r="G19053" t="s">
        <v>514</v>
      </c>
    </row>
    <row r="19054" spans="1:7" x14ac:dyDescent="0.25">
      <c r="A19054" s="1" t="str">
        <f>"526946"</f>
        <v>526946</v>
      </c>
      <c r="B19054" s="2" t="str">
        <f>"PRIMER PARA ADERENCIA"</f>
        <v>PRIMER PARA ADERENCIA</v>
      </c>
      <c r="C19054" s="2" t="str">
        <f t="shared" si="747"/>
        <v>UN</v>
      </c>
      <c r="D19054" s="7">
        <v>804</v>
      </c>
      <c r="E19054" s="3">
        <v>10</v>
      </c>
      <c r="F19054" s="3">
        <v>10</v>
      </c>
      <c r="G19054" t="s">
        <v>512</v>
      </c>
    </row>
    <row r="19055" spans="1:7" x14ac:dyDescent="0.25">
      <c r="A19055" s="1" t="str">
        <f>"523348"</f>
        <v>523348</v>
      </c>
      <c r="B19055" s="2" t="str">
        <f>"PRINCIPAL 60LT"</f>
        <v>PRINCIPAL 60LT</v>
      </c>
      <c r="C19055" s="2" t="str">
        <f t="shared" si="747"/>
        <v>UN</v>
      </c>
      <c r="D19055" s="7">
        <v>99999</v>
      </c>
      <c r="E19055" s="3">
        <v>99</v>
      </c>
      <c r="F19055" s="3">
        <v>99</v>
      </c>
      <c r="G19055" t="s">
        <v>513</v>
      </c>
    </row>
    <row r="19056" spans="1:7" x14ac:dyDescent="0.25">
      <c r="A19056" s="1" t="str">
        <f>"504914"</f>
        <v>504914</v>
      </c>
      <c r="B19056" s="2" t="str">
        <f>"PRISIONEIRO"</f>
        <v>PRISIONEIRO</v>
      </c>
      <c r="C19056" s="2" t="str">
        <f t="shared" si="747"/>
        <v>UN</v>
      </c>
      <c r="D19056" s="7">
        <v>704</v>
      </c>
      <c r="E19056" s="3">
        <v>9</v>
      </c>
      <c r="F19056" s="3">
        <v>9</v>
      </c>
      <c r="G19056" t="s">
        <v>514</v>
      </c>
    </row>
    <row r="19057" spans="1:7" x14ac:dyDescent="0.25">
      <c r="A19057" s="1" t="str">
        <f>"503778"</f>
        <v>503778</v>
      </c>
      <c r="B19057" s="2" t="str">
        <f>"PRISIONEIRO ACO INOX M10 X 60MM"</f>
        <v>PRISIONEIRO ACO INOX M10 X 60MM</v>
      </c>
      <c r="C19057" s="2" t="str">
        <f t="shared" si="747"/>
        <v>UN</v>
      </c>
      <c r="D19057" s="7">
        <v>918</v>
      </c>
      <c r="E19057" s="3">
        <v>11</v>
      </c>
      <c r="F19057" s="3">
        <v>11</v>
      </c>
      <c r="G19057" t="s">
        <v>514</v>
      </c>
    </row>
    <row r="19058" spans="1:7" x14ac:dyDescent="0.25">
      <c r="A19058" s="1" t="str">
        <f>"500961"</f>
        <v>500961</v>
      </c>
      <c r="B19058" s="2" t="str">
        <f>"PRISIONEIRO AÇO INOX M10 X 80MM"</f>
        <v>PRISIONEIRO AÇO INOX M10 X 80MM</v>
      </c>
      <c r="C19058" s="2" t="str">
        <f t="shared" si="747"/>
        <v>UN</v>
      </c>
      <c r="D19058" s="7">
        <v>918</v>
      </c>
      <c r="E19058" s="3">
        <v>11</v>
      </c>
      <c r="F19058" s="3">
        <v>11</v>
      </c>
      <c r="G19058" t="s">
        <v>514</v>
      </c>
    </row>
    <row r="19059" spans="1:7" x14ac:dyDescent="0.25">
      <c r="A19059" s="1" t="str">
        <f>"520343"</f>
        <v>520343</v>
      </c>
      <c r="B19059" s="2" t="str">
        <f>"PRISIONEIRO DA RESISTENCIA (BRASKOP)"</f>
        <v>PRISIONEIRO DA RESISTENCIA (BRASKOP)</v>
      </c>
      <c r="C19059" s="2" t="str">
        <f t="shared" si="747"/>
        <v>UN</v>
      </c>
      <c r="D19059" s="7">
        <v>918</v>
      </c>
      <c r="E19059" s="3">
        <v>11</v>
      </c>
      <c r="F19059" s="3">
        <v>11</v>
      </c>
      <c r="G19059" t="s">
        <v>513</v>
      </c>
    </row>
    <row r="19060" spans="1:7" x14ac:dyDescent="0.25">
      <c r="A19060" s="1" t="str">
        <f>"519625"</f>
        <v>519625</v>
      </c>
      <c r="B19060" s="2" t="str">
        <f>"PRISIONEIRO DE FIXAÇÃO BLOCO SHL30 APF-8303"</f>
        <v>PRISIONEIRO DE FIXAÇÃO BLOCO SHL30 APF-8303</v>
      </c>
      <c r="C19060" s="2" t="str">
        <f t="shared" si="747"/>
        <v>UN</v>
      </c>
      <c r="D19060" s="7">
        <v>918</v>
      </c>
      <c r="E19060" s="3">
        <v>11</v>
      </c>
      <c r="F19060" s="3">
        <v>11</v>
      </c>
      <c r="G19060" t="s">
        <v>512</v>
      </c>
    </row>
    <row r="19061" spans="1:7" x14ac:dyDescent="0.25">
      <c r="A19061" s="1" t="str">
        <f>"503007"</f>
        <v>503007</v>
      </c>
      <c r="B19061" s="2" t="str">
        <f>"PRISIONEIRO GEIGER RETENTOR DA FLANGE"</f>
        <v>PRISIONEIRO GEIGER RETENTOR DA FLANGE</v>
      </c>
      <c r="C19061" s="2" t="str">
        <f t="shared" si="747"/>
        <v>UN</v>
      </c>
      <c r="D19061" s="7">
        <v>918</v>
      </c>
      <c r="E19061" s="3">
        <v>11</v>
      </c>
      <c r="F19061" s="3">
        <v>11</v>
      </c>
      <c r="G19061" t="s">
        <v>513</v>
      </c>
    </row>
    <row r="19062" spans="1:7" x14ac:dyDescent="0.25">
      <c r="A19062" s="1" t="str">
        <f>"507136"</f>
        <v>507136</v>
      </c>
      <c r="B19062" s="2" t="str">
        <f>"PRISIONEIRO P/ MOLA COD. 05.3120.058.50"</f>
        <v>PRISIONEIRO P/ MOLA COD. 05.3120.058.50</v>
      </c>
      <c r="C19062" s="2" t="str">
        <f t="shared" si="747"/>
        <v>UN</v>
      </c>
      <c r="D19062" s="7">
        <v>918</v>
      </c>
      <c r="E19062" s="3">
        <v>11</v>
      </c>
      <c r="F19062" s="3">
        <v>11</v>
      </c>
      <c r="G19062" t="s">
        <v>514</v>
      </c>
    </row>
    <row r="19063" spans="1:7" x14ac:dyDescent="0.25">
      <c r="A19063" s="1" t="str">
        <f>"525105"</f>
        <v>525105</v>
      </c>
      <c r="B19063" s="2" t="str">
        <f>"PRISMA PL 30A"</f>
        <v>PRISMA PL 30A</v>
      </c>
      <c r="C19063" s="2" t="str">
        <f>"PC"</f>
        <v>PC</v>
      </c>
      <c r="D19063" s="7">
        <v>908</v>
      </c>
      <c r="E19063" s="3">
        <v>11</v>
      </c>
      <c r="F19063" s="3">
        <v>11</v>
      </c>
      <c r="G19063" t="s">
        <v>514</v>
      </c>
    </row>
    <row r="19064" spans="1:7" x14ac:dyDescent="0.25">
      <c r="A19064" s="1" t="str">
        <f>"525064"</f>
        <v>525064</v>
      </c>
      <c r="B19064" s="2" t="str">
        <f>"PROBE CILINDRICO 20MM P/20P"</f>
        <v>PROBE CILINDRICO 20MM P/20P</v>
      </c>
      <c r="C19064" s="2" t="str">
        <f t="shared" ref="C19064:C19111" si="748">"UN"</f>
        <v>UN</v>
      </c>
      <c r="D19064" s="7">
        <v>406</v>
      </c>
      <c r="E19064" s="3">
        <v>11</v>
      </c>
      <c r="F19064" s="3">
        <v>11</v>
      </c>
      <c r="G19064" t="s">
        <v>514</v>
      </c>
    </row>
    <row r="19065" spans="1:7" x14ac:dyDescent="0.25">
      <c r="A19065" s="1" t="str">
        <f>"525398"</f>
        <v>525398</v>
      </c>
      <c r="B19065" s="2" t="str">
        <f>"PROBE CILINDRICO EXTREMIDADE PLANA 45MM P/45"</f>
        <v>PROBE CILINDRICO EXTREMIDADE PLANA 45MM P/45</v>
      </c>
      <c r="C19065" s="2" t="str">
        <f t="shared" si="748"/>
        <v>UN</v>
      </c>
      <c r="D19065" s="7">
        <v>406</v>
      </c>
      <c r="E19065" s="3">
        <v>11</v>
      </c>
      <c r="F19065" s="3">
        <v>11</v>
      </c>
      <c r="G19065" t="s">
        <v>513</v>
      </c>
    </row>
    <row r="19066" spans="1:7" x14ac:dyDescent="0.25">
      <c r="A19066" s="1" t="str">
        <f>"525065"</f>
        <v>525065</v>
      </c>
      <c r="B19066" s="2" t="str">
        <f>"PROBE CONICO ANG.45° P/45C"</f>
        <v>PROBE CONICO ANG.45° P/45C</v>
      </c>
      <c r="C19066" s="2" t="str">
        <f t="shared" si="748"/>
        <v>UN</v>
      </c>
      <c r="D19066" s="7">
        <v>406</v>
      </c>
      <c r="E19066" s="3">
        <v>11</v>
      </c>
      <c r="F19066" s="3">
        <v>11</v>
      </c>
      <c r="G19066" t="s">
        <v>513</v>
      </c>
    </row>
    <row r="19067" spans="1:7" x14ac:dyDescent="0.25">
      <c r="A19067" s="1" t="str">
        <f>"521128"</f>
        <v>521128</v>
      </c>
      <c r="B19067" s="2" t="str">
        <f>"PROBOOK 640 G2 W10"</f>
        <v>PROBOOK 640 G2 W10</v>
      </c>
      <c r="C19067" s="2" t="str">
        <f t="shared" si="748"/>
        <v>UN</v>
      </c>
      <c r="D19067" s="7">
        <v>99999</v>
      </c>
      <c r="E19067" s="3">
        <v>99</v>
      </c>
      <c r="F19067" s="3">
        <v>99</v>
      </c>
      <c r="G19067" t="s">
        <v>513</v>
      </c>
    </row>
    <row r="19068" spans="1:7" x14ac:dyDescent="0.25">
      <c r="A19068" s="1" t="str">
        <f>"520810"</f>
        <v>520810</v>
      </c>
      <c r="B19068" s="2" t="str">
        <f>"PROBOOK HP 640 G2 W10/W7"</f>
        <v>PROBOOK HP 640 G2 W10/W7</v>
      </c>
      <c r="C19068" s="2" t="str">
        <f t="shared" si="748"/>
        <v>UN</v>
      </c>
      <c r="D19068" s="7">
        <v>99999</v>
      </c>
      <c r="E19068" s="3">
        <v>99</v>
      </c>
      <c r="F19068" s="3">
        <v>99</v>
      </c>
      <c r="G19068" t="s">
        <v>512</v>
      </c>
    </row>
    <row r="19069" spans="1:7" x14ac:dyDescent="0.25">
      <c r="A19069" s="1" t="str">
        <f>"501647"</f>
        <v>501647</v>
      </c>
      <c r="B19069" s="2" t="str">
        <f>"PRODUTO DE LIMPEZA"</f>
        <v>PRODUTO DE LIMPEZA</v>
      </c>
      <c r="C19069" s="2" t="str">
        <f t="shared" si="748"/>
        <v>UN</v>
      </c>
      <c r="D19069" s="7">
        <v>704</v>
      </c>
      <c r="E19069" s="3">
        <v>9</v>
      </c>
      <c r="F19069" s="3">
        <v>9</v>
      </c>
      <c r="G19069" t="s">
        <v>513</v>
      </c>
    </row>
    <row r="19070" spans="1:7" x14ac:dyDescent="0.25">
      <c r="A19070" s="1" t="str">
        <f>"9999"</f>
        <v>9999</v>
      </c>
      <c r="B19070" s="2" t="str">
        <f>"PRODUTO TESTE"</f>
        <v>PRODUTO TESTE</v>
      </c>
      <c r="C19070" s="2" t="str">
        <f t="shared" si="748"/>
        <v>UN</v>
      </c>
      <c r="D19070" s="7">
        <v>16</v>
      </c>
      <c r="E19070" s="3">
        <v>18</v>
      </c>
      <c r="F19070" s="3">
        <v>18</v>
      </c>
      <c r="G19070" t="s">
        <v>514</v>
      </c>
    </row>
    <row r="19071" spans="1:7" x14ac:dyDescent="0.25">
      <c r="A19071" s="1" t="str">
        <f>"AVARIA"</f>
        <v>AVARIA</v>
      </c>
      <c r="B19071" s="2" t="str">
        <f>"PRODUTOS AVARIADOS E IMPROPRIOS P/CONSUMO"</f>
        <v>PRODUTOS AVARIADOS E IMPROPRIOS P/CONSUMO</v>
      </c>
      <c r="C19071" s="2" t="str">
        <f t="shared" si="748"/>
        <v>UN</v>
      </c>
      <c r="D19071" s="7">
        <v>99999</v>
      </c>
      <c r="E19071" s="3">
        <v>99</v>
      </c>
      <c r="F19071" s="3">
        <v>99</v>
      </c>
      <c r="G19071" t="s">
        <v>515</v>
      </c>
    </row>
    <row r="19072" spans="1:7" x14ac:dyDescent="0.25">
      <c r="A19072" s="1" t="str">
        <f>"519337"</f>
        <v>519337</v>
      </c>
      <c r="B19072" s="2" t="str">
        <f>"PROFIPOX WATER TANK"</f>
        <v>PROFIPOX WATER TANK</v>
      </c>
      <c r="C19072" s="2" t="str">
        <f t="shared" si="748"/>
        <v>UN</v>
      </c>
      <c r="D19072" s="7">
        <v>804</v>
      </c>
      <c r="E19072" s="3">
        <v>4</v>
      </c>
      <c r="F19072" s="3">
        <v>4</v>
      </c>
      <c r="G19072" t="s">
        <v>512</v>
      </c>
    </row>
    <row r="19073" spans="1:7" x14ac:dyDescent="0.25">
      <c r="A19073" s="1" t="str">
        <f>"6238"</f>
        <v>6238</v>
      </c>
      <c r="B19073" s="2" t="str">
        <f>"PROFLOC P 455 (COAGULANTE)"</f>
        <v>PROFLOC P 455 (COAGULANTE)</v>
      </c>
      <c r="C19073" s="2" t="str">
        <f t="shared" si="748"/>
        <v>UN</v>
      </c>
      <c r="D19073" s="7">
        <v>400</v>
      </c>
      <c r="E19073" s="3">
        <v>10</v>
      </c>
      <c r="F19073" s="3">
        <v>10</v>
      </c>
      <c r="G19073" t="s">
        <v>516</v>
      </c>
    </row>
    <row r="19074" spans="1:7" x14ac:dyDescent="0.25">
      <c r="A19074" s="1" t="str">
        <f>"528011"</f>
        <v>528011</v>
      </c>
      <c r="B19074" s="2" t="str">
        <f>"PROFUNDIMETRO DIGITAL"</f>
        <v>PROFUNDIMETRO DIGITAL</v>
      </c>
      <c r="C19074" s="2" t="str">
        <f t="shared" si="748"/>
        <v>UN</v>
      </c>
      <c r="D19074" s="7">
        <v>817</v>
      </c>
      <c r="E19074" s="3">
        <v>4</v>
      </c>
      <c r="F19074" s="3">
        <v>4</v>
      </c>
      <c r="G19074" t="s">
        <v>515</v>
      </c>
    </row>
    <row r="19075" spans="1:7" x14ac:dyDescent="0.25">
      <c r="A19075" s="1" t="str">
        <f>"516438"</f>
        <v>516438</v>
      </c>
      <c r="B19075" s="2" t="str">
        <f>"PROGETOR LAMPADA VAPOR SODIO 250W"</f>
        <v>PROGETOR LAMPADA VAPOR SODIO 250W</v>
      </c>
      <c r="C19075" s="2" t="str">
        <f t="shared" si="748"/>
        <v>UN</v>
      </c>
      <c r="D19075" s="7">
        <v>811</v>
      </c>
      <c r="E19075" s="3">
        <v>8</v>
      </c>
      <c r="F19075" s="3">
        <v>8</v>
      </c>
      <c r="G19075" t="s">
        <v>514</v>
      </c>
    </row>
    <row r="19076" spans="1:7" x14ac:dyDescent="0.25">
      <c r="A19076" s="1" t="str">
        <f>"506454"</f>
        <v>506454</v>
      </c>
      <c r="B19076" s="2" t="str">
        <f>"PROGETOR LONGO ALCANCE VAPOR METALICO 400W"</f>
        <v>PROGETOR LONGO ALCANCE VAPOR METALICO 400W</v>
      </c>
      <c r="C19076" s="2" t="str">
        <f t="shared" si="748"/>
        <v>UN</v>
      </c>
      <c r="D19076" s="7">
        <v>601</v>
      </c>
      <c r="E19076" s="3">
        <v>8</v>
      </c>
      <c r="F19076" s="3">
        <v>8</v>
      </c>
      <c r="G19076" t="s">
        <v>512</v>
      </c>
    </row>
    <row r="19077" spans="1:7" x14ac:dyDescent="0.25">
      <c r="A19077" s="1" t="str">
        <f>"517353"</f>
        <v>517353</v>
      </c>
      <c r="B19077" s="2" t="str">
        <f>"PROGETOR P/ LAMPADA HALOGENA 100W"</f>
        <v>PROGETOR P/ LAMPADA HALOGENA 100W</v>
      </c>
      <c r="C19077" s="2" t="str">
        <f t="shared" si="748"/>
        <v>UN</v>
      </c>
      <c r="D19077" s="7">
        <v>811</v>
      </c>
      <c r="E19077" s="3">
        <v>8</v>
      </c>
      <c r="F19077" s="3">
        <v>8</v>
      </c>
      <c r="G19077" t="s">
        <v>513</v>
      </c>
    </row>
    <row r="19078" spans="1:7" x14ac:dyDescent="0.25">
      <c r="A19078" s="1" t="str">
        <f>"514001"</f>
        <v>514001</v>
      </c>
      <c r="B19078" s="2" t="str">
        <f>"PROGRAMA DE BORDADO"</f>
        <v>PROGRAMA DE BORDADO</v>
      </c>
      <c r="C19078" s="2" t="str">
        <f t="shared" si="748"/>
        <v>UN</v>
      </c>
      <c r="D19078" s="7">
        <v>500</v>
      </c>
      <c r="E19078" s="3">
        <v>5</v>
      </c>
      <c r="F19078" s="3">
        <v>5</v>
      </c>
      <c r="G19078" t="s">
        <v>514</v>
      </c>
    </row>
    <row r="19079" spans="1:7" x14ac:dyDescent="0.25">
      <c r="A19079" s="1" t="str">
        <f>"523551"</f>
        <v>523551</v>
      </c>
      <c r="B19079" s="2" t="str">
        <f>"PROGRAMADOR DE HORA COEL COD BWT40HR"</f>
        <v>PROGRAMADOR DE HORA COEL COD BWT40HR</v>
      </c>
      <c r="C19079" s="2" t="str">
        <f t="shared" si="748"/>
        <v>UN</v>
      </c>
      <c r="D19079" s="7">
        <v>811</v>
      </c>
      <c r="E19079" s="3">
        <v>8</v>
      </c>
      <c r="F19079" s="3">
        <v>8</v>
      </c>
      <c r="G19079" t="s">
        <v>514</v>
      </c>
    </row>
    <row r="19080" spans="1:7" x14ac:dyDescent="0.25">
      <c r="A19080" s="1" t="str">
        <f>"519461"</f>
        <v>519461</v>
      </c>
      <c r="B19080" s="2" t="str">
        <f>"PROGRAMADOR HORARIO RTS T-20 110/220VCA"</f>
        <v>PROGRAMADOR HORARIO RTS T-20 110/220VCA</v>
      </c>
      <c r="C19080" s="2" t="str">
        <f t="shared" si="748"/>
        <v>UN</v>
      </c>
      <c r="D19080" s="7">
        <v>811</v>
      </c>
      <c r="E19080" s="3">
        <v>8</v>
      </c>
      <c r="F19080" s="3">
        <v>8</v>
      </c>
      <c r="G19080" t="s">
        <v>512</v>
      </c>
    </row>
    <row r="19081" spans="1:7" x14ac:dyDescent="0.25">
      <c r="A19081" s="1" t="str">
        <f>"515440"</f>
        <v>515440</v>
      </c>
      <c r="B19081" s="2" t="str">
        <f>"PROGRAMADOR MAMUT"</f>
        <v>PROGRAMADOR MAMUT</v>
      </c>
      <c r="C19081" s="2" t="str">
        <f t="shared" si="748"/>
        <v>UN</v>
      </c>
      <c r="D19081" s="7">
        <v>401</v>
      </c>
      <c r="E19081" s="3">
        <v>4</v>
      </c>
      <c r="F19081" s="3">
        <v>4</v>
      </c>
      <c r="G19081" t="s">
        <v>513</v>
      </c>
    </row>
    <row r="19082" spans="1:7" x14ac:dyDescent="0.25">
      <c r="A19082" s="1" t="str">
        <f>"515455"</f>
        <v>515455</v>
      </c>
      <c r="B19082" s="2" t="str">
        <f>"PROJETO ELETRICO PARA GRUPO GERADORES"</f>
        <v>PROJETO ELETRICO PARA GRUPO GERADORES</v>
      </c>
      <c r="C19082" s="2" t="str">
        <f t="shared" si="748"/>
        <v>UN</v>
      </c>
      <c r="D19082" s="7">
        <v>401</v>
      </c>
      <c r="E19082" s="3">
        <v>4</v>
      </c>
      <c r="F19082" s="3">
        <v>4</v>
      </c>
      <c r="G19082" t="s">
        <v>514</v>
      </c>
    </row>
    <row r="19083" spans="1:7" x14ac:dyDescent="0.25">
      <c r="A19083" s="1" t="str">
        <f>"518175"</f>
        <v>518175</v>
      </c>
      <c r="B19083" s="2" t="str">
        <f>"PROJETO VITRINE"</f>
        <v>PROJETO VITRINE</v>
      </c>
      <c r="C19083" s="2" t="str">
        <f t="shared" si="748"/>
        <v>UN</v>
      </c>
      <c r="D19083" s="7">
        <v>1700</v>
      </c>
      <c r="E19083" s="3">
        <v>10</v>
      </c>
      <c r="F19083" s="3">
        <v>10</v>
      </c>
      <c r="G19083" t="s">
        <v>514</v>
      </c>
    </row>
    <row r="19084" spans="1:7" x14ac:dyDescent="0.25">
      <c r="A19084" s="1" t="str">
        <f>"525502"</f>
        <v>525502</v>
      </c>
      <c r="B19084" s="2" t="str">
        <f>"PROJETOR ACER X1123H"</f>
        <v>PROJETOR ACER X1123H</v>
      </c>
      <c r="C19084" s="2" t="str">
        <f t="shared" si="748"/>
        <v>UN</v>
      </c>
      <c r="D19084" s="7">
        <v>601</v>
      </c>
      <c r="E19084" s="3">
        <v>8</v>
      </c>
      <c r="F19084" s="3">
        <v>8</v>
      </c>
      <c r="G19084" t="s">
        <v>514</v>
      </c>
    </row>
    <row r="19085" spans="1:7" x14ac:dyDescent="0.25">
      <c r="A19085" s="1" t="str">
        <f>"524121"</f>
        <v>524121</v>
      </c>
      <c r="B19085" s="2" t="str">
        <f>"PROJETOR INFOCUS MULTIMIDIA"</f>
        <v>PROJETOR INFOCUS MULTIMIDIA</v>
      </c>
      <c r="C19085" s="2" t="str">
        <f t="shared" si="748"/>
        <v>UN</v>
      </c>
      <c r="D19085" s="7">
        <v>99999</v>
      </c>
      <c r="E19085" s="3">
        <v>99</v>
      </c>
      <c r="F19085" s="3">
        <v>99</v>
      </c>
      <c r="G19085" t="s">
        <v>513</v>
      </c>
    </row>
    <row r="19086" spans="1:7" x14ac:dyDescent="0.25">
      <c r="A19086" s="1" t="str">
        <f>"519017"</f>
        <v>519017</v>
      </c>
      <c r="B19086" s="2" t="str">
        <f>"PROJETOR LAMPADA 150W"</f>
        <v>PROJETOR LAMPADA 150W</v>
      </c>
      <c r="C19086" s="2" t="str">
        <f t="shared" si="748"/>
        <v>UN</v>
      </c>
      <c r="D19086" s="7">
        <v>601</v>
      </c>
      <c r="E19086" s="3">
        <v>8</v>
      </c>
      <c r="F19086" s="3">
        <v>8</v>
      </c>
      <c r="G19086" t="s">
        <v>512</v>
      </c>
    </row>
    <row r="19087" spans="1:7" x14ac:dyDescent="0.25">
      <c r="A19087" s="1" t="str">
        <f>"511678"</f>
        <v>511678</v>
      </c>
      <c r="B19087" s="2" t="str">
        <f>"PROJETOR LAMPADA 250W"</f>
        <v>PROJETOR LAMPADA 250W</v>
      </c>
      <c r="C19087" s="2" t="str">
        <f t="shared" si="748"/>
        <v>UN</v>
      </c>
      <c r="D19087" s="7">
        <v>601</v>
      </c>
      <c r="E19087" s="3">
        <v>8</v>
      </c>
      <c r="F19087" s="3">
        <v>8</v>
      </c>
      <c r="G19087" t="s">
        <v>513</v>
      </c>
    </row>
    <row r="19088" spans="1:7" x14ac:dyDescent="0.25">
      <c r="A19088" s="1" t="str">
        <f>"514770"</f>
        <v>514770</v>
      </c>
      <c r="B19088" s="2" t="str">
        <f>"PROJETOR LAMPADA 400W"</f>
        <v>PROJETOR LAMPADA 400W</v>
      </c>
      <c r="C19088" s="2" t="str">
        <f t="shared" si="748"/>
        <v>UN</v>
      </c>
      <c r="D19088" s="7">
        <v>900</v>
      </c>
      <c r="E19088" s="3">
        <v>8</v>
      </c>
      <c r="F19088" s="3">
        <v>8</v>
      </c>
      <c r="G19088" t="s">
        <v>514</v>
      </c>
    </row>
    <row r="19089" spans="1:7" x14ac:dyDescent="0.25">
      <c r="A19089" s="1" t="str">
        <f>"515374"</f>
        <v>515374</v>
      </c>
      <c r="B19089" s="2" t="str">
        <f>"PROJETOR LED IP 65 100W 6000K - ENERGY SAVING"</f>
        <v>PROJETOR LED IP 65 100W 6000K - ENERGY SAVING</v>
      </c>
      <c r="C19089" s="2" t="str">
        <f t="shared" si="748"/>
        <v>UN</v>
      </c>
      <c r="D19089" s="7">
        <v>401</v>
      </c>
      <c r="E19089" s="3">
        <v>4</v>
      </c>
      <c r="F19089" s="3">
        <v>4</v>
      </c>
      <c r="G19089" t="s">
        <v>514</v>
      </c>
    </row>
    <row r="19090" spans="1:7" x14ac:dyDescent="0.25">
      <c r="A19090" s="1" t="str">
        <f>"527101"</f>
        <v>527101</v>
      </c>
      <c r="B19090" s="2" t="str">
        <f>"PROJETOR LED TUNEL MINI 150W BIV 5000K 19500LMS G2 93111114"</f>
        <v>PROJETOR LED TUNEL MINI 150W BIV 5000K 19500LMS G2 93111114</v>
      </c>
      <c r="C19090" s="2" t="str">
        <f t="shared" si="748"/>
        <v>UN</v>
      </c>
      <c r="D19090" s="7">
        <v>601</v>
      </c>
      <c r="E19090" s="3">
        <v>8</v>
      </c>
      <c r="F19090" s="3">
        <v>8</v>
      </c>
      <c r="G19090" t="s">
        <v>514</v>
      </c>
    </row>
    <row r="19091" spans="1:7" x14ac:dyDescent="0.25">
      <c r="A19091" s="1" t="str">
        <f>"506081"</f>
        <v>506081</v>
      </c>
      <c r="B19091" s="2" t="str">
        <f>"PROJETOR LONGO ALCANCE IPT-01/4 300W"</f>
        <v>PROJETOR LONGO ALCANCE IPT-01/4 300W</v>
      </c>
      <c r="C19091" s="2" t="str">
        <f t="shared" si="748"/>
        <v>UN</v>
      </c>
      <c r="D19091" s="7">
        <v>601</v>
      </c>
      <c r="E19091" s="3">
        <v>8</v>
      </c>
      <c r="F19091" s="3">
        <v>8</v>
      </c>
      <c r="G19091" t="s">
        <v>513</v>
      </c>
    </row>
    <row r="19092" spans="1:7" x14ac:dyDescent="0.25">
      <c r="A19092" s="1" t="str">
        <f>"514237"</f>
        <v>514237</v>
      </c>
      <c r="B19092" s="2" t="str">
        <f>"PROLONGADOR"</f>
        <v>PROLONGADOR</v>
      </c>
      <c r="C19092" s="2" t="str">
        <f t="shared" si="748"/>
        <v>UN</v>
      </c>
      <c r="D19092" s="7">
        <v>704</v>
      </c>
      <c r="E19092" s="3">
        <v>9</v>
      </c>
      <c r="F19092" s="3">
        <v>9</v>
      </c>
      <c r="G19092" t="s">
        <v>513</v>
      </c>
    </row>
    <row r="19093" spans="1:7" x14ac:dyDescent="0.25">
      <c r="A19093" s="1" t="str">
        <f>"518910"</f>
        <v>518910</v>
      </c>
      <c r="B19093" s="2" t="str">
        <f>"PROLONGADOR C/1MT + MANCAL"</f>
        <v>PROLONGADOR C/1MT + MANCAL</v>
      </c>
      <c r="C19093" s="2" t="str">
        <f t="shared" si="748"/>
        <v>UN</v>
      </c>
      <c r="D19093" s="7">
        <v>811</v>
      </c>
      <c r="E19093" s="3">
        <v>8</v>
      </c>
      <c r="F19093" s="3">
        <v>8</v>
      </c>
      <c r="G19093" t="s">
        <v>513</v>
      </c>
    </row>
    <row r="19094" spans="1:7" x14ac:dyDescent="0.25">
      <c r="A19094" s="1" t="str">
        <f>"525440"</f>
        <v>525440</v>
      </c>
      <c r="B19094" s="2" t="str">
        <f>"PROLONGADOR CROMADO DE 4CM P/ TORNEIRA"</f>
        <v>PROLONGADOR CROMADO DE 4CM P/ TORNEIRA</v>
      </c>
      <c r="C19094" s="2" t="str">
        <f t="shared" si="748"/>
        <v>UN</v>
      </c>
      <c r="D19094" s="7">
        <v>808</v>
      </c>
      <c r="E19094" s="3">
        <v>10</v>
      </c>
      <c r="F19094" s="3">
        <v>10</v>
      </c>
      <c r="G19094" t="s">
        <v>512</v>
      </c>
    </row>
    <row r="19095" spans="1:7" x14ac:dyDescent="0.25">
      <c r="A19095" s="1" t="str">
        <f>"524259"</f>
        <v>524259</v>
      </c>
      <c r="B19095" s="2" t="str">
        <f>"PROPÉ POLIETILENO"</f>
        <v>PROPÉ POLIETILENO</v>
      </c>
      <c r="C19095" s="2" t="str">
        <f t="shared" si="748"/>
        <v>UN</v>
      </c>
      <c r="D19095" s="7">
        <v>501</v>
      </c>
      <c r="E19095" s="3">
        <v>5</v>
      </c>
      <c r="F19095" s="3">
        <v>5</v>
      </c>
      <c r="G19095" t="s">
        <v>513</v>
      </c>
    </row>
    <row r="19096" spans="1:7" x14ac:dyDescent="0.25">
      <c r="A19096" s="1" t="str">
        <f>"518673"</f>
        <v>518673</v>
      </c>
      <c r="B19096" s="2" t="str">
        <f>"PROPILENO 2.1 N.A"</f>
        <v>PROPILENO 2.1 N.A</v>
      </c>
      <c r="C19096" s="2" t="str">
        <f t="shared" si="748"/>
        <v>UN</v>
      </c>
      <c r="D19096" s="7">
        <v>918</v>
      </c>
      <c r="E19096" s="3">
        <v>10</v>
      </c>
      <c r="F19096" s="3">
        <v>10</v>
      </c>
      <c r="G19096" t="s">
        <v>514</v>
      </c>
    </row>
    <row r="19097" spans="1:7" x14ac:dyDescent="0.25">
      <c r="A19097" s="1" t="str">
        <f>"522241"</f>
        <v>522241</v>
      </c>
      <c r="B19097" s="2" t="str">
        <f>"PROTEÇÃO"</f>
        <v>PROTEÇÃO</v>
      </c>
      <c r="C19097" s="2" t="str">
        <f t="shared" si="748"/>
        <v>UN</v>
      </c>
      <c r="D19097" s="7">
        <v>704</v>
      </c>
      <c r="E19097" s="3">
        <v>9</v>
      </c>
      <c r="F19097" s="3">
        <v>9</v>
      </c>
      <c r="G19097" t="s">
        <v>515</v>
      </c>
    </row>
    <row r="19098" spans="1:7" x14ac:dyDescent="0.25">
      <c r="A19098" s="1" t="str">
        <f>"525259"</f>
        <v>525259</v>
      </c>
      <c r="B19098" s="2" t="str">
        <f>"PROTEÇAO ARMADILHA LUM. PETG"</f>
        <v>PROTEÇAO ARMADILHA LUM. PETG</v>
      </c>
      <c r="C19098" s="2" t="str">
        <f t="shared" si="748"/>
        <v>UN</v>
      </c>
      <c r="D19098" s="7">
        <v>99999</v>
      </c>
      <c r="E19098" s="3">
        <v>99</v>
      </c>
      <c r="F19098" s="3">
        <v>99</v>
      </c>
      <c r="G19098" t="s">
        <v>512</v>
      </c>
    </row>
    <row r="19099" spans="1:7" x14ac:dyDescent="0.25">
      <c r="A19099" s="1" t="str">
        <f>"523136"</f>
        <v>523136</v>
      </c>
      <c r="B19099" s="2" t="str">
        <f>"PROTEÇÃO COMPLETA P/ MANDRIL FBM-160I MOTOMIL"</f>
        <v>PROTEÇÃO COMPLETA P/ MANDRIL FBM-160I MOTOMIL</v>
      </c>
      <c r="C19099" s="2" t="str">
        <f t="shared" si="748"/>
        <v>UN</v>
      </c>
      <c r="D19099" s="7">
        <v>915</v>
      </c>
      <c r="E19099" s="3">
        <v>10</v>
      </c>
      <c r="F19099" s="3">
        <v>10</v>
      </c>
      <c r="G19099" t="s">
        <v>516</v>
      </c>
    </row>
    <row r="19100" spans="1:7" x14ac:dyDescent="0.25">
      <c r="A19100" s="1" t="str">
        <f>"527016"</f>
        <v>527016</v>
      </c>
      <c r="B19100" s="2" t="str">
        <f>"PROTECAO CONTRA RESPINGOS"</f>
        <v>PROTECAO CONTRA RESPINGOS</v>
      </c>
      <c r="C19100" s="2" t="str">
        <f t="shared" si="748"/>
        <v>UN</v>
      </c>
      <c r="D19100" s="7">
        <v>402</v>
      </c>
      <c r="E19100" s="3">
        <v>4</v>
      </c>
      <c r="F19100" s="3">
        <v>4</v>
      </c>
      <c r="G19100" t="s">
        <v>515</v>
      </c>
    </row>
    <row r="19101" spans="1:7" x14ac:dyDescent="0.25">
      <c r="A19101" s="1" t="str">
        <f>"507126"</f>
        <v>507126</v>
      </c>
      <c r="B19101" s="2" t="str">
        <f>"PROTEÇAO DA FACA COD. 05.3120.203.50"</f>
        <v>PROTEÇAO DA FACA COD. 05.3120.203.50</v>
      </c>
      <c r="C19101" s="2" t="str">
        <f t="shared" si="748"/>
        <v>UN</v>
      </c>
      <c r="D19101" s="7">
        <v>918</v>
      </c>
      <c r="E19101" s="3">
        <v>11</v>
      </c>
      <c r="F19101" s="3">
        <v>11</v>
      </c>
      <c r="G19101" t="s">
        <v>514</v>
      </c>
    </row>
    <row r="19102" spans="1:7" x14ac:dyDescent="0.25">
      <c r="A19102" s="1" t="str">
        <f>"509186"</f>
        <v>509186</v>
      </c>
      <c r="B19102" s="2" t="str">
        <f>"PROTEÇAO DA FACA N4022A"</f>
        <v>PROTEÇAO DA FACA N4022A</v>
      </c>
      <c r="C19102" s="2" t="str">
        <f t="shared" si="748"/>
        <v>UN</v>
      </c>
      <c r="D19102" s="7">
        <v>918</v>
      </c>
      <c r="E19102" s="3">
        <v>11</v>
      </c>
      <c r="F19102" s="3">
        <v>11</v>
      </c>
      <c r="G19102" t="s">
        <v>512</v>
      </c>
    </row>
    <row r="19103" spans="1:7" x14ac:dyDescent="0.25">
      <c r="A19103" s="1" t="str">
        <f>"510442"</f>
        <v>510442</v>
      </c>
      <c r="B19103" s="2" t="str">
        <f>"PROTEÇAO DA MAQUINA"</f>
        <v>PROTEÇAO DA MAQUINA</v>
      </c>
      <c r="C19103" s="2" t="str">
        <f t="shared" si="748"/>
        <v>UN</v>
      </c>
      <c r="D19103" s="7">
        <v>918</v>
      </c>
      <c r="E19103" s="3">
        <v>11</v>
      </c>
      <c r="F19103" s="3">
        <v>11</v>
      </c>
      <c r="G19103" t="s">
        <v>513</v>
      </c>
    </row>
    <row r="19104" spans="1:7" x14ac:dyDescent="0.25">
      <c r="A19104" s="1" t="str">
        <f>"507795"</f>
        <v>507795</v>
      </c>
      <c r="B19104" s="2" t="str">
        <f>"PROTEÇAO DE CORREIA P/ MK1/2/3"</f>
        <v>PROTEÇAO DE CORREIA P/ MK1/2/3</v>
      </c>
      <c r="C19104" s="2" t="str">
        <f t="shared" si="748"/>
        <v>UN</v>
      </c>
      <c r="D19104" s="7">
        <v>918</v>
      </c>
      <c r="E19104" s="3">
        <v>11</v>
      </c>
      <c r="F19104" s="3">
        <v>11</v>
      </c>
      <c r="G19104" t="s">
        <v>514</v>
      </c>
    </row>
    <row r="19105" spans="1:7" x14ac:dyDescent="0.25">
      <c r="A19105" s="1" t="str">
        <f>"509312"</f>
        <v>509312</v>
      </c>
      <c r="B19105" s="2" t="str">
        <f>"PROTEÇAO DO FIM DE CURSO"</f>
        <v>PROTEÇAO DO FIM DE CURSO</v>
      </c>
      <c r="C19105" s="2" t="str">
        <f t="shared" si="748"/>
        <v>UN</v>
      </c>
      <c r="D19105" s="7">
        <v>918</v>
      </c>
      <c r="E19105" s="3">
        <v>11</v>
      </c>
      <c r="F19105" s="3">
        <v>11</v>
      </c>
      <c r="G19105" t="s">
        <v>514</v>
      </c>
    </row>
    <row r="19106" spans="1:7" x14ac:dyDescent="0.25">
      <c r="A19106" s="1" t="str">
        <f>"501386"</f>
        <v>501386</v>
      </c>
      <c r="B19106" s="2" t="str">
        <f>"PROTECAO DO GARFO RODA NYLON BYG 2000"</f>
        <v>PROTECAO DO GARFO RODA NYLON BYG 2000</v>
      </c>
      <c r="C19106" s="2" t="str">
        <f t="shared" si="748"/>
        <v>UN</v>
      </c>
      <c r="D19106" s="7">
        <v>918</v>
      </c>
      <c r="E19106" s="3">
        <v>11</v>
      </c>
      <c r="F19106" s="3">
        <v>11</v>
      </c>
      <c r="G19106" t="s">
        <v>512</v>
      </c>
    </row>
    <row r="19107" spans="1:7" x14ac:dyDescent="0.25">
      <c r="A19107" s="1" t="str">
        <f>"523053"</f>
        <v>523053</v>
      </c>
      <c r="B19107" s="2" t="str">
        <f>"PROTEÇÃO GELADEIRA"</f>
        <v>PROTEÇÃO GELADEIRA</v>
      </c>
      <c r="C19107" s="2" t="str">
        <f t="shared" si="748"/>
        <v>UN</v>
      </c>
      <c r="D19107" s="7">
        <v>918</v>
      </c>
      <c r="E19107" s="3">
        <v>11</v>
      </c>
      <c r="F19107" s="3">
        <v>11</v>
      </c>
      <c r="G19107" t="s">
        <v>513</v>
      </c>
    </row>
    <row r="19108" spans="1:7" x14ac:dyDescent="0.25">
      <c r="A19108" s="1" t="str">
        <f>"511943"</f>
        <v>511943</v>
      </c>
      <c r="B19108" s="2" t="str">
        <f>"PROTEÇAO LIGAÇAO PAINEL 200X100"</f>
        <v>PROTEÇAO LIGAÇAO PAINEL 200X100</v>
      </c>
      <c r="C19108" s="2" t="str">
        <f t="shared" si="748"/>
        <v>UN</v>
      </c>
      <c r="D19108" s="7">
        <v>803</v>
      </c>
      <c r="E19108" s="3">
        <v>10</v>
      </c>
      <c r="F19108" s="3">
        <v>10</v>
      </c>
      <c r="G19108" t="s">
        <v>514</v>
      </c>
    </row>
    <row r="19109" spans="1:7" x14ac:dyDescent="0.25">
      <c r="A19109" s="1" t="str">
        <f>"510658"</f>
        <v>510658</v>
      </c>
      <c r="B19109" s="2" t="str">
        <f>"PROTEÇAO MOTOR BBA POSIVA NEO 90"</f>
        <v>PROTEÇAO MOTOR BBA POSIVA NEO 90</v>
      </c>
      <c r="C19109" s="2" t="str">
        <f t="shared" si="748"/>
        <v>UN</v>
      </c>
      <c r="D19109" s="7">
        <v>813</v>
      </c>
      <c r="E19109" s="3">
        <v>10</v>
      </c>
      <c r="F19109" s="3">
        <v>10</v>
      </c>
      <c r="G19109" t="s">
        <v>514</v>
      </c>
    </row>
    <row r="19110" spans="1:7" x14ac:dyDescent="0.25">
      <c r="A19110" s="1" t="str">
        <f>"526003"</f>
        <v>526003</v>
      </c>
      <c r="B19110" s="2" t="str">
        <f>"PROTECAO TAPETE DE BORRACHA ALTA TENSAO 20KV 1 M2"</f>
        <v>PROTECAO TAPETE DE BORRACHA ALTA TENSAO 20KV 1 M2</v>
      </c>
      <c r="C19110" s="2" t="str">
        <f t="shared" si="748"/>
        <v>UN</v>
      </c>
      <c r="D19110" s="7">
        <v>811</v>
      </c>
      <c r="E19110" s="3">
        <v>10</v>
      </c>
      <c r="F19110" s="3">
        <v>10</v>
      </c>
      <c r="G19110" t="s">
        <v>514</v>
      </c>
    </row>
    <row r="19111" spans="1:7" x14ac:dyDescent="0.25">
      <c r="A19111" s="1" t="str">
        <f>"510486"</f>
        <v>510486</v>
      </c>
      <c r="B19111" s="2" t="str">
        <f>"PROTECTIVO P/ RADIADOR 1L"</f>
        <v>PROTECTIVO P/ RADIADOR 1L</v>
      </c>
      <c r="C19111" s="2" t="str">
        <f t="shared" si="748"/>
        <v>UN</v>
      </c>
      <c r="D19111" s="7">
        <v>704</v>
      </c>
      <c r="E19111" s="3">
        <v>9</v>
      </c>
      <c r="F19111" s="3">
        <v>9</v>
      </c>
      <c r="G19111" t="s">
        <v>513</v>
      </c>
    </row>
    <row r="19112" spans="1:7" x14ac:dyDescent="0.25">
      <c r="A19112" s="1" t="str">
        <f>"872"</f>
        <v>872</v>
      </c>
      <c r="B19112" s="2" t="str">
        <f>"PROTEINA CONCENTRADA DE SORO DE LEITE -WPC 35%"</f>
        <v>PROTEINA CONCENTRADA DE SORO DE LEITE -WPC 35%</v>
      </c>
      <c r="C19112" s="2" t="str">
        <f t="shared" ref="C19112:C19120" si="749">"KG"</f>
        <v>KG</v>
      </c>
      <c r="D19112" s="7">
        <v>204</v>
      </c>
      <c r="E19112" s="3">
        <v>2</v>
      </c>
      <c r="F19112" s="3">
        <v>2</v>
      </c>
      <c r="G19112" t="s">
        <v>512</v>
      </c>
    </row>
    <row r="19113" spans="1:7" x14ac:dyDescent="0.25">
      <c r="A19113" s="1" t="str">
        <f>"871"</f>
        <v>871</v>
      </c>
      <c r="B19113" s="2" t="str">
        <f>"PROTEINA CONCENTRADA DO LEITE -  MPC 70%  GRASSLAND"</f>
        <v>PROTEINA CONCENTRADA DO LEITE -  MPC 70%  GRASSLAND</v>
      </c>
      <c r="C19113" s="2" t="str">
        <f t="shared" si="749"/>
        <v>KG</v>
      </c>
      <c r="D19113" s="7">
        <v>204</v>
      </c>
      <c r="E19113" s="3">
        <v>2</v>
      </c>
      <c r="F19113" s="3">
        <v>2</v>
      </c>
      <c r="G19113" t="s">
        <v>513</v>
      </c>
    </row>
    <row r="19114" spans="1:7" x14ac:dyDescent="0.25">
      <c r="A19114" s="1" t="str">
        <f>"4073"</f>
        <v>4073</v>
      </c>
      <c r="B19114" s="2" t="str">
        <f>"PROTEINA CONCENTRADA DO LEITE -  MPC 70% CASTROLANDA"</f>
        <v>PROTEINA CONCENTRADA DO LEITE -  MPC 70% CASTROLANDA</v>
      </c>
      <c r="C19114" s="2" t="str">
        <f t="shared" si="749"/>
        <v>KG</v>
      </c>
      <c r="D19114" s="7">
        <v>204</v>
      </c>
      <c r="E19114" s="3">
        <v>2</v>
      </c>
      <c r="F19114" s="3">
        <v>2</v>
      </c>
      <c r="G19114" t="s">
        <v>514</v>
      </c>
    </row>
    <row r="19115" spans="1:7" x14ac:dyDescent="0.25">
      <c r="A19115" s="1" t="str">
        <f>"857"</f>
        <v>857</v>
      </c>
      <c r="B19115" s="2" t="str">
        <f>"PROTEINA CONCENTRADA DO LEITE -  MPC 70% FONTERRA"</f>
        <v>PROTEINA CONCENTRADA DO LEITE -  MPC 70% FONTERRA</v>
      </c>
      <c r="C19115" s="2" t="str">
        <f t="shared" si="749"/>
        <v>KG</v>
      </c>
      <c r="D19115" s="7">
        <v>204</v>
      </c>
      <c r="E19115" s="3">
        <v>2</v>
      </c>
      <c r="F19115" s="3">
        <v>2</v>
      </c>
      <c r="G19115" t="s">
        <v>514</v>
      </c>
    </row>
    <row r="19116" spans="1:7" x14ac:dyDescent="0.25">
      <c r="A19116" s="1" t="str">
        <f>"870"</f>
        <v>870</v>
      </c>
      <c r="B19116" s="2" t="str">
        <f>"PROTEINA CONCENTRADA DO LEITE -  MPC 70% UDA"</f>
        <v>PROTEINA CONCENTRADA DO LEITE -  MPC 70% UDA</v>
      </c>
      <c r="C19116" s="2" t="str">
        <f t="shared" si="749"/>
        <v>KG</v>
      </c>
      <c r="D19116" s="7">
        <v>204</v>
      </c>
      <c r="E19116" s="3">
        <v>2</v>
      </c>
      <c r="F19116" s="3">
        <v>2</v>
      </c>
      <c r="G19116" t="s">
        <v>514</v>
      </c>
    </row>
    <row r="19117" spans="1:7" x14ac:dyDescent="0.25">
      <c r="A19117" s="1" t="str">
        <f>"868"</f>
        <v>868</v>
      </c>
      <c r="B19117" s="2" t="str">
        <f>"PROTEINA CONCENTRADA DO LEITE -  MPC 80% VITALUS"</f>
        <v>PROTEINA CONCENTRADA DO LEITE -  MPC 80% VITALUS</v>
      </c>
      <c r="C19117" s="2" t="str">
        <f t="shared" si="749"/>
        <v>KG</v>
      </c>
      <c r="D19117" s="7">
        <v>204</v>
      </c>
      <c r="E19117" s="3">
        <v>2</v>
      </c>
      <c r="F19117" s="3">
        <v>2</v>
      </c>
      <c r="G19117" t="s">
        <v>513</v>
      </c>
    </row>
    <row r="19118" spans="1:7" x14ac:dyDescent="0.25">
      <c r="A19118" s="1" t="str">
        <f>"2786"</f>
        <v>2786</v>
      </c>
      <c r="B19118" s="2" t="str">
        <f>"PROTEINA GLOBALFOOD LAC 8164-8"</f>
        <v>PROTEINA GLOBALFOOD LAC 8164-8</v>
      </c>
      <c r="C19118" s="2" t="str">
        <f t="shared" si="749"/>
        <v>KG</v>
      </c>
      <c r="D19118" s="7">
        <v>222</v>
      </c>
      <c r="E19118" s="3">
        <v>2</v>
      </c>
      <c r="F19118" s="3">
        <v>2</v>
      </c>
      <c r="G19118" t="s">
        <v>513</v>
      </c>
    </row>
    <row r="19119" spans="1:7" x14ac:dyDescent="0.25">
      <c r="A19119" s="1" t="str">
        <f>"701"</f>
        <v>701</v>
      </c>
      <c r="B19119" s="2" t="str">
        <f>"PROTEÍNA TECGEM AA385 - MPC 60%"</f>
        <v>PROTEÍNA TECGEM AA385 - MPC 60%</v>
      </c>
      <c r="C19119" s="2" t="str">
        <f t="shared" si="749"/>
        <v>KG</v>
      </c>
      <c r="D19119" s="7">
        <v>204</v>
      </c>
      <c r="E19119" s="3">
        <v>2</v>
      </c>
      <c r="F19119" s="3">
        <v>2</v>
      </c>
      <c r="G19119" t="s">
        <v>513</v>
      </c>
    </row>
    <row r="19120" spans="1:7" x14ac:dyDescent="0.25">
      <c r="A19120" s="1" t="str">
        <f>"7109"</f>
        <v>7109</v>
      </c>
      <c r="B19120" s="2" t="str">
        <f>"PROTEINPLUS CÓD. DES 2016 (REQUEIJÃO)"</f>
        <v>PROTEINPLUS CÓD. DES 2016 (REQUEIJÃO)</v>
      </c>
      <c r="C19120" s="2" t="str">
        <f t="shared" si="749"/>
        <v>KG</v>
      </c>
      <c r="D19120" s="7">
        <v>1107</v>
      </c>
      <c r="E19120" s="3">
        <v>2</v>
      </c>
      <c r="F19120" s="3">
        <v>2</v>
      </c>
      <c r="G19120" t="s">
        <v>512</v>
      </c>
    </row>
    <row r="19121" spans="1:7" x14ac:dyDescent="0.25">
      <c r="A19121" s="1" t="str">
        <f>"515898"</f>
        <v>515898</v>
      </c>
      <c r="B19121" s="2" t="str">
        <f>"PROTETIVO"</f>
        <v>PROTETIVO</v>
      </c>
      <c r="C19121" s="2" t="str">
        <f>"LT"</f>
        <v>LT</v>
      </c>
      <c r="D19121" s="7">
        <v>99999</v>
      </c>
      <c r="E19121" s="3">
        <v>99</v>
      </c>
      <c r="F19121" s="3">
        <v>99</v>
      </c>
      <c r="G19121" t="s">
        <v>513</v>
      </c>
    </row>
    <row r="19122" spans="1:7" x14ac:dyDescent="0.25">
      <c r="A19122" s="1" t="str">
        <f>"509336"</f>
        <v>509336</v>
      </c>
      <c r="B19122" s="2" t="str">
        <f>"PROTETOR"</f>
        <v>PROTETOR</v>
      </c>
      <c r="C19122" s="2" t="str">
        <f t="shared" ref="C19122:C19153" si="750">"UN"</f>
        <v>UN</v>
      </c>
      <c r="D19122" s="7">
        <v>601</v>
      </c>
      <c r="E19122" s="3">
        <v>8</v>
      </c>
      <c r="F19122" s="3">
        <v>8</v>
      </c>
      <c r="G19122" t="s">
        <v>514</v>
      </c>
    </row>
    <row r="19123" spans="1:7" x14ac:dyDescent="0.25">
      <c r="A19123" s="1" t="str">
        <f>"504238"</f>
        <v>504238</v>
      </c>
      <c r="B19123" s="2" t="str">
        <f>"PROTETOR 12 INDUSTRIAL (EMPILHADEIRA)"</f>
        <v>PROTETOR 12 INDUSTRIAL (EMPILHADEIRA)</v>
      </c>
      <c r="C19123" s="2" t="str">
        <f t="shared" si="750"/>
        <v>UN</v>
      </c>
      <c r="D19123" s="7">
        <v>918</v>
      </c>
      <c r="E19123" s="3">
        <v>11</v>
      </c>
      <c r="F19123" s="3">
        <v>11</v>
      </c>
      <c r="G19123" t="s">
        <v>515</v>
      </c>
    </row>
    <row r="19124" spans="1:7" x14ac:dyDescent="0.25">
      <c r="A19124" s="1" t="str">
        <f>"500426"</f>
        <v>500426</v>
      </c>
      <c r="B19124" s="2" t="str">
        <f>"PROTETOR 200-20L"</f>
        <v>PROTETOR 200-20L</v>
      </c>
      <c r="C19124" s="2" t="str">
        <f t="shared" si="750"/>
        <v>UN</v>
      </c>
      <c r="D19124" s="7">
        <v>700</v>
      </c>
      <c r="E19124" s="3">
        <v>9</v>
      </c>
      <c r="F19124" s="3">
        <v>9</v>
      </c>
      <c r="G19124" t="s">
        <v>512</v>
      </c>
    </row>
    <row r="19125" spans="1:7" x14ac:dyDescent="0.25">
      <c r="A19125" s="1" t="str">
        <f>"504180"</f>
        <v>504180</v>
      </c>
      <c r="B19125" s="2" t="str">
        <f>"PROTETOR ALIMENTICIO SUPERF. WS-131-FG 500ML"</f>
        <v>PROTETOR ALIMENTICIO SUPERF. WS-131-FG 500ML</v>
      </c>
      <c r="C19125" s="2" t="str">
        <f t="shared" si="750"/>
        <v>UN</v>
      </c>
      <c r="D19125" s="7">
        <v>918</v>
      </c>
      <c r="E19125" s="3">
        <v>10</v>
      </c>
      <c r="F19125" s="3">
        <v>10</v>
      </c>
      <c r="G19125" t="s">
        <v>516</v>
      </c>
    </row>
    <row r="19126" spans="1:7" x14ac:dyDescent="0.25">
      <c r="A19126" s="1" t="str">
        <f>"523725"</f>
        <v>523725</v>
      </c>
      <c r="B19126" s="2" t="str">
        <f>"PROTETOR AUDITIVO MILLENIUM TAMANHO G CA-11882"</f>
        <v>PROTETOR AUDITIVO MILLENIUM TAMANHO G CA-11882</v>
      </c>
      <c r="C19126" s="2" t="str">
        <f t="shared" si="750"/>
        <v>UN</v>
      </c>
      <c r="D19126" s="7">
        <v>502</v>
      </c>
      <c r="E19126" s="3">
        <v>5</v>
      </c>
      <c r="F19126" s="3">
        <v>5</v>
      </c>
      <c r="G19126" t="s">
        <v>515</v>
      </c>
    </row>
    <row r="19127" spans="1:7" x14ac:dyDescent="0.25">
      <c r="A19127" s="1" t="str">
        <f>"523724"</f>
        <v>523724</v>
      </c>
      <c r="B19127" s="2" t="str">
        <f>"PROTETOR AUDITIVO MILLENIUM TAMANHO M CA-11882"</f>
        <v>PROTETOR AUDITIVO MILLENIUM TAMANHO M CA-11882</v>
      </c>
      <c r="C19127" s="2" t="str">
        <f t="shared" si="750"/>
        <v>UN</v>
      </c>
      <c r="D19127" s="7">
        <v>502</v>
      </c>
      <c r="E19127" s="3">
        <v>5</v>
      </c>
      <c r="F19127" s="3">
        <v>5</v>
      </c>
      <c r="G19127" t="s">
        <v>514</v>
      </c>
    </row>
    <row r="19128" spans="1:7" x14ac:dyDescent="0.25">
      <c r="A19128" s="1" t="str">
        <f>"523723"</f>
        <v>523723</v>
      </c>
      <c r="B19128" s="2" t="str">
        <f>"PROTETOR AUDITIVO MILLENIUM TAMANHO P CA-11882"</f>
        <v>PROTETOR AUDITIVO MILLENIUM TAMANHO P CA-11882</v>
      </c>
      <c r="C19128" s="2" t="str">
        <f t="shared" si="750"/>
        <v>UN</v>
      </c>
      <c r="D19128" s="7">
        <v>502</v>
      </c>
      <c r="E19128" s="3">
        <v>5</v>
      </c>
      <c r="F19128" s="3">
        <v>5</v>
      </c>
      <c r="G19128" t="s">
        <v>512</v>
      </c>
    </row>
    <row r="19129" spans="1:7" x14ac:dyDescent="0.25">
      <c r="A19129" s="1" t="str">
        <f>"523669"</f>
        <v>523669</v>
      </c>
      <c r="B19129" s="2" t="str">
        <f>"PROTETOR AURICULAR CONCHA ACOPLAVEL CAPACETE MSA XLSCA-27971"</f>
        <v>PROTETOR AURICULAR CONCHA ACOPLAVEL CAPACETE MSA XLSCA-27971</v>
      </c>
      <c r="C19129" s="2" t="str">
        <f t="shared" si="750"/>
        <v>UN</v>
      </c>
      <c r="D19129" s="7">
        <v>502</v>
      </c>
      <c r="E19129" s="3">
        <v>5</v>
      </c>
      <c r="F19129" s="3">
        <v>5</v>
      </c>
      <c r="G19129" t="s">
        <v>513</v>
      </c>
    </row>
    <row r="19130" spans="1:7" x14ac:dyDescent="0.25">
      <c r="A19130" s="1" t="str">
        <f>"523668"</f>
        <v>523668</v>
      </c>
      <c r="B19130" s="2" t="str">
        <f>"PROTETOR AURICULAR TIPO CONCHA MSA XLS CA-27971"</f>
        <v>PROTETOR AURICULAR TIPO CONCHA MSA XLS CA-27971</v>
      </c>
      <c r="C19130" s="2" t="str">
        <f t="shared" si="750"/>
        <v>UN</v>
      </c>
      <c r="D19130" s="7">
        <v>502</v>
      </c>
      <c r="E19130" s="3">
        <v>5</v>
      </c>
      <c r="F19130" s="3">
        <v>5</v>
      </c>
      <c r="G19130" t="s">
        <v>514</v>
      </c>
    </row>
    <row r="19131" spans="1:7" x14ac:dyDescent="0.25">
      <c r="A19131" s="1" t="str">
        <f>"777"</f>
        <v>777</v>
      </c>
      <c r="B19131" s="2" t="str">
        <f>"PROTETOR AURICULAR TIPO PLUG ESPUMA CA-5674 MODELO 1110"</f>
        <v>PROTETOR AURICULAR TIPO PLUG ESPUMA CA-5674 MODELO 1110</v>
      </c>
      <c r="C19131" s="2" t="str">
        <f t="shared" si="750"/>
        <v>UN</v>
      </c>
      <c r="D19131" s="7">
        <v>501</v>
      </c>
      <c r="E19131" s="3">
        <v>5</v>
      </c>
      <c r="F19131" s="3">
        <v>5</v>
      </c>
      <c r="G19131" t="s">
        <v>514</v>
      </c>
    </row>
    <row r="19132" spans="1:7" x14ac:dyDescent="0.25">
      <c r="A19132" s="1" t="str">
        <f>"524264"</f>
        <v>524264</v>
      </c>
      <c r="B19132" s="2" t="str">
        <f>"PROTETOR BARBA TNT"</f>
        <v>PROTETOR BARBA TNT</v>
      </c>
      <c r="C19132" s="2" t="str">
        <f t="shared" si="750"/>
        <v>UN</v>
      </c>
      <c r="D19132" s="7">
        <v>501</v>
      </c>
      <c r="E19132" s="3">
        <v>5</v>
      </c>
      <c r="F19132" s="3">
        <v>5</v>
      </c>
      <c r="G19132" t="s">
        <v>512</v>
      </c>
    </row>
    <row r="19133" spans="1:7" x14ac:dyDescent="0.25">
      <c r="A19133" s="1" t="str">
        <f>"504178"</f>
        <v>504178</v>
      </c>
      <c r="B19133" s="2" t="str">
        <f>"PROTETOR CABO"</f>
        <v>PROTETOR CABO</v>
      </c>
      <c r="C19133" s="2" t="str">
        <f t="shared" si="750"/>
        <v>UN</v>
      </c>
      <c r="D19133" s="7">
        <v>704</v>
      </c>
      <c r="E19133" s="3">
        <v>9</v>
      </c>
      <c r="F19133" s="3">
        <v>9</v>
      </c>
      <c r="G19133" t="s">
        <v>513</v>
      </c>
    </row>
    <row r="19134" spans="1:7" x14ac:dyDescent="0.25">
      <c r="A19134" s="1" t="str">
        <f>"520972"</f>
        <v>520972</v>
      </c>
      <c r="B19134" s="2" t="str">
        <f>"PROTETOR CAÇAMBA"</f>
        <v>PROTETOR CAÇAMBA</v>
      </c>
      <c r="C19134" s="2" t="str">
        <f t="shared" si="750"/>
        <v>UN</v>
      </c>
      <c r="D19134" s="7">
        <v>704</v>
      </c>
      <c r="E19134" s="3">
        <v>4</v>
      </c>
      <c r="F19134" s="3">
        <v>4</v>
      </c>
      <c r="G19134" t="s">
        <v>514</v>
      </c>
    </row>
    <row r="19135" spans="1:7" x14ac:dyDescent="0.25">
      <c r="A19135" s="1" t="str">
        <f>"513209"</f>
        <v>513209</v>
      </c>
      <c r="B19135" s="2" t="str">
        <f>"PROTETOR CARTER"</f>
        <v>PROTETOR CARTER</v>
      </c>
      <c r="C19135" s="2" t="str">
        <f t="shared" si="750"/>
        <v>UN</v>
      </c>
      <c r="D19135" s="7">
        <v>918</v>
      </c>
      <c r="E19135" s="3">
        <v>11</v>
      </c>
      <c r="F19135" s="3">
        <v>11</v>
      </c>
      <c r="G19135" t="s">
        <v>514</v>
      </c>
    </row>
    <row r="19136" spans="1:7" x14ac:dyDescent="0.25">
      <c r="A19136" s="1" t="str">
        <f>"526070"</f>
        <v>526070</v>
      </c>
      <c r="B19136" s="2" t="str">
        <f>"PROTETOR DE BATERIA"</f>
        <v>PROTETOR DE BATERIA</v>
      </c>
      <c r="C19136" s="2" t="str">
        <f t="shared" si="750"/>
        <v>UN</v>
      </c>
      <c r="D19136" s="7">
        <v>704</v>
      </c>
      <c r="E19136" s="3">
        <v>9</v>
      </c>
      <c r="F19136" s="3">
        <v>9</v>
      </c>
      <c r="G19136" t="s">
        <v>514</v>
      </c>
    </row>
    <row r="19137" spans="1:7" x14ac:dyDescent="0.25">
      <c r="A19137" s="1" t="str">
        <f>"521554"</f>
        <v>521554</v>
      </c>
      <c r="B19137" s="2" t="str">
        <f>"PROTETOR DE COLUNA"</f>
        <v>PROTETOR DE COLUNA</v>
      </c>
      <c r="C19137" s="2" t="str">
        <f t="shared" si="750"/>
        <v>UN</v>
      </c>
      <c r="D19137" s="7">
        <v>918</v>
      </c>
      <c r="E19137" s="3">
        <v>11</v>
      </c>
      <c r="F19137" s="3">
        <v>11</v>
      </c>
      <c r="G19137" t="s">
        <v>513</v>
      </c>
    </row>
    <row r="19138" spans="1:7" x14ac:dyDescent="0.25">
      <c r="A19138" s="1" t="str">
        <f>"521555"</f>
        <v>521555</v>
      </c>
      <c r="B19138" s="2" t="str">
        <f>"PROTETOR DE COLUNA LATERAL"</f>
        <v>PROTETOR DE COLUNA LATERAL</v>
      </c>
      <c r="C19138" s="2" t="str">
        <f t="shared" si="750"/>
        <v>UN</v>
      </c>
      <c r="D19138" s="7">
        <v>918</v>
      </c>
      <c r="E19138" s="3">
        <v>11</v>
      </c>
      <c r="F19138" s="3">
        <v>11</v>
      </c>
      <c r="G19138" t="s">
        <v>512</v>
      </c>
    </row>
    <row r="19139" spans="1:7" x14ac:dyDescent="0.25">
      <c r="A19139" s="1" t="str">
        <f>"513230"</f>
        <v>513230</v>
      </c>
      <c r="B19139" s="2" t="str">
        <f>"PROTETOR DE GRAMA  TRAPP"</f>
        <v>PROTETOR DE GRAMA  TRAPP</v>
      </c>
      <c r="C19139" s="2" t="str">
        <f t="shared" si="750"/>
        <v>UN</v>
      </c>
      <c r="D19139" s="7">
        <v>918</v>
      </c>
      <c r="E19139" s="3">
        <v>11</v>
      </c>
      <c r="F19139" s="3">
        <v>11</v>
      </c>
      <c r="G19139" t="s">
        <v>513</v>
      </c>
    </row>
    <row r="19140" spans="1:7" x14ac:dyDescent="0.25">
      <c r="A19140" s="1" t="str">
        <f>"309"</f>
        <v>309</v>
      </c>
      <c r="B19140" s="2" t="str">
        <f>"PROTETOR DE OUVIDO CONCHA AGENA 14DB"</f>
        <v>PROTETOR DE OUVIDO CONCHA AGENA 14DB</v>
      </c>
      <c r="C19140" s="2" t="str">
        <f t="shared" si="750"/>
        <v>UN</v>
      </c>
      <c r="D19140" s="7">
        <v>501</v>
      </c>
      <c r="E19140" s="3">
        <v>5</v>
      </c>
      <c r="F19140" s="3">
        <v>5</v>
      </c>
      <c r="G19140" t="s">
        <v>514</v>
      </c>
    </row>
    <row r="19141" spans="1:7" x14ac:dyDescent="0.25">
      <c r="A19141" s="1" t="str">
        <f>"522896"</f>
        <v>522896</v>
      </c>
      <c r="B19141" s="2" t="str">
        <f>"PROTETOR DE SENSOR"</f>
        <v>PROTETOR DE SENSOR</v>
      </c>
      <c r="C19141" s="2" t="str">
        <f t="shared" si="750"/>
        <v>UN</v>
      </c>
      <c r="D19141" s="7">
        <v>918</v>
      </c>
      <c r="E19141" s="3">
        <v>10</v>
      </c>
      <c r="F19141" s="3">
        <v>10</v>
      </c>
      <c r="G19141" t="s">
        <v>514</v>
      </c>
    </row>
    <row r="19142" spans="1:7" x14ac:dyDescent="0.25">
      <c r="A19142" s="1" t="str">
        <f>"524919"</f>
        <v>524919</v>
      </c>
      <c r="B19142" s="2" t="str">
        <f>"PROTETOR DE SURTO A9L08600 SCHNEIDER"</f>
        <v>PROTETOR DE SURTO A9L08600 SCHNEIDER</v>
      </c>
      <c r="C19142" s="2" t="str">
        <f t="shared" si="750"/>
        <v>UN</v>
      </c>
      <c r="D19142" s="7">
        <v>811</v>
      </c>
      <c r="E19142" s="3">
        <v>8</v>
      </c>
      <c r="F19142" s="3">
        <v>8</v>
      </c>
      <c r="G19142" t="s">
        <v>514</v>
      </c>
    </row>
    <row r="19143" spans="1:7" x14ac:dyDescent="0.25">
      <c r="A19143" s="1" t="str">
        <f>"3843"</f>
        <v>3843</v>
      </c>
      <c r="B19143" s="2" t="str">
        <f>"PROTETOR DOCUMENTOS DAC 227X316 REF-1012"</f>
        <v>PROTETOR DOCUMENTOS DAC 227X316 REF-1012</v>
      </c>
      <c r="C19143" s="2" t="str">
        <f t="shared" si="750"/>
        <v>UN</v>
      </c>
      <c r="D19143" s="7">
        <v>401</v>
      </c>
      <c r="E19143" s="3">
        <v>4</v>
      </c>
      <c r="F19143" s="3">
        <v>4</v>
      </c>
      <c r="G19143" t="s">
        <v>513</v>
      </c>
    </row>
    <row r="19144" spans="1:7" x14ac:dyDescent="0.25">
      <c r="A19144" s="1" t="str">
        <f>"3176"</f>
        <v>3176</v>
      </c>
      <c r="B19144" s="2" t="str">
        <f>"PROTETOR FACIAL 8 INCOLOR NOVEL"</f>
        <v>PROTETOR FACIAL 8 INCOLOR NOVEL</v>
      </c>
      <c r="C19144" s="2" t="str">
        <f t="shared" si="750"/>
        <v>UN</v>
      </c>
      <c r="D19144" s="7">
        <v>501</v>
      </c>
      <c r="E19144" s="3">
        <v>5</v>
      </c>
      <c r="F19144" s="3">
        <v>5</v>
      </c>
      <c r="G19144" t="s">
        <v>513</v>
      </c>
    </row>
    <row r="19145" spans="1:7" x14ac:dyDescent="0.25">
      <c r="A19145" s="1" t="str">
        <f>"527088"</f>
        <v>527088</v>
      </c>
      <c r="B19145" s="2" t="str">
        <f>"PROTETOR FACIAL DELTA PLUS CA 14197"</f>
        <v>PROTETOR FACIAL DELTA PLUS CA 14197</v>
      </c>
      <c r="C19145" s="2" t="str">
        <f t="shared" si="750"/>
        <v>UN</v>
      </c>
      <c r="D19145" s="7">
        <v>501</v>
      </c>
      <c r="E19145" s="3">
        <v>5</v>
      </c>
      <c r="F19145" s="3">
        <v>5</v>
      </c>
      <c r="G19145" t="s">
        <v>513</v>
      </c>
    </row>
    <row r="19146" spans="1:7" x14ac:dyDescent="0.25">
      <c r="A19146" s="1" t="str">
        <f>"522457"</f>
        <v>522457</v>
      </c>
      <c r="B19146" s="2" t="str">
        <f>"PROTETOR FACIAL LENTE INCOLOR 8"" LEDAN CA-3473"</f>
        <v>PROTETOR FACIAL LENTE INCOLOR 8" LEDAN CA-3473</v>
      </c>
      <c r="C19146" s="2" t="str">
        <f t="shared" si="750"/>
        <v>UN</v>
      </c>
      <c r="D19146" s="7">
        <v>501</v>
      </c>
      <c r="E19146" s="3">
        <v>4</v>
      </c>
      <c r="F19146" s="3">
        <v>4</v>
      </c>
      <c r="G19146" t="s">
        <v>512</v>
      </c>
    </row>
    <row r="19147" spans="1:7" x14ac:dyDescent="0.25">
      <c r="A19147" s="1" t="str">
        <f>"515752"</f>
        <v>515752</v>
      </c>
      <c r="B19147" s="2" t="str">
        <f>"PROTETOR FAROL"</f>
        <v>PROTETOR FAROL</v>
      </c>
      <c r="C19147" s="2" t="str">
        <f t="shared" si="750"/>
        <v>UN</v>
      </c>
      <c r="D19147" s="7">
        <v>704</v>
      </c>
      <c r="E19147" s="3">
        <v>9</v>
      </c>
      <c r="F19147" s="3">
        <v>9</v>
      </c>
      <c r="G19147" t="s">
        <v>513</v>
      </c>
    </row>
    <row r="19148" spans="1:7" x14ac:dyDescent="0.25">
      <c r="A19148" s="1" t="str">
        <f>"517918"</f>
        <v>517918</v>
      </c>
      <c r="B19148" s="2" t="str">
        <f>"PROTETOR GRAMA TRAPP"</f>
        <v>PROTETOR GRAMA TRAPP</v>
      </c>
      <c r="C19148" s="2" t="str">
        <f t="shared" si="750"/>
        <v>UN</v>
      </c>
      <c r="D19148" s="7">
        <v>918</v>
      </c>
      <c r="E19148" s="3">
        <v>11</v>
      </c>
      <c r="F19148" s="3">
        <v>11</v>
      </c>
      <c r="G19148" t="s">
        <v>514</v>
      </c>
    </row>
    <row r="19149" spans="1:7" x14ac:dyDescent="0.25">
      <c r="A19149" s="1" t="str">
        <f>"515624"</f>
        <v>515624</v>
      </c>
      <c r="B19149" s="2" t="str">
        <f>"PROTETOR LATERAL"</f>
        <v>PROTETOR LATERAL</v>
      </c>
      <c r="C19149" s="2" t="str">
        <f t="shared" si="750"/>
        <v>UN</v>
      </c>
      <c r="D19149" s="7">
        <v>704</v>
      </c>
      <c r="E19149" s="3">
        <v>9</v>
      </c>
      <c r="F19149" s="3">
        <v>9</v>
      </c>
      <c r="G19149" t="s">
        <v>515</v>
      </c>
    </row>
    <row r="19150" spans="1:7" x14ac:dyDescent="0.25">
      <c r="A19150" s="1" t="str">
        <f>"774"</f>
        <v>774</v>
      </c>
      <c r="B19150" s="2" t="str">
        <f>"PROTETOR OUVIDO TIPO PLUG CA-11512/5745"</f>
        <v>PROTETOR OUVIDO TIPO PLUG CA-11512/5745</v>
      </c>
      <c r="C19150" s="2" t="str">
        <f t="shared" si="750"/>
        <v>UN</v>
      </c>
      <c r="D19150" s="7">
        <v>501</v>
      </c>
      <c r="E19150" s="3">
        <v>5</v>
      </c>
      <c r="F19150" s="3">
        <v>5</v>
      </c>
      <c r="G19150" t="s">
        <v>512</v>
      </c>
    </row>
    <row r="19151" spans="1:7" x14ac:dyDescent="0.25">
      <c r="A19151" s="1" t="str">
        <f>"500284"</f>
        <v>500284</v>
      </c>
      <c r="B19151" s="2" t="str">
        <f>"PROTETOR P/ PNEU"</f>
        <v>PROTETOR P/ PNEU</v>
      </c>
      <c r="C19151" s="2" t="str">
        <f t="shared" si="750"/>
        <v>UN</v>
      </c>
      <c r="D19151" s="7">
        <v>99999</v>
      </c>
      <c r="E19151" s="3">
        <v>99</v>
      </c>
      <c r="F19151" s="3">
        <v>99</v>
      </c>
      <c r="G19151" t="s">
        <v>516</v>
      </c>
    </row>
    <row r="19152" spans="1:7" x14ac:dyDescent="0.25">
      <c r="A19152" s="1" t="str">
        <f>"524466"</f>
        <v>524466</v>
      </c>
      <c r="B19152" s="2" t="str">
        <f>"PROTETOR PARA VERGALHÃO"</f>
        <v>PROTETOR PARA VERGALHÃO</v>
      </c>
      <c r="C19152" s="2" t="str">
        <f t="shared" si="750"/>
        <v>UN</v>
      </c>
      <c r="D19152" s="7">
        <v>917</v>
      </c>
      <c r="E19152" s="3">
        <v>4</v>
      </c>
      <c r="F19152" s="3">
        <v>4</v>
      </c>
      <c r="G19152" t="s">
        <v>515</v>
      </c>
    </row>
    <row r="19153" spans="1:7" x14ac:dyDescent="0.25">
      <c r="A19153" s="1" t="str">
        <f>"523722"</f>
        <v>523722</v>
      </c>
      <c r="B19153" s="2" t="str">
        <f>"PROTETOR POMP PLUS 3M CA-5745"</f>
        <v>PROTETOR POMP PLUS 3M CA-5745</v>
      </c>
      <c r="C19153" s="2" t="str">
        <f t="shared" si="750"/>
        <v>UN</v>
      </c>
      <c r="D19153" s="7">
        <v>502</v>
      </c>
      <c r="E19153" s="3">
        <v>5</v>
      </c>
      <c r="F19153" s="3">
        <v>5</v>
      </c>
      <c r="G19153" t="s">
        <v>514</v>
      </c>
    </row>
    <row r="19154" spans="1:7" x14ac:dyDescent="0.25">
      <c r="A19154" s="1" t="str">
        <f>"523869"</f>
        <v>523869</v>
      </c>
      <c r="B19154" s="2" t="str">
        <f>"PROTETOR SOLAR FPS 60 FP UVA 20 120ML MAVARO"</f>
        <v>PROTETOR SOLAR FPS 60 FP UVA 20 120ML MAVARO</v>
      </c>
      <c r="C19154" s="2" t="str">
        <f t="shared" ref="C19154:C19185" si="751">"UN"</f>
        <v>UN</v>
      </c>
      <c r="D19154" s="7">
        <v>501</v>
      </c>
      <c r="E19154" s="3">
        <v>5</v>
      </c>
      <c r="F19154" s="3">
        <v>5</v>
      </c>
      <c r="G19154" t="s">
        <v>512</v>
      </c>
    </row>
    <row r="19155" spans="1:7" x14ac:dyDescent="0.25">
      <c r="A19155" s="1" t="str">
        <f>"521613"</f>
        <v>521613</v>
      </c>
      <c r="B19155" s="2" t="str">
        <f>"PROTETOR SOLAR FPS 60 FP UVA 24 120ML LUVEX"</f>
        <v>PROTETOR SOLAR FPS 60 FP UVA 24 120ML LUVEX</v>
      </c>
      <c r="C19155" s="2" t="str">
        <f t="shared" si="751"/>
        <v>UN</v>
      </c>
      <c r="D19155" s="7">
        <v>501</v>
      </c>
      <c r="E19155" s="3">
        <v>5</v>
      </c>
      <c r="F19155" s="3">
        <v>5</v>
      </c>
      <c r="G19155" t="s">
        <v>513</v>
      </c>
    </row>
    <row r="19156" spans="1:7" x14ac:dyDescent="0.25">
      <c r="A19156" s="1" t="str">
        <f>"513329"</f>
        <v>513329</v>
      </c>
      <c r="B19156" s="2" t="str">
        <f>"PROTETOR TERMICO PARA AR CONDICIONADO"</f>
        <v>PROTETOR TERMICO PARA AR CONDICIONADO</v>
      </c>
      <c r="C19156" s="2" t="str">
        <f t="shared" si="751"/>
        <v>UN</v>
      </c>
      <c r="D19156" s="7">
        <v>918</v>
      </c>
      <c r="E19156" s="3">
        <v>11</v>
      </c>
      <c r="F19156" s="3">
        <v>11</v>
      </c>
      <c r="G19156" t="s">
        <v>514</v>
      </c>
    </row>
    <row r="19157" spans="1:7" x14ac:dyDescent="0.25">
      <c r="A19157" s="1" t="str">
        <f>"517575"</f>
        <v>517575</v>
      </c>
      <c r="B19157" s="2" t="str">
        <f>"PROTETOR TIPO SINO INJET"</f>
        <v>PROTETOR TIPO SINO INJET</v>
      </c>
      <c r="C19157" s="2" t="str">
        <f t="shared" si="751"/>
        <v>UN</v>
      </c>
      <c r="D19157" s="7">
        <v>918</v>
      </c>
      <c r="E19157" s="3">
        <v>11</v>
      </c>
      <c r="F19157" s="3">
        <v>11</v>
      </c>
      <c r="G19157" t="s">
        <v>514</v>
      </c>
    </row>
    <row r="19158" spans="1:7" x14ac:dyDescent="0.25">
      <c r="A19158" s="1" t="str">
        <f>"506434"</f>
        <v>506434</v>
      </c>
      <c r="B19158" s="2" t="str">
        <f>"PROTETORES DE PNEUS (EMPILHADEIRA MIT)"</f>
        <v>PROTETORES DE PNEUS (EMPILHADEIRA MIT)</v>
      </c>
      <c r="C19158" s="2" t="str">
        <f t="shared" si="751"/>
        <v>UN</v>
      </c>
      <c r="D19158" s="7">
        <v>918</v>
      </c>
      <c r="E19158" s="3">
        <v>11</v>
      </c>
      <c r="F19158" s="3">
        <v>11</v>
      </c>
      <c r="G19158" t="s">
        <v>512</v>
      </c>
    </row>
    <row r="19159" spans="1:7" x14ac:dyDescent="0.25">
      <c r="A19159" s="1" t="str">
        <f>"513036"</f>
        <v>513036</v>
      </c>
      <c r="B19159" s="2" t="str">
        <f>"PROTOTIPO DE EMBALAGENS TERMOFORMADAS"</f>
        <v>PROTOTIPO DE EMBALAGENS TERMOFORMADAS</v>
      </c>
      <c r="C19159" s="2" t="str">
        <f t="shared" si="751"/>
        <v>UN</v>
      </c>
      <c r="D19159" s="7">
        <v>918</v>
      </c>
      <c r="E19159" s="3">
        <v>11</v>
      </c>
      <c r="F19159" s="3">
        <v>11</v>
      </c>
      <c r="G19159" t="s">
        <v>513</v>
      </c>
    </row>
    <row r="19160" spans="1:7" x14ac:dyDescent="0.25">
      <c r="A19160" s="1" t="str">
        <f>"515392"</f>
        <v>515392</v>
      </c>
      <c r="B19160" s="2" t="str">
        <f>"PROVETA 100ML"</f>
        <v>PROVETA 100ML</v>
      </c>
      <c r="C19160" s="2" t="str">
        <f t="shared" si="751"/>
        <v>UN</v>
      </c>
      <c r="D19160" s="7">
        <v>406</v>
      </c>
      <c r="E19160" s="3">
        <v>4</v>
      </c>
      <c r="F19160" s="3">
        <v>4</v>
      </c>
      <c r="G19160" t="s">
        <v>514</v>
      </c>
    </row>
    <row r="19161" spans="1:7" x14ac:dyDescent="0.25">
      <c r="A19161" s="1" t="str">
        <f>"523854"</f>
        <v>523854</v>
      </c>
      <c r="B19161" s="2" t="str">
        <f>"PROVETA GRADUADA BASE H. VIDRO 100ML C/ CERT. HX0004-00286"</f>
        <v>PROVETA GRADUADA BASE H. VIDRO 100ML C/ CERT. HX0004-00286</v>
      </c>
      <c r="C19161" s="2" t="str">
        <f t="shared" si="751"/>
        <v>UN</v>
      </c>
      <c r="D19161" s="7">
        <v>99999</v>
      </c>
      <c r="E19161" s="3">
        <v>99</v>
      </c>
      <c r="F19161" s="3">
        <v>99</v>
      </c>
      <c r="G19161" t="s">
        <v>514</v>
      </c>
    </row>
    <row r="19162" spans="1:7" x14ac:dyDescent="0.25">
      <c r="A19162" s="1" t="str">
        <f>"514229"</f>
        <v>514229</v>
      </c>
      <c r="B19162" s="2" t="str">
        <f>"PROVETA GRADUADA PLASTICA 1000ML"</f>
        <v>PROVETA GRADUADA PLASTICA 1000ML</v>
      </c>
      <c r="C19162" s="2" t="str">
        <f t="shared" si="751"/>
        <v>UN</v>
      </c>
      <c r="D19162" s="7">
        <v>406</v>
      </c>
      <c r="E19162" s="3">
        <v>4</v>
      </c>
      <c r="F19162" s="3">
        <v>4</v>
      </c>
      <c r="G19162" t="s">
        <v>514</v>
      </c>
    </row>
    <row r="19163" spans="1:7" x14ac:dyDescent="0.25">
      <c r="A19163" s="1" t="str">
        <f>"515391"</f>
        <v>515391</v>
      </c>
      <c r="B19163" s="2" t="str">
        <f>"PROVETA GRADUADA PLASTICA 250ML"</f>
        <v>PROVETA GRADUADA PLASTICA 250ML</v>
      </c>
      <c r="C19163" s="2" t="str">
        <f t="shared" si="751"/>
        <v>UN</v>
      </c>
      <c r="D19163" s="7">
        <v>406</v>
      </c>
      <c r="E19163" s="3">
        <v>4</v>
      </c>
      <c r="F19163" s="3">
        <v>4</v>
      </c>
      <c r="G19163" t="s">
        <v>513</v>
      </c>
    </row>
    <row r="19164" spans="1:7" x14ac:dyDescent="0.25">
      <c r="A19164" s="1" t="str">
        <f>"527653"</f>
        <v>527653</v>
      </c>
      <c r="B19164" s="2" t="str">
        <f>"PROVETA GRADUADA PP 100ML NALGON"</f>
        <v>PROVETA GRADUADA PP 100ML NALGON</v>
      </c>
      <c r="C19164" s="2" t="str">
        <f t="shared" si="751"/>
        <v>UN</v>
      </c>
      <c r="D19164" s="7">
        <v>406</v>
      </c>
      <c r="E19164" s="3">
        <v>4</v>
      </c>
      <c r="F19164" s="3">
        <v>4</v>
      </c>
      <c r="G19164" t="s">
        <v>512</v>
      </c>
    </row>
    <row r="19165" spans="1:7" x14ac:dyDescent="0.25">
      <c r="A19165" s="1" t="str">
        <f>"518145"</f>
        <v>518145</v>
      </c>
      <c r="B19165" s="2" t="str">
        <f>"PROVETA GRADUADA VIDRO 1000ML - CALIBRADA"</f>
        <v>PROVETA GRADUADA VIDRO 1000ML - CALIBRADA</v>
      </c>
      <c r="C19165" s="2" t="str">
        <f t="shared" si="751"/>
        <v>UN</v>
      </c>
      <c r="D19165" s="7">
        <v>406</v>
      </c>
      <c r="E19165" s="3">
        <v>4</v>
      </c>
      <c r="F19165" s="3">
        <v>4</v>
      </c>
      <c r="G19165" t="s">
        <v>513</v>
      </c>
    </row>
    <row r="19166" spans="1:7" x14ac:dyDescent="0.25">
      <c r="A19166" s="1" t="str">
        <f>"519820"</f>
        <v>519820</v>
      </c>
      <c r="B19166" s="2" t="str">
        <f>"PROVETA GRADUADA VIDRO 250ML MARCA LABORGLAS"</f>
        <v>PROVETA GRADUADA VIDRO 250ML MARCA LABORGLAS</v>
      </c>
      <c r="C19166" s="2" t="str">
        <f t="shared" si="751"/>
        <v>UN</v>
      </c>
      <c r="D19166" s="7">
        <v>406</v>
      </c>
      <c r="E19166" s="3">
        <v>4</v>
      </c>
      <c r="F19166" s="3">
        <v>4</v>
      </c>
      <c r="G19166" t="s">
        <v>514</v>
      </c>
    </row>
    <row r="19167" spans="1:7" x14ac:dyDescent="0.25">
      <c r="A19167" s="1" t="str">
        <f>"527652"</f>
        <v>527652</v>
      </c>
      <c r="B19167" s="2" t="str">
        <f>"PROVETA PLASTICO PP MARCAÇÃO AUTO RELEVO 100ML"</f>
        <v>PROVETA PLASTICO PP MARCAÇÃO AUTO RELEVO 100ML</v>
      </c>
      <c r="C19167" s="2" t="str">
        <f t="shared" si="751"/>
        <v>UN</v>
      </c>
      <c r="D19167" s="7">
        <v>406</v>
      </c>
      <c r="E19167" s="3">
        <v>4</v>
      </c>
      <c r="F19167" s="3">
        <v>4</v>
      </c>
      <c r="G19167" t="s">
        <v>514</v>
      </c>
    </row>
    <row r="19168" spans="1:7" x14ac:dyDescent="0.25">
      <c r="A19168" s="1" t="str">
        <f>"517519"</f>
        <v>517519</v>
      </c>
      <c r="B19168" s="2" t="str">
        <f>"PSI.010 A3 -1+10BAR 14B"</f>
        <v>PSI.010 A3 -1+10BAR 14B</v>
      </c>
      <c r="C19168" s="2" t="str">
        <f t="shared" si="751"/>
        <v>UN</v>
      </c>
      <c r="D19168" s="7">
        <v>918</v>
      </c>
      <c r="E19168" s="3">
        <v>11</v>
      </c>
      <c r="F19168" s="3">
        <v>11</v>
      </c>
      <c r="G19168" t="s">
        <v>514</v>
      </c>
    </row>
    <row r="19169" spans="1:7" x14ac:dyDescent="0.25">
      <c r="A19169" s="1" t="str">
        <f>"517518"</f>
        <v>517518</v>
      </c>
      <c r="B19169" s="2" t="str">
        <f>"PSI.010 A3-1+20BAR 14B"</f>
        <v>PSI.010 A3-1+20BAR 14B</v>
      </c>
      <c r="C19169" s="2" t="str">
        <f t="shared" si="751"/>
        <v>UN</v>
      </c>
      <c r="D19169" s="7">
        <v>918</v>
      </c>
      <c r="E19169" s="3">
        <v>11</v>
      </c>
      <c r="F19169" s="3">
        <v>11</v>
      </c>
      <c r="G19169" t="s">
        <v>513</v>
      </c>
    </row>
    <row r="19170" spans="1:7" x14ac:dyDescent="0.25">
      <c r="A19170" s="1" t="str">
        <f>"517578"</f>
        <v>517578</v>
      </c>
      <c r="B19170" s="2" t="str">
        <f>"PT 100 CABECOTE KNC CB 3F HASTE 100MM ROSCA 1/2 BSP"</f>
        <v>PT 100 CABECOTE KNC CB 3F HASTE 100MM ROSCA 1/2 BSP</v>
      </c>
      <c r="C19170" s="2" t="str">
        <f t="shared" si="751"/>
        <v>UN</v>
      </c>
      <c r="D19170" s="7">
        <v>811</v>
      </c>
      <c r="E19170" s="3">
        <v>8</v>
      </c>
      <c r="F19170" s="3">
        <v>8</v>
      </c>
      <c r="G19170" t="s">
        <v>513</v>
      </c>
    </row>
    <row r="19171" spans="1:7" x14ac:dyDescent="0.25">
      <c r="A19171" s="1" t="str">
        <f>"527128"</f>
        <v>527128</v>
      </c>
      <c r="B19171" s="2" t="str">
        <f>"PT 100 CABECOTE KNC SELO TC2 3F HASTE30MM ACESSORIO COMPLETO"</f>
        <v>PT 100 CABECOTE KNC SELO TC2 3F HASTE30MM ACESSORIO COMPLETO</v>
      </c>
      <c r="C19171" s="2" t="str">
        <f t="shared" si="751"/>
        <v>UN</v>
      </c>
      <c r="D19171" s="7">
        <v>811</v>
      </c>
      <c r="E19171" s="3">
        <v>8</v>
      </c>
      <c r="F19171" s="3">
        <v>8</v>
      </c>
      <c r="G19171" t="s">
        <v>513</v>
      </c>
    </row>
    <row r="19172" spans="1:7" x14ac:dyDescent="0.25">
      <c r="A19172" s="1" t="str">
        <f>"527129"</f>
        <v>527129</v>
      </c>
      <c r="B19172" s="2" t="str">
        <f>"PT 100 CABECOTE KNC SELO TC2 6F HASTE30MM ACESSORIO COMPLETO"</f>
        <v>PT 100 CABECOTE KNC SELO TC2 6F HASTE30MM ACESSORIO COMPLETO</v>
      </c>
      <c r="C19172" s="2" t="str">
        <f t="shared" si="751"/>
        <v>UN</v>
      </c>
      <c r="D19172" s="7">
        <v>811</v>
      </c>
      <c r="E19172" s="3">
        <v>8</v>
      </c>
      <c r="F19172" s="3">
        <v>8</v>
      </c>
      <c r="G19172" t="s">
        <v>512</v>
      </c>
    </row>
    <row r="19173" spans="1:7" x14ac:dyDescent="0.25">
      <c r="A19173" s="1" t="str">
        <f>"519766"</f>
        <v>519766</v>
      </c>
      <c r="B19173" s="2" t="str">
        <f>"PT 100 CABECOTE KNL HASTE 150MM X 1/4 ROSCA NPT"</f>
        <v>PT 100 CABECOTE KNL HASTE 150MM X 1/4 ROSCA NPT</v>
      </c>
      <c r="C19173" s="2" t="str">
        <f t="shared" si="751"/>
        <v>UN</v>
      </c>
      <c r="D19173" s="7">
        <v>811</v>
      </c>
      <c r="E19173" s="3">
        <v>8</v>
      </c>
      <c r="F19173" s="3">
        <v>8</v>
      </c>
      <c r="G19173" t="s">
        <v>513</v>
      </c>
    </row>
    <row r="19174" spans="1:7" x14ac:dyDescent="0.25">
      <c r="A19174" s="1" t="str">
        <f>"506782"</f>
        <v>506782</v>
      </c>
      <c r="B19174" s="2" t="str">
        <f>"PT 100 P/ ESTATOR REF.4955005"</f>
        <v>PT 100 P/ ESTATOR REF.4955005</v>
      </c>
      <c r="C19174" s="2" t="str">
        <f t="shared" si="751"/>
        <v>UN</v>
      </c>
      <c r="D19174" s="7">
        <v>900</v>
      </c>
      <c r="E19174" s="3">
        <v>11</v>
      </c>
      <c r="F19174" s="3">
        <v>11</v>
      </c>
      <c r="G19174" t="s">
        <v>514</v>
      </c>
    </row>
    <row r="19175" spans="1:7" x14ac:dyDescent="0.25">
      <c r="A19175" s="1" t="str">
        <f>"502772"</f>
        <v>502772</v>
      </c>
      <c r="B19175" s="2" t="str">
        <f>"PT 100 P/ ESTATOR SPT3 REF.NDB4908713"</f>
        <v>PT 100 P/ ESTATOR SPT3 REF.NDB4908713</v>
      </c>
      <c r="C19175" s="2" t="str">
        <f t="shared" si="751"/>
        <v>UN</v>
      </c>
      <c r="D19175" s="7">
        <v>900</v>
      </c>
      <c r="E19175" s="3">
        <v>11</v>
      </c>
      <c r="F19175" s="3">
        <v>11</v>
      </c>
      <c r="G19175" t="s">
        <v>515</v>
      </c>
    </row>
    <row r="19176" spans="1:7" x14ac:dyDescent="0.25">
      <c r="A19176" s="1" t="str">
        <f>"517579"</f>
        <v>517579</v>
      </c>
      <c r="B19176" s="2" t="str">
        <f>"PT 100 THYN FILM CLASSE B CABO 180MM X 3 FIOS PVC"</f>
        <v>PT 100 THYN FILM CLASSE B CABO 180MM X 3 FIOS PVC</v>
      </c>
      <c r="C19176" s="2" t="str">
        <f t="shared" si="751"/>
        <v>UN</v>
      </c>
      <c r="D19176" s="7">
        <v>811</v>
      </c>
      <c r="E19176" s="3">
        <v>8</v>
      </c>
      <c r="F19176" s="3">
        <v>8</v>
      </c>
      <c r="G19176" t="s">
        <v>512</v>
      </c>
    </row>
    <row r="19177" spans="1:7" x14ac:dyDescent="0.25">
      <c r="A19177" s="1" t="str">
        <f>"511443"</f>
        <v>511443</v>
      </c>
      <c r="B19177" s="2" t="str">
        <f>"PT-100 1/2"" BSP C/ CERTIFICADO CALIBRAÇAO JONHIS"</f>
        <v>PT-100 1/2" BSP C/ CERTIFICADO CALIBRAÇAO JONHIS</v>
      </c>
      <c r="C19177" s="2" t="str">
        <f t="shared" si="751"/>
        <v>UN</v>
      </c>
      <c r="D19177" s="7">
        <v>600</v>
      </c>
      <c r="E19177" s="3">
        <v>8</v>
      </c>
      <c r="F19177" s="3">
        <v>8</v>
      </c>
      <c r="G19177" t="s">
        <v>516</v>
      </c>
    </row>
    <row r="19178" spans="1:7" x14ac:dyDescent="0.25">
      <c r="A19178" s="1" t="str">
        <f>"527611"</f>
        <v>527611</v>
      </c>
      <c r="B19178" s="2" t="str">
        <f>"PT100 3 FIOS RTM 125 3 FIOS R ¼  INOX CABEÇOTE KNC 150MM COM"</f>
        <v>PT100 3 FIOS RTM 125 3 FIOS R ¼  INOX CABEÇOTE KNC 150MM COM</v>
      </c>
      <c r="C19178" s="2" t="str">
        <f t="shared" si="751"/>
        <v>UN</v>
      </c>
      <c r="D19178" s="7">
        <v>811</v>
      </c>
      <c r="E19178" s="3">
        <v>10</v>
      </c>
      <c r="F19178" s="3">
        <v>10</v>
      </c>
      <c r="G19178" t="s">
        <v>515</v>
      </c>
    </row>
    <row r="19179" spans="1:7" x14ac:dyDescent="0.25">
      <c r="A19179" s="1" t="str">
        <f>"513038"</f>
        <v>513038</v>
      </c>
      <c r="B19179" s="2" t="str">
        <f>"PT100 3F KNC TC2"" H30MM + ACESSORIO COMPLETO"</f>
        <v>PT100 3F KNC TC2" H30MM + ACESSORIO COMPLETO</v>
      </c>
      <c r="C19179" s="2" t="str">
        <f t="shared" si="751"/>
        <v>UN</v>
      </c>
      <c r="D19179" s="7">
        <v>811</v>
      </c>
      <c r="E19179" s="3">
        <v>8</v>
      </c>
      <c r="F19179" s="3">
        <v>8</v>
      </c>
      <c r="G19179" t="s">
        <v>514</v>
      </c>
    </row>
    <row r="19180" spans="1:7" x14ac:dyDescent="0.25">
      <c r="A19180" s="1" t="str">
        <f>"524960"</f>
        <v>524960</v>
      </c>
      <c r="B19180" s="2" t="str">
        <f>"PT100 4 A 20 mA H-350MM ROSCA 1/2"" C-B3-KNC-R7"</f>
        <v>PT100 4 A 20 mA H-350MM ROSCA 1/2" C-B3-KNC-R7</v>
      </c>
      <c r="C19180" s="2" t="str">
        <f t="shared" si="751"/>
        <v>UN</v>
      </c>
      <c r="D19180" s="7">
        <v>811</v>
      </c>
      <c r="E19180" s="3">
        <v>10</v>
      </c>
      <c r="F19180" s="3">
        <v>10</v>
      </c>
      <c r="G19180" t="s">
        <v>512</v>
      </c>
    </row>
    <row r="19181" spans="1:7" x14ac:dyDescent="0.25">
      <c r="A19181" s="1" t="str">
        <f>"513039"</f>
        <v>513039</v>
      </c>
      <c r="B19181" s="2" t="str">
        <f>"PT100 6F KNC TC2"" H30MM + ACESSORIO COMPLETO"</f>
        <v>PT100 6F KNC TC2" H30MM + ACESSORIO COMPLETO</v>
      </c>
      <c r="C19181" s="2" t="str">
        <f t="shared" si="751"/>
        <v>UN</v>
      </c>
      <c r="D19181" s="7">
        <v>811</v>
      </c>
      <c r="E19181" s="3">
        <v>8</v>
      </c>
      <c r="F19181" s="3">
        <v>8</v>
      </c>
      <c r="G19181" t="s">
        <v>513</v>
      </c>
    </row>
    <row r="19182" spans="1:7" x14ac:dyDescent="0.25">
      <c r="A19182" s="1" t="str">
        <f>"503694"</f>
        <v>503694</v>
      </c>
      <c r="B19182" s="2" t="str">
        <f>"PT-100 CAB./3/4 /150"</f>
        <v>PT-100 CAB./3/4 /150</v>
      </c>
      <c r="C19182" s="2" t="str">
        <f t="shared" si="751"/>
        <v>UN</v>
      </c>
      <c r="D19182" s="7">
        <v>900</v>
      </c>
      <c r="E19182" s="3">
        <v>11</v>
      </c>
      <c r="F19182" s="3">
        <v>11</v>
      </c>
      <c r="G19182" t="s">
        <v>514</v>
      </c>
    </row>
    <row r="19183" spans="1:7" x14ac:dyDescent="0.25">
      <c r="A19183" s="1" t="str">
        <f>"501381"</f>
        <v>501381</v>
      </c>
      <c r="B19183" s="2" t="str">
        <f>"PT-100 CABO 3 FIOS HASTE 150MM ROSCA 1/2"</f>
        <v>PT-100 CABO 3 FIOS HASTE 150MM ROSCA 1/2</v>
      </c>
      <c r="C19183" s="2" t="str">
        <f t="shared" si="751"/>
        <v>UN</v>
      </c>
      <c r="D19183" s="7">
        <v>900</v>
      </c>
      <c r="E19183" s="3">
        <v>11</v>
      </c>
      <c r="F19183" s="3">
        <v>11</v>
      </c>
      <c r="G19183" t="s">
        <v>514</v>
      </c>
    </row>
    <row r="19184" spans="1:7" x14ac:dyDescent="0.25">
      <c r="A19184" s="1" t="str">
        <f>"525301"</f>
        <v>525301</v>
      </c>
      <c r="B19184" s="2" t="str">
        <f>"PT100 CABO SILICONE 50MM PONTEIRA 30MM X 1/4 INOX"</f>
        <v>PT100 CABO SILICONE 50MM PONTEIRA 30MM X 1/4 INOX</v>
      </c>
      <c r="C19184" s="2" t="str">
        <f t="shared" si="751"/>
        <v>UN</v>
      </c>
      <c r="D19184" s="7">
        <v>811</v>
      </c>
      <c r="E19184" s="3">
        <v>11</v>
      </c>
      <c r="F19184" s="3">
        <v>11</v>
      </c>
      <c r="G19184" t="s">
        <v>512</v>
      </c>
    </row>
    <row r="19185" spans="1:7" x14ac:dyDescent="0.25">
      <c r="A19185" s="1" t="str">
        <f>"508215"</f>
        <v>508215</v>
      </c>
      <c r="B19185" s="2" t="str">
        <f>"PT-100 DE 0 A 120C ROSCA 1/2 BSP 1/4X100"</f>
        <v>PT-100 DE 0 A 120C ROSCA 1/2 BSP 1/4X100</v>
      </c>
      <c r="C19185" s="2" t="str">
        <f t="shared" si="751"/>
        <v>UN</v>
      </c>
      <c r="D19185" s="7">
        <v>900</v>
      </c>
      <c r="E19185" s="3">
        <v>11</v>
      </c>
      <c r="F19185" s="3">
        <v>11</v>
      </c>
      <c r="G19185" t="s">
        <v>513</v>
      </c>
    </row>
    <row r="19186" spans="1:7" x14ac:dyDescent="0.25">
      <c r="A19186" s="1" t="str">
        <f>"508214"</f>
        <v>508214</v>
      </c>
      <c r="B19186" s="2" t="str">
        <f>"PT-100 DE 0 A 160C ROSCA 1/2 BSP 1/4X100"</f>
        <v>PT-100 DE 0 A 160C ROSCA 1/2 BSP 1/4X100</v>
      </c>
      <c r="C19186" s="2" t="str">
        <f t="shared" ref="C19186:C19213" si="752">"UN"</f>
        <v>UN</v>
      </c>
      <c r="D19186" s="7">
        <v>900</v>
      </c>
      <c r="E19186" s="3">
        <v>11</v>
      </c>
      <c r="F19186" s="3">
        <v>11</v>
      </c>
      <c r="G19186" t="s">
        <v>514</v>
      </c>
    </row>
    <row r="19187" spans="1:7" x14ac:dyDescent="0.25">
      <c r="A19187" s="1" t="str">
        <f>"522371"</f>
        <v>522371</v>
      </c>
      <c r="B19187" s="2" t="str">
        <f>"PT100 ROSCA 1/2 HASTE 600MM DIAM. 1/4 3 FIOS"</f>
        <v>PT100 ROSCA 1/2 HASTE 600MM DIAM. 1/4 3 FIOS</v>
      </c>
      <c r="C19187" s="2" t="str">
        <f t="shared" si="752"/>
        <v>UN</v>
      </c>
      <c r="D19187" s="7">
        <v>811</v>
      </c>
      <c r="E19187" s="3">
        <v>10</v>
      </c>
      <c r="F19187" s="3">
        <v>10</v>
      </c>
      <c r="G19187" t="s">
        <v>514</v>
      </c>
    </row>
    <row r="19188" spans="1:7" x14ac:dyDescent="0.25">
      <c r="A19188" s="1" t="str">
        <f>"520447"</f>
        <v>520447</v>
      </c>
      <c r="B19188" s="2" t="str">
        <f>"PT100 RTM 125-80 SIMPLES 3 FIOS 150MM K2-H4 BSP KNL Z6"</f>
        <v>PT100 RTM 125-80 SIMPLES 3 FIOS 150MM K2-H4 BSP KNL Z6</v>
      </c>
      <c r="C19188" s="2" t="str">
        <f t="shared" si="752"/>
        <v>UN</v>
      </c>
      <c r="D19188" s="7">
        <v>811</v>
      </c>
      <c r="E19188" s="3">
        <v>8</v>
      </c>
      <c r="F19188" s="3">
        <v>8</v>
      </c>
      <c r="G19188" t="s">
        <v>514</v>
      </c>
    </row>
    <row r="19189" spans="1:7" x14ac:dyDescent="0.25">
      <c r="A19189" s="1" t="str">
        <f>"520562"</f>
        <v>520562</v>
      </c>
      <c r="B19189" s="2" t="str">
        <f>"PT100-C-B3-KNC-H30-COM.TC.2"</f>
        <v>PT100-C-B3-KNC-H30-COM.TC.2</v>
      </c>
      <c r="C19189" s="2" t="str">
        <f t="shared" si="752"/>
        <v>UN</v>
      </c>
      <c r="D19189" s="7">
        <v>811</v>
      </c>
      <c r="E19189" s="3">
        <v>8</v>
      </c>
      <c r="F19189" s="3">
        <v>8</v>
      </c>
      <c r="G19189" t="s">
        <v>513</v>
      </c>
    </row>
    <row r="19190" spans="1:7" x14ac:dyDescent="0.25">
      <c r="A19190" s="1" t="str">
        <f>"520563"</f>
        <v>520563</v>
      </c>
      <c r="B19190" s="2" t="str">
        <f>"PT100-C-B6-KNC-H30-COM.TC.2"</f>
        <v>PT100-C-B6-KNC-H30-COM.TC.2</v>
      </c>
      <c r="C19190" s="2" t="str">
        <f t="shared" si="752"/>
        <v>UN</v>
      </c>
      <c r="D19190" s="7">
        <v>811</v>
      </c>
      <c r="E19190" s="3">
        <v>8</v>
      </c>
      <c r="F19190" s="3">
        <v>8</v>
      </c>
      <c r="G19190" t="s">
        <v>512</v>
      </c>
    </row>
    <row r="19191" spans="1:7" x14ac:dyDescent="0.25">
      <c r="A19191" s="1" t="str">
        <f>"524719"</f>
        <v>524719</v>
      </c>
      <c r="B19191" s="2" t="str">
        <f>"PTFE- BELLOW P/ VALVULA DE AMOSTRAGEM A907T 0508176"</f>
        <v>PTFE- BELLOW P/ VALVULA DE AMOSTRAGEM A907T 0508176</v>
      </c>
      <c r="C19191" s="2" t="str">
        <f t="shared" si="752"/>
        <v>UN</v>
      </c>
      <c r="D19191" s="7">
        <v>807</v>
      </c>
      <c r="E19191" s="3">
        <v>11</v>
      </c>
      <c r="F19191" s="3">
        <v>11</v>
      </c>
      <c r="G19191" t="s">
        <v>513</v>
      </c>
    </row>
    <row r="19192" spans="1:7" x14ac:dyDescent="0.25">
      <c r="A19192" s="1" t="str">
        <f>"511514"</f>
        <v>511514</v>
      </c>
      <c r="B19192" s="2" t="str">
        <f>"PU A 4023 250KG"</f>
        <v>PU A 4023 250KG</v>
      </c>
      <c r="C19192" s="2" t="str">
        <f t="shared" si="752"/>
        <v>UN</v>
      </c>
      <c r="D19192" s="7">
        <v>704</v>
      </c>
      <c r="E19192" s="3">
        <v>9</v>
      </c>
      <c r="F19192" s="3">
        <v>9</v>
      </c>
      <c r="G19192" t="s">
        <v>514</v>
      </c>
    </row>
    <row r="19193" spans="1:7" x14ac:dyDescent="0.25">
      <c r="A19193" s="1" t="str">
        <f>"513900"</f>
        <v>513900</v>
      </c>
      <c r="B19193" s="2" t="str">
        <f>"PU A VCOR CD 991 POLIOL"</f>
        <v>PU A VCOR CD 991 POLIOL</v>
      </c>
      <c r="C19193" s="2" t="str">
        <f t="shared" si="752"/>
        <v>UN</v>
      </c>
      <c r="D19193" s="7">
        <v>99999</v>
      </c>
      <c r="E19193" s="3">
        <v>99</v>
      </c>
      <c r="F19193" s="3">
        <v>99</v>
      </c>
      <c r="G19193" t="s">
        <v>514</v>
      </c>
    </row>
    <row r="19194" spans="1:7" x14ac:dyDescent="0.25">
      <c r="A19194" s="1" t="str">
        <f>"511515"</f>
        <v>511515</v>
      </c>
      <c r="B19194" s="2" t="str">
        <f>"PU B 9616 250KG"</f>
        <v>PU B 9616 250KG</v>
      </c>
      <c r="C19194" s="2" t="str">
        <f t="shared" si="752"/>
        <v>UN</v>
      </c>
      <c r="D19194" s="7">
        <v>704</v>
      </c>
      <c r="E19194" s="3">
        <v>9</v>
      </c>
      <c r="F19194" s="3">
        <v>9</v>
      </c>
      <c r="G19194" t="s">
        <v>514</v>
      </c>
    </row>
    <row r="19195" spans="1:7" x14ac:dyDescent="0.25">
      <c r="A19195" s="1" t="str">
        <f>"513901"</f>
        <v>513901</v>
      </c>
      <c r="B19195" s="2" t="str">
        <f>"PU B VCOR CE 101 ISOCIA"</f>
        <v>PU B VCOR CE 101 ISOCIA</v>
      </c>
      <c r="C19195" s="2" t="str">
        <f t="shared" si="752"/>
        <v>UN</v>
      </c>
      <c r="D19195" s="7">
        <v>99999</v>
      </c>
      <c r="E19195" s="3">
        <v>99</v>
      </c>
      <c r="F19195" s="3">
        <v>99</v>
      </c>
      <c r="G19195" t="s">
        <v>513</v>
      </c>
    </row>
    <row r="19196" spans="1:7" x14ac:dyDescent="0.25">
      <c r="A19196" s="1" t="str">
        <f>"523378"</f>
        <v>523378</v>
      </c>
      <c r="B19196" s="2" t="str">
        <f>"PU FLEX. 40 - 600g"</f>
        <v>PU FLEX. 40 - 600g</v>
      </c>
      <c r="C19196" s="2" t="str">
        <f t="shared" si="752"/>
        <v>UN</v>
      </c>
      <c r="D19196" s="7">
        <v>803</v>
      </c>
      <c r="E19196" s="3">
        <v>10</v>
      </c>
      <c r="F19196" s="3">
        <v>10</v>
      </c>
      <c r="G19196" t="s">
        <v>513</v>
      </c>
    </row>
    <row r="19197" spans="1:7" x14ac:dyDescent="0.25">
      <c r="A19197" s="1" t="str">
        <f>"514089"</f>
        <v>514089</v>
      </c>
      <c r="B19197" s="2" t="str">
        <f>"PUBLICIDADE E PROPAGANDA"</f>
        <v>PUBLICIDADE E PROPAGANDA</v>
      </c>
      <c r="C19197" s="2" t="str">
        <f t="shared" si="752"/>
        <v>UN</v>
      </c>
      <c r="D19197" s="7">
        <v>99999</v>
      </c>
      <c r="E19197" s="3">
        <v>99</v>
      </c>
      <c r="F19197" s="3">
        <v>99</v>
      </c>
      <c r="G19197" t="s">
        <v>513</v>
      </c>
    </row>
    <row r="19198" spans="1:7" x14ac:dyDescent="0.25">
      <c r="A19198" s="1" t="str">
        <f>"503576"</f>
        <v>503576</v>
      </c>
      <c r="B19198" s="2" t="str">
        <f>"PUDC 75X40X15X2,00MM 6M ENRIJECIDA"</f>
        <v>PUDC 75X40X15X2,00MM 6M ENRIJECIDA</v>
      </c>
      <c r="C19198" s="2" t="str">
        <f t="shared" si="752"/>
        <v>UN</v>
      </c>
      <c r="D19198" s="7">
        <v>1700</v>
      </c>
      <c r="E19198" s="3">
        <v>13</v>
      </c>
      <c r="F19198" s="3">
        <v>13</v>
      </c>
      <c r="G19198" t="s">
        <v>512</v>
      </c>
    </row>
    <row r="19199" spans="1:7" x14ac:dyDescent="0.25">
      <c r="A19199" s="1" t="str">
        <f>"515015"</f>
        <v>515015</v>
      </c>
      <c r="B19199" s="2" t="str">
        <f>"PUDIM"</f>
        <v>PUDIM</v>
      </c>
      <c r="C19199" s="2" t="str">
        <f t="shared" si="752"/>
        <v>UN</v>
      </c>
      <c r="D19199" s="7">
        <v>401</v>
      </c>
      <c r="E19199" s="3">
        <v>4</v>
      </c>
      <c r="F19199" s="3">
        <v>4</v>
      </c>
      <c r="G19199" t="s">
        <v>513</v>
      </c>
    </row>
    <row r="19200" spans="1:7" x14ac:dyDescent="0.25">
      <c r="A19200" s="1" t="str">
        <f>"4011"</f>
        <v>4011</v>
      </c>
      <c r="B19200" s="2" t="str">
        <f>"PUDIM DE LEITE CONDENSADO CAROLINA 115G"</f>
        <v>PUDIM DE LEITE CONDENSADO CAROLINA 115G</v>
      </c>
      <c r="C19200" s="2" t="str">
        <f t="shared" si="752"/>
        <v>UN</v>
      </c>
      <c r="D19200" s="7">
        <v>68</v>
      </c>
      <c r="E19200" s="3">
        <v>6</v>
      </c>
      <c r="F19200" s="3">
        <v>6</v>
      </c>
      <c r="G19200" t="s">
        <v>514</v>
      </c>
    </row>
    <row r="19201" spans="1:7" x14ac:dyDescent="0.25">
      <c r="A19201" s="1" t="str">
        <f>"518064"</f>
        <v>518064</v>
      </c>
      <c r="B19201" s="2" t="str">
        <f>"PULSEIRA ANTI-ESTATICA"</f>
        <v>PULSEIRA ANTI-ESTATICA</v>
      </c>
      <c r="C19201" s="2" t="str">
        <f t="shared" si="752"/>
        <v>UN</v>
      </c>
      <c r="D19201" s="7">
        <v>811</v>
      </c>
      <c r="E19201" s="3">
        <v>8</v>
      </c>
      <c r="F19201" s="3">
        <v>8</v>
      </c>
      <c r="G19201" t="s">
        <v>515</v>
      </c>
    </row>
    <row r="19202" spans="1:7" x14ac:dyDescent="0.25">
      <c r="A19202" s="1" t="str">
        <f>"573828"</f>
        <v>573828</v>
      </c>
      <c r="B19202" s="2" t="str">
        <f>"PULSEIRA SISTÉTICA PROMOCIONAL"</f>
        <v>PULSEIRA SISTÉTICA PROMOCIONAL</v>
      </c>
      <c r="C19202" s="2" t="str">
        <f t="shared" si="752"/>
        <v>UN</v>
      </c>
      <c r="D19202" s="7">
        <v>99999</v>
      </c>
      <c r="E19202" s="3">
        <v>99</v>
      </c>
      <c r="F19202" s="3">
        <v>99</v>
      </c>
      <c r="G19202" t="s">
        <v>512</v>
      </c>
    </row>
    <row r="19203" spans="1:7" x14ac:dyDescent="0.25">
      <c r="A19203" s="1" t="str">
        <f>"509486"</f>
        <v>509486</v>
      </c>
      <c r="B19203" s="2" t="str">
        <f>"PULVERIZADOR 20 LITROS"</f>
        <v>PULVERIZADOR 20 LITROS</v>
      </c>
      <c r="C19203" s="2" t="str">
        <f t="shared" si="752"/>
        <v>UN</v>
      </c>
      <c r="D19203" s="7">
        <v>402</v>
      </c>
      <c r="E19203" s="3">
        <v>4</v>
      </c>
      <c r="F19203" s="3">
        <v>4</v>
      </c>
      <c r="G19203" t="s">
        <v>516</v>
      </c>
    </row>
    <row r="19204" spans="1:7" x14ac:dyDescent="0.25">
      <c r="A19204" s="1" t="str">
        <f>"509626"</f>
        <v>509626</v>
      </c>
      <c r="B19204" s="2" t="str">
        <f>"PULVERIZADOR 300ML"</f>
        <v>PULVERIZADOR 300ML</v>
      </c>
      <c r="C19204" s="2" t="str">
        <f t="shared" si="752"/>
        <v>UN</v>
      </c>
      <c r="D19204" s="7">
        <v>402</v>
      </c>
      <c r="E19204" s="3">
        <v>4</v>
      </c>
      <c r="F19204" s="3">
        <v>4</v>
      </c>
      <c r="G19204" t="s">
        <v>515</v>
      </c>
    </row>
    <row r="19205" spans="1:7" x14ac:dyDescent="0.25">
      <c r="A19205" s="1" t="str">
        <f>"509624"</f>
        <v>509624</v>
      </c>
      <c r="B19205" s="2" t="str">
        <f>"PULVERIZADOR 500ML"</f>
        <v>PULVERIZADOR 500ML</v>
      </c>
      <c r="C19205" s="2" t="str">
        <f t="shared" si="752"/>
        <v>UN</v>
      </c>
      <c r="D19205" s="7">
        <v>402</v>
      </c>
      <c r="E19205" s="3">
        <v>4</v>
      </c>
      <c r="F19205" s="3">
        <v>4</v>
      </c>
      <c r="G19205" t="s">
        <v>514</v>
      </c>
    </row>
    <row r="19206" spans="1:7" x14ac:dyDescent="0.25">
      <c r="A19206" s="1" t="str">
        <f>"521131"</f>
        <v>521131</v>
      </c>
      <c r="B19206" s="2" t="str">
        <f>"PULVERIZADOR COSTAL JACTO PJH 20 LITROS"</f>
        <v>PULVERIZADOR COSTAL JACTO PJH 20 LITROS</v>
      </c>
      <c r="C19206" s="2" t="str">
        <f t="shared" si="752"/>
        <v>UN</v>
      </c>
      <c r="D19206" s="7">
        <v>402</v>
      </c>
      <c r="E19206" s="3">
        <v>4</v>
      </c>
      <c r="F19206" s="3">
        <v>4</v>
      </c>
      <c r="G19206" t="s">
        <v>512</v>
      </c>
    </row>
    <row r="19207" spans="1:7" x14ac:dyDescent="0.25">
      <c r="A19207" s="1" t="str">
        <f>"526339"</f>
        <v>526339</v>
      </c>
      <c r="B19207" s="2" t="str">
        <f>"PUMP AKL603 SEKO 12 BAR 8LPH PVDF/VITON"</f>
        <v>PUMP AKL603 SEKO 12 BAR 8LPH PVDF/VITON</v>
      </c>
      <c r="C19207" s="2" t="str">
        <f t="shared" si="752"/>
        <v>UN</v>
      </c>
      <c r="D19207" s="7">
        <v>99999</v>
      </c>
      <c r="E19207" s="3">
        <v>99</v>
      </c>
      <c r="F19207" s="3">
        <v>99</v>
      </c>
      <c r="G19207" t="s">
        <v>513</v>
      </c>
    </row>
    <row r="19208" spans="1:7" x14ac:dyDescent="0.25">
      <c r="A19208" s="1" t="str">
        <f>"505346"</f>
        <v>505346</v>
      </c>
      <c r="B19208" s="2" t="str">
        <f>"PUNCAO COMPLETO MAQ BANDEJA"</f>
        <v>PUNCAO COMPLETO MAQ BANDEJA</v>
      </c>
      <c r="C19208" s="2" t="str">
        <f t="shared" si="752"/>
        <v>UN</v>
      </c>
      <c r="D19208" s="7">
        <v>918</v>
      </c>
      <c r="E19208" s="3">
        <v>11</v>
      </c>
      <c r="F19208" s="3">
        <v>11</v>
      </c>
      <c r="G19208" t="s">
        <v>514</v>
      </c>
    </row>
    <row r="19209" spans="1:7" x14ac:dyDescent="0.25">
      <c r="A19209" s="1" t="str">
        <f>"509515"</f>
        <v>509515</v>
      </c>
      <c r="B19209" s="2" t="str">
        <f>"PUNCAO COMPLETO MAQ PETIT"</f>
        <v>PUNCAO COMPLETO MAQ PETIT</v>
      </c>
      <c r="C19209" s="2" t="str">
        <f t="shared" si="752"/>
        <v>UN</v>
      </c>
      <c r="D19209" s="7">
        <v>918</v>
      </c>
      <c r="E19209" s="3">
        <v>11</v>
      </c>
      <c r="F19209" s="3">
        <v>11</v>
      </c>
      <c r="G19209" t="s">
        <v>514</v>
      </c>
    </row>
    <row r="19210" spans="1:7" x14ac:dyDescent="0.25">
      <c r="A19210" s="1" t="str">
        <f>"519768"</f>
        <v>519768</v>
      </c>
      <c r="B19210" s="2" t="str">
        <f>"PUNÇÃO CORTE DIAMETRO 39MM"</f>
        <v>PUNÇÃO CORTE DIAMETRO 39MM</v>
      </c>
      <c r="C19210" s="2" t="str">
        <f t="shared" si="752"/>
        <v>UN</v>
      </c>
      <c r="D19210" s="7">
        <v>918</v>
      </c>
      <c r="E19210" s="3">
        <v>11</v>
      </c>
      <c r="F19210" s="3">
        <v>11</v>
      </c>
      <c r="G19210" t="s">
        <v>512</v>
      </c>
    </row>
    <row r="19211" spans="1:7" x14ac:dyDescent="0.25">
      <c r="A19211" s="1" t="str">
        <f>"519602"</f>
        <v>519602</v>
      </c>
      <c r="B19211" s="2" t="str">
        <f>"PUNÇÃO CORTE SEM PUXE DIAMETRO 47MM"</f>
        <v>PUNÇÃO CORTE SEM PUXE DIAMETRO 47MM</v>
      </c>
      <c r="C19211" s="2" t="str">
        <f t="shared" si="752"/>
        <v>UN</v>
      </c>
      <c r="D19211" s="7">
        <v>918</v>
      </c>
      <c r="E19211" s="3">
        <v>11</v>
      </c>
      <c r="F19211" s="3">
        <v>11</v>
      </c>
      <c r="G19211" t="s">
        <v>513</v>
      </c>
    </row>
    <row r="19212" spans="1:7" x14ac:dyDescent="0.25">
      <c r="A19212" s="1" t="str">
        <f>"520635"</f>
        <v>520635</v>
      </c>
      <c r="B19212" s="2" t="str">
        <f>"PUNÇAO DE CORTE"</f>
        <v>PUNÇAO DE CORTE</v>
      </c>
      <c r="C19212" s="2" t="str">
        <f t="shared" si="752"/>
        <v>UN</v>
      </c>
      <c r="D19212" s="7">
        <v>918</v>
      </c>
      <c r="E19212" s="3">
        <v>11</v>
      </c>
      <c r="F19212" s="3">
        <v>11</v>
      </c>
      <c r="G19212" t="s">
        <v>514</v>
      </c>
    </row>
    <row r="19213" spans="1:7" x14ac:dyDescent="0.25">
      <c r="A19213" s="1" t="str">
        <f>"524644"</f>
        <v>524644</v>
      </c>
      <c r="B19213" s="2" t="str">
        <f>"PUNÇÃO DE CORTE 39MM SEM PUXE"</f>
        <v>PUNÇÃO DE CORTE 39MM SEM PUXE</v>
      </c>
      <c r="C19213" s="2" t="str">
        <f t="shared" si="752"/>
        <v>UN</v>
      </c>
      <c r="D19213" s="7">
        <v>918</v>
      </c>
      <c r="E19213" s="3">
        <v>10</v>
      </c>
      <c r="F19213" s="3">
        <v>10</v>
      </c>
      <c r="G19213" t="s">
        <v>514</v>
      </c>
    </row>
    <row r="19214" spans="1:7" x14ac:dyDescent="0.25">
      <c r="A19214" s="1" t="str">
        <f>"526553"</f>
        <v>526553</v>
      </c>
      <c r="B19214" s="2" t="str">
        <f>"PUNÇÃO DE FORMAGEM C-64762"</f>
        <v>PUNÇÃO DE FORMAGEM C-64762</v>
      </c>
      <c r="C19214" s="2" t="str">
        <f>"PC"</f>
        <v>PC</v>
      </c>
      <c r="D19214" s="7">
        <v>918</v>
      </c>
      <c r="E19214" s="3">
        <v>11</v>
      </c>
      <c r="F19214" s="3">
        <v>11</v>
      </c>
      <c r="G19214" t="s">
        <v>514</v>
      </c>
    </row>
    <row r="19215" spans="1:7" x14ac:dyDescent="0.25">
      <c r="A19215" s="1" t="str">
        <f>"520841"</f>
        <v>520841</v>
      </c>
      <c r="B19215" s="2" t="str">
        <f>"PUNÇÃO E4399-56945"</f>
        <v>PUNÇÃO E4399-56945</v>
      </c>
      <c r="C19215" s="2" t="str">
        <f t="shared" ref="C19215:C19234" si="753">"UN"</f>
        <v>UN</v>
      </c>
      <c r="D19215" s="7">
        <v>1300</v>
      </c>
      <c r="E19215" s="3">
        <v>11</v>
      </c>
      <c r="F19215" s="3">
        <v>11</v>
      </c>
      <c r="G19215" t="s">
        <v>513</v>
      </c>
    </row>
    <row r="19216" spans="1:7" x14ac:dyDescent="0.25">
      <c r="A19216" s="1" t="str">
        <f>"518032"</f>
        <v>518032</v>
      </c>
      <c r="B19216" s="2" t="str">
        <f>"PUNÇÃO FORMAGEM E4399-56945 POS3/1433/18"</f>
        <v>PUNÇÃO FORMAGEM E4399-56945 POS3/1433/18</v>
      </c>
      <c r="C19216" s="2" t="str">
        <f t="shared" si="753"/>
        <v>UN</v>
      </c>
      <c r="D19216" s="7">
        <v>918</v>
      </c>
      <c r="E19216" s="3">
        <v>11</v>
      </c>
      <c r="F19216" s="3">
        <v>11</v>
      </c>
      <c r="G19216" t="s">
        <v>512</v>
      </c>
    </row>
    <row r="19217" spans="1:7" x14ac:dyDescent="0.25">
      <c r="A19217" s="1" t="str">
        <f>"516864"</f>
        <v>516864</v>
      </c>
      <c r="B19217" s="2" t="str">
        <f>"PUNÇÃO I - B4399-55723 - 6/1433/11"</f>
        <v>PUNÇÃO I - B4399-55723 - 6/1433/11</v>
      </c>
      <c r="C19217" s="2" t="str">
        <f t="shared" si="753"/>
        <v>UN</v>
      </c>
      <c r="D19217" s="7">
        <v>918</v>
      </c>
      <c r="E19217" s="3">
        <v>11</v>
      </c>
      <c r="F19217" s="3">
        <v>11</v>
      </c>
      <c r="G19217" t="s">
        <v>513</v>
      </c>
    </row>
    <row r="19218" spans="1:7" x14ac:dyDescent="0.25">
      <c r="A19218" s="1" t="str">
        <f>"517095"</f>
        <v>517095</v>
      </c>
      <c r="B19218" s="2" t="str">
        <f>"PUNÇÃO II - B4399-55724-6/1433/12"</f>
        <v>PUNÇÃO II - B4399-55724-6/1433/12</v>
      </c>
      <c r="C19218" s="2" t="str">
        <f t="shared" si="753"/>
        <v>UN</v>
      </c>
      <c r="D19218" s="7">
        <v>918</v>
      </c>
      <c r="E19218" s="3">
        <v>11</v>
      </c>
      <c r="F19218" s="3">
        <v>11</v>
      </c>
      <c r="G19218" t="s">
        <v>514</v>
      </c>
    </row>
    <row r="19219" spans="1:7" x14ac:dyDescent="0.25">
      <c r="A19219" s="1" t="str">
        <f>"517096"</f>
        <v>517096</v>
      </c>
      <c r="B19219" s="2" t="str">
        <f>"PUNÇÃO III - B4399-55725-6/1433/14"</f>
        <v>PUNÇÃO III - B4399-55725-6/1433/14</v>
      </c>
      <c r="C19219" s="2" t="str">
        <f t="shared" si="753"/>
        <v>UN</v>
      </c>
      <c r="D19219" s="7">
        <v>918</v>
      </c>
      <c r="E19219" s="3">
        <v>11</v>
      </c>
      <c r="F19219" s="3">
        <v>11</v>
      </c>
      <c r="G19219" t="s">
        <v>514</v>
      </c>
    </row>
    <row r="19220" spans="1:7" x14ac:dyDescent="0.25">
      <c r="A19220" s="1" t="str">
        <f>"517097"</f>
        <v>517097</v>
      </c>
      <c r="B19220" s="2" t="str">
        <f>"PUNÇÃO IV - B4399-55726-6/1433/15"</f>
        <v>PUNÇÃO IV - B4399-55726-6/1433/15</v>
      </c>
      <c r="C19220" s="2" t="str">
        <f t="shared" si="753"/>
        <v>UN</v>
      </c>
      <c r="D19220" s="7">
        <v>918</v>
      </c>
      <c r="E19220" s="3">
        <v>11</v>
      </c>
      <c r="F19220" s="3">
        <v>11</v>
      </c>
      <c r="G19220" t="s">
        <v>514</v>
      </c>
    </row>
    <row r="19221" spans="1:7" x14ac:dyDescent="0.25">
      <c r="A19221" s="1" t="str">
        <f>"517102"</f>
        <v>517102</v>
      </c>
      <c r="B19221" s="2" t="str">
        <f>"PUNÇÃO IX - B4399-55731-6/1433/22"</f>
        <v>PUNÇÃO IX - B4399-55731-6/1433/22</v>
      </c>
      <c r="C19221" s="2" t="str">
        <f t="shared" si="753"/>
        <v>UN</v>
      </c>
      <c r="D19221" s="7">
        <v>918</v>
      </c>
      <c r="E19221" s="3">
        <v>11</v>
      </c>
      <c r="F19221" s="3">
        <v>11</v>
      </c>
      <c r="G19221" t="s">
        <v>513</v>
      </c>
    </row>
    <row r="19222" spans="1:7" x14ac:dyDescent="0.25">
      <c r="A19222" s="1" t="str">
        <f>"517098"</f>
        <v>517098</v>
      </c>
      <c r="B19222" s="2" t="str">
        <f>"PUNÇÃO V - B4399-55727-6/1433/16"</f>
        <v>PUNÇÃO V - B4399-55727-6/1433/16</v>
      </c>
      <c r="C19222" s="2" t="str">
        <f t="shared" si="753"/>
        <v>UN</v>
      </c>
      <c r="D19222" s="7">
        <v>918</v>
      </c>
      <c r="E19222" s="3">
        <v>11</v>
      </c>
      <c r="F19222" s="3">
        <v>11</v>
      </c>
      <c r="G19222" t="s">
        <v>513</v>
      </c>
    </row>
    <row r="19223" spans="1:7" x14ac:dyDescent="0.25">
      <c r="A19223" s="1" t="str">
        <f>"517099"</f>
        <v>517099</v>
      </c>
      <c r="B19223" s="2" t="str">
        <f>"PUNÇÃO VI - B4399-55728-6/1433/17"</f>
        <v>PUNÇÃO VI - B4399-55728-6/1433/17</v>
      </c>
      <c r="C19223" s="2" t="str">
        <f t="shared" si="753"/>
        <v>UN</v>
      </c>
      <c r="D19223" s="7">
        <v>918</v>
      </c>
      <c r="E19223" s="3">
        <v>11</v>
      </c>
      <c r="F19223" s="3">
        <v>11</v>
      </c>
      <c r="G19223" t="s">
        <v>513</v>
      </c>
    </row>
    <row r="19224" spans="1:7" x14ac:dyDescent="0.25">
      <c r="A19224" s="1" t="str">
        <f>"517100"</f>
        <v>517100</v>
      </c>
      <c r="B19224" s="2" t="str">
        <f>"PUNÇÃO VII - B4399-55729-6/1433/18"</f>
        <v>PUNÇÃO VII - B4399-55729-6/1433/18</v>
      </c>
      <c r="C19224" s="2" t="str">
        <f t="shared" si="753"/>
        <v>UN</v>
      </c>
      <c r="D19224" s="7">
        <v>918</v>
      </c>
      <c r="E19224" s="3">
        <v>11</v>
      </c>
      <c r="F19224" s="3">
        <v>11</v>
      </c>
      <c r="G19224" t="s">
        <v>512</v>
      </c>
    </row>
    <row r="19225" spans="1:7" x14ac:dyDescent="0.25">
      <c r="A19225" s="1" t="str">
        <f>"517101"</f>
        <v>517101</v>
      </c>
      <c r="B19225" s="2" t="str">
        <f>"PUNÇÃO VIII - B4399-55730-6/1433/19"</f>
        <v>PUNÇÃO VIII - B4399-55730-6/1433/19</v>
      </c>
      <c r="C19225" s="2" t="str">
        <f t="shared" si="753"/>
        <v>UN</v>
      </c>
      <c r="D19225" s="7">
        <v>918</v>
      </c>
      <c r="E19225" s="3">
        <v>11</v>
      </c>
      <c r="F19225" s="3">
        <v>11</v>
      </c>
      <c r="G19225" t="s">
        <v>513</v>
      </c>
    </row>
    <row r="19226" spans="1:7" x14ac:dyDescent="0.25">
      <c r="A19226" s="1" t="str">
        <f>"517104"</f>
        <v>517104</v>
      </c>
      <c r="B19226" s="2" t="str">
        <f>"PUNÇÃO X - B4399-55732-6/1433/26"</f>
        <v>PUNÇÃO X - B4399-55732-6/1433/26</v>
      </c>
      <c r="C19226" s="2" t="str">
        <f t="shared" si="753"/>
        <v>UN</v>
      </c>
      <c r="D19226" s="7">
        <v>918</v>
      </c>
      <c r="E19226" s="3">
        <v>11</v>
      </c>
      <c r="F19226" s="3">
        <v>11</v>
      </c>
      <c r="G19226" t="s">
        <v>514</v>
      </c>
    </row>
    <row r="19227" spans="1:7" x14ac:dyDescent="0.25">
      <c r="A19227" s="1" t="str">
        <f>"517107"</f>
        <v>517107</v>
      </c>
      <c r="B19227" s="2" t="str">
        <f>"PUNÇÃO XI - B4399-55733-6/1433/33"</f>
        <v>PUNÇÃO XI - B4399-55733-6/1433/33</v>
      </c>
      <c r="C19227" s="2" t="str">
        <f t="shared" si="753"/>
        <v>UN</v>
      </c>
      <c r="D19227" s="7">
        <v>918</v>
      </c>
      <c r="E19227" s="3">
        <v>11</v>
      </c>
      <c r="F19227" s="3">
        <v>11</v>
      </c>
      <c r="G19227" t="s">
        <v>515</v>
      </c>
    </row>
    <row r="19228" spans="1:7" x14ac:dyDescent="0.25">
      <c r="A19228" s="1" t="str">
        <f>"517108"</f>
        <v>517108</v>
      </c>
      <c r="B19228" s="2" t="str">
        <f>"PUNÇÃO XII - B4399-55734-6/1433/43"</f>
        <v>PUNÇÃO XII - B4399-55734-6/1433/43</v>
      </c>
      <c r="C19228" s="2" t="str">
        <f t="shared" si="753"/>
        <v>UN</v>
      </c>
      <c r="D19228" s="7">
        <v>918</v>
      </c>
      <c r="E19228" s="3">
        <v>11</v>
      </c>
      <c r="F19228" s="3">
        <v>11</v>
      </c>
      <c r="G19228" t="s">
        <v>512</v>
      </c>
    </row>
    <row r="19229" spans="1:7" x14ac:dyDescent="0.25">
      <c r="A19229" s="1" t="str">
        <f>"517109"</f>
        <v>517109</v>
      </c>
      <c r="B19229" s="2" t="str">
        <f>"PUNÇÃO XIII - C4399-55735-6/1433/45"</f>
        <v>PUNÇÃO XIII - C4399-55735-6/1433/45</v>
      </c>
      <c r="C19229" s="2" t="str">
        <f t="shared" si="753"/>
        <v>UN</v>
      </c>
      <c r="D19229" s="7">
        <v>918</v>
      </c>
      <c r="E19229" s="3">
        <v>11</v>
      </c>
      <c r="F19229" s="3">
        <v>11</v>
      </c>
      <c r="G19229" t="s">
        <v>516</v>
      </c>
    </row>
    <row r="19230" spans="1:7" x14ac:dyDescent="0.25">
      <c r="A19230" s="1" t="str">
        <f>"517110"</f>
        <v>517110</v>
      </c>
      <c r="B19230" s="2" t="str">
        <f>"PUNÇÃO XIV - C4399-55736-6/1433/46"</f>
        <v>PUNÇÃO XIV - C4399-55736-6/1433/46</v>
      </c>
      <c r="C19230" s="2" t="str">
        <f t="shared" si="753"/>
        <v>UN</v>
      </c>
      <c r="D19230" s="7">
        <v>918</v>
      </c>
      <c r="E19230" s="3">
        <v>11</v>
      </c>
      <c r="F19230" s="3">
        <v>11</v>
      </c>
      <c r="G19230" t="s">
        <v>515</v>
      </c>
    </row>
    <row r="19231" spans="1:7" x14ac:dyDescent="0.25">
      <c r="A19231" s="1" t="str">
        <f>"522607"</f>
        <v>522607</v>
      </c>
      <c r="B19231" s="2" t="str">
        <f>"PUNÇÃO XV - C4399-55737-6/1433/70"</f>
        <v>PUNÇÃO XV - C4399-55737-6/1433/70</v>
      </c>
      <c r="C19231" s="2" t="str">
        <f t="shared" si="753"/>
        <v>UN</v>
      </c>
      <c r="D19231" s="7">
        <v>918</v>
      </c>
      <c r="E19231" s="3">
        <v>11</v>
      </c>
      <c r="F19231" s="3">
        <v>11</v>
      </c>
      <c r="G19231" t="s">
        <v>514</v>
      </c>
    </row>
    <row r="19232" spans="1:7" x14ac:dyDescent="0.25">
      <c r="A19232" s="1" t="str">
        <f>"515373"</f>
        <v>515373</v>
      </c>
      <c r="B19232" s="2" t="str">
        <f>"PUNHOS DE DIRECAO"</f>
        <v>PUNHOS DE DIRECAO</v>
      </c>
      <c r="C19232" s="2" t="str">
        <f t="shared" si="753"/>
        <v>UN</v>
      </c>
      <c r="D19232" s="7">
        <v>704</v>
      </c>
      <c r="E19232" s="3">
        <v>9</v>
      </c>
      <c r="F19232" s="3">
        <v>9</v>
      </c>
      <c r="G19232" t="s">
        <v>512</v>
      </c>
    </row>
    <row r="19233" spans="1:7" x14ac:dyDescent="0.25">
      <c r="A19233" s="1" t="str">
        <f>"514895"</f>
        <v>514895</v>
      </c>
      <c r="B19233" s="2" t="str">
        <f>"PURGADOR AUTOMATICO IR FILTRO GP/HE 350-706"</f>
        <v>PURGADOR AUTOMATICO IR FILTRO GP/HE 350-706</v>
      </c>
      <c r="C19233" s="2" t="str">
        <f t="shared" si="753"/>
        <v>UN</v>
      </c>
      <c r="D19233" s="7">
        <v>808</v>
      </c>
      <c r="E19233" s="3">
        <v>10</v>
      </c>
      <c r="F19233" s="3">
        <v>10</v>
      </c>
      <c r="G19233" t="s">
        <v>513</v>
      </c>
    </row>
    <row r="19234" spans="1:7" x14ac:dyDescent="0.25">
      <c r="A19234" s="1" t="str">
        <f>"512044"</f>
        <v>512044</v>
      </c>
      <c r="B19234" s="2" t="str">
        <f>"PURGADOR BPUR 204.0000"</f>
        <v>PURGADOR BPUR 204.0000</v>
      </c>
      <c r="C19234" s="2" t="str">
        <f t="shared" si="753"/>
        <v>UN</v>
      </c>
      <c r="D19234" s="7">
        <v>912</v>
      </c>
      <c r="E19234" s="3">
        <v>11</v>
      </c>
      <c r="F19234" s="3">
        <v>11</v>
      </c>
      <c r="G19234" t="s">
        <v>514</v>
      </c>
    </row>
    <row r="19235" spans="1:7" x14ac:dyDescent="0.25">
      <c r="A19235" s="1" t="str">
        <f>"503963"</f>
        <v>503963</v>
      </c>
      <c r="B19235" s="2" t="str">
        <f>"PURGADOR COMUM 1/2"" BSP"</f>
        <v>PURGADOR COMUM 1/2" BSP</v>
      </c>
      <c r="C19235" s="2" t="str">
        <f>"BR"</f>
        <v>BR</v>
      </c>
      <c r="D19235" s="7">
        <v>808</v>
      </c>
      <c r="E19235" s="3">
        <v>10</v>
      </c>
      <c r="F19235" s="3">
        <v>10</v>
      </c>
      <c r="G19235" t="s">
        <v>514</v>
      </c>
    </row>
    <row r="19236" spans="1:7" x14ac:dyDescent="0.25">
      <c r="A19236" s="1" t="str">
        <f>"516294"</f>
        <v>516294</v>
      </c>
      <c r="B19236" s="2" t="str">
        <f>"PURGADOR DE BOIA 1"""</f>
        <v>PURGADOR DE BOIA 1"</v>
      </c>
      <c r="C19236" s="2" t="str">
        <f>"UN"</f>
        <v>UN</v>
      </c>
      <c r="D19236" s="7">
        <v>808</v>
      </c>
      <c r="E19236" s="3">
        <v>10</v>
      </c>
      <c r="F19236" s="3">
        <v>10</v>
      </c>
      <c r="G19236" t="s">
        <v>512</v>
      </c>
    </row>
    <row r="19237" spans="1:7" x14ac:dyDescent="0.25">
      <c r="A19237" s="1" t="str">
        <f>"503964"</f>
        <v>503964</v>
      </c>
      <c r="B19237" s="2" t="str">
        <f>"PURGADOR DE BOIA 1/2"""</f>
        <v>PURGADOR DE BOIA 1/2"</v>
      </c>
      <c r="C19237" s="2" t="str">
        <f>"BR"</f>
        <v>BR</v>
      </c>
      <c r="D19237" s="7">
        <v>808</v>
      </c>
      <c r="E19237" s="3">
        <v>10</v>
      </c>
      <c r="F19237" s="3">
        <v>10</v>
      </c>
      <c r="G19237" t="s">
        <v>513</v>
      </c>
    </row>
    <row r="19238" spans="1:7" x14ac:dyDescent="0.25">
      <c r="A19238" s="1" t="str">
        <f>"528054"</f>
        <v>528054</v>
      </c>
      <c r="B19238" s="2" t="str">
        <f>"PURGADOR DE BOIA 2''"</f>
        <v>PURGADOR DE BOIA 2''</v>
      </c>
      <c r="C19238" s="2" t="str">
        <f>"UN"</f>
        <v>UN</v>
      </c>
      <c r="D19238" s="7">
        <v>912</v>
      </c>
      <c r="E19238" s="3">
        <v>11</v>
      </c>
      <c r="F19238" s="3">
        <v>11</v>
      </c>
      <c r="G19238" t="s">
        <v>514</v>
      </c>
    </row>
    <row r="19239" spans="1:7" x14ac:dyDescent="0.25">
      <c r="A19239" s="1" t="str">
        <f>"524570"</f>
        <v>524570</v>
      </c>
      <c r="B19239" s="2" t="str">
        <f>"PURGADOR ELETRONICO CR6000 16BAR 3/8 220V METALPLAN"</f>
        <v>PURGADOR ELETRONICO CR6000 16BAR 3/8 220V METALPLAN</v>
      </c>
      <c r="C19239" s="2" t="str">
        <f>"UN"</f>
        <v>UN</v>
      </c>
      <c r="D19239" s="7">
        <v>913</v>
      </c>
      <c r="E19239" s="3">
        <v>10</v>
      </c>
      <c r="F19239" s="3">
        <v>10</v>
      </c>
      <c r="G19239" t="s">
        <v>514</v>
      </c>
    </row>
    <row r="19240" spans="1:7" x14ac:dyDescent="0.25">
      <c r="A19240" s="1" t="str">
        <f>"516049"</f>
        <v>516049</v>
      </c>
      <c r="B19240" s="2" t="str">
        <f>"PURGADOR TERMODINAMICO 1"" BSP"</f>
        <v>PURGADOR TERMODINAMICO 1" BSP</v>
      </c>
      <c r="C19240" s="2" t="str">
        <f>"UN"</f>
        <v>UN</v>
      </c>
      <c r="D19240" s="7">
        <v>99999</v>
      </c>
      <c r="E19240" s="3">
        <v>10</v>
      </c>
      <c r="F19240" s="3">
        <v>10</v>
      </c>
      <c r="G19240" t="s">
        <v>514</v>
      </c>
    </row>
    <row r="19241" spans="1:7" x14ac:dyDescent="0.25">
      <c r="A19241" s="1" t="str">
        <f>"510213"</f>
        <v>510213</v>
      </c>
      <c r="B19241" s="2" t="str">
        <f>"PURGADOR TERMODINAMICO 3/4"" BSP"</f>
        <v>PURGADOR TERMODINAMICO 3/4" BSP</v>
      </c>
      <c r="C19241" s="2" t="str">
        <f>"BR"</f>
        <v>BR</v>
      </c>
      <c r="D19241" s="7">
        <v>808</v>
      </c>
      <c r="E19241" s="3">
        <v>10</v>
      </c>
      <c r="F19241" s="3">
        <v>10</v>
      </c>
      <c r="G19241" t="s">
        <v>513</v>
      </c>
    </row>
    <row r="19242" spans="1:7" x14ac:dyDescent="0.25">
      <c r="A19242" s="1" t="str">
        <f>"527385"</f>
        <v>527385</v>
      </c>
      <c r="B19242" s="2" t="str">
        <f>"PURIFICADOR AGUA IBBL FR600 BRANCO 110V"</f>
        <v>PURIFICADOR AGUA IBBL FR600 BRANCO 110V</v>
      </c>
      <c r="C19242" s="2" t="str">
        <f t="shared" ref="C19242:C19273" si="754">"UN"</f>
        <v>UN</v>
      </c>
      <c r="D19242" s="7">
        <v>99999</v>
      </c>
      <c r="E19242" s="3">
        <v>99</v>
      </c>
      <c r="F19242" s="3">
        <v>99</v>
      </c>
      <c r="G19242" t="s">
        <v>512</v>
      </c>
    </row>
    <row r="19243" spans="1:7" x14ac:dyDescent="0.25">
      <c r="A19243" s="1" t="str">
        <f>"527400"</f>
        <v>527400</v>
      </c>
      <c r="B19243" s="2" t="str">
        <f>"PURIFICADOR FR-600 SPECIALE 127V/60HZ TIPO DOMESTICO"</f>
        <v>PURIFICADOR FR-600 SPECIALE 127V/60HZ TIPO DOMESTICO</v>
      </c>
      <c r="C19243" s="2" t="str">
        <f t="shared" si="754"/>
        <v>UN</v>
      </c>
      <c r="D19243" s="7">
        <v>99999</v>
      </c>
      <c r="E19243" s="3">
        <v>99</v>
      </c>
      <c r="F19243" s="3">
        <v>99</v>
      </c>
      <c r="G19243" t="s">
        <v>513</v>
      </c>
    </row>
    <row r="19244" spans="1:7" x14ac:dyDescent="0.25">
      <c r="A19244" s="1" t="str">
        <f>"521187"</f>
        <v>521187</v>
      </c>
      <c r="B19244" s="2" t="str">
        <f>"PURO AR REFIL + APARELHO 12ML"</f>
        <v>PURO AR REFIL + APARELHO 12ML</v>
      </c>
      <c r="C19244" s="2" t="str">
        <f t="shared" si="754"/>
        <v>UN</v>
      </c>
      <c r="D19244" s="7">
        <v>99999</v>
      </c>
      <c r="E19244" s="3">
        <v>99</v>
      </c>
      <c r="F19244" s="3">
        <v>99</v>
      </c>
      <c r="G19244" t="s">
        <v>514</v>
      </c>
    </row>
    <row r="19245" spans="1:7" x14ac:dyDescent="0.25">
      <c r="A19245" s="1" t="str">
        <f>"520704"</f>
        <v>520704</v>
      </c>
      <c r="B19245" s="2" t="str">
        <f>"PURO AR REFIL TALCO 250ML"</f>
        <v>PURO AR REFIL TALCO 250ML</v>
      </c>
      <c r="C19245" s="2" t="str">
        <f t="shared" si="754"/>
        <v>UN</v>
      </c>
      <c r="D19245" s="7">
        <v>99999</v>
      </c>
      <c r="E19245" s="3">
        <v>99</v>
      </c>
      <c r="F19245" s="3">
        <v>99</v>
      </c>
      <c r="G19245" t="s">
        <v>514</v>
      </c>
    </row>
    <row r="19246" spans="1:7" x14ac:dyDescent="0.25">
      <c r="A19246" s="1" t="str">
        <f>"505737"</f>
        <v>505737</v>
      </c>
      <c r="B19246" s="2" t="str">
        <f>"PUXADOR"</f>
        <v>PUXADOR</v>
      </c>
      <c r="C19246" s="2" t="str">
        <f t="shared" si="754"/>
        <v>UN</v>
      </c>
      <c r="D19246" s="7">
        <v>704</v>
      </c>
      <c r="E19246" s="3">
        <v>9</v>
      </c>
      <c r="F19246" s="3">
        <v>9</v>
      </c>
      <c r="G19246" t="s">
        <v>514</v>
      </c>
    </row>
    <row r="19247" spans="1:7" x14ac:dyDescent="0.25">
      <c r="A19247" s="1" t="str">
        <f>"517820"</f>
        <v>517820</v>
      </c>
      <c r="B19247" s="2" t="str">
        <f>"PUXADOR 112MM POLIAM COD 5001 ASTERBELT"</f>
        <v>PUXADOR 112MM POLIAM COD 5001 ASTERBELT</v>
      </c>
      <c r="C19247" s="2" t="str">
        <f t="shared" si="754"/>
        <v>UN</v>
      </c>
      <c r="D19247" s="7">
        <v>918</v>
      </c>
      <c r="E19247" s="3">
        <v>11</v>
      </c>
      <c r="F19247" s="3">
        <v>11</v>
      </c>
      <c r="G19247" t="s">
        <v>513</v>
      </c>
    </row>
    <row r="19248" spans="1:7" x14ac:dyDescent="0.25">
      <c r="A19248" s="1" t="str">
        <f>"520388"</f>
        <v>520388</v>
      </c>
      <c r="B19248" s="2" t="str">
        <f>"PUXADOR 139MM POLIAM COD 5002 ASTERBELT"</f>
        <v>PUXADOR 139MM POLIAM COD 5002 ASTERBELT</v>
      </c>
      <c r="C19248" s="2" t="str">
        <f t="shared" si="754"/>
        <v>UN</v>
      </c>
      <c r="D19248" s="7">
        <v>918</v>
      </c>
      <c r="E19248" s="3">
        <v>11</v>
      </c>
      <c r="F19248" s="3">
        <v>11</v>
      </c>
      <c r="G19248" t="s">
        <v>513</v>
      </c>
    </row>
    <row r="19249" spans="1:7" x14ac:dyDescent="0.25">
      <c r="A19249" s="1" t="str">
        <f>"524648"</f>
        <v>524648</v>
      </c>
      <c r="B19249" s="8" t="s">
        <v>409</v>
      </c>
      <c r="C19249" s="2" t="str">
        <f t="shared" si="754"/>
        <v>UN</v>
      </c>
      <c r="D19249" s="7">
        <v>99999</v>
      </c>
      <c r="E19249" s="3">
        <v>99</v>
      </c>
      <c r="F19249" s="3">
        <v>99</v>
      </c>
      <c r="G19249" t="s">
        <v>513</v>
      </c>
    </row>
    <row r="19250" spans="1:7" x14ac:dyDescent="0.25">
      <c r="A19250" s="1" t="str">
        <f>"502978"</f>
        <v>502978</v>
      </c>
      <c r="B19250" s="2" t="str">
        <f>"PUXADOR CABO ESTRA."</f>
        <v>PUXADOR CABO ESTRA.</v>
      </c>
      <c r="C19250" s="2" t="str">
        <f t="shared" si="754"/>
        <v>UN</v>
      </c>
      <c r="D19250" s="7">
        <v>704</v>
      </c>
      <c r="E19250" s="3">
        <v>9</v>
      </c>
      <c r="F19250" s="3">
        <v>9</v>
      </c>
      <c r="G19250" t="s">
        <v>512</v>
      </c>
    </row>
    <row r="19251" spans="1:7" x14ac:dyDescent="0.25">
      <c r="A19251" s="1" t="str">
        <f>"520331"</f>
        <v>520331</v>
      </c>
      <c r="B19251" s="2" t="str">
        <f>"PUXADOR DE PORTA INOX"</f>
        <v>PUXADOR DE PORTA INOX</v>
      </c>
      <c r="C19251" s="2" t="str">
        <f t="shared" si="754"/>
        <v>UN</v>
      </c>
      <c r="D19251" s="7">
        <v>402</v>
      </c>
      <c r="E19251" s="3">
        <v>4</v>
      </c>
      <c r="F19251" s="3">
        <v>4</v>
      </c>
      <c r="G19251" t="s">
        <v>513</v>
      </c>
    </row>
    <row r="19252" spans="1:7" x14ac:dyDescent="0.25">
      <c r="A19252" s="1" t="str">
        <f>"511669"</f>
        <v>511669</v>
      </c>
      <c r="B19252" s="2" t="str">
        <f>"PUXADOR FREEZER"</f>
        <v>PUXADOR FREEZER</v>
      </c>
      <c r="C19252" s="2" t="str">
        <f t="shared" si="754"/>
        <v>UN</v>
      </c>
      <c r="D19252" s="7">
        <v>402</v>
      </c>
      <c r="E19252" s="3">
        <v>4</v>
      </c>
      <c r="F19252" s="3">
        <v>4</v>
      </c>
      <c r="G19252" t="s">
        <v>514</v>
      </c>
    </row>
    <row r="19253" spans="1:7" x14ac:dyDescent="0.25">
      <c r="A19253" s="1" t="str">
        <f>"519156"</f>
        <v>519156</v>
      </c>
      <c r="B19253" s="2" t="str">
        <f>"PUXADOR P/ PORTA JOCEC 180MM"</f>
        <v>PUXADOR P/ PORTA JOCEC 180MM</v>
      </c>
      <c r="C19253" s="2" t="str">
        <f t="shared" si="754"/>
        <v>UN</v>
      </c>
      <c r="D19253" s="7">
        <v>917</v>
      </c>
      <c r="E19253" s="3">
        <v>10</v>
      </c>
      <c r="F19253" s="3">
        <v>10</v>
      </c>
      <c r="G19253" t="s">
        <v>515</v>
      </c>
    </row>
    <row r="19254" spans="1:7" x14ac:dyDescent="0.25">
      <c r="A19254" s="1" t="str">
        <f>"517710"</f>
        <v>517710</v>
      </c>
      <c r="B19254" s="2" t="str">
        <f>"PUXADOR PORTA MADEIRA 92338 C4,5XD3,5CM FL"</f>
        <v>PUXADOR PORTA MADEIRA 92338 C4,5XD3,5CM FL</v>
      </c>
      <c r="C19254" s="2" t="str">
        <f t="shared" si="754"/>
        <v>UN</v>
      </c>
      <c r="D19254" s="7">
        <v>1200</v>
      </c>
      <c r="E19254" s="3">
        <v>4</v>
      </c>
      <c r="F19254" s="3">
        <v>4</v>
      </c>
      <c r="G19254" t="s">
        <v>512</v>
      </c>
    </row>
    <row r="19255" spans="1:7" x14ac:dyDescent="0.25">
      <c r="A19255" s="1" t="str">
        <f>"517709"</f>
        <v>517709</v>
      </c>
      <c r="B19255" s="2" t="str">
        <f>"PUXADOR PORTA MADEIRA 92518 C17XL5CM"</f>
        <v>PUXADOR PORTA MADEIRA 92518 C17XL5CM</v>
      </c>
      <c r="C19255" s="2" t="str">
        <f t="shared" si="754"/>
        <v>UN</v>
      </c>
      <c r="D19255" s="7">
        <v>1200</v>
      </c>
      <c r="E19255" s="3">
        <v>4</v>
      </c>
      <c r="F19255" s="3">
        <v>4</v>
      </c>
      <c r="G19255" t="s">
        <v>516</v>
      </c>
    </row>
    <row r="19256" spans="1:7" x14ac:dyDescent="0.25">
      <c r="A19256" s="1" t="str">
        <f>"517711"</f>
        <v>517711</v>
      </c>
      <c r="B19256" s="2" t="str">
        <f>"PUXADOR PORTA MOP 7867 A3XD4,5CM"</f>
        <v>PUXADOR PORTA MOP 7867 A3XD4,5CM</v>
      </c>
      <c r="C19256" s="2" t="str">
        <f t="shared" si="754"/>
        <v>UN</v>
      </c>
      <c r="D19256" s="7">
        <v>1200</v>
      </c>
      <c r="E19256" s="3">
        <v>4</v>
      </c>
      <c r="F19256" s="3">
        <v>4</v>
      </c>
      <c r="G19256" t="s">
        <v>515</v>
      </c>
    </row>
    <row r="19257" spans="1:7" x14ac:dyDescent="0.25">
      <c r="A19257" s="1" t="str">
        <f>"517712"</f>
        <v>517712</v>
      </c>
      <c r="B19257" s="2" t="str">
        <f>"PUXADOR PORTA OSSO TA1501 A3,2X4CM"</f>
        <v>PUXADOR PORTA OSSO TA1501 A3,2X4CM</v>
      </c>
      <c r="C19257" s="2" t="str">
        <f t="shared" si="754"/>
        <v>UN</v>
      </c>
      <c r="D19257" s="7">
        <v>1200</v>
      </c>
      <c r="E19257" s="3">
        <v>4</v>
      </c>
      <c r="F19257" s="3">
        <v>4</v>
      </c>
      <c r="G19257" t="s">
        <v>514</v>
      </c>
    </row>
    <row r="19258" spans="1:7" x14ac:dyDescent="0.25">
      <c r="A19258" s="1" t="str">
        <f>"519157"</f>
        <v>519157</v>
      </c>
      <c r="B19258" s="2" t="str">
        <f>"PUXADOR TIPO ALCA JOCEC"</f>
        <v>PUXADOR TIPO ALCA JOCEC</v>
      </c>
      <c r="C19258" s="2" t="str">
        <f t="shared" si="754"/>
        <v>UN</v>
      </c>
      <c r="D19258" s="7">
        <v>917</v>
      </c>
      <c r="E19258" s="3">
        <v>10</v>
      </c>
      <c r="F19258" s="3">
        <v>10</v>
      </c>
      <c r="G19258" t="s">
        <v>512</v>
      </c>
    </row>
    <row r="19259" spans="1:7" x14ac:dyDescent="0.25">
      <c r="A19259" s="1" t="str">
        <f>"519737"</f>
        <v>519737</v>
      </c>
      <c r="B19259" s="2" t="str">
        <f>"PVC C/ IMPRESSÃO DIGITAL E ILHOS"</f>
        <v>PVC C/ IMPRESSÃO DIGITAL E ILHOS</v>
      </c>
      <c r="C19259" s="2" t="str">
        <f t="shared" si="754"/>
        <v>UN</v>
      </c>
      <c r="D19259" s="7">
        <v>99999</v>
      </c>
      <c r="E19259" s="3">
        <v>99</v>
      </c>
      <c r="F19259" s="3">
        <v>99</v>
      </c>
      <c r="G19259" t="s">
        <v>513</v>
      </c>
    </row>
    <row r="19260" spans="1:7" x14ac:dyDescent="0.25">
      <c r="A19260" s="1" t="str">
        <f>"519736"</f>
        <v>519736</v>
      </c>
      <c r="B19260" s="2" t="str">
        <f>"PVC EXPANDIDO LAMINAÇÃO ADESIVA"</f>
        <v>PVC EXPANDIDO LAMINAÇÃO ADESIVA</v>
      </c>
      <c r="C19260" s="2" t="str">
        <f t="shared" si="754"/>
        <v>UN</v>
      </c>
      <c r="D19260" s="7">
        <v>99999</v>
      </c>
      <c r="E19260" s="3">
        <v>99</v>
      </c>
      <c r="F19260" s="3">
        <v>99</v>
      </c>
      <c r="G19260" t="s">
        <v>514</v>
      </c>
    </row>
    <row r="19261" spans="1:7" x14ac:dyDescent="0.25">
      <c r="A19261" s="1" t="str">
        <f>"523041"</f>
        <v>523041</v>
      </c>
      <c r="B19261" s="2" t="str">
        <f>"PVC POLIWETZEL TPA TCPI -14 1"" P/3-TC E018000142"</f>
        <v>PVC POLIWETZEL TPA TCPI -14 1" P/3-TC E018000142</v>
      </c>
      <c r="C19261" s="2" t="str">
        <f t="shared" si="754"/>
        <v>UN</v>
      </c>
      <c r="D19261" s="7">
        <v>811</v>
      </c>
      <c r="E19261" s="3">
        <v>10</v>
      </c>
      <c r="F19261" s="3">
        <v>10</v>
      </c>
      <c r="G19261" t="s">
        <v>514</v>
      </c>
    </row>
    <row r="19262" spans="1:7" x14ac:dyDescent="0.25">
      <c r="A19262" s="1" t="str">
        <f>"523043"</f>
        <v>523043</v>
      </c>
      <c r="B19262" s="2" t="str">
        <f>"PVC POLIWETZEL TPA TCPI-01 1/2""3/4"" P/1-TC E018000122"</f>
        <v>PVC POLIWETZEL TPA TCPI-01 1/2"3/4" P/1-TC E018000122</v>
      </c>
      <c r="C19262" s="2" t="str">
        <f t="shared" si="754"/>
        <v>UN</v>
      </c>
      <c r="D19262" s="7">
        <v>811</v>
      </c>
      <c r="E19262" s="3">
        <v>10</v>
      </c>
      <c r="F19262" s="3">
        <v>10</v>
      </c>
      <c r="G19262" t="s">
        <v>512</v>
      </c>
    </row>
    <row r="19263" spans="1:7" x14ac:dyDescent="0.25">
      <c r="A19263" s="1" t="str">
        <f>"523045"</f>
        <v>523045</v>
      </c>
      <c r="B19263" s="2" t="str">
        <f>"PVC POLIWETZEL TPA TCPI-02 1/2""3/4"" P/2-TC E018000132"</f>
        <v>PVC POLIWETZEL TPA TCPI-02 1/2"3/4" P/2-TC E018000132</v>
      </c>
      <c r="C19263" s="2" t="str">
        <f t="shared" si="754"/>
        <v>UN</v>
      </c>
      <c r="D19263" s="7">
        <v>811</v>
      </c>
      <c r="E19263" s="3">
        <v>10</v>
      </c>
      <c r="F19263" s="3">
        <v>10</v>
      </c>
      <c r="G19263" t="s">
        <v>513</v>
      </c>
    </row>
    <row r="19264" spans="1:7" x14ac:dyDescent="0.25">
      <c r="A19264" s="1" t="str">
        <f>"523044"</f>
        <v>523044</v>
      </c>
      <c r="B19264" s="2" t="str">
        <f>"PVC POLIWETZEL TPA TCPI-12 1"" P/01-TC E018000282"</f>
        <v>PVC POLIWETZEL TPA TCPI-12 1" P/01-TC E018000282</v>
      </c>
      <c r="C19264" s="2" t="str">
        <f t="shared" si="754"/>
        <v>UN</v>
      </c>
      <c r="D19264" s="7">
        <v>811</v>
      </c>
      <c r="E19264" s="3">
        <v>10</v>
      </c>
      <c r="F19264" s="3">
        <v>10</v>
      </c>
      <c r="G19264" t="s">
        <v>514</v>
      </c>
    </row>
    <row r="19265" spans="1:7" x14ac:dyDescent="0.25">
      <c r="A19265" s="1" t="str">
        <f>"523042"</f>
        <v>523042</v>
      </c>
      <c r="B19265" s="2" t="str">
        <f>"PVC POLIWETZEL TPA TCPI-14 1"" P/3-INTERRUPTOR E018000302"</f>
        <v>PVC POLIWETZEL TPA TCPI-14 1" P/3-INTERRUPTOR E018000302</v>
      </c>
      <c r="C19265" s="2" t="str">
        <f t="shared" si="754"/>
        <v>UN</v>
      </c>
      <c r="D19265" s="7">
        <v>811</v>
      </c>
      <c r="E19265" s="3">
        <v>10</v>
      </c>
      <c r="F19265" s="3">
        <v>10</v>
      </c>
      <c r="G19265" t="s">
        <v>514</v>
      </c>
    </row>
    <row r="19266" spans="1:7" x14ac:dyDescent="0.25">
      <c r="A19266" s="1" t="str">
        <f>"519062"</f>
        <v>519062</v>
      </c>
      <c r="B19266" s="2" t="str">
        <f>"PVC STRETCH 50X15 MICRAS"</f>
        <v>PVC STRETCH 50X15 MICRAS</v>
      </c>
      <c r="C19266" s="2" t="str">
        <f t="shared" si="754"/>
        <v>UN</v>
      </c>
      <c r="D19266" s="7">
        <v>108</v>
      </c>
      <c r="E19266" s="3">
        <v>1</v>
      </c>
      <c r="F19266" s="3">
        <v>1</v>
      </c>
      <c r="G19266" t="s">
        <v>514</v>
      </c>
    </row>
    <row r="19267" spans="1:7" x14ac:dyDescent="0.25">
      <c r="A19267" s="1" t="str">
        <f>"527070"</f>
        <v>527070</v>
      </c>
      <c r="B19267" s="2" t="str">
        <f>"PY-41 ELETRODO DE PH P/ LIQUIDOS (CONECTOR"</f>
        <v>PY-41 ELETRODO DE PH P/ LIQUIDOS (CONECTOR</v>
      </c>
      <c r="C19267" s="2" t="str">
        <f t="shared" si="754"/>
        <v>UN</v>
      </c>
      <c r="D19267" s="7">
        <v>1500</v>
      </c>
      <c r="E19267" s="3">
        <v>13</v>
      </c>
      <c r="F19267" s="3">
        <v>13</v>
      </c>
      <c r="G19267" t="s">
        <v>513</v>
      </c>
    </row>
    <row r="19268" spans="1:7" x14ac:dyDescent="0.25">
      <c r="A19268" s="1" t="str">
        <f>"3631"</f>
        <v>3631</v>
      </c>
      <c r="B19268" s="2" t="str">
        <f>"QA BEB LAC FERM C/ PREP COCO 160G"</f>
        <v>QA BEB LAC FERM C/ PREP COCO 160G</v>
      </c>
      <c r="C19268" s="2" t="str">
        <f t="shared" si="754"/>
        <v>UN</v>
      </c>
      <c r="D19268" s="7">
        <v>9</v>
      </c>
      <c r="E19268" s="3">
        <v>6</v>
      </c>
      <c r="F19268" s="3">
        <v>6</v>
      </c>
      <c r="G19268" t="s">
        <v>512</v>
      </c>
    </row>
    <row r="19269" spans="1:7" x14ac:dyDescent="0.25">
      <c r="A19269" s="1" t="str">
        <f>"3636"</f>
        <v>3636</v>
      </c>
      <c r="B19269" s="2" t="str">
        <f>"QA BEB LAC FERM C/ PREP COCO 850G"</f>
        <v>QA BEB LAC FERM C/ PREP COCO 850G</v>
      </c>
      <c r="C19269" s="2" t="str">
        <f t="shared" si="754"/>
        <v>UN</v>
      </c>
      <c r="D19269" s="7">
        <v>15</v>
      </c>
      <c r="E19269" s="3">
        <v>6</v>
      </c>
      <c r="F19269" s="3">
        <v>6</v>
      </c>
      <c r="G19269" t="s">
        <v>513</v>
      </c>
    </row>
    <row r="19270" spans="1:7" x14ac:dyDescent="0.25">
      <c r="A19270" s="1" t="str">
        <f>"3632"</f>
        <v>3632</v>
      </c>
      <c r="B19270" s="2" t="str">
        <f>"QA BEB LAC FERM C/ PREP F. VERM 160G"</f>
        <v>QA BEB LAC FERM C/ PREP F. VERM 160G</v>
      </c>
      <c r="C19270" s="2" t="str">
        <f t="shared" si="754"/>
        <v>UN</v>
      </c>
      <c r="D19270" s="7">
        <v>9</v>
      </c>
      <c r="E19270" s="3">
        <v>6</v>
      </c>
      <c r="F19270" s="3">
        <v>6</v>
      </c>
      <c r="G19270" t="s">
        <v>514</v>
      </c>
    </row>
    <row r="19271" spans="1:7" x14ac:dyDescent="0.25">
      <c r="A19271" s="1" t="str">
        <f>"3637"</f>
        <v>3637</v>
      </c>
      <c r="B19271" s="2" t="str">
        <f>"QA BEB LAC FERM C/ PREP F.VERM 850G"</f>
        <v>QA BEB LAC FERM C/ PREP F.VERM 850G</v>
      </c>
      <c r="C19271" s="2" t="str">
        <f t="shared" si="754"/>
        <v>UN</v>
      </c>
      <c r="D19271" s="7">
        <v>15</v>
      </c>
      <c r="E19271" s="3">
        <v>6</v>
      </c>
      <c r="F19271" s="3">
        <v>6</v>
      </c>
      <c r="G19271" t="s">
        <v>514</v>
      </c>
    </row>
    <row r="19272" spans="1:7" x14ac:dyDescent="0.25">
      <c r="A19272" s="1" t="str">
        <f>"3633"</f>
        <v>3633</v>
      </c>
      <c r="B19272" s="2" t="str">
        <f>"QA BEB LAC FERM C/ PREP GRAVIOLA 160G"</f>
        <v>QA BEB LAC FERM C/ PREP GRAVIOLA 160G</v>
      </c>
      <c r="C19272" s="2" t="str">
        <f t="shared" si="754"/>
        <v>UN</v>
      </c>
      <c r="D19272" s="7">
        <v>9</v>
      </c>
      <c r="E19272" s="3">
        <v>6</v>
      </c>
      <c r="F19272" s="3">
        <v>6</v>
      </c>
      <c r="G19272" t="s">
        <v>514</v>
      </c>
    </row>
    <row r="19273" spans="1:7" x14ac:dyDescent="0.25">
      <c r="A19273" s="1" t="str">
        <f>"3638"</f>
        <v>3638</v>
      </c>
      <c r="B19273" s="2" t="str">
        <f>"QA BEB LAC FERM C/ PREP GRAVIOLA 850G"</f>
        <v>QA BEB LAC FERM C/ PREP GRAVIOLA 850G</v>
      </c>
      <c r="C19273" s="2" t="str">
        <f t="shared" si="754"/>
        <v>UN</v>
      </c>
      <c r="D19273" s="7">
        <v>15</v>
      </c>
      <c r="E19273" s="3">
        <v>6</v>
      </c>
      <c r="F19273" s="3">
        <v>6</v>
      </c>
      <c r="G19273" t="s">
        <v>513</v>
      </c>
    </row>
    <row r="19274" spans="1:7" x14ac:dyDescent="0.25">
      <c r="A19274" s="1" t="str">
        <f>"3630"</f>
        <v>3630</v>
      </c>
      <c r="B19274" s="2" t="str">
        <f>"QA BEB LAC FERM C/ PREP MORANGO 160G"</f>
        <v>QA BEB LAC FERM C/ PREP MORANGO 160G</v>
      </c>
      <c r="C19274" s="2" t="str">
        <f t="shared" ref="C19274:C19305" si="755">"UN"</f>
        <v>UN</v>
      </c>
      <c r="D19274" s="7">
        <v>9</v>
      </c>
      <c r="E19274" s="3">
        <v>6</v>
      </c>
      <c r="F19274" s="3">
        <v>6</v>
      </c>
      <c r="G19274" t="s">
        <v>513</v>
      </c>
    </row>
    <row r="19275" spans="1:7" x14ac:dyDescent="0.25">
      <c r="A19275" s="1" t="str">
        <f>"3635"</f>
        <v>3635</v>
      </c>
      <c r="B19275" s="2" t="str">
        <f>"QA BEB LAC FERM C/ PREP MORANGO 850G"</f>
        <v>QA BEB LAC FERM C/ PREP MORANGO 850G</v>
      </c>
      <c r="C19275" s="2" t="str">
        <f t="shared" si="755"/>
        <v>UN</v>
      </c>
      <c r="D19275" s="7">
        <v>15</v>
      </c>
      <c r="E19275" s="3">
        <v>6</v>
      </c>
      <c r="F19275" s="3">
        <v>6</v>
      </c>
      <c r="G19275" t="s">
        <v>513</v>
      </c>
    </row>
    <row r="19276" spans="1:7" x14ac:dyDescent="0.25">
      <c r="A19276" s="1" t="str">
        <f>"3634"</f>
        <v>3634</v>
      </c>
      <c r="B19276" s="2" t="str">
        <f>"QA BEB LAC FERM C/ PREP SAL. FRUTAS 160G"</f>
        <v>QA BEB LAC FERM C/ PREP SAL. FRUTAS 160G</v>
      </c>
      <c r="C19276" s="2" t="str">
        <f t="shared" si="755"/>
        <v>UN</v>
      </c>
      <c r="D19276" s="7">
        <v>9</v>
      </c>
      <c r="E19276" s="3">
        <v>6</v>
      </c>
      <c r="F19276" s="3">
        <v>6</v>
      </c>
      <c r="G19276" t="s">
        <v>512</v>
      </c>
    </row>
    <row r="19277" spans="1:7" x14ac:dyDescent="0.25">
      <c r="A19277" s="1" t="str">
        <f>"3639"</f>
        <v>3639</v>
      </c>
      <c r="B19277" s="2" t="str">
        <f>"QA BEB LAC FERM C/ PREP SAL. FRUTAS 850G"</f>
        <v>QA BEB LAC FERM C/ PREP SAL. FRUTAS 850G</v>
      </c>
      <c r="C19277" s="2" t="str">
        <f t="shared" si="755"/>
        <v>UN</v>
      </c>
      <c r="D19277" s="7">
        <v>15</v>
      </c>
      <c r="E19277" s="3">
        <v>6</v>
      </c>
      <c r="F19277" s="3">
        <v>6</v>
      </c>
      <c r="G19277" t="s">
        <v>513</v>
      </c>
    </row>
    <row r="19278" spans="1:7" x14ac:dyDescent="0.25">
      <c r="A19278" s="1" t="str">
        <f>"3603"</f>
        <v>3603</v>
      </c>
      <c r="B19278" s="2" t="str">
        <f>"QA BEBIDA LACTEA COCO 180G"</f>
        <v>QA BEBIDA LACTEA COCO 180G</v>
      </c>
      <c r="C19278" s="2" t="str">
        <f t="shared" si="755"/>
        <v>UN</v>
      </c>
      <c r="D19278" s="7">
        <v>11</v>
      </c>
      <c r="E19278" s="3">
        <v>6</v>
      </c>
      <c r="F19278" s="3">
        <v>6</v>
      </c>
      <c r="G19278" t="s">
        <v>514</v>
      </c>
    </row>
    <row r="19279" spans="1:7" x14ac:dyDescent="0.25">
      <c r="A19279" s="1" t="str">
        <f>"3608"</f>
        <v>3608</v>
      </c>
      <c r="B19279" s="2" t="str">
        <f>"QA BEBIDA LACTEA COCO 900G"</f>
        <v>QA BEBIDA LACTEA COCO 900G</v>
      </c>
      <c r="C19279" s="2" t="str">
        <f t="shared" si="755"/>
        <v>UN</v>
      </c>
      <c r="D19279" s="7">
        <v>16</v>
      </c>
      <c r="E19279" s="3">
        <v>6</v>
      </c>
      <c r="F19279" s="3">
        <v>6</v>
      </c>
      <c r="G19279" t="s">
        <v>515</v>
      </c>
    </row>
    <row r="19280" spans="1:7" x14ac:dyDescent="0.25">
      <c r="A19280" s="1" t="str">
        <f>"3601"</f>
        <v>3601</v>
      </c>
      <c r="B19280" s="2" t="str">
        <f>"QA BEBIDA LACTEA F. VERMELHAS 180G"</f>
        <v>QA BEBIDA LACTEA F. VERMELHAS 180G</v>
      </c>
      <c r="C19280" s="2" t="str">
        <f t="shared" si="755"/>
        <v>UN</v>
      </c>
      <c r="D19280" s="7">
        <v>11</v>
      </c>
      <c r="E19280" s="3">
        <v>6</v>
      </c>
      <c r="F19280" s="3">
        <v>6</v>
      </c>
      <c r="G19280" t="s">
        <v>512</v>
      </c>
    </row>
    <row r="19281" spans="1:7" x14ac:dyDescent="0.25">
      <c r="A19281" s="1" t="str">
        <f>"3606"</f>
        <v>3606</v>
      </c>
      <c r="B19281" s="2" t="str">
        <f>"QA BEBIDA LACTEA F.VERMELHAS 900G - QUALITA"</f>
        <v>QA BEBIDA LACTEA F.VERMELHAS 900G - QUALITA</v>
      </c>
      <c r="C19281" s="2" t="str">
        <f t="shared" si="755"/>
        <v>UN</v>
      </c>
      <c r="D19281" s="7">
        <v>16</v>
      </c>
      <c r="E19281" s="3">
        <v>6</v>
      </c>
      <c r="F19281" s="3">
        <v>6</v>
      </c>
      <c r="G19281" t="s">
        <v>516</v>
      </c>
    </row>
    <row r="19282" spans="1:7" x14ac:dyDescent="0.25">
      <c r="A19282" s="1" t="str">
        <f>"3628"</f>
        <v>3628</v>
      </c>
      <c r="B19282" s="2" t="str">
        <f>"QA BEBIDA LACTEA FERM C/ PREP DE MORANGO 510G"</f>
        <v>QA BEBIDA LACTEA FERM C/ PREP DE MORANGO 510G</v>
      </c>
      <c r="C19282" s="2" t="str">
        <f t="shared" si="755"/>
        <v>UN</v>
      </c>
      <c r="D19282" s="7">
        <v>21</v>
      </c>
      <c r="E19282" s="3">
        <v>6</v>
      </c>
      <c r="F19282" s="3">
        <v>6</v>
      </c>
      <c r="G19282" t="s">
        <v>515</v>
      </c>
    </row>
    <row r="19283" spans="1:7" x14ac:dyDescent="0.25">
      <c r="A19283" s="1" t="str">
        <f>"3629"</f>
        <v>3629</v>
      </c>
      <c r="B19283" s="2" t="str">
        <f>"QA BEBIDA LACTEA FERM C/ PREP MOR/ SALADA 510G"</f>
        <v>QA BEBIDA LACTEA FERM C/ PREP MOR/ SALADA 510G</v>
      </c>
      <c r="C19283" s="2" t="str">
        <f t="shared" si="755"/>
        <v>UN</v>
      </c>
      <c r="D19283" s="7">
        <v>21</v>
      </c>
      <c r="E19283" s="3">
        <v>6</v>
      </c>
      <c r="F19283" s="3">
        <v>6</v>
      </c>
      <c r="G19283" t="s">
        <v>514</v>
      </c>
    </row>
    <row r="19284" spans="1:7" x14ac:dyDescent="0.25">
      <c r="A19284" s="1" t="str">
        <f>"3648"</f>
        <v>3648</v>
      </c>
      <c r="B19284" s="2" t="str">
        <f>"QA BEBIDA LACTEA GRAVIOLA  1250G"</f>
        <v>QA BEBIDA LACTEA GRAVIOLA  1250G</v>
      </c>
      <c r="C19284" s="2" t="str">
        <f t="shared" si="755"/>
        <v>UN</v>
      </c>
      <c r="D19284" s="7">
        <v>51</v>
      </c>
      <c r="E19284" s="3">
        <v>6</v>
      </c>
      <c r="F19284" s="3">
        <v>6</v>
      </c>
      <c r="G19284" t="s">
        <v>512</v>
      </c>
    </row>
    <row r="19285" spans="1:7" x14ac:dyDescent="0.25">
      <c r="A19285" s="1" t="str">
        <f>"3604"</f>
        <v>3604</v>
      </c>
      <c r="B19285" s="2" t="str">
        <f>"QA BEBIDA LACTEA GRAVIOLA 180G"</f>
        <v>QA BEBIDA LACTEA GRAVIOLA 180G</v>
      </c>
      <c r="C19285" s="2" t="str">
        <f t="shared" si="755"/>
        <v>UN</v>
      </c>
      <c r="D19285" s="7">
        <v>11</v>
      </c>
      <c r="E19285" s="3">
        <v>6</v>
      </c>
      <c r="F19285" s="3">
        <v>6</v>
      </c>
      <c r="G19285" t="s">
        <v>513</v>
      </c>
    </row>
    <row r="19286" spans="1:7" x14ac:dyDescent="0.25">
      <c r="A19286" s="1" t="str">
        <f>"3609"</f>
        <v>3609</v>
      </c>
      <c r="B19286" s="2" t="str">
        <f>"QA BEBIDA LACTEA GRAVIOLA 900G"</f>
        <v>QA BEBIDA LACTEA GRAVIOLA 900G</v>
      </c>
      <c r="C19286" s="2" t="str">
        <f t="shared" si="755"/>
        <v>UN</v>
      </c>
      <c r="D19286" s="7">
        <v>16</v>
      </c>
      <c r="E19286" s="3">
        <v>6</v>
      </c>
      <c r="F19286" s="3">
        <v>6</v>
      </c>
      <c r="G19286" t="s">
        <v>514</v>
      </c>
    </row>
    <row r="19287" spans="1:7" x14ac:dyDescent="0.25">
      <c r="A19287" s="1" t="str">
        <f>"3611"</f>
        <v>3611</v>
      </c>
      <c r="B19287" s="2" t="str">
        <f>"QA BEBIDA LACTEA MOR/ SALADA 540G"</f>
        <v>QA BEBIDA LACTEA MOR/ SALADA 540G</v>
      </c>
      <c r="C19287" s="2" t="str">
        <f t="shared" si="755"/>
        <v>UN</v>
      </c>
      <c r="D19287" s="7">
        <v>19</v>
      </c>
      <c r="E19287" s="3">
        <v>6</v>
      </c>
      <c r="F19287" s="3">
        <v>6</v>
      </c>
      <c r="G19287" t="s">
        <v>514</v>
      </c>
    </row>
    <row r="19288" spans="1:7" x14ac:dyDescent="0.25">
      <c r="A19288" s="1" t="str">
        <f>"3647"</f>
        <v>3647</v>
      </c>
      <c r="B19288" s="2" t="str">
        <f>"QA BEBIDA LACTEA MORANGO 1250G"</f>
        <v>QA BEBIDA LACTEA MORANGO 1250G</v>
      </c>
      <c r="C19288" s="2" t="str">
        <f t="shared" si="755"/>
        <v>UN</v>
      </c>
      <c r="D19288" s="7">
        <v>51</v>
      </c>
      <c r="E19288" s="3">
        <v>6</v>
      </c>
      <c r="F19288" s="3">
        <v>6</v>
      </c>
      <c r="G19288" t="s">
        <v>512</v>
      </c>
    </row>
    <row r="19289" spans="1:7" x14ac:dyDescent="0.25">
      <c r="A19289" s="1" t="str">
        <f>"3600"</f>
        <v>3600</v>
      </c>
      <c r="B19289" s="2" t="str">
        <f>"QA BEBIDA LACTEA MORANGO 180G - QUALITA"</f>
        <v>QA BEBIDA LACTEA MORANGO 180G - QUALITA</v>
      </c>
      <c r="C19289" s="2" t="str">
        <f t="shared" si="755"/>
        <v>UN</v>
      </c>
      <c r="D19289" s="7">
        <v>11</v>
      </c>
      <c r="E19289" s="3">
        <v>6</v>
      </c>
      <c r="F19289" s="3">
        <v>6</v>
      </c>
      <c r="G19289" t="s">
        <v>513</v>
      </c>
    </row>
    <row r="19290" spans="1:7" x14ac:dyDescent="0.25">
      <c r="A19290" s="1" t="str">
        <f>"3610"</f>
        <v>3610</v>
      </c>
      <c r="B19290" s="2" t="str">
        <f>"QA BEBIDA LACTEA MORANGO 540G"</f>
        <v>QA BEBIDA LACTEA MORANGO 540G</v>
      </c>
      <c r="C19290" s="2" t="str">
        <f t="shared" si="755"/>
        <v>UN</v>
      </c>
      <c r="D19290" s="7">
        <v>19</v>
      </c>
      <c r="E19290" s="3">
        <v>6</v>
      </c>
      <c r="F19290" s="3">
        <v>6</v>
      </c>
      <c r="G19290" t="s">
        <v>514</v>
      </c>
    </row>
    <row r="19291" spans="1:7" x14ac:dyDescent="0.25">
      <c r="A19291" s="1" t="str">
        <f>"3605"</f>
        <v>3605</v>
      </c>
      <c r="B19291" s="2" t="str">
        <f>"QA BEBIDA LACTEA MORANGO 900G - QUALITA"</f>
        <v>QA BEBIDA LACTEA MORANGO 900G - QUALITA</v>
      </c>
      <c r="C19291" s="2" t="str">
        <f t="shared" si="755"/>
        <v>UN</v>
      </c>
      <c r="D19291" s="7">
        <v>16</v>
      </c>
      <c r="E19291" s="3">
        <v>6</v>
      </c>
      <c r="F19291" s="3">
        <v>6</v>
      </c>
      <c r="G19291" t="s">
        <v>514</v>
      </c>
    </row>
    <row r="19292" spans="1:7" x14ac:dyDescent="0.25">
      <c r="A19292" s="1" t="str">
        <f>"3602"</f>
        <v>3602</v>
      </c>
      <c r="B19292" s="2" t="str">
        <f>"QA BEBIDA LACTEA SALADA FRUTAS 180G"</f>
        <v>QA BEBIDA LACTEA SALADA FRUTAS 180G</v>
      </c>
      <c r="C19292" s="2" t="str">
        <f t="shared" si="755"/>
        <v>UN</v>
      </c>
      <c r="D19292" s="7">
        <v>11</v>
      </c>
      <c r="E19292" s="3">
        <v>6</v>
      </c>
      <c r="F19292" s="3">
        <v>6</v>
      </c>
      <c r="G19292" t="s">
        <v>514</v>
      </c>
    </row>
    <row r="19293" spans="1:7" x14ac:dyDescent="0.25">
      <c r="A19293" s="1" t="str">
        <f>"3607"</f>
        <v>3607</v>
      </c>
      <c r="B19293" s="2" t="str">
        <f>"QA BEBIDA LACTEA SALADA FRUTAS 900G"</f>
        <v>QA BEBIDA LACTEA SALADA FRUTAS 900G</v>
      </c>
      <c r="C19293" s="2" t="str">
        <f t="shared" si="755"/>
        <v>UN</v>
      </c>
      <c r="D19293" s="7">
        <v>16</v>
      </c>
      <c r="E19293" s="3">
        <v>6</v>
      </c>
      <c r="F19293" s="3">
        <v>6</v>
      </c>
      <c r="G19293" t="s">
        <v>513</v>
      </c>
    </row>
    <row r="19294" spans="1:7" x14ac:dyDescent="0.25">
      <c r="A19294" s="1" t="str">
        <f>"3612"</f>
        <v>3612</v>
      </c>
      <c r="B19294" s="2" t="str">
        <f>"QA COALHADA 170G"</f>
        <v>QA COALHADA 170G</v>
      </c>
      <c r="C19294" s="2" t="str">
        <f t="shared" si="755"/>
        <v>UN</v>
      </c>
      <c r="D19294" s="7">
        <v>35</v>
      </c>
      <c r="E19294" s="3">
        <v>6</v>
      </c>
      <c r="F19294" s="3">
        <v>6</v>
      </c>
      <c r="G19294" t="s">
        <v>512</v>
      </c>
    </row>
    <row r="19295" spans="1:7" x14ac:dyDescent="0.25">
      <c r="A19295" s="1" t="str">
        <f>"3617"</f>
        <v>3617</v>
      </c>
      <c r="B19295" s="2" t="str">
        <f>"QA IOG PARC DESN BANANA E AVEIA 170G - QUALITA"</f>
        <v>QA IOG PARC DESN BANANA E AVEIA 170G - QUALITA</v>
      </c>
      <c r="C19295" s="2" t="str">
        <f t="shared" si="755"/>
        <v>UN</v>
      </c>
      <c r="D19295" s="7">
        <v>35</v>
      </c>
      <c r="E19295" s="3">
        <v>6</v>
      </c>
      <c r="F19295" s="3">
        <v>6</v>
      </c>
      <c r="G19295" t="s">
        <v>513</v>
      </c>
    </row>
    <row r="19296" spans="1:7" x14ac:dyDescent="0.25">
      <c r="A19296" s="1" t="str">
        <f>"3641"</f>
        <v>3641</v>
      </c>
      <c r="B19296" s="2" t="str">
        <f>"QA IOG PARC DESN C/ PREP DE MACA 160G - QUALITA"</f>
        <v>QA IOG PARC DESN C/ PREP DE MACA 160G - QUALITA</v>
      </c>
      <c r="C19296" s="2" t="str">
        <f t="shared" si="755"/>
        <v>UN</v>
      </c>
      <c r="D19296" s="7">
        <v>39</v>
      </c>
      <c r="E19296" s="3">
        <v>6</v>
      </c>
      <c r="F19296" s="3">
        <v>6</v>
      </c>
      <c r="G19296" t="s">
        <v>514</v>
      </c>
    </row>
    <row r="19297" spans="1:7" x14ac:dyDescent="0.25">
      <c r="A19297" s="1" t="str">
        <f>"3640"</f>
        <v>3640</v>
      </c>
      <c r="B19297" s="2" t="str">
        <f>"QA IOG PARC DESN C/ PREP LAR/CEN/ MEL 160G"</f>
        <v>QA IOG PARC DESN C/ PREP LAR/CEN/ MEL 160G</v>
      </c>
      <c r="C19297" s="2" t="str">
        <f t="shared" si="755"/>
        <v>UN</v>
      </c>
      <c r="D19297" s="7">
        <v>39</v>
      </c>
      <c r="E19297" s="3">
        <v>6</v>
      </c>
      <c r="F19297" s="3">
        <v>6</v>
      </c>
      <c r="G19297" t="s">
        <v>514</v>
      </c>
    </row>
    <row r="19298" spans="1:7" x14ac:dyDescent="0.25">
      <c r="A19298" s="1" t="str">
        <f>"3618"</f>
        <v>3618</v>
      </c>
      <c r="B19298" s="2" t="str">
        <f>"QA IOG PARC DESN FLOCOS DE MACA 170G - QUALITA"</f>
        <v>QA IOG PARC DESN FLOCOS DE MACA 170G - QUALITA</v>
      </c>
      <c r="C19298" s="2" t="str">
        <f t="shared" si="755"/>
        <v>UN</v>
      </c>
      <c r="D19298" s="7">
        <v>35</v>
      </c>
      <c r="E19298" s="3">
        <v>6</v>
      </c>
      <c r="F19298" s="3">
        <v>6</v>
      </c>
      <c r="G19298" t="s">
        <v>514</v>
      </c>
    </row>
    <row r="19299" spans="1:7" x14ac:dyDescent="0.25">
      <c r="A19299" s="1" t="str">
        <f>"3616"</f>
        <v>3616</v>
      </c>
      <c r="B19299" s="2" t="str">
        <f>"QA IOG PARC DESN LAR/CEN/ MEL 170G - QUALITA"</f>
        <v>QA IOG PARC DESN LAR/CEN/ MEL 170G - QUALITA</v>
      </c>
      <c r="C19299" s="2" t="str">
        <f t="shared" si="755"/>
        <v>UN</v>
      </c>
      <c r="D19299" s="7">
        <v>35</v>
      </c>
      <c r="E19299" s="3">
        <v>6</v>
      </c>
      <c r="F19299" s="3">
        <v>6</v>
      </c>
      <c r="G19299" t="s">
        <v>513</v>
      </c>
    </row>
    <row r="19300" spans="1:7" x14ac:dyDescent="0.25">
      <c r="A19300" s="1" t="str">
        <f>"3646"</f>
        <v>3646</v>
      </c>
      <c r="B19300" s="2" t="str">
        <f>"QA IOGURTE PARC DESN COM MEL 160G - QUALITA"</f>
        <v>QA IOGURTE PARC DESN COM MEL 160G - QUALITA</v>
      </c>
      <c r="C19300" s="2" t="str">
        <f t="shared" si="755"/>
        <v>UN</v>
      </c>
      <c r="D19300" s="7">
        <v>39</v>
      </c>
      <c r="E19300" s="3">
        <v>6</v>
      </c>
      <c r="F19300" s="3">
        <v>6</v>
      </c>
      <c r="G19300" t="s">
        <v>513</v>
      </c>
    </row>
    <row r="19301" spans="1:7" x14ac:dyDescent="0.25">
      <c r="A19301" s="1" t="str">
        <f>"3625"</f>
        <v>3625</v>
      </c>
      <c r="B19301" s="2" t="str">
        <f>"QA LEITE FERMENTADO DESNATADO ADOCADO 75g - QUALITA"</f>
        <v>QA LEITE FERMENTADO DESNATADO ADOCADO 75g - QUALITA</v>
      </c>
      <c r="C19301" s="2" t="str">
        <f t="shared" si="755"/>
        <v>UN</v>
      </c>
      <c r="D19301" s="7">
        <v>43</v>
      </c>
      <c r="E19301" s="3">
        <v>6</v>
      </c>
      <c r="F19301" s="3">
        <v>6</v>
      </c>
      <c r="G19301" t="s">
        <v>513</v>
      </c>
    </row>
    <row r="19302" spans="1:7" x14ac:dyDescent="0.25">
      <c r="A19302" s="1" t="str">
        <f>"1529"</f>
        <v>1529</v>
      </c>
      <c r="B19302" s="2" t="str">
        <f>"QJ.TP.PETIT SUISSE BANANA E MACA 360 G CARREFOUR"</f>
        <v>QJ.TP.PETIT SUISSE BANANA E MACA 360 G CARREFOUR</v>
      </c>
      <c r="C19302" s="2" t="str">
        <f t="shared" si="755"/>
        <v>UN</v>
      </c>
      <c r="D19302" s="7">
        <v>25</v>
      </c>
      <c r="E19302" s="3">
        <v>6</v>
      </c>
      <c r="F19302" s="3">
        <v>6</v>
      </c>
      <c r="G19302" t="s">
        <v>512</v>
      </c>
    </row>
    <row r="19303" spans="1:7" x14ac:dyDescent="0.25">
      <c r="A19303" s="1" t="str">
        <f>"808"</f>
        <v>808</v>
      </c>
      <c r="B19303" s="2" t="str">
        <f>"QJ.TP.PETIT SUISSE MOR 360 G CARREFOUR"</f>
        <v>QJ.TP.PETIT SUISSE MOR 360 G CARREFOUR</v>
      </c>
      <c r="C19303" s="2" t="str">
        <f t="shared" si="755"/>
        <v>UN</v>
      </c>
      <c r="D19303" s="7">
        <v>25</v>
      </c>
      <c r="E19303" s="3">
        <v>6</v>
      </c>
      <c r="F19303" s="3">
        <v>6</v>
      </c>
      <c r="G19303" t="s">
        <v>513</v>
      </c>
    </row>
    <row r="19304" spans="1:7" x14ac:dyDescent="0.25">
      <c r="A19304" s="1" t="str">
        <f>"521565"</f>
        <v>521565</v>
      </c>
      <c r="B19304" s="2" t="str">
        <f>"Q-SWAB LETHEEN MEDIUM 250/BOX"</f>
        <v>Q-SWAB LETHEEN MEDIUM 250/BOX</v>
      </c>
      <c r="C19304" s="2" t="str">
        <f t="shared" si="755"/>
        <v>UN</v>
      </c>
      <c r="D19304" s="7">
        <v>99999</v>
      </c>
      <c r="E19304" s="3">
        <v>99</v>
      </c>
      <c r="F19304" s="3">
        <v>99</v>
      </c>
      <c r="G19304" t="s">
        <v>514</v>
      </c>
    </row>
    <row r="19305" spans="1:7" x14ac:dyDescent="0.25">
      <c r="A19305" s="1" t="str">
        <f>"502559"</f>
        <v>502559</v>
      </c>
      <c r="B19305" s="2" t="str">
        <f>"QUADRADO"</f>
        <v>QUADRADO</v>
      </c>
      <c r="C19305" s="2" t="str">
        <f t="shared" si="755"/>
        <v>UN</v>
      </c>
      <c r="D19305" s="7">
        <v>704</v>
      </c>
      <c r="E19305" s="3">
        <v>9</v>
      </c>
      <c r="F19305" s="3">
        <v>9</v>
      </c>
      <c r="G19305" t="s">
        <v>515</v>
      </c>
    </row>
    <row r="19306" spans="1:7" x14ac:dyDescent="0.25">
      <c r="A19306" s="1" t="str">
        <f>"518551"</f>
        <v>518551</v>
      </c>
      <c r="B19306" s="2" t="str">
        <f>"QUADRADO CROMADO MEDIO RODOAR"</f>
        <v>QUADRADO CROMADO MEDIO RODOAR</v>
      </c>
      <c r="C19306" s="2" t="str">
        <f t="shared" ref="C19306:C19337" si="756">"UN"</f>
        <v>UN</v>
      </c>
      <c r="D19306" s="7">
        <v>704</v>
      </c>
      <c r="E19306" s="3">
        <v>9</v>
      </c>
      <c r="F19306" s="3">
        <v>9</v>
      </c>
      <c r="G19306" t="s">
        <v>512</v>
      </c>
    </row>
    <row r="19307" spans="1:7" x14ac:dyDescent="0.25">
      <c r="A19307" s="1" t="str">
        <f>"509380"</f>
        <v>509380</v>
      </c>
      <c r="B19307" s="2" t="str">
        <f>"QUADRO 460X360X110 12 DISJ. BARR. BIFAS"</f>
        <v>QUADRO 460X360X110 12 DISJ. BARR. BIFAS</v>
      </c>
      <c r="C19307" s="2" t="str">
        <f t="shared" si="756"/>
        <v>UN</v>
      </c>
      <c r="D19307" s="7">
        <v>600</v>
      </c>
      <c r="E19307" s="3">
        <v>8</v>
      </c>
      <c r="F19307" s="3">
        <v>8</v>
      </c>
      <c r="G19307" t="s">
        <v>516</v>
      </c>
    </row>
    <row r="19308" spans="1:7" x14ac:dyDescent="0.25">
      <c r="A19308" s="1" t="str">
        <f>"523991"</f>
        <v>523991</v>
      </c>
      <c r="B19308" s="2" t="str">
        <f>"QUADRO ACESSO CONTROLADO CHAVES LOTO"</f>
        <v>QUADRO ACESSO CONTROLADO CHAVES LOTO</v>
      </c>
      <c r="C19308" s="2" t="str">
        <f t="shared" si="756"/>
        <v>UN</v>
      </c>
      <c r="D19308" s="7">
        <v>817</v>
      </c>
      <c r="E19308" s="3">
        <v>4</v>
      </c>
      <c r="F19308" s="3">
        <v>4</v>
      </c>
      <c r="G19308" t="s">
        <v>515</v>
      </c>
    </row>
    <row r="19309" spans="1:7" x14ac:dyDescent="0.25">
      <c r="A19309" s="1" t="str">
        <f>"524915"</f>
        <v>524915</v>
      </c>
      <c r="B19309" s="2" t="str">
        <f>"QUADRO AÇO INOX-304 1000X800X300MM"</f>
        <v>QUADRO AÇO INOX-304 1000X800X300MM</v>
      </c>
      <c r="C19309" s="2" t="str">
        <f t="shared" si="756"/>
        <v>UN</v>
      </c>
      <c r="D19309" s="7">
        <v>600</v>
      </c>
      <c r="E19309" s="3">
        <v>8</v>
      </c>
      <c r="F19309" s="3">
        <v>8</v>
      </c>
      <c r="G19309" t="s">
        <v>514</v>
      </c>
    </row>
    <row r="19310" spans="1:7" x14ac:dyDescent="0.25">
      <c r="A19310" s="1" t="str">
        <f>"527216"</f>
        <v>527216</v>
      </c>
      <c r="B19310" s="2" t="str">
        <f>"QUADRO ATENDIMENTO ALMOXARIFADO (LADO 1 E 2) 1830X1210MM"</f>
        <v>QUADRO ATENDIMENTO ALMOXARIFADO (LADO 1 E 2) 1830X1210MM</v>
      </c>
      <c r="C19310" s="2" t="str">
        <f t="shared" si="756"/>
        <v>UN</v>
      </c>
      <c r="D19310" s="7">
        <v>99999</v>
      </c>
      <c r="E19310" s="3">
        <v>99</v>
      </c>
      <c r="F19310" s="3">
        <v>99</v>
      </c>
      <c r="G19310" t="s">
        <v>512</v>
      </c>
    </row>
    <row r="19311" spans="1:7" x14ac:dyDescent="0.25">
      <c r="A19311" s="1" t="str">
        <f>"512986"</f>
        <v>512986</v>
      </c>
      <c r="B19311" s="2" t="str">
        <f>"QUADRO BRANCO MAGNETICO 0,60X0,90MT ALUM. PAREDE"</f>
        <v>QUADRO BRANCO MAGNETICO 0,60X0,90MT ALUM. PAREDE</v>
      </c>
      <c r="C19311" s="2" t="str">
        <f t="shared" si="756"/>
        <v>UN</v>
      </c>
      <c r="D19311" s="7">
        <v>401</v>
      </c>
      <c r="E19311" s="3">
        <v>4</v>
      </c>
      <c r="F19311" s="3">
        <v>4</v>
      </c>
      <c r="G19311" t="s">
        <v>513</v>
      </c>
    </row>
    <row r="19312" spans="1:7" x14ac:dyDescent="0.25">
      <c r="A19312" s="1" t="str">
        <f>"513559"</f>
        <v>513559</v>
      </c>
      <c r="B19312" s="2" t="str">
        <f>"QUADRO BRANCO MAGNETICO 0,90X1,20MT ALUM. PAREDE"</f>
        <v>QUADRO BRANCO MAGNETICO 0,90X1,20MT ALUM. PAREDE</v>
      </c>
      <c r="C19312" s="2" t="str">
        <f t="shared" si="756"/>
        <v>UN</v>
      </c>
      <c r="D19312" s="7">
        <v>401</v>
      </c>
      <c r="E19312" s="3">
        <v>4</v>
      </c>
      <c r="F19312" s="3">
        <v>4</v>
      </c>
      <c r="G19312" t="s">
        <v>514</v>
      </c>
    </row>
    <row r="19313" spans="1:7" x14ac:dyDescent="0.25">
      <c r="A19313" s="1" t="str">
        <f>"519648"</f>
        <v>519648</v>
      </c>
      <c r="B19313" s="2" t="str">
        <f>"QUADRO BRANCO MAGNETICO 1,00X1,40MT ALUM. PAREDE"</f>
        <v>QUADRO BRANCO MAGNETICO 1,00X1,40MT ALUM. PAREDE</v>
      </c>
      <c r="C19313" s="2" t="str">
        <f t="shared" si="756"/>
        <v>UN</v>
      </c>
      <c r="D19313" s="7">
        <v>401</v>
      </c>
      <c r="E19313" s="3">
        <v>4</v>
      </c>
      <c r="F19313" s="3">
        <v>4</v>
      </c>
      <c r="G19313" t="s">
        <v>514</v>
      </c>
    </row>
    <row r="19314" spans="1:7" x14ac:dyDescent="0.25">
      <c r="A19314" s="1" t="str">
        <f>"523646"</f>
        <v>523646</v>
      </c>
      <c r="B19314" s="2" t="str">
        <f>"QUADRO BRANCO MAGNETICO 1,00X1,40MT ALUM. PAREDE PER. CAROL"</f>
        <v>QUADRO BRANCO MAGNETICO 1,00X1,40MT ALUM. PAREDE PER. CAROL</v>
      </c>
      <c r="C19314" s="2" t="str">
        <f t="shared" si="756"/>
        <v>UN</v>
      </c>
      <c r="D19314" s="7">
        <v>401</v>
      </c>
      <c r="E19314" s="3">
        <v>4</v>
      </c>
      <c r="F19314" s="3">
        <v>4</v>
      </c>
      <c r="G19314" t="s">
        <v>512</v>
      </c>
    </row>
    <row r="19315" spans="1:7" x14ac:dyDescent="0.25">
      <c r="A19315" s="1" t="str">
        <f>"513497"</f>
        <v>513497</v>
      </c>
      <c r="B19315" s="2" t="str">
        <f>"QUADRO BRANCO MAGNETICO 1,00X1,50MT ALUM. PAREDE"</f>
        <v>QUADRO BRANCO MAGNETICO 1,00X1,50MT ALUM. PAREDE</v>
      </c>
      <c r="C19315" s="2" t="str">
        <f t="shared" si="756"/>
        <v>UN</v>
      </c>
      <c r="D19315" s="7">
        <v>401</v>
      </c>
      <c r="E19315" s="3">
        <v>4</v>
      </c>
      <c r="F19315" s="3">
        <v>4</v>
      </c>
      <c r="G19315" t="s">
        <v>513</v>
      </c>
    </row>
    <row r="19316" spans="1:7" x14ac:dyDescent="0.25">
      <c r="A19316" s="1" t="str">
        <f>"519649"</f>
        <v>519649</v>
      </c>
      <c r="B19316" s="2" t="str">
        <f>"QUADRO BRANCO MAGNETICO 1,20X2,00MT ALUM. PAREDE"</f>
        <v>QUADRO BRANCO MAGNETICO 1,20X2,00MT ALUM. PAREDE</v>
      </c>
      <c r="C19316" s="2" t="str">
        <f t="shared" si="756"/>
        <v>UN</v>
      </c>
      <c r="D19316" s="7">
        <v>401</v>
      </c>
      <c r="E19316" s="3">
        <v>4</v>
      </c>
      <c r="F19316" s="3">
        <v>4</v>
      </c>
      <c r="G19316" t="s">
        <v>514</v>
      </c>
    </row>
    <row r="19317" spans="1:7" x14ac:dyDescent="0.25">
      <c r="A19317" s="1" t="str">
        <f>"526282"</f>
        <v>526282</v>
      </c>
      <c r="B19317" s="2" t="str">
        <f>"QUADRO BRANCO MAGNETICO 1,50X1,20MT ALUM. PAREDE"</f>
        <v>QUADRO BRANCO MAGNETICO 1,50X1,20MT ALUM. PAREDE</v>
      </c>
      <c r="C19317" s="2" t="str">
        <f t="shared" si="756"/>
        <v>UN</v>
      </c>
      <c r="D19317" s="7">
        <v>401</v>
      </c>
      <c r="E19317" s="3">
        <v>4</v>
      </c>
      <c r="F19317" s="3">
        <v>4</v>
      </c>
      <c r="G19317" t="s">
        <v>514</v>
      </c>
    </row>
    <row r="19318" spans="1:7" x14ac:dyDescent="0.25">
      <c r="A19318" s="1" t="str">
        <f>"515079"</f>
        <v>515079</v>
      </c>
      <c r="B19318" s="2" t="str">
        <f>"QUADRO C/ ADESIVO"</f>
        <v>QUADRO C/ ADESIVO</v>
      </c>
      <c r="C19318" s="2" t="str">
        <f t="shared" si="756"/>
        <v>UN</v>
      </c>
      <c r="D19318" s="7">
        <v>401</v>
      </c>
      <c r="E19318" s="3">
        <v>4</v>
      </c>
      <c r="F19318" s="3">
        <v>4</v>
      </c>
      <c r="G19318" t="s">
        <v>514</v>
      </c>
    </row>
    <row r="19319" spans="1:7" x14ac:dyDescent="0.25">
      <c r="A19319" s="1" t="str">
        <f>"525077"</f>
        <v>525077</v>
      </c>
      <c r="B19319" s="2" t="str">
        <f>"QUADRO COM. MODULAR 1900 X 600 X 600MM C/CH + FLANGE"</f>
        <v>QUADRO COM. MODULAR 1900 X 600 X 600MM C/CH + FLANGE</v>
      </c>
      <c r="C19319" s="2" t="str">
        <f t="shared" si="756"/>
        <v>UN</v>
      </c>
      <c r="D19319" s="7">
        <v>811</v>
      </c>
      <c r="E19319" s="3">
        <v>8</v>
      </c>
      <c r="F19319" s="3">
        <v>8</v>
      </c>
      <c r="G19319" t="s">
        <v>513</v>
      </c>
    </row>
    <row r="19320" spans="1:7" x14ac:dyDescent="0.25">
      <c r="A19320" s="1" t="str">
        <f>"524957"</f>
        <v>524957</v>
      </c>
      <c r="B19320" s="2" t="str">
        <f>"QUADRO COMANDO 1000X800X300MM COM CHAVE SIGMA"</f>
        <v>QUADRO COMANDO 1000X800X300MM COM CHAVE SIGMA</v>
      </c>
      <c r="C19320" s="2" t="str">
        <f t="shared" si="756"/>
        <v>UN</v>
      </c>
      <c r="D19320" s="7">
        <v>811</v>
      </c>
      <c r="E19320" s="3">
        <v>8</v>
      </c>
      <c r="F19320" s="3">
        <v>8</v>
      </c>
      <c r="G19320" t="s">
        <v>512</v>
      </c>
    </row>
    <row r="19321" spans="1:7" x14ac:dyDescent="0.25">
      <c r="A19321" s="1" t="str">
        <f>"526354"</f>
        <v>526354</v>
      </c>
      <c r="B19321" s="2" t="str">
        <f>"QUADRO CONTROLE MANUTENÇÃO NOSA PAUT-0022 1,20 X 1,83MT"</f>
        <v>QUADRO CONTROLE MANUTENÇÃO NOSA PAUT-0022 1,20 X 1,83MT</v>
      </c>
      <c r="C19321" s="2" t="str">
        <f t="shared" si="756"/>
        <v>UN</v>
      </c>
      <c r="D19321" s="7">
        <v>99999</v>
      </c>
      <c r="E19321" s="3">
        <v>99</v>
      </c>
      <c r="F19321" s="3">
        <v>99</v>
      </c>
      <c r="G19321" t="s">
        <v>513</v>
      </c>
    </row>
    <row r="19322" spans="1:7" x14ac:dyDescent="0.25">
      <c r="A19322" s="1" t="str">
        <f>"515076"</f>
        <v>515076</v>
      </c>
      <c r="B19322" s="2" t="str">
        <f>"QUADRO DE AVISOS"</f>
        <v>QUADRO DE AVISOS</v>
      </c>
      <c r="C19322" s="2" t="str">
        <f t="shared" si="756"/>
        <v>UN</v>
      </c>
      <c r="D19322" s="7">
        <v>401</v>
      </c>
      <c r="E19322" s="3">
        <v>4</v>
      </c>
      <c r="F19322" s="3">
        <v>4</v>
      </c>
      <c r="G19322" t="s">
        <v>514</v>
      </c>
    </row>
    <row r="19323" spans="1:7" x14ac:dyDescent="0.25">
      <c r="A19323" s="1" t="str">
        <f>"512755"</f>
        <v>512755</v>
      </c>
      <c r="B19323" s="2" t="str">
        <f>"QUADRO DE COMANDO 300X300X200MM"</f>
        <v>QUADRO DE COMANDO 300X300X200MM</v>
      </c>
      <c r="C19323" s="2" t="str">
        <f t="shared" si="756"/>
        <v>UN</v>
      </c>
      <c r="D19323" s="7">
        <v>811</v>
      </c>
      <c r="E19323" s="3">
        <v>8</v>
      </c>
      <c r="F19323" s="3">
        <v>8</v>
      </c>
      <c r="G19323" t="s">
        <v>514</v>
      </c>
    </row>
    <row r="19324" spans="1:7" x14ac:dyDescent="0.25">
      <c r="A19324" s="1" t="str">
        <f>"524863"</f>
        <v>524863</v>
      </c>
      <c r="B19324" s="2" t="str">
        <f>"QUADRO DE COMANDO 400X300X200MM"</f>
        <v>QUADRO DE COMANDO 400X300X200MM</v>
      </c>
      <c r="C19324" s="2" t="str">
        <f t="shared" si="756"/>
        <v>UN</v>
      </c>
      <c r="D19324" s="7">
        <v>811</v>
      </c>
      <c r="E19324" s="3">
        <v>8</v>
      </c>
      <c r="F19324" s="3">
        <v>8</v>
      </c>
      <c r="G19324" t="s">
        <v>514</v>
      </c>
    </row>
    <row r="19325" spans="1:7" x14ac:dyDescent="0.25">
      <c r="A19325" s="1" t="str">
        <f>"527852"</f>
        <v>527852</v>
      </c>
      <c r="B19325" s="2" t="str">
        <f>"QUADRO DE COMANDO 600 X500 X 200MM"</f>
        <v>QUADRO DE COMANDO 600 X500 X 200MM</v>
      </c>
      <c r="C19325" s="2" t="str">
        <f t="shared" si="756"/>
        <v>UN</v>
      </c>
      <c r="D19325" s="7">
        <v>811</v>
      </c>
      <c r="E19325" s="3">
        <v>8</v>
      </c>
      <c r="F19325" s="3">
        <v>8</v>
      </c>
      <c r="G19325" t="s">
        <v>513</v>
      </c>
    </row>
    <row r="19326" spans="1:7" x14ac:dyDescent="0.25">
      <c r="A19326" s="1" t="str">
        <f>"509753"</f>
        <v>509753</v>
      </c>
      <c r="B19326" s="8" t="s">
        <v>23</v>
      </c>
      <c r="C19326" s="2" t="str">
        <f t="shared" si="756"/>
        <v>UN</v>
      </c>
      <c r="D19326" s="7">
        <v>600</v>
      </c>
      <c r="E19326" s="3">
        <v>8</v>
      </c>
      <c r="F19326" s="3">
        <v>8</v>
      </c>
      <c r="G19326" t="s">
        <v>513</v>
      </c>
    </row>
    <row r="19327" spans="1:7" x14ac:dyDescent="0.25">
      <c r="A19327" s="1" t="str">
        <f>"521839"</f>
        <v>521839</v>
      </c>
      <c r="B19327" s="2" t="str">
        <f>"QUADRO DE DISTRIBUIÇÃO 3/4 P/ DISJUNTORES TIGRE"</f>
        <v>QUADRO DE DISTRIBUIÇÃO 3/4 P/ DISJUNTORES TIGRE</v>
      </c>
      <c r="C19327" s="2" t="str">
        <f t="shared" si="756"/>
        <v>UN</v>
      </c>
      <c r="D19327" s="7">
        <v>99999</v>
      </c>
      <c r="E19327" s="3">
        <v>99</v>
      </c>
      <c r="F19327" s="3">
        <v>99</v>
      </c>
      <c r="G19327" t="s">
        <v>513</v>
      </c>
    </row>
    <row r="19328" spans="1:7" x14ac:dyDescent="0.25">
      <c r="A19328" s="1" t="str">
        <f>"525076"</f>
        <v>525076</v>
      </c>
      <c r="B19328" s="2" t="str">
        <f>"QUADRO DE ILUMINAÇÃO"</f>
        <v>QUADRO DE ILUMINAÇÃO</v>
      </c>
      <c r="C19328" s="2" t="str">
        <f t="shared" si="756"/>
        <v>UN</v>
      </c>
      <c r="D19328" s="7">
        <v>99999</v>
      </c>
      <c r="E19328" s="3">
        <v>99</v>
      </c>
      <c r="F19328" s="3">
        <v>99</v>
      </c>
      <c r="G19328" t="s">
        <v>512</v>
      </c>
    </row>
    <row r="19329" spans="1:7" x14ac:dyDescent="0.25">
      <c r="A19329" s="1" t="str">
        <f>"509890"</f>
        <v>509890</v>
      </c>
      <c r="B19329" s="2" t="str">
        <f>"QUADRO DISJUNTOR SOBREPOR REF. S.CD.6.PT"</f>
        <v>QUADRO DISJUNTOR SOBREPOR REF. S.CD.6.PT</v>
      </c>
      <c r="C19329" s="2" t="str">
        <f t="shared" si="756"/>
        <v>UN</v>
      </c>
      <c r="D19329" s="7">
        <v>600</v>
      </c>
      <c r="E19329" s="3">
        <v>8</v>
      </c>
      <c r="F19329" s="3">
        <v>8</v>
      </c>
      <c r="G19329" t="s">
        <v>513</v>
      </c>
    </row>
    <row r="19330" spans="1:7" x14ac:dyDescent="0.25">
      <c r="A19330" s="1" t="str">
        <f>"504248"</f>
        <v>504248</v>
      </c>
      <c r="B19330" s="2" t="str">
        <f>"QUADRO DIST. 24 DISJ COM BARRAMENTO"</f>
        <v>QUADRO DIST. 24 DISJ COM BARRAMENTO</v>
      </c>
      <c r="C19330" s="2" t="str">
        <f t="shared" si="756"/>
        <v>UN</v>
      </c>
      <c r="D19330" s="7">
        <v>600</v>
      </c>
      <c r="E19330" s="3">
        <v>8</v>
      </c>
      <c r="F19330" s="3">
        <v>8</v>
      </c>
      <c r="G19330" t="s">
        <v>514</v>
      </c>
    </row>
    <row r="19331" spans="1:7" x14ac:dyDescent="0.25">
      <c r="A19331" s="1" t="str">
        <f>"512474"</f>
        <v>512474</v>
      </c>
      <c r="B19331" s="2" t="str">
        <f>"QUADRO DIST. BARR. TRIFASICO 18 DISJ."</f>
        <v>QUADRO DIST. BARR. TRIFASICO 18 DISJ.</v>
      </c>
      <c r="C19331" s="2" t="str">
        <f t="shared" si="756"/>
        <v>UN</v>
      </c>
      <c r="D19331" s="7">
        <v>600</v>
      </c>
      <c r="E19331" s="3">
        <v>8</v>
      </c>
      <c r="F19331" s="3">
        <v>8</v>
      </c>
      <c r="G19331" t="s">
        <v>515</v>
      </c>
    </row>
    <row r="19332" spans="1:7" x14ac:dyDescent="0.25">
      <c r="A19332" s="1" t="str">
        <f>"505031"</f>
        <v>505031</v>
      </c>
      <c r="B19332" s="2" t="str">
        <f>"QUADRO DISTRIBUIÇÃO MONO IMBUTIR P/ 12 DISJUNTORES"</f>
        <v>QUADRO DISTRIBUIÇÃO MONO IMBUTIR P/ 12 DISJUNTORES</v>
      </c>
      <c r="C19332" s="2" t="str">
        <f t="shared" si="756"/>
        <v>UN</v>
      </c>
      <c r="D19332" s="7">
        <v>811</v>
      </c>
      <c r="E19332" s="3">
        <v>8</v>
      </c>
      <c r="F19332" s="3">
        <v>8</v>
      </c>
      <c r="G19332" t="s">
        <v>512</v>
      </c>
    </row>
    <row r="19333" spans="1:7" x14ac:dyDescent="0.25">
      <c r="A19333" s="1" t="str">
        <f>"517137"</f>
        <v>517137</v>
      </c>
      <c r="B19333" s="2" t="str">
        <f>"QUADRO DISTRIBUIÇÃO TRIFASICO 125A IMBUTIR P/ 36 DISJUNTORES"</f>
        <v>QUADRO DISTRIBUIÇÃO TRIFASICO 125A IMBUTIR P/ 36 DISJUNTORES</v>
      </c>
      <c r="C19333" s="2" t="str">
        <f t="shared" si="756"/>
        <v>UN</v>
      </c>
      <c r="D19333" s="7">
        <v>811</v>
      </c>
      <c r="E19333" s="3">
        <v>8</v>
      </c>
      <c r="F19333" s="3">
        <v>8</v>
      </c>
      <c r="G19333" t="s">
        <v>516</v>
      </c>
    </row>
    <row r="19334" spans="1:7" x14ac:dyDescent="0.25">
      <c r="A19334" s="1" t="str">
        <f>"505029"</f>
        <v>505029</v>
      </c>
      <c r="B19334" s="2" t="str">
        <f>"QUADRO DISTRIBUIÇÃO TRIFASICO 150A IMBUTIR P/ 44 DISJUNTORES"</f>
        <v>QUADRO DISTRIBUIÇÃO TRIFASICO 150A IMBUTIR P/ 44 DISJUNTORES</v>
      </c>
      <c r="C19334" s="2" t="str">
        <f t="shared" si="756"/>
        <v>UN</v>
      </c>
      <c r="D19334" s="7">
        <v>811</v>
      </c>
      <c r="E19334" s="3">
        <v>8</v>
      </c>
      <c r="F19334" s="3">
        <v>8</v>
      </c>
      <c r="G19334" t="s">
        <v>515</v>
      </c>
    </row>
    <row r="19335" spans="1:7" x14ac:dyDescent="0.25">
      <c r="A19335" s="1" t="str">
        <f>"514674"</f>
        <v>514674</v>
      </c>
      <c r="B19335" s="2" t="str">
        <f>"QUADRO EMB 16/12 100A"</f>
        <v>QUADRO EMB 16/12 100A</v>
      </c>
      <c r="C19335" s="2" t="str">
        <f t="shared" si="756"/>
        <v>UN</v>
      </c>
      <c r="D19335" s="7">
        <v>601</v>
      </c>
      <c r="E19335" s="3">
        <v>8</v>
      </c>
      <c r="F19335" s="3">
        <v>8</v>
      </c>
      <c r="G19335" t="s">
        <v>514</v>
      </c>
    </row>
    <row r="19336" spans="1:7" x14ac:dyDescent="0.25">
      <c r="A19336" s="1" t="str">
        <f>"514673"</f>
        <v>514673</v>
      </c>
      <c r="B19336" s="2" t="str">
        <f>"QUADRO EMB 44/32 100A"</f>
        <v>QUADRO EMB 44/32 100A</v>
      </c>
      <c r="C19336" s="2" t="str">
        <f t="shared" si="756"/>
        <v>UN</v>
      </c>
      <c r="D19336" s="7">
        <v>601</v>
      </c>
      <c r="E19336" s="3">
        <v>8</v>
      </c>
      <c r="F19336" s="3">
        <v>8</v>
      </c>
      <c r="G19336" t="s">
        <v>512</v>
      </c>
    </row>
    <row r="19337" spans="1:7" x14ac:dyDescent="0.25">
      <c r="A19337" s="1" t="str">
        <f>"526387"</f>
        <v>526387</v>
      </c>
      <c r="B19337" s="2" t="str">
        <f>"QUADRO GALVANIZADO 1,5MT X 1,0MT P/ PLACAR ACIDENTES"</f>
        <v>QUADRO GALVANIZADO 1,5MT X 1,0MT P/ PLACAR ACIDENTES</v>
      </c>
      <c r="C19337" s="2" t="str">
        <f t="shared" si="756"/>
        <v>UN</v>
      </c>
      <c r="D19337" s="7">
        <v>99999</v>
      </c>
      <c r="E19337" s="3">
        <v>99</v>
      </c>
      <c r="F19337" s="3">
        <v>99</v>
      </c>
      <c r="G19337" t="s">
        <v>513</v>
      </c>
    </row>
    <row r="19338" spans="1:7" x14ac:dyDescent="0.25">
      <c r="A19338" s="1" t="str">
        <f>"526090"</f>
        <v>526090</v>
      </c>
      <c r="B19338" s="2" t="str">
        <f>"QUADRO IMBUTIR P/ 36 DISJUNTORES NORMA DIN SCHENEIDER"</f>
        <v>QUADRO IMBUTIR P/ 36 DISJUNTORES NORMA DIN SCHENEIDER</v>
      </c>
      <c r="C19338" s="2" t="str">
        <f t="shared" ref="C19338:C19357" si="757">"UN"</f>
        <v>UN</v>
      </c>
      <c r="D19338" s="7">
        <v>811</v>
      </c>
      <c r="E19338" s="3">
        <v>8</v>
      </c>
      <c r="F19338" s="3">
        <v>8</v>
      </c>
      <c r="G19338" t="s">
        <v>514</v>
      </c>
    </row>
    <row r="19339" spans="1:7" x14ac:dyDescent="0.25">
      <c r="A19339" s="1" t="str">
        <f>"504249"</f>
        <v>504249</v>
      </c>
      <c r="B19339" s="2" t="str">
        <f>"QUADRO MB UNIV 24/18DIJ 150A BR 904502N"</f>
        <v>QUADRO MB UNIV 24/18DIJ 150A BR 904502N</v>
      </c>
      <c r="C19339" s="2" t="str">
        <f t="shared" si="757"/>
        <v>UN</v>
      </c>
      <c r="D19339" s="7">
        <v>600</v>
      </c>
      <c r="E19339" s="3">
        <v>8</v>
      </c>
      <c r="F19339" s="3">
        <v>8</v>
      </c>
      <c r="G19339" t="s">
        <v>514</v>
      </c>
    </row>
    <row r="19340" spans="1:7" x14ac:dyDescent="0.25">
      <c r="A19340" s="1" t="str">
        <f>"517008"</f>
        <v>517008</v>
      </c>
      <c r="B19340" s="2" t="str">
        <f>"QUADRO MDF ACABAMENTO LAMINA VERNIZ C/ CORTIÇA NO FUNDO"</f>
        <v>QUADRO MDF ACABAMENTO LAMINA VERNIZ C/ CORTIÇA NO FUNDO</v>
      </c>
      <c r="C19340" s="2" t="str">
        <f t="shared" si="757"/>
        <v>UN</v>
      </c>
      <c r="D19340" s="7">
        <v>1200</v>
      </c>
      <c r="E19340" s="3">
        <v>4</v>
      </c>
      <c r="F19340" s="3">
        <v>4</v>
      </c>
      <c r="G19340" t="s">
        <v>512</v>
      </c>
    </row>
    <row r="19341" spans="1:7" x14ac:dyDescent="0.25">
      <c r="A19341" s="1" t="str">
        <f>"518457"</f>
        <v>518457</v>
      </c>
      <c r="B19341" s="2" t="str">
        <f>"QUADRO MOLDURA VIME GRANDE"</f>
        <v>QUADRO MOLDURA VIME GRANDE</v>
      </c>
      <c r="C19341" s="2" t="str">
        <f t="shared" si="757"/>
        <v>UN</v>
      </c>
      <c r="D19341" s="7">
        <v>1200</v>
      </c>
      <c r="E19341" s="3">
        <v>10</v>
      </c>
      <c r="F19341" s="3">
        <v>10</v>
      </c>
      <c r="G19341" t="s">
        <v>513</v>
      </c>
    </row>
    <row r="19342" spans="1:7" x14ac:dyDescent="0.25">
      <c r="A19342" s="1" t="str">
        <f>"517482"</f>
        <v>517482</v>
      </c>
      <c r="B19342" s="2" t="str">
        <f>"QUADRO P 220V-3 RESF 5,50HP/EVAP 220V-1"</f>
        <v>QUADRO P 220V-3 RESF 5,50HP/EVAP 220V-1</v>
      </c>
      <c r="C19342" s="2" t="str">
        <f t="shared" si="757"/>
        <v>UN</v>
      </c>
      <c r="D19342" s="7">
        <v>918</v>
      </c>
      <c r="E19342" s="3">
        <v>10</v>
      </c>
      <c r="F19342" s="3">
        <v>10</v>
      </c>
      <c r="G19342" t="s">
        <v>514</v>
      </c>
    </row>
    <row r="19343" spans="1:7" x14ac:dyDescent="0.25">
      <c r="A19343" s="1" t="str">
        <f>"513095"</f>
        <v>513095</v>
      </c>
      <c r="B19343" s="2" t="str">
        <f>"QUADRO P 380V-3 RESF 2,5-4,00HP / EVAP 220V-1"</f>
        <v>QUADRO P 380V-3 RESF 2,5-4,00HP / EVAP 220V-1</v>
      </c>
      <c r="C19343" s="2" t="str">
        <f t="shared" si="757"/>
        <v>UN</v>
      </c>
      <c r="D19343" s="7">
        <v>818</v>
      </c>
      <c r="E19343" s="3">
        <v>10</v>
      </c>
      <c r="F19343" s="3">
        <v>10</v>
      </c>
      <c r="G19343" t="s">
        <v>514</v>
      </c>
    </row>
    <row r="19344" spans="1:7" x14ac:dyDescent="0.25">
      <c r="A19344" s="1" t="str">
        <f>"511579"</f>
        <v>511579</v>
      </c>
      <c r="B19344" s="2" t="str">
        <f>"QUADRO P/ 28 DISJUNTORES"</f>
        <v>QUADRO P/ 28 DISJUNTORES</v>
      </c>
      <c r="C19344" s="2" t="str">
        <f t="shared" si="757"/>
        <v>UN</v>
      </c>
      <c r="D19344" s="7">
        <v>600</v>
      </c>
      <c r="E19344" s="3">
        <v>8</v>
      </c>
      <c r="F19344" s="3">
        <v>8</v>
      </c>
      <c r="G19344" t="s">
        <v>514</v>
      </c>
    </row>
    <row r="19345" spans="1:7" x14ac:dyDescent="0.25">
      <c r="A19345" s="1" t="str">
        <f>"518563"</f>
        <v>518563</v>
      </c>
      <c r="B19345" s="2" t="str">
        <f>"QUADRO P/ 42 DISJUNTORES"</f>
        <v>QUADRO P/ 42 DISJUNTORES</v>
      </c>
      <c r="C19345" s="2" t="str">
        <f t="shared" si="757"/>
        <v>UN</v>
      </c>
      <c r="D19345" s="7">
        <v>811</v>
      </c>
      <c r="E19345" s="3">
        <v>8</v>
      </c>
      <c r="F19345" s="3">
        <v>8</v>
      </c>
      <c r="G19345" t="s">
        <v>513</v>
      </c>
    </row>
    <row r="19346" spans="1:7" x14ac:dyDescent="0.25">
      <c r="A19346" s="1" t="str">
        <f>"526406"</f>
        <v>526406</v>
      </c>
      <c r="B19346" s="2" t="str">
        <f>"QUADRO P/ ESCRITA QPMS-P 1200X2000MM DDS"</f>
        <v>QUADRO P/ ESCRITA QPMS-P 1200X2000MM DDS</v>
      </c>
      <c r="C19346" s="2" t="str">
        <f t="shared" si="757"/>
        <v>UN</v>
      </c>
      <c r="D19346" s="7">
        <v>99999</v>
      </c>
      <c r="E19346" s="3">
        <v>99</v>
      </c>
      <c r="F19346" s="3">
        <v>99</v>
      </c>
      <c r="G19346" t="s">
        <v>512</v>
      </c>
    </row>
    <row r="19347" spans="1:7" x14ac:dyDescent="0.25">
      <c r="A19347" s="1" t="str">
        <f>"526405"</f>
        <v>526405</v>
      </c>
      <c r="B19347" s="2" t="str">
        <f>"QUADRO P/ ESCRITA QPMS-P 600X900MM QUADRO DE FALTAS"</f>
        <v>QUADRO P/ ESCRITA QPMS-P 600X900MM QUADRO DE FALTAS</v>
      </c>
      <c r="C19347" s="2" t="str">
        <f t="shared" si="757"/>
        <v>UN</v>
      </c>
      <c r="D19347" s="7">
        <v>99999</v>
      </c>
      <c r="E19347" s="3">
        <v>99</v>
      </c>
      <c r="F19347" s="3">
        <v>99</v>
      </c>
      <c r="G19347" t="s">
        <v>513</v>
      </c>
    </row>
    <row r="19348" spans="1:7" x14ac:dyDescent="0.25">
      <c r="A19348" s="1" t="str">
        <f>"526404"</f>
        <v>526404</v>
      </c>
      <c r="B19348" s="2" t="str">
        <f>"QUADRO P/ ESCRITA QPMS-P PERSONALIZADO ROTA KANBAN LADO 1"</f>
        <v>QUADRO P/ ESCRITA QPMS-P PERSONALIZADO ROTA KANBAN LADO 1</v>
      </c>
      <c r="C19348" s="2" t="str">
        <f t="shared" si="757"/>
        <v>UN</v>
      </c>
      <c r="D19348" s="7">
        <v>99999</v>
      </c>
      <c r="E19348" s="3">
        <v>99</v>
      </c>
      <c r="F19348" s="3">
        <v>99</v>
      </c>
      <c r="G19348" t="s">
        <v>514</v>
      </c>
    </row>
    <row r="19349" spans="1:7" x14ac:dyDescent="0.25">
      <c r="A19349" s="1" t="str">
        <f>"526403"</f>
        <v>526403</v>
      </c>
      <c r="B19349" s="2" t="str">
        <f>"QUADRO P/ ESCRITA QPMS-P PERSONALIZADO ROTA KANBAN LADO 2"</f>
        <v>QUADRO P/ ESCRITA QPMS-P PERSONALIZADO ROTA KANBAN LADO 2</v>
      </c>
      <c r="C19349" s="2" t="str">
        <f t="shared" si="757"/>
        <v>UN</v>
      </c>
      <c r="D19349" s="7">
        <v>99999</v>
      </c>
      <c r="E19349" s="3">
        <v>99</v>
      </c>
      <c r="F19349" s="3">
        <v>99</v>
      </c>
      <c r="G19349" t="s">
        <v>514</v>
      </c>
    </row>
    <row r="19350" spans="1:7" x14ac:dyDescent="0.25">
      <c r="A19350" s="1" t="str">
        <f>"511666"</f>
        <v>511666</v>
      </c>
      <c r="B19350" s="2" t="str">
        <f>"QUADRO P/16 DISJUNTOR EXTERNO SIEMENS"</f>
        <v>QUADRO P/16 DISJUNTOR EXTERNO SIEMENS</v>
      </c>
      <c r="C19350" s="2" t="str">
        <f t="shared" si="757"/>
        <v>UN</v>
      </c>
      <c r="D19350" s="7">
        <v>600</v>
      </c>
      <c r="E19350" s="3">
        <v>8</v>
      </c>
      <c r="F19350" s="3">
        <v>8</v>
      </c>
      <c r="G19350" t="s">
        <v>514</v>
      </c>
    </row>
    <row r="19351" spans="1:7" x14ac:dyDescent="0.25">
      <c r="A19351" s="1" t="str">
        <f>"509455"</f>
        <v>509455</v>
      </c>
      <c r="B19351" s="2" t="str">
        <f>"QUADRO SOBREPOR DISJ.COMBI BOX S.CV.5.PT"</f>
        <v>QUADRO SOBREPOR DISJ.COMBI BOX S.CV.5.PT</v>
      </c>
      <c r="C19351" s="2" t="str">
        <f t="shared" si="757"/>
        <v>UN</v>
      </c>
      <c r="D19351" s="7">
        <v>600</v>
      </c>
      <c r="E19351" s="3">
        <v>8</v>
      </c>
      <c r="F19351" s="3">
        <v>8</v>
      </c>
      <c r="G19351" t="s">
        <v>513</v>
      </c>
    </row>
    <row r="19352" spans="1:7" x14ac:dyDescent="0.25">
      <c r="A19352" s="1" t="str">
        <f>"511835"</f>
        <v>511835</v>
      </c>
      <c r="B19352" s="2" t="str">
        <f>"QUADRO SOBREPOR P/ 12 DISJUNTORES"</f>
        <v>QUADRO SOBREPOR P/ 12 DISJUNTORES</v>
      </c>
      <c r="C19352" s="2" t="str">
        <f t="shared" si="757"/>
        <v>UN</v>
      </c>
      <c r="D19352" s="7">
        <v>600</v>
      </c>
      <c r="E19352" s="3">
        <v>8</v>
      </c>
      <c r="F19352" s="3">
        <v>8</v>
      </c>
      <c r="G19352" t="s">
        <v>513</v>
      </c>
    </row>
    <row r="19353" spans="1:7" x14ac:dyDescent="0.25">
      <c r="A19353" s="1" t="str">
        <f>"517571"</f>
        <v>517571</v>
      </c>
      <c r="B19353" s="2" t="str">
        <f>"QUADRO SOBREPOR P/ 36 DISJUNTORES NORMA DIN"</f>
        <v>QUADRO SOBREPOR P/ 36 DISJUNTORES NORMA DIN</v>
      </c>
      <c r="C19353" s="2" t="str">
        <f t="shared" si="757"/>
        <v>UN</v>
      </c>
      <c r="D19353" s="7">
        <v>811</v>
      </c>
      <c r="E19353" s="3">
        <v>8</v>
      </c>
      <c r="F19353" s="3">
        <v>8</v>
      </c>
      <c r="G19353" t="s">
        <v>513</v>
      </c>
    </row>
    <row r="19354" spans="1:7" x14ac:dyDescent="0.25">
      <c r="A19354" s="1" t="str">
        <f>"527812"</f>
        <v>527812</v>
      </c>
      <c r="B19354" s="2" t="str">
        <f>"QUADRO SOBREPOR P/ 48 DISJUNTORES NORMA DIN"</f>
        <v>QUADRO SOBREPOR P/ 48 DISJUNTORES NORMA DIN</v>
      </c>
      <c r="C19354" s="2" t="str">
        <f t="shared" si="757"/>
        <v>UN</v>
      </c>
      <c r="D19354" s="7">
        <v>811</v>
      </c>
      <c r="E19354" s="3">
        <v>8</v>
      </c>
      <c r="F19354" s="3">
        <v>8</v>
      </c>
      <c r="G19354" t="s">
        <v>512</v>
      </c>
    </row>
    <row r="19355" spans="1:7" x14ac:dyDescent="0.25">
      <c r="A19355" s="1" t="str">
        <f>"512163"</f>
        <v>512163</v>
      </c>
      <c r="B19355" s="2" t="str">
        <f>"QUADRO SOBREPOR TRIFASICO 24 DISJUNTOR"</f>
        <v>QUADRO SOBREPOR TRIFASICO 24 DISJUNTOR</v>
      </c>
      <c r="C19355" s="2" t="str">
        <f t="shared" si="757"/>
        <v>UN</v>
      </c>
      <c r="D19355" s="7">
        <v>600</v>
      </c>
      <c r="E19355" s="3">
        <v>8</v>
      </c>
      <c r="F19355" s="3">
        <v>8</v>
      </c>
      <c r="G19355" t="s">
        <v>513</v>
      </c>
    </row>
    <row r="19356" spans="1:7" x14ac:dyDescent="0.25">
      <c r="A19356" s="1" t="str">
        <f>"511358"</f>
        <v>511358</v>
      </c>
      <c r="B19356" s="2" t="str">
        <f>"QUADRO STECK EXT P/ 12 DISJUNTORES"</f>
        <v>QUADRO STECK EXT P/ 12 DISJUNTORES</v>
      </c>
      <c r="C19356" s="2" t="str">
        <f t="shared" si="757"/>
        <v>UN</v>
      </c>
      <c r="D19356" s="7">
        <v>600</v>
      </c>
      <c r="E19356" s="3">
        <v>8</v>
      </c>
      <c r="F19356" s="3">
        <v>8</v>
      </c>
      <c r="G19356" t="s">
        <v>514</v>
      </c>
    </row>
    <row r="19357" spans="1:7" x14ac:dyDescent="0.25">
      <c r="A19357" s="1" t="str">
        <f>"514657"</f>
        <v>514657</v>
      </c>
      <c r="B19357" s="2" t="str">
        <f>"QUADRO TELEBRAS 800 X 800"</f>
        <v>QUADRO TELEBRAS 800 X 800</v>
      </c>
      <c r="C19357" s="2" t="str">
        <f t="shared" si="757"/>
        <v>UN</v>
      </c>
      <c r="D19357" s="7">
        <v>601</v>
      </c>
      <c r="E19357" s="3">
        <v>8</v>
      </c>
      <c r="F19357" s="3">
        <v>8</v>
      </c>
      <c r="G19357" t="s">
        <v>515</v>
      </c>
    </row>
    <row r="19358" spans="1:7" x14ac:dyDescent="0.25">
      <c r="A19358" s="1" t="str">
        <f>"4111"</f>
        <v>4111</v>
      </c>
      <c r="B19358" s="2" t="str">
        <f>"QUATERNARIO AMONIO MUND QTA - BB 50"</f>
        <v>QUATERNARIO AMONIO MUND QTA - BB 50</v>
      </c>
      <c r="C19358" s="2" t="str">
        <f>"KG"</f>
        <v>KG</v>
      </c>
      <c r="D19358" s="7">
        <v>400</v>
      </c>
      <c r="E19358" s="3">
        <v>4</v>
      </c>
      <c r="F19358" s="3">
        <v>4</v>
      </c>
      <c r="G19358" t="s">
        <v>512</v>
      </c>
    </row>
    <row r="19359" spans="1:7" x14ac:dyDescent="0.25">
      <c r="A19359" s="1" t="str">
        <f>"3183"</f>
        <v>3183</v>
      </c>
      <c r="B19359" s="2" t="str">
        <f>"QUATERNARIO DE AMONIO COD.AL55 COD.464/A"</f>
        <v>QUATERNARIO DE AMONIO COD.AL55 COD.464/A</v>
      </c>
      <c r="C19359" s="2" t="str">
        <f t="shared" ref="C19359:C19369" si="758">"UN"</f>
        <v>UN</v>
      </c>
      <c r="D19359" s="7">
        <v>400</v>
      </c>
      <c r="E19359" s="3">
        <v>4</v>
      </c>
      <c r="F19359" s="3">
        <v>4</v>
      </c>
      <c r="G19359" t="s">
        <v>516</v>
      </c>
    </row>
    <row r="19360" spans="1:7" x14ac:dyDescent="0.25">
      <c r="A19360" s="1" t="str">
        <f>"523513"</f>
        <v>523513</v>
      </c>
      <c r="B19360" s="2" t="str">
        <f>"QUATERNARIO TITULANTE 1/042"</f>
        <v>QUATERNARIO TITULANTE 1/042</v>
      </c>
      <c r="C19360" s="2" t="str">
        <f t="shared" si="758"/>
        <v>UN</v>
      </c>
      <c r="D19360" s="7">
        <v>99999</v>
      </c>
      <c r="E19360" s="3">
        <v>99</v>
      </c>
      <c r="F19360" s="3">
        <v>99</v>
      </c>
      <c r="G19360" t="s">
        <v>515</v>
      </c>
    </row>
    <row r="19361" spans="1:7" x14ac:dyDescent="0.25">
      <c r="A19361" s="1" t="str">
        <f>"514927"</f>
        <v>514927</v>
      </c>
      <c r="B19361" s="2" t="str">
        <f>"QUEBRA SOL"</f>
        <v>QUEBRA SOL</v>
      </c>
      <c r="C19361" s="2" t="str">
        <f t="shared" si="758"/>
        <v>UN</v>
      </c>
      <c r="D19361" s="7">
        <v>704</v>
      </c>
      <c r="E19361" s="3">
        <v>9</v>
      </c>
      <c r="F19361" s="3">
        <v>9</v>
      </c>
      <c r="G19361" t="s">
        <v>514</v>
      </c>
    </row>
    <row r="19362" spans="1:7" x14ac:dyDescent="0.25">
      <c r="A19362" s="1" t="str">
        <f>"514938"</f>
        <v>514938</v>
      </c>
      <c r="B19362" s="2" t="str">
        <f>"QUEIJO FRESCO"</f>
        <v>QUEIJO FRESCO</v>
      </c>
      <c r="C19362" s="2" t="str">
        <f t="shared" si="758"/>
        <v>UN</v>
      </c>
      <c r="D19362" s="7">
        <v>912</v>
      </c>
      <c r="E19362" s="3">
        <v>4</v>
      </c>
      <c r="F19362" s="3">
        <v>4</v>
      </c>
      <c r="G19362" t="s">
        <v>512</v>
      </c>
    </row>
    <row r="19363" spans="1:7" x14ac:dyDescent="0.25">
      <c r="A19363" s="1" t="str">
        <f>"4100"</f>
        <v>4100</v>
      </c>
      <c r="B19363" s="2" t="str">
        <f>"QUEIJO MUSSARELA FATIADO CAROLINA 150G"</f>
        <v>QUEIJO MUSSARELA FATIADO CAROLINA 150G</v>
      </c>
      <c r="C19363" s="2" t="str">
        <f t="shared" si="758"/>
        <v>UN</v>
      </c>
      <c r="D19363" s="7">
        <v>64</v>
      </c>
      <c r="E19363" s="3">
        <v>6</v>
      </c>
      <c r="F19363" s="2">
        <v>8</v>
      </c>
      <c r="G19363" t="s">
        <v>513</v>
      </c>
    </row>
    <row r="19364" spans="1:7" x14ac:dyDescent="0.25">
      <c r="A19364" s="1" t="str">
        <f>"4101"</f>
        <v>4101</v>
      </c>
      <c r="B19364" s="2" t="str">
        <f>"QUEIJO MUSSARELA FATIADO CAROLINA 400G"</f>
        <v>QUEIJO MUSSARELA FATIADO CAROLINA 400G</v>
      </c>
      <c r="C19364" s="2" t="str">
        <f t="shared" si="758"/>
        <v>UN</v>
      </c>
      <c r="D19364" s="7">
        <v>65</v>
      </c>
      <c r="E19364" s="3">
        <v>6</v>
      </c>
      <c r="F19364" s="2">
        <v>6</v>
      </c>
      <c r="G19364" t="s">
        <v>514</v>
      </c>
    </row>
    <row r="19365" spans="1:7" x14ac:dyDescent="0.25">
      <c r="A19365" s="1" t="str">
        <f>"4102"</f>
        <v>4102</v>
      </c>
      <c r="B19365" s="2" t="str">
        <f>"QUEIJO MUSSARELA FATIADO CAROLINA 800G"</f>
        <v>QUEIJO MUSSARELA FATIADO CAROLINA 800G</v>
      </c>
      <c r="C19365" s="2" t="str">
        <f t="shared" si="758"/>
        <v>UN</v>
      </c>
      <c r="D19365" s="7">
        <v>66</v>
      </c>
      <c r="E19365" s="3">
        <v>6</v>
      </c>
      <c r="F19365" s="2">
        <v>4</v>
      </c>
      <c r="G19365" t="s">
        <v>514</v>
      </c>
    </row>
    <row r="19366" spans="1:7" x14ac:dyDescent="0.25">
      <c r="A19366" s="1" t="str">
        <f>"514608"</f>
        <v>514608</v>
      </c>
      <c r="B19366" s="2" t="str">
        <f>"QUEIJO RALADO"</f>
        <v>QUEIJO RALADO</v>
      </c>
      <c r="C19366" s="2" t="str">
        <f t="shared" si="758"/>
        <v>UN</v>
      </c>
      <c r="D19366" s="7">
        <v>401</v>
      </c>
      <c r="E19366" s="3">
        <v>4</v>
      </c>
      <c r="F19366" s="2">
        <v>1</v>
      </c>
      <c r="G19366" t="s">
        <v>512</v>
      </c>
    </row>
    <row r="19367" spans="1:7" x14ac:dyDescent="0.25">
      <c r="A19367" s="1" t="str">
        <f>"513376"</f>
        <v>513376</v>
      </c>
      <c r="B19367" s="2" t="str">
        <f>"QUEIJO TEMPER CHEESE TRADICIONAL"</f>
        <v>QUEIJO TEMPER CHEESE TRADICIONAL</v>
      </c>
      <c r="C19367" s="2" t="str">
        <f t="shared" si="758"/>
        <v>UN</v>
      </c>
      <c r="D19367" s="7">
        <v>401</v>
      </c>
      <c r="E19367" s="3">
        <v>4</v>
      </c>
      <c r="F19367" s="2">
        <v>2</v>
      </c>
      <c r="G19367" t="s">
        <v>513</v>
      </c>
    </row>
    <row r="19368" spans="1:7" x14ac:dyDescent="0.25">
      <c r="A19368" s="1" t="str">
        <f>"399R"</f>
        <v>399R</v>
      </c>
      <c r="B19368" s="2" t="str">
        <f>"QUEIJO TP PETIT SUISSE PETIT CAROL 320G - C/ 12"</f>
        <v>QUEIJO TP PETIT SUISSE PETIT CAROL 320G - C/ 12</v>
      </c>
      <c r="C19368" s="2" t="str">
        <f t="shared" si="758"/>
        <v>UN</v>
      </c>
      <c r="D19368" s="7">
        <v>25</v>
      </c>
      <c r="E19368" s="3">
        <v>7</v>
      </c>
      <c r="F19368" s="2">
        <v>7</v>
      </c>
      <c r="G19368" t="s">
        <v>514</v>
      </c>
    </row>
    <row r="19369" spans="1:7" x14ac:dyDescent="0.25">
      <c r="A19369" s="1" t="str">
        <f>"515417"</f>
        <v>515417</v>
      </c>
      <c r="B19369" s="2" t="str">
        <f>"QUEIJOMATIC EM AÇO INOX 5000LTS"</f>
        <v>QUEIJOMATIC EM AÇO INOX 5000LTS</v>
      </c>
      <c r="C19369" s="2" t="str">
        <f t="shared" si="758"/>
        <v>UN</v>
      </c>
      <c r="D19369" s="7">
        <v>1300</v>
      </c>
      <c r="E19369" s="3">
        <v>13</v>
      </c>
      <c r="F19369" s="2">
        <v>9</v>
      </c>
      <c r="G19369" t="s">
        <v>514</v>
      </c>
    </row>
    <row r="19370" spans="1:7" x14ac:dyDescent="0.25">
      <c r="A19370" s="1" t="str">
        <f>"500072"</f>
        <v>500072</v>
      </c>
      <c r="B19370" s="2" t="str">
        <f>"QUEROSENE (1 LITRO)"</f>
        <v>QUEROSENE (1 LITRO)</v>
      </c>
      <c r="C19370" s="2" t="str">
        <f>"PC"</f>
        <v>PC</v>
      </c>
      <c r="D19370" s="7">
        <v>402</v>
      </c>
      <c r="E19370" s="3">
        <v>4</v>
      </c>
      <c r="F19370" s="2">
        <v>0</v>
      </c>
      <c r="G19370" t="s">
        <v>514</v>
      </c>
    </row>
    <row r="19371" spans="1:7" x14ac:dyDescent="0.25">
      <c r="A19371" s="1" t="str">
        <f>"515637"</f>
        <v>515637</v>
      </c>
      <c r="B19371" s="2" t="str">
        <f>"QUIABO"</f>
        <v>QUIABO</v>
      </c>
      <c r="C19371" s="2" t="str">
        <f t="shared" ref="C19371:C19378" si="759">"UN"</f>
        <v>UN</v>
      </c>
      <c r="D19371" s="7">
        <v>401</v>
      </c>
      <c r="E19371" s="3">
        <v>4</v>
      </c>
      <c r="F19371" s="2">
        <v>0</v>
      </c>
      <c r="G19371" t="s">
        <v>513</v>
      </c>
    </row>
    <row r="19372" spans="1:7" x14ac:dyDescent="0.25">
      <c r="A19372" s="1" t="str">
        <f>"527754"</f>
        <v>527754</v>
      </c>
      <c r="B19372" s="2" t="str">
        <f>"QUIMICOS"</f>
        <v>QUIMICOS</v>
      </c>
      <c r="C19372" s="2" t="str">
        <f t="shared" si="759"/>
        <v>UN</v>
      </c>
      <c r="D19372" s="7">
        <v>99999</v>
      </c>
      <c r="E19372" s="3">
        <v>99</v>
      </c>
      <c r="F19372" s="2">
        <v>2</v>
      </c>
      <c r="G19372" t="s">
        <v>512</v>
      </c>
    </row>
    <row r="19373" spans="1:7" x14ac:dyDescent="0.25">
      <c r="A19373" s="1" t="str">
        <f>"508986"</f>
        <v>508986</v>
      </c>
      <c r="B19373" s="2" t="str">
        <f>"QUINTA RODA"</f>
        <v>QUINTA RODA</v>
      </c>
      <c r="C19373" s="2" t="str">
        <f t="shared" si="759"/>
        <v>UN</v>
      </c>
      <c r="D19373" s="7">
        <v>704</v>
      </c>
      <c r="E19373" s="3">
        <v>9</v>
      </c>
      <c r="F19373" s="2">
        <v>5</v>
      </c>
      <c r="G19373" t="s">
        <v>513</v>
      </c>
    </row>
    <row r="19374" spans="1:7" x14ac:dyDescent="0.25">
      <c r="A19374" s="1" t="str">
        <f>"515595"</f>
        <v>515595</v>
      </c>
      <c r="B19374" s="2" t="str">
        <f>"QUIRERA DE MILHO PARA POMBOS"</f>
        <v>QUIRERA DE MILHO PARA POMBOS</v>
      </c>
      <c r="C19374" s="2" t="str">
        <f t="shared" si="759"/>
        <v>UN</v>
      </c>
      <c r="D19374" s="7">
        <v>401</v>
      </c>
      <c r="E19374" s="3">
        <v>4</v>
      </c>
      <c r="F19374" s="2">
        <v>6</v>
      </c>
      <c r="G19374" t="s">
        <v>514</v>
      </c>
    </row>
    <row r="19375" spans="1:7" x14ac:dyDescent="0.25">
      <c r="A19375" s="1" t="str">
        <f>"501292"</f>
        <v>501292</v>
      </c>
      <c r="B19375" s="2" t="str">
        <f>"RABICHO 1 POLO"</f>
        <v>RABICHO 1 POLO</v>
      </c>
      <c r="C19375" s="2" t="str">
        <f t="shared" si="759"/>
        <v>UN</v>
      </c>
      <c r="D19375" s="7">
        <v>704</v>
      </c>
      <c r="E19375" s="3">
        <v>9</v>
      </c>
      <c r="F19375" s="2">
        <v>9</v>
      </c>
      <c r="G19375" t="s">
        <v>514</v>
      </c>
    </row>
    <row r="19376" spans="1:7" x14ac:dyDescent="0.25">
      <c r="A19376" s="1" t="str">
        <f>"500600"</f>
        <v>500600</v>
      </c>
      <c r="B19376" s="2" t="str">
        <f>"RABICHO 2 POLOS"</f>
        <v>RABICHO 2 POLOS</v>
      </c>
      <c r="C19376" s="2" t="str">
        <f t="shared" si="759"/>
        <v>UN</v>
      </c>
      <c r="D19376" s="7">
        <v>704</v>
      </c>
      <c r="E19376" s="3">
        <v>9</v>
      </c>
      <c r="F19376" s="2">
        <v>5</v>
      </c>
      <c r="G19376" t="s">
        <v>514</v>
      </c>
    </row>
    <row r="19377" spans="1:7" x14ac:dyDescent="0.25">
      <c r="A19377" s="1" t="str">
        <f>"515507"</f>
        <v>515507</v>
      </c>
      <c r="B19377" s="2" t="str">
        <f>"RAÇÃO"</f>
        <v>RAÇÃO</v>
      </c>
      <c r="C19377" s="2" t="str">
        <f t="shared" si="759"/>
        <v>UN</v>
      </c>
      <c r="D19377" s="7">
        <v>401</v>
      </c>
      <c r="E19377" s="3">
        <v>4</v>
      </c>
      <c r="F19377" s="2">
        <v>3</v>
      </c>
      <c r="G19377" t="s">
        <v>513</v>
      </c>
    </row>
    <row r="19378" spans="1:7" x14ac:dyDescent="0.25">
      <c r="A19378" s="1" t="str">
        <f>"514397"</f>
        <v>514397</v>
      </c>
      <c r="B19378" s="2" t="str">
        <f>"RACHAO - PEDRA DE MAO/PULMAO"</f>
        <v>RACHAO - PEDRA DE MAO/PULMAO</v>
      </c>
      <c r="C19378" s="2" t="str">
        <f t="shared" si="759"/>
        <v>UN</v>
      </c>
      <c r="D19378" s="7">
        <v>803</v>
      </c>
      <c r="E19378" s="3">
        <v>10</v>
      </c>
      <c r="F19378" s="2">
        <v>3</v>
      </c>
      <c r="G19378" t="s">
        <v>513</v>
      </c>
    </row>
    <row r="19379" spans="1:7" x14ac:dyDescent="0.25">
      <c r="A19379" s="1" t="str">
        <f>"518476"</f>
        <v>518476</v>
      </c>
      <c r="B19379" s="2" t="str">
        <f>"RACK COM 96 PONTEIRAS ESTERILIZÁVEIS 100-1000UL (CAP-LAB)"</f>
        <v>RACK COM 96 PONTEIRAS ESTERILIZÁVEIS 100-1000UL (CAP-LAB)</v>
      </c>
      <c r="C19379" s="2" t="str">
        <f>"PC"</f>
        <v>PC</v>
      </c>
      <c r="D19379" s="7">
        <v>406</v>
      </c>
      <c r="E19379" s="3">
        <v>4</v>
      </c>
      <c r="F19379" s="2">
        <v>2</v>
      </c>
      <c r="G19379" t="s">
        <v>513</v>
      </c>
    </row>
    <row r="19380" spans="1:7" x14ac:dyDescent="0.25">
      <c r="A19380" s="1" t="str">
        <f>"523909"</f>
        <v>523909</v>
      </c>
      <c r="B19380" s="2" t="str">
        <f>"RACK DE PAREDE 24U"</f>
        <v>RACK DE PAREDE 24U</v>
      </c>
      <c r="C19380" s="2" t="str">
        <f t="shared" ref="C19380:C19385" si="760">"UN"</f>
        <v>UN</v>
      </c>
      <c r="D19380" s="7">
        <v>814</v>
      </c>
      <c r="E19380" s="3">
        <v>8</v>
      </c>
      <c r="F19380" s="2">
        <v>1</v>
      </c>
      <c r="G19380" t="s">
        <v>512</v>
      </c>
    </row>
    <row r="19381" spans="1:7" x14ac:dyDescent="0.25">
      <c r="A19381" s="1" t="str">
        <f>"519862"</f>
        <v>519862</v>
      </c>
      <c r="B19381" s="2" t="str">
        <f>"RACK DE PAREDE 8U"</f>
        <v>RACK DE PAREDE 8U</v>
      </c>
      <c r="C19381" s="2" t="str">
        <f t="shared" si="760"/>
        <v>UN</v>
      </c>
      <c r="D19381" s="7">
        <v>814</v>
      </c>
      <c r="E19381" s="3">
        <v>8</v>
      </c>
      <c r="F19381" s="2">
        <v>4</v>
      </c>
      <c r="G19381" t="s">
        <v>513</v>
      </c>
    </row>
    <row r="19382" spans="1:7" x14ac:dyDescent="0.25">
      <c r="A19382" s="1" t="str">
        <f>"518838"</f>
        <v>518838</v>
      </c>
      <c r="B19382" s="2" t="str">
        <f>"RACK P/ NOTEBOOK TELY COLLER ARTELY"</f>
        <v>RACK P/ NOTEBOOK TELY COLLER ARTELY</v>
      </c>
      <c r="C19382" s="2" t="str">
        <f t="shared" si="760"/>
        <v>UN</v>
      </c>
      <c r="D19382" s="7">
        <v>1200</v>
      </c>
      <c r="E19382" s="3">
        <v>4</v>
      </c>
      <c r="F19382" s="2">
        <v>1</v>
      </c>
      <c r="G19382" t="s">
        <v>514</v>
      </c>
    </row>
    <row r="19383" spans="1:7" x14ac:dyDescent="0.25">
      <c r="A19383" s="1" t="str">
        <f>"520607"</f>
        <v>520607</v>
      </c>
      <c r="B19383" s="2" t="str">
        <f>"RACK VAZIO ESTERILIZÁVEIS PARA PONTEIRAS DE 1000UL (HEXIS)"</f>
        <v>RACK VAZIO ESTERILIZÁVEIS PARA PONTEIRAS DE 1000UL (HEXIS)</v>
      </c>
      <c r="C19383" s="2" t="str">
        <f t="shared" si="760"/>
        <v>UN</v>
      </c>
      <c r="D19383" s="7">
        <v>406</v>
      </c>
      <c r="E19383" s="3">
        <v>4</v>
      </c>
      <c r="F19383" s="2">
        <v>2</v>
      </c>
      <c r="G19383" t="s">
        <v>515</v>
      </c>
    </row>
    <row r="19384" spans="1:7" x14ac:dyDescent="0.25">
      <c r="A19384" s="1" t="str">
        <f>"522914"</f>
        <v>522914</v>
      </c>
      <c r="B19384" s="2" t="str">
        <f>"RACK VAZIO PARA 96 PONTEIRAS 200µL KASVI"</f>
        <v>RACK VAZIO PARA 96 PONTEIRAS 200µL KASVI</v>
      </c>
      <c r="C19384" s="2" t="str">
        <f t="shared" si="760"/>
        <v>UN</v>
      </c>
      <c r="D19384" s="7">
        <v>406</v>
      </c>
      <c r="E19384" s="3">
        <v>4</v>
      </c>
      <c r="F19384" s="2">
        <v>7</v>
      </c>
      <c r="G19384" t="s">
        <v>512</v>
      </c>
    </row>
    <row r="19385" spans="1:7" x14ac:dyDescent="0.25">
      <c r="A19385" s="1" t="str">
        <f>"515750"</f>
        <v>515750</v>
      </c>
      <c r="B19385" s="2" t="str">
        <f>"RADIADOR DE AGUA"</f>
        <v>RADIADOR DE AGUA</v>
      </c>
      <c r="C19385" s="2" t="str">
        <f t="shared" si="760"/>
        <v>UN</v>
      </c>
      <c r="D19385" s="7">
        <v>704</v>
      </c>
      <c r="E19385" s="3">
        <v>9</v>
      </c>
      <c r="F19385" s="2">
        <v>9</v>
      </c>
      <c r="G19385" t="s">
        <v>516</v>
      </c>
    </row>
    <row r="19386" spans="1:7" x14ac:dyDescent="0.25">
      <c r="A19386" s="1" t="str">
        <f>"520890"</f>
        <v>520890</v>
      </c>
      <c r="B19386" s="2" t="str">
        <f>"RADIO 900HZ 23DBI"</f>
        <v>RADIO 900HZ 23DBI</v>
      </c>
      <c r="C19386" s="2" t="str">
        <f>"MT"</f>
        <v>MT</v>
      </c>
      <c r="D19386" s="7">
        <v>602</v>
      </c>
      <c r="E19386" s="3">
        <v>8</v>
      </c>
      <c r="F19386" s="2">
        <v>0</v>
      </c>
      <c r="G19386" t="s">
        <v>515</v>
      </c>
    </row>
    <row r="19387" spans="1:7" x14ac:dyDescent="0.25">
      <c r="A19387" s="1" t="str">
        <f>"523798"</f>
        <v>523798</v>
      </c>
      <c r="B19387" s="2" t="str">
        <f>"RADIO AM/FM/USB"</f>
        <v>RADIO AM/FM/USB</v>
      </c>
      <c r="C19387" s="2" t="str">
        <f t="shared" ref="C19387:C19409" si="761">"UN"</f>
        <v>UN</v>
      </c>
      <c r="D19387" s="7">
        <v>99999</v>
      </c>
      <c r="E19387" s="3">
        <v>99</v>
      </c>
      <c r="F19387" s="2">
        <v>0</v>
      </c>
      <c r="G19387" t="s">
        <v>514</v>
      </c>
    </row>
    <row r="19388" spans="1:7" x14ac:dyDescent="0.25">
      <c r="A19388" s="1" t="str">
        <f>"517563"</f>
        <v>517563</v>
      </c>
      <c r="B19388" s="2" t="str">
        <f>"RADIO COMUNICADOR WATER PROOF 26 CANAIS 4000088"</f>
        <v>RADIO COMUNICADOR WATER PROOF 26 CANAIS 4000088</v>
      </c>
      <c r="C19388" s="2" t="str">
        <f t="shared" si="761"/>
        <v>UN</v>
      </c>
      <c r="D19388" s="7">
        <v>811</v>
      </c>
      <c r="E19388" s="3">
        <v>8</v>
      </c>
      <c r="F19388" s="2">
        <v>4</v>
      </c>
      <c r="G19388" t="s">
        <v>512</v>
      </c>
    </row>
    <row r="19389" spans="1:7" x14ac:dyDescent="0.25">
      <c r="A19389" s="1" t="str">
        <f>"510838"</f>
        <v>510838</v>
      </c>
      <c r="B19389" s="2" t="str">
        <f>"RADIO GRAVADOR BRITANIA BSI97"</f>
        <v>RADIO GRAVADOR BRITANIA BSI97</v>
      </c>
      <c r="C19389" s="2" t="str">
        <f t="shared" si="761"/>
        <v>UN</v>
      </c>
      <c r="D19389" s="7">
        <v>401</v>
      </c>
      <c r="E19389" s="3">
        <v>4</v>
      </c>
      <c r="F19389" s="2">
        <v>1</v>
      </c>
      <c r="G19389" t="s">
        <v>513</v>
      </c>
    </row>
    <row r="19390" spans="1:7" x14ac:dyDescent="0.25">
      <c r="A19390" s="1" t="str">
        <f>"510839"</f>
        <v>510839</v>
      </c>
      <c r="B19390" s="2" t="str">
        <f>"RADIO NKS 5 FAIXAS AC121"</f>
        <v>RADIO NKS 5 FAIXAS AC121</v>
      </c>
      <c r="C19390" s="2" t="str">
        <f t="shared" si="761"/>
        <v>UN</v>
      </c>
      <c r="D19390" s="7">
        <v>401</v>
      </c>
      <c r="E19390" s="3">
        <v>4</v>
      </c>
      <c r="F19390" s="2">
        <v>2</v>
      </c>
      <c r="G19390" t="s">
        <v>514</v>
      </c>
    </row>
    <row r="19391" spans="1:7" x14ac:dyDescent="0.25">
      <c r="A19391" s="1" t="str">
        <f>"513225"</f>
        <v>513225</v>
      </c>
      <c r="B19391" s="2" t="str">
        <f>"RADIO PORTATIL CD E MP3"</f>
        <v>RADIO PORTATIL CD E MP3</v>
      </c>
      <c r="C19391" s="2" t="str">
        <f t="shared" si="761"/>
        <v>UN</v>
      </c>
      <c r="D19391" s="7">
        <v>401</v>
      </c>
      <c r="E19391" s="3">
        <v>4</v>
      </c>
      <c r="F19391" s="2">
        <v>7</v>
      </c>
      <c r="G19391" t="s">
        <v>514</v>
      </c>
    </row>
    <row r="19392" spans="1:7" x14ac:dyDescent="0.25">
      <c r="A19392" s="1" t="str">
        <f>"514707"</f>
        <v>514707</v>
      </c>
      <c r="B19392" s="2" t="str">
        <f>"RADIO PORTATIL CD PLAYER"</f>
        <v>RADIO PORTATIL CD PLAYER</v>
      </c>
      <c r="C19392" s="2" t="str">
        <f t="shared" si="761"/>
        <v>UN</v>
      </c>
      <c r="D19392" s="7">
        <v>401</v>
      </c>
      <c r="E19392" s="3">
        <v>4</v>
      </c>
      <c r="F19392" s="2">
        <v>9</v>
      </c>
      <c r="G19392" t="s">
        <v>512</v>
      </c>
    </row>
    <row r="19393" spans="1:7" x14ac:dyDescent="0.25">
      <c r="A19393" s="1" t="str">
        <f>"523489"</f>
        <v>523489</v>
      </c>
      <c r="B19393" s="2" t="str">
        <f>"RÁDIO PORTATIL DEP 450"</f>
        <v>RÁDIO PORTATIL DEP 450</v>
      </c>
      <c r="C19393" s="2" t="str">
        <f t="shared" si="761"/>
        <v>UN</v>
      </c>
      <c r="D19393" s="7">
        <v>99999</v>
      </c>
      <c r="E19393" s="3">
        <v>99</v>
      </c>
      <c r="F19393" s="5">
        <v>5</v>
      </c>
      <c r="G19393" t="s">
        <v>513</v>
      </c>
    </row>
    <row r="19394" spans="1:7" x14ac:dyDescent="0.25">
      <c r="A19394" s="1" t="str">
        <f>"507080"</f>
        <v>507080</v>
      </c>
      <c r="B19394" s="2" t="str">
        <f>"RADIO PX"</f>
        <v>RADIO PX</v>
      </c>
      <c r="C19394" s="2" t="str">
        <f t="shared" si="761"/>
        <v>UN</v>
      </c>
      <c r="D19394" s="7">
        <v>704</v>
      </c>
      <c r="E19394" s="3">
        <v>9</v>
      </c>
      <c r="F19394" s="2">
        <v>3</v>
      </c>
      <c r="G19394" t="s">
        <v>514</v>
      </c>
    </row>
    <row r="19395" spans="1:7" x14ac:dyDescent="0.25">
      <c r="A19395" s="1" t="str">
        <f>"518274"</f>
        <v>518274</v>
      </c>
      <c r="B19395" s="2" t="str">
        <f>"RAFIA"</f>
        <v>RAFIA</v>
      </c>
      <c r="C19395" s="2" t="str">
        <f t="shared" si="761"/>
        <v>UN</v>
      </c>
      <c r="D19395" s="7">
        <v>401</v>
      </c>
      <c r="E19395" s="3">
        <v>4</v>
      </c>
      <c r="F19395" s="2">
        <v>8</v>
      </c>
      <c r="G19395" t="s">
        <v>514</v>
      </c>
    </row>
    <row r="19396" spans="1:7" x14ac:dyDescent="0.25">
      <c r="A19396" s="1" t="str">
        <f>"515459"</f>
        <v>515459</v>
      </c>
      <c r="B19396" s="2" t="str">
        <f>"RAID MULTI-INSETOS"</f>
        <v>RAID MULTI-INSETOS</v>
      </c>
      <c r="C19396" s="2" t="str">
        <f t="shared" si="761"/>
        <v>UN</v>
      </c>
      <c r="D19396" s="7">
        <v>401</v>
      </c>
      <c r="E19396" s="3">
        <v>4</v>
      </c>
      <c r="F19396" s="2">
        <v>6</v>
      </c>
      <c r="G19396" t="s">
        <v>514</v>
      </c>
    </row>
    <row r="19397" spans="1:7" x14ac:dyDescent="0.25">
      <c r="A19397" s="1" t="str">
        <f>"526767"</f>
        <v>526767</v>
      </c>
      <c r="B19397" s="2" t="str">
        <f>"RAIO X CERTUS XR 300"</f>
        <v>RAIO X CERTUS XR 300</v>
      </c>
      <c r="C19397" s="2" t="str">
        <f t="shared" si="761"/>
        <v>UN</v>
      </c>
      <c r="D19397" s="7">
        <v>1500</v>
      </c>
      <c r="E19397" s="3">
        <v>13</v>
      </c>
      <c r="F19397" s="2">
        <v>4</v>
      </c>
      <c r="G19397" t="s">
        <v>513</v>
      </c>
    </row>
    <row r="19398" spans="1:7" x14ac:dyDescent="0.25">
      <c r="A19398" s="1" t="str">
        <f>"514412"</f>
        <v>514412</v>
      </c>
      <c r="B19398" s="2" t="str">
        <f>"RALA MESA GIRATORIA"</f>
        <v>RALA MESA GIRATORIA</v>
      </c>
      <c r="C19398" s="2" t="str">
        <f t="shared" si="761"/>
        <v>UN</v>
      </c>
      <c r="D19398" s="7">
        <v>704</v>
      </c>
      <c r="E19398" s="3">
        <v>9</v>
      </c>
      <c r="F19398" s="2">
        <v>1</v>
      </c>
      <c r="G19398" t="s">
        <v>512</v>
      </c>
    </row>
    <row r="19399" spans="1:7" x14ac:dyDescent="0.25">
      <c r="A19399" s="1" t="str">
        <f>"525098"</f>
        <v>525098</v>
      </c>
      <c r="B19399" s="2" t="str">
        <f>"RALO DE CX DE 100 + GRELHA PVC"</f>
        <v>RALO DE CX DE 100 + GRELHA PVC</v>
      </c>
      <c r="C19399" s="2" t="str">
        <f t="shared" si="761"/>
        <v>UN</v>
      </c>
      <c r="D19399" s="7">
        <v>99999</v>
      </c>
      <c r="E19399" s="3">
        <v>99</v>
      </c>
      <c r="F19399" s="2">
        <v>2</v>
      </c>
      <c r="G19399" t="s">
        <v>513</v>
      </c>
    </row>
    <row r="19400" spans="1:7" x14ac:dyDescent="0.25">
      <c r="A19400" s="1" t="str">
        <f>"523135"</f>
        <v>523135</v>
      </c>
      <c r="B19400" s="2" t="str">
        <f>"RALO EM INOX C/ SIFÃO, TELA E GRADE"</f>
        <v>RALO EM INOX C/ SIFÃO, TELA E GRADE</v>
      </c>
      <c r="C19400" s="2" t="str">
        <f t="shared" si="761"/>
        <v>UN</v>
      </c>
      <c r="D19400" s="7">
        <v>915</v>
      </c>
      <c r="E19400" s="3">
        <v>10</v>
      </c>
      <c r="F19400" s="2">
        <v>7</v>
      </c>
      <c r="G19400" t="s">
        <v>514</v>
      </c>
    </row>
    <row r="19401" spans="1:7" x14ac:dyDescent="0.25">
      <c r="A19401" s="1" t="str">
        <f>"521951"</f>
        <v>521951</v>
      </c>
      <c r="B19401" s="2" t="str">
        <f>"RALO INOX 314L OD"</f>
        <v>RALO INOX 314L OD</v>
      </c>
      <c r="C19401" s="2" t="str">
        <f t="shared" si="761"/>
        <v>UN</v>
      </c>
      <c r="D19401" s="7">
        <v>915</v>
      </c>
      <c r="E19401" s="3">
        <v>10</v>
      </c>
      <c r="F19401" s="2">
        <v>9</v>
      </c>
      <c r="G19401" t="s">
        <v>514</v>
      </c>
    </row>
    <row r="19402" spans="1:7" x14ac:dyDescent="0.25">
      <c r="A19402" s="1" t="str">
        <f>"519683"</f>
        <v>519683</v>
      </c>
      <c r="B19402" s="2" t="str">
        <f>"RALO PLASTICO 4 FACES"</f>
        <v>RALO PLASTICO 4 FACES</v>
      </c>
      <c r="C19402" s="2" t="str">
        <f t="shared" si="761"/>
        <v>UN</v>
      </c>
      <c r="D19402" s="7">
        <v>99999</v>
      </c>
      <c r="E19402" s="3">
        <v>99</v>
      </c>
      <c r="F19402" s="2">
        <v>0</v>
      </c>
      <c r="G19402" t="s">
        <v>514</v>
      </c>
    </row>
    <row r="19403" spans="1:7" x14ac:dyDescent="0.25">
      <c r="A19403" s="1" t="str">
        <f>"502926"</f>
        <v>502926</v>
      </c>
      <c r="B19403" s="2" t="str">
        <f>"RALO PLASTICO SINFONADO 150 X 100MM"</f>
        <v>RALO PLASTICO SINFONADO 150 X 100MM</v>
      </c>
      <c r="C19403" s="2" t="str">
        <f t="shared" si="761"/>
        <v>UN</v>
      </c>
      <c r="D19403" s="7">
        <v>403</v>
      </c>
      <c r="E19403" s="3">
        <v>4</v>
      </c>
      <c r="F19403" s="2">
        <v>0</v>
      </c>
      <c r="G19403" t="s">
        <v>513</v>
      </c>
    </row>
    <row r="19404" spans="1:7" x14ac:dyDescent="0.25">
      <c r="A19404" s="1" t="str">
        <f>"520918"</f>
        <v>520918</v>
      </c>
      <c r="B19404" s="2" t="str">
        <f>"RAMPA ELETROHID. NIV. DOCA 6TON. 2000 X 2000 X 600 LABIO 400"</f>
        <v>RAMPA ELETROHID. NIV. DOCA 6TON. 2000 X 2000 X 600 LABIO 400</v>
      </c>
      <c r="C19404" s="2" t="str">
        <f t="shared" si="761"/>
        <v>UN</v>
      </c>
      <c r="D19404" s="7">
        <v>914</v>
      </c>
      <c r="E19404" s="3">
        <v>10</v>
      </c>
      <c r="F19404" s="2">
        <v>2</v>
      </c>
      <c r="G19404" t="s">
        <v>513</v>
      </c>
    </row>
    <row r="19405" spans="1:7" x14ac:dyDescent="0.25">
      <c r="A19405" s="1" t="str">
        <f>"524878"</f>
        <v>524878</v>
      </c>
      <c r="B19405" s="2" t="str">
        <f>"RASCUNHO CAPA COUCHÊ 150GR 80 FOLHAS SULFITE MARCA D'AGUA"</f>
        <v>RASCUNHO CAPA COUCHÊ 150GR 80 FOLHAS SULFITE MARCA D'AGUA</v>
      </c>
      <c r="C19405" s="2" t="str">
        <f t="shared" si="761"/>
        <v>UN</v>
      </c>
      <c r="D19405" s="7">
        <v>401</v>
      </c>
      <c r="E19405" s="3">
        <v>4</v>
      </c>
      <c r="F19405" s="2">
        <v>5</v>
      </c>
      <c r="G19405" t="s">
        <v>513</v>
      </c>
    </row>
    <row r="19406" spans="1:7" x14ac:dyDescent="0.25">
      <c r="A19406" s="1" t="str">
        <f>"514546"</f>
        <v>514546</v>
      </c>
      <c r="B19406" s="2" t="str">
        <f>"RASPADOR"</f>
        <v>RASPADOR</v>
      </c>
      <c r="C19406" s="2" t="str">
        <f t="shared" si="761"/>
        <v>UN</v>
      </c>
      <c r="D19406" s="7">
        <v>812</v>
      </c>
      <c r="E19406" s="3">
        <v>11</v>
      </c>
      <c r="F19406" s="2">
        <v>6</v>
      </c>
      <c r="G19406" t="s">
        <v>512</v>
      </c>
    </row>
    <row r="19407" spans="1:7" x14ac:dyDescent="0.25">
      <c r="A19407" s="1" t="str">
        <f>"521163"</f>
        <v>521163</v>
      </c>
      <c r="B19407" s="2" t="str">
        <f>"RASPADOR 1065"</f>
        <v>RASPADOR 1065</v>
      </c>
      <c r="C19407" s="2" t="str">
        <f t="shared" si="761"/>
        <v>UN</v>
      </c>
      <c r="D19407" s="7">
        <v>918</v>
      </c>
      <c r="E19407" s="3">
        <v>11</v>
      </c>
      <c r="F19407" s="2">
        <v>9</v>
      </c>
      <c r="G19407" t="s">
        <v>513</v>
      </c>
    </row>
    <row r="19408" spans="1:7" x14ac:dyDescent="0.25">
      <c r="A19408" s="1" t="str">
        <f>"508709"</f>
        <v>508709</v>
      </c>
      <c r="B19408" s="2" t="str">
        <f>"RASPADOR APF-0316"</f>
        <v>RASPADOR APF-0316</v>
      </c>
      <c r="C19408" s="2" t="str">
        <f t="shared" si="761"/>
        <v>UN</v>
      </c>
      <c r="D19408" s="7">
        <v>918</v>
      </c>
      <c r="E19408" s="3">
        <v>11</v>
      </c>
      <c r="F19408" s="2">
        <v>5</v>
      </c>
      <c r="G19408" t="s">
        <v>514</v>
      </c>
    </row>
    <row r="19409" spans="1:7" x14ac:dyDescent="0.25">
      <c r="A19409" s="1" t="str">
        <f>"527998"</f>
        <v>527998</v>
      </c>
      <c r="B19409" s="2" t="str">
        <f>"RASPADOR APF-30058"</f>
        <v>RASPADOR APF-30058</v>
      </c>
      <c r="C19409" s="2" t="str">
        <f t="shared" si="761"/>
        <v>UN</v>
      </c>
      <c r="D19409" s="7">
        <v>918</v>
      </c>
      <c r="E19409" s="3">
        <v>11</v>
      </c>
      <c r="F19409" s="2">
        <v>3</v>
      </c>
      <c r="G19409" t="s">
        <v>515</v>
      </c>
    </row>
    <row r="19410" spans="1:7" x14ac:dyDescent="0.25">
      <c r="A19410" s="1" t="str">
        <f>"507482"</f>
        <v>507482</v>
      </c>
      <c r="B19410" s="2" t="str">
        <f>"RASPADOR DA HASTE HOMO APC-1903R"</f>
        <v>RASPADOR DA HASTE HOMO APC-1903R</v>
      </c>
      <c r="C19410" s="2" t="str">
        <f>"PC"</f>
        <v>PC</v>
      </c>
      <c r="D19410" s="7">
        <v>918</v>
      </c>
      <c r="E19410" s="3">
        <v>11</v>
      </c>
      <c r="F19410" s="2">
        <v>3</v>
      </c>
      <c r="G19410" t="s">
        <v>512</v>
      </c>
    </row>
    <row r="19411" spans="1:7" x14ac:dyDescent="0.25">
      <c r="A19411" s="1" t="str">
        <f>"508856"</f>
        <v>508856</v>
      </c>
      <c r="B19411" s="2" t="str">
        <f>"RASPADOR DE SILICONE COD. 55.15.479-4"</f>
        <v>RASPADOR DE SILICONE COD. 55.15.479-4</v>
      </c>
      <c r="C19411" s="2" t="str">
        <f>"UN"</f>
        <v>UN</v>
      </c>
      <c r="D19411" s="7">
        <v>918</v>
      </c>
      <c r="E19411" s="3">
        <v>11</v>
      </c>
      <c r="F19411" s="2">
        <v>2</v>
      </c>
      <c r="G19411" t="s">
        <v>516</v>
      </c>
    </row>
    <row r="19412" spans="1:7" x14ac:dyDescent="0.25">
      <c r="A19412" s="1" t="str">
        <f>"506102"</f>
        <v>506102</v>
      </c>
      <c r="B19412" s="2" t="str">
        <f>"RASPADOR EMPILHADEIRA TOYOTA D-940/05"</f>
        <v>RASPADOR EMPILHADEIRA TOYOTA D-940/05</v>
      </c>
      <c r="C19412" s="2" t="str">
        <f>"UN"</f>
        <v>UN</v>
      </c>
      <c r="D19412" s="7">
        <v>918</v>
      </c>
      <c r="E19412" s="3">
        <v>11</v>
      </c>
      <c r="F19412" s="2">
        <v>1</v>
      </c>
      <c r="G19412" t="s">
        <v>515</v>
      </c>
    </row>
    <row r="19413" spans="1:7" x14ac:dyDescent="0.25">
      <c r="A19413" s="1" t="str">
        <f>"523493"</f>
        <v>523493</v>
      </c>
      <c r="B19413" s="2" t="str">
        <f>"RASPADOR PARA CABO (COR BRANCO CÓD. 48290)"</f>
        <v>RASPADOR PARA CABO (COR BRANCO CÓD. 48290)</v>
      </c>
      <c r="C19413" s="2" t="str">
        <f>"UN"</f>
        <v>UN</v>
      </c>
      <c r="D19413" s="7">
        <v>400</v>
      </c>
      <c r="E19413" s="3">
        <v>4</v>
      </c>
      <c r="F19413" s="2">
        <v>4</v>
      </c>
      <c r="G19413" t="s">
        <v>514</v>
      </c>
    </row>
    <row r="19414" spans="1:7" x14ac:dyDescent="0.25">
      <c r="A19414" s="1" t="str">
        <f>"508634"</f>
        <v>508634</v>
      </c>
      <c r="B19414" s="2" t="str">
        <f>"RASPADOR POS 06 APF 1273"</f>
        <v>RASPADOR POS 06 APF 1273</v>
      </c>
      <c r="C19414" s="2" t="str">
        <f>"UN"</f>
        <v>UN</v>
      </c>
      <c r="D19414" s="7">
        <v>918</v>
      </c>
      <c r="E19414" s="3">
        <v>11</v>
      </c>
      <c r="F19414" s="2">
        <v>6</v>
      </c>
      <c r="G19414" t="s">
        <v>512</v>
      </c>
    </row>
    <row r="19415" spans="1:7" x14ac:dyDescent="0.25">
      <c r="A19415" s="1" t="str">
        <f>"527560"</f>
        <v>527560</v>
      </c>
      <c r="B19415" s="2" t="str">
        <f>"RASPADOR SILICONE DO BRACO DA PA GCM/GTCM  340"</f>
        <v>RASPADOR SILICONE DO BRACO DA PA GCM/GTCM  340</v>
      </c>
      <c r="C19415" s="2" t="str">
        <f>"PC"</f>
        <v>PC</v>
      </c>
      <c r="D19415" s="7">
        <v>918</v>
      </c>
      <c r="E19415" s="3">
        <v>11</v>
      </c>
      <c r="F19415" s="2">
        <v>8</v>
      </c>
      <c r="G19415" t="s">
        <v>513</v>
      </c>
    </row>
    <row r="19416" spans="1:7" x14ac:dyDescent="0.25">
      <c r="A19416" s="1" t="str">
        <f>"527559"</f>
        <v>527559</v>
      </c>
      <c r="B19416" s="2" t="str">
        <f>"RASPADOR SILICONE GCM/GTCM 340"</f>
        <v>RASPADOR SILICONE GCM/GTCM 340</v>
      </c>
      <c r="C19416" s="2" t="str">
        <f>"PC"</f>
        <v>PC</v>
      </c>
      <c r="D19416" s="7">
        <v>918</v>
      </c>
      <c r="E19416" s="3">
        <v>11</v>
      </c>
      <c r="F19416" s="2">
        <v>7</v>
      </c>
      <c r="G19416" t="s">
        <v>514</v>
      </c>
    </row>
    <row r="19417" spans="1:7" x14ac:dyDescent="0.25">
      <c r="A19417" s="1" t="str">
        <f>"515127"</f>
        <v>515127</v>
      </c>
      <c r="B19417" s="2" t="str">
        <f>"RASTELO"</f>
        <v>RASTELO</v>
      </c>
      <c r="C19417" s="2" t="str">
        <f t="shared" ref="C19417:C19438" si="762">"UN"</f>
        <v>UN</v>
      </c>
      <c r="D19417" s="7">
        <v>817</v>
      </c>
      <c r="E19417" s="3">
        <v>4</v>
      </c>
      <c r="F19417" s="2">
        <v>6</v>
      </c>
      <c r="G19417" t="s">
        <v>514</v>
      </c>
    </row>
    <row r="19418" spans="1:7" x14ac:dyDescent="0.25">
      <c r="A19418" s="1" t="str">
        <f>"519858"</f>
        <v>519858</v>
      </c>
      <c r="B19418" s="2" t="str">
        <f>"RASTREADOR V13 ANTIFURTO DISTR PTH"</f>
        <v>RASTREADOR V13 ANTIFURTO DISTR PTH</v>
      </c>
      <c r="C19418" s="2" t="str">
        <f t="shared" si="762"/>
        <v>UN</v>
      </c>
      <c r="D19418" s="7">
        <v>704</v>
      </c>
      <c r="E19418" s="3">
        <v>9</v>
      </c>
      <c r="F19418" s="2">
        <v>6</v>
      </c>
      <c r="G19418" t="s">
        <v>512</v>
      </c>
    </row>
    <row r="19419" spans="1:7" x14ac:dyDescent="0.25">
      <c r="A19419" s="1" t="str">
        <f>"517455"</f>
        <v>517455</v>
      </c>
      <c r="B19419" s="2" t="str">
        <f>"RATICIDA MADERAT 25GRS"</f>
        <v>RATICIDA MADERAT 25GRS</v>
      </c>
      <c r="C19419" s="2" t="str">
        <f t="shared" si="762"/>
        <v>UN</v>
      </c>
      <c r="D19419" s="7">
        <v>400</v>
      </c>
      <c r="E19419" s="3">
        <v>10</v>
      </c>
      <c r="F19419" s="2">
        <v>2</v>
      </c>
      <c r="G19419" t="s">
        <v>513</v>
      </c>
    </row>
    <row r="19420" spans="1:7" x14ac:dyDescent="0.25">
      <c r="A19420" s="1" t="str">
        <f>"518577"</f>
        <v>518577</v>
      </c>
      <c r="B19420" s="2" t="str">
        <f>"RATOEIRA GRANDE"</f>
        <v>RATOEIRA GRANDE</v>
      </c>
      <c r="C19420" s="2" t="str">
        <f t="shared" si="762"/>
        <v>UN</v>
      </c>
      <c r="D19420" s="7">
        <v>918</v>
      </c>
      <c r="E19420" s="3">
        <v>4</v>
      </c>
      <c r="F19420" s="2">
        <v>1</v>
      </c>
      <c r="G19420" t="s">
        <v>514</v>
      </c>
    </row>
    <row r="19421" spans="1:7" x14ac:dyDescent="0.25">
      <c r="A19421" s="1" t="str">
        <f>"512806"</f>
        <v>512806</v>
      </c>
      <c r="B19421" s="2" t="str">
        <f>"RATOL GS DESRATIZAÇÃO"</f>
        <v>RATOL GS DESRATIZAÇÃO</v>
      </c>
      <c r="C19421" s="2" t="str">
        <f t="shared" si="762"/>
        <v>UN</v>
      </c>
      <c r="D19421" s="7">
        <v>99999</v>
      </c>
      <c r="E19421" s="3">
        <v>99</v>
      </c>
      <c r="F19421" s="2">
        <v>0</v>
      </c>
      <c r="G19421" t="s">
        <v>514</v>
      </c>
    </row>
    <row r="19422" spans="1:7" x14ac:dyDescent="0.25">
      <c r="A19422" s="1" t="str">
        <f>"518699"</f>
        <v>518699</v>
      </c>
      <c r="B19422" s="2" t="str">
        <f>"REABASTECEDOR P/ QUADRO BRANCO"</f>
        <v>REABASTECEDOR P/ QUADRO BRANCO</v>
      </c>
      <c r="C19422" s="2" t="str">
        <f t="shared" si="762"/>
        <v>UN</v>
      </c>
      <c r="D19422" s="7">
        <v>917</v>
      </c>
      <c r="E19422" s="3">
        <v>10</v>
      </c>
      <c r="F19422" s="2">
        <v>0</v>
      </c>
      <c r="G19422" t="s">
        <v>514</v>
      </c>
    </row>
    <row r="19423" spans="1:7" x14ac:dyDescent="0.25">
      <c r="A19423" s="1" t="str">
        <f>"528041"</f>
        <v>528041</v>
      </c>
      <c r="B19423" s="2" t="str">
        <f>"READSENSOR 2 - LEITOR DIGITAL P/ TESTES ANTIBIOTICO"</f>
        <v>READSENSOR 2 - LEITOR DIGITAL P/ TESTES ANTIBIOTICO</v>
      </c>
      <c r="C19423" s="2" t="str">
        <f t="shared" si="762"/>
        <v>UN</v>
      </c>
      <c r="D19423" s="7">
        <v>406</v>
      </c>
      <c r="E19423" s="3">
        <v>4</v>
      </c>
      <c r="F19423" s="2">
        <v>0</v>
      </c>
      <c r="G19423" t="s">
        <v>513</v>
      </c>
    </row>
    <row r="19424" spans="1:7" x14ac:dyDescent="0.25">
      <c r="A19424" s="1" t="str">
        <f>"502274"</f>
        <v>502274</v>
      </c>
      <c r="B19424" s="2" t="str">
        <f>"REAGENTE"</f>
        <v>REAGENTE</v>
      </c>
      <c r="C19424" s="2" t="str">
        <f t="shared" si="762"/>
        <v>UN</v>
      </c>
      <c r="D19424" s="7">
        <v>406</v>
      </c>
      <c r="E19424" s="3">
        <v>4</v>
      </c>
      <c r="F19424" s="2">
        <v>3</v>
      </c>
      <c r="G19424" t="s">
        <v>512</v>
      </c>
    </row>
    <row r="19425" spans="1:7" x14ac:dyDescent="0.25">
      <c r="A19425" s="1" t="str">
        <f>"518862"</f>
        <v>518862</v>
      </c>
      <c r="B19425" s="2" t="str">
        <f>"REAGENTE B CAP LAB"</f>
        <v>REAGENTE B CAP LAB</v>
      </c>
      <c r="C19425" s="2" t="str">
        <f t="shared" si="762"/>
        <v>UN</v>
      </c>
      <c r="D19425" s="7">
        <v>406</v>
      </c>
      <c r="E19425" s="3">
        <v>4</v>
      </c>
      <c r="F19425" s="5">
        <v>5</v>
      </c>
      <c r="G19425" t="s">
        <v>513</v>
      </c>
    </row>
    <row r="19426" spans="1:7" x14ac:dyDescent="0.25">
      <c r="A19426" s="1" t="str">
        <f>"524300"</f>
        <v>524300</v>
      </c>
      <c r="B19426" s="2" t="str">
        <f>"REAGENTE LIQUIDO 300 TESTES CLORO LIVRE"</f>
        <v>REAGENTE LIQUIDO 300 TESTES CLORO LIVRE</v>
      </c>
      <c r="C19426" s="2" t="str">
        <f t="shared" si="762"/>
        <v>UN</v>
      </c>
      <c r="D19426" s="7">
        <v>406</v>
      </c>
      <c r="E19426" s="3">
        <v>4</v>
      </c>
      <c r="F19426" s="2">
        <v>3</v>
      </c>
      <c r="G19426" t="s">
        <v>514</v>
      </c>
    </row>
    <row r="19427" spans="1:7" x14ac:dyDescent="0.25">
      <c r="A19427" s="1" t="str">
        <f>"505694"</f>
        <v>505694</v>
      </c>
      <c r="B19427" s="2" t="str">
        <f>"REAGENTE MAYER"</f>
        <v>REAGENTE MAYER</v>
      </c>
      <c r="C19427" s="2" t="str">
        <f t="shared" si="762"/>
        <v>UN</v>
      </c>
      <c r="D19427" s="7">
        <v>406</v>
      </c>
      <c r="E19427" s="3">
        <v>4</v>
      </c>
      <c r="F19427" s="2">
        <v>8</v>
      </c>
      <c r="G19427" t="s">
        <v>514</v>
      </c>
    </row>
    <row r="19428" spans="1:7" x14ac:dyDescent="0.25">
      <c r="A19428" s="1" t="str">
        <f>"519113"</f>
        <v>519113</v>
      </c>
      <c r="B19428" s="2" t="str">
        <f>"REAGENTE REP AT1"</f>
        <v>REAGENTE REP AT1</v>
      </c>
      <c r="C19428" s="2" t="str">
        <f t="shared" si="762"/>
        <v>UN</v>
      </c>
      <c r="D19428" s="7">
        <v>406</v>
      </c>
      <c r="E19428" s="3">
        <v>4</v>
      </c>
      <c r="F19428" s="2">
        <v>6</v>
      </c>
      <c r="G19428" t="s">
        <v>514</v>
      </c>
    </row>
    <row r="19429" spans="1:7" x14ac:dyDescent="0.25">
      <c r="A19429" s="1" t="str">
        <f>"519114"</f>
        <v>519114</v>
      </c>
      <c r="B19429" s="2" t="str">
        <f>"REAGENTE REP AT2"</f>
        <v>REAGENTE REP AT2</v>
      </c>
      <c r="C19429" s="2" t="str">
        <f t="shared" si="762"/>
        <v>UN</v>
      </c>
      <c r="D19429" s="7">
        <v>406</v>
      </c>
      <c r="E19429" s="3">
        <v>4</v>
      </c>
      <c r="F19429" s="2">
        <v>4</v>
      </c>
      <c r="G19429" t="s">
        <v>513</v>
      </c>
    </row>
    <row r="19430" spans="1:7" x14ac:dyDescent="0.25">
      <c r="A19430" s="1" t="str">
        <f>"515181"</f>
        <v>515181</v>
      </c>
      <c r="B19430" s="2" t="str">
        <f>"REAGENTE REP CL OT"</f>
        <v>REAGENTE REP CL OT</v>
      </c>
      <c r="C19430" s="2" t="str">
        <f t="shared" si="762"/>
        <v>UN</v>
      </c>
      <c r="D19430" s="7">
        <v>406</v>
      </c>
      <c r="E19430" s="3">
        <v>4</v>
      </c>
      <c r="F19430" s="2">
        <v>1</v>
      </c>
      <c r="G19430" t="s">
        <v>513</v>
      </c>
    </row>
    <row r="19431" spans="1:7" x14ac:dyDescent="0.25">
      <c r="A19431" s="1" t="str">
        <f>"515364"</f>
        <v>515364</v>
      </c>
      <c r="B19431" s="2" t="str">
        <f>"REAGENTE REP PH"</f>
        <v>REAGENTE REP PH</v>
      </c>
      <c r="C19431" s="2" t="str">
        <f t="shared" si="762"/>
        <v>UN</v>
      </c>
      <c r="D19431" s="7">
        <v>401</v>
      </c>
      <c r="E19431" s="3">
        <v>4</v>
      </c>
      <c r="F19431" s="2">
        <v>2</v>
      </c>
      <c r="G19431" t="s">
        <v>513</v>
      </c>
    </row>
    <row r="19432" spans="1:7" x14ac:dyDescent="0.25">
      <c r="A19432" s="1" t="str">
        <f>"514867"</f>
        <v>514867</v>
      </c>
      <c r="B19432" s="2" t="str">
        <f>"REAGENTE U1"</f>
        <v>REAGENTE U1</v>
      </c>
      <c r="C19432" s="2" t="str">
        <f t="shared" si="762"/>
        <v>UN</v>
      </c>
      <c r="D19432" s="7">
        <v>406</v>
      </c>
      <c r="E19432" s="3">
        <v>4</v>
      </c>
      <c r="F19432" s="2">
        <v>7</v>
      </c>
      <c r="G19432" t="s">
        <v>512</v>
      </c>
    </row>
    <row r="19433" spans="1:7" x14ac:dyDescent="0.25">
      <c r="A19433" s="1" t="str">
        <f>"514131"</f>
        <v>514131</v>
      </c>
      <c r="B19433" s="2" t="str">
        <f>"REAGENTE U2"</f>
        <v>REAGENTE U2</v>
      </c>
      <c r="C19433" s="2" t="str">
        <f t="shared" si="762"/>
        <v>UN</v>
      </c>
      <c r="D19433" s="7">
        <v>303</v>
      </c>
      <c r="E19433" s="3">
        <v>3</v>
      </c>
      <c r="F19433" s="2">
        <v>9</v>
      </c>
      <c r="G19433" t="s">
        <v>513</v>
      </c>
    </row>
    <row r="19434" spans="1:7" x14ac:dyDescent="0.25">
      <c r="A19434" s="1" t="str">
        <f>"514132"</f>
        <v>514132</v>
      </c>
      <c r="B19434" s="2" t="str">
        <f>"REAGENTE U3"</f>
        <v>REAGENTE U3</v>
      </c>
      <c r="C19434" s="2" t="str">
        <f t="shared" si="762"/>
        <v>UN</v>
      </c>
      <c r="D19434" s="7">
        <v>303</v>
      </c>
      <c r="E19434" s="3">
        <v>3</v>
      </c>
      <c r="F19434" s="2">
        <v>0</v>
      </c>
      <c r="G19434" t="s">
        <v>514</v>
      </c>
    </row>
    <row r="19435" spans="1:7" x14ac:dyDescent="0.25">
      <c r="A19435" s="1" t="str">
        <f>"518859"</f>
        <v>518859</v>
      </c>
      <c r="B19435" s="2" t="str">
        <f>"REATIVO MAYER CAP LAB"</f>
        <v>REATIVO MAYER CAP LAB</v>
      </c>
      <c r="C19435" s="2" t="str">
        <f t="shared" si="762"/>
        <v>UN</v>
      </c>
      <c r="D19435" s="7">
        <v>406</v>
      </c>
      <c r="E19435" s="3">
        <v>4</v>
      </c>
      <c r="F19435" s="2">
        <v>0</v>
      </c>
      <c r="G19435" t="s">
        <v>515</v>
      </c>
    </row>
    <row r="19436" spans="1:7" x14ac:dyDescent="0.25">
      <c r="A19436" s="1" t="str">
        <f>"524609"</f>
        <v>524609</v>
      </c>
      <c r="B19436" s="8" t="s">
        <v>386</v>
      </c>
      <c r="C19436" s="2" t="str">
        <f t="shared" si="762"/>
        <v>UN</v>
      </c>
      <c r="D19436" s="7">
        <v>406</v>
      </c>
      <c r="E19436" s="3">
        <v>13</v>
      </c>
      <c r="F19436" s="2">
        <v>2</v>
      </c>
      <c r="G19436" t="s">
        <v>512</v>
      </c>
    </row>
    <row r="19437" spans="1:7" x14ac:dyDescent="0.25">
      <c r="A19437" s="1" t="str">
        <f>"523344"</f>
        <v>523344</v>
      </c>
      <c r="B19437" s="2" t="str">
        <f>"REATOR ELET 1X32W BIVOLT POUP AFP LITE INTRAL"</f>
        <v>REATOR ELET 1X32W BIVOLT POUP AFP LITE INTRAL</v>
      </c>
      <c r="C19437" s="2" t="str">
        <f t="shared" si="762"/>
        <v>UN</v>
      </c>
      <c r="D19437" s="7">
        <v>600</v>
      </c>
      <c r="E19437" s="3">
        <v>8</v>
      </c>
      <c r="F19437" s="2">
        <v>5</v>
      </c>
      <c r="G19437" t="s">
        <v>516</v>
      </c>
    </row>
    <row r="19438" spans="1:7" x14ac:dyDescent="0.25">
      <c r="A19438" s="1" t="str">
        <f>"515782"</f>
        <v>515782</v>
      </c>
      <c r="B19438" s="2" t="str">
        <f>"REATOR ELETRONICO 1X110W"</f>
        <v>REATOR ELETRONICO 1X110W</v>
      </c>
      <c r="C19438" s="2" t="str">
        <f t="shared" si="762"/>
        <v>UN</v>
      </c>
      <c r="D19438" s="7">
        <v>600</v>
      </c>
      <c r="E19438" s="3">
        <v>8</v>
      </c>
      <c r="F19438" s="2">
        <v>6</v>
      </c>
      <c r="G19438" t="s">
        <v>515</v>
      </c>
    </row>
    <row r="19439" spans="1:7" x14ac:dyDescent="0.25">
      <c r="A19439" s="1" t="str">
        <f>"511988"</f>
        <v>511988</v>
      </c>
      <c r="B19439" s="2" t="str">
        <f>"REATOR ELETRONICO 1X16W  BIVOLT"</f>
        <v>REATOR ELETRONICO 1X16W  BIVOLT</v>
      </c>
      <c r="C19439" s="2" t="str">
        <f>"PC"</f>
        <v>PC</v>
      </c>
      <c r="D19439" s="7">
        <v>601</v>
      </c>
      <c r="E19439" s="3">
        <v>8</v>
      </c>
      <c r="F19439" s="2">
        <v>9</v>
      </c>
      <c r="G19439" t="s">
        <v>514</v>
      </c>
    </row>
    <row r="19440" spans="1:7" x14ac:dyDescent="0.25">
      <c r="A19440" s="1" t="str">
        <f>"500272"</f>
        <v>500272</v>
      </c>
      <c r="B19440" s="2" t="str">
        <f>"REATOR ELETRONICO 1X20W  BIVOLT PART RAP"</f>
        <v>REATOR ELETRONICO 1X20W  BIVOLT PART RAP</v>
      </c>
      <c r="C19440" s="2" t="str">
        <f>"UN"</f>
        <v>UN</v>
      </c>
      <c r="D19440" s="7">
        <v>601</v>
      </c>
      <c r="E19440" s="3">
        <v>8</v>
      </c>
      <c r="F19440" s="2">
        <v>5</v>
      </c>
      <c r="G19440" t="s">
        <v>512</v>
      </c>
    </row>
    <row r="19441" spans="1:7" x14ac:dyDescent="0.25">
      <c r="A19441" s="1" t="str">
        <f>"506356"</f>
        <v>506356</v>
      </c>
      <c r="B19441" s="2" t="str">
        <f>"REATOR ELETRONICO 1X40W  BIVOLT"</f>
        <v>REATOR ELETRONICO 1X40W  BIVOLT</v>
      </c>
      <c r="C19441" s="2" t="str">
        <f>"PC"</f>
        <v>PC</v>
      </c>
      <c r="D19441" s="7">
        <v>601</v>
      </c>
      <c r="E19441" s="3">
        <v>8</v>
      </c>
      <c r="F19441" s="2">
        <v>3</v>
      </c>
      <c r="G19441" t="s">
        <v>513</v>
      </c>
    </row>
    <row r="19442" spans="1:7" x14ac:dyDescent="0.25">
      <c r="A19442" s="1" t="str">
        <f>"522969"</f>
        <v>522969</v>
      </c>
      <c r="B19442" s="2" t="str">
        <f>"REATOR ELETRONICO 1X95W BIVOLT - PL-1X95 BF3MG/UV MARGIRIUS"</f>
        <v>REATOR ELETRONICO 1X95W BIVOLT - PL-1X95 BF3MG/UV MARGIRIUS</v>
      </c>
      <c r="C19442" s="2" t="str">
        <f>"UN"</f>
        <v>UN</v>
      </c>
      <c r="D19442" s="7">
        <v>811</v>
      </c>
      <c r="E19442" s="3">
        <v>10</v>
      </c>
      <c r="F19442" s="2">
        <v>3</v>
      </c>
      <c r="G19442" t="s">
        <v>514</v>
      </c>
    </row>
    <row r="19443" spans="1:7" x14ac:dyDescent="0.25">
      <c r="A19443" s="1" t="str">
        <f>"510167"</f>
        <v>510167</v>
      </c>
      <c r="B19443" s="2" t="str">
        <f>"REATOR ELETRONICO 2X110W 220V"</f>
        <v>REATOR ELETRONICO 2X110W 220V</v>
      </c>
      <c r="C19443" s="2" t="str">
        <f>"PC"</f>
        <v>PC</v>
      </c>
      <c r="D19443" s="7">
        <v>601</v>
      </c>
      <c r="E19443" s="3">
        <v>8</v>
      </c>
      <c r="F19443" s="2">
        <v>2</v>
      </c>
      <c r="G19443" t="s">
        <v>514</v>
      </c>
    </row>
    <row r="19444" spans="1:7" x14ac:dyDescent="0.25">
      <c r="A19444" s="1" t="str">
        <f>"509244"</f>
        <v>509244</v>
      </c>
      <c r="B19444" s="2" t="str">
        <f>"REATOR ELETRONICO 2X16W  BIVOLT"</f>
        <v>REATOR ELETRONICO 2X16W  BIVOLT</v>
      </c>
      <c r="C19444" s="2" t="str">
        <f>"PC"</f>
        <v>PC</v>
      </c>
      <c r="D19444" s="7">
        <v>601</v>
      </c>
      <c r="E19444" s="3">
        <v>8</v>
      </c>
      <c r="F19444" s="2">
        <v>1</v>
      </c>
      <c r="G19444" t="s">
        <v>512</v>
      </c>
    </row>
    <row r="19445" spans="1:7" x14ac:dyDescent="0.25">
      <c r="A19445" s="1" t="str">
        <f>"500311"</f>
        <v>500311</v>
      </c>
      <c r="B19445" s="2" t="str">
        <f>"REATOR ELETRONICO 2X20W  BIVOLT"</f>
        <v>REATOR ELETRONICO 2X20W  BIVOLT</v>
      </c>
      <c r="C19445" s="2" t="str">
        <f t="shared" ref="C19445:C19452" si="763">"UN"</f>
        <v>UN</v>
      </c>
      <c r="D19445" s="7">
        <v>601</v>
      </c>
      <c r="E19445" s="3">
        <v>8</v>
      </c>
      <c r="F19445" s="2">
        <v>4</v>
      </c>
      <c r="G19445" t="s">
        <v>513</v>
      </c>
    </row>
    <row r="19446" spans="1:7" x14ac:dyDescent="0.25">
      <c r="A19446" s="1" t="str">
        <f>"503288"</f>
        <v>503288</v>
      </c>
      <c r="B19446" s="2" t="str">
        <f>"REATOR ELETRONICO 2X40W  BIVOLT"</f>
        <v>REATOR ELETRONICO 2X40W  BIVOLT</v>
      </c>
      <c r="C19446" s="2" t="str">
        <f t="shared" si="763"/>
        <v>UN</v>
      </c>
      <c r="D19446" s="7">
        <v>601</v>
      </c>
      <c r="E19446" s="3">
        <v>8</v>
      </c>
      <c r="F19446" s="2">
        <v>1</v>
      </c>
      <c r="G19446" t="s">
        <v>514</v>
      </c>
    </row>
    <row r="19447" spans="1:7" x14ac:dyDescent="0.25">
      <c r="A19447" s="1" t="str">
        <f>"525125"</f>
        <v>525125</v>
      </c>
      <c r="B19447" s="2" t="str">
        <f>"REATOR ELETRONICO FC 1X22W LAMP CIRCULAR"</f>
        <v>REATOR ELETRONICO FC 1X22W LAMP CIRCULAR</v>
      </c>
      <c r="C19447" s="2" t="str">
        <f t="shared" si="763"/>
        <v>UN</v>
      </c>
      <c r="D19447" s="7">
        <v>601</v>
      </c>
      <c r="E19447" s="3">
        <v>8</v>
      </c>
      <c r="F19447" s="2">
        <v>2</v>
      </c>
      <c r="G19447" t="s">
        <v>514</v>
      </c>
    </row>
    <row r="19448" spans="1:7" x14ac:dyDescent="0.25">
      <c r="A19448" s="1" t="str">
        <f>"522970"</f>
        <v>522970</v>
      </c>
      <c r="B19448" s="2" t="str">
        <f>"REATOR ELETRONICO P/ GERMICIDA 10W A 41W BI VOLT JPN"</f>
        <v>REATOR ELETRONICO P/ GERMICIDA 10W A 41W BI VOLT JPN</v>
      </c>
      <c r="C19448" s="2" t="str">
        <f t="shared" si="763"/>
        <v>UN</v>
      </c>
      <c r="D19448" s="7">
        <v>811</v>
      </c>
      <c r="E19448" s="3">
        <v>10</v>
      </c>
      <c r="F19448" s="2">
        <v>7</v>
      </c>
      <c r="G19448" t="s">
        <v>514</v>
      </c>
    </row>
    <row r="19449" spans="1:7" x14ac:dyDescent="0.25">
      <c r="A19449" s="1" t="str">
        <f>"508127"</f>
        <v>508127</v>
      </c>
      <c r="B19449" s="2" t="str">
        <f>"REATOR EXTERNO VAPOR METALICO 400W"</f>
        <v>REATOR EXTERNO VAPOR METALICO 400W</v>
      </c>
      <c r="C19449" s="2" t="str">
        <f t="shared" si="763"/>
        <v>UN</v>
      </c>
      <c r="D19449" s="7">
        <v>601</v>
      </c>
      <c r="E19449" s="3">
        <v>8</v>
      </c>
      <c r="F19449" s="2">
        <v>9</v>
      </c>
      <c r="G19449" t="s">
        <v>513</v>
      </c>
    </row>
    <row r="19450" spans="1:7" x14ac:dyDescent="0.25">
      <c r="A19450" s="1" t="str">
        <f>"506082"</f>
        <v>506082</v>
      </c>
      <c r="B19450" s="2" t="str">
        <f>"REATOR PARTIDA RAPIDA 300W 220V"</f>
        <v>REATOR PARTIDA RAPIDA 300W 220V</v>
      </c>
      <c r="C19450" s="2" t="str">
        <f t="shared" si="763"/>
        <v>UN</v>
      </c>
      <c r="D19450" s="7">
        <v>601</v>
      </c>
      <c r="E19450" s="3">
        <v>8</v>
      </c>
      <c r="F19450" s="2">
        <v>0</v>
      </c>
      <c r="G19450" t="s">
        <v>512</v>
      </c>
    </row>
    <row r="19451" spans="1:7" x14ac:dyDescent="0.25">
      <c r="A19451" s="1" t="str">
        <f>"501415"</f>
        <v>501415</v>
      </c>
      <c r="B19451" s="2" t="str">
        <f>"REATOR VAP.MERC.400W*220V EXTERNO(2178)"</f>
        <v>REATOR VAP.MERC.400W*220V EXTERNO(2178)</v>
      </c>
      <c r="C19451" s="2" t="str">
        <f t="shared" si="763"/>
        <v>UN</v>
      </c>
      <c r="D19451" s="7">
        <v>601</v>
      </c>
      <c r="E19451" s="3">
        <v>8</v>
      </c>
      <c r="F19451" s="2">
        <v>0</v>
      </c>
      <c r="G19451" t="s">
        <v>513</v>
      </c>
    </row>
    <row r="19452" spans="1:7" x14ac:dyDescent="0.25">
      <c r="A19452" s="1" t="str">
        <f>"501409"</f>
        <v>501409</v>
      </c>
      <c r="B19452" s="2" t="str">
        <f>"REATOR VAPOR DE MERCURIO 400W EXTERNO"</f>
        <v>REATOR VAPOR DE MERCURIO 400W EXTERNO</v>
      </c>
      <c r="C19452" s="2" t="str">
        <f t="shared" si="763"/>
        <v>UN</v>
      </c>
      <c r="D19452" s="7">
        <v>601</v>
      </c>
      <c r="E19452" s="3">
        <v>8</v>
      </c>
      <c r="F19452" s="2">
        <v>4</v>
      </c>
      <c r="G19452" t="s">
        <v>514</v>
      </c>
    </row>
    <row r="19453" spans="1:7" x14ac:dyDescent="0.25">
      <c r="A19453" s="1" t="str">
        <f>"506355"</f>
        <v>506355</v>
      </c>
      <c r="B19453" s="2" t="str">
        <f>"REATOR VAPOR DE SODIO 400W"</f>
        <v>REATOR VAPOR DE SODIO 400W</v>
      </c>
      <c r="C19453" s="2" t="str">
        <f>"PC"</f>
        <v>PC</v>
      </c>
      <c r="D19453" s="7">
        <v>601</v>
      </c>
      <c r="E19453" s="3">
        <v>8</v>
      </c>
      <c r="F19453" s="2">
        <v>1</v>
      </c>
      <c r="G19453" t="s">
        <v>514</v>
      </c>
    </row>
    <row r="19454" spans="1:7" x14ac:dyDescent="0.25">
      <c r="A19454" s="1" t="str">
        <f>"516897"</f>
        <v>516897</v>
      </c>
      <c r="B19454" s="2" t="str">
        <f>"REATOR VAPOR METALICO EXTERNO 250W 220V AE2526MT HGE"</f>
        <v>REATOR VAPOR METALICO EXTERNO 250W 220V AE2526MT HGE</v>
      </c>
      <c r="C19454" s="2" t="str">
        <f t="shared" ref="C19454:C19498" si="764">"UN"</f>
        <v>UN</v>
      </c>
      <c r="D19454" s="7">
        <v>601</v>
      </c>
      <c r="E19454" s="3">
        <v>8</v>
      </c>
      <c r="F19454" s="2">
        <v>2</v>
      </c>
      <c r="G19454" t="s">
        <v>514</v>
      </c>
    </row>
    <row r="19455" spans="1:7" x14ac:dyDescent="0.25">
      <c r="A19455" s="1" t="str">
        <f>"517864"</f>
        <v>517864</v>
      </c>
      <c r="B19455" s="2" t="str">
        <f>"REATOR VAPOR SODIO 150W"</f>
        <v>REATOR VAPOR SODIO 150W</v>
      </c>
      <c r="C19455" s="2" t="str">
        <f t="shared" si="764"/>
        <v>UN</v>
      </c>
      <c r="D19455" s="7">
        <v>811</v>
      </c>
      <c r="E19455" s="3">
        <v>8</v>
      </c>
      <c r="F19455" s="2">
        <v>7</v>
      </c>
      <c r="G19455" t="s">
        <v>513</v>
      </c>
    </row>
    <row r="19456" spans="1:7" x14ac:dyDescent="0.25">
      <c r="A19456" s="1" t="str">
        <f>"516439"</f>
        <v>516439</v>
      </c>
      <c r="B19456" s="2" t="str">
        <f>"REATOR VAPOR SODIO 250W"</f>
        <v>REATOR VAPOR SODIO 250W</v>
      </c>
      <c r="C19456" s="2" t="str">
        <f t="shared" si="764"/>
        <v>UN</v>
      </c>
      <c r="D19456" s="7">
        <v>811</v>
      </c>
      <c r="E19456" s="3">
        <v>8</v>
      </c>
      <c r="F19456" s="2">
        <v>9</v>
      </c>
      <c r="G19456" t="s">
        <v>513</v>
      </c>
    </row>
    <row r="19457" spans="1:7" x14ac:dyDescent="0.25">
      <c r="A19457" s="1" t="str">
        <f>"511517"</f>
        <v>511517</v>
      </c>
      <c r="B19457" s="2" t="str">
        <f>"REB AL MCO CAB LENT 3/16 X 1/2"""</f>
        <v>REB AL MCO CAB LENT 3/16 X 1/2"</v>
      </c>
      <c r="C19457" s="2" t="str">
        <f t="shared" si="764"/>
        <v>UN</v>
      </c>
      <c r="D19457" s="7">
        <v>704</v>
      </c>
      <c r="E19457" s="3">
        <v>9</v>
      </c>
      <c r="F19457" s="5">
        <v>5</v>
      </c>
      <c r="G19457" t="s">
        <v>513</v>
      </c>
    </row>
    <row r="19458" spans="1:7" x14ac:dyDescent="0.25">
      <c r="A19458" s="1" t="str">
        <f>"505457"</f>
        <v>505457</v>
      </c>
      <c r="B19458" s="2" t="str">
        <f>"REBITADOR POP"</f>
        <v>REBITADOR POP</v>
      </c>
      <c r="C19458" s="2" t="str">
        <f t="shared" si="764"/>
        <v>UN</v>
      </c>
      <c r="D19458" s="7">
        <v>402</v>
      </c>
      <c r="E19458" s="3">
        <v>4</v>
      </c>
      <c r="F19458" s="2">
        <v>3</v>
      </c>
      <c r="G19458" t="s">
        <v>512</v>
      </c>
    </row>
    <row r="19459" spans="1:7" x14ac:dyDescent="0.25">
      <c r="A19459" s="1" t="str">
        <f>"527171"</f>
        <v>527171</v>
      </c>
      <c r="B19459" s="2" t="str">
        <f>"REBITE 1/8 X 5/16 BRANCO"</f>
        <v>REBITE 1/8 X 5/16 BRANCO</v>
      </c>
      <c r="C19459" s="2" t="str">
        <f t="shared" si="764"/>
        <v>UN</v>
      </c>
      <c r="D19459" s="7">
        <v>800</v>
      </c>
      <c r="E19459" s="3">
        <v>10</v>
      </c>
      <c r="F19459" s="2">
        <v>8</v>
      </c>
      <c r="G19459" t="s">
        <v>513</v>
      </c>
    </row>
    <row r="19460" spans="1:7" x14ac:dyDescent="0.25">
      <c r="A19460" s="1" t="str">
        <f>"511714"</f>
        <v>511714</v>
      </c>
      <c r="B19460" s="2" t="str">
        <f>"REBITE 3,2X12MM"</f>
        <v>REBITE 3,2X12MM</v>
      </c>
      <c r="C19460" s="2" t="str">
        <f t="shared" si="764"/>
        <v>UN</v>
      </c>
      <c r="D19460" s="7">
        <v>601</v>
      </c>
      <c r="E19460" s="3">
        <v>8</v>
      </c>
      <c r="F19460" s="2">
        <v>6</v>
      </c>
      <c r="G19460" t="s">
        <v>514</v>
      </c>
    </row>
    <row r="19461" spans="1:7" x14ac:dyDescent="0.25">
      <c r="A19461" s="1" t="str">
        <f>"503488"</f>
        <v>503488</v>
      </c>
      <c r="B19461" s="2" t="str">
        <f>"REBITE 3/8 FERRO"</f>
        <v>REBITE 3/8 FERRO</v>
      </c>
      <c r="C19461" s="2" t="str">
        <f t="shared" si="764"/>
        <v>UN</v>
      </c>
      <c r="D19461" s="7">
        <v>704</v>
      </c>
      <c r="E19461" s="3">
        <v>9</v>
      </c>
      <c r="F19461" s="2">
        <v>4</v>
      </c>
      <c r="G19461" t="s">
        <v>515</v>
      </c>
    </row>
    <row r="19462" spans="1:7" x14ac:dyDescent="0.25">
      <c r="A19462" s="1" t="str">
        <f>"501277"</f>
        <v>501277</v>
      </c>
      <c r="B19462" s="2" t="str">
        <f>"REBITE ALUMINIO"</f>
        <v>REBITE ALUMINIO</v>
      </c>
      <c r="C19462" s="2" t="str">
        <f t="shared" si="764"/>
        <v>UN</v>
      </c>
      <c r="D19462" s="7">
        <v>402</v>
      </c>
      <c r="E19462" s="3">
        <v>4</v>
      </c>
      <c r="F19462" s="2">
        <v>1</v>
      </c>
      <c r="G19462" t="s">
        <v>512</v>
      </c>
    </row>
    <row r="19463" spans="1:7" x14ac:dyDescent="0.25">
      <c r="A19463" s="1" t="str">
        <f>"512828"</f>
        <v>512828</v>
      </c>
      <c r="B19463" s="2" t="str">
        <f>"REBITE ALUMINIO 3 X 12MM"</f>
        <v>REBITE ALUMINIO 3 X 12MM</v>
      </c>
      <c r="C19463" s="2" t="str">
        <f t="shared" si="764"/>
        <v>UN</v>
      </c>
      <c r="D19463" s="7">
        <v>99999</v>
      </c>
      <c r="E19463" s="3">
        <v>99</v>
      </c>
      <c r="F19463" s="2">
        <v>2</v>
      </c>
      <c r="G19463" t="s">
        <v>516</v>
      </c>
    </row>
    <row r="19464" spans="1:7" x14ac:dyDescent="0.25">
      <c r="A19464" s="1" t="str">
        <f>"501712"</f>
        <v>501712</v>
      </c>
      <c r="B19464" s="2" t="str">
        <f>"REBITE ALUMINIO 3 X 16MM"</f>
        <v>REBITE ALUMINIO 3 X 16MM</v>
      </c>
      <c r="C19464" s="2" t="str">
        <f t="shared" si="764"/>
        <v>UN</v>
      </c>
      <c r="D19464" s="7">
        <v>99999</v>
      </c>
      <c r="E19464" s="3">
        <v>99</v>
      </c>
      <c r="F19464" s="2">
        <v>7</v>
      </c>
      <c r="G19464" t="s">
        <v>515</v>
      </c>
    </row>
    <row r="19465" spans="1:7" x14ac:dyDescent="0.25">
      <c r="A19465" s="1" t="str">
        <f>"501422"</f>
        <v>501422</v>
      </c>
      <c r="B19465" s="2" t="str">
        <f>"REBITE ALUMINIO 3,2X10MM REF. M312"</f>
        <v>REBITE ALUMINIO 3,2X10MM REF. M312</v>
      </c>
      <c r="C19465" s="2" t="str">
        <f t="shared" si="764"/>
        <v>UN</v>
      </c>
      <c r="D19465" s="7">
        <v>402</v>
      </c>
      <c r="E19465" s="3">
        <v>4</v>
      </c>
      <c r="F19465" s="2">
        <v>9</v>
      </c>
      <c r="G19465" t="s">
        <v>514</v>
      </c>
    </row>
    <row r="19466" spans="1:7" x14ac:dyDescent="0.25">
      <c r="A19466" s="1" t="str">
        <f>"508089"</f>
        <v>508089</v>
      </c>
      <c r="B19466" s="2" t="str">
        <f>"REBITE ALUMINIO 4 x 22MM"</f>
        <v>REBITE ALUMINIO 4 x 22MM</v>
      </c>
      <c r="C19466" s="2" t="str">
        <f t="shared" si="764"/>
        <v>UN</v>
      </c>
      <c r="D19466" s="7">
        <v>402</v>
      </c>
      <c r="E19466" s="3">
        <v>4</v>
      </c>
      <c r="F19466" s="2">
        <v>0</v>
      </c>
      <c r="G19466" t="s">
        <v>512</v>
      </c>
    </row>
    <row r="19467" spans="1:7" x14ac:dyDescent="0.25">
      <c r="A19467" s="1" t="str">
        <f>"512444"</f>
        <v>512444</v>
      </c>
      <c r="B19467" s="2" t="str">
        <f>"REBITE ALUMINIO 5 X 16MM"</f>
        <v>REBITE ALUMINIO 5 X 16MM</v>
      </c>
      <c r="C19467" s="2" t="str">
        <f t="shared" si="764"/>
        <v>UN</v>
      </c>
      <c r="D19467" s="7">
        <v>402</v>
      </c>
      <c r="E19467" s="3">
        <v>4</v>
      </c>
      <c r="F19467" s="2">
        <v>0</v>
      </c>
      <c r="G19467" t="s">
        <v>513</v>
      </c>
    </row>
    <row r="19468" spans="1:7" x14ac:dyDescent="0.25">
      <c r="A19468" s="1" t="str">
        <f>"519725"</f>
        <v>519725</v>
      </c>
      <c r="B19468" s="2" t="str">
        <f>"REBITE ALUMINIO 5 X 22MM"</f>
        <v>REBITE ALUMINIO 5 X 22MM</v>
      </c>
      <c r="C19468" s="2" t="str">
        <f t="shared" si="764"/>
        <v>UN</v>
      </c>
      <c r="D19468" s="7">
        <v>402</v>
      </c>
      <c r="E19468" s="3">
        <v>4</v>
      </c>
      <c r="F19468" s="2">
        <v>2</v>
      </c>
      <c r="G19468" t="s">
        <v>514</v>
      </c>
    </row>
    <row r="19469" spans="1:7" x14ac:dyDescent="0.25">
      <c r="A19469" s="1" t="str">
        <f>"504390"</f>
        <v>504390</v>
      </c>
      <c r="B19469" s="2" t="str">
        <f>"REBITE ALUMINIO AD-470-S"</f>
        <v>REBITE ALUMINIO AD-470-S</v>
      </c>
      <c r="C19469" s="2" t="str">
        <f t="shared" si="764"/>
        <v>UN</v>
      </c>
      <c r="D19469" s="7">
        <v>704</v>
      </c>
      <c r="E19469" s="3">
        <v>9</v>
      </c>
      <c r="F19469" s="2">
        <v>5</v>
      </c>
      <c r="G19469" t="s">
        <v>514</v>
      </c>
    </row>
    <row r="19470" spans="1:7" x14ac:dyDescent="0.25">
      <c r="A19470" s="1" t="str">
        <f>"504389"</f>
        <v>504389</v>
      </c>
      <c r="B19470" s="2" t="str">
        <f>"REBITE ALUMINIO AD-665-S"</f>
        <v>REBITE ALUMINIO AD-665-S</v>
      </c>
      <c r="C19470" s="2" t="str">
        <f t="shared" si="764"/>
        <v>UN</v>
      </c>
      <c r="D19470" s="7">
        <v>704</v>
      </c>
      <c r="E19470" s="3">
        <v>9</v>
      </c>
      <c r="F19470" s="2">
        <v>6</v>
      </c>
      <c r="G19470" t="s">
        <v>512</v>
      </c>
    </row>
    <row r="19471" spans="1:7" x14ac:dyDescent="0.25">
      <c r="A19471" s="1" t="str">
        <f>"502144"</f>
        <v>502144</v>
      </c>
      <c r="B19471" s="2" t="str">
        <f>"REBITE ALUMINIO MACIÇO 10MMX14MM"</f>
        <v>REBITE ALUMINIO MACIÇO 10MMX14MM</v>
      </c>
      <c r="C19471" s="2" t="str">
        <f t="shared" si="764"/>
        <v>UN</v>
      </c>
      <c r="D19471" s="7">
        <v>99999</v>
      </c>
      <c r="E19471" s="3">
        <v>99</v>
      </c>
      <c r="F19471" s="2">
        <v>9</v>
      </c>
      <c r="G19471" t="s">
        <v>513</v>
      </c>
    </row>
    <row r="19472" spans="1:7" x14ac:dyDescent="0.25">
      <c r="A19472" s="1" t="str">
        <f>"501477"</f>
        <v>501477</v>
      </c>
      <c r="B19472" s="2" t="str">
        <f>"REBITE DE ALUMINIO BRANCO 4,0X15MM"</f>
        <v>REBITE DE ALUMINIO BRANCO 4,0X15MM</v>
      </c>
      <c r="C19472" s="2" t="str">
        <f t="shared" si="764"/>
        <v>UN</v>
      </c>
      <c r="D19472" s="7">
        <v>402</v>
      </c>
      <c r="E19472" s="3">
        <v>4</v>
      </c>
      <c r="F19472" s="2">
        <v>5</v>
      </c>
      <c r="G19472" t="s">
        <v>514</v>
      </c>
    </row>
    <row r="19473" spans="1:7" x14ac:dyDescent="0.25">
      <c r="A19473" s="1" t="str">
        <f>"502495"</f>
        <v>502495</v>
      </c>
      <c r="B19473" s="2" t="str">
        <f>"REBITE DE BRAÇADEIRA"</f>
        <v>REBITE DE BRAÇADEIRA</v>
      </c>
      <c r="C19473" s="2" t="str">
        <f t="shared" si="764"/>
        <v>UN</v>
      </c>
      <c r="D19473" s="7">
        <v>704</v>
      </c>
      <c r="E19473" s="3">
        <v>9</v>
      </c>
      <c r="F19473" s="2">
        <v>3</v>
      </c>
      <c r="G19473" t="s">
        <v>514</v>
      </c>
    </row>
    <row r="19474" spans="1:7" x14ac:dyDescent="0.25">
      <c r="A19474" s="1" t="str">
        <f>"509722"</f>
        <v>509722</v>
      </c>
      <c r="B19474" s="2" t="str">
        <f>"REBITE DE REPUXO ALUMINIO 3 X 16"</f>
        <v>REBITE DE REPUXO ALUMINIO 3 X 16</v>
      </c>
      <c r="C19474" s="2" t="str">
        <f t="shared" si="764"/>
        <v>UN</v>
      </c>
      <c r="D19474" s="7">
        <v>918</v>
      </c>
      <c r="E19474" s="3">
        <v>11</v>
      </c>
      <c r="F19474" s="2">
        <v>3</v>
      </c>
      <c r="G19474" t="s">
        <v>514</v>
      </c>
    </row>
    <row r="19475" spans="1:7" x14ac:dyDescent="0.25">
      <c r="A19475" s="1" t="str">
        <f>"509721"</f>
        <v>509721</v>
      </c>
      <c r="B19475" s="2" t="str">
        <f>"REBITE DE REPUXO ALUMINIO 4 X 16MM"</f>
        <v>REBITE DE REPUXO ALUMINIO 4 X 16MM</v>
      </c>
      <c r="C19475" s="2" t="str">
        <f t="shared" si="764"/>
        <v>UN</v>
      </c>
      <c r="D19475" s="7">
        <v>918</v>
      </c>
      <c r="E19475" s="3">
        <v>11</v>
      </c>
      <c r="F19475" s="2">
        <v>2</v>
      </c>
      <c r="G19475" t="s">
        <v>513</v>
      </c>
    </row>
    <row r="19476" spans="1:7" x14ac:dyDescent="0.25">
      <c r="A19476" s="1" t="str">
        <f>"512912"</f>
        <v>512912</v>
      </c>
      <c r="B19476" s="2" t="str">
        <f>"REBITE DE REPUXO ALUMINIO 4 X 19MM"</f>
        <v>REBITE DE REPUXO ALUMINIO 4 X 19MM</v>
      </c>
      <c r="C19476" s="2" t="str">
        <f t="shared" si="764"/>
        <v>UN</v>
      </c>
      <c r="D19476" s="7">
        <v>918</v>
      </c>
      <c r="E19476" s="3">
        <v>11</v>
      </c>
      <c r="F19476" s="2">
        <v>1</v>
      </c>
      <c r="G19476" t="s">
        <v>512</v>
      </c>
    </row>
    <row r="19477" spans="1:7" x14ac:dyDescent="0.25">
      <c r="A19477" s="1" t="str">
        <f>"510065"</f>
        <v>510065</v>
      </c>
      <c r="B19477" s="2" t="str">
        <f>"REBITE POP ALUMINIO BRANCO 4,0X15MM"</f>
        <v>REBITE POP ALUMINIO BRANCO 4,0X15MM</v>
      </c>
      <c r="C19477" s="2" t="str">
        <f t="shared" si="764"/>
        <v>UN</v>
      </c>
      <c r="D19477" s="7">
        <v>812</v>
      </c>
      <c r="E19477" s="3">
        <v>10</v>
      </c>
      <c r="F19477" s="2">
        <v>4</v>
      </c>
      <c r="G19477" t="s">
        <v>513</v>
      </c>
    </row>
    <row r="19478" spans="1:7" x14ac:dyDescent="0.25">
      <c r="A19478" s="1" t="str">
        <f>"517505"</f>
        <v>517505</v>
      </c>
      <c r="B19478" s="2" t="str">
        <f>"REBITE POP BRANCO 310 (PACOTE 1000PÇS)"</f>
        <v>REBITE POP BRANCO 310 (PACOTE 1000PÇS)</v>
      </c>
      <c r="C19478" s="2" t="str">
        <f t="shared" si="764"/>
        <v>UN</v>
      </c>
      <c r="D19478" s="7">
        <v>918</v>
      </c>
      <c r="E19478" s="3">
        <v>10</v>
      </c>
      <c r="F19478" s="2">
        <v>6</v>
      </c>
      <c r="G19478" t="s">
        <v>514</v>
      </c>
    </row>
    <row r="19479" spans="1:7" x14ac:dyDescent="0.25">
      <c r="A19479" s="1" t="str">
        <f>"501960"</f>
        <v>501960</v>
      </c>
      <c r="B19479" s="2" t="str">
        <f>"REBITE REPUXO 3,2X10MM REF. 23603"</f>
        <v>REBITE REPUXO 3,2X10MM REF. 23603</v>
      </c>
      <c r="C19479" s="2" t="str">
        <f t="shared" si="764"/>
        <v>UN</v>
      </c>
      <c r="D19479" s="7">
        <v>704</v>
      </c>
      <c r="E19479" s="3">
        <v>9</v>
      </c>
      <c r="F19479" s="2">
        <v>8</v>
      </c>
      <c r="G19479" t="s">
        <v>514</v>
      </c>
    </row>
    <row r="19480" spans="1:7" x14ac:dyDescent="0.25">
      <c r="A19480" s="1" t="str">
        <f>"511941"</f>
        <v>511941</v>
      </c>
      <c r="B19480" s="2" t="str">
        <f>"REBOLO 100X100X19.1 (MEDIO)"</f>
        <v>REBOLO 100X100X19.1 (MEDIO)</v>
      </c>
      <c r="C19480" s="2" t="str">
        <f t="shared" si="764"/>
        <v>UN</v>
      </c>
      <c r="D19480" s="7">
        <v>402</v>
      </c>
      <c r="E19480" s="3">
        <v>4</v>
      </c>
      <c r="F19480" s="2">
        <v>7</v>
      </c>
      <c r="G19480" t="s">
        <v>514</v>
      </c>
    </row>
    <row r="19481" spans="1:7" x14ac:dyDescent="0.25">
      <c r="A19481" s="1" t="str">
        <f>"527847"</f>
        <v>527847</v>
      </c>
      <c r="B19481" s="2" t="str">
        <f>"REBOLO DE POLITRIZ 60 PG"</f>
        <v>REBOLO DE POLITRIZ 60 PG</v>
      </c>
      <c r="C19481" s="2" t="str">
        <f t="shared" si="764"/>
        <v>UN</v>
      </c>
      <c r="D19481" s="7">
        <v>402</v>
      </c>
      <c r="E19481" s="3">
        <v>4</v>
      </c>
      <c r="F19481" s="2">
        <v>6</v>
      </c>
      <c r="G19481" t="s">
        <v>513</v>
      </c>
    </row>
    <row r="19482" spans="1:7" x14ac:dyDescent="0.25">
      <c r="A19482" s="1" t="str">
        <f>"527846"</f>
        <v>527846</v>
      </c>
      <c r="B19482" s="2" t="str">
        <f>"REBOLO DE POLITRIZ 80 PG"</f>
        <v>REBOLO DE POLITRIZ 80 PG</v>
      </c>
      <c r="C19482" s="2" t="str">
        <f t="shared" si="764"/>
        <v>UN</v>
      </c>
      <c r="D19482" s="7">
        <v>402</v>
      </c>
      <c r="E19482" s="3">
        <v>4</v>
      </c>
      <c r="F19482" s="2">
        <v>6</v>
      </c>
      <c r="G19482" t="s">
        <v>513</v>
      </c>
    </row>
    <row r="19483" spans="1:7" x14ac:dyDescent="0.25">
      <c r="A19483" s="1" t="str">
        <f>"500879"</f>
        <v>500879</v>
      </c>
      <c r="B19483" s="2" t="str">
        <f>"REBOLO VIDEA 6X3/4 ESMERIL REF.A60634RT"</f>
        <v>REBOLO VIDEA 6X3/4 ESMERIL REF.A60634RT</v>
      </c>
      <c r="C19483" s="2" t="str">
        <f t="shared" si="764"/>
        <v>UN</v>
      </c>
      <c r="D19483" s="7">
        <v>402</v>
      </c>
      <c r="E19483" s="3">
        <v>4</v>
      </c>
      <c r="F19483" s="2">
        <v>2</v>
      </c>
      <c r="G19483" t="s">
        <v>513</v>
      </c>
    </row>
    <row r="19484" spans="1:7" x14ac:dyDescent="0.25">
      <c r="A19484" s="1" t="str">
        <f>"507025"</f>
        <v>507025</v>
      </c>
      <c r="B19484" s="2" t="str">
        <f>"REBOQUE MOTOPLASTICO CARGA 200KG BRANCO"</f>
        <v>REBOQUE MOTOPLASTICO CARGA 200KG BRANCO</v>
      </c>
      <c r="C19484" s="2" t="str">
        <f t="shared" si="764"/>
        <v>UN</v>
      </c>
      <c r="D19484" s="7">
        <v>402</v>
      </c>
      <c r="E19484" s="3">
        <v>4</v>
      </c>
      <c r="F19484" s="2">
        <v>1</v>
      </c>
      <c r="G19484" t="s">
        <v>512</v>
      </c>
    </row>
    <row r="19485" spans="1:7" x14ac:dyDescent="0.25">
      <c r="A19485" s="1" t="str">
        <f>"522106"</f>
        <v>522106</v>
      </c>
      <c r="B19485" s="2" t="str">
        <f>"REBOTEC 500G"</f>
        <v>REBOTEC 500G</v>
      </c>
      <c r="C19485" s="2" t="str">
        <f t="shared" si="764"/>
        <v>UN</v>
      </c>
      <c r="D19485" s="7">
        <v>803</v>
      </c>
      <c r="E19485" s="3">
        <v>10</v>
      </c>
      <c r="F19485" s="2">
        <v>0</v>
      </c>
      <c r="G19485" t="s">
        <v>513</v>
      </c>
    </row>
    <row r="19486" spans="1:7" x14ac:dyDescent="0.25">
      <c r="A19486" s="1" t="str">
        <f>"520796"</f>
        <v>520796</v>
      </c>
      <c r="B19486" s="2" t="str">
        <f>"RECADO NOTE CLIPS"</f>
        <v>RECADO NOTE CLIPS</v>
      </c>
      <c r="C19486" s="2" t="str">
        <f t="shared" si="764"/>
        <v>UN</v>
      </c>
      <c r="D19486" s="7">
        <v>401</v>
      </c>
      <c r="E19486" s="3">
        <v>4</v>
      </c>
      <c r="F19486" s="2">
        <v>0</v>
      </c>
      <c r="G19486" t="s">
        <v>514</v>
      </c>
    </row>
    <row r="19487" spans="1:7" x14ac:dyDescent="0.25">
      <c r="A19487" s="1" t="str">
        <f>"510531"</f>
        <v>510531</v>
      </c>
      <c r="B19487" s="2" t="str">
        <f>"RECARTILHO SOLDADOR"</f>
        <v>RECARTILHO SOLDADOR</v>
      </c>
      <c r="C19487" s="2" t="str">
        <f t="shared" si="764"/>
        <v>UN</v>
      </c>
      <c r="D19487" s="7">
        <v>918</v>
      </c>
      <c r="E19487" s="3">
        <v>11</v>
      </c>
      <c r="F19487" s="2">
        <v>0</v>
      </c>
      <c r="G19487" t="s">
        <v>515</v>
      </c>
    </row>
    <row r="19488" spans="1:7" x14ac:dyDescent="0.25">
      <c r="A19488" s="1" t="str">
        <f>"511689"</f>
        <v>511689</v>
      </c>
      <c r="B19488" s="2" t="str">
        <f>"RECEPTACULO MORUMBI 450 N1450"</f>
        <v>RECEPTACULO MORUMBI 450 N1450</v>
      </c>
      <c r="C19488" s="2" t="str">
        <f t="shared" si="764"/>
        <v>UN</v>
      </c>
      <c r="D19488" s="7">
        <v>601</v>
      </c>
      <c r="E19488" s="3">
        <v>8</v>
      </c>
      <c r="F19488" s="2">
        <v>3</v>
      </c>
      <c r="G19488" t="s">
        <v>512</v>
      </c>
    </row>
    <row r="19489" spans="1:7" x14ac:dyDescent="0.25">
      <c r="A19489" s="1" t="str">
        <f>"515687"</f>
        <v>515687</v>
      </c>
      <c r="B19489" s="2" t="str">
        <f>"RECEPTOR PARABOLICA HD"</f>
        <v>RECEPTOR PARABOLICA HD</v>
      </c>
      <c r="C19489" s="2" t="str">
        <f t="shared" si="764"/>
        <v>UN</v>
      </c>
      <c r="D19489" s="7">
        <v>401</v>
      </c>
      <c r="E19489" s="3">
        <v>4</v>
      </c>
      <c r="F19489" s="5">
        <v>5</v>
      </c>
      <c r="G19489" t="s">
        <v>516</v>
      </c>
    </row>
    <row r="19490" spans="1:7" x14ac:dyDescent="0.25">
      <c r="A19490" s="1" t="str">
        <f>"510904"</f>
        <v>510904</v>
      </c>
      <c r="B19490" s="2" t="str">
        <f>"RECH. VISCONTI CHOCOLATE"</f>
        <v>RECH. VISCONTI CHOCOLATE</v>
      </c>
      <c r="C19490" s="2" t="str">
        <f t="shared" si="764"/>
        <v>UN</v>
      </c>
      <c r="D19490" s="7">
        <v>401</v>
      </c>
      <c r="E19490" s="3">
        <v>4</v>
      </c>
      <c r="F19490" s="2">
        <v>3</v>
      </c>
      <c r="G19490" t="s">
        <v>515</v>
      </c>
    </row>
    <row r="19491" spans="1:7" x14ac:dyDescent="0.25">
      <c r="A19491" s="1" t="str">
        <f>"523366"</f>
        <v>523366</v>
      </c>
      <c r="B19491" s="2" t="str">
        <f>"RECHEIO DOCE DE LEITE 1000GR"</f>
        <v>RECHEIO DOCE DE LEITE 1000GR</v>
      </c>
      <c r="C19491" s="2" t="str">
        <f t="shared" si="764"/>
        <v>UN</v>
      </c>
      <c r="D19491" s="7">
        <v>99999</v>
      </c>
      <c r="E19491" s="3">
        <v>99</v>
      </c>
      <c r="F19491" s="2">
        <v>8</v>
      </c>
      <c r="G19491" t="s">
        <v>514</v>
      </c>
    </row>
    <row r="19492" spans="1:7" x14ac:dyDescent="0.25">
      <c r="A19492" s="1" t="str">
        <f>"514702"</f>
        <v>514702</v>
      </c>
      <c r="B19492" s="2" t="str">
        <f>"RECIBO COMERCIAL"</f>
        <v>RECIBO COMERCIAL</v>
      </c>
      <c r="C19492" s="2" t="str">
        <f t="shared" si="764"/>
        <v>UN</v>
      </c>
      <c r="D19492" s="7">
        <v>401</v>
      </c>
      <c r="E19492" s="3">
        <v>4</v>
      </c>
      <c r="F19492" s="2">
        <v>6</v>
      </c>
      <c r="G19492" t="s">
        <v>512</v>
      </c>
    </row>
    <row r="19493" spans="1:7" x14ac:dyDescent="0.25">
      <c r="A19493" s="1" t="str">
        <f>"517002"</f>
        <v>517002</v>
      </c>
      <c r="B19493" s="2" t="str">
        <f>"RECIPIENTE LIQUIDO 3000LT"</f>
        <v>RECIPIENTE LIQUIDO 3000LT</v>
      </c>
      <c r="C19493" s="2" t="str">
        <f t="shared" si="764"/>
        <v>UN</v>
      </c>
      <c r="D19493" s="7">
        <v>915</v>
      </c>
      <c r="E19493" s="3">
        <v>10</v>
      </c>
      <c r="F19493" s="2">
        <v>4</v>
      </c>
      <c r="G19493" t="s">
        <v>513</v>
      </c>
    </row>
    <row r="19494" spans="1:7" x14ac:dyDescent="0.25">
      <c r="A19494" s="1" t="str">
        <f>"521798"</f>
        <v>521798</v>
      </c>
      <c r="B19494" s="2" t="str">
        <f>"RECUPERAÇÃO DA SEDE DO HOMOGENEIZADOR"</f>
        <v>RECUPERAÇÃO DA SEDE DO HOMOGENEIZADOR</v>
      </c>
      <c r="C19494" s="2" t="str">
        <f t="shared" si="764"/>
        <v>UN</v>
      </c>
      <c r="D19494" s="7">
        <v>918</v>
      </c>
      <c r="E19494" s="3">
        <v>10</v>
      </c>
      <c r="F19494" s="2">
        <v>1</v>
      </c>
      <c r="G19494" t="s">
        <v>514</v>
      </c>
    </row>
    <row r="19495" spans="1:7" x14ac:dyDescent="0.25">
      <c r="A19495" s="1" t="str">
        <f>"521799"</f>
        <v>521799</v>
      </c>
      <c r="B19495" s="2" t="str">
        <f>"RECUPERAÇÃO DA SEDE SUC/DESC. HOMOGENEIZADOR"</f>
        <v>RECUPERAÇÃO DA SEDE SUC/DESC. HOMOGENEIZADOR</v>
      </c>
      <c r="C19495" s="2" t="str">
        <f t="shared" si="764"/>
        <v>UN</v>
      </c>
      <c r="D19495" s="7">
        <v>918</v>
      </c>
      <c r="E19495" s="3">
        <v>10</v>
      </c>
      <c r="F19495" s="2">
        <v>2</v>
      </c>
      <c r="G19495" t="s">
        <v>514</v>
      </c>
    </row>
    <row r="19496" spans="1:7" x14ac:dyDescent="0.25">
      <c r="A19496" s="1" t="str">
        <f>"521797"</f>
        <v>521797</v>
      </c>
      <c r="B19496" s="2" t="str">
        <f>"RECUPERAÇÃO DA VALVULA DO HOMOGENEIZADOR"</f>
        <v>RECUPERAÇÃO DA VALVULA DO HOMOGENEIZADOR</v>
      </c>
      <c r="C19496" s="2" t="str">
        <f t="shared" si="764"/>
        <v>UN</v>
      </c>
      <c r="D19496" s="7">
        <v>918</v>
      </c>
      <c r="E19496" s="3">
        <v>10</v>
      </c>
      <c r="F19496" s="2">
        <v>7</v>
      </c>
      <c r="G19496" t="s">
        <v>512</v>
      </c>
    </row>
    <row r="19497" spans="1:7" x14ac:dyDescent="0.25">
      <c r="A19497" s="1" t="str">
        <f>"521800"</f>
        <v>521800</v>
      </c>
      <c r="B19497" s="2" t="str">
        <f>"RECUPERAÇÃO DA VALVULA SUC/DESC. HOMOGENEIZADOR"</f>
        <v>RECUPERAÇÃO DA VALVULA SUC/DESC. HOMOGENEIZADOR</v>
      </c>
      <c r="C19497" s="2" t="str">
        <f t="shared" si="764"/>
        <v>UN</v>
      </c>
      <c r="D19497" s="7">
        <v>918</v>
      </c>
      <c r="E19497" s="3">
        <v>10</v>
      </c>
      <c r="F19497" s="2">
        <v>9</v>
      </c>
      <c r="G19497" t="s">
        <v>513</v>
      </c>
    </row>
    <row r="19498" spans="1:7" x14ac:dyDescent="0.25">
      <c r="A19498" s="1" t="str">
        <f>"521035"</f>
        <v>521035</v>
      </c>
      <c r="B19498" s="2" t="str">
        <f>"RECUPERAÇÃO FERRAMENTA CORTTE 24 POTES VAF SEC DINI 550M"</f>
        <v>RECUPERAÇÃO FERRAMENTA CORTTE 24 POTES VAF SEC DINI 550M</v>
      </c>
      <c r="C19498" s="2" t="str">
        <f t="shared" si="764"/>
        <v>UN</v>
      </c>
      <c r="D19498" s="7">
        <v>918</v>
      </c>
      <c r="E19498" s="3">
        <v>10</v>
      </c>
      <c r="F19498" s="2">
        <v>0</v>
      </c>
      <c r="G19498" t="s">
        <v>514</v>
      </c>
    </row>
    <row r="19499" spans="1:7" x14ac:dyDescent="0.25">
      <c r="A19499" s="1" t="str">
        <f>"523256"</f>
        <v>523256</v>
      </c>
      <c r="B19499" s="2" t="str">
        <f>"RED AÇO CARBONO CONC. SCH40 1 1/2X 1 1/4"""</f>
        <v>RED AÇO CARBONO CONC. SCH40 1 1/2X 1 1/4"</v>
      </c>
      <c r="C19499" s="2" t="str">
        <f t="shared" ref="C19499:C19506" si="765">"BR"</f>
        <v>BR</v>
      </c>
      <c r="D19499" s="7">
        <v>807</v>
      </c>
      <c r="E19499" s="3">
        <v>10</v>
      </c>
      <c r="F19499" s="2">
        <v>0</v>
      </c>
      <c r="G19499" t="s">
        <v>514</v>
      </c>
    </row>
    <row r="19500" spans="1:7" x14ac:dyDescent="0.25">
      <c r="A19500" s="1" t="str">
        <f>"523255"</f>
        <v>523255</v>
      </c>
      <c r="B19500" s="2" t="str">
        <f>"RED AÇO CARBONO CONC. SCH40 3 X 2 1/2"""</f>
        <v>RED AÇO CARBONO CONC. SCH40 3 X 2 1/2"</v>
      </c>
      <c r="C19500" s="2" t="str">
        <f t="shared" si="765"/>
        <v>BR</v>
      </c>
      <c r="D19500" s="7">
        <v>807</v>
      </c>
      <c r="E19500" s="3">
        <v>10</v>
      </c>
      <c r="F19500" s="2">
        <v>2</v>
      </c>
      <c r="G19500" t="s">
        <v>514</v>
      </c>
    </row>
    <row r="19501" spans="1:7" x14ac:dyDescent="0.25">
      <c r="A19501" s="1" t="str">
        <f>"523254"</f>
        <v>523254</v>
      </c>
      <c r="B19501" s="2" t="str">
        <f>"RED AÇO CARBONO CONC. SCH40 4 X 2"""</f>
        <v>RED AÇO CARBONO CONC. SCH40 4 X 2"</v>
      </c>
      <c r="C19501" s="2" t="str">
        <f t="shared" si="765"/>
        <v>BR</v>
      </c>
      <c r="D19501" s="7">
        <v>807</v>
      </c>
      <c r="E19501" s="3">
        <v>10</v>
      </c>
      <c r="F19501" s="2">
        <v>5</v>
      </c>
      <c r="G19501" t="s">
        <v>513</v>
      </c>
    </row>
    <row r="19502" spans="1:7" x14ac:dyDescent="0.25">
      <c r="A19502" s="1" t="str">
        <f>"502068"</f>
        <v>502068</v>
      </c>
      <c r="B19502" s="2" t="str">
        <f>"RED CONC S 2 1/2"" X 2"""</f>
        <v>RED CONC S 2 1/2" X 2"</v>
      </c>
      <c r="C19502" s="2" t="str">
        <f t="shared" si="765"/>
        <v>BR</v>
      </c>
      <c r="D19502" s="7">
        <v>807</v>
      </c>
      <c r="E19502" s="3">
        <v>10</v>
      </c>
      <c r="F19502" s="2">
        <v>6</v>
      </c>
      <c r="G19502" t="s">
        <v>512</v>
      </c>
    </row>
    <row r="19503" spans="1:7" x14ac:dyDescent="0.25">
      <c r="A19503" s="1" t="str">
        <f>"522468"</f>
        <v>522468</v>
      </c>
      <c r="B19503" s="2" t="str">
        <f>"RED CONC. 4 X 2"" PI/PE INOX 304"</f>
        <v>RED CONC. 4 X 2" PI/PE INOX 304</v>
      </c>
      <c r="C19503" s="2" t="str">
        <f t="shared" si="765"/>
        <v>BR</v>
      </c>
      <c r="D19503" s="7">
        <v>807</v>
      </c>
      <c r="E19503" s="3">
        <v>10</v>
      </c>
      <c r="F19503" s="2">
        <v>9</v>
      </c>
      <c r="G19503" t="s">
        <v>513</v>
      </c>
    </row>
    <row r="19504" spans="1:7" x14ac:dyDescent="0.25">
      <c r="A19504" s="1" t="str">
        <f>"501598"</f>
        <v>501598</v>
      </c>
      <c r="B19504" s="2" t="str">
        <f>"RED CONC. SCH40 1 X 1/2"""</f>
        <v>RED CONC. SCH40 1 X 1/2"</v>
      </c>
      <c r="C19504" s="2" t="str">
        <f t="shared" si="765"/>
        <v>BR</v>
      </c>
      <c r="D19504" s="7">
        <v>807</v>
      </c>
      <c r="E19504" s="3">
        <v>10</v>
      </c>
      <c r="F19504" s="2">
        <v>5</v>
      </c>
      <c r="G19504" t="s">
        <v>514</v>
      </c>
    </row>
    <row r="19505" spans="1:7" x14ac:dyDescent="0.25">
      <c r="A19505" s="1" t="str">
        <f>"519189"</f>
        <v>519189</v>
      </c>
      <c r="B19505" s="2" t="str">
        <f>"RED CONC. SCH40 1 X 3/4"""</f>
        <v>RED CONC. SCH40 1 X 3/4"</v>
      </c>
      <c r="C19505" s="2" t="str">
        <f t="shared" si="765"/>
        <v>BR</v>
      </c>
      <c r="D19505" s="7">
        <v>807</v>
      </c>
      <c r="E19505" s="3">
        <v>10</v>
      </c>
      <c r="F19505" s="2">
        <v>3</v>
      </c>
      <c r="G19505" t="s">
        <v>514</v>
      </c>
    </row>
    <row r="19506" spans="1:7" x14ac:dyDescent="0.25">
      <c r="A19506" s="1" t="str">
        <f>"519190"</f>
        <v>519190</v>
      </c>
      <c r="B19506" s="2" t="str">
        <f>"RED CONC. SCH40 3/4 X 1/2"""</f>
        <v>RED CONC. SCH40 3/4 X 1/2"</v>
      </c>
      <c r="C19506" s="2" t="str">
        <f t="shared" si="765"/>
        <v>BR</v>
      </c>
      <c r="D19506" s="7">
        <v>807</v>
      </c>
      <c r="E19506" s="3">
        <v>10</v>
      </c>
      <c r="F19506" s="2">
        <v>3</v>
      </c>
      <c r="G19506" t="s">
        <v>514</v>
      </c>
    </row>
    <row r="19507" spans="1:7" x14ac:dyDescent="0.25">
      <c r="A19507" s="1" t="str">
        <f>"522276"</f>
        <v>522276</v>
      </c>
      <c r="B19507" s="2" t="str">
        <f>"RED. A ESQ. 200X100MM AI DC"</f>
        <v>RED. A ESQ. 200X100MM AI DC</v>
      </c>
      <c r="C19507" s="2" t="str">
        <f>"UN"</f>
        <v>UN</v>
      </c>
      <c r="D19507" s="7">
        <v>811</v>
      </c>
      <c r="E19507" s="3">
        <v>8</v>
      </c>
      <c r="F19507" s="2">
        <v>2</v>
      </c>
      <c r="G19507" t="s">
        <v>513</v>
      </c>
    </row>
    <row r="19508" spans="1:7" x14ac:dyDescent="0.25">
      <c r="A19508" s="1" t="str">
        <f>"520994"</f>
        <v>520994</v>
      </c>
      <c r="B19508" s="2" t="str">
        <f>"RED. CONC."</f>
        <v>RED. CONC.</v>
      </c>
      <c r="C19508" s="2" t="str">
        <f>"UN"</f>
        <v>UN</v>
      </c>
      <c r="D19508" s="7">
        <v>811</v>
      </c>
      <c r="E19508" s="3">
        <v>8</v>
      </c>
      <c r="F19508" s="2">
        <v>1</v>
      </c>
      <c r="G19508" t="s">
        <v>513</v>
      </c>
    </row>
    <row r="19509" spans="1:7" x14ac:dyDescent="0.25">
      <c r="A19509" s="1" t="str">
        <f>"524762"</f>
        <v>524762</v>
      </c>
      <c r="B19509" s="2" t="str">
        <f>"RED. CONC. AI DC 100X50MM X 50X50MM"</f>
        <v>RED. CONC. AI DC 100X50MM X 50X50MM</v>
      </c>
      <c r="C19509" s="2" t="str">
        <f>"UN"</f>
        <v>UN</v>
      </c>
      <c r="D19509" s="7">
        <v>811</v>
      </c>
      <c r="E19509" s="3">
        <v>8</v>
      </c>
      <c r="F19509" s="2">
        <v>4</v>
      </c>
      <c r="G19509" t="s">
        <v>513</v>
      </c>
    </row>
    <row r="19510" spans="1:7" x14ac:dyDescent="0.25">
      <c r="A19510" s="1" t="str">
        <f>"522418"</f>
        <v>522418</v>
      </c>
      <c r="B19510" s="2" t="str">
        <f>"RED. CONC. BM014 P/ BM004"</f>
        <v>RED. CONC. BM014 P/ BM004</v>
      </c>
      <c r="C19510" s="2" t="str">
        <f>"UN"</f>
        <v>UN</v>
      </c>
      <c r="D19510" s="7">
        <v>811</v>
      </c>
      <c r="E19510" s="3">
        <v>10</v>
      </c>
      <c r="F19510" s="2">
        <v>1</v>
      </c>
      <c r="G19510" t="s">
        <v>512</v>
      </c>
    </row>
    <row r="19511" spans="1:7" x14ac:dyDescent="0.25">
      <c r="A19511" s="1" t="str">
        <f>"510813"</f>
        <v>510813</v>
      </c>
      <c r="B19511" s="2" t="str">
        <f>"RED. CONC. SCH40 1.1/2 X 1.1/4"</f>
        <v>RED. CONC. SCH40 1.1/2 X 1.1/4</v>
      </c>
      <c r="C19511" s="2" t="str">
        <f>"BR"</f>
        <v>BR</v>
      </c>
      <c r="D19511" s="7">
        <v>807</v>
      </c>
      <c r="E19511" s="3">
        <v>10</v>
      </c>
      <c r="F19511" s="2">
        <v>2</v>
      </c>
      <c r="G19511" t="s">
        <v>513</v>
      </c>
    </row>
    <row r="19512" spans="1:7" x14ac:dyDescent="0.25">
      <c r="A19512" s="1" t="str">
        <f>"510812"</f>
        <v>510812</v>
      </c>
      <c r="B19512" s="2" t="str">
        <f>"RED. CONC. SCH40 1.1/4 X 1/2"</f>
        <v>RED. CONC. SCH40 1.1/4 X 1/2</v>
      </c>
      <c r="C19512" s="2" t="str">
        <f>"BR"</f>
        <v>BR</v>
      </c>
      <c r="D19512" s="7">
        <v>807</v>
      </c>
      <c r="E19512" s="3">
        <v>10</v>
      </c>
      <c r="F19512" s="2">
        <v>7</v>
      </c>
      <c r="G19512" t="s">
        <v>514</v>
      </c>
    </row>
    <row r="19513" spans="1:7" x14ac:dyDescent="0.25">
      <c r="A19513" s="1" t="str">
        <f>"510815"</f>
        <v>510815</v>
      </c>
      <c r="B19513" s="2" t="str">
        <f>"RED. CONC. SCH40 2 X 1.1/4"</f>
        <v>RED. CONC. SCH40 2 X 1.1/4</v>
      </c>
      <c r="C19513" s="2" t="str">
        <f>"BR"</f>
        <v>BR</v>
      </c>
      <c r="D19513" s="7">
        <v>807</v>
      </c>
      <c r="E19513" s="3">
        <v>10</v>
      </c>
      <c r="F19513" s="2">
        <v>9</v>
      </c>
      <c r="G19513" t="s">
        <v>515</v>
      </c>
    </row>
    <row r="19514" spans="1:7" x14ac:dyDescent="0.25">
      <c r="A19514" s="1" t="str">
        <f>"510814"</f>
        <v>510814</v>
      </c>
      <c r="B19514" s="2" t="str">
        <f>"RED. CONC. SCH40 2.1/2 X 1.1/2"</f>
        <v>RED. CONC. SCH40 2.1/2 X 1.1/2</v>
      </c>
      <c r="C19514" s="2" t="str">
        <f>"BR"</f>
        <v>BR</v>
      </c>
      <c r="D19514" s="7">
        <v>807</v>
      </c>
      <c r="E19514" s="3">
        <v>10</v>
      </c>
      <c r="F19514" s="2">
        <v>0</v>
      </c>
      <c r="G19514" t="s">
        <v>512</v>
      </c>
    </row>
    <row r="19515" spans="1:7" x14ac:dyDescent="0.25">
      <c r="A19515" s="1" t="str">
        <f>"519283"</f>
        <v>519283</v>
      </c>
      <c r="B19515" s="2" t="str">
        <f>"RED. CONC. SCH40 2.1/2 X 2"""</f>
        <v>RED. CONC. SCH40 2.1/2 X 2"</v>
      </c>
      <c r="C19515" s="2" t="str">
        <f>"BR"</f>
        <v>BR</v>
      </c>
      <c r="D19515" s="7">
        <v>807</v>
      </c>
      <c r="E19515" s="3">
        <v>10</v>
      </c>
      <c r="F19515" s="2">
        <v>0</v>
      </c>
      <c r="G19515" t="s">
        <v>516</v>
      </c>
    </row>
    <row r="19516" spans="1:7" x14ac:dyDescent="0.25">
      <c r="A19516" s="1" t="str">
        <f>"510822"</f>
        <v>510822</v>
      </c>
      <c r="B19516" s="2" t="str">
        <f>"RED. CONC. SCH40 4 X 3"</f>
        <v>RED. CONC. SCH40 4 X 3</v>
      </c>
      <c r="C19516" s="2" t="str">
        <f>"UN"</f>
        <v>UN</v>
      </c>
      <c r="D19516" s="7">
        <v>915</v>
      </c>
      <c r="E19516" s="3">
        <v>11</v>
      </c>
      <c r="F19516" s="2">
        <v>4</v>
      </c>
      <c r="G19516" t="s">
        <v>515</v>
      </c>
    </row>
    <row r="19517" spans="1:7" x14ac:dyDescent="0.25">
      <c r="A19517" s="1" t="str">
        <f>"510816"</f>
        <v>510816</v>
      </c>
      <c r="B19517" s="2" t="str">
        <f>"RED. CONC. SCH40 5 X 4"</f>
        <v>RED. CONC. SCH40 5 X 4</v>
      </c>
      <c r="C19517" s="2" t="str">
        <f>"BR"</f>
        <v>BR</v>
      </c>
      <c r="D19517" s="7">
        <v>807</v>
      </c>
      <c r="E19517" s="3">
        <v>10</v>
      </c>
      <c r="F19517" s="2">
        <v>1</v>
      </c>
      <c r="G19517" t="s">
        <v>514</v>
      </c>
    </row>
    <row r="19518" spans="1:7" x14ac:dyDescent="0.25">
      <c r="A19518" s="1" t="str">
        <f>"524956"</f>
        <v>524956</v>
      </c>
      <c r="B19518" s="2" t="str">
        <f>"RED. CONCENTRICA GF 100X50MM / 50X50MM"</f>
        <v>RED. CONCENTRICA GF 100X50MM / 50X50MM</v>
      </c>
      <c r="C19518" s="2" t="str">
        <f>"UN"</f>
        <v>UN</v>
      </c>
      <c r="D19518" s="7">
        <v>811</v>
      </c>
      <c r="E19518" s="3">
        <v>10</v>
      </c>
      <c r="F19518" s="2">
        <v>2</v>
      </c>
      <c r="G19518" t="s">
        <v>512</v>
      </c>
    </row>
    <row r="19519" spans="1:7" x14ac:dyDescent="0.25">
      <c r="A19519" s="1" t="str">
        <f>"520906"</f>
        <v>520906</v>
      </c>
      <c r="B19519" s="2" t="str">
        <f>"REDE MALHA 70% 6 X 1MT"</f>
        <v>REDE MALHA 70% 6 X 1MT</v>
      </c>
      <c r="C19519" s="2" t="str">
        <f>"MT"</f>
        <v>MT</v>
      </c>
      <c r="D19519" s="7">
        <v>803</v>
      </c>
      <c r="E19519" s="3">
        <v>10</v>
      </c>
      <c r="F19519" s="2">
        <v>7</v>
      </c>
      <c r="G19519" t="s">
        <v>513</v>
      </c>
    </row>
    <row r="19520" spans="1:7" x14ac:dyDescent="0.25">
      <c r="A19520" s="1" t="str">
        <f>"512398"</f>
        <v>512398</v>
      </c>
      <c r="B19520" s="2" t="str">
        <f>"REDE MESH SEM FIO CONTROLADORA"</f>
        <v>REDE MESH SEM FIO CONTROLADORA</v>
      </c>
      <c r="C19520" s="2" t="str">
        <f>"UN"</f>
        <v>UN</v>
      </c>
      <c r="D19520" s="7">
        <v>401</v>
      </c>
      <c r="E19520" s="3">
        <v>4</v>
      </c>
      <c r="F19520" s="2">
        <v>9</v>
      </c>
      <c r="G19520" t="s">
        <v>514</v>
      </c>
    </row>
    <row r="19521" spans="1:7" x14ac:dyDescent="0.25">
      <c r="A19521" s="1" t="str">
        <f>"525083"</f>
        <v>525083</v>
      </c>
      <c r="B19521" s="2" t="str">
        <f>"REDE MORCEGUEIRA 3 X 7MT"</f>
        <v>REDE MORCEGUEIRA 3 X 7MT</v>
      </c>
      <c r="C19521" s="2" t="str">
        <f>"UN"</f>
        <v>UN</v>
      </c>
      <c r="D19521" s="7">
        <v>99999</v>
      </c>
      <c r="E19521" s="3">
        <v>99</v>
      </c>
      <c r="F19521" s="2">
        <v>0</v>
      </c>
      <c r="G19521" t="s">
        <v>514</v>
      </c>
    </row>
    <row r="19522" spans="1:7" x14ac:dyDescent="0.25">
      <c r="A19522" s="1" t="str">
        <f>"517661"</f>
        <v>517661</v>
      </c>
      <c r="B19522" s="2" t="str">
        <f>"REDE SUIÇO 5 METROS MATERIAL SEDA"</f>
        <v>REDE SUIÇO 5 METROS MATERIAL SEDA</v>
      </c>
      <c r="C19522" s="2" t="str">
        <f>"UN"</f>
        <v>UN</v>
      </c>
      <c r="D19522" s="7">
        <v>803</v>
      </c>
      <c r="E19522" s="3">
        <v>10</v>
      </c>
      <c r="F19522" s="2">
        <v>0</v>
      </c>
      <c r="G19522" t="s">
        <v>512</v>
      </c>
    </row>
    <row r="19523" spans="1:7" x14ac:dyDescent="0.25">
      <c r="A19523" s="1" t="str">
        <f>"505422"</f>
        <v>505422</v>
      </c>
      <c r="B19523" s="2" t="str">
        <f>"REDONDO MEC. 7/8"</f>
        <v>REDONDO MEC. 7/8</v>
      </c>
      <c r="C19523" s="2" t="str">
        <f>"BR"</f>
        <v>BR</v>
      </c>
      <c r="D19523" s="7">
        <v>807</v>
      </c>
      <c r="E19523" s="3">
        <v>10</v>
      </c>
      <c r="F19523" s="2">
        <v>2</v>
      </c>
      <c r="G19523" t="s">
        <v>513</v>
      </c>
    </row>
    <row r="19524" spans="1:7" x14ac:dyDescent="0.25">
      <c r="A19524" s="1" t="str">
        <f>"573833"</f>
        <v>573833</v>
      </c>
      <c r="B19524" s="2" t="str">
        <f>"REDOX 80 I - (SACO 10KG ) CÓD. 12501 (GENÉTICA)"</f>
        <v>REDOX 80 I - (SACO 10KG ) CÓD. 12501 (GENÉTICA)</v>
      </c>
      <c r="C19524" s="2" t="str">
        <f>"KG"</f>
        <v>KG</v>
      </c>
      <c r="D19524" s="7">
        <v>400</v>
      </c>
      <c r="E19524" s="3">
        <v>10</v>
      </c>
      <c r="F19524" s="2">
        <v>5</v>
      </c>
      <c r="G19524" t="s">
        <v>514</v>
      </c>
    </row>
    <row r="19525" spans="1:7" x14ac:dyDescent="0.25">
      <c r="A19525" s="1" t="str">
        <f>"509958"</f>
        <v>509958</v>
      </c>
      <c r="B19525" s="2" t="str">
        <f>"REDUÇAO"</f>
        <v>REDUÇAO</v>
      </c>
      <c r="C19525" s="2" t="str">
        <f>"UN"</f>
        <v>UN</v>
      </c>
      <c r="D19525" s="7">
        <v>601</v>
      </c>
      <c r="E19525" s="3">
        <v>8</v>
      </c>
      <c r="F19525" s="2">
        <v>0</v>
      </c>
      <c r="G19525" t="s">
        <v>514</v>
      </c>
    </row>
    <row r="19526" spans="1:7" x14ac:dyDescent="0.25">
      <c r="A19526" s="1" t="str">
        <f>"528143"</f>
        <v>528143</v>
      </c>
      <c r="B19526" s="2" t="str">
        <f>"REDUCAO  F.G 1. 1/4 X 3/4"</f>
        <v>REDUCAO  F.G 1. 1/4 X 3/4</v>
      </c>
      <c r="C19526" s="2" t="str">
        <f>"UN"</f>
        <v>UN</v>
      </c>
      <c r="D19526" s="7">
        <v>812</v>
      </c>
      <c r="E19526" s="3">
        <v>10</v>
      </c>
      <c r="F19526" s="2">
        <v>2</v>
      </c>
      <c r="G19526" t="s">
        <v>514</v>
      </c>
    </row>
    <row r="19527" spans="1:7" x14ac:dyDescent="0.25">
      <c r="A19527" s="1" t="str">
        <f>"521459"</f>
        <v>521459</v>
      </c>
      <c r="B19527" s="2" t="str">
        <f>"REDUÇÃO 100 P/ 50MM AI"</f>
        <v>REDUÇÃO 100 P/ 50MM AI</v>
      </c>
      <c r="C19527" s="2" t="str">
        <f>"UN"</f>
        <v>UN</v>
      </c>
      <c r="D19527" s="7">
        <v>811</v>
      </c>
      <c r="E19527" s="3">
        <v>8</v>
      </c>
      <c r="F19527" s="2">
        <v>5</v>
      </c>
      <c r="G19527" t="s">
        <v>513</v>
      </c>
    </row>
    <row r="19528" spans="1:7" x14ac:dyDescent="0.25">
      <c r="A19528" s="1" t="str">
        <f>"501949"</f>
        <v>501949</v>
      </c>
      <c r="B19528" s="2" t="str">
        <f>"REDUCAO 100 X 50 MM PVC"</f>
        <v>REDUCAO 100 X 50 MM PVC</v>
      </c>
      <c r="C19528" s="2" t="str">
        <f>"BR"</f>
        <v>BR</v>
      </c>
      <c r="D19528" s="7">
        <v>807</v>
      </c>
      <c r="E19528" s="3">
        <v>10</v>
      </c>
      <c r="F19528" s="5">
        <v>5</v>
      </c>
      <c r="G19528" t="s">
        <v>512</v>
      </c>
    </row>
    <row r="19529" spans="1:7" x14ac:dyDescent="0.25">
      <c r="A19529" s="1" t="str">
        <f>"520337"</f>
        <v>520337</v>
      </c>
      <c r="B19529" s="2" t="str">
        <f>"REDUCAO 100 X 75MM PVC"</f>
        <v>REDUCAO 100 X 75MM PVC</v>
      </c>
      <c r="C19529" s="2" t="str">
        <f>"BR"</f>
        <v>BR</v>
      </c>
      <c r="D19529" s="7">
        <v>807</v>
      </c>
      <c r="E19529" s="3">
        <v>10</v>
      </c>
      <c r="F19529" s="2">
        <v>3</v>
      </c>
      <c r="G19529" t="s">
        <v>513</v>
      </c>
    </row>
    <row r="19530" spans="1:7" x14ac:dyDescent="0.25">
      <c r="A19530" s="1" t="str">
        <f>"519882"</f>
        <v>519882</v>
      </c>
      <c r="B19530" s="2" t="str">
        <f>"REDUCAO 150 X 100 MM PVC EX SERIE R"</f>
        <v>REDUCAO 150 X 100 MM PVC EX SERIE R</v>
      </c>
      <c r="C19530" s="2" t="str">
        <f>"BR"</f>
        <v>BR</v>
      </c>
      <c r="D19530" s="7">
        <v>807</v>
      </c>
      <c r="E19530" s="3">
        <v>10</v>
      </c>
      <c r="F19530" s="2">
        <v>8</v>
      </c>
      <c r="G19530" t="s">
        <v>514</v>
      </c>
    </row>
    <row r="19531" spans="1:7" x14ac:dyDescent="0.25">
      <c r="A19531" s="1" t="str">
        <f>"521460"</f>
        <v>521460</v>
      </c>
      <c r="B19531" s="2" t="str">
        <f>"REDUÇÃO 200 P/ 100MM² AI"</f>
        <v>REDUÇÃO 200 P/ 100MM² AI</v>
      </c>
      <c r="C19531" s="2" t="str">
        <f>"UN"</f>
        <v>UN</v>
      </c>
      <c r="D19531" s="7">
        <v>811</v>
      </c>
      <c r="E19531" s="3">
        <v>8</v>
      </c>
      <c r="F19531" s="2">
        <v>6</v>
      </c>
      <c r="G19531" t="s">
        <v>514</v>
      </c>
    </row>
    <row r="19532" spans="1:7" x14ac:dyDescent="0.25">
      <c r="A19532" s="1" t="str">
        <f>"519917"</f>
        <v>519917</v>
      </c>
      <c r="B19532" s="2" t="str">
        <f>"REDUÇÃO 200X100MM - PVC"</f>
        <v>REDUÇÃO 200X100MM - PVC</v>
      </c>
      <c r="C19532" s="2" t="str">
        <f>"UN"</f>
        <v>UN</v>
      </c>
      <c r="D19532" s="7">
        <v>808</v>
      </c>
      <c r="E19532" s="3">
        <v>10</v>
      </c>
      <c r="F19532" s="2">
        <v>4</v>
      </c>
      <c r="G19532" t="s">
        <v>514</v>
      </c>
    </row>
    <row r="19533" spans="1:7" x14ac:dyDescent="0.25">
      <c r="A19533" s="1" t="str">
        <f>"520335"</f>
        <v>520335</v>
      </c>
      <c r="B19533" s="2" t="str">
        <f>"REDUÇÃO 200X150MM - PVC"</f>
        <v>REDUÇÃO 200X150MM - PVC</v>
      </c>
      <c r="C19533" s="2" t="str">
        <f>"UN"</f>
        <v>UN</v>
      </c>
      <c r="D19533" s="7">
        <v>808</v>
      </c>
      <c r="E19533" s="3">
        <v>10</v>
      </c>
      <c r="F19533" s="2">
        <v>1</v>
      </c>
      <c r="G19533" t="s">
        <v>513</v>
      </c>
    </row>
    <row r="19534" spans="1:7" x14ac:dyDescent="0.25">
      <c r="A19534" s="1" t="str">
        <f>"515981"</f>
        <v>515981</v>
      </c>
      <c r="B19534" s="2" t="str">
        <f>"REDUÇÃO 3/4 X 1150 COMP."</f>
        <v>REDUÇÃO 3/4 X 1150 COMP.</v>
      </c>
      <c r="C19534" s="2" t="str">
        <f>"UN"</f>
        <v>UN</v>
      </c>
      <c r="D19534" s="7">
        <v>807</v>
      </c>
      <c r="E19534" s="3">
        <v>10</v>
      </c>
      <c r="F19534" s="2">
        <v>2</v>
      </c>
      <c r="G19534" t="s">
        <v>513</v>
      </c>
    </row>
    <row r="19535" spans="1:7" x14ac:dyDescent="0.25">
      <c r="A19535" s="1" t="str">
        <f>"501597"</f>
        <v>501597</v>
      </c>
      <c r="B19535" s="2" t="str">
        <f>"REDUÇÃO 3/4 X 850 COMP."</f>
        <v>REDUÇÃO 3/4 X 850 COMP.</v>
      </c>
      <c r="C19535" s="2" t="str">
        <f>"BR"</f>
        <v>BR</v>
      </c>
      <c r="D19535" s="7">
        <v>807</v>
      </c>
      <c r="E19535" s="3">
        <v>10</v>
      </c>
      <c r="F19535" s="2">
        <v>7</v>
      </c>
      <c r="G19535" t="s">
        <v>513</v>
      </c>
    </row>
    <row r="19536" spans="1:7" x14ac:dyDescent="0.25">
      <c r="A19536" s="1" t="str">
        <f>"511042"</f>
        <v>511042</v>
      </c>
      <c r="B19536" s="2" t="str">
        <f>"REDUÇAO 50 X 32 PVC MARROM"</f>
        <v>REDUÇAO 50 X 32 PVC MARROM</v>
      </c>
      <c r="C19536" s="2" t="str">
        <f>"BR"</f>
        <v>BR</v>
      </c>
      <c r="D19536" s="7">
        <v>808</v>
      </c>
      <c r="E19536" s="3">
        <v>10</v>
      </c>
      <c r="F19536" s="2">
        <v>9</v>
      </c>
      <c r="G19536" t="s">
        <v>512</v>
      </c>
    </row>
    <row r="19537" spans="1:7" x14ac:dyDescent="0.25">
      <c r="A19537" s="1" t="str">
        <f>"525062"</f>
        <v>525062</v>
      </c>
      <c r="B19537" s="2" t="str">
        <f>"REDUCAO 50 X 40 MM PVC BRANCO"</f>
        <v>REDUCAO 50 X 40 MM PVC BRANCO</v>
      </c>
      <c r="C19537" s="2" t="str">
        <f>"BR"</f>
        <v>BR</v>
      </c>
      <c r="D19537" s="7">
        <v>807</v>
      </c>
      <c r="E19537" s="3">
        <v>10</v>
      </c>
      <c r="F19537" s="2">
        <v>0</v>
      </c>
      <c r="G19537" t="s">
        <v>513</v>
      </c>
    </row>
    <row r="19538" spans="1:7" x14ac:dyDescent="0.25">
      <c r="A19538" s="1" t="str">
        <f>"503652"</f>
        <v>503652</v>
      </c>
      <c r="B19538" s="2" t="str">
        <f>"REDUCAO AC 1.1/2""X1/2"""</f>
        <v>REDUCAO AC 1.1/2"X1/2"</v>
      </c>
      <c r="C19538" s="2" t="str">
        <f>"BR"</f>
        <v>BR</v>
      </c>
      <c r="D19538" s="7">
        <v>808</v>
      </c>
      <c r="E19538" s="3">
        <v>10</v>
      </c>
      <c r="F19538" s="2">
        <v>0</v>
      </c>
      <c r="G19538" t="s">
        <v>514</v>
      </c>
    </row>
    <row r="19539" spans="1:7" x14ac:dyDescent="0.25">
      <c r="A19539" s="1" t="str">
        <f>"521109"</f>
        <v>521109</v>
      </c>
      <c r="B19539" s="2" t="str">
        <f>"REDUÇÃO AÇO CARBONO SCH40 1"" X 3/4"""</f>
        <v>REDUÇÃO AÇO CARBONO SCH40 1" X 3/4"</v>
      </c>
      <c r="C19539" s="2" t="str">
        <f t="shared" ref="C19539:C19553" si="766">"UN"</f>
        <v>UN</v>
      </c>
      <c r="D19539" s="7">
        <v>912</v>
      </c>
      <c r="E19539" s="3">
        <v>10</v>
      </c>
      <c r="F19539" s="2">
        <v>2</v>
      </c>
      <c r="G19539" t="s">
        <v>515</v>
      </c>
    </row>
    <row r="19540" spans="1:7" x14ac:dyDescent="0.25">
      <c r="A19540" s="1" t="str">
        <f>"519578"</f>
        <v>519578</v>
      </c>
      <c r="B19540" s="2" t="str">
        <f>"REDUÇÃO ASA 50"</f>
        <v>REDUÇÃO ASA 50</v>
      </c>
      <c r="C19540" s="2" t="str">
        <f t="shared" si="766"/>
        <v>UN</v>
      </c>
      <c r="D19540" s="7">
        <v>918</v>
      </c>
      <c r="E19540" s="3">
        <v>11</v>
      </c>
      <c r="F19540" s="2">
        <v>5</v>
      </c>
      <c r="G19540" t="s">
        <v>512</v>
      </c>
    </row>
    <row r="19541" spans="1:7" x14ac:dyDescent="0.25">
      <c r="A19541" s="1" t="str">
        <f>"519580"</f>
        <v>519580</v>
      </c>
      <c r="B19541" s="2" t="str">
        <f>"REDUÇÃO ASA 60/2 REX"</f>
        <v>REDUÇÃO ASA 60/2 REX</v>
      </c>
      <c r="C19541" s="2" t="str">
        <f t="shared" si="766"/>
        <v>UN</v>
      </c>
      <c r="D19541" s="7">
        <v>918</v>
      </c>
      <c r="E19541" s="3">
        <v>11</v>
      </c>
      <c r="F19541" s="2">
        <v>6</v>
      </c>
      <c r="G19541" t="s">
        <v>516</v>
      </c>
    </row>
    <row r="19542" spans="1:7" x14ac:dyDescent="0.25">
      <c r="A19542" s="1" t="str">
        <f>"519960"</f>
        <v>519960</v>
      </c>
      <c r="B19542" s="2" t="str">
        <f>"REDUÇÃO BRANCO 1""X1/4 - PVC"</f>
        <v>REDUÇÃO BRANCO 1"X1/4 - PVC</v>
      </c>
      <c r="C19542" s="2" t="str">
        <f t="shared" si="766"/>
        <v>UN</v>
      </c>
      <c r="D19542" s="7">
        <v>808</v>
      </c>
      <c r="E19542" s="3">
        <v>10</v>
      </c>
      <c r="F19542" s="2">
        <v>9</v>
      </c>
      <c r="G19542" t="s">
        <v>515</v>
      </c>
    </row>
    <row r="19543" spans="1:7" x14ac:dyDescent="0.25">
      <c r="A19543" s="1" t="str">
        <f>"519958"</f>
        <v>519958</v>
      </c>
      <c r="B19543" s="2" t="str">
        <f>"REDUÇÃO BRANCO 1""X3/4 ROSCA - PVC"</f>
        <v>REDUÇÃO BRANCO 1"X3/4 ROSCA - PVC</v>
      </c>
      <c r="C19543" s="2" t="str">
        <f t="shared" si="766"/>
        <v>UN</v>
      </c>
      <c r="D19543" s="7">
        <v>808</v>
      </c>
      <c r="E19543" s="3">
        <v>10</v>
      </c>
      <c r="F19543" s="2">
        <v>5</v>
      </c>
      <c r="G19543" t="s">
        <v>514</v>
      </c>
    </row>
    <row r="19544" spans="1:7" x14ac:dyDescent="0.25">
      <c r="A19544" s="1" t="str">
        <f>"519971"</f>
        <v>519971</v>
      </c>
      <c r="B19544" s="2" t="str">
        <f>"REDUÇÃO C/ ROSCA 1"" X 1/2 - PVC"</f>
        <v>REDUÇÃO C/ ROSCA 1" X 1/2 - PVC</v>
      </c>
      <c r="C19544" s="2" t="str">
        <f t="shared" si="766"/>
        <v>UN</v>
      </c>
      <c r="D19544" s="7">
        <v>808</v>
      </c>
      <c r="E19544" s="3">
        <v>10</v>
      </c>
      <c r="F19544" s="2">
        <v>3</v>
      </c>
      <c r="G19544" t="s">
        <v>512</v>
      </c>
    </row>
    <row r="19545" spans="1:7" x14ac:dyDescent="0.25">
      <c r="A19545" s="1" t="str">
        <f>"519968"</f>
        <v>519968</v>
      </c>
      <c r="B19545" s="2" t="str">
        <f>"REDUÇÃO C/ ROSCA 1""1/2X1"" - PVC"</f>
        <v>REDUÇÃO C/ ROSCA 1"1/2X1" - PVC</v>
      </c>
      <c r="C19545" s="2" t="str">
        <f t="shared" si="766"/>
        <v>UN</v>
      </c>
      <c r="D19545" s="7">
        <v>808</v>
      </c>
      <c r="E19545" s="3">
        <v>10</v>
      </c>
      <c r="F19545" s="2">
        <v>3</v>
      </c>
      <c r="G19545" t="s">
        <v>513</v>
      </c>
    </row>
    <row r="19546" spans="1:7" x14ac:dyDescent="0.25">
      <c r="A19546" s="1" t="str">
        <f>"519967"</f>
        <v>519967</v>
      </c>
      <c r="B19546" s="2" t="str">
        <f>"REDUÇÃO C/ ROSCA 1""1/2X1""1/4 - PVC"</f>
        <v>REDUÇÃO C/ ROSCA 1"1/2X1"1/4 - PVC</v>
      </c>
      <c r="C19546" s="2" t="str">
        <f t="shared" si="766"/>
        <v>UN</v>
      </c>
      <c r="D19546" s="7">
        <v>808</v>
      </c>
      <c r="E19546" s="3">
        <v>10</v>
      </c>
      <c r="F19546" s="2">
        <v>2</v>
      </c>
      <c r="G19546" t="s">
        <v>514</v>
      </c>
    </row>
    <row r="19547" spans="1:7" x14ac:dyDescent="0.25">
      <c r="A19547" s="1" t="str">
        <f>"519969"</f>
        <v>519969</v>
      </c>
      <c r="B19547" s="2" t="str">
        <f>"REDUÇÃO C/ ROSCA 2""X1""1X2 - PVC"</f>
        <v>REDUÇÃO C/ ROSCA 2"X1"1X2 - PVC</v>
      </c>
      <c r="C19547" s="2" t="str">
        <f t="shared" si="766"/>
        <v>UN</v>
      </c>
      <c r="D19547" s="7">
        <v>808</v>
      </c>
      <c r="E19547" s="3">
        <v>10</v>
      </c>
      <c r="F19547" s="2">
        <v>1</v>
      </c>
      <c r="G19547" t="s">
        <v>514</v>
      </c>
    </row>
    <row r="19548" spans="1:7" x14ac:dyDescent="0.25">
      <c r="A19548" s="1" t="str">
        <f>"520332"</f>
        <v>520332</v>
      </c>
      <c r="B19548" s="2" t="str">
        <f>"REDUÇÃO C/ ROSCA 3"" X 2""1X2 - PVC"</f>
        <v>REDUÇÃO C/ ROSCA 3" X 2"1X2 - PVC</v>
      </c>
      <c r="C19548" s="2" t="str">
        <f t="shared" si="766"/>
        <v>UN</v>
      </c>
      <c r="D19548" s="7">
        <v>808</v>
      </c>
      <c r="E19548" s="3">
        <v>10</v>
      </c>
      <c r="F19548" s="2">
        <v>4</v>
      </c>
      <c r="G19548" t="s">
        <v>512</v>
      </c>
    </row>
    <row r="19549" spans="1:7" x14ac:dyDescent="0.25">
      <c r="A19549" s="1" t="str">
        <f>"519970"</f>
        <v>519970</v>
      </c>
      <c r="B19549" s="2" t="str">
        <f>"REDUÇÃO C/ ROSCA 3/4X1/2 - PVC"</f>
        <v>REDUÇÃO C/ ROSCA 3/4X1/2 - PVC</v>
      </c>
      <c r="C19549" s="2" t="str">
        <f t="shared" si="766"/>
        <v>UN</v>
      </c>
      <c r="D19549" s="7">
        <v>808</v>
      </c>
      <c r="E19549" s="3">
        <v>10</v>
      </c>
      <c r="F19549" s="2">
        <v>6</v>
      </c>
      <c r="G19549" t="s">
        <v>513</v>
      </c>
    </row>
    <row r="19550" spans="1:7" x14ac:dyDescent="0.25">
      <c r="A19550" s="1" t="str">
        <f>"524504"</f>
        <v>524504</v>
      </c>
      <c r="B19550" s="2" t="str">
        <f>"REDUÇÃO CONC. 1/12 X 1  AÇO CARBONO ASMI B16,5 SCH40"</f>
        <v>REDUÇÃO CONC. 1/12 X 1  AÇO CARBONO ASMI B16,5 SCH40</v>
      </c>
      <c r="C19550" s="2" t="str">
        <f t="shared" si="766"/>
        <v>UN</v>
      </c>
      <c r="D19550" s="7">
        <v>807</v>
      </c>
      <c r="E19550" s="3">
        <v>10</v>
      </c>
      <c r="F19550" s="2">
        <v>8</v>
      </c>
      <c r="G19550" t="s">
        <v>514</v>
      </c>
    </row>
    <row r="19551" spans="1:7" x14ac:dyDescent="0.25">
      <c r="A19551" s="1" t="str">
        <f>"524505"</f>
        <v>524505</v>
      </c>
      <c r="B19551" s="2" t="str">
        <f>"REDUÇÃO CONC. 3 X 2 1/2  AÇO CARBONO ASMI B16,5 SCH40"</f>
        <v>REDUÇÃO CONC. 3 X 2 1/2  AÇO CARBONO ASMI B16,5 SCH40</v>
      </c>
      <c r="C19551" s="2" t="str">
        <f t="shared" si="766"/>
        <v>UN</v>
      </c>
      <c r="D19551" s="7">
        <v>807</v>
      </c>
      <c r="E19551" s="3">
        <v>10</v>
      </c>
      <c r="F19551" s="2">
        <v>7</v>
      </c>
      <c r="G19551" t="s">
        <v>514</v>
      </c>
    </row>
    <row r="19552" spans="1:7" x14ac:dyDescent="0.25">
      <c r="A19552" s="1" t="str">
        <f>"524506"</f>
        <v>524506</v>
      </c>
      <c r="B19552" s="2" t="str">
        <f>"REDUÇÃO CONC. 4 X 3  AÇO CARBONO ASMI B16,5 SCH40"</f>
        <v>REDUÇÃO CONC. 4 X 3  AÇO CARBONO ASMI B16,5 SCH40</v>
      </c>
      <c r="C19552" s="2" t="str">
        <f t="shared" si="766"/>
        <v>UN</v>
      </c>
      <c r="D19552" s="7">
        <v>807</v>
      </c>
      <c r="E19552" s="3">
        <v>10</v>
      </c>
      <c r="F19552" s="2">
        <v>6</v>
      </c>
      <c r="G19552" t="s">
        <v>514</v>
      </c>
    </row>
    <row r="19553" spans="1:7" x14ac:dyDescent="0.25">
      <c r="A19553" s="1" t="str">
        <f>"524507"</f>
        <v>524507</v>
      </c>
      <c r="B19553" s="2" t="str">
        <f>"REDUÇÃO CONC. 6 X 4  AÇO CARBONO ASMI B16,5 SCH40"</f>
        <v>REDUÇÃO CONC. 6 X 4  AÇO CARBONO ASMI B16,5 SCH40</v>
      </c>
      <c r="C19553" s="2" t="str">
        <f t="shared" si="766"/>
        <v>UN</v>
      </c>
      <c r="D19553" s="7">
        <v>807</v>
      </c>
      <c r="E19553" s="3">
        <v>10</v>
      </c>
      <c r="F19553" s="2">
        <v>6</v>
      </c>
      <c r="G19553" t="s">
        <v>513</v>
      </c>
    </row>
    <row r="19554" spans="1:7" x14ac:dyDescent="0.25">
      <c r="A19554" s="1" t="str">
        <f>"510817"</f>
        <v>510817</v>
      </c>
      <c r="B19554" s="2" t="str">
        <f>"REDUÇÃO CONC. AÇO CARBONO 3/4 X 1/2"</f>
        <v>REDUÇÃO CONC. AÇO CARBONO 3/4 X 1/2</v>
      </c>
      <c r="C19554" s="2" t="str">
        <f>"BR"</f>
        <v>BR</v>
      </c>
      <c r="D19554" s="7">
        <v>807</v>
      </c>
      <c r="E19554" s="3">
        <v>10</v>
      </c>
      <c r="F19554" s="2">
        <v>2</v>
      </c>
      <c r="G19554" t="s">
        <v>512</v>
      </c>
    </row>
    <row r="19555" spans="1:7" x14ac:dyDescent="0.25">
      <c r="A19555" s="1" t="str">
        <f>"522670"</f>
        <v>522670</v>
      </c>
      <c r="B19555" s="2" t="str">
        <f>"REDUÇÃO CONC.304 OD PIPE SOLDA 1"" X 3/4"</f>
        <v>REDUÇÃO CONC.304 OD PIPE SOLDA 1" X 3/4</v>
      </c>
      <c r="C19555" s="2" t="str">
        <f>"UN"</f>
        <v>UN</v>
      </c>
      <c r="D19555" s="7">
        <v>807</v>
      </c>
      <c r="E19555" s="3">
        <v>10</v>
      </c>
      <c r="F19555" s="2">
        <v>1</v>
      </c>
      <c r="G19555" t="s">
        <v>513</v>
      </c>
    </row>
    <row r="19556" spans="1:7" x14ac:dyDescent="0.25">
      <c r="A19556" s="1" t="str">
        <f>"522669"</f>
        <v>522669</v>
      </c>
      <c r="B19556" s="2" t="str">
        <f>"REDUÇÃO CONC.304 OD PIPE SOLDA 21,3MM X 3/4"</f>
        <v>REDUÇÃO CONC.304 OD PIPE SOLDA 21,3MM X 3/4</v>
      </c>
      <c r="C19556" s="2" t="str">
        <f>"UN"</f>
        <v>UN</v>
      </c>
      <c r="D19556" s="7">
        <v>807</v>
      </c>
      <c r="E19556" s="3">
        <v>10</v>
      </c>
      <c r="F19556" s="2">
        <v>0</v>
      </c>
      <c r="G19556" t="s">
        <v>514</v>
      </c>
    </row>
    <row r="19557" spans="1:7" x14ac:dyDescent="0.25">
      <c r="A19557" s="1" t="str">
        <f>"521111"</f>
        <v>521111</v>
      </c>
      <c r="B19557" s="2" t="str">
        <f>"REDUÇÃO CONCENTRICA  2"" X 1 1/2"" AÇO CARBONO"</f>
        <v>REDUÇÃO CONCENTRICA  2" X 1 1/2" AÇO CARBONO</v>
      </c>
      <c r="C19557" s="2" t="str">
        <f>"UN"</f>
        <v>UN</v>
      </c>
      <c r="D19557" s="7">
        <v>912</v>
      </c>
      <c r="E19557" s="3">
        <v>10</v>
      </c>
      <c r="F19557" s="2">
        <v>0</v>
      </c>
      <c r="G19557" t="s">
        <v>514</v>
      </c>
    </row>
    <row r="19558" spans="1:7" x14ac:dyDescent="0.25">
      <c r="A19558" s="1" t="str">
        <f>"521107"</f>
        <v>521107</v>
      </c>
      <c r="B19558" s="2" t="str">
        <f>"REDUÇÃO CONCENTRICA 1.1/2"" X 1"""</f>
        <v>REDUÇÃO CONCENTRICA 1.1/2" X 1"</v>
      </c>
      <c r="C19558" s="2" t="str">
        <f>"UN"</f>
        <v>UN</v>
      </c>
      <c r="D19558" s="7">
        <v>912</v>
      </c>
      <c r="E19558" s="3">
        <v>10</v>
      </c>
      <c r="F19558" s="2">
        <v>0</v>
      </c>
      <c r="G19558" t="s">
        <v>514</v>
      </c>
    </row>
    <row r="19559" spans="1:7" x14ac:dyDescent="0.25">
      <c r="A19559" s="1" t="str">
        <f>"521108"</f>
        <v>521108</v>
      </c>
      <c r="B19559" s="2" t="str">
        <f>"REDUÇÃO CONCENTRICA 1.1/2"" X 3/4"""</f>
        <v>REDUÇÃO CONCENTRICA 1.1/2" X 3/4"</v>
      </c>
      <c r="C19559" s="2" t="str">
        <f>"UN"</f>
        <v>UN</v>
      </c>
      <c r="D19559" s="7">
        <v>912</v>
      </c>
      <c r="E19559" s="3">
        <v>10</v>
      </c>
      <c r="F19559" s="2">
        <v>3</v>
      </c>
      <c r="G19559" t="s">
        <v>513</v>
      </c>
    </row>
    <row r="19560" spans="1:7" x14ac:dyDescent="0.25">
      <c r="A19560" s="1" t="str">
        <f>"504043"</f>
        <v>504043</v>
      </c>
      <c r="B19560" s="2" t="str">
        <f>"REDUCAO CONCENTRICA 2 1/2 X 2"""</f>
        <v>REDUCAO CONCENTRICA 2 1/2 X 2"</v>
      </c>
      <c r="C19560" s="2" t="str">
        <f>"BR"</f>
        <v>BR</v>
      </c>
      <c r="D19560" s="7">
        <v>807</v>
      </c>
      <c r="E19560" s="3">
        <v>10</v>
      </c>
      <c r="F19560" s="5">
        <v>5</v>
      </c>
      <c r="G19560" t="s">
        <v>513</v>
      </c>
    </row>
    <row r="19561" spans="1:7" x14ac:dyDescent="0.25">
      <c r="A19561" s="1" t="str">
        <f>"502202"</f>
        <v>502202</v>
      </c>
      <c r="B19561" s="2" t="str">
        <f>"REDUCAO CONCENTRICA 3"" X 2"""</f>
        <v>REDUCAO CONCENTRICA 3" X 2"</v>
      </c>
      <c r="C19561" s="2" t="str">
        <f>"BR"</f>
        <v>BR</v>
      </c>
      <c r="D19561" s="7">
        <v>807</v>
      </c>
      <c r="E19561" s="3">
        <v>10</v>
      </c>
      <c r="F19561" s="2">
        <v>3</v>
      </c>
      <c r="G19561" t="s">
        <v>513</v>
      </c>
    </row>
    <row r="19562" spans="1:7" x14ac:dyDescent="0.25">
      <c r="A19562" s="1" t="str">
        <f>"523290"</f>
        <v>523290</v>
      </c>
      <c r="B19562" s="2" t="str">
        <f>"REDUÇÃO CONCENTRICA 304 S/C SCH10 6 X 4"""</f>
        <v>REDUÇÃO CONCENTRICA 304 S/C SCH10 6 X 4"</v>
      </c>
      <c r="C19562" s="2" t="str">
        <f>"UN"</f>
        <v>UN</v>
      </c>
      <c r="D19562" s="7">
        <v>915</v>
      </c>
      <c r="E19562" s="3">
        <v>11</v>
      </c>
      <c r="F19562" s="2">
        <v>8</v>
      </c>
      <c r="G19562" t="s">
        <v>512</v>
      </c>
    </row>
    <row r="19563" spans="1:7" x14ac:dyDescent="0.25">
      <c r="A19563" s="1" t="str">
        <f>"521112"</f>
        <v>521112</v>
      </c>
      <c r="B19563" s="2" t="str">
        <f>"REDUÇÃO CONCENTRICA 4"" X 2"""</f>
        <v>REDUÇÃO CONCENTRICA 4" X 2"</v>
      </c>
      <c r="C19563" s="2" t="str">
        <f>"UN"</f>
        <v>UN</v>
      </c>
      <c r="D19563" s="7">
        <v>912</v>
      </c>
      <c r="E19563" s="3">
        <v>10</v>
      </c>
      <c r="F19563" s="2">
        <v>6</v>
      </c>
      <c r="G19563" t="s">
        <v>513</v>
      </c>
    </row>
    <row r="19564" spans="1:7" x14ac:dyDescent="0.25">
      <c r="A19564" s="1" t="str">
        <f>"521106"</f>
        <v>521106</v>
      </c>
      <c r="B19564" s="2" t="str">
        <f>"REDUÇÃO CONCENTRICA 6"" X 5"""</f>
        <v>REDUÇÃO CONCENTRICA 6" X 5"</v>
      </c>
      <c r="C19564" s="2" t="str">
        <f>"UN"</f>
        <v>UN</v>
      </c>
      <c r="D19564" s="7">
        <v>912</v>
      </c>
      <c r="E19564" s="3">
        <v>10</v>
      </c>
      <c r="F19564" s="2">
        <v>4</v>
      </c>
      <c r="G19564" t="s">
        <v>514</v>
      </c>
    </row>
    <row r="19565" spans="1:7" x14ac:dyDescent="0.25">
      <c r="A19565" s="1" t="str">
        <f>"509749"</f>
        <v>509749</v>
      </c>
      <c r="B19565" s="2" t="str">
        <f>"REDUCAO CONCENTRICA ELETRO. 300 P/ 200"</f>
        <v>REDUCAO CONCENTRICA ELETRO. 300 P/ 200</v>
      </c>
      <c r="C19565" s="2" t="str">
        <f>"UN"</f>
        <v>UN</v>
      </c>
      <c r="D19565" s="7">
        <v>601</v>
      </c>
      <c r="E19565" s="3">
        <v>8</v>
      </c>
      <c r="F19565" s="2">
        <v>1</v>
      </c>
      <c r="G19565" t="s">
        <v>515</v>
      </c>
    </row>
    <row r="19566" spans="1:7" x14ac:dyDescent="0.25">
      <c r="A19566" s="1" t="str">
        <f>"510075"</f>
        <v>510075</v>
      </c>
      <c r="B19566" s="2" t="str">
        <f>"REDUCAO CONCENTRICA SOL 304 4 X 2"</f>
        <v>REDUCAO CONCENTRICA SOL 304 4 X 2</v>
      </c>
      <c r="C19566" s="2" t="str">
        <f>"UN"</f>
        <v>UN</v>
      </c>
      <c r="D19566" s="7">
        <v>915</v>
      </c>
      <c r="E19566" s="3">
        <v>11</v>
      </c>
      <c r="F19566" s="2">
        <v>2</v>
      </c>
      <c r="G19566" t="s">
        <v>512</v>
      </c>
    </row>
    <row r="19567" spans="1:7" x14ac:dyDescent="0.25">
      <c r="A19567" s="1" t="str">
        <f>"503322"</f>
        <v>503322</v>
      </c>
      <c r="B19567" s="2" t="str">
        <f>"REDUCAO CONCENTRICA SOLDA DE 3""X2""1/2"""</f>
        <v>REDUCAO CONCENTRICA SOLDA DE 3"X2"1/2"</v>
      </c>
      <c r="C19567" s="2" t="str">
        <f>"BR"</f>
        <v>BR</v>
      </c>
      <c r="D19567" s="7">
        <v>807</v>
      </c>
      <c r="E19567" s="3">
        <v>10</v>
      </c>
      <c r="F19567" s="2">
        <v>7</v>
      </c>
      <c r="G19567" t="s">
        <v>516</v>
      </c>
    </row>
    <row r="19568" spans="1:7" x14ac:dyDescent="0.25">
      <c r="A19568" s="1" t="str">
        <f>"527619"</f>
        <v>527619</v>
      </c>
      <c r="B19568" s="2" t="str">
        <f>"REDUÇÃO ELETROCALHA 200X100 PARA 200X50 CONCENTRICA"</f>
        <v>REDUÇÃO ELETROCALHA 200X100 PARA 200X50 CONCENTRICA</v>
      </c>
      <c r="C19568" s="2" t="str">
        <f t="shared" ref="C19568:C19582" si="767">"UN"</f>
        <v>UN</v>
      </c>
      <c r="D19568" s="7">
        <v>811</v>
      </c>
      <c r="E19568" s="3">
        <v>10</v>
      </c>
      <c r="F19568" s="2">
        <v>9</v>
      </c>
      <c r="G19568" t="s">
        <v>515</v>
      </c>
    </row>
    <row r="19569" spans="1:7" x14ac:dyDescent="0.25">
      <c r="A19569" s="1" t="str">
        <f>"527618"</f>
        <v>527618</v>
      </c>
      <c r="B19569" s="2" t="str">
        <f>"REDUÇÃO ELETROCALHA 200X50 PARA 100X50 CONCENTRICA"</f>
        <v>REDUÇÃO ELETROCALHA 200X50 PARA 100X50 CONCENTRICA</v>
      </c>
      <c r="C19569" s="2" t="str">
        <f t="shared" si="767"/>
        <v>UN</v>
      </c>
      <c r="D19569" s="7">
        <v>811</v>
      </c>
      <c r="E19569" s="3">
        <v>10</v>
      </c>
      <c r="F19569" s="2">
        <v>0</v>
      </c>
      <c r="G19569" t="s">
        <v>514</v>
      </c>
    </row>
    <row r="19570" spans="1:7" x14ac:dyDescent="0.25">
      <c r="A19570" s="1" t="str">
        <f>"523122"</f>
        <v>523122</v>
      </c>
      <c r="B19570" s="2" t="str">
        <f>"REDUÇÃO EX SERIE R C/ DN 150 X 100"</f>
        <v>REDUÇÃO EX SERIE R C/ DN 150 X 100</v>
      </c>
      <c r="C19570" s="2" t="str">
        <f t="shared" si="767"/>
        <v>UN</v>
      </c>
      <c r="D19570" s="7">
        <v>807</v>
      </c>
      <c r="E19570" s="3">
        <v>10</v>
      </c>
      <c r="F19570" s="2">
        <v>0</v>
      </c>
      <c r="G19570" t="s">
        <v>512</v>
      </c>
    </row>
    <row r="19571" spans="1:7" x14ac:dyDescent="0.25">
      <c r="A19571" s="1" t="str">
        <f>"524508"</f>
        <v>524508</v>
      </c>
      <c r="B19571" s="2" t="str">
        <f>"REDUÇÃO EXC. 6 X 4  AÇO CARBONO ASMI B16,5 SCH40"</f>
        <v>REDUÇÃO EXC. 6 X 4  AÇO CARBONO ASMI B16,5 SCH40</v>
      </c>
      <c r="C19571" s="2" t="str">
        <f t="shared" si="767"/>
        <v>UN</v>
      </c>
      <c r="D19571" s="7">
        <v>807</v>
      </c>
      <c r="E19571" s="3">
        <v>10</v>
      </c>
      <c r="F19571" s="2">
        <v>2</v>
      </c>
      <c r="G19571" t="s">
        <v>513</v>
      </c>
    </row>
    <row r="19572" spans="1:7" x14ac:dyDescent="0.25">
      <c r="A19572" s="1" t="str">
        <f>"513174"</f>
        <v>513174</v>
      </c>
      <c r="B19572" s="2" t="str">
        <f>"REDUCAO EXCENTRICA 1 1/2 NP RJT X 1"" SMS"</f>
        <v>REDUCAO EXCENTRICA 1 1/2 NP RJT X 1" SMS</v>
      </c>
      <c r="C19572" s="2" t="str">
        <f t="shared" si="767"/>
        <v>UN</v>
      </c>
      <c r="D19572" s="7">
        <v>915</v>
      </c>
      <c r="E19572" s="3">
        <v>11</v>
      </c>
      <c r="F19572" s="2">
        <v>5</v>
      </c>
      <c r="G19572" t="s">
        <v>514</v>
      </c>
    </row>
    <row r="19573" spans="1:7" x14ac:dyDescent="0.25">
      <c r="A19573" s="1" t="str">
        <f>"523291"</f>
        <v>523291</v>
      </c>
      <c r="B19573" s="2" t="str">
        <f>"REDUÇÃO EXCENTRICA 304 S/C SCH10 6 X 4"""</f>
        <v>REDUÇÃO EXCENTRICA 304 S/C SCH10 6 X 4"</v>
      </c>
      <c r="C19573" s="2" t="str">
        <f t="shared" si="767"/>
        <v>UN</v>
      </c>
      <c r="D19573" s="7">
        <v>915</v>
      </c>
      <c r="E19573" s="3">
        <v>11</v>
      </c>
      <c r="F19573" s="2">
        <v>6</v>
      </c>
      <c r="G19573" t="s">
        <v>514</v>
      </c>
    </row>
    <row r="19574" spans="1:7" x14ac:dyDescent="0.25">
      <c r="A19574" s="1" t="str">
        <f>"525245"</f>
        <v>525245</v>
      </c>
      <c r="B19574" s="2" t="str">
        <f>"REDUÇÃO EXCENTRICA INOX 304 4"" X 2""1/2"</f>
        <v>REDUÇÃO EXCENTRICA INOX 304 4" X 2"1/2</v>
      </c>
      <c r="C19574" s="2" t="str">
        <f t="shared" si="767"/>
        <v>UN</v>
      </c>
      <c r="D19574" s="7">
        <v>807</v>
      </c>
      <c r="E19574" s="3">
        <v>10</v>
      </c>
      <c r="F19574" s="2">
        <v>9</v>
      </c>
      <c r="G19574" t="s">
        <v>512</v>
      </c>
    </row>
    <row r="19575" spans="1:7" x14ac:dyDescent="0.25">
      <c r="A19575" s="1" t="str">
        <f>"525246"</f>
        <v>525246</v>
      </c>
      <c r="B19575" s="2" t="str">
        <f>"REDUÇÃO EXCENTRICA INOX 304 4"" X 3"""</f>
        <v>REDUÇÃO EXCENTRICA INOX 304 4" X 3"</v>
      </c>
      <c r="C19575" s="2" t="str">
        <f t="shared" si="767"/>
        <v>UN</v>
      </c>
      <c r="D19575" s="7">
        <v>807</v>
      </c>
      <c r="E19575" s="3">
        <v>10</v>
      </c>
      <c r="F19575" s="2">
        <v>5</v>
      </c>
      <c r="G19575" t="s">
        <v>513</v>
      </c>
    </row>
    <row r="19576" spans="1:7" x14ac:dyDescent="0.25">
      <c r="A19576" s="1" t="str">
        <f>"519758"</f>
        <v>519758</v>
      </c>
      <c r="B19576" s="2" t="str">
        <f>"REDUCAO F.G 1 1/2"" X 1 1/4"" BUCHA"</f>
        <v>REDUCAO F.G 1 1/2" X 1 1/4" BUCHA</v>
      </c>
      <c r="C19576" s="2" t="str">
        <f t="shared" si="767"/>
        <v>UN</v>
      </c>
      <c r="D19576" s="7">
        <v>912</v>
      </c>
      <c r="E19576" s="3">
        <v>11</v>
      </c>
      <c r="F19576" s="2">
        <v>3</v>
      </c>
      <c r="G19576" t="s">
        <v>514</v>
      </c>
    </row>
    <row r="19577" spans="1:7" x14ac:dyDescent="0.25">
      <c r="A19577" s="1" t="str">
        <f>"509903"</f>
        <v>509903</v>
      </c>
      <c r="B19577" s="2" t="str">
        <f>"REDUCAO F.G 1 1/2"" X 3/4"""</f>
        <v>REDUCAO F.G 1 1/2" X 3/4"</v>
      </c>
      <c r="C19577" s="2" t="str">
        <f t="shared" si="767"/>
        <v>UN</v>
      </c>
      <c r="D19577" s="7">
        <v>912</v>
      </c>
      <c r="E19577" s="3">
        <v>11</v>
      </c>
      <c r="F19577" s="2">
        <v>3</v>
      </c>
      <c r="G19577" t="s">
        <v>514</v>
      </c>
    </row>
    <row r="19578" spans="1:7" x14ac:dyDescent="0.25">
      <c r="A19578" s="1" t="str">
        <f>"518061"</f>
        <v>518061</v>
      </c>
      <c r="B19578" s="2" t="str">
        <f>"REDUCAO F.G 1 1/4"" X 1"""</f>
        <v>REDUCAO F.G 1 1/4" X 1"</v>
      </c>
      <c r="C19578" s="2" t="str">
        <f t="shared" si="767"/>
        <v>UN</v>
      </c>
      <c r="D19578" s="7">
        <v>912</v>
      </c>
      <c r="E19578" s="3">
        <v>10</v>
      </c>
      <c r="F19578" s="2">
        <v>2</v>
      </c>
      <c r="G19578" t="s">
        <v>514</v>
      </c>
    </row>
    <row r="19579" spans="1:7" x14ac:dyDescent="0.25">
      <c r="A19579" s="1" t="str">
        <f>"528145"</f>
        <v>528145</v>
      </c>
      <c r="B19579" s="2" t="str">
        <f>"REDUCAO F.G 1. 1/2 X 3/4"</f>
        <v>REDUCAO F.G 1. 1/2 X 3/4</v>
      </c>
      <c r="C19579" s="2" t="str">
        <f t="shared" si="767"/>
        <v>UN</v>
      </c>
      <c r="D19579" s="7">
        <v>812</v>
      </c>
      <c r="E19579" s="3">
        <v>10</v>
      </c>
      <c r="F19579" s="2">
        <v>1</v>
      </c>
      <c r="G19579" t="s">
        <v>513</v>
      </c>
    </row>
    <row r="19580" spans="1:7" x14ac:dyDescent="0.25">
      <c r="A19580" s="1" t="str">
        <f>"509906"</f>
        <v>509906</v>
      </c>
      <c r="B19580" s="2" t="str">
        <f>"REDUCAO F.G 1/2"" X 1"""</f>
        <v>REDUCAO F.G 1/2" X 1"</v>
      </c>
      <c r="C19580" s="2" t="str">
        <f t="shared" si="767"/>
        <v>UN</v>
      </c>
      <c r="D19580" s="7">
        <v>912</v>
      </c>
      <c r="E19580" s="3">
        <v>11</v>
      </c>
      <c r="F19580" s="2">
        <v>4</v>
      </c>
      <c r="G19580" t="s">
        <v>512</v>
      </c>
    </row>
    <row r="19581" spans="1:7" x14ac:dyDescent="0.25">
      <c r="A19581" s="1" t="str">
        <f>"517850"</f>
        <v>517850</v>
      </c>
      <c r="B19581" s="2" t="str">
        <f>"REDUCAO F.G 2"" X 1"""</f>
        <v>REDUCAO F.G 2" X 1"</v>
      </c>
      <c r="C19581" s="2" t="str">
        <f t="shared" si="767"/>
        <v>UN</v>
      </c>
      <c r="D19581" s="7">
        <v>912</v>
      </c>
      <c r="E19581" s="3">
        <v>10</v>
      </c>
      <c r="F19581" s="2">
        <v>1</v>
      </c>
      <c r="G19581" t="s">
        <v>513</v>
      </c>
    </row>
    <row r="19582" spans="1:7" x14ac:dyDescent="0.25">
      <c r="A19582" s="1" t="str">
        <f>"528144"</f>
        <v>528144</v>
      </c>
      <c r="B19582" s="2" t="str">
        <f>"REDUCAO F.G 2. 1/2 X 1. 1/2"</f>
        <v>REDUCAO F.G 2. 1/2 X 1. 1/2</v>
      </c>
      <c r="C19582" s="2" t="str">
        <f t="shared" si="767"/>
        <v>UN</v>
      </c>
      <c r="D19582" s="7">
        <v>812</v>
      </c>
      <c r="E19582" s="3">
        <v>10</v>
      </c>
      <c r="F19582" s="2">
        <v>2</v>
      </c>
      <c r="G19582" t="s">
        <v>514</v>
      </c>
    </row>
    <row r="19583" spans="1:7" x14ac:dyDescent="0.25">
      <c r="A19583" s="1" t="str">
        <f>"509104"</f>
        <v>509104</v>
      </c>
      <c r="B19583" s="2" t="str">
        <f>"REDUÇÃO F.G. 2""1/2  X  2"""</f>
        <v>REDUÇÃO F.G. 2"1/2  X  2"</v>
      </c>
      <c r="C19583" s="2" t="str">
        <f>"BR"</f>
        <v>BR</v>
      </c>
      <c r="D19583" s="7">
        <v>808</v>
      </c>
      <c r="E19583" s="3">
        <v>10</v>
      </c>
      <c r="F19583" s="2">
        <v>7</v>
      </c>
      <c r="G19583" t="s">
        <v>514</v>
      </c>
    </row>
    <row r="19584" spans="1:7" x14ac:dyDescent="0.25">
      <c r="A19584" s="1" t="str">
        <f>"519757"</f>
        <v>519757</v>
      </c>
      <c r="B19584" s="2" t="str">
        <f>"REDUÇAO F.G. 2""1/2 x 1 1/2"" BUCHA"</f>
        <v>REDUÇAO F.G. 2"1/2 x 1 1/2" BUCHA</v>
      </c>
      <c r="C19584" s="2" t="str">
        <f>"BR"</f>
        <v>BR</v>
      </c>
      <c r="D19584" s="7">
        <v>808</v>
      </c>
      <c r="E19584" s="3">
        <v>10</v>
      </c>
      <c r="F19584" s="2">
        <v>9</v>
      </c>
      <c r="G19584" t="s">
        <v>514</v>
      </c>
    </row>
    <row r="19585" spans="1:7" x14ac:dyDescent="0.25">
      <c r="A19585" s="1" t="str">
        <f>"519996"</f>
        <v>519996</v>
      </c>
      <c r="B19585" s="2" t="str">
        <f>"REDUÇÃO F.G. 3"" X 1""1/2"</f>
        <v>REDUÇÃO F.G. 3" X 1"1/2</v>
      </c>
      <c r="C19585" s="2" t="str">
        <f>"UN"</f>
        <v>UN</v>
      </c>
      <c r="D19585" s="7">
        <v>808</v>
      </c>
      <c r="E19585" s="3">
        <v>10</v>
      </c>
      <c r="F19585" s="2">
        <v>0</v>
      </c>
      <c r="G19585" t="s">
        <v>513</v>
      </c>
    </row>
    <row r="19586" spans="1:7" x14ac:dyDescent="0.25">
      <c r="A19586" s="1" t="str">
        <f>"517851"</f>
        <v>517851</v>
      </c>
      <c r="B19586" s="2" t="str">
        <f>"REDUÇÃO F.G. 3"" X 2 """</f>
        <v>REDUÇÃO F.G. 3" X 2 "</v>
      </c>
      <c r="C19586" s="2" t="str">
        <f>"UN"</f>
        <v>UN</v>
      </c>
      <c r="D19586" s="7">
        <v>912</v>
      </c>
      <c r="E19586" s="3">
        <v>10</v>
      </c>
      <c r="F19586" s="2">
        <v>0</v>
      </c>
      <c r="G19586" t="s">
        <v>513</v>
      </c>
    </row>
    <row r="19587" spans="1:7" x14ac:dyDescent="0.25">
      <c r="A19587" s="1" t="str">
        <f>"509103"</f>
        <v>509103</v>
      </c>
      <c r="B19587" s="2" t="str">
        <f>"REDUÇAO F.G. 3"" X 2""1/2"</f>
        <v>REDUÇAO F.G. 3" X 2"1/2</v>
      </c>
      <c r="C19587" s="2" t="str">
        <f>"BR"</f>
        <v>BR</v>
      </c>
      <c r="D19587" s="7">
        <v>808</v>
      </c>
      <c r="E19587" s="3">
        <v>10</v>
      </c>
      <c r="F19587" s="2">
        <v>4</v>
      </c>
      <c r="G19587" t="s">
        <v>513</v>
      </c>
    </row>
    <row r="19588" spans="1:7" x14ac:dyDescent="0.25">
      <c r="A19588" s="1" t="str">
        <f>"519995"</f>
        <v>519995</v>
      </c>
      <c r="B19588" s="2" t="str">
        <f>"REDUÇÃO F.G. 4"" X 3"""</f>
        <v>REDUÇÃO F.G. 4" X 3"</v>
      </c>
      <c r="C19588" s="2" t="str">
        <f>"UN"</f>
        <v>UN</v>
      </c>
      <c r="D19588" s="7">
        <v>808</v>
      </c>
      <c r="E19588" s="3">
        <v>10</v>
      </c>
      <c r="F19588" s="2">
        <v>1</v>
      </c>
      <c r="G19588" t="s">
        <v>512</v>
      </c>
    </row>
    <row r="19589" spans="1:7" x14ac:dyDescent="0.25">
      <c r="A19589" s="1" t="str">
        <f>"517852"</f>
        <v>517852</v>
      </c>
      <c r="B19589" s="2" t="str">
        <f>"REDUÇAO FG 1 1/2"" X 1"""</f>
        <v>REDUÇAO FG 1 1/2" X 1"</v>
      </c>
      <c r="C19589" s="2" t="str">
        <f>"UN"</f>
        <v>UN</v>
      </c>
      <c r="D19589" s="7">
        <v>912</v>
      </c>
      <c r="E19589" s="3">
        <v>10</v>
      </c>
      <c r="F19589" s="2">
        <v>2</v>
      </c>
      <c r="G19589" t="s">
        <v>513</v>
      </c>
    </row>
    <row r="19590" spans="1:7" x14ac:dyDescent="0.25">
      <c r="A19590" s="1" t="str">
        <f>"502082"</f>
        <v>502082</v>
      </c>
      <c r="B19590" s="2" t="str">
        <f>"REDUCAO FG 1""X3/4"""</f>
        <v>REDUCAO FG 1"X3/4"</v>
      </c>
      <c r="C19590" s="2" t="str">
        <f>"BR"</f>
        <v>BR</v>
      </c>
      <c r="D19590" s="7">
        <v>808</v>
      </c>
      <c r="E19590" s="3">
        <v>10</v>
      </c>
      <c r="F19590" s="2">
        <v>7</v>
      </c>
      <c r="G19590" t="s">
        <v>514</v>
      </c>
    </row>
    <row r="19591" spans="1:7" x14ac:dyDescent="0.25">
      <c r="A19591" s="1" t="str">
        <f>"508102"</f>
        <v>508102</v>
      </c>
      <c r="B19591" s="2" t="str">
        <f>"REDUCAO FG 1/2"" X 3/8"""</f>
        <v>REDUCAO FG 1/2" X 3/8"</v>
      </c>
      <c r="C19591" s="2" t="str">
        <f>"BR"</f>
        <v>BR</v>
      </c>
      <c r="D19591" s="7">
        <v>808</v>
      </c>
      <c r="E19591" s="3">
        <v>10</v>
      </c>
      <c r="F19591" s="2">
        <v>9</v>
      </c>
      <c r="G19591" t="s">
        <v>515</v>
      </c>
    </row>
    <row r="19592" spans="1:7" x14ac:dyDescent="0.25">
      <c r="A19592" s="1" t="str">
        <f>"511428"</f>
        <v>511428</v>
      </c>
      <c r="B19592" s="2" t="str">
        <f>"REDUÇAO FG 2"" X 1 1/2"""</f>
        <v>REDUÇAO FG 2" X 1 1/2"</v>
      </c>
      <c r="C19592" s="2" t="str">
        <f>"BR"</f>
        <v>BR</v>
      </c>
      <c r="D19592" s="7">
        <v>808</v>
      </c>
      <c r="E19592" s="3">
        <v>10</v>
      </c>
      <c r="F19592" s="5">
        <v>5</v>
      </c>
      <c r="G19592" t="s">
        <v>512</v>
      </c>
    </row>
    <row r="19593" spans="1:7" x14ac:dyDescent="0.25">
      <c r="A19593" s="1" t="str">
        <f>"502083"</f>
        <v>502083</v>
      </c>
      <c r="B19593" s="2" t="str">
        <f>"REDUCAO FG 3/4"" X 1/2"""</f>
        <v>REDUCAO FG 3/4" X 1/2"</v>
      </c>
      <c r="C19593" s="2" t="str">
        <f>"BR"</f>
        <v>BR</v>
      </c>
      <c r="D19593" s="7">
        <v>808</v>
      </c>
      <c r="E19593" s="3">
        <v>10</v>
      </c>
      <c r="F19593" s="2">
        <v>3</v>
      </c>
      <c r="G19593" t="s">
        <v>516</v>
      </c>
    </row>
    <row r="19594" spans="1:7" x14ac:dyDescent="0.25">
      <c r="A19594" s="1" t="str">
        <f>"505899"</f>
        <v>505899</v>
      </c>
      <c r="B19594" s="2" t="str">
        <f>"REDUCAO FG 3/8"" X 1/4"""</f>
        <v>REDUCAO FG 3/8" X 1/4"</v>
      </c>
      <c r="C19594" s="2" t="str">
        <f>"UN"</f>
        <v>UN</v>
      </c>
      <c r="D19594" s="7">
        <v>704</v>
      </c>
      <c r="E19594" s="3">
        <v>9</v>
      </c>
      <c r="F19594" s="2">
        <v>8</v>
      </c>
      <c r="G19594" t="s">
        <v>515</v>
      </c>
    </row>
    <row r="19595" spans="1:7" x14ac:dyDescent="0.25">
      <c r="A19595" s="1" t="str">
        <f>"502084"</f>
        <v>502084</v>
      </c>
      <c r="B19595" s="2" t="str">
        <f>"REDUCAO INOX 1""1/2 X 1"""</f>
        <v>REDUCAO INOX 1"1/2 X 1"</v>
      </c>
      <c r="C19595" s="2" t="str">
        <f t="shared" ref="C19595:C19602" si="768">"BR"</f>
        <v>BR</v>
      </c>
      <c r="D19595" s="7">
        <v>807</v>
      </c>
      <c r="E19595" s="3">
        <v>10</v>
      </c>
      <c r="F19595" s="2">
        <v>6</v>
      </c>
      <c r="G19595" t="s">
        <v>514</v>
      </c>
    </row>
    <row r="19596" spans="1:7" x14ac:dyDescent="0.25">
      <c r="A19596" s="1" t="str">
        <f>"512107"</f>
        <v>512107</v>
      </c>
      <c r="B19596" s="2" t="str">
        <f>"REDUCAO INOX 2"" X 1 1/2"""</f>
        <v>REDUCAO INOX 2" X 1 1/2"</v>
      </c>
      <c r="C19596" s="2" t="str">
        <f t="shared" si="768"/>
        <v>BR</v>
      </c>
      <c r="D19596" s="7">
        <v>807</v>
      </c>
      <c r="E19596" s="3">
        <v>10</v>
      </c>
      <c r="F19596" s="2">
        <v>4</v>
      </c>
      <c r="G19596" t="s">
        <v>512</v>
      </c>
    </row>
    <row r="19597" spans="1:7" x14ac:dyDescent="0.25">
      <c r="A19597" s="1" t="str">
        <f>"509122"</f>
        <v>509122</v>
      </c>
      <c r="B19597" s="2" t="str">
        <f>"REDUCAO INOX 2"" X 1"""</f>
        <v>REDUCAO INOX 2" X 1"</v>
      </c>
      <c r="C19597" s="2" t="str">
        <f t="shared" si="768"/>
        <v>BR</v>
      </c>
      <c r="D19597" s="7">
        <v>807</v>
      </c>
      <c r="E19597" s="3">
        <v>10</v>
      </c>
      <c r="F19597" s="2">
        <v>1</v>
      </c>
      <c r="G19597" t="s">
        <v>513</v>
      </c>
    </row>
    <row r="19598" spans="1:7" x14ac:dyDescent="0.25">
      <c r="A19598" s="1" t="str">
        <f>"502033"</f>
        <v>502033</v>
      </c>
      <c r="B19598" s="2" t="str">
        <f>"REDUÇAO INOX 2"" X 1""1/2"</f>
        <v>REDUÇAO INOX 2" X 1"1/2</v>
      </c>
      <c r="C19598" s="2" t="str">
        <f t="shared" si="768"/>
        <v>BR</v>
      </c>
      <c r="D19598" s="7">
        <v>807</v>
      </c>
      <c r="E19598" s="3">
        <v>10</v>
      </c>
      <c r="F19598" s="2">
        <v>2</v>
      </c>
      <c r="G19598" t="s">
        <v>514</v>
      </c>
    </row>
    <row r="19599" spans="1:7" x14ac:dyDescent="0.25">
      <c r="A19599" s="1" t="str">
        <f>"505376"</f>
        <v>505376</v>
      </c>
      <c r="B19599" s="2" t="str">
        <f>"REDUCAO INOX 2""1/2 X 2"""</f>
        <v>REDUCAO INOX 2"1/2 X 2"</v>
      </c>
      <c r="C19599" s="2" t="str">
        <f t="shared" si="768"/>
        <v>BR</v>
      </c>
      <c r="D19599" s="7">
        <v>807</v>
      </c>
      <c r="E19599" s="3">
        <v>10</v>
      </c>
      <c r="F19599" s="2">
        <v>7</v>
      </c>
      <c r="G19599" t="s">
        <v>514</v>
      </c>
    </row>
    <row r="19600" spans="1:7" x14ac:dyDescent="0.25">
      <c r="A19600" s="1" t="str">
        <f>"504885"</f>
        <v>504885</v>
      </c>
      <c r="B19600" s="2" t="str">
        <f>"REDUCAO INOX 3"" X 2"""</f>
        <v>REDUCAO INOX 3" X 2"</v>
      </c>
      <c r="C19600" s="2" t="str">
        <f t="shared" si="768"/>
        <v>BR</v>
      </c>
      <c r="D19600" s="7">
        <v>807</v>
      </c>
      <c r="E19600" s="3">
        <v>10</v>
      </c>
      <c r="F19600" s="2">
        <v>9</v>
      </c>
      <c r="G19600" t="s">
        <v>512</v>
      </c>
    </row>
    <row r="19601" spans="1:7" x14ac:dyDescent="0.25">
      <c r="A19601" s="1" t="str">
        <f>"505378"</f>
        <v>505378</v>
      </c>
      <c r="B19601" s="2" t="str">
        <f>"REDUCAO INOX 3"" X 2"" C/NIPLE"</f>
        <v>REDUCAO INOX 3" X 2" C/NIPLE</v>
      </c>
      <c r="C19601" s="2" t="str">
        <f t="shared" si="768"/>
        <v>BR</v>
      </c>
      <c r="D19601" s="7">
        <v>807</v>
      </c>
      <c r="E19601" s="3">
        <v>10</v>
      </c>
      <c r="F19601" s="2">
        <v>0</v>
      </c>
      <c r="G19601" t="s">
        <v>513</v>
      </c>
    </row>
    <row r="19602" spans="1:7" x14ac:dyDescent="0.25">
      <c r="A19602" s="1" t="str">
        <f>"505375"</f>
        <v>505375</v>
      </c>
      <c r="B19602" s="2" t="str">
        <f>"REDUCAO INOX 3"" X 2""1/2"</f>
        <v>REDUCAO INOX 3" X 2"1/2</v>
      </c>
      <c r="C19602" s="2" t="str">
        <f t="shared" si="768"/>
        <v>BR</v>
      </c>
      <c r="D19602" s="7">
        <v>807</v>
      </c>
      <c r="E19602" s="3">
        <v>10</v>
      </c>
      <c r="F19602" s="2">
        <v>0</v>
      </c>
      <c r="G19602" t="s">
        <v>514</v>
      </c>
    </row>
    <row r="19603" spans="1:7" x14ac:dyDescent="0.25">
      <c r="A19603" s="1" t="str">
        <f>"522396"</f>
        <v>522396</v>
      </c>
      <c r="B19603" s="2" t="str">
        <f>"REDUÇÃO INOX 304 10"" X 6"""</f>
        <v>REDUÇÃO INOX 304 10" X 6"</v>
      </c>
      <c r="C19603" s="2" t="str">
        <f>"UN"</f>
        <v>UN</v>
      </c>
      <c r="D19603" s="7">
        <v>807</v>
      </c>
      <c r="E19603" s="3">
        <v>10</v>
      </c>
      <c r="F19603" s="2">
        <v>2</v>
      </c>
      <c r="G19603" t="s">
        <v>514</v>
      </c>
    </row>
    <row r="19604" spans="1:7" x14ac:dyDescent="0.25">
      <c r="A19604" s="1" t="str">
        <f>"502085"</f>
        <v>502085</v>
      </c>
      <c r="B19604" s="2" t="str">
        <f>"REDUÇAO INOX 304 2"" X 1"" - CONCENTRICA"</f>
        <v>REDUÇAO INOX 304 2" X 1" - CONCENTRICA</v>
      </c>
      <c r="C19604" s="2" t="str">
        <f>"BR"</f>
        <v>BR</v>
      </c>
      <c r="D19604" s="7">
        <v>807</v>
      </c>
      <c r="E19604" s="3">
        <v>10</v>
      </c>
      <c r="F19604" s="2">
        <v>5</v>
      </c>
      <c r="G19604" t="s">
        <v>514</v>
      </c>
    </row>
    <row r="19605" spans="1:7" x14ac:dyDescent="0.25">
      <c r="A19605" s="1" t="str">
        <f>"505377"</f>
        <v>505377</v>
      </c>
      <c r="B19605" s="2" t="str">
        <f>"REDUCAO INOX 304 4"" X 3"""</f>
        <v>REDUCAO INOX 304 4" X 3"</v>
      </c>
      <c r="C19605" s="2" t="str">
        <f>"BR"</f>
        <v>BR</v>
      </c>
      <c r="D19605" s="7">
        <v>807</v>
      </c>
      <c r="E19605" s="3">
        <v>10</v>
      </c>
      <c r="F19605" s="2">
        <v>6</v>
      </c>
      <c r="G19605" t="s">
        <v>513</v>
      </c>
    </row>
    <row r="19606" spans="1:7" x14ac:dyDescent="0.25">
      <c r="A19606" s="1" t="str">
        <f>"523447"</f>
        <v>523447</v>
      </c>
      <c r="B19606" s="2" t="str">
        <f>"REDUÇAO INOX 304 4"" X 3"" - CONCENTRICA"</f>
        <v>REDUÇAO INOX 304 4" X 3" - CONCENTRICA</v>
      </c>
      <c r="C19606" s="2" t="str">
        <f>"BR"</f>
        <v>BR</v>
      </c>
      <c r="D19606" s="7">
        <v>807</v>
      </c>
      <c r="E19606" s="3">
        <v>10</v>
      </c>
      <c r="F19606" s="2">
        <v>9</v>
      </c>
      <c r="G19606" t="s">
        <v>512</v>
      </c>
    </row>
    <row r="19607" spans="1:7" x14ac:dyDescent="0.25">
      <c r="A19607" s="1" t="str">
        <f>"522395"</f>
        <v>522395</v>
      </c>
      <c r="B19607" s="2" t="str">
        <f>"REDUÇÃO INOX 304 6"" X 3"""</f>
        <v>REDUÇÃO INOX 304 6" X 3"</v>
      </c>
      <c r="C19607" s="2" t="str">
        <f>"UN"</f>
        <v>UN</v>
      </c>
      <c r="D19607" s="7">
        <v>807</v>
      </c>
      <c r="E19607" s="3">
        <v>10</v>
      </c>
      <c r="F19607" s="2">
        <v>5</v>
      </c>
      <c r="G19607" t="s">
        <v>513</v>
      </c>
    </row>
    <row r="19608" spans="1:7" x14ac:dyDescent="0.25">
      <c r="A19608" s="1" t="str">
        <f>"521950"</f>
        <v>521950</v>
      </c>
      <c r="B19608" s="2" t="str">
        <f>"REDUÇÃO INOX 314L OD 6 X 4"""</f>
        <v>REDUÇÃO INOX 314L OD 6 X 4"</v>
      </c>
      <c r="C19608" s="2" t="str">
        <f>"UN"</f>
        <v>UN</v>
      </c>
      <c r="D19608" s="7">
        <v>915</v>
      </c>
      <c r="E19608" s="3">
        <v>10</v>
      </c>
      <c r="F19608" s="2">
        <v>3</v>
      </c>
      <c r="G19608" t="s">
        <v>514</v>
      </c>
    </row>
    <row r="19609" spans="1:7" x14ac:dyDescent="0.25">
      <c r="A19609" s="1" t="str">
        <f>"524405"</f>
        <v>524405</v>
      </c>
      <c r="B19609" s="2" t="str">
        <f>"REDUCAO INOX EXCENTRICA 304 3"" X 2"""</f>
        <v>REDUCAO INOX EXCENTRICA 304 3" X 2"</v>
      </c>
      <c r="C19609" s="2" t="str">
        <f>"BR"</f>
        <v>BR</v>
      </c>
      <c r="D19609" s="7">
        <v>807</v>
      </c>
      <c r="E19609" s="3">
        <v>10</v>
      </c>
      <c r="F19609" s="2">
        <v>3</v>
      </c>
      <c r="G19609" t="s">
        <v>514</v>
      </c>
    </row>
    <row r="19610" spans="1:7" x14ac:dyDescent="0.25">
      <c r="A19610" s="1" t="str">
        <f>"502086"</f>
        <v>502086</v>
      </c>
      <c r="B19610" s="2" t="str">
        <f>"REDUÇAO INOX NMP SMS 2""1/2 X 2"""</f>
        <v>REDUÇAO INOX NMP SMS 2"1/2 X 2"</v>
      </c>
      <c r="C19610" s="2" t="str">
        <f>"BR"</f>
        <v>BR</v>
      </c>
      <c r="D19610" s="7">
        <v>807</v>
      </c>
      <c r="E19610" s="3">
        <v>10</v>
      </c>
      <c r="F19610" s="2">
        <v>2</v>
      </c>
      <c r="G19610" t="s">
        <v>514</v>
      </c>
    </row>
    <row r="19611" spans="1:7" x14ac:dyDescent="0.25">
      <c r="A19611" s="1" t="str">
        <f>"526932"</f>
        <v>526932</v>
      </c>
      <c r="B19611" s="2" t="str">
        <f>"REDUCAO INOX PIPE OD 1"" X 1/2"""</f>
        <v>REDUCAO INOX PIPE OD 1" X 1/2"</v>
      </c>
      <c r="C19611" s="2" t="str">
        <f>"BR"</f>
        <v>BR</v>
      </c>
      <c r="D19611" s="7">
        <v>807</v>
      </c>
      <c r="E19611" s="3">
        <v>10</v>
      </c>
      <c r="F19611" s="2">
        <v>1</v>
      </c>
      <c r="G19611" t="s">
        <v>513</v>
      </c>
    </row>
    <row r="19612" spans="1:7" x14ac:dyDescent="0.25">
      <c r="A19612" s="1" t="str">
        <f>"519988"</f>
        <v>519988</v>
      </c>
      <c r="B19612" s="2" t="str">
        <f>"REDUÇÃO LISA INOX 2""1/2 X 1"""</f>
        <v>REDUÇÃO LISA INOX 2"1/2 X 1"</v>
      </c>
      <c r="C19612" s="2" t="str">
        <f>"UN"</f>
        <v>UN</v>
      </c>
      <c r="D19612" s="7">
        <v>807</v>
      </c>
      <c r="E19612" s="3">
        <v>10</v>
      </c>
      <c r="F19612" s="2">
        <v>4</v>
      </c>
      <c r="G19612" t="s">
        <v>513</v>
      </c>
    </row>
    <row r="19613" spans="1:7" x14ac:dyDescent="0.25">
      <c r="A19613" s="1" t="str">
        <f>"505379"</f>
        <v>505379</v>
      </c>
      <c r="B19613" s="2" t="str">
        <f>"REDUCAO LISA INOX 4"" X 2"""</f>
        <v>REDUCAO LISA INOX 4" X 2"</v>
      </c>
      <c r="C19613" s="2" t="str">
        <f>"UN"</f>
        <v>UN</v>
      </c>
      <c r="D19613" s="7">
        <v>915</v>
      </c>
      <c r="E19613" s="3">
        <v>10</v>
      </c>
      <c r="F19613" s="2">
        <v>6</v>
      </c>
      <c r="G19613" t="s">
        <v>513</v>
      </c>
    </row>
    <row r="19614" spans="1:7" x14ac:dyDescent="0.25">
      <c r="A19614" s="1" t="str">
        <f>"505200"</f>
        <v>505200</v>
      </c>
      <c r="B19614" s="2" t="str">
        <f>"REDUCAO LISA INOX 4"" X 2.1/2"""</f>
        <v>REDUCAO LISA INOX 4" X 2.1/2"</v>
      </c>
      <c r="C19614" s="2" t="str">
        <f>"BR"</f>
        <v>BR</v>
      </c>
      <c r="D19614" s="7">
        <v>807</v>
      </c>
      <c r="E19614" s="3">
        <v>10</v>
      </c>
      <c r="F19614" s="2">
        <v>8</v>
      </c>
      <c r="G19614" t="s">
        <v>512</v>
      </c>
    </row>
    <row r="19615" spans="1:7" x14ac:dyDescent="0.25">
      <c r="A19615" s="1" t="str">
        <f>"513593"</f>
        <v>513593</v>
      </c>
      <c r="B19615" s="2" t="str">
        <f>"REDUÇAO PVC 1 1/2"" X 1 1/4"""</f>
        <v>REDUÇAO PVC 1 1/2" X 1 1/4"</v>
      </c>
      <c r="C19615" s="2" t="str">
        <f t="shared" ref="C19615:C19627" si="769">"UN"</f>
        <v>UN</v>
      </c>
      <c r="D19615" s="7">
        <v>601</v>
      </c>
      <c r="E19615" s="3">
        <v>8</v>
      </c>
      <c r="F19615" s="2">
        <v>7</v>
      </c>
      <c r="G19615" t="s">
        <v>513</v>
      </c>
    </row>
    <row r="19616" spans="1:7" x14ac:dyDescent="0.25">
      <c r="A19616" s="1" t="str">
        <f>"518892"</f>
        <v>518892</v>
      </c>
      <c r="B19616" s="2" t="str">
        <f>"REDUÇAO PVC 1 1/2"" X 1"""</f>
        <v>REDUÇAO PVC 1 1/2" X 1"</v>
      </c>
      <c r="C19616" s="2" t="str">
        <f t="shared" si="769"/>
        <v>UN</v>
      </c>
      <c r="D19616" s="7">
        <v>601</v>
      </c>
      <c r="E19616" s="3">
        <v>8</v>
      </c>
      <c r="F19616" s="2">
        <v>6</v>
      </c>
      <c r="G19616" t="s">
        <v>514</v>
      </c>
    </row>
    <row r="19617" spans="1:7" x14ac:dyDescent="0.25">
      <c r="A19617" s="1" t="str">
        <f>"509896"</f>
        <v>509896</v>
      </c>
      <c r="B19617" s="2" t="str">
        <f>"REDUÇAO PVC 1 1/2"" X 3/4"""</f>
        <v>REDUÇAO PVC 1 1/2" X 3/4"</v>
      </c>
      <c r="C19617" s="2" t="str">
        <f t="shared" si="769"/>
        <v>UN</v>
      </c>
      <c r="D19617" s="7">
        <v>601</v>
      </c>
      <c r="E19617" s="3">
        <v>8</v>
      </c>
      <c r="F19617" s="2">
        <v>6</v>
      </c>
      <c r="G19617" t="s">
        <v>515</v>
      </c>
    </row>
    <row r="19618" spans="1:7" x14ac:dyDescent="0.25">
      <c r="A19618" s="1" t="str">
        <f>"519308"</f>
        <v>519308</v>
      </c>
      <c r="B19618" s="2" t="str">
        <f>"REDUÇAO PVC 1 1/4"" X 1"" MARROM"</f>
        <v>REDUÇAO PVC 1 1/4" X 1" MARROM</v>
      </c>
      <c r="C19618" s="2" t="str">
        <f t="shared" si="769"/>
        <v>UN</v>
      </c>
      <c r="D19618" s="7">
        <v>601</v>
      </c>
      <c r="E19618" s="3">
        <v>8</v>
      </c>
      <c r="F19618" s="2">
        <v>2</v>
      </c>
      <c r="G19618" t="s">
        <v>512</v>
      </c>
    </row>
    <row r="19619" spans="1:7" x14ac:dyDescent="0.25">
      <c r="A19619" s="1" t="str">
        <f>"507250"</f>
        <v>507250</v>
      </c>
      <c r="B19619" s="2" t="str">
        <f>"REDUCAO PVC 1 X 3/4 MARRON"</f>
        <v>REDUCAO PVC 1 X 3/4 MARRON</v>
      </c>
      <c r="C19619" s="2" t="str">
        <f t="shared" si="769"/>
        <v>UN</v>
      </c>
      <c r="D19619" s="7">
        <v>402</v>
      </c>
      <c r="E19619" s="3">
        <v>4</v>
      </c>
      <c r="F19619" s="2">
        <v>1</v>
      </c>
      <c r="G19619" t="s">
        <v>516</v>
      </c>
    </row>
    <row r="19620" spans="1:7" x14ac:dyDescent="0.25">
      <c r="A19620" s="1" t="str">
        <f>"509897"</f>
        <v>509897</v>
      </c>
      <c r="B19620" s="2" t="str">
        <f>"REDUÇAO PVC 1"" X 1/2"" MARRON"</f>
        <v>REDUÇAO PVC 1" X 1/2" MARRON</v>
      </c>
      <c r="C19620" s="2" t="str">
        <f t="shared" si="769"/>
        <v>UN</v>
      </c>
      <c r="D19620" s="7">
        <v>601</v>
      </c>
      <c r="E19620" s="3">
        <v>8</v>
      </c>
      <c r="F19620" s="2">
        <v>0</v>
      </c>
      <c r="G19620" t="s">
        <v>515</v>
      </c>
    </row>
    <row r="19621" spans="1:7" x14ac:dyDescent="0.25">
      <c r="A19621" s="1" t="str">
        <f>"517840"</f>
        <v>517840</v>
      </c>
      <c r="B19621" s="2" t="str">
        <f>"REDUÇÃO PVC 100 X 40MM"</f>
        <v>REDUÇÃO PVC 100 X 40MM</v>
      </c>
      <c r="C19621" s="2" t="str">
        <f t="shared" si="769"/>
        <v>UN</v>
      </c>
      <c r="D19621" s="7">
        <v>912</v>
      </c>
      <c r="E19621" s="3">
        <v>10</v>
      </c>
      <c r="F19621" s="2">
        <v>0</v>
      </c>
      <c r="G19621" t="s">
        <v>514</v>
      </c>
    </row>
    <row r="19622" spans="1:7" x14ac:dyDescent="0.25">
      <c r="A19622" s="1" t="str">
        <f>"508027"</f>
        <v>508027</v>
      </c>
      <c r="B19622" s="2" t="str">
        <f>"REDUÇÃO PVC 100 X 50MM"</f>
        <v>REDUÇÃO PVC 100 X 50MM</v>
      </c>
      <c r="C19622" s="2" t="str">
        <f t="shared" si="769"/>
        <v>UN</v>
      </c>
      <c r="D19622" s="7">
        <v>912</v>
      </c>
      <c r="E19622" s="3">
        <v>10</v>
      </c>
      <c r="F19622" s="2">
        <v>0</v>
      </c>
      <c r="G19622" t="s">
        <v>512</v>
      </c>
    </row>
    <row r="19623" spans="1:7" x14ac:dyDescent="0.25">
      <c r="A19623" s="1" t="str">
        <f>"519002"</f>
        <v>519002</v>
      </c>
      <c r="B19623" s="2" t="str">
        <f>"REDUÇÃO PVC 150 X 100MM"</f>
        <v>REDUÇÃO PVC 150 X 100MM</v>
      </c>
      <c r="C19623" s="2" t="str">
        <f t="shared" si="769"/>
        <v>UN</v>
      </c>
      <c r="D19623" s="7">
        <v>912</v>
      </c>
      <c r="E19623" s="3">
        <v>10</v>
      </c>
      <c r="F19623" s="2">
        <v>3</v>
      </c>
      <c r="G19623" t="s">
        <v>513</v>
      </c>
    </row>
    <row r="19624" spans="1:7" x14ac:dyDescent="0.25">
      <c r="A19624" s="1" t="str">
        <f>"509894"</f>
        <v>509894</v>
      </c>
      <c r="B19624" s="2" t="str">
        <f>"REDUÇAO PVC 2"" X 1 1/2"""</f>
        <v>REDUÇAO PVC 2" X 1 1/2"</v>
      </c>
      <c r="C19624" s="2" t="str">
        <f t="shared" si="769"/>
        <v>UN</v>
      </c>
      <c r="D19624" s="7">
        <v>601</v>
      </c>
      <c r="E19624" s="3">
        <v>8</v>
      </c>
      <c r="F19624" s="5">
        <v>5</v>
      </c>
      <c r="G19624" t="s">
        <v>514</v>
      </c>
    </row>
    <row r="19625" spans="1:7" x14ac:dyDescent="0.25">
      <c r="A19625" s="1" t="str">
        <f>"509956"</f>
        <v>509956</v>
      </c>
      <c r="B19625" s="2" t="str">
        <f>"REDUÇAO PVC 2"" X 1"""</f>
        <v>REDUÇAO PVC 2" X 1"</v>
      </c>
      <c r="C19625" s="2" t="str">
        <f t="shared" si="769"/>
        <v>UN</v>
      </c>
      <c r="D19625" s="7">
        <v>601</v>
      </c>
      <c r="E19625" s="3">
        <v>8</v>
      </c>
      <c r="F19625" s="2">
        <v>3</v>
      </c>
      <c r="G19625" t="s">
        <v>514</v>
      </c>
    </row>
    <row r="19626" spans="1:7" x14ac:dyDescent="0.25">
      <c r="A19626" s="1" t="str">
        <f>"507249"</f>
        <v>507249</v>
      </c>
      <c r="B19626" s="2" t="str">
        <f>"REDUCAO PVC 3/4 X 1/2 - MARRON COLA/ROSCA"</f>
        <v>REDUCAO PVC 3/4 X 1/2 - MARRON COLA/ROSCA</v>
      </c>
      <c r="C19626" s="2" t="str">
        <f t="shared" si="769"/>
        <v>UN</v>
      </c>
      <c r="D19626" s="7">
        <v>402</v>
      </c>
      <c r="E19626" s="3">
        <v>4</v>
      </c>
      <c r="F19626" s="2">
        <v>8</v>
      </c>
      <c r="G19626" t="s">
        <v>512</v>
      </c>
    </row>
    <row r="19627" spans="1:7" x14ac:dyDescent="0.25">
      <c r="A19627" s="1" t="str">
        <f>"518893"</f>
        <v>518893</v>
      </c>
      <c r="B19627" s="2" t="str">
        <f>"REDUÇAO PVC 40MM X 32MM"</f>
        <v>REDUÇAO PVC 40MM X 32MM</v>
      </c>
      <c r="C19627" s="2" t="str">
        <f t="shared" si="769"/>
        <v>UN</v>
      </c>
      <c r="D19627" s="7">
        <v>601</v>
      </c>
      <c r="E19627" s="3">
        <v>8</v>
      </c>
      <c r="F19627" s="2">
        <v>6</v>
      </c>
      <c r="G19627" t="s">
        <v>513</v>
      </c>
    </row>
    <row r="19628" spans="1:7" x14ac:dyDescent="0.25">
      <c r="A19628" s="1" t="str">
        <f>"510504"</f>
        <v>510504</v>
      </c>
      <c r="B19628" s="2" t="str">
        <f>"REDUÇAO PVC 50 X 25 COLA/COLA MARROM"</f>
        <v>REDUÇAO PVC 50 X 25 COLA/COLA MARROM</v>
      </c>
      <c r="C19628" s="2" t="str">
        <f>"BR"</f>
        <v>BR</v>
      </c>
      <c r="D19628" s="7">
        <v>808</v>
      </c>
      <c r="E19628" s="3">
        <v>10</v>
      </c>
      <c r="F19628" s="2">
        <v>4</v>
      </c>
      <c r="G19628" t="s">
        <v>514</v>
      </c>
    </row>
    <row r="19629" spans="1:7" x14ac:dyDescent="0.25">
      <c r="A19629" s="1" t="str">
        <f>"503367"</f>
        <v>503367</v>
      </c>
      <c r="B19629" s="2" t="str">
        <f>"REDUÇAO PVC 50 X 40MM"</f>
        <v>REDUÇAO PVC 50 X 40MM</v>
      </c>
      <c r="C19629" s="2" t="str">
        <f>"BR"</f>
        <v>BR</v>
      </c>
      <c r="D19629" s="7">
        <v>808</v>
      </c>
      <c r="E19629" s="3">
        <v>10</v>
      </c>
      <c r="F19629" s="2">
        <v>1</v>
      </c>
      <c r="G19629" t="s">
        <v>514</v>
      </c>
    </row>
    <row r="19630" spans="1:7" x14ac:dyDescent="0.25">
      <c r="A19630" s="1" t="str">
        <f>"513458"</f>
        <v>513458</v>
      </c>
      <c r="B19630" s="2" t="str">
        <f>"REDUÇAO PVC 6 X 3"""</f>
        <v>REDUÇAO PVC 6 X 3"</v>
      </c>
      <c r="C19630" s="2" t="str">
        <f>"UN"</f>
        <v>UN</v>
      </c>
      <c r="D19630" s="7">
        <v>601</v>
      </c>
      <c r="E19630" s="3">
        <v>8</v>
      </c>
      <c r="F19630" s="2">
        <v>2</v>
      </c>
      <c r="G19630" t="s">
        <v>514</v>
      </c>
    </row>
    <row r="19631" spans="1:7" x14ac:dyDescent="0.25">
      <c r="A19631" s="1" t="str">
        <f>"526792"</f>
        <v>526792</v>
      </c>
      <c r="B19631" s="2" t="str">
        <f>"REDUÇÃO PVC 60X50"</f>
        <v>REDUÇÃO PVC 60X50</v>
      </c>
      <c r="C19631" s="2" t="str">
        <f t="shared" ref="C19631:C19636" si="770">"BR"</f>
        <v>BR</v>
      </c>
      <c r="D19631" s="7">
        <v>808</v>
      </c>
      <c r="E19631" s="3">
        <v>10</v>
      </c>
      <c r="F19631" s="2">
        <v>7</v>
      </c>
      <c r="G19631" t="s">
        <v>513</v>
      </c>
    </row>
    <row r="19632" spans="1:7" x14ac:dyDescent="0.25">
      <c r="A19632" s="1" t="str">
        <f>"520515"</f>
        <v>520515</v>
      </c>
      <c r="B19632" s="2" t="str">
        <f>"REDUÇÃO PVC 75X50MM BRANCO"</f>
        <v>REDUÇÃO PVC 75X50MM BRANCO</v>
      </c>
      <c r="C19632" s="2" t="str">
        <f t="shared" si="770"/>
        <v>BR</v>
      </c>
      <c r="D19632" s="7">
        <v>808</v>
      </c>
      <c r="E19632" s="3">
        <v>10</v>
      </c>
      <c r="F19632" s="2">
        <v>9</v>
      </c>
      <c r="G19632" t="s">
        <v>512</v>
      </c>
    </row>
    <row r="19633" spans="1:7" x14ac:dyDescent="0.25">
      <c r="A19633" s="1" t="str">
        <f>"513052"</f>
        <v>513052</v>
      </c>
      <c r="B19633" s="2" t="str">
        <f>"REDUÇÃO PVC 75X60MM"</f>
        <v>REDUÇÃO PVC 75X60MM</v>
      </c>
      <c r="C19633" s="2" t="str">
        <f t="shared" si="770"/>
        <v>BR</v>
      </c>
      <c r="D19633" s="7">
        <v>808</v>
      </c>
      <c r="E19633" s="3">
        <v>10</v>
      </c>
      <c r="F19633" s="2">
        <v>0</v>
      </c>
      <c r="G19633" t="s">
        <v>513</v>
      </c>
    </row>
    <row r="19634" spans="1:7" x14ac:dyDescent="0.25">
      <c r="A19634" s="1" t="str">
        <f>"501056"</f>
        <v>501056</v>
      </c>
      <c r="B19634" s="2" t="str">
        <f>"REDUCAO PVC ESG 150X100MM"</f>
        <v>REDUCAO PVC ESG 150X100MM</v>
      </c>
      <c r="C19634" s="2" t="str">
        <f t="shared" si="770"/>
        <v>BR</v>
      </c>
      <c r="D19634" s="7">
        <v>808</v>
      </c>
      <c r="E19634" s="3">
        <v>10</v>
      </c>
      <c r="F19634" s="2">
        <v>0</v>
      </c>
      <c r="G19634" t="s">
        <v>514</v>
      </c>
    </row>
    <row r="19635" spans="1:7" x14ac:dyDescent="0.25">
      <c r="A19635" s="1" t="str">
        <f>"522558"</f>
        <v>522558</v>
      </c>
      <c r="B19635" s="2" t="str">
        <f>"REDUÇÃO PVC EX SERIE R C/ DN 100 X 75MM"</f>
        <v>REDUÇÃO PVC EX SERIE R C/ DN 100 X 75MM</v>
      </c>
      <c r="C19635" s="2" t="str">
        <f t="shared" si="770"/>
        <v>BR</v>
      </c>
      <c r="D19635" s="7">
        <v>809</v>
      </c>
      <c r="E19635" s="3">
        <v>10</v>
      </c>
      <c r="F19635" s="2">
        <v>2</v>
      </c>
      <c r="G19635" t="s">
        <v>514</v>
      </c>
    </row>
    <row r="19636" spans="1:7" x14ac:dyDescent="0.25">
      <c r="A19636" s="1" t="str">
        <f>"522562"</f>
        <v>522562</v>
      </c>
      <c r="B19636" s="2" t="str">
        <f>"REDUÇÃO PVC EX SERIE R C/ DN 75 X 50MM"</f>
        <v>REDUÇÃO PVC EX SERIE R C/ DN 75 X 50MM</v>
      </c>
      <c r="C19636" s="2" t="str">
        <f t="shared" si="770"/>
        <v>BR</v>
      </c>
      <c r="D19636" s="7">
        <v>809</v>
      </c>
      <c r="E19636" s="3">
        <v>10</v>
      </c>
      <c r="F19636" s="2">
        <v>5</v>
      </c>
      <c r="G19636" t="s">
        <v>514</v>
      </c>
    </row>
    <row r="19637" spans="1:7" x14ac:dyDescent="0.25">
      <c r="A19637" s="1" t="str">
        <f>"521836"</f>
        <v>521836</v>
      </c>
      <c r="B19637" s="2" t="str">
        <f>"REDUÇÃO PVC MARROM COLA-COLA 60x50"</f>
        <v>REDUÇÃO PVC MARROM COLA-COLA 60x50</v>
      </c>
      <c r="C19637" s="2" t="str">
        <f>"UN"</f>
        <v>UN</v>
      </c>
      <c r="D19637" s="7">
        <v>918</v>
      </c>
      <c r="E19637" s="3">
        <v>11</v>
      </c>
      <c r="F19637" s="2">
        <v>6</v>
      </c>
      <c r="G19637" t="s">
        <v>513</v>
      </c>
    </row>
    <row r="19638" spans="1:7" x14ac:dyDescent="0.25">
      <c r="A19638" s="1" t="str">
        <f>"520520"</f>
        <v>520520</v>
      </c>
      <c r="B19638" s="2" t="str">
        <f>"REDUÇÃO PVC MARRON 25 X 20MM"</f>
        <v>REDUÇÃO PVC MARRON 25 X 20MM</v>
      </c>
      <c r="C19638" s="2" t="str">
        <f>"UN"</f>
        <v>UN</v>
      </c>
      <c r="D19638" s="7">
        <v>808</v>
      </c>
      <c r="E19638" s="3">
        <v>10</v>
      </c>
      <c r="F19638" s="2">
        <v>9</v>
      </c>
      <c r="G19638" t="s">
        <v>513</v>
      </c>
    </row>
    <row r="19639" spans="1:7" x14ac:dyDescent="0.25">
      <c r="A19639" s="1" t="str">
        <f>"512761"</f>
        <v>512761</v>
      </c>
      <c r="B19639" s="2" t="str">
        <f>"REDUÇÃO PVC MARRON 75MM X 50MM    COLA/ROSCA"</f>
        <v>REDUÇÃO PVC MARRON 75MM X 50MM    COLA/ROSCA</v>
      </c>
      <c r="C19639" s="2" t="str">
        <f>"BR"</f>
        <v>BR</v>
      </c>
      <c r="D19639" s="7">
        <v>808</v>
      </c>
      <c r="E19639" s="3">
        <v>10</v>
      </c>
      <c r="F19639" s="2">
        <v>5</v>
      </c>
      <c r="G19639" t="s">
        <v>513</v>
      </c>
    </row>
    <row r="19640" spans="1:7" x14ac:dyDescent="0.25">
      <c r="A19640" s="1" t="str">
        <f>"512762"</f>
        <v>512762</v>
      </c>
      <c r="B19640" s="2" t="str">
        <f>"REDUÇÃO PVC MARRON 85MM X 75MM    COLA/ROSCA"</f>
        <v>REDUÇÃO PVC MARRON 85MM X 75MM    COLA/ROSCA</v>
      </c>
      <c r="C19640" s="2" t="str">
        <f>"BR"</f>
        <v>BR</v>
      </c>
      <c r="D19640" s="7">
        <v>808</v>
      </c>
      <c r="E19640" s="3">
        <v>10</v>
      </c>
      <c r="F19640" s="2">
        <v>3</v>
      </c>
      <c r="G19640" t="s">
        <v>512</v>
      </c>
    </row>
    <row r="19641" spans="1:7" x14ac:dyDescent="0.25">
      <c r="A19641" s="1" t="str">
        <f>"521941"</f>
        <v>521941</v>
      </c>
      <c r="B19641" s="2" t="str">
        <f>"REDUÇÃO PVC Y SERIE R C/ DN 150 X 100MM"</f>
        <v>REDUÇÃO PVC Y SERIE R C/ DN 150 X 100MM</v>
      </c>
      <c r="C19641" s="2" t="str">
        <f>"BR"</f>
        <v>BR</v>
      </c>
      <c r="D19641" s="7">
        <v>809</v>
      </c>
      <c r="E19641" s="3">
        <v>10</v>
      </c>
      <c r="F19641" s="2">
        <v>3</v>
      </c>
      <c r="G19641" t="s">
        <v>513</v>
      </c>
    </row>
    <row r="19642" spans="1:7" x14ac:dyDescent="0.25">
      <c r="A19642" s="1" t="str">
        <f>"519003"</f>
        <v>519003</v>
      </c>
      <c r="B19642" s="2" t="str">
        <f>"REDUÇÃO TUBO COBRE 1/4 X 1/32"</f>
        <v>REDUÇÃO TUBO COBRE 1/4 X 1/32</v>
      </c>
      <c r="C19642" s="2" t="str">
        <f t="shared" ref="C19642:C19649" si="771">"UN"</f>
        <v>UN</v>
      </c>
      <c r="D19642" s="7">
        <v>818</v>
      </c>
      <c r="E19642" s="3">
        <v>10</v>
      </c>
      <c r="F19642" s="2">
        <v>2</v>
      </c>
      <c r="G19642" t="s">
        <v>514</v>
      </c>
    </row>
    <row r="19643" spans="1:7" x14ac:dyDescent="0.25">
      <c r="A19643" s="1" t="str">
        <f>"507879"</f>
        <v>507879</v>
      </c>
      <c r="B19643" s="2" t="str">
        <f>"REDUTOR 1 / 60 (MITRI)"</f>
        <v>REDUTOR 1 / 60 (MITRI)</v>
      </c>
      <c r="C19643" s="2" t="str">
        <f t="shared" si="771"/>
        <v>UN</v>
      </c>
      <c r="D19643" s="7">
        <v>918</v>
      </c>
      <c r="E19643" s="3">
        <v>11</v>
      </c>
      <c r="F19643" s="2">
        <v>1</v>
      </c>
      <c r="G19643" t="s">
        <v>515</v>
      </c>
    </row>
    <row r="19644" spans="1:7" x14ac:dyDescent="0.25">
      <c r="A19644" s="1" t="str">
        <f>"512168"</f>
        <v>512168</v>
      </c>
      <c r="B19644" s="2" t="str">
        <f>"REDUTOR 900ML"</f>
        <v>REDUTOR 900ML</v>
      </c>
      <c r="C19644" s="2" t="str">
        <f t="shared" si="771"/>
        <v>UN</v>
      </c>
      <c r="D19644" s="7">
        <v>918</v>
      </c>
      <c r="E19644" s="3">
        <v>11</v>
      </c>
      <c r="F19644" s="2">
        <v>4</v>
      </c>
      <c r="G19644" t="s">
        <v>512</v>
      </c>
    </row>
    <row r="19645" spans="1:7" x14ac:dyDescent="0.25">
      <c r="A19645" s="1" t="str">
        <f>"512176"</f>
        <v>512176</v>
      </c>
      <c r="B19645" s="2" t="str">
        <f>"REDUTOR BONFIG. VF30 U MT 0,33CV 1650RPM"</f>
        <v>REDUTOR BONFIG. VF30 U MT 0,33CV 1650RPM</v>
      </c>
      <c r="C19645" s="2" t="str">
        <f t="shared" si="771"/>
        <v>UN</v>
      </c>
      <c r="D19645" s="7">
        <v>918</v>
      </c>
      <c r="E19645" s="3">
        <v>11</v>
      </c>
      <c r="F19645" s="2">
        <v>1</v>
      </c>
      <c r="G19645" t="s">
        <v>516</v>
      </c>
    </row>
    <row r="19646" spans="1:7" x14ac:dyDescent="0.25">
      <c r="A19646" s="1" t="str">
        <f>"519491"</f>
        <v>519491</v>
      </c>
      <c r="B19646" s="2" t="str">
        <f>"REDUTOR C/ SERVO DRIVE SEW"</f>
        <v>REDUTOR C/ SERVO DRIVE SEW</v>
      </c>
      <c r="C19646" s="2" t="str">
        <f t="shared" si="771"/>
        <v>UN</v>
      </c>
      <c r="D19646" s="7">
        <v>811</v>
      </c>
      <c r="E19646" s="3">
        <v>8</v>
      </c>
      <c r="F19646" s="2">
        <v>2</v>
      </c>
      <c r="G19646" t="s">
        <v>515</v>
      </c>
    </row>
    <row r="19647" spans="1:7" x14ac:dyDescent="0.25">
      <c r="A19647" s="1" t="str">
        <f>"505048"</f>
        <v>505048</v>
      </c>
      <c r="B19647" s="2" t="str">
        <f>"REDUTOR COD.370203-3"</f>
        <v>REDUTOR COD.370203-3</v>
      </c>
      <c r="C19647" s="2" t="str">
        <f t="shared" si="771"/>
        <v>UN</v>
      </c>
      <c r="D19647" s="7">
        <v>918</v>
      </c>
      <c r="E19647" s="3">
        <v>11</v>
      </c>
      <c r="F19647" s="2">
        <v>7</v>
      </c>
      <c r="G19647" t="s">
        <v>514</v>
      </c>
    </row>
    <row r="19648" spans="1:7" x14ac:dyDescent="0.25">
      <c r="A19648" s="1" t="str">
        <f>"507906"</f>
        <v>507906</v>
      </c>
      <c r="B19648" s="2" t="str">
        <f>"REDUTOR DE GAS RODAGAS"</f>
        <v>REDUTOR DE GAS RODAGAS</v>
      </c>
      <c r="C19648" s="2" t="str">
        <f t="shared" si="771"/>
        <v>UN</v>
      </c>
      <c r="D19648" s="7">
        <v>918</v>
      </c>
      <c r="E19648" s="3">
        <v>11</v>
      </c>
      <c r="F19648" s="2">
        <v>9</v>
      </c>
      <c r="G19648" t="s">
        <v>512</v>
      </c>
    </row>
    <row r="19649" spans="1:7" x14ac:dyDescent="0.25">
      <c r="A19649" s="1" t="str">
        <f>"515363"</f>
        <v>515363</v>
      </c>
      <c r="B19649" s="2" t="str">
        <f>"REDUTOR DE PH"</f>
        <v>REDUTOR DE PH</v>
      </c>
      <c r="C19649" s="2" t="str">
        <f t="shared" si="771"/>
        <v>UN</v>
      </c>
      <c r="D19649" s="7">
        <v>401</v>
      </c>
      <c r="E19649" s="3">
        <v>4</v>
      </c>
      <c r="F19649" s="2">
        <v>0</v>
      </c>
      <c r="G19649" t="s">
        <v>513</v>
      </c>
    </row>
    <row r="19650" spans="1:7" x14ac:dyDescent="0.25">
      <c r="A19650" s="1" t="str">
        <f>"1562"</f>
        <v>1562</v>
      </c>
      <c r="B19650" s="2" t="str">
        <f>"REDUTOR DE PROTEINA E GORDURA"</f>
        <v>REDUTOR DE PROTEINA E GORDURA</v>
      </c>
      <c r="C19650" s="2" t="str">
        <f>"LT"</f>
        <v>LT</v>
      </c>
      <c r="D19650" s="7">
        <v>221</v>
      </c>
      <c r="E19650" s="3">
        <v>2</v>
      </c>
      <c r="F19650" s="2">
        <v>0</v>
      </c>
      <c r="G19650" t="s">
        <v>514</v>
      </c>
    </row>
    <row r="19651" spans="1:7" x14ac:dyDescent="0.25">
      <c r="A19651" s="1" t="str">
        <f>"516598"</f>
        <v>516598</v>
      </c>
      <c r="B19651" s="8" t="s">
        <v>83</v>
      </c>
      <c r="C19651" s="2" t="str">
        <f t="shared" ref="C19651:C19683" si="772">"UN"</f>
        <v>UN</v>
      </c>
      <c r="D19651" s="7">
        <v>812</v>
      </c>
      <c r="E19651" s="3">
        <v>11</v>
      </c>
      <c r="F19651" s="2">
        <v>4</v>
      </c>
      <c r="G19651" t="s">
        <v>514</v>
      </c>
    </row>
    <row r="19652" spans="1:7" x14ac:dyDescent="0.25">
      <c r="A19652" s="1" t="str">
        <f>"527098"</f>
        <v>527098</v>
      </c>
      <c r="B19652" s="2" t="str">
        <f>"REDUTOR L0313002V3BAW1 C/ MT FREIO 0,25CV 4P"</f>
        <v>REDUTOR L0313002V3BAW1 C/ MT FREIO 0,25CV 4P</v>
      </c>
      <c r="C19652" s="2" t="str">
        <f t="shared" si="772"/>
        <v>UN</v>
      </c>
      <c r="D19652" s="7">
        <v>918</v>
      </c>
      <c r="E19652" s="3">
        <v>11</v>
      </c>
      <c r="F19652" s="2">
        <v>1</v>
      </c>
      <c r="G19652" t="s">
        <v>512</v>
      </c>
    </row>
    <row r="19653" spans="1:7" x14ac:dyDescent="0.25">
      <c r="A19653" s="1" t="str">
        <f>"521182"</f>
        <v>521182</v>
      </c>
      <c r="B19653" s="8" t="s">
        <v>194</v>
      </c>
      <c r="C19653" s="2" t="str">
        <f t="shared" si="772"/>
        <v>UN</v>
      </c>
      <c r="D19653" s="7">
        <v>918</v>
      </c>
      <c r="E19653" s="3">
        <v>11</v>
      </c>
      <c r="F19653" s="2">
        <v>2</v>
      </c>
      <c r="G19653" t="s">
        <v>513</v>
      </c>
    </row>
    <row r="19654" spans="1:7" x14ac:dyDescent="0.25">
      <c r="A19654" s="1" t="str">
        <f>"516321"</f>
        <v>516321</v>
      </c>
      <c r="B19654" s="8" t="s">
        <v>79</v>
      </c>
      <c r="C19654" s="2" t="str">
        <f t="shared" si="772"/>
        <v>UN</v>
      </c>
      <c r="D19654" s="7">
        <v>918</v>
      </c>
      <c r="E19654" s="3">
        <v>11</v>
      </c>
      <c r="F19654" s="2">
        <v>7</v>
      </c>
      <c r="G19654" t="s">
        <v>514</v>
      </c>
    </row>
    <row r="19655" spans="1:7" x14ac:dyDescent="0.25">
      <c r="A19655" s="1" t="str">
        <f>"516067"</f>
        <v>516067</v>
      </c>
      <c r="B19655" s="8" t="s">
        <v>77</v>
      </c>
      <c r="C19655" s="2" t="str">
        <f t="shared" si="772"/>
        <v>UN</v>
      </c>
      <c r="D19655" s="7">
        <v>918</v>
      </c>
      <c r="E19655" s="3">
        <v>11</v>
      </c>
      <c r="F19655" s="2">
        <v>9</v>
      </c>
      <c r="G19655" t="s">
        <v>514</v>
      </c>
    </row>
    <row r="19656" spans="1:7" x14ac:dyDescent="0.25">
      <c r="A19656" s="1" t="str">
        <f>"515054"</f>
        <v>515054</v>
      </c>
      <c r="B19656" s="2" t="str">
        <f>"REDUTOR LINHA M04"</f>
        <v>REDUTOR LINHA M04</v>
      </c>
      <c r="C19656" s="2" t="str">
        <f t="shared" si="772"/>
        <v>UN</v>
      </c>
      <c r="D19656" s="7">
        <v>812</v>
      </c>
      <c r="E19656" s="3">
        <v>11</v>
      </c>
      <c r="F19656" s="5">
        <v>5</v>
      </c>
      <c r="G19656" t="s">
        <v>514</v>
      </c>
    </row>
    <row r="19657" spans="1:7" x14ac:dyDescent="0.25">
      <c r="A19657" s="1" t="str">
        <f>"517829"</f>
        <v>517829</v>
      </c>
      <c r="B19657" s="8" t="s">
        <v>97</v>
      </c>
      <c r="C19657" s="2" t="str">
        <f t="shared" si="772"/>
        <v>UN</v>
      </c>
      <c r="D19657" s="7">
        <v>1400</v>
      </c>
      <c r="E19657" s="3">
        <v>8</v>
      </c>
      <c r="F19657" s="2">
        <v>3</v>
      </c>
      <c r="G19657" t="s">
        <v>513</v>
      </c>
    </row>
    <row r="19658" spans="1:7" x14ac:dyDescent="0.25">
      <c r="A19658" s="1" t="str">
        <f>"522233"</f>
        <v>522233</v>
      </c>
      <c r="B19658" s="8" t="s">
        <v>284</v>
      </c>
      <c r="C19658" s="2" t="str">
        <f t="shared" si="772"/>
        <v>UN</v>
      </c>
      <c r="D19658" s="7">
        <v>1400</v>
      </c>
      <c r="E19658" s="3">
        <v>8</v>
      </c>
      <c r="F19658" s="2">
        <v>8</v>
      </c>
      <c r="G19658" t="s">
        <v>512</v>
      </c>
    </row>
    <row r="19659" spans="1:7" x14ac:dyDescent="0.25">
      <c r="A19659" s="1" t="str">
        <f>"527127"</f>
        <v>527127</v>
      </c>
      <c r="B19659" s="2" t="str">
        <f>"REDUTOR PLANETARIO AP NEO-PE2-070-020-MSMD042J1"</f>
        <v>REDUTOR PLANETARIO AP NEO-PE2-070-020-MSMD042J1</v>
      </c>
      <c r="C19659" s="2" t="str">
        <f t="shared" si="772"/>
        <v>UN</v>
      </c>
      <c r="D19659" s="7">
        <v>812</v>
      </c>
      <c r="E19659" s="3">
        <v>4</v>
      </c>
      <c r="F19659" s="2">
        <v>6</v>
      </c>
      <c r="G19659" t="s">
        <v>513</v>
      </c>
    </row>
    <row r="19660" spans="1:7" x14ac:dyDescent="0.25">
      <c r="A19660" s="1" t="str">
        <f>"515729"</f>
        <v>515729</v>
      </c>
      <c r="B19660" s="8" t="s">
        <v>74</v>
      </c>
      <c r="C19660" s="2" t="str">
        <f t="shared" si="772"/>
        <v>UN</v>
      </c>
      <c r="D19660" s="7">
        <v>812</v>
      </c>
      <c r="E19660" s="3">
        <v>4</v>
      </c>
      <c r="F19660" s="2">
        <v>4</v>
      </c>
      <c r="G19660" t="s">
        <v>514</v>
      </c>
    </row>
    <row r="19661" spans="1:7" x14ac:dyDescent="0.25">
      <c r="A19661" s="1" t="str">
        <f>"510520"</f>
        <v>510520</v>
      </c>
      <c r="B19661" s="2" t="str">
        <f>"REDUTOR SEW RF77/A"</f>
        <v>REDUTOR SEW RF77/A</v>
      </c>
      <c r="C19661" s="2" t="str">
        <f t="shared" si="772"/>
        <v>UN</v>
      </c>
      <c r="D19661" s="7">
        <v>600</v>
      </c>
      <c r="E19661" s="3">
        <v>8</v>
      </c>
      <c r="F19661" s="2">
        <v>1</v>
      </c>
      <c r="G19661" t="s">
        <v>514</v>
      </c>
    </row>
    <row r="19662" spans="1:7" x14ac:dyDescent="0.25">
      <c r="A19662" s="1" t="str">
        <f>"505902"</f>
        <v>505902</v>
      </c>
      <c r="B19662" s="2" t="str">
        <f>"REDUTOR SINTETICO SKILAK"</f>
        <v>REDUTOR SINTETICO SKILAK</v>
      </c>
      <c r="C19662" s="2" t="str">
        <f t="shared" si="772"/>
        <v>UN</v>
      </c>
      <c r="D19662" s="7">
        <v>704</v>
      </c>
      <c r="E19662" s="3">
        <v>9</v>
      </c>
      <c r="F19662" s="2">
        <v>2</v>
      </c>
      <c r="G19662" t="s">
        <v>514</v>
      </c>
    </row>
    <row r="19663" spans="1:7" x14ac:dyDescent="0.25">
      <c r="A19663" s="1" t="str">
        <f>"526297"</f>
        <v>526297</v>
      </c>
      <c r="B19663" s="2" t="str">
        <f>"REDUTOR VAZAO C/ FURO 2,5MM"</f>
        <v>REDUTOR VAZAO C/ FURO 2,5MM</v>
      </c>
      <c r="C19663" s="2" t="str">
        <f t="shared" si="772"/>
        <v>UN</v>
      </c>
      <c r="D19663" s="7">
        <v>99999</v>
      </c>
      <c r="E19663" s="3">
        <v>99</v>
      </c>
      <c r="F19663" s="2">
        <v>7</v>
      </c>
      <c r="G19663" t="s">
        <v>513</v>
      </c>
    </row>
    <row r="19664" spans="1:7" x14ac:dyDescent="0.25">
      <c r="A19664" s="1" t="str">
        <f>"526298"</f>
        <v>526298</v>
      </c>
      <c r="B19664" s="2" t="str">
        <f>"REDUTOR VAZAO C/ FURO 4,0MM TERMOPLASTICO"</f>
        <v>REDUTOR VAZAO C/ FURO 4,0MM TERMOPLASTICO</v>
      </c>
      <c r="C19664" s="2" t="str">
        <f t="shared" si="772"/>
        <v>UN</v>
      </c>
      <c r="D19664" s="7">
        <v>99999</v>
      </c>
      <c r="E19664" s="3">
        <v>99</v>
      </c>
      <c r="F19664" s="2">
        <v>9</v>
      </c>
      <c r="G19664" t="s">
        <v>513</v>
      </c>
    </row>
    <row r="19665" spans="1:7" x14ac:dyDescent="0.25">
      <c r="A19665" s="1" t="str">
        <f>"526299"</f>
        <v>526299</v>
      </c>
      <c r="B19665" s="2" t="str">
        <f>"REDUTOR VAZAO C/ FURO 5,5MM TERMOPLASTICO"</f>
        <v>REDUTOR VAZAO C/ FURO 5,5MM TERMOPLASTICO</v>
      </c>
      <c r="C19665" s="2" t="str">
        <f t="shared" si="772"/>
        <v>UN</v>
      </c>
      <c r="D19665" s="7">
        <v>99999</v>
      </c>
      <c r="E19665" s="3">
        <v>99</v>
      </c>
      <c r="F19665" s="2">
        <v>0</v>
      </c>
      <c r="G19665" t="s">
        <v>513</v>
      </c>
    </row>
    <row r="19666" spans="1:7" x14ac:dyDescent="0.25">
      <c r="A19666" s="1" t="str">
        <f>"524398"</f>
        <v>524398</v>
      </c>
      <c r="B19666" s="8" t="s">
        <v>375</v>
      </c>
      <c r="C19666" s="2" t="str">
        <f t="shared" si="772"/>
        <v>UN</v>
      </c>
      <c r="D19666" s="7">
        <v>811</v>
      </c>
      <c r="E19666" s="3">
        <v>11</v>
      </c>
      <c r="F19666" s="2">
        <v>0</v>
      </c>
      <c r="G19666" t="s">
        <v>512</v>
      </c>
    </row>
    <row r="19667" spans="1:7" x14ac:dyDescent="0.25">
      <c r="A19667" s="1" t="str">
        <f>"519235"</f>
        <v>519235</v>
      </c>
      <c r="B19667" s="2" t="str">
        <f>"REDUTORA 1/2X1/4"</f>
        <v>REDUTORA 1/2X1/4</v>
      </c>
      <c r="C19667" s="2" t="str">
        <f t="shared" si="772"/>
        <v>UN</v>
      </c>
      <c r="D19667" s="7">
        <v>704</v>
      </c>
      <c r="E19667" s="3">
        <v>9</v>
      </c>
      <c r="F19667" s="2">
        <v>2</v>
      </c>
      <c r="G19667" t="s">
        <v>513</v>
      </c>
    </row>
    <row r="19668" spans="1:7" x14ac:dyDescent="0.25">
      <c r="A19668" s="1" t="str">
        <f>"518640"</f>
        <v>518640</v>
      </c>
      <c r="B19668" s="2" t="str">
        <f>"REDUTORA 16X3/8"</f>
        <v>REDUTORA 16X3/8</v>
      </c>
      <c r="C19668" s="2" t="str">
        <f t="shared" si="772"/>
        <v>UN</v>
      </c>
      <c r="D19668" s="7">
        <v>704</v>
      </c>
      <c r="E19668" s="3">
        <v>9</v>
      </c>
      <c r="F19668" s="2">
        <v>5</v>
      </c>
      <c r="G19668" t="s">
        <v>514</v>
      </c>
    </row>
    <row r="19669" spans="1:7" x14ac:dyDescent="0.25">
      <c r="A19669" s="1" t="str">
        <f>"502637"</f>
        <v>502637</v>
      </c>
      <c r="B19669" s="2" t="str">
        <f>"REDUTORA 22X1/4"</f>
        <v>REDUTORA 22X1/4</v>
      </c>
      <c r="C19669" s="2" t="str">
        <f t="shared" si="772"/>
        <v>UN</v>
      </c>
      <c r="D19669" s="7">
        <v>704</v>
      </c>
      <c r="E19669" s="3">
        <v>9</v>
      </c>
      <c r="F19669" s="2">
        <v>6</v>
      </c>
      <c r="G19669" t="s">
        <v>515</v>
      </c>
    </row>
    <row r="19670" spans="1:7" x14ac:dyDescent="0.25">
      <c r="A19670" s="1" t="str">
        <f>"518641"</f>
        <v>518641</v>
      </c>
      <c r="B19670" s="2" t="str">
        <f>"REDUTORA 22X16"</f>
        <v>REDUTORA 22X16</v>
      </c>
      <c r="C19670" s="2" t="str">
        <f t="shared" si="772"/>
        <v>UN</v>
      </c>
      <c r="D19670" s="7">
        <v>704</v>
      </c>
      <c r="E19670" s="3">
        <v>9</v>
      </c>
      <c r="F19670" s="2">
        <v>9</v>
      </c>
      <c r="G19670" t="s">
        <v>512</v>
      </c>
    </row>
    <row r="19671" spans="1:7" x14ac:dyDescent="0.25">
      <c r="A19671" s="1" t="str">
        <f>"510119"</f>
        <v>510119</v>
      </c>
      <c r="B19671" s="2" t="str">
        <f>"REDUTORA 3/8 BSP X 1/2 BSP"</f>
        <v>REDUTORA 3/8 BSP X 1/2 BSP</v>
      </c>
      <c r="C19671" s="2" t="str">
        <f t="shared" si="772"/>
        <v>UN</v>
      </c>
      <c r="D19671" s="7">
        <v>912</v>
      </c>
      <c r="E19671" s="3">
        <v>11</v>
      </c>
      <c r="F19671" s="2">
        <v>5</v>
      </c>
      <c r="G19671" t="s">
        <v>516</v>
      </c>
    </row>
    <row r="19672" spans="1:7" x14ac:dyDescent="0.25">
      <c r="A19672" s="1" t="str">
        <f>"511433"</f>
        <v>511433</v>
      </c>
      <c r="B19672" s="2" t="str">
        <f>"REDUTORA TUBO FREIO 3/8 X 1/4"""</f>
        <v>REDUTORA TUBO FREIO 3/8 X 1/4"</v>
      </c>
      <c r="C19672" s="2" t="str">
        <f t="shared" si="772"/>
        <v>UN</v>
      </c>
      <c r="D19672" s="7">
        <v>704</v>
      </c>
      <c r="E19672" s="3">
        <v>9</v>
      </c>
      <c r="F19672" s="2">
        <v>3</v>
      </c>
      <c r="G19672" t="s">
        <v>515</v>
      </c>
    </row>
    <row r="19673" spans="1:7" x14ac:dyDescent="0.25">
      <c r="A19673" s="1" t="str">
        <f>"513761"</f>
        <v>513761</v>
      </c>
      <c r="B19673" s="2" t="str">
        <f>"REFEIÇAO"</f>
        <v>REFEIÇAO</v>
      </c>
      <c r="C19673" s="2" t="str">
        <f t="shared" si="772"/>
        <v>UN</v>
      </c>
      <c r="D19673" s="7">
        <v>99999</v>
      </c>
      <c r="E19673" s="3">
        <v>99</v>
      </c>
      <c r="F19673" s="2">
        <v>3</v>
      </c>
      <c r="G19673" t="s">
        <v>514</v>
      </c>
    </row>
    <row r="19674" spans="1:7" x14ac:dyDescent="0.25">
      <c r="A19674" s="1" t="str">
        <f>"515968"</f>
        <v>515968</v>
      </c>
      <c r="B19674" s="2" t="str">
        <f>"REFIL ARMADILHA LUMINOSA"</f>
        <v>REFIL ARMADILHA LUMINOSA</v>
      </c>
      <c r="C19674" s="2" t="str">
        <f t="shared" si="772"/>
        <v>UN</v>
      </c>
      <c r="D19674" s="7">
        <v>99999</v>
      </c>
      <c r="E19674" s="3">
        <v>99</v>
      </c>
      <c r="F19674" s="2">
        <v>2</v>
      </c>
      <c r="G19674" t="s">
        <v>512</v>
      </c>
    </row>
    <row r="19675" spans="1:7" x14ac:dyDescent="0.25">
      <c r="A19675" s="1" t="str">
        <f>"527508"</f>
        <v>527508</v>
      </c>
      <c r="B19675" s="2" t="str">
        <f>"REFIL BRALIMPA IMUDO 320 CRU LOOP E CINTA"</f>
        <v>REFIL BRALIMPA IMUDO 320 CRU LOOP E CINTA</v>
      </c>
      <c r="C19675" s="2" t="str">
        <f t="shared" si="772"/>
        <v>UN</v>
      </c>
      <c r="D19675" s="7">
        <v>99999</v>
      </c>
      <c r="E19675" s="3">
        <v>99</v>
      </c>
      <c r="F19675" s="2">
        <v>1</v>
      </c>
      <c r="G19675" t="s">
        <v>513</v>
      </c>
    </row>
    <row r="19676" spans="1:7" x14ac:dyDescent="0.25">
      <c r="A19676" s="1" t="str">
        <f>"506387"</f>
        <v>506387</v>
      </c>
      <c r="B19676" s="2" t="str">
        <f>"REFIL DE PALHA"</f>
        <v>REFIL DE PALHA</v>
      </c>
      <c r="C19676" s="2" t="str">
        <f t="shared" si="772"/>
        <v>UN</v>
      </c>
      <c r="D19676" s="7">
        <v>918</v>
      </c>
      <c r="E19676" s="3">
        <v>11</v>
      </c>
      <c r="F19676" s="2">
        <v>4</v>
      </c>
      <c r="G19676" t="s">
        <v>514</v>
      </c>
    </row>
    <row r="19677" spans="1:7" x14ac:dyDescent="0.25">
      <c r="A19677" s="1" t="str">
        <f>"518430"</f>
        <v>518430</v>
      </c>
      <c r="B19677" s="2" t="str">
        <f>"REFIL FILTRO SECADOR"</f>
        <v>REFIL FILTRO SECADOR</v>
      </c>
      <c r="C19677" s="2" t="str">
        <f t="shared" si="772"/>
        <v>UN</v>
      </c>
      <c r="D19677" s="7">
        <v>820</v>
      </c>
      <c r="E19677" s="3">
        <v>9</v>
      </c>
      <c r="F19677" s="2">
        <v>6</v>
      </c>
      <c r="G19677" t="s">
        <v>514</v>
      </c>
    </row>
    <row r="19678" spans="1:7" x14ac:dyDescent="0.25">
      <c r="A19678" s="1" t="str">
        <f>"517018"</f>
        <v>517018</v>
      </c>
      <c r="B19678" s="2" t="str">
        <f>"REFIL GAS 190GR"</f>
        <v>REFIL GAS 190GR</v>
      </c>
      <c r="C19678" s="2" t="str">
        <f t="shared" si="772"/>
        <v>UN</v>
      </c>
      <c r="D19678" s="7">
        <v>816</v>
      </c>
      <c r="E19678" s="3">
        <v>4</v>
      </c>
      <c r="F19678" s="2">
        <v>8</v>
      </c>
      <c r="G19678" t="s">
        <v>512</v>
      </c>
    </row>
    <row r="19679" spans="1:7" x14ac:dyDescent="0.25">
      <c r="A19679" s="1" t="str">
        <f>"527960"</f>
        <v>527960</v>
      </c>
      <c r="B19679" s="2" t="str">
        <f>"REFIL GIROU TROCOU IBBL COD 24010002"</f>
        <v>REFIL GIROU TROCOU IBBL COD 24010002</v>
      </c>
      <c r="C19679" s="2" t="str">
        <f t="shared" si="772"/>
        <v>UN</v>
      </c>
      <c r="D19679" s="7">
        <v>99999</v>
      </c>
      <c r="E19679" s="3">
        <v>99</v>
      </c>
      <c r="F19679" s="2">
        <v>7</v>
      </c>
      <c r="G19679" t="s">
        <v>513</v>
      </c>
    </row>
    <row r="19680" spans="1:7" x14ac:dyDescent="0.25">
      <c r="A19680" s="1" t="str">
        <f>"508866"</f>
        <v>508866</v>
      </c>
      <c r="B19680" s="2" t="str">
        <f>"REFIL GORA 51168 - FILTRO 0101.009.166"</f>
        <v>REFIL GORA 51168 - FILTRO 0101.009.166</v>
      </c>
      <c r="C19680" s="2" t="str">
        <f t="shared" si="772"/>
        <v>UN</v>
      </c>
      <c r="D19680" s="7">
        <v>913</v>
      </c>
      <c r="E19680" s="3">
        <v>11</v>
      </c>
      <c r="F19680" s="2">
        <v>6</v>
      </c>
      <c r="G19680" t="s">
        <v>514</v>
      </c>
    </row>
    <row r="19681" spans="1:7" x14ac:dyDescent="0.25">
      <c r="A19681" s="1" t="str">
        <f>"508867"</f>
        <v>508867</v>
      </c>
      <c r="B19681" s="2" t="str">
        <f>"REFIL GORA 51170 - FILTRO 0101.009.166"</f>
        <v>REFIL GORA 51170 - FILTRO 0101.009.166</v>
      </c>
      <c r="C19681" s="2" t="str">
        <f t="shared" si="772"/>
        <v>UN</v>
      </c>
      <c r="D19681" s="7">
        <v>913</v>
      </c>
      <c r="E19681" s="3">
        <v>11</v>
      </c>
      <c r="F19681" s="2">
        <v>6</v>
      </c>
      <c r="G19681" t="s">
        <v>514</v>
      </c>
    </row>
    <row r="19682" spans="1:7" x14ac:dyDescent="0.25">
      <c r="A19682" s="1" t="str">
        <f>"6324"</f>
        <v>6324</v>
      </c>
      <c r="B19682" s="2" t="str">
        <f>"REFIL MARCADOR PERMANENTE PILOT SUPER COLOR AZUL"</f>
        <v>REFIL MARCADOR PERMANENTE PILOT SUPER COLOR AZUL</v>
      </c>
      <c r="C19682" s="2" t="str">
        <f t="shared" si="772"/>
        <v>UN</v>
      </c>
      <c r="D19682" s="7">
        <v>401</v>
      </c>
      <c r="E19682" s="3">
        <v>4</v>
      </c>
      <c r="F19682" s="2">
        <v>2</v>
      </c>
      <c r="G19682" t="s">
        <v>514</v>
      </c>
    </row>
    <row r="19683" spans="1:7" x14ac:dyDescent="0.25">
      <c r="A19683" s="1" t="str">
        <f>"513394"</f>
        <v>513394</v>
      </c>
      <c r="B19683" s="2" t="str">
        <f>"REFIL MOP UMIDO PREMIUM AZ/AM/VD/VM"</f>
        <v>REFIL MOP UMIDO PREMIUM AZ/AM/VD/VM</v>
      </c>
      <c r="C19683" s="2" t="str">
        <f t="shared" si="772"/>
        <v>UN</v>
      </c>
      <c r="D19683" s="7">
        <v>400</v>
      </c>
      <c r="E19683" s="3">
        <v>4</v>
      </c>
      <c r="F19683" s="2">
        <v>1</v>
      </c>
      <c r="G19683" t="s">
        <v>513</v>
      </c>
    </row>
    <row r="19684" spans="1:7" x14ac:dyDescent="0.25">
      <c r="A19684" s="1" t="str">
        <f>"521037"</f>
        <v>521037</v>
      </c>
      <c r="B19684" s="2" t="str">
        <f>"REFIL P/ CANETA FIXA (AZUL)"</f>
        <v>REFIL P/ CANETA FIXA (AZUL)</v>
      </c>
      <c r="C19684" s="2" t="str">
        <f>"PC"</f>
        <v>PC</v>
      </c>
      <c r="D19684" s="7">
        <v>401</v>
      </c>
      <c r="E19684" s="3">
        <v>4</v>
      </c>
      <c r="F19684" s="2">
        <v>0</v>
      </c>
      <c r="G19684" t="s">
        <v>512</v>
      </c>
    </row>
    <row r="19685" spans="1:7" x14ac:dyDescent="0.25">
      <c r="A19685" s="1" t="str">
        <f>"518454"</f>
        <v>518454</v>
      </c>
      <c r="B19685" s="2" t="str">
        <f>"REFIL P/ COLA QUENTE"</f>
        <v>REFIL P/ COLA QUENTE</v>
      </c>
      <c r="C19685" s="2" t="str">
        <f t="shared" ref="C19685:C19697" si="773">"UN"</f>
        <v>UN</v>
      </c>
      <c r="D19685" s="7">
        <v>401</v>
      </c>
      <c r="E19685" s="3">
        <v>4</v>
      </c>
      <c r="F19685" s="2">
        <v>0</v>
      </c>
      <c r="G19685" t="s">
        <v>513</v>
      </c>
    </row>
    <row r="19686" spans="1:7" x14ac:dyDescent="0.25">
      <c r="A19686" s="1" t="str">
        <f>"522583"</f>
        <v>522583</v>
      </c>
      <c r="B19686" s="2" t="str">
        <f>"REFIL P/ FILTRO AQUAMIL"</f>
        <v>REFIL P/ FILTRO AQUAMIL</v>
      </c>
      <c r="C19686" s="2" t="str">
        <f t="shared" si="773"/>
        <v>UN</v>
      </c>
      <c r="D19686" s="7">
        <v>99999</v>
      </c>
      <c r="E19686" s="3">
        <v>99</v>
      </c>
      <c r="F19686" s="2">
        <v>0</v>
      </c>
      <c r="G19686" t="s">
        <v>514</v>
      </c>
    </row>
    <row r="19687" spans="1:7" x14ac:dyDescent="0.25">
      <c r="A19687" s="1" t="str">
        <f>"523351"</f>
        <v>523351</v>
      </c>
      <c r="B19687" s="2" t="str">
        <f>"REFIL P/ PLASTIFICAR RG 11X08MM"</f>
        <v>REFIL P/ PLASTIFICAR RG 11X08MM</v>
      </c>
      <c r="C19687" s="2" t="str">
        <f t="shared" si="773"/>
        <v>UN</v>
      </c>
      <c r="D19687" s="7">
        <v>99999</v>
      </c>
      <c r="E19687" s="3">
        <v>99</v>
      </c>
      <c r="F19687" s="2">
        <v>3</v>
      </c>
      <c r="G19687" t="s">
        <v>514</v>
      </c>
    </row>
    <row r="19688" spans="1:7" x14ac:dyDescent="0.25">
      <c r="A19688" s="1" t="str">
        <f>"503790"</f>
        <v>503790</v>
      </c>
      <c r="B19688" s="2" t="str">
        <f>"REFIL P/ PT-100 HASTE 100MM PROFUNDIDADE"</f>
        <v>REFIL P/ PT-100 HASTE 100MM PROFUNDIDADE</v>
      </c>
      <c r="C19688" s="2" t="str">
        <f t="shared" si="773"/>
        <v>UN</v>
      </c>
      <c r="D19688" s="7">
        <v>900</v>
      </c>
      <c r="E19688" s="3">
        <v>11</v>
      </c>
      <c r="F19688" s="5">
        <v>5</v>
      </c>
      <c r="G19688" t="s">
        <v>514</v>
      </c>
    </row>
    <row r="19689" spans="1:7" x14ac:dyDescent="0.25">
      <c r="A19689" s="1" t="str">
        <f>"511090"</f>
        <v>511090</v>
      </c>
      <c r="B19689" s="2" t="str">
        <f>"REFIL PARA RODO 60 CM"</f>
        <v>REFIL PARA RODO 60 CM</v>
      </c>
      <c r="C19689" s="2" t="str">
        <f t="shared" si="773"/>
        <v>UN</v>
      </c>
      <c r="D19689" s="7">
        <v>402</v>
      </c>
      <c r="E19689" s="3">
        <v>4</v>
      </c>
      <c r="F19689" s="2">
        <v>3</v>
      </c>
      <c r="G19689" t="s">
        <v>513</v>
      </c>
    </row>
    <row r="19690" spans="1:7" x14ac:dyDescent="0.25">
      <c r="A19690" s="1" t="str">
        <f>"524091"</f>
        <v>524091</v>
      </c>
      <c r="B19690" s="2" t="str">
        <f>"REFIL POLIPROPILENO 215 X 315MM P/ PLASTIFICADORA"</f>
        <v>REFIL POLIPROPILENO 215 X 315MM P/ PLASTIFICADORA</v>
      </c>
      <c r="C19690" s="2" t="str">
        <f t="shared" si="773"/>
        <v>UN</v>
      </c>
      <c r="D19690" s="7">
        <v>99999</v>
      </c>
      <c r="E19690" s="3">
        <v>99</v>
      </c>
      <c r="F19690" s="2">
        <v>8</v>
      </c>
      <c r="G19690" t="s">
        <v>513</v>
      </c>
    </row>
    <row r="19691" spans="1:7" x14ac:dyDescent="0.25">
      <c r="A19691" s="1" t="str">
        <f>"521358"</f>
        <v>521358</v>
      </c>
      <c r="B19691" s="2" t="str">
        <f>"REFLETOR DE LED 100WTS 220V"</f>
        <v>REFLETOR DE LED 100WTS 220V</v>
      </c>
      <c r="C19691" s="2" t="str">
        <f t="shared" si="773"/>
        <v>UN</v>
      </c>
      <c r="D19691" s="7">
        <v>601</v>
      </c>
      <c r="E19691" s="3">
        <v>8</v>
      </c>
      <c r="F19691" s="2">
        <v>6</v>
      </c>
      <c r="G19691" t="s">
        <v>513</v>
      </c>
    </row>
    <row r="19692" spans="1:7" x14ac:dyDescent="0.25">
      <c r="A19692" s="1" t="str">
        <f>"526776"</f>
        <v>526776</v>
      </c>
      <c r="B19692" s="2" t="str">
        <f>"REFLETOR DE LED 200WTS 6500k"</f>
        <v>REFLETOR DE LED 200WTS 6500k</v>
      </c>
      <c r="C19692" s="2" t="str">
        <f t="shared" si="773"/>
        <v>UN</v>
      </c>
      <c r="D19692" s="7">
        <v>601</v>
      </c>
      <c r="E19692" s="3">
        <v>8</v>
      </c>
      <c r="F19692" s="2">
        <v>4</v>
      </c>
      <c r="G19692" t="s">
        <v>512</v>
      </c>
    </row>
    <row r="19693" spans="1:7" x14ac:dyDescent="0.25">
      <c r="A19693" s="1" t="str">
        <f>"525172"</f>
        <v>525172</v>
      </c>
      <c r="B19693" s="2" t="str">
        <f>"REFLETOR LED 20W"</f>
        <v>REFLETOR LED 20W</v>
      </c>
      <c r="C19693" s="2" t="str">
        <f t="shared" si="773"/>
        <v>UN</v>
      </c>
      <c r="D19693" s="7">
        <v>811</v>
      </c>
      <c r="E19693" s="3">
        <v>11</v>
      </c>
      <c r="F19693" s="2">
        <v>1</v>
      </c>
      <c r="G19693" t="s">
        <v>513</v>
      </c>
    </row>
    <row r="19694" spans="1:7" x14ac:dyDescent="0.25">
      <c r="A19694" s="1" t="str">
        <f>"521840"</f>
        <v>521840</v>
      </c>
      <c r="B19694" s="2" t="str">
        <f>"REFLETOR LED 50W"</f>
        <v>REFLETOR LED 50W</v>
      </c>
      <c r="C19694" s="2" t="str">
        <f t="shared" si="773"/>
        <v>UN</v>
      </c>
      <c r="D19694" s="7">
        <v>601</v>
      </c>
      <c r="E19694" s="3">
        <v>8</v>
      </c>
      <c r="F19694" s="2">
        <v>2</v>
      </c>
      <c r="G19694" t="s">
        <v>514</v>
      </c>
    </row>
    <row r="19695" spans="1:7" x14ac:dyDescent="0.25">
      <c r="A19695" s="1" t="str">
        <f>"500318"</f>
        <v>500318</v>
      </c>
      <c r="B19695" s="2" t="str">
        <f>"REFLETOR RETANGULAR P/ LAP.HALOGEM 500 W"</f>
        <v>REFLETOR RETANGULAR P/ LAP.HALOGEM 500 W</v>
      </c>
      <c r="C19695" s="2" t="str">
        <f t="shared" si="773"/>
        <v>UN</v>
      </c>
      <c r="D19695" s="7">
        <v>601</v>
      </c>
      <c r="E19695" s="3">
        <v>8</v>
      </c>
      <c r="F19695" s="2">
        <v>7</v>
      </c>
      <c r="G19695" t="s">
        <v>515</v>
      </c>
    </row>
    <row r="19696" spans="1:7" x14ac:dyDescent="0.25">
      <c r="A19696" s="1" t="str">
        <f>"505978"</f>
        <v>505978</v>
      </c>
      <c r="B19696" s="2" t="str">
        <f>"REFORCO"</f>
        <v>REFORCO</v>
      </c>
      <c r="C19696" s="2" t="str">
        <f t="shared" si="773"/>
        <v>UN</v>
      </c>
      <c r="D19696" s="7">
        <v>704</v>
      </c>
      <c r="E19696" s="3">
        <v>9</v>
      </c>
      <c r="F19696" s="2">
        <v>9</v>
      </c>
      <c r="G19696" t="s">
        <v>512</v>
      </c>
    </row>
    <row r="19697" spans="1:7" x14ac:dyDescent="0.25">
      <c r="A19697" s="1" t="str">
        <f>"524293"</f>
        <v>524293</v>
      </c>
      <c r="B19697" s="2" t="str">
        <f>"REFORÇO BRAÇO"</f>
        <v>REFORÇO BRAÇO</v>
      </c>
      <c r="C19697" s="2" t="str">
        <f t="shared" si="773"/>
        <v>UN</v>
      </c>
      <c r="D19697" s="7">
        <v>99999</v>
      </c>
      <c r="E19697" s="3">
        <v>99</v>
      </c>
      <c r="F19697" s="2">
        <v>0</v>
      </c>
      <c r="G19697" t="s">
        <v>516</v>
      </c>
    </row>
    <row r="19698" spans="1:7" x14ac:dyDescent="0.25">
      <c r="A19698" s="1" t="str">
        <f>"523685"</f>
        <v>523685</v>
      </c>
      <c r="B19698" s="2" t="str">
        <f>"REFORÇO PLASTICO TRANSPARENTE ADESIVO 14,5MM CX C/200"</f>
        <v>REFORÇO PLASTICO TRANSPARENTE ADESIVO 14,5MM CX C/200</v>
      </c>
      <c r="C19698" s="2" t="str">
        <f>"PC"</f>
        <v>PC</v>
      </c>
      <c r="D19698" s="7">
        <v>401</v>
      </c>
      <c r="E19698" s="3">
        <v>4</v>
      </c>
      <c r="F19698" s="2">
        <v>0</v>
      </c>
      <c r="G19698" t="s">
        <v>515</v>
      </c>
    </row>
    <row r="19699" spans="1:7" x14ac:dyDescent="0.25">
      <c r="A19699" s="1" t="str">
        <f>"516878"</f>
        <v>516878</v>
      </c>
      <c r="B19699" s="2" t="str">
        <f>"REFORMA LIRAS AÇO INOX"</f>
        <v>REFORMA LIRAS AÇO INOX</v>
      </c>
      <c r="C19699" s="2" t="str">
        <f t="shared" ref="C19699:C19710" si="774">"UN"</f>
        <v>UN</v>
      </c>
      <c r="D19699" s="7">
        <v>915</v>
      </c>
      <c r="E19699" s="3">
        <v>10</v>
      </c>
      <c r="F19699" s="2">
        <v>2</v>
      </c>
      <c r="G19699" t="s">
        <v>514</v>
      </c>
    </row>
    <row r="19700" spans="1:7" x14ac:dyDescent="0.25">
      <c r="A19700" s="1" t="str">
        <f>"514562"</f>
        <v>514562</v>
      </c>
      <c r="B19700" s="2" t="str">
        <f>"REFRATOMETRO 0-35%"</f>
        <v>REFRATOMETRO 0-35%</v>
      </c>
      <c r="C19700" s="2" t="str">
        <f t="shared" si="774"/>
        <v>UN</v>
      </c>
      <c r="D19700" s="7">
        <v>406</v>
      </c>
      <c r="E19700" s="3">
        <v>4</v>
      </c>
      <c r="F19700" s="2">
        <v>5</v>
      </c>
      <c r="G19700" t="s">
        <v>512</v>
      </c>
    </row>
    <row r="19701" spans="1:7" x14ac:dyDescent="0.25">
      <c r="A19701" s="1" t="str">
        <f>"520872"</f>
        <v>520872</v>
      </c>
      <c r="B19701" s="8" t="s">
        <v>184</v>
      </c>
      <c r="C19701" s="2" t="str">
        <f t="shared" si="774"/>
        <v>UN</v>
      </c>
      <c r="D19701" s="7">
        <v>406</v>
      </c>
      <c r="E19701" s="3">
        <v>4</v>
      </c>
      <c r="F19701" s="2">
        <v>6</v>
      </c>
      <c r="G19701" t="s">
        <v>513</v>
      </c>
    </row>
    <row r="19702" spans="1:7" x14ac:dyDescent="0.25">
      <c r="A19702" s="1" t="str">
        <f>"521485"</f>
        <v>521485</v>
      </c>
      <c r="B19702" s="2" t="str">
        <f>"REFRATOMETRO DIGITAL (%BRIX) - MA871"</f>
        <v>REFRATOMETRO DIGITAL (%BRIX) - MA871</v>
      </c>
      <c r="C19702" s="2" t="str">
        <f t="shared" si="774"/>
        <v>UN</v>
      </c>
      <c r="D19702" s="7">
        <v>406</v>
      </c>
      <c r="E19702" s="3">
        <v>13</v>
      </c>
      <c r="F19702" s="2">
        <v>9</v>
      </c>
      <c r="G19702" t="s">
        <v>514</v>
      </c>
    </row>
    <row r="19703" spans="1:7" x14ac:dyDescent="0.25">
      <c r="A19703" s="1" t="str">
        <f>"518138"</f>
        <v>518138</v>
      </c>
      <c r="B19703" s="2" t="str">
        <f>"REFRESQUEIRA A19 220V"</f>
        <v>REFRESQUEIRA A19 220V</v>
      </c>
      <c r="C19703" s="2" t="str">
        <f t="shared" si="774"/>
        <v>UN</v>
      </c>
      <c r="D19703" s="7">
        <v>811</v>
      </c>
      <c r="E19703" s="3">
        <v>8</v>
      </c>
      <c r="F19703" s="2">
        <v>5</v>
      </c>
      <c r="G19703" t="s">
        <v>514</v>
      </c>
    </row>
    <row r="19704" spans="1:7" x14ac:dyDescent="0.25">
      <c r="A19704" s="1" t="str">
        <f>"525149"</f>
        <v>525149</v>
      </c>
      <c r="B19704" s="2" t="str">
        <f>"REFRIGERADOR CONSUL CYCLEDEFROST CRD36GB DUPLEX 334 BRANCO"</f>
        <v>REFRIGERADOR CONSUL CYCLEDEFROST CRD36GB DUPLEX 334 BRANCO</v>
      </c>
      <c r="C19704" s="2" t="str">
        <f t="shared" si="774"/>
        <v>UN</v>
      </c>
      <c r="D19704" s="7">
        <v>818</v>
      </c>
      <c r="E19704" s="3">
        <v>10</v>
      </c>
      <c r="F19704" s="2">
        <v>3</v>
      </c>
      <c r="G19704" t="s">
        <v>512</v>
      </c>
    </row>
    <row r="19705" spans="1:7" x14ac:dyDescent="0.25">
      <c r="A19705" s="1" t="str">
        <f>"519873"</f>
        <v>519873</v>
      </c>
      <c r="B19705" s="2" t="str">
        <f>"REFRIGERADOR FF 370L ELETROLUX 110V"</f>
        <v>REFRIGERADOR FF 370L ELETROLUX 110V</v>
      </c>
      <c r="C19705" s="2" t="str">
        <f t="shared" si="774"/>
        <v>UN</v>
      </c>
      <c r="D19705" s="7">
        <v>401</v>
      </c>
      <c r="E19705" s="3">
        <v>4</v>
      </c>
      <c r="F19705" s="2">
        <v>3</v>
      </c>
      <c r="G19705" t="s">
        <v>513</v>
      </c>
    </row>
    <row r="19706" spans="1:7" x14ac:dyDescent="0.25">
      <c r="A19706" s="1" t="str">
        <f>"518459"</f>
        <v>518459</v>
      </c>
      <c r="B19706" s="2" t="str">
        <f>"REFRIGERADOR GTPU-570 DE 578LTS 220V"</f>
        <v>REFRIGERADOR GTPU-570 DE 578LTS 220V</v>
      </c>
      <c r="C19706" s="2" t="str">
        <f t="shared" si="774"/>
        <v>UN</v>
      </c>
      <c r="D19706" s="7">
        <v>910</v>
      </c>
      <c r="E19706" s="3">
        <v>10</v>
      </c>
      <c r="F19706" s="2">
        <v>2</v>
      </c>
      <c r="G19706" t="s">
        <v>514</v>
      </c>
    </row>
    <row r="19707" spans="1:7" x14ac:dyDescent="0.25">
      <c r="A19707" s="1" t="str">
        <f>"513335"</f>
        <v>513335</v>
      </c>
      <c r="B19707" s="2" t="str">
        <f>"REFRIGERADOR RE28 240L ELETROLUX"</f>
        <v>REFRIGERADOR RE28 240L ELETROLUX</v>
      </c>
      <c r="C19707" s="2" t="str">
        <f t="shared" si="774"/>
        <v>UN</v>
      </c>
      <c r="D19707" s="7">
        <v>401</v>
      </c>
      <c r="E19707" s="3">
        <v>4</v>
      </c>
      <c r="F19707" s="2">
        <v>1</v>
      </c>
      <c r="G19707" t="s">
        <v>514</v>
      </c>
    </row>
    <row r="19708" spans="1:7" x14ac:dyDescent="0.25">
      <c r="A19708" s="1" t="str">
        <f>"513854"</f>
        <v>513854</v>
      </c>
      <c r="B19708" s="2" t="str">
        <f>"REFRIGERANTE"</f>
        <v>REFRIGERANTE</v>
      </c>
      <c r="C19708" s="2" t="str">
        <f t="shared" si="774"/>
        <v>UN</v>
      </c>
      <c r="D19708" s="7">
        <v>401</v>
      </c>
      <c r="E19708" s="3">
        <v>4</v>
      </c>
      <c r="F19708" s="2">
        <v>4</v>
      </c>
      <c r="G19708" t="s">
        <v>514</v>
      </c>
    </row>
    <row r="19709" spans="1:7" x14ac:dyDescent="0.25">
      <c r="A19709" s="1" t="str">
        <f>"515463"</f>
        <v>515463</v>
      </c>
      <c r="B19709" s="2" t="str">
        <f>"REGADOR"</f>
        <v>REGADOR</v>
      </c>
      <c r="C19709" s="2" t="str">
        <f t="shared" si="774"/>
        <v>UN</v>
      </c>
      <c r="D19709" s="7">
        <v>401</v>
      </c>
      <c r="E19709" s="3">
        <v>4</v>
      </c>
      <c r="F19709" s="2">
        <v>1</v>
      </c>
      <c r="G19709" t="s">
        <v>513</v>
      </c>
    </row>
    <row r="19710" spans="1:7" x14ac:dyDescent="0.25">
      <c r="A19710" s="1" t="str">
        <f>"514501"</f>
        <v>514501</v>
      </c>
      <c r="B19710" s="2" t="str">
        <f>"REGATA"</f>
        <v>REGATA</v>
      </c>
      <c r="C19710" s="2" t="str">
        <f t="shared" si="774"/>
        <v>UN</v>
      </c>
      <c r="D19710" s="7">
        <v>500</v>
      </c>
      <c r="E19710" s="3">
        <v>5</v>
      </c>
      <c r="F19710" s="2">
        <v>2</v>
      </c>
      <c r="G19710" t="s">
        <v>512</v>
      </c>
    </row>
    <row r="19711" spans="1:7" x14ac:dyDescent="0.25">
      <c r="A19711" s="1" t="str">
        <f>"503971"</f>
        <v>503971</v>
      </c>
      <c r="B19711" s="2" t="str">
        <f>"REGISTO DE ESFERA 100MM BSP"</f>
        <v>REGISTO DE ESFERA 100MM BSP</v>
      </c>
      <c r="C19711" s="2" t="str">
        <f>"BR"</f>
        <v>BR</v>
      </c>
      <c r="D19711" s="7">
        <v>808</v>
      </c>
      <c r="E19711" s="3">
        <v>10</v>
      </c>
      <c r="F19711" s="2">
        <v>7</v>
      </c>
      <c r="G19711" t="s">
        <v>513</v>
      </c>
    </row>
    <row r="19712" spans="1:7" x14ac:dyDescent="0.25">
      <c r="A19712" s="1" t="str">
        <f>"6291"</f>
        <v>6291</v>
      </c>
      <c r="B19712" s="2" t="str">
        <f>"REGISTRADOR AZ"</f>
        <v>REGISTRADOR AZ</v>
      </c>
      <c r="C19712" s="2" t="str">
        <f t="shared" ref="C19712:C19717" si="775">"UN"</f>
        <v>UN</v>
      </c>
      <c r="D19712" s="7">
        <v>401</v>
      </c>
      <c r="E19712" s="3">
        <v>4</v>
      </c>
      <c r="F19712" s="2">
        <v>9</v>
      </c>
      <c r="G19712" t="s">
        <v>514</v>
      </c>
    </row>
    <row r="19713" spans="1:7" x14ac:dyDescent="0.25">
      <c r="A19713" s="1" t="str">
        <f>"516344"</f>
        <v>516344</v>
      </c>
      <c r="B19713" s="2" t="str">
        <f>"REGISTRADOR GRAFICO DUAS PENAS JONHIS RCEJ-100"</f>
        <v>REGISTRADOR GRAFICO DUAS PENAS JONHIS RCEJ-100</v>
      </c>
      <c r="C19713" s="2" t="str">
        <f t="shared" si="775"/>
        <v>UN</v>
      </c>
      <c r="D19713" s="7">
        <v>1300</v>
      </c>
      <c r="E19713" s="3">
        <v>13</v>
      </c>
      <c r="F19713" s="2">
        <v>0</v>
      </c>
      <c r="G19713" t="s">
        <v>514</v>
      </c>
    </row>
    <row r="19714" spans="1:7" x14ac:dyDescent="0.25">
      <c r="A19714" s="1" t="str">
        <f>"514058"</f>
        <v>514058</v>
      </c>
      <c r="B19714" s="2" t="str">
        <f>"REGISTRADOR GRAFICO JONHIS RCEJ-50 110/220V 60Hz 01 MARCAÇÃO"</f>
        <v>REGISTRADOR GRAFICO JONHIS RCEJ-50 110/220V 60Hz 01 MARCAÇÃO</v>
      </c>
      <c r="C19714" s="2" t="str">
        <f t="shared" si="775"/>
        <v>UN</v>
      </c>
      <c r="D19714" s="7">
        <v>1300</v>
      </c>
      <c r="E19714" s="3">
        <v>13</v>
      </c>
      <c r="F19714" s="2">
        <v>0</v>
      </c>
      <c r="G19714" t="s">
        <v>514</v>
      </c>
    </row>
    <row r="19715" spans="1:7" x14ac:dyDescent="0.25">
      <c r="A19715" s="1" t="str">
        <f>"516476"</f>
        <v>516476</v>
      </c>
      <c r="B19715" s="2" t="str">
        <f>"REGISTRADOR GRAFICO JONHIS RCEJ-50 110/220V 60Hz 02 MARCAÇÃO"</f>
        <v>REGISTRADOR GRAFICO JONHIS RCEJ-50 110/220V 60Hz 02 MARCAÇÃO</v>
      </c>
      <c r="C19715" s="2" t="str">
        <f t="shared" si="775"/>
        <v>UN</v>
      </c>
      <c r="D19715" s="7">
        <v>811</v>
      </c>
      <c r="E19715" s="3">
        <v>8</v>
      </c>
      <c r="F19715" s="2">
        <v>4</v>
      </c>
      <c r="G19715" t="s">
        <v>513</v>
      </c>
    </row>
    <row r="19716" spans="1:7" x14ac:dyDescent="0.25">
      <c r="A19716" s="1" t="str">
        <f>"514503"</f>
        <v>514503</v>
      </c>
      <c r="B19716" s="2" t="str">
        <f>"REGISTRO"</f>
        <v>REGISTRO</v>
      </c>
      <c r="C19716" s="2" t="str">
        <f t="shared" si="775"/>
        <v>UN</v>
      </c>
      <c r="D19716" s="7">
        <v>920</v>
      </c>
      <c r="E19716" s="3">
        <v>4</v>
      </c>
      <c r="F19716" s="2">
        <v>1</v>
      </c>
      <c r="G19716" t="s">
        <v>513</v>
      </c>
    </row>
    <row r="19717" spans="1:7" x14ac:dyDescent="0.25">
      <c r="A19717" s="1" t="str">
        <f>"503062"</f>
        <v>503062</v>
      </c>
      <c r="B19717" s="2" t="str">
        <f>"REGISTRO 3/8"" REFRIGERAÇAO"</f>
        <v>REGISTRO 3/8" REFRIGERAÇAO</v>
      </c>
      <c r="C19717" s="2" t="str">
        <f t="shared" si="775"/>
        <v>UN</v>
      </c>
      <c r="D19717" s="7">
        <v>818</v>
      </c>
      <c r="E19717" s="3">
        <v>10</v>
      </c>
      <c r="F19717" s="2">
        <v>2</v>
      </c>
      <c r="G19717" t="s">
        <v>513</v>
      </c>
    </row>
    <row r="19718" spans="1:7" x14ac:dyDescent="0.25">
      <c r="A19718" s="1" t="str">
        <f>"511600"</f>
        <v>511600</v>
      </c>
      <c r="B19718" s="2" t="str">
        <f>"REGISTRO AGULHA 3/4"""</f>
        <v>REGISTRO AGULHA 3/4"</v>
      </c>
      <c r="C19718" s="2" t="str">
        <f>"BR"</f>
        <v>BR</v>
      </c>
      <c r="D19718" s="7">
        <v>808</v>
      </c>
      <c r="E19718" s="3">
        <v>10</v>
      </c>
      <c r="F19718" s="2">
        <v>7</v>
      </c>
      <c r="G19718" t="s">
        <v>512</v>
      </c>
    </row>
    <row r="19719" spans="1:7" x14ac:dyDescent="0.25">
      <c r="A19719" s="1" t="str">
        <f>"516215"</f>
        <v>516215</v>
      </c>
      <c r="B19719" s="2" t="str">
        <f>"REGISTRO AGULHA VAPOR 1 1/2"""</f>
        <v>REGISTRO AGULHA VAPOR 1 1/2"</v>
      </c>
      <c r="C19719" s="2" t="str">
        <f>"UN"</f>
        <v>UN</v>
      </c>
      <c r="D19719" s="7">
        <v>912</v>
      </c>
      <c r="E19719" s="3">
        <v>10</v>
      </c>
      <c r="F19719" s="2">
        <v>9</v>
      </c>
      <c r="G19719" t="s">
        <v>513</v>
      </c>
    </row>
    <row r="19720" spans="1:7" x14ac:dyDescent="0.25">
      <c r="A19720" s="1" t="str">
        <f>"521852"</f>
        <v>521852</v>
      </c>
      <c r="B19720" s="8" t="s">
        <v>234</v>
      </c>
      <c r="C19720" s="2" t="str">
        <f>"UN"</f>
        <v>UN</v>
      </c>
      <c r="D19720" s="7">
        <v>913</v>
      </c>
      <c r="E19720" s="3">
        <v>11</v>
      </c>
      <c r="F19720" s="2">
        <v>0</v>
      </c>
      <c r="G19720" t="s">
        <v>514</v>
      </c>
    </row>
    <row r="19721" spans="1:7" x14ac:dyDescent="0.25">
      <c r="A19721" s="1" t="str">
        <f>"503972"</f>
        <v>503972</v>
      </c>
      <c r="B19721" s="2" t="str">
        <f>"REGISTRO DE ESFERA 75MM BSP"</f>
        <v>REGISTRO DE ESFERA 75MM BSP</v>
      </c>
      <c r="C19721" s="2" t="str">
        <f>"BR"</f>
        <v>BR</v>
      </c>
      <c r="D19721" s="7">
        <v>808</v>
      </c>
      <c r="E19721" s="3">
        <v>10</v>
      </c>
      <c r="F19721" s="2">
        <v>0</v>
      </c>
      <c r="G19721" t="s">
        <v>515</v>
      </c>
    </row>
    <row r="19722" spans="1:7" x14ac:dyDescent="0.25">
      <c r="A19722" s="1" t="str">
        <f>"528075"</f>
        <v>528075</v>
      </c>
      <c r="B19722" s="2" t="str">
        <f>"REGISTRO DE GAVETA USO SEMI INDUSTRIAL 4'' DN100 DECA"</f>
        <v>REGISTRO DE GAVETA USO SEMI INDUSTRIAL 4'' DN100 DECA</v>
      </c>
      <c r="C19722" s="2" t="str">
        <f>"UN"</f>
        <v>UN</v>
      </c>
      <c r="D19722" s="7">
        <v>818</v>
      </c>
      <c r="E19722" s="3">
        <v>10</v>
      </c>
      <c r="F19722" s="2">
        <v>2</v>
      </c>
      <c r="G19722" t="s">
        <v>512</v>
      </c>
    </row>
    <row r="19723" spans="1:7" x14ac:dyDescent="0.25">
      <c r="A19723" s="1" t="str">
        <f>"527824"</f>
        <v>527824</v>
      </c>
      <c r="B19723" s="2" t="str">
        <f>"REGISTRO DE PRESSÃO ITV 2030-03F2CL3"</f>
        <v>REGISTRO DE PRESSÃO ITV 2030-03F2CL3</v>
      </c>
      <c r="C19723" s="2" t="str">
        <f>"UN"</f>
        <v>UN</v>
      </c>
      <c r="D19723" s="7">
        <v>912</v>
      </c>
      <c r="E19723" s="3">
        <v>10</v>
      </c>
      <c r="F19723" s="2">
        <v>5</v>
      </c>
      <c r="G19723" t="s">
        <v>516</v>
      </c>
    </row>
    <row r="19724" spans="1:7" x14ac:dyDescent="0.25">
      <c r="A19724" s="1" t="str">
        <f>"505901"</f>
        <v>505901</v>
      </c>
      <c r="B19724" s="2" t="str">
        <f>"REGISTRO DO DIESEL"</f>
        <v>REGISTRO DO DIESEL</v>
      </c>
      <c r="C19724" s="2" t="str">
        <f>"UN"</f>
        <v>UN</v>
      </c>
      <c r="D19724" s="7">
        <v>704</v>
      </c>
      <c r="E19724" s="3">
        <v>9</v>
      </c>
      <c r="F19724" s="2">
        <v>0</v>
      </c>
      <c r="G19724" t="s">
        <v>515</v>
      </c>
    </row>
    <row r="19725" spans="1:7" x14ac:dyDescent="0.25">
      <c r="A19725" s="1" t="str">
        <f>"500242"</f>
        <v>500242</v>
      </c>
      <c r="B19725" s="2" t="str">
        <f>"REGISTRO ESFERA - 1""    (DECA)"</f>
        <v>REGISTRO ESFERA - 1"    (DECA)</v>
      </c>
      <c r="C19725" s="2" t="str">
        <f t="shared" ref="C19725:C19730" si="776">"BR"</f>
        <v>BR</v>
      </c>
      <c r="D19725" s="7">
        <v>808</v>
      </c>
      <c r="E19725" s="3">
        <v>10</v>
      </c>
      <c r="F19725" s="2">
        <v>2</v>
      </c>
      <c r="G19725" t="s">
        <v>514</v>
      </c>
    </row>
    <row r="19726" spans="1:7" x14ac:dyDescent="0.25">
      <c r="A19726" s="1" t="str">
        <f>"501278"</f>
        <v>501278</v>
      </c>
      <c r="B19726" s="2" t="str">
        <f>"REGISTRO ESFERA - 1.1/2""(DECA)"</f>
        <v>REGISTRO ESFERA - 1.1/2"(DECA)</v>
      </c>
      <c r="C19726" s="2" t="str">
        <f t="shared" si="776"/>
        <v>BR</v>
      </c>
      <c r="D19726" s="7">
        <v>808</v>
      </c>
      <c r="E19726" s="3">
        <v>10</v>
      </c>
      <c r="F19726" s="2">
        <v>5</v>
      </c>
      <c r="G19726" t="s">
        <v>512</v>
      </c>
    </row>
    <row r="19727" spans="1:7" x14ac:dyDescent="0.25">
      <c r="A19727" s="1" t="str">
        <f>"500122"</f>
        <v>500122</v>
      </c>
      <c r="B19727" s="2" t="str">
        <f>"REGISTRO ESFERA - 1/2""  (DECA)"</f>
        <v>REGISTRO ESFERA - 1/2"  (DECA)</v>
      </c>
      <c r="C19727" s="2" t="str">
        <f t="shared" si="776"/>
        <v>BR</v>
      </c>
      <c r="D19727" s="7">
        <v>808</v>
      </c>
      <c r="E19727" s="3">
        <v>10</v>
      </c>
      <c r="F19727" s="5">
        <v>5</v>
      </c>
      <c r="G19727" t="s">
        <v>513</v>
      </c>
    </row>
    <row r="19728" spans="1:7" x14ac:dyDescent="0.25">
      <c r="A19728" s="1" t="str">
        <f>"504269"</f>
        <v>504269</v>
      </c>
      <c r="B19728" s="2" t="str">
        <f>"REGISTRO ESFERA - 2 1/2""(DECA)"</f>
        <v>REGISTRO ESFERA - 2 1/2"(DECA)</v>
      </c>
      <c r="C19728" s="2" t="str">
        <f t="shared" si="776"/>
        <v>BR</v>
      </c>
      <c r="D19728" s="7">
        <v>808</v>
      </c>
      <c r="E19728" s="3">
        <v>10</v>
      </c>
      <c r="F19728" s="2">
        <v>3</v>
      </c>
      <c r="G19728" t="s">
        <v>514</v>
      </c>
    </row>
    <row r="19729" spans="1:7" x14ac:dyDescent="0.25">
      <c r="A19729" s="1" t="str">
        <f>"504094"</f>
        <v>504094</v>
      </c>
      <c r="B19729" s="2" t="str">
        <f>"REGISTRO ESFERA - 2""    (DECA)"</f>
        <v>REGISTRO ESFERA - 2"    (DECA)</v>
      </c>
      <c r="C19729" s="2" t="str">
        <f t="shared" si="776"/>
        <v>BR</v>
      </c>
      <c r="D19729" s="7">
        <v>808</v>
      </c>
      <c r="E19729" s="3">
        <v>10</v>
      </c>
      <c r="F19729" s="2">
        <v>8</v>
      </c>
      <c r="G19729" t="s">
        <v>514</v>
      </c>
    </row>
    <row r="19730" spans="1:7" x14ac:dyDescent="0.25">
      <c r="A19730" s="1" t="str">
        <f>"518934"</f>
        <v>518934</v>
      </c>
      <c r="B19730" s="2" t="str">
        <f>"REGISTRO ESFERA - 2"" INOX"</f>
        <v>REGISTRO ESFERA - 2" INOX</v>
      </c>
      <c r="C19730" s="2" t="str">
        <f t="shared" si="776"/>
        <v>BR</v>
      </c>
      <c r="D19730" s="7">
        <v>808</v>
      </c>
      <c r="E19730" s="3">
        <v>10</v>
      </c>
      <c r="F19730" s="2">
        <v>6</v>
      </c>
      <c r="G19730" t="s">
        <v>512</v>
      </c>
    </row>
    <row r="19731" spans="1:7" x14ac:dyDescent="0.25">
      <c r="A19731" s="1" t="str">
        <f>"507651"</f>
        <v>507651</v>
      </c>
      <c r="B19731" s="2" t="str">
        <f>"REGISTRO ESFERA - 3""    (DECA)"</f>
        <v>REGISTRO ESFERA - 3"    (DECA)</v>
      </c>
      <c r="C19731" s="2" t="str">
        <f>"UN"</f>
        <v>UN</v>
      </c>
      <c r="D19731" s="7">
        <v>402</v>
      </c>
      <c r="E19731" s="3">
        <v>4</v>
      </c>
      <c r="F19731" s="2">
        <v>4</v>
      </c>
      <c r="G19731" t="s">
        <v>513</v>
      </c>
    </row>
    <row r="19732" spans="1:7" x14ac:dyDescent="0.25">
      <c r="A19732" s="1" t="str">
        <f>"500033"</f>
        <v>500033</v>
      </c>
      <c r="B19732" s="2" t="str">
        <f>"REGISTRO ESFERA - 3/4""  (DECA)"</f>
        <v>REGISTRO ESFERA - 3/4"  (DECA)</v>
      </c>
      <c r="C19732" s="2" t="str">
        <f>"BR"</f>
        <v>BR</v>
      </c>
      <c r="D19732" s="7">
        <v>808</v>
      </c>
      <c r="E19732" s="3">
        <v>10</v>
      </c>
      <c r="F19732" s="2">
        <v>1</v>
      </c>
      <c r="G19732" t="s">
        <v>514</v>
      </c>
    </row>
    <row r="19733" spans="1:7" x14ac:dyDescent="0.25">
      <c r="A19733" s="1" t="str">
        <f>"525115"</f>
        <v>525115</v>
      </c>
      <c r="B19733" s="2" t="str">
        <f>"REGISTRO ESFERA - 6""    (DECA)"</f>
        <v>REGISTRO ESFERA - 6"    (DECA)</v>
      </c>
      <c r="C19733" s="2" t="str">
        <f>"BR"</f>
        <v>BR</v>
      </c>
      <c r="D19733" s="7">
        <v>808</v>
      </c>
      <c r="E19733" s="3">
        <v>10</v>
      </c>
      <c r="F19733" s="2">
        <v>2</v>
      </c>
      <c r="G19733" t="s">
        <v>514</v>
      </c>
    </row>
    <row r="19734" spans="1:7" x14ac:dyDescent="0.25">
      <c r="A19734" s="1" t="str">
        <f>"525116"</f>
        <v>525116</v>
      </c>
      <c r="B19734" s="2" t="str">
        <f>"REGISTRO ESFERA - 8""    (DECA)"</f>
        <v>REGISTRO ESFERA - 8"    (DECA)</v>
      </c>
      <c r="C19734" s="2" t="str">
        <f>"BR"</f>
        <v>BR</v>
      </c>
      <c r="D19734" s="7">
        <v>808</v>
      </c>
      <c r="E19734" s="3">
        <v>10</v>
      </c>
      <c r="F19734" s="2">
        <v>7</v>
      </c>
      <c r="G19734" t="s">
        <v>514</v>
      </c>
    </row>
    <row r="19735" spans="1:7" x14ac:dyDescent="0.25">
      <c r="A19735" s="1" t="str">
        <f>"526893"</f>
        <v>526893</v>
      </c>
      <c r="B19735" s="2" t="str">
        <f>"REGISTRO ESFERA 1/4"" C/ ROSCA NPT INOX"</f>
        <v>REGISTRO ESFERA 1/4" C/ ROSCA NPT INOX</v>
      </c>
      <c r="C19735" s="2" t="str">
        <f>"BR"</f>
        <v>BR</v>
      </c>
      <c r="D19735" s="7">
        <v>808</v>
      </c>
      <c r="E19735" s="3">
        <v>10</v>
      </c>
      <c r="F19735" s="2">
        <v>9</v>
      </c>
      <c r="G19735" t="s">
        <v>513</v>
      </c>
    </row>
    <row r="19736" spans="1:7" x14ac:dyDescent="0.25">
      <c r="A19736" s="1" t="str">
        <f>"510099"</f>
        <v>510099</v>
      </c>
      <c r="B19736" s="2" t="str">
        <f>"REGISTRO ESFERA 4"" (DECA)"</f>
        <v>REGISTRO ESFERA 4" (DECA)</v>
      </c>
      <c r="C19736" s="2" t="str">
        <f>"UN"</f>
        <v>UN</v>
      </c>
      <c r="D19736" s="7">
        <v>912</v>
      </c>
      <c r="E19736" s="3">
        <v>11</v>
      </c>
      <c r="F19736" s="2">
        <v>0</v>
      </c>
      <c r="G19736" t="s">
        <v>512</v>
      </c>
    </row>
    <row r="19737" spans="1:7" x14ac:dyDescent="0.25">
      <c r="A19737" s="1" t="str">
        <f>"500918"</f>
        <v>500918</v>
      </c>
      <c r="B19737" s="2" t="str">
        <f>"REGISTRO ESFERA P/ VAPOR 1"" PR 300 WCB"</f>
        <v>REGISTRO ESFERA P/ VAPOR 1" PR 300 WCB</v>
      </c>
      <c r="C19737" s="2" t="str">
        <f t="shared" ref="C19737:C19742" si="777">"BR"</f>
        <v>BR</v>
      </c>
      <c r="D19737" s="7">
        <v>808</v>
      </c>
      <c r="E19737" s="3">
        <v>10</v>
      </c>
      <c r="F19737" s="2">
        <v>0</v>
      </c>
      <c r="G19737" t="s">
        <v>513</v>
      </c>
    </row>
    <row r="19738" spans="1:7" x14ac:dyDescent="0.25">
      <c r="A19738" s="1" t="str">
        <f>"503983"</f>
        <v>503983</v>
      </c>
      <c r="B19738" s="2" t="str">
        <f>"REGISTRO ESFERA P/ VAPOR 1""1/2 PR 300WCB"</f>
        <v>REGISTRO ESFERA P/ VAPOR 1"1/2 PR 300WCB</v>
      </c>
      <c r="C19738" s="2" t="str">
        <f t="shared" si="777"/>
        <v>BR</v>
      </c>
      <c r="D19738" s="7">
        <v>808</v>
      </c>
      <c r="E19738" s="3">
        <v>10</v>
      </c>
      <c r="F19738" s="2">
        <v>2</v>
      </c>
      <c r="G19738" t="s">
        <v>514</v>
      </c>
    </row>
    <row r="19739" spans="1:7" x14ac:dyDescent="0.25">
      <c r="A19739" s="1" t="str">
        <f>"500919"</f>
        <v>500919</v>
      </c>
      <c r="B19739" s="2" t="str">
        <f>"REGISTRO ESFERA P/ VAPOR 1/2"" PR 300 WCB"</f>
        <v>REGISTRO ESFERA P/ VAPOR 1/2" PR 300 WCB</v>
      </c>
      <c r="C19739" s="2" t="str">
        <f t="shared" si="777"/>
        <v>BR</v>
      </c>
      <c r="D19739" s="7">
        <v>808</v>
      </c>
      <c r="E19739" s="3">
        <v>10</v>
      </c>
      <c r="F19739" s="2">
        <v>5</v>
      </c>
      <c r="G19739" t="s">
        <v>514</v>
      </c>
    </row>
    <row r="19740" spans="1:7" x14ac:dyDescent="0.25">
      <c r="A19740" s="1" t="str">
        <f>"504540"</f>
        <v>504540</v>
      </c>
      <c r="B19740" s="2" t="str">
        <f>"REGISTRO ESFERA P/ VAPOR 2"" BSP"</f>
        <v>REGISTRO ESFERA P/ VAPOR 2" BSP</v>
      </c>
      <c r="C19740" s="2" t="str">
        <f t="shared" si="777"/>
        <v>BR</v>
      </c>
      <c r="D19740" s="7">
        <v>808</v>
      </c>
      <c r="E19740" s="3">
        <v>10</v>
      </c>
      <c r="F19740" s="2">
        <v>6</v>
      </c>
      <c r="G19740" t="s">
        <v>514</v>
      </c>
    </row>
    <row r="19741" spans="1:7" x14ac:dyDescent="0.25">
      <c r="A19741" s="1" t="str">
        <f>"502136"</f>
        <v>502136</v>
      </c>
      <c r="B19741" s="2" t="str">
        <f>"REGISTRO ESFERA P/ VAPOR 3/4"" PR 300 WCB"</f>
        <v>REGISTRO ESFERA P/ VAPOR 3/4" PR 300 WCB</v>
      </c>
      <c r="C19741" s="2" t="str">
        <f t="shared" si="777"/>
        <v>BR</v>
      </c>
      <c r="D19741" s="7">
        <v>808</v>
      </c>
      <c r="E19741" s="3">
        <v>10</v>
      </c>
      <c r="F19741" s="2">
        <v>9</v>
      </c>
      <c r="G19741" t="s">
        <v>513</v>
      </c>
    </row>
    <row r="19742" spans="1:7" x14ac:dyDescent="0.25">
      <c r="A19742" s="1" t="str">
        <f>"504247"</f>
        <v>504247</v>
      </c>
      <c r="B19742" s="2" t="str">
        <f>"REGISTRO ESFERA PLASTICO 1""1/2"""</f>
        <v>REGISTRO ESFERA PLASTICO 1"1/2"</v>
      </c>
      <c r="C19742" s="2" t="str">
        <f t="shared" si="777"/>
        <v>BR</v>
      </c>
      <c r="D19742" s="7">
        <v>808</v>
      </c>
      <c r="E19742" s="3">
        <v>10</v>
      </c>
      <c r="F19742" s="2">
        <v>5</v>
      </c>
      <c r="G19742" t="s">
        <v>513</v>
      </c>
    </row>
    <row r="19743" spans="1:7" x14ac:dyDescent="0.25">
      <c r="A19743" s="1" t="str">
        <f>"525982"</f>
        <v>525982</v>
      </c>
      <c r="B19743" s="2" t="str">
        <f>"REGISTRO ESFERA SOLDAVEL 60MM"</f>
        <v>REGISTRO ESFERA SOLDAVEL 60MM</v>
      </c>
      <c r="C19743" s="2" t="str">
        <f>"UN"</f>
        <v>UN</v>
      </c>
      <c r="D19743" s="7">
        <v>912</v>
      </c>
      <c r="E19743" s="3">
        <v>10</v>
      </c>
      <c r="F19743" s="2">
        <v>3</v>
      </c>
      <c r="G19743" t="s">
        <v>513</v>
      </c>
    </row>
    <row r="19744" spans="1:7" x14ac:dyDescent="0.25">
      <c r="A19744" s="1" t="str">
        <f>"522939"</f>
        <v>522939</v>
      </c>
      <c r="B19744" s="2" t="str">
        <f>"REGISTRO ESFERA TRIPARTIDO 1"" INOX SOLDAVEL"</f>
        <v>REGISTRO ESFERA TRIPARTIDO 1" INOX SOLDAVEL</v>
      </c>
      <c r="C19744" s="2" t="str">
        <f>"UN"</f>
        <v>UN</v>
      </c>
      <c r="D19744" s="7">
        <v>912</v>
      </c>
      <c r="E19744" s="3">
        <v>10</v>
      </c>
      <c r="F19744" s="2">
        <v>3</v>
      </c>
      <c r="G19744" t="s">
        <v>512</v>
      </c>
    </row>
    <row r="19745" spans="1:7" x14ac:dyDescent="0.25">
      <c r="A19745" s="1" t="str">
        <f>"500777"</f>
        <v>500777</v>
      </c>
      <c r="B19745" s="2" t="str">
        <f>"REGISTRO FLUXO GIRATORIO 3/8-10"</f>
        <v>REGISTRO FLUXO GIRATORIO 3/8-10</v>
      </c>
      <c r="C19745" s="2" t="str">
        <f t="shared" ref="C19745:C19751" si="778">"BR"</f>
        <v>BR</v>
      </c>
      <c r="D19745" s="7">
        <v>808</v>
      </c>
      <c r="E19745" s="3">
        <v>10</v>
      </c>
      <c r="F19745" s="2">
        <v>2</v>
      </c>
      <c r="G19745" t="s">
        <v>513</v>
      </c>
    </row>
    <row r="19746" spans="1:7" x14ac:dyDescent="0.25">
      <c r="A19746" s="1" t="str">
        <f>"503316"</f>
        <v>503316</v>
      </c>
      <c r="B19746" s="2" t="str">
        <f>"REGISTRO GAVETA - 1"""</f>
        <v>REGISTRO GAVETA - 1"</v>
      </c>
      <c r="C19746" s="2" t="str">
        <f t="shared" si="778"/>
        <v>BR</v>
      </c>
      <c r="D19746" s="7">
        <v>808</v>
      </c>
      <c r="E19746" s="3">
        <v>10</v>
      </c>
      <c r="F19746" s="2">
        <v>1</v>
      </c>
      <c r="G19746" t="s">
        <v>514</v>
      </c>
    </row>
    <row r="19747" spans="1:7" x14ac:dyDescent="0.25">
      <c r="A19747" s="1" t="str">
        <f>"507950"</f>
        <v>507950</v>
      </c>
      <c r="B19747" s="2" t="str">
        <f>"REGISTRO GAVETA - 1/2"""</f>
        <v>REGISTRO GAVETA - 1/2"</v>
      </c>
      <c r="C19747" s="2" t="str">
        <f t="shared" si="778"/>
        <v>BR</v>
      </c>
      <c r="D19747" s="7">
        <v>808</v>
      </c>
      <c r="E19747" s="3">
        <v>10</v>
      </c>
      <c r="F19747" s="2">
        <v>4</v>
      </c>
      <c r="G19747" t="s">
        <v>515</v>
      </c>
    </row>
    <row r="19748" spans="1:7" x14ac:dyDescent="0.25">
      <c r="A19748" s="1" t="str">
        <f>"521162"</f>
        <v>521162</v>
      </c>
      <c r="B19748" s="2" t="str">
        <f>"REGISTRO GAVETA 2"""</f>
        <v>REGISTRO GAVETA 2"</v>
      </c>
      <c r="C19748" s="2" t="str">
        <f t="shared" si="778"/>
        <v>BR</v>
      </c>
      <c r="D19748" s="7">
        <v>807</v>
      </c>
      <c r="E19748" s="3">
        <v>10</v>
      </c>
      <c r="F19748" s="2">
        <v>6</v>
      </c>
      <c r="G19748" t="s">
        <v>512</v>
      </c>
    </row>
    <row r="19749" spans="1:7" x14ac:dyDescent="0.25">
      <c r="A19749" s="1" t="str">
        <f>"513540"</f>
        <v>513540</v>
      </c>
      <c r="B19749" s="2" t="str">
        <f>"REGISTRO GAVETA 3"""</f>
        <v>REGISTRO GAVETA 3"</v>
      </c>
      <c r="C19749" s="2" t="str">
        <f t="shared" si="778"/>
        <v>BR</v>
      </c>
      <c r="D19749" s="7">
        <v>808</v>
      </c>
      <c r="E19749" s="3">
        <v>10</v>
      </c>
      <c r="F19749" s="2">
        <v>8</v>
      </c>
      <c r="G19749" t="s">
        <v>516</v>
      </c>
    </row>
    <row r="19750" spans="1:7" x14ac:dyDescent="0.25">
      <c r="A19750" s="1" t="str">
        <f>"513550"</f>
        <v>513550</v>
      </c>
      <c r="B19750" s="2" t="str">
        <f>"REGISTRO GAVETA 3/4"""</f>
        <v>REGISTRO GAVETA 3/4"</v>
      </c>
      <c r="C19750" s="2" t="str">
        <f t="shared" si="778"/>
        <v>BR</v>
      </c>
      <c r="D19750" s="7">
        <v>808</v>
      </c>
      <c r="E19750" s="3">
        <v>10</v>
      </c>
      <c r="F19750" s="2">
        <v>7</v>
      </c>
      <c r="G19750" t="s">
        <v>515</v>
      </c>
    </row>
    <row r="19751" spans="1:7" x14ac:dyDescent="0.25">
      <c r="A19751" s="1" t="str">
        <f>"525178"</f>
        <v>525178</v>
      </c>
      <c r="B19751" s="2" t="str">
        <f>"REGISTRO GAVETA 6"" AÇO CARBONO"</f>
        <v>REGISTRO GAVETA 6" AÇO CARBONO</v>
      </c>
      <c r="C19751" s="2" t="str">
        <f t="shared" si="778"/>
        <v>BR</v>
      </c>
      <c r="D19751" s="7">
        <v>808</v>
      </c>
      <c r="E19751" s="3">
        <v>10</v>
      </c>
      <c r="F19751" s="2">
        <v>6</v>
      </c>
      <c r="G19751" t="s">
        <v>514</v>
      </c>
    </row>
    <row r="19752" spans="1:7" x14ac:dyDescent="0.25">
      <c r="A19752" s="1" t="str">
        <f>"510607"</f>
        <v>510607</v>
      </c>
      <c r="B19752" s="2" t="str">
        <f>"REGISTRO GIRATORIO PARA FOGAO ROSCA GROSA"</f>
        <v>REGISTRO GIRATORIO PARA FOGAO ROSCA GROSA</v>
      </c>
      <c r="C19752" s="2" t="str">
        <f>"UN"</f>
        <v>UN</v>
      </c>
      <c r="D19752" s="7">
        <v>918</v>
      </c>
      <c r="E19752" s="3">
        <v>11</v>
      </c>
      <c r="F19752" s="2">
        <v>6</v>
      </c>
      <c r="G19752" t="s">
        <v>512</v>
      </c>
    </row>
    <row r="19753" spans="1:7" x14ac:dyDescent="0.25">
      <c r="A19753" s="1" t="str">
        <f>"526228"</f>
        <v>526228</v>
      </c>
      <c r="B19753" s="2" t="str">
        <f>"REGISTRO GLOBO 45º HIDRANTE 2 1/2"""</f>
        <v>REGISTRO GLOBO 45º HIDRANTE 2 1/2"</v>
      </c>
      <c r="C19753" s="2" t="str">
        <f>"UN"</f>
        <v>UN</v>
      </c>
      <c r="D19753" s="7">
        <v>807</v>
      </c>
      <c r="E19753" s="3">
        <v>11</v>
      </c>
      <c r="F19753" s="2">
        <v>2</v>
      </c>
      <c r="G19753" t="s">
        <v>513</v>
      </c>
    </row>
    <row r="19754" spans="1:7" x14ac:dyDescent="0.25">
      <c r="A19754" s="1" t="str">
        <f>"513321"</f>
        <v>513321</v>
      </c>
      <c r="B19754" s="2" t="str">
        <f>"REGISTRO PARA FOGAREIRO 1/8"</f>
        <v>REGISTRO PARA FOGAREIRO 1/8</v>
      </c>
      <c r="C19754" s="2" t="str">
        <f>"UN"</f>
        <v>UN</v>
      </c>
      <c r="D19754" s="7">
        <v>918</v>
      </c>
      <c r="E19754" s="3">
        <v>11</v>
      </c>
      <c r="F19754" s="2">
        <v>1</v>
      </c>
      <c r="G19754" t="s">
        <v>514</v>
      </c>
    </row>
    <row r="19755" spans="1:7" x14ac:dyDescent="0.25">
      <c r="A19755" s="1" t="str">
        <f>"517838"</f>
        <v>517838</v>
      </c>
      <c r="B19755" s="2" t="str">
        <f>"REGISTRO PRESSÃO 3/4"" C/ ACABAMENTO"</f>
        <v>REGISTRO PRESSÃO 3/4" C/ ACABAMENTO</v>
      </c>
      <c r="C19755" s="2" t="str">
        <f>"UN"</f>
        <v>UN</v>
      </c>
      <c r="D19755" s="7">
        <v>912</v>
      </c>
      <c r="E19755" s="3">
        <v>10</v>
      </c>
      <c r="F19755" s="2">
        <v>0</v>
      </c>
      <c r="G19755" t="s">
        <v>514</v>
      </c>
    </row>
    <row r="19756" spans="1:7" x14ac:dyDescent="0.25">
      <c r="A19756" s="1" t="str">
        <f>"521216"</f>
        <v>521216</v>
      </c>
      <c r="B19756" s="2" t="str">
        <f>"REGISTRO PVC 1 1/2"</f>
        <v>REGISTRO PVC 1 1/2</v>
      </c>
      <c r="C19756" s="2" t="str">
        <f>"BR"</f>
        <v>BR</v>
      </c>
      <c r="D19756" s="7">
        <v>808</v>
      </c>
      <c r="E19756" s="3">
        <v>10</v>
      </c>
      <c r="F19756" s="2">
        <v>0</v>
      </c>
      <c r="G19756" t="s">
        <v>512</v>
      </c>
    </row>
    <row r="19757" spans="1:7" x14ac:dyDescent="0.25">
      <c r="A19757" s="1" t="str">
        <f>"522203"</f>
        <v>522203</v>
      </c>
      <c r="B19757" s="2" t="str">
        <f>"REGISTRO PVC 100MM ESGOTO"</f>
        <v>REGISTRO PVC 100MM ESGOTO</v>
      </c>
      <c r="C19757" s="2" t="str">
        <f>"UN"</f>
        <v>UN</v>
      </c>
      <c r="D19757" s="7">
        <v>808</v>
      </c>
      <c r="E19757" s="3">
        <v>10</v>
      </c>
      <c r="F19757" s="2">
        <v>0</v>
      </c>
      <c r="G19757" t="s">
        <v>513</v>
      </c>
    </row>
    <row r="19758" spans="1:7" x14ac:dyDescent="0.25">
      <c r="A19758" s="1" t="str">
        <f>"521217"</f>
        <v>521217</v>
      </c>
      <c r="B19758" s="2" t="str">
        <f>"REGISTRO PVC 2' MARRON 60MM"</f>
        <v>REGISTRO PVC 2' MARRON 60MM</v>
      </c>
      <c r="C19758" s="2" t="str">
        <f>"BR"</f>
        <v>BR</v>
      </c>
      <c r="D19758" s="7">
        <v>808</v>
      </c>
      <c r="E19758" s="3">
        <v>10</v>
      </c>
      <c r="F19758" s="2">
        <v>3</v>
      </c>
      <c r="G19758" t="s">
        <v>514</v>
      </c>
    </row>
    <row r="19759" spans="1:7" x14ac:dyDescent="0.25">
      <c r="A19759" s="1" t="str">
        <f>"519329"</f>
        <v>519329</v>
      </c>
      <c r="B19759" s="2" t="str">
        <f>"REGISTRO PVC MARROM 1"""</f>
        <v>REGISTRO PVC MARROM 1"</v>
      </c>
      <c r="C19759" s="2" t="str">
        <f>"BR"</f>
        <v>BR</v>
      </c>
      <c r="D19759" s="7">
        <v>808</v>
      </c>
      <c r="E19759" s="3">
        <v>10</v>
      </c>
      <c r="F19759" s="5">
        <v>5</v>
      </c>
      <c r="G19759" t="s">
        <v>514</v>
      </c>
    </row>
    <row r="19760" spans="1:7" x14ac:dyDescent="0.25">
      <c r="A19760" s="1" t="str">
        <f>"525852"</f>
        <v>525852</v>
      </c>
      <c r="B19760" s="2" t="str">
        <f>"REGISTRO PVC MARROM 1"" ROSCA INTERNA"</f>
        <v>REGISTRO PVC MARROM 1" ROSCA INTERNA</v>
      </c>
      <c r="C19760" s="2" t="str">
        <f>"BR"</f>
        <v>BR</v>
      </c>
      <c r="D19760" s="7">
        <v>808</v>
      </c>
      <c r="E19760" s="3">
        <v>10</v>
      </c>
      <c r="F19760" s="2">
        <v>3</v>
      </c>
      <c r="G19760" t="s">
        <v>514</v>
      </c>
    </row>
    <row r="19761" spans="1:7" x14ac:dyDescent="0.25">
      <c r="A19761" s="1" t="str">
        <f>"519410"</f>
        <v>519410</v>
      </c>
      <c r="B19761" s="2" t="str">
        <f>"REGISTRO PVC MARROM 1/2"""</f>
        <v>REGISTRO PVC MARROM 1/2"</v>
      </c>
      <c r="C19761" s="2" t="str">
        <f>"BR"</f>
        <v>BR</v>
      </c>
      <c r="D19761" s="7">
        <v>808</v>
      </c>
      <c r="E19761" s="3">
        <v>10</v>
      </c>
      <c r="F19761" s="2">
        <v>8</v>
      </c>
      <c r="G19761" t="s">
        <v>513</v>
      </c>
    </row>
    <row r="19762" spans="1:7" x14ac:dyDescent="0.25">
      <c r="A19762" s="1" t="str">
        <f>"510848"</f>
        <v>510848</v>
      </c>
      <c r="B19762" s="2" t="str">
        <f>"REGISTRO PVC MARROM 3/4"" (COLA COLA)"</f>
        <v>REGISTRO PVC MARROM 3/4" (COLA COLA)</v>
      </c>
      <c r="C19762" s="2" t="str">
        <f>"BR"</f>
        <v>BR</v>
      </c>
      <c r="D19762" s="7">
        <v>808</v>
      </c>
      <c r="E19762" s="3">
        <v>10</v>
      </c>
      <c r="F19762" s="2">
        <v>6</v>
      </c>
      <c r="G19762" t="s">
        <v>512</v>
      </c>
    </row>
    <row r="19763" spans="1:7" x14ac:dyDescent="0.25">
      <c r="A19763" s="1" t="str">
        <f>"502039"</f>
        <v>502039</v>
      </c>
      <c r="B19763" s="2" t="str">
        <f>"REGISTRO PVC MARROM 50MM"</f>
        <v>REGISTRO PVC MARROM 50MM</v>
      </c>
      <c r="C19763" s="2" t="str">
        <f t="shared" ref="C19763:C19771" si="779">"UN"</f>
        <v>UN</v>
      </c>
      <c r="D19763" s="7">
        <v>808</v>
      </c>
      <c r="E19763" s="3">
        <v>10</v>
      </c>
      <c r="F19763" s="2">
        <v>4</v>
      </c>
      <c r="G19763" t="s">
        <v>513</v>
      </c>
    </row>
    <row r="19764" spans="1:7" x14ac:dyDescent="0.25">
      <c r="A19764" s="1" t="str">
        <f>"528030"</f>
        <v>528030</v>
      </c>
      <c r="B19764" s="2" t="str">
        <f>"REGISTRO PVC MARROM 75 MM"</f>
        <v>REGISTRO PVC MARROM 75 MM</v>
      </c>
      <c r="C19764" s="2" t="str">
        <f t="shared" si="779"/>
        <v>UN</v>
      </c>
      <c r="D19764" s="7">
        <v>808</v>
      </c>
      <c r="E19764" s="3">
        <v>10</v>
      </c>
      <c r="F19764" s="2">
        <v>1</v>
      </c>
      <c r="G19764" t="s">
        <v>514</v>
      </c>
    </row>
    <row r="19765" spans="1:7" x14ac:dyDescent="0.25">
      <c r="A19765" s="1" t="str">
        <f>"524820"</f>
        <v>524820</v>
      </c>
      <c r="B19765" s="2" t="str">
        <f>"REGISTRO PVC MARROM 85MM"</f>
        <v>REGISTRO PVC MARROM 85MM</v>
      </c>
      <c r="C19765" s="2" t="str">
        <f t="shared" si="779"/>
        <v>UN</v>
      </c>
      <c r="D19765" s="7">
        <v>808</v>
      </c>
      <c r="E19765" s="3">
        <v>10</v>
      </c>
      <c r="F19765" s="2">
        <v>2</v>
      </c>
      <c r="G19765" t="s">
        <v>514</v>
      </c>
    </row>
    <row r="19766" spans="1:7" x14ac:dyDescent="0.25">
      <c r="A19766" s="1" t="str">
        <f>"513133"</f>
        <v>513133</v>
      </c>
      <c r="B19766" s="2" t="str">
        <f>"REGISTRO SW TOPPONTO REP 350"</f>
        <v>REGISTRO SW TOPPONTO REP 350</v>
      </c>
      <c r="C19766" s="2" t="str">
        <f t="shared" si="779"/>
        <v>UN</v>
      </c>
      <c r="D19766" s="7">
        <v>401</v>
      </c>
      <c r="E19766" s="3">
        <v>4</v>
      </c>
      <c r="F19766" s="2">
        <v>7</v>
      </c>
      <c r="G19766" t="s">
        <v>514</v>
      </c>
    </row>
    <row r="19767" spans="1:7" x14ac:dyDescent="0.25">
      <c r="A19767" s="1" t="str">
        <f>"510556"</f>
        <v>510556</v>
      </c>
      <c r="B19767" s="2" t="str">
        <f>"REGISTROS E CONTROLES"</f>
        <v>REGISTROS E CONTROLES</v>
      </c>
      <c r="C19767" s="2" t="str">
        <f t="shared" si="779"/>
        <v>UN</v>
      </c>
      <c r="D19767" s="7">
        <v>1200</v>
      </c>
      <c r="E19767" s="3">
        <v>13</v>
      </c>
      <c r="F19767" s="2">
        <v>9</v>
      </c>
      <c r="G19767" t="s">
        <v>513</v>
      </c>
    </row>
    <row r="19768" spans="1:7" x14ac:dyDescent="0.25">
      <c r="A19768" s="1" t="str">
        <f>"510202"</f>
        <v>510202</v>
      </c>
      <c r="B19768" s="2" t="str">
        <f>"REGUA"</f>
        <v>REGUA</v>
      </c>
      <c r="C19768" s="2" t="str">
        <f t="shared" si="779"/>
        <v>UN</v>
      </c>
      <c r="D19768" s="7">
        <v>402</v>
      </c>
      <c r="E19768" s="3">
        <v>4</v>
      </c>
      <c r="F19768" s="2">
        <v>0</v>
      </c>
      <c r="G19768" t="s">
        <v>513</v>
      </c>
    </row>
    <row r="19769" spans="1:7" x14ac:dyDescent="0.25">
      <c r="A19769" s="1" t="str">
        <f>"5833"</f>
        <v>5833</v>
      </c>
      <c r="B19769" s="2" t="str">
        <f>"REGUA ACRILICA ACRIMET 30 CM"</f>
        <v>REGUA ACRILICA ACRIMET 30 CM</v>
      </c>
      <c r="C19769" s="2" t="str">
        <f t="shared" si="779"/>
        <v>UN</v>
      </c>
      <c r="D19769" s="7">
        <v>401</v>
      </c>
      <c r="E19769" s="3">
        <v>4</v>
      </c>
      <c r="F19769" s="2">
        <v>0</v>
      </c>
      <c r="G19769" t="s">
        <v>513</v>
      </c>
    </row>
    <row r="19770" spans="1:7" x14ac:dyDescent="0.25">
      <c r="A19770" s="1" t="str">
        <f>"512453"</f>
        <v>512453</v>
      </c>
      <c r="B19770" s="2" t="str">
        <f>"REGUA ALUMINIO 30CM"</f>
        <v>REGUA ALUMINIO 30CM</v>
      </c>
      <c r="C19770" s="2" t="str">
        <f t="shared" si="779"/>
        <v>UN</v>
      </c>
      <c r="D19770" s="7">
        <v>402</v>
      </c>
      <c r="E19770" s="3">
        <v>4</v>
      </c>
      <c r="F19770" s="2">
        <v>2</v>
      </c>
      <c r="G19770" t="s">
        <v>512</v>
      </c>
    </row>
    <row r="19771" spans="1:7" x14ac:dyDescent="0.25">
      <c r="A19771" s="1" t="str">
        <f>"6372"</f>
        <v>6372</v>
      </c>
      <c r="B19771" s="2" t="str">
        <f>"REGUA APARADOR DE GONDOLAS 50CM"</f>
        <v>REGUA APARADOR DE GONDOLAS 50CM</v>
      </c>
      <c r="C19771" s="2" t="str">
        <f t="shared" si="779"/>
        <v>UN</v>
      </c>
      <c r="D19771" s="7">
        <v>401</v>
      </c>
      <c r="E19771" s="3">
        <v>4</v>
      </c>
      <c r="F19771" s="2">
        <v>5</v>
      </c>
      <c r="G19771" t="s">
        <v>513</v>
      </c>
    </row>
    <row r="19772" spans="1:7" x14ac:dyDescent="0.25">
      <c r="A19772" s="1" t="str">
        <f>"504272"</f>
        <v>504272</v>
      </c>
      <c r="B19772" s="2" t="str">
        <f>"REGUA CONEXAO FESTO G1/4 REF.PAL-5-1/4-3"</f>
        <v>REGUA CONEXAO FESTO G1/4 REF.PAL-5-1/4-3</v>
      </c>
      <c r="C19772" s="2" t="str">
        <f>"BR"</f>
        <v>BR</v>
      </c>
      <c r="D19772" s="7">
        <v>808</v>
      </c>
      <c r="E19772" s="3">
        <v>10</v>
      </c>
      <c r="F19772" s="2">
        <v>6</v>
      </c>
      <c r="G19772" t="s">
        <v>514</v>
      </c>
    </row>
    <row r="19773" spans="1:7" x14ac:dyDescent="0.25">
      <c r="A19773" s="1" t="str">
        <f>"524969"</f>
        <v>524969</v>
      </c>
      <c r="B19773" s="2" t="str">
        <f>"REGUA DE CORTE D-66266"</f>
        <v>REGUA DE CORTE D-66266</v>
      </c>
      <c r="C19773" s="2" t="str">
        <f t="shared" ref="C19773:C19789" si="780">"UN"</f>
        <v>UN</v>
      </c>
      <c r="D19773" s="7">
        <v>811</v>
      </c>
      <c r="E19773" s="3">
        <v>11</v>
      </c>
      <c r="F19773" s="2">
        <v>9</v>
      </c>
      <c r="G19773" t="s">
        <v>515</v>
      </c>
    </row>
    <row r="19774" spans="1:7" x14ac:dyDescent="0.25">
      <c r="A19774" s="1" t="str">
        <f>"509241"</f>
        <v>509241</v>
      </c>
      <c r="B19774" s="2" t="str">
        <f>"REGUA DE FIXAÇAO FESTO PAL-1/4-3"</f>
        <v>REGUA DE FIXAÇAO FESTO PAL-1/4-3</v>
      </c>
      <c r="C19774" s="2" t="str">
        <f t="shared" si="780"/>
        <v>UN</v>
      </c>
      <c r="D19774" s="7">
        <v>913</v>
      </c>
      <c r="E19774" s="3">
        <v>11</v>
      </c>
      <c r="F19774" s="2">
        <v>5</v>
      </c>
      <c r="G19774" t="s">
        <v>512</v>
      </c>
    </row>
    <row r="19775" spans="1:7" x14ac:dyDescent="0.25">
      <c r="A19775" s="1" t="str">
        <f>"517520"</f>
        <v>517520</v>
      </c>
      <c r="B19775" s="2" t="str">
        <f>"REGUA DE FIXAÇAO FESTO PAL-5-1/4-4"</f>
        <v>REGUA DE FIXAÇAO FESTO PAL-5-1/4-4</v>
      </c>
      <c r="C19775" s="2" t="str">
        <f t="shared" si="780"/>
        <v>UN</v>
      </c>
      <c r="D19775" s="7">
        <v>913</v>
      </c>
      <c r="E19775" s="3">
        <v>11</v>
      </c>
      <c r="F19775" s="2">
        <v>3</v>
      </c>
      <c r="G19775" t="s">
        <v>516</v>
      </c>
    </row>
    <row r="19776" spans="1:7" x14ac:dyDescent="0.25">
      <c r="A19776" s="1" t="str">
        <f>"514700"</f>
        <v>514700</v>
      </c>
      <c r="B19776" s="2" t="str">
        <f>"REGUA DE GONDOLA CAROLINA"</f>
        <v>REGUA DE GONDOLA CAROLINA</v>
      </c>
      <c r="C19776" s="2" t="str">
        <f t="shared" si="780"/>
        <v>UN</v>
      </c>
      <c r="D19776" s="7">
        <v>401</v>
      </c>
      <c r="E19776" s="3">
        <v>4</v>
      </c>
      <c r="F19776" s="2">
        <v>3</v>
      </c>
      <c r="G19776" t="s">
        <v>515</v>
      </c>
    </row>
    <row r="19777" spans="1:7" x14ac:dyDescent="0.25">
      <c r="A19777" s="1" t="str">
        <f>"527739"</f>
        <v>527739</v>
      </c>
      <c r="B19777" s="2" t="str">
        <f>"REGUA P/ CALHA PARSHAL 2' FIBRA DE VIDRO"</f>
        <v>REGUA P/ CALHA PARSHAL 2' FIBRA DE VIDRO</v>
      </c>
      <c r="C19777" s="2" t="str">
        <f t="shared" si="780"/>
        <v>UN</v>
      </c>
      <c r="D19777" s="7">
        <v>807</v>
      </c>
      <c r="E19777" s="3">
        <v>10</v>
      </c>
      <c r="F19777" s="2">
        <v>2</v>
      </c>
      <c r="G19777" t="s">
        <v>514</v>
      </c>
    </row>
    <row r="19778" spans="1:7" x14ac:dyDescent="0.25">
      <c r="A19778" s="1" t="str">
        <f>"523469"</f>
        <v>523469</v>
      </c>
      <c r="B19778" s="2" t="str">
        <f>"REGUA P/ RACK 8 TOMADAS - HOLZ"</f>
        <v>REGUA P/ RACK 8 TOMADAS - HOLZ</v>
      </c>
      <c r="C19778" s="2" t="str">
        <f t="shared" si="780"/>
        <v>UN</v>
      </c>
      <c r="D19778" s="7">
        <v>601</v>
      </c>
      <c r="E19778" s="3">
        <v>8</v>
      </c>
      <c r="F19778" s="2">
        <v>1</v>
      </c>
      <c r="G19778" t="s">
        <v>512</v>
      </c>
    </row>
    <row r="19779" spans="1:7" x14ac:dyDescent="0.25">
      <c r="A19779" s="1" t="str">
        <f>"515023"</f>
        <v>515023</v>
      </c>
      <c r="B19779" s="2" t="str">
        <f>"REGUA PARA MEDICAO COMBUSTIVEL"</f>
        <v>REGUA PARA MEDICAO COMBUSTIVEL</v>
      </c>
      <c r="C19779" s="2" t="str">
        <f t="shared" si="780"/>
        <v>UN</v>
      </c>
      <c r="D19779" s="7">
        <v>817</v>
      </c>
      <c r="E19779" s="3">
        <v>11</v>
      </c>
      <c r="F19779" s="2">
        <v>4</v>
      </c>
      <c r="G19779" t="s">
        <v>513</v>
      </c>
    </row>
    <row r="19780" spans="1:7" x14ac:dyDescent="0.25">
      <c r="A19780" s="1" t="str">
        <f>"502379"</f>
        <v>502379</v>
      </c>
      <c r="B19780" s="2" t="str">
        <f>"REGUA PARA TANQUE RESF.MOD.PRVS 830 LTS"</f>
        <v>REGUA PARA TANQUE RESF.MOD.PRVS 830 LTS</v>
      </c>
      <c r="C19780" s="2" t="str">
        <f t="shared" si="780"/>
        <v>UN</v>
      </c>
      <c r="D19780" s="7">
        <v>920</v>
      </c>
      <c r="E19780" s="3">
        <v>11</v>
      </c>
      <c r="F19780" s="2">
        <v>1</v>
      </c>
      <c r="G19780" t="s">
        <v>514</v>
      </c>
    </row>
    <row r="19781" spans="1:7" x14ac:dyDescent="0.25">
      <c r="A19781" s="1" t="str">
        <f>"522637"</f>
        <v>522637</v>
      </c>
      <c r="B19781" s="2" t="str">
        <f>"REGUA TANQUE 500LTS"</f>
        <v>REGUA TANQUE 500LTS</v>
      </c>
      <c r="C19781" s="2" t="str">
        <f t="shared" si="780"/>
        <v>UN</v>
      </c>
      <c r="D19781" s="7">
        <v>920</v>
      </c>
      <c r="E19781" s="3">
        <v>11</v>
      </c>
      <c r="F19781" s="2">
        <v>2</v>
      </c>
      <c r="G19781" t="s">
        <v>514</v>
      </c>
    </row>
    <row r="19782" spans="1:7" x14ac:dyDescent="0.25">
      <c r="A19782" s="1" t="str">
        <f>"519182"</f>
        <v>519182</v>
      </c>
      <c r="B19782" s="2" t="str">
        <f>"REGUA TANQUE A GRANEL 1000LTS"</f>
        <v>REGUA TANQUE A GRANEL 1000LTS</v>
      </c>
      <c r="C19782" s="2" t="str">
        <f t="shared" si="780"/>
        <v>UN</v>
      </c>
      <c r="D19782" s="7">
        <v>920</v>
      </c>
      <c r="E19782" s="3">
        <v>11</v>
      </c>
      <c r="F19782" s="2">
        <v>7</v>
      </c>
      <c r="G19782" t="s">
        <v>512</v>
      </c>
    </row>
    <row r="19783" spans="1:7" x14ac:dyDescent="0.25">
      <c r="A19783" s="1" t="str">
        <f>"521488"</f>
        <v>521488</v>
      </c>
      <c r="B19783" s="2" t="str">
        <f>"REGUA TANQUE HORIZONTAL 5000LTS"</f>
        <v>REGUA TANQUE HORIZONTAL 5000LTS</v>
      </c>
      <c r="C19783" s="2" t="str">
        <f t="shared" si="780"/>
        <v>UN</v>
      </c>
      <c r="D19783" s="7">
        <v>920</v>
      </c>
      <c r="E19783" s="3">
        <v>11</v>
      </c>
      <c r="F19783" s="2">
        <v>9</v>
      </c>
      <c r="G19783" t="s">
        <v>513</v>
      </c>
    </row>
    <row r="19784" spans="1:7" x14ac:dyDescent="0.25">
      <c r="A19784" s="1" t="str">
        <f>"505194"</f>
        <v>505194</v>
      </c>
      <c r="B19784" s="2" t="str">
        <f>"REGULADOR"</f>
        <v>REGULADOR</v>
      </c>
      <c r="C19784" s="2" t="str">
        <f t="shared" si="780"/>
        <v>UN</v>
      </c>
      <c r="D19784" s="7">
        <v>704</v>
      </c>
      <c r="E19784" s="3">
        <v>9</v>
      </c>
      <c r="F19784" s="2">
        <v>0</v>
      </c>
      <c r="G19784" t="s">
        <v>514</v>
      </c>
    </row>
    <row r="19785" spans="1:7" x14ac:dyDescent="0.25">
      <c r="A19785" s="1" t="str">
        <f>"516300"</f>
        <v>516300</v>
      </c>
      <c r="B19785" s="2" t="str">
        <f>"REGULADOR ACETILENO"</f>
        <v>REGULADOR ACETILENO</v>
      </c>
      <c r="C19785" s="2" t="str">
        <f t="shared" si="780"/>
        <v>UN</v>
      </c>
      <c r="D19785" s="7">
        <v>816</v>
      </c>
      <c r="E19785" s="3">
        <v>4</v>
      </c>
      <c r="F19785" s="2">
        <v>0</v>
      </c>
      <c r="G19785" t="s">
        <v>514</v>
      </c>
    </row>
    <row r="19786" spans="1:7" x14ac:dyDescent="0.25">
      <c r="A19786" s="1" t="str">
        <f>"517848"</f>
        <v>517848</v>
      </c>
      <c r="B19786" s="2" t="str">
        <f>"REGULADOR AR LFR-D-MAXI A543 G 1/2"</f>
        <v>REGULADOR AR LFR-D-MAXI A543 G 1/2</v>
      </c>
      <c r="C19786" s="2" t="str">
        <f t="shared" si="780"/>
        <v>UN</v>
      </c>
      <c r="D19786" s="7">
        <v>913</v>
      </c>
      <c r="E19786" s="3">
        <v>11</v>
      </c>
      <c r="F19786" s="2">
        <v>4</v>
      </c>
      <c r="G19786" t="s">
        <v>514</v>
      </c>
    </row>
    <row r="19787" spans="1:7" x14ac:dyDescent="0.25">
      <c r="A19787" s="1" t="str">
        <f>"512278"</f>
        <v>512278</v>
      </c>
      <c r="B19787" s="2" t="str">
        <f>"REGULADOR ARGONIO RI-30N"</f>
        <v>REGULADOR ARGONIO RI-30N</v>
      </c>
      <c r="C19787" s="2" t="str">
        <f t="shared" si="780"/>
        <v>UN</v>
      </c>
      <c r="D19787" s="7">
        <v>918</v>
      </c>
      <c r="E19787" s="3">
        <v>11</v>
      </c>
      <c r="F19787" s="2">
        <v>1</v>
      </c>
      <c r="G19787" t="s">
        <v>513</v>
      </c>
    </row>
    <row r="19788" spans="1:7" x14ac:dyDescent="0.25">
      <c r="A19788" s="1" t="str">
        <f>"509581"</f>
        <v>509581</v>
      </c>
      <c r="B19788" s="2" t="str">
        <f>"REGULADOR DE FLUXO DE AR"</f>
        <v>REGULADOR DE FLUXO DE AR</v>
      </c>
      <c r="C19788" s="2" t="str">
        <f t="shared" si="780"/>
        <v>UN</v>
      </c>
      <c r="D19788" s="7">
        <v>918</v>
      </c>
      <c r="E19788" s="3">
        <v>11</v>
      </c>
      <c r="F19788" s="2">
        <v>2</v>
      </c>
      <c r="G19788" t="s">
        <v>512</v>
      </c>
    </row>
    <row r="19789" spans="1:7" x14ac:dyDescent="0.25">
      <c r="A19789" s="1" t="str">
        <f>"524806"</f>
        <v>524806</v>
      </c>
      <c r="B19789" s="8" t="s">
        <v>421</v>
      </c>
      <c r="C19789" s="2" t="str">
        <f t="shared" si="780"/>
        <v>UN</v>
      </c>
      <c r="D19789" s="7">
        <v>501</v>
      </c>
      <c r="E19789" s="3">
        <v>10</v>
      </c>
      <c r="F19789" s="2">
        <v>7</v>
      </c>
      <c r="G19789" t="s">
        <v>513</v>
      </c>
    </row>
    <row r="19790" spans="1:7" x14ac:dyDescent="0.25">
      <c r="A19790" s="1" t="str">
        <f>"502425"</f>
        <v>502425</v>
      </c>
      <c r="B19790" s="2" t="str">
        <f>"REGULADOR DE FLUXO G1/8"</f>
        <v>REGULADOR DE FLUXO G1/8</v>
      </c>
      <c r="C19790" s="2" t="str">
        <f>"BR"</f>
        <v>BR</v>
      </c>
      <c r="D19790" s="7">
        <v>808</v>
      </c>
      <c r="E19790" s="3">
        <v>10</v>
      </c>
      <c r="F19790" s="2">
        <v>9</v>
      </c>
      <c r="G19790" t="s">
        <v>514</v>
      </c>
    </row>
    <row r="19791" spans="1:7" x14ac:dyDescent="0.25">
      <c r="A19791" s="1" t="str">
        <f>"502426"</f>
        <v>502426</v>
      </c>
      <c r="B19791" s="2" t="str">
        <f>"REGULADOR DE FLUXO G3/8"</f>
        <v>REGULADOR DE FLUXO G3/8</v>
      </c>
      <c r="C19791" s="2" t="str">
        <f>"BR"</f>
        <v>BR</v>
      </c>
      <c r="D19791" s="7">
        <v>808</v>
      </c>
      <c r="E19791" s="3">
        <v>10</v>
      </c>
      <c r="F19791" s="5">
        <v>5</v>
      </c>
      <c r="G19791" t="s">
        <v>514</v>
      </c>
    </row>
    <row r="19792" spans="1:7" x14ac:dyDescent="0.25">
      <c r="A19792" s="1" t="str">
        <f>"501207"</f>
        <v>501207</v>
      </c>
      <c r="B19792" s="2" t="str">
        <f>"REGULADOR DE FLUXO GR1/4B 0,1 A 10BAR C/ RETENÇÃO"</f>
        <v>REGULADOR DE FLUXO GR1/4B 0,1 A 10BAR C/ RETENÇÃO</v>
      </c>
      <c r="C19792" s="2" t="str">
        <f>"UN"</f>
        <v>UN</v>
      </c>
      <c r="D19792" s="7">
        <v>808</v>
      </c>
      <c r="E19792" s="3">
        <v>10</v>
      </c>
      <c r="F19792" s="2">
        <v>3</v>
      </c>
      <c r="G19792" t="s">
        <v>514</v>
      </c>
    </row>
    <row r="19793" spans="1:7" x14ac:dyDescent="0.25">
      <c r="A19793" s="1" t="str">
        <f>"500011"</f>
        <v>500011</v>
      </c>
      <c r="B19793" s="2" t="str">
        <f>"REGULADOR DE FLUXO LR-D-MAX A543 FESTO"</f>
        <v>REGULADOR DE FLUXO LR-D-MAX A543 FESTO</v>
      </c>
      <c r="C19793" s="2" t="str">
        <f>"BR"</f>
        <v>BR</v>
      </c>
      <c r="D19793" s="7">
        <v>808</v>
      </c>
      <c r="E19793" s="3">
        <v>10</v>
      </c>
      <c r="F19793" s="2">
        <v>8</v>
      </c>
      <c r="G19793" t="s">
        <v>513</v>
      </c>
    </row>
    <row r="19794" spans="1:7" x14ac:dyDescent="0.25">
      <c r="A19794" s="1" t="str">
        <f>"524805"</f>
        <v>524805</v>
      </c>
      <c r="B19794" s="8" t="s">
        <v>420</v>
      </c>
      <c r="C19794" s="2" t="str">
        <f>"UN"</f>
        <v>UN</v>
      </c>
      <c r="D19794" s="7">
        <v>501</v>
      </c>
      <c r="E19794" s="3">
        <v>10</v>
      </c>
      <c r="F19794" s="2">
        <v>6</v>
      </c>
      <c r="G19794" t="s">
        <v>513</v>
      </c>
    </row>
    <row r="19795" spans="1:7" x14ac:dyDescent="0.25">
      <c r="A19795" s="1" t="str">
        <f>"513322"</f>
        <v>513322</v>
      </c>
      <c r="B19795" s="2" t="str">
        <f>"REGULADOR DE GAS ALIANCA"</f>
        <v>REGULADOR DE GAS ALIANCA</v>
      </c>
      <c r="C19795" s="2" t="str">
        <f>"UN"</f>
        <v>UN</v>
      </c>
      <c r="D19795" s="7">
        <v>918</v>
      </c>
      <c r="E19795" s="3">
        <v>11</v>
      </c>
      <c r="F19795" s="2">
        <v>4</v>
      </c>
      <c r="G19795" t="s">
        <v>513</v>
      </c>
    </row>
    <row r="19796" spans="1:7" x14ac:dyDescent="0.25">
      <c r="A19796" s="1" t="str">
        <f>"521890"</f>
        <v>521890</v>
      </c>
      <c r="B19796" s="8" t="s">
        <v>240</v>
      </c>
      <c r="C19796" s="2" t="str">
        <f>"UN"</f>
        <v>UN</v>
      </c>
      <c r="D19796" s="7">
        <v>913</v>
      </c>
      <c r="E19796" s="3">
        <v>11</v>
      </c>
      <c r="F19796" s="2">
        <v>1</v>
      </c>
      <c r="G19796" t="s">
        <v>512</v>
      </c>
    </row>
    <row r="19797" spans="1:7" x14ac:dyDescent="0.25">
      <c r="A19797" s="1" t="str">
        <f>"500717"</f>
        <v>500717</v>
      </c>
      <c r="B19797" s="2" t="str">
        <f>"REGULADOR DE PRESSAO 1"" COD. CP36FR1P"</f>
        <v>REGULADOR DE PRESSAO 1" COD. CP36FR1P</v>
      </c>
      <c r="C19797" s="2" t="str">
        <f>"BR"</f>
        <v>BR</v>
      </c>
      <c r="D19797" s="7">
        <v>808</v>
      </c>
      <c r="E19797" s="3">
        <v>10</v>
      </c>
      <c r="F19797" s="2">
        <v>2</v>
      </c>
      <c r="G19797" t="s">
        <v>513</v>
      </c>
    </row>
    <row r="19798" spans="1:7" x14ac:dyDescent="0.25">
      <c r="A19798" s="1" t="str">
        <f>"509554"</f>
        <v>509554</v>
      </c>
      <c r="B19798" s="2" t="str">
        <f>"REGULADOR DE PRESSAO P/ ARGONIO"</f>
        <v>REGULADOR DE PRESSAO P/ ARGONIO</v>
      </c>
      <c r="C19798" s="2" t="str">
        <f t="shared" ref="C19798:C19844" si="781">"UN"</f>
        <v>UN</v>
      </c>
      <c r="D19798" s="7">
        <v>402</v>
      </c>
      <c r="E19798" s="3">
        <v>4</v>
      </c>
      <c r="F19798" s="2">
        <v>7</v>
      </c>
      <c r="G19798" t="s">
        <v>514</v>
      </c>
    </row>
    <row r="19799" spans="1:7" x14ac:dyDescent="0.25">
      <c r="A19799" s="1" t="str">
        <f>"524361"</f>
        <v>524361</v>
      </c>
      <c r="B19799" s="2" t="str">
        <f>"REGULADOR DE VAZÃO 0,5 LPM PN CEBREG 05"</f>
        <v>REGULADOR DE VAZÃO 0,5 LPM PN CEBREG 05</v>
      </c>
      <c r="C19799" s="2" t="str">
        <f t="shared" si="781"/>
        <v>UN</v>
      </c>
      <c r="D19799" s="7">
        <v>900</v>
      </c>
      <c r="E19799" s="3">
        <v>11</v>
      </c>
      <c r="F19799" s="2">
        <v>9</v>
      </c>
      <c r="G19799" t="s">
        <v>515</v>
      </c>
    </row>
    <row r="19800" spans="1:7" x14ac:dyDescent="0.25">
      <c r="A19800" s="1" t="str">
        <f>"500564"</f>
        <v>500564</v>
      </c>
      <c r="B19800" s="2" t="str">
        <f>"REGULADOR DE VOLTAGEM (034)"</f>
        <v>REGULADOR DE VOLTAGEM (034)</v>
      </c>
      <c r="C19800" s="2" t="str">
        <f t="shared" si="781"/>
        <v>UN</v>
      </c>
      <c r="D19800" s="7">
        <v>704</v>
      </c>
      <c r="E19800" s="3">
        <v>9</v>
      </c>
      <c r="F19800" s="2">
        <v>0</v>
      </c>
      <c r="G19800" t="s">
        <v>512</v>
      </c>
    </row>
    <row r="19801" spans="1:7" x14ac:dyDescent="0.25">
      <c r="A19801" s="1" t="str">
        <f>"510492"</f>
        <v>510492</v>
      </c>
      <c r="B19801" s="2" t="str">
        <f>"REGULADOR DE VOLUME DO DOSADOR COMPLETO"</f>
        <v>REGULADOR DE VOLUME DO DOSADOR COMPLETO</v>
      </c>
      <c r="C19801" s="2" t="str">
        <f t="shared" si="781"/>
        <v>UN</v>
      </c>
      <c r="D19801" s="7">
        <v>918</v>
      </c>
      <c r="E19801" s="3">
        <v>11</v>
      </c>
      <c r="F19801" s="2">
        <v>0</v>
      </c>
      <c r="G19801" t="s">
        <v>516</v>
      </c>
    </row>
    <row r="19802" spans="1:7" x14ac:dyDescent="0.25">
      <c r="A19802" s="1" t="str">
        <f>"516172"</f>
        <v>516172</v>
      </c>
      <c r="B19802" s="2" t="str">
        <f>"REGULADOR ELETRICO MS6-LRE-1/4-D5-OP-PI-VK2"</f>
        <v>REGULADOR ELETRICO MS6-LRE-1/4-D5-OP-PI-VK2</v>
      </c>
      <c r="C19802" s="2" t="str">
        <f t="shared" si="781"/>
        <v>UN</v>
      </c>
      <c r="D19802" s="7">
        <v>913</v>
      </c>
      <c r="E19802" s="3">
        <v>11</v>
      </c>
      <c r="F19802" s="2">
        <v>2</v>
      </c>
      <c r="G19802" t="s">
        <v>515</v>
      </c>
    </row>
    <row r="19803" spans="1:7" x14ac:dyDescent="0.25">
      <c r="A19803" s="1" t="str">
        <f>"517653"</f>
        <v>517653</v>
      </c>
      <c r="B19803" s="2" t="str">
        <f>"REGULADOR ELETRONICO YAN"</f>
        <v>REGULADOR ELETRONICO YAN</v>
      </c>
      <c r="C19803" s="2" t="str">
        <f t="shared" si="781"/>
        <v>UN</v>
      </c>
      <c r="D19803" s="7">
        <v>811</v>
      </c>
      <c r="E19803" s="3">
        <v>8</v>
      </c>
      <c r="F19803" s="2">
        <v>5</v>
      </c>
      <c r="G19803" t="s">
        <v>514</v>
      </c>
    </row>
    <row r="19804" spans="1:7" x14ac:dyDescent="0.25">
      <c r="A19804" s="1" t="str">
        <f>"514485"</f>
        <v>514485</v>
      </c>
      <c r="B19804" s="2" t="str">
        <f>"REGULADOR EMBREAGEM"</f>
        <v>REGULADOR EMBREAGEM</v>
      </c>
      <c r="C19804" s="2" t="str">
        <f t="shared" si="781"/>
        <v>UN</v>
      </c>
      <c r="D19804" s="7">
        <v>917</v>
      </c>
      <c r="E19804" s="3">
        <v>10</v>
      </c>
      <c r="F19804" s="2">
        <v>6</v>
      </c>
      <c r="G19804" t="s">
        <v>512</v>
      </c>
    </row>
    <row r="19805" spans="1:7" x14ac:dyDescent="0.25">
      <c r="A19805" s="1" t="str">
        <f>"508945"</f>
        <v>508945</v>
      </c>
      <c r="B19805" s="2" t="str">
        <f>"REGULADOR GA018"</f>
        <v>REGULADOR GA018</v>
      </c>
      <c r="C19805" s="2" t="str">
        <f t="shared" si="781"/>
        <v>UN</v>
      </c>
      <c r="D19805" s="7">
        <v>918</v>
      </c>
      <c r="E19805" s="3">
        <v>11</v>
      </c>
      <c r="F19805" s="2">
        <v>9</v>
      </c>
      <c r="G19805" t="s">
        <v>513</v>
      </c>
    </row>
    <row r="19806" spans="1:7" x14ac:dyDescent="0.25">
      <c r="A19806" s="1" t="str">
        <f>"522653"</f>
        <v>522653</v>
      </c>
      <c r="B19806" s="2" t="str">
        <f>"REGULADOR MANGUEIRA GAS"</f>
        <v>REGULADOR MANGUEIRA GAS</v>
      </c>
      <c r="C19806" s="2" t="str">
        <f t="shared" si="781"/>
        <v>UN</v>
      </c>
      <c r="D19806" s="7">
        <v>918</v>
      </c>
      <c r="E19806" s="3">
        <v>10</v>
      </c>
      <c r="F19806" s="2">
        <v>5</v>
      </c>
      <c r="G19806" t="s">
        <v>514</v>
      </c>
    </row>
    <row r="19807" spans="1:7" x14ac:dyDescent="0.25">
      <c r="A19807" s="1" t="str">
        <f>"516538"</f>
        <v>516538</v>
      </c>
      <c r="B19807" s="2" t="str">
        <f>"REGULADOR PRECISÃO R1/4 NPT 0,06 A 150 PSI"</f>
        <v>REGULADOR PRECISÃO R1/4 NPT 0,06 A 150 PSI</v>
      </c>
      <c r="C19807" s="2" t="str">
        <f t="shared" si="781"/>
        <v>UN</v>
      </c>
      <c r="D19807" s="7">
        <v>913</v>
      </c>
      <c r="E19807" s="3">
        <v>11</v>
      </c>
      <c r="F19807" s="2">
        <v>3</v>
      </c>
      <c r="G19807" t="s">
        <v>514</v>
      </c>
    </row>
    <row r="19808" spans="1:7" x14ac:dyDescent="0.25">
      <c r="A19808" s="1" t="str">
        <f>"505321"</f>
        <v>505321</v>
      </c>
      <c r="B19808" s="2" t="str">
        <f>"REGULADOR PRES.G3/4 0,5-5BAR VAPOR BSP"</f>
        <v>REGULADOR PRES.G3/4 0,5-5BAR VAPOR BSP</v>
      </c>
      <c r="C19808" s="2" t="str">
        <f t="shared" si="781"/>
        <v>UN</v>
      </c>
      <c r="D19808" s="7">
        <v>913</v>
      </c>
      <c r="E19808" s="3">
        <v>11</v>
      </c>
      <c r="F19808" s="2">
        <v>3</v>
      </c>
      <c r="G19808" t="s">
        <v>512</v>
      </c>
    </row>
    <row r="19809" spans="1:7" x14ac:dyDescent="0.25">
      <c r="A19809" s="1" t="str">
        <f>"519540"</f>
        <v>519540</v>
      </c>
      <c r="B19809" s="2" t="str">
        <f>"REGULADOR PRESS. MS6-LR-1/4-D6-VS-DM2 527663"</f>
        <v>REGULADOR PRESS. MS6-LR-1/4-D6-VS-DM2 527663</v>
      </c>
      <c r="C19809" s="2" t="str">
        <f t="shared" si="781"/>
        <v>UN</v>
      </c>
      <c r="D19809" s="7">
        <v>913</v>
      </c>
      <c r="E19809" s="3">
        <v>11</v>
      </c>
      <c r="F19809" s="2">
        <v>2</v>
      </c>
      <c r="G19809" t="s">
        <v>513</v>
      </c>
    </row>
    <row r="19810" spans="1:7" x14ac:dyDescent="0.25">
      <c r="A19810" s="1" t="str">
        <f>"508024"</f>
        <v>508024</v>
      </c>
      <c r="B19810" s="2" t="str">
        <f>"REGULADOR PRESSÃO FESTO 1/4"""</f>
        <v>REGULADOR PRESSÃO FESTO 1/4"</v>
      </c>
      <c r="C19810" s="2" t="str">
        <f t="shared" si="781"/>
        <v>UN</v>
      </c>
      <c r="D19810" s="7">
        <v>913</v>
      </c>
      <c r="E19810" s="3">
        <v>11</v>
      </c>
      <c r="F19810" s="2">
        <v>1</v>
      </c>
      <c r="G19810" t="s">
        <v>514</v>
      </c>
    </row>
    <row r="19811" spans="1:7" x14ac:dyDescent="0.25">
      <c r="A19811" s="1" t="str">
        <f>"527180"</f>
        <v>527180</v>
      </c>
      <c r="B19811" s="2" t="str">
        <f>"REGULADOR PRESSÃO FESTO 1/8 B 151216 B008 0-10BAR 0-145 PSI"</f>
        <v>REGULADOR PRESSÃO FESTO 1/8 B 151216 B008 0-10BAR 0-145 PSI</v>
      </c>
      <c r="C19811" s="2" t="str">
        <f t="shared" si="781"/>
        <v>UN</v>
      </c>
      <c r="D19811" s="7">
        <v>913</v>
      </c>
      <c r="E19811" s="3">
        <v>11</v>
      </c>
      <c r="F19811" s="2">
        <v>4</v>
      </c>
      <c r="G19811" t="s">
        <v>514</v>
      </c>
    </row>
    <row r="19812" spans="1:7" x14ac:dyDescent="0.25">
      <c r="A19812" s="1" t="str">
        <f>"510549"</f>
        <v>510549</v>
      </c>
      <c r="B19812" s="2" t="str">
        <f>"REGULADOR PRESSAO FESTO GR-3/8 B C/ RETENÇÃO 6308"</f>
        <v>REGULADOR PRESSAO FESTO GR-3/8 B C/ RETENÇÃO 6308</v>
      </c>
      <c r="C19812" s="2" t="str">
        <f t="shared" si="781"/>
        <v>UN</v>
      </c>
      <c r="D19812" s="7">
        <v>913</v>
      </c>
      <c r="E19812" s="3">
        <v>11</v>
      </c>
      <c r="F19812" s="2">
        <v>6</v>
      </c>
      <c r="G19812" t="s">
        <v>514</v>
      </c>
    </row>
    <row r="19813" spans="1:7" x14ac:dyDescent="0.25">
      <c r="A19813" s="1" t="str">
        <f>"523176"</f>
        <v>523176</v>
      </c>
      <c r="B19813" s="2" t="str">
        <f>"REGULADOR PRESSÃO LR-1/4-DB-7-MINI 539682"</f>
        <v>REGULADOR PRESSÃO LR-1/4-DB-7-MINI 539682</v>
      </c>
      <c r="C19813" s="2" t="str">
        <f t="shared" si="781"/>
        <v>UN</v>
      </c>
      <c r="D19813" s="7">
        <v>913</v>
      </c>
      <c r="E19813" s="3">
        <v>11</v>
      </c>
      <c r="F19813" s="2">
        <v>8</v>
      </c>
      <c r="G19813" t="s">
        <v>513</v>
      </c>
    </row>
    <row r="19814" spans="1:7" x14ac:dyDescent="0.25">
      <c r="A19814" s="1" t="str">
        <f>"516286"</f>
        <v>516286</v>
      </c>
      <c r="B19814" s="2" t="str">
        <f>"REGULADOR PRESSÃO LR-1/4-D-MINI 159625"</f>
        <v>REGULADOR PRESSÃO LR-1/4-D-MINI 159625</v>
      </c>
      <c r="C19814" s="2" t="str">
        <f t="shared" si="781"/>
        <v>UN</v>
      </c>
      <c r="D19814" s="7">
        <v>913</v>
      </c>
      <c r="E19814" s="3">
        <v>11</v>
      </c>
      <c r="F19814" s="2">
        <v>7</v>
      </c>
      <c r="G19814" t="s">
        <v>512</v>
      </c>
    </row>
    <row r="19815" spans="1:7" x14ac:dyDescent="0.25">
      <c r="A19815" s="1" t="str">
        <f>"522321"</f>
        <v>522321</v>
      </c>
      <c r="B19815" s="8" t="s">
        <v>292</v>
      </c>
      <c r="C19815" s="2" t="str">
        <f t="shared" si="781"/>
        <v>UN</v>
      </c>
      <c r="D19815" s="7">
        <v>913</v>
      </c>
      <c r="E19815" s="3">
        <v>11</v>
      </c>
      <c r="F19815" s="2">
        <v>6</v>
      </c>
      <c r="G19815" t="s">
        <v>513</v>
      </c>
    </row>
    <row r="19816" spans="1:7" x14ac:dyDescent="0.25">
      <c r="A19816" s="1" t="str">
        <f>"505114"</f>
        <v>505114</v>
      </c>
      <c r="B19816" s="2" t="str">
        <f>"REGULADOR PRESSÃO PRECISÃO 1/4 3B"</f>
        <v>REGULADOR PRESSÃO PRECISÃO 1/4 3B</v>
      </c>
      <c r="C19816" s="2" t="str">
        <f t="shared" si="781"/>
        <v>UN</v>
      </c>
      <c r="D19816" s="7">
        <v>918</v>
      </c>
      <c r="E19816" s="3">
        <v>11</v>
      </c>
      <c r="F19816" s="2">
        <v>6</v>
      </c>
      <c r="G19816" t="s">
        <v>514</v>
      </c>
    </row>
    <row r="19817" spans="1:7" x14ac:dyDescent="0.25">
      <c r="A19817" s="1" t="str">
        <f>"505538"</f>
        <v>505538</v>
      </c>
      <c r="B19817" s="2" t="str">
        <f>"REGULADOR PRESSAO RAPIDOX R2 OXIGENIO"</f>
        <v>REGULADOR PRESSAO RAPIDOX R2 OXIGENIO</v>
      </c>
      <c r="C19817" s="2" t="str">
        <f t="shared" si="781"/>
        <v>UN</v>
      </c>
      <c r="D19817" s="7">
        <v>402</v>
      </c>
      <c r="E19817" s="3">
        <v>4</v>
      </c>
      <c r="F19817" s="2">
        <v>2</v>
      </c>
      <c r="G19817" t="s">
        <v>514</v>
      </c>
    </row>
    <row r="19818" spans="1:7" x14ac:dyDescent="0.25">
      <c r="A19818" s="1" t="str">
        <f>"511808"</f>
        <v>511808</v>
      </c>
      <c r="B19818" s="2" t="str">
        <f>"REGULADOR PRESSAO SM 32 OXIGENIO"</f>
        <v>REGULADOR PRESSAO SM 32 OXIGENIO</v>
      </c>
      <c r="C19818" s="2" t="str">
        <f t="shared" si="781"/>
        <v>UN</v>
      </c>
      <c r="D19818" s="7">
        <v>402</v>
      </c>
      <c r="E19818" s="3">
        <v>4</v>
      </c>
      <c r="F19818" s="2">
        <v>1</v>
      </c>
      <c r="G19818" t="s">
        <v>514</v>
      </c>
    </row>
    <row r="19819" spans="1:7" x14ac:dyDescent="0.25">
      <c r="A19819" s="1" t="str">
        <f>"522650"</f>
        <v>522650</v>
      </c>
      <c r="B19819" s="2" t="str">
        <f>"REGULADOR PULSO PEÇA F 9900109047 72 LITROS SEKO"</f>
        <v>REGULADOR PULSO PEÇA F 9900109047 72 LITROS SEKO</v>
      </c>
      <c r="C19819" s="2" t="str">
        <f t="shared" si="781"/>
        <v>UN</v>
      </c>
      <c r="D19819" s="7">
        <v>813</v>
      </c>
      <c r="E19819" s="3">
        <v>11</v>
      </c>
      <c r="F19819" s="2">
        <v>0</v>
      </c>
      <c r="G19819" t="s">
        <v>513</v>
      </c>
    </row>
    <row r="19820" spans="1:7" x14ac:dyDescent="0.25">
      <c r="A19820" s="1" t="str">
        <f>"502461"</f>
        <v>502461</v>
      </c>
      <c r="B19820" s="2" t="str">
        <f>"REGULADOR VOLT FOOM145261"</f>
        <v>REGULADOR VOLT FOOM145261</v>
      </c>
      <c r="C19820" s="2" t="str">
        <f t="shared" si="781"/>
        <v>UN</v>
      </c>
      <c r="D19820" s="7">
        <v>704</v>
      </c>
      <c r="E19820" s="3">
        <v>9</v>
      </c>
      <c r="F19820" s="2">
        <v>0</v>
      </c>
      <c r="G19820" t="s">
        <v>513</v>
      </c>
    </row>
    <row r="19821" spans="1:7" x14ac:dyDescent="0.25">
      <c r="A19821" s="1" t="str">
        <f>"515483"</f>
        <v>515483</v>
      </c>
      <c r="B19821" s="2" t="str">
        <f>"REGULADOR VOLTAGEM"</f>
        <v>REGULADOR VOLTAGEM</v>
      </c>
      <c r="C19821" s="2" t="str">
        <f t="shared" si="781"/>
        <v>UN</v>
      </c>
      <c r="D19821" s="7">
        <v>704</v>
      </c>
      <c r="E19821" s="3">
        <v>9</v>
      </c>
      <c r="F19821" s="2">
        <v>0</v>
      </c>
      <c r="G19821" t="s">
        <v>513</v>
      </c>
    </row>
    <row r="19822" spans="1:7" x14ac:dyDescent="0.25">
      <c r="A19822" s="1" t="str">
        <f>"511190"</f>
        <v>511190</v>
      </c>
      <c r="B19822" s="2" t="str">
        <f>"REGULADOR VOLUME P/ BRASKOP"</f>
        <v>REGULADOR VOLUME P/ BRASKOP</v>
      </c>
      <c r="C19822" s="2" t="str">
        <f t="shared" si="781"/>
        <v>UN</v>
      </c>
      <c r="D19822" s="7">
        <v>918</v>
      </c>
      <c r="E19822" s="3">
        <v>11</v>
      </c>
      <c r="F19822" s="2">
        <v>3</v>
      </c>
      <c r="G19822" t="s">
        <v>512</v>
      </c>
    </row>
    <row r="19823" spans="1:7" x14ac:dyDescent="0.25">
      <c r="A19823" s="1" t="str">
        <f>"517920"</f>
        <v>517920</v>
      </c>
      <c r="B19823" s="2" t="str">
        <f>"REGULAGEM CORTE TRAPP"</f>
        <v>REGULAGEM CORTE TRAPP</v>
      </c>
      <c r="C19823" s="2" t="str">
        <f t="shared" si="781"/>
        <v>UN</v>
      </c>
      <c r="D19823" s="7">
        <v>918</v>
      </c>
      <c r="E19823" s="3">
        <v>11</v>
      </c>
      <c r="F19823" s="5">
        <v>5</v>
      </c>
      <c r="G19823" t="s">
        <v>513</v>
      </c>
    </row>
    <row r="19824" spans="1:7" x14ac:dyDescent="0.25">
      <c r="A19824" s="1" t="str">
        <f>"500007"</f>
        <v>500007</v>
      </c>
      <c r="B19824" s="2" t="str">
        <f>"REJUNTE -  5KG CINZA"</f>
        <v>REJUNTE -  5KG CINZA</v>
      </c>
      <c r="C19824" s="2" t="str">
        <f t="shared" si="781"/>
        <v>UN</v>
      </c>
      <c r="D19824" s="7">
        <v>403</v>
      </c>
      <c r="E19824" s="3">
        <v>4</v>
      </c>
      <c r="F19824" s="2">
        <v>3</v>
      </c>
      <c r="G19824" t="s">
        <v>514</v>
      </c>
    </row>
    <row r="19825" spans="1:7" x14ac:dyDescent="0.25">
      <c r="A19825" s="1" t="str">
        <f>"520934"</f>
        <v>520934</v>
      </c>
      <c r="B19825" s="2" t="str">
        <f>"REJUNTE - KG BEGE"</f>
        <v>REJUNTE - KG BEGE</v>
      </c>
      <c r="C19825" s="2" t="str">
        <f t="shared" si="781"/>
        <v>UN</v>
      </c>
      <c r="D19825" s="7">
        <v>403</v>
      </c>
      <c r="E19825" s="3">
        <v>4</v>
      </c>
      <c r="F19825" s="2">
        <v>8</v>
      </c>
      <c r="G19825" t="s">
        <v>515</v>
      </c>
    </row>
    <row r="19826" spans="1:7" x14ac:dyDescent="0.25">
      <c r="A19826" s="1" t="str">
        <f>"502333"</f>
        <v>502333</v>
      </c>
      <c r="B19826" s="2" t="str">
        <f>"REJUNTE - KG BRANCO"</f>
        <v>REJUNTE - KG BRANCO</v>
      </c>
      <c r="C19826" s="2" t="str">
        <f t="shared" si="781"/>
        <v>UN</v>
      </c>
      <c r="D19826" s="7">
        <v>403</v>
      </c>
      <c r="E19826" s="3">
        <v>4</v>
      </c>
      <c r="F19826" s="2">
        <v>6</v>
      </c>
      <c r="G19826" t="s">
        <v>512</v>
      </c>
    </row>
    <row r="19827" spans="1:7" x14ac:dyDescent="0.25">
      <c r="A19827" s="1" t="str">
        <f>"512537"</f>
        <v>512537</v>
      </c>
      <c r="B19827" s="2" t="str">
        <f>"REJUNTE - KG GRAFITE"</f>
        <v>REJUNTE - KG GRAFITE</v>
      </c>
      <c r="C19827" s="2" t="str">
        <f t="shared" si="781"/>
        <v>UN</v>
      </c>
      <c r="D19827" s="7">
        <v>803</v>
      </c>
      <c r="E19827" s="3">
        <v>10</v>
      </c>
      <c r="F19827" s="2">
        <v>4</v>
      </c>
      <c r="G19827" t="s">
        <v>516</v>
      </c>
    </row>
    <row r="19828" spans="1:7" x14ac:dyDescent="0.25">
      <c r="A19828" s="1" t="str">
        <f>"505651"</f>
        <v>505651</v>
      </c>
      <c r="B19828" s="2" t="str">
        <f>"REJUNTE - KG PRETO"</f>
        <v>REJUNTE - KG PRETO</v>
      </c>
      <c r="C19828" s="2" t="str">
        <f t="shared" si="781"/>
        <v>UN</v>
      </c>
      <c r="D19828" s="7">
        <v>803</v>
      </c>
      <c r="E19828" s="3">
        <v>10</v>
      </c>
      <c r="F19828" s="2">
        <v>1</v>
      </c>
      <c r="G19828" t="s">
        <v>515</v>
      </c>
    </row>
    <row r="19829" spans="1:7" x14ac:dyDescent="0.25">
      <c r="A19829" s="1" t="str">
        <f>"505602"</f>
        <v>505602</v>
      </c>
      <c r="B19829" s="2" t="str">
        <f>"REJUNTE FLEXIVEL 5KG PISCINA"</f>
        <v>REJUNTE FLEXIVEL 5KG PISCINA</v>
      </c>
      <c r="C19829" s="2" t="str">
        <f t="shared" si="781"/>
        <v>UN</v>
      </c>
      <c r="D19829" s="7">
        <v>803</v>
      </c>
      <c r="E19829" s="3">
        <v>10</v>
      </c>
      <c r="F19829" s="2">
        <v>2</v>
      </c>
      <c r="G19829" t="s">
        <v>514</v>
      </c>
    </row>
    <row r="19830" spans="1:7" x14ac:dyDescent="0.25">
      <c r="A19830" s="1" t="str">
        <f>"504156"</f>
        <v>504156</v>
      </c>
      <c r="B19830" s="2" t="str">
        <f>"REJUNTE RESILIT E-CINZA ESCURO"</f>
        <v>REJUNTE RESILIT E-CINZA ESCURO</v>
      </c>
      <c r="C19830" s="2" t="str">
        <f t="shared" si="781"/>
        <v>UN</v>
      </c>
      <c r="D19830" s="7">
        <v>402</v>
      </c>
      <c r="E19830" s="3">
        <v>4</v>
      </c>
      <c r="F19830" s="2">
        <v>7</v>
      </c>
      <c r="G19830" t="s">
        <v>512</v>
      </c>
    </row>
    <row r="19831" spans="1:7" x14ac:dyDescent="0.25">
      <c r="A19831" s="1" t="str">
        <f>"513771"</f>
        <v>513771</v>
      </c>
      <c r="B19831" s="2" t="str">
        <f>"RELATORIO INTERNO DE MANUTENCAO"</f>
        <v>RELATORIO INTERNO DE MANUTENCAO</v>
      </c>
      <c r="C19831" s="2" t="str">
        <f t="shared" si="781"/>
        <v>UN</v>
      </c>
      <c r="D19831" s="7">
        <v>411</v>
      </c>
      <c r="E19831" s="3">
        <v>4</v>
      </c>
      <c r="F19831" s="2">
        <v>9</v>
      </c>
      <c r="G19831" t="s">
        <v>513</v>
      </c>
    </row>
    <row r="19832" spans="1:7" x14ac:dyDescent="0.25">
      <c r="A19832" s="1" t="str">
        <f>"512027"</f>
        <v>512027</v>
      </c>
      <c r="B19832" s="2" t="str">
        <f>"RELE"</f>
        <v>RELE</v>
      </c>
      <c r="C19832" s="2" t="str">
        <f t="shared" si="781"/>
        <v>UN</v>
      </c>
      <c r="D19832" s="7">
        <v>811</v>
      </c>
      <c r="E19832" s="3">
        <v>10</v>
      </c>
      <c r="F19832" s="2">
        <v>0</v>
      </c>
      <c r="G19832" t="s">
        <v>514</v>
      </c>
    </row>
    <row r="19833" spans="1:7" x14ac:dyDescent="0.25">
      <c r="A19833" s="1" t="str">
        <f>"510130"</f>
        <v>510130</v>
      </c>
      <c r="B19833" s="2" t="str">
        <f>"RELE 244"</f>
        <v>RELE 244</v>
      </c>
      <c r="C19833" s="2" t="str">
        <f t="shared" si="781"/>
        <v>UN</v>
      </c>
      <c r="D19833" s="7">
        <v>900</v>
      </c>
      <c r="E19833" s="3">
        <v>11</v>
      </c>
      <c r="F19833" s="2">
        <v>0</v>
      </c>
      <c r="G19833" t="s">
        <v>514</v>
      </c>
    </row>
    <row r="19834" spans="1:7" x14ac:dyDescent="0.25">
      <c r="A19834" s="1" t="str">
        <f>"526735"</f>
        <v>526735</v>
      </c>
      <c r="B19834" s="2" t="str">
        <f>"RELE 24V PHONIX CONTACT 10A/250V~ N° 2961192"</f>
        <v>RELE 24V PHONIX CONTACT 10A/250V~ N° 2961192</v>
      </c>
      <c r="C19834" s="2" t="str">
        <f t="shared" si="781"/>
        <v>UN</v>
      </c>
      <c r="D19834" s="7">
        <v>600</v>
      </c>
      <c r="E19834" s="3">
        <v>8</v>
      </c>
      <c r="F19834" s="2">
        <v>2</v>
      </c>
      <c r="G19834" t="s">
        <v>512</v>
      </c>
    </row>
    <row r="19835" spans="1:7" x14ac:dyDescent="0.25">
      <c r="A19835" s="1" t="str">
        <f>"526036"</f>
        <v>526036</v>
      </c>
      <c r="B19835" s="2" t="str">
        <f>"RELE 24VCC(PLC-RSC-24DC/21)2966171"</f>
        <v>RELE 24VCC(PLC-RSC-24DC/21)2966171</v>
      </c>
      <c r="C19835" s="2" t="str">
        <f t="shared" si="781"/>
        <v>UN</v>
      </c>
      <c r="D19835" s="7">
        <v>811</v>
      </c>
      <c r="E19835" s="3">
        <v>8</v>
      </c>
      <c r="F19835" s="2">
        <v>5</v>
      </c>
      <c r="G19835" t="s">
        <v>513</v>
      </c>
    </row>
    <row r="19836" spans="1:7" x14ac:dyDescent="0.25">
      <c r="A19836" s="1" t="str">
        <f>"511959"</f>
        <v>511959</v>
      </c>
      <c r="B19836" s="2" t="str">
        <f>"RELE 24VDC"</f>
        <v>RELE 24VDC</v>
      </c>
      <c r="C19836" s="2" t="str">
        <f t="shared" si="781"/>
        <v>UN</v>
      </c>
      <c r="D19836" s="7">
        <v>900</v>
      </c>
      <c r="E19836" s="3">
        <v>11</v>
      </c>
      <c r="F19836" s="2">
        <v>6</v>
      </c>
      <c r="G19836" t="s">
        <v>514</v>
      </c>
    </row>
    <row r="19837" spans="1:7" x14ac:dyDescent="0.25">
      <c r="A19837" s="1" t="str">
        <f>"508350"</f>
        <v>508350</v>
      </c>
      <c r="B19837" s="2" t="str">
        <f>"RELE AUXILIAR 12V 30/40A C/ SUPORTE"</f>
        <v>RELE AUXILIAR 12V 30/40A C/ SUPORTE</v>
      </c>
      <c r="C19837" s="2" t="str">
        <f t="shared" si="781"/>
        <v>UN</v>
      </c>
      <c r="D19837" s="7">
        <v>704</v>
      </c>
      <c r="E19837" s="3">
        <v>9</v>
      </c>
      <c r="F19837" s="2">
        <v>9</v>
      </c>
      <c r="G19837" t="s">
        <v>514</v>
      </c>
    </row>
    <row r="19838" spans="1:7" x14ac:dyDescent="0.25">
      <c r="A19838" s="1" t="str">
        <f>"511296"</f>
        <v>511296</v>
      </c>
      <c r="B19838" s="2" t="str">
        <f>"RELE AUXILIAR 40A"</f>
        <v>RELE AUXILIAR 40A</v>
      </c>
      <c r="C19838" s="2" t="str">
        <f t="shared" si="781"/>
        <v>UN</v>
      </c>
      <c r="D19838" s="7">
        <v>600</v>
      </c>
      <c r="E19838" s="3">
        <v>8</v>
      </c>
      <c r="F19838" s="2">
        <v>5</v>
      </c>
      <c r="G19838" t="s">
        <v>514</v>
      </c>
    </row>
    <row r="19839" spans="1:7" x14ac:dyDescent="0.25">
      <c r="A19839" s="1" t="str">
        <f>"511297"</f>
        <v>511297</v>
      </c>
      <c r="B19839" s="2" t="str">
        <f>"RELE AUXILIAR 70A"</f>
        <v>RELE AUXILIAR 70A</v>
      </c>
      <c r="C19839" s="2" t="str">
        <f t="shared" si="781"/>
        <v>UN</v>
      </c>
      <c r="D19839" s="7">
        <v>600</v>
      </c>
      <c r="E19839" s="3">
        <v>8</v>
      </c>
      <c r="F19839" s="2">
        <v>3</v>
      </c>
      <c r="G19839" t="s">
        <v>513</v>
      </c>
    </row>
    <row r="19840" spans="1:7" x14ac:dyDescent="0.25">
      <c r="A19840" s="1" t="str">
        <f>"503164"</f>
        <v>503164</v>
      </c>
      <c r="B19840" s="2" t="str">
        <f>"RELE AUXILIAR UNIVERSAL 40AH (DNI)"</f>
        <v>RELE AUXILIAR UNIVERSAL 40AH (DNI)</v>
      </c>
      <c r="C19840" s="2" t="str">
        <f t="shared" si="781"/>
        <v>UN</v>
      </c>
      <c r="D19840" s="7">
        <v>704</v>
      </c>
      <c r="E19840" s="3">
        <v>9</v>
      </c>
      <c r="F19840" s="2">
        <v>3</v>
      </c>
      <c r="G19840" t="s">
        <v>512</v>
      </c>
    </row>
    <row r="19841" spans="1:7" x14ac:dyDescent="0.25">
      <c r="A19841" s="1" t="str">
        <f>"524864"</f>
        <v>524864</v>
      </c>
      <c r="B19841" s="2" t="str">
        <f>"RELE COM 1NAF 24VCC"</f>
        <v>RELE COM 1NAF 24VCC</v>
      </c>
      <c r="C19841" s="2" t="str">
        <f t="shared" si="781"/>
        <v>UN</v>
      </c>
      <c r="D19841" s="7">
        <v>811</v>
      </c>
      <c r="E19841" s="3">
        <v>8</v>
      </c>
      <c r="F19841" s="2">
        <v>2</v>
      </c>
      <c r="G19841" t="s">
        <v>513</v>
      </c>
    </row>
    <row r="19842" spans="1:7" x14ac:dyDescent="0.25">
      <c r="A19842" s="1" t="str">
        <f>"503115"</f>
        <v>503115</v>
      </c>
      <c r="B19842" s="2" t="str">
        <f>"RELE CONTATO DUPLO 24VDC NA+NF"</f>
        <v>RELE CONTATO DUPLO 24VDC NA+NF</v>
      </c>
      <c r="C19842" s="2" t="str">
        <f t="shared" si="781"/>
        <v>UN</v>
      </c>
      <c r="D19842" s="7">
        <v>600</v>
      </c>
      <c r="E19842" s="3">
        <v>8</v>
      </c>
      <c r="F19842" s="2">
        <v>1</v>
      </c>
      <c r="G19842" t="s">
        <v>514</v>
      </c>
    </row>
    <row r="19843" spans="1:7" x14ac:dyDescent="0.25">
      <c r="A19843" s="1" t="str">
        <f>"503219"</f>
        <v>503219</v>
      </c>
      <c r="B19843" s="2" t="str">
        <f>"RELE CONTATO METALTEX MZ1NAC-5V 5VDC"</f>
        <v>RELE CONTATO METALTEX MZ1NAC-5V 5VDC</v>
      </c>
      <c r="C19843" s="2" t="str">
        <f t="shared" si="781"/>
        <v>UN</v>
      </c>
      <c r="D19843" s="7">
        <v>600</v>
      </c>
      <c r="E19843" s="3">
        <v>8</v>
      </c>
      <c r="F19843" s="2">
        <v>4</v>
      </c>
      <c r="G19843" t="s">
        <v>514</v>
      </c>
    </row>
    <row r="19844" spans="1:7" x14ac:dyDescent="0.25">
      <c r="A19844" s="1" t="str">
        <f>"503330"</f>
        <v>503330</v>
      </c>
      <c r="B19844" s="2" t="str">
        <f>"RELE CONTATO OMRON G6C-2114P TV5"</f>
        <v>RELE CONTATO OMRON G6C-2114P TV5</v>
      </c>
      <c r="C19844" s="2" t="str">
        <f t="shared" si="781"/>
        <v>UN</v>
      </c>
      <c r="D19844" s="7">
        <v>600</v>
      </c>
      <c r="E19844" s="3">
        <v>8</v>
      </c>
      <c r="F19844" s="2">
        <v>1</v>
      </c>
      <c r="G19844" t="s">
        <v>514</v>
      </c>
    </row>
    <row r="19845" spans="1:7" x14ac:dyDescent="0.25">
      <c r="A19845" s="1" t="str">
        <f>"501090"</f>
        <v>501090</v>
      </c>
      <c r="B19845" s="2" t="str">
        <f>"RELE CONTROLE NIVEL MAX. E MIN. NI35W-P 24-240VCA/CC COEL"</f>
        <v>RELE CONTROLE NIVEL MAX. E MIN. NI35W-P 24-240VCA/CC COEL</v>
      </c>
      <c r="C19845" s="2" t="str">
        <f>"PC"</f>
        <v>PC</v>
      </c>
      <c r="D19845" s="7">
        <v>600</v>
      </c>
      <c r="E19845" s="3">
        <v>8</v>
      </c>
      <c r="F19845" s="2">
        <v>2</v>
      </c>
      <c r="G19845" t="s">
        <v>513</v>
      </c>
    </row>
    <row r="19846" spans="1:7" x14ac:dyDescent="0.25">
      <c r="A19846" s="1" t="str">
        <f>"501091"</f>
        <v>501091</v>
      </c>
      <c r="B19846" s="2" t="str">
        <f>"RELE CONTROLE NIVEL MAX. E MIN. NI35W-P 24-240VCA/CC COEL"</f>
        <v>RELE CONTROLE NIVEL MAX. E MIN. NI35W-P 24-240VCA/CC COEL</v>
      </c>
      <c r="C19846" s="2" t="str">
        <f t="shared" ref="C19846:C19862" si="782">"UN"</f>
        <v>UN</v>
      </c>
      <c r="D19846" s="7">
        <v>811</v>
      </c>
      <c r="E19846" s="3">
        <v>8</v>
      </c>
      <c r="F19846" s="2">
        <v>7</v>
      </c>
      <c r="G19846" t="s">
        <v>513</v>
      </c>
    </row>
    <row r="19847" spans="1:7" x14ac:dyDescent="0.25">
      <c r="A19847" s="1" t="str">
        <f>"526107"</f>
        <v>526107</v>
      </c>
      <c r="B19847" s="2" t="str">
        <f>"RELE DE FALTA E INVERSÃO DE FASE"</f>
        <v>RELE DE FALTA E INVERSÃO DE FASE</v>
      </c>
      <c r="C19847" s="2" t="str">
        <f t="shared" si="782"/>
        <v>UN</v>
      </c>
      <c r="D19847" s="7">
        <v>811</v>
      </c>
      <c r="E19847" s="3">
        <v>11</v>
      </c>
      <c r="F19847" s="2">
        <v>9</v>
      </c>
      <c r="G19847" t="s">
        <v>513</v>
      </c>
    </row>
    <row r="19848" spans="1:7" x14ac:dyDescent="0.25">
      <c r="A19848" s="1" t="str">
        <f>"515657"</f>
        <v>515657</v>
      </c>
      <c r="B19848" s="2" t="str">
        <f>"RELE DE INTERFACE SAIDA A RELE"</f>
        <v>RELE DE INTERFACE SAIDA A RELE</v>
      </c>
      <c r="C19848" s="2" t="str">
        <f t="shared" si="782"/>
        <v>UN</v>
      </c>
      <c r="D19848" s="7">
        <v>811</v>
      </c>
      <c r="E19848" s="3">
        <v>8</v>
      </c>
      <c r="F19848" s="2">
        <v>0</v>
      </c>
      <c r="G19848" t="s">
        <v>512</v>
      </c>
    </row>
    <row r="19849" spans="1:7" x14ac:dyDescent="0.25">
      <c r="A19849" s="1" t="str">
        <f>"511668"</f>
        <v>511668</v>
      </c>
      <c r="B19849" s="2" t="str">
        <f>"RELE DE NIVEL INF/SUP 220V"</f>
        <v>RELE DE NIVEL INF/SUP 220V</v>
      </c>
      <c r="C19849" s="2" t="str">
        <f t="shared" si="782"/>
        <v>UN</v>
      </c>
      <c r="D19849" s="7">
        <v>600</v>
      </c>
      <c r="E19849" s="3">
        <v>8</v>
      </c>
      <c r="F19849" s="2">
        <v>0</v>
      </c>
      <c r="G19849" t="s">
        <v>513</v>
      </c>
    </row>
    <row r="19850" spans="1:7" x14ac:dyDescent="0.25">
      <c r="A19850" s="1" t="str">
        <f>"507067"</f>
        <v>507067</v>
      </c>
      <c r="B19850" s="2" t="str">
        <f>"RELE DE NIVEL INFERIOR NAI-220"</f>
        <v>RELE DE NIVEL INFERIOR NAI-220</v>
      </c>
      <c r="C19850" s="2" t="str">
        <f t="shared" si="782"/>
        <v>UN</v>
      </c>
      <c r="D19850" s="7">
        <v>600</v>
      </c>
      <c r="E19850" s="3">
        <v>8</v>
      </c>
      <c r="F19850" s="2">
        <v>4</v>
      </c>
      <c r="G19850" t="s">
        <v>514</v>
      </c>
    </row>
    <row r="19851" spans="1:7" x14ac:dyDescent="0.25">
      <c r="A19851" s="1" t="str">
        <f>"520177"</f>
        <v>520177</v>
      </c>
      <c r="B19851" s="2" t="str">
        <f>"RELE DE NIVEL SUP/INF NI35W-P 24-220VCA/CC COEL"</f>
        <v>RELE DE NIVEL SUP/INF NI35W-P 24-220VCA/CC COEL</v>
      </c>
      <c r="C19851" s="2" t="str">
        <f t="shared" si="782"/>
        <v>UN</v>
      </c>
      <c r="D19851" s="7">
        <v>811</v>
      </c>
      <c r="E19851" s="3">
        <v>11</v>
      </c>
      <c r="F19851" s="2">
        <v>1</v>
      </c>
      <c r="G19851" t="s">
        <v>515</v>
      </c>
    </row>
    <row r="19852" spans="1:7" x14ac:dyDescent="0.25">
      <c r="A19852" s="1" t="str">
        <f>"508963"</f>
        <v>508963</v>
      </c>
      <c r="B19852" s="2" t="str">
        <f>"RELE DE NIVEL SUPERIOR WEG 10318"</f>
        <v>RELE DE NIVEL SUPERIOR WEG 10318</v>
      </c>
      <c r="C19852" s="2" t="str">
        <f t="shared" si="782"/>
        <v>UN</v>
      </c>
      <c r="D19852" s="7">
        <v>600</v>
      </c>
      <c r="E19852" s="3">
        <v>8</v>
      </c>
      <c r="F19852" s="2">
        <v>2</v>
      </c>
      <c r="G19852" t="s">
        <v>512</v>
      </c>
    </row>
    <row r="19853" spans="1:7" x14ac:dyDescent="0.25">
      <c r="A19853" s="1" t="str">
        <f>"520561"</f>
        <v>520561</v>
      </c>
      <c r="B19853" s="2" t="str">
        <f>"RELE DE SEGURANÇA ROCKWELL COD 440CCR3022BBB"</f>
        <v>RELE DE SEGURANÇA ROCKWELL COD 440CCR3022BBB</v>
      </c>
      <c r="C19853" s="2" t="str">
        <f t="shared" si="782"/>
        <v>UN</v>
      </c>
      <c r="D19853" s="7">
        <v>811</v>
      </c>
      <c r="E19853" s="3">
        <v>8</v>
      </c>
      <c r="F19853" s="2">
        <v>7</v>
      </c>
      <c r="G19853" t="s">
        <v>516</v>
      </c>
    </row>
    <row r="19854" spans="1:7" x14ac:dyDescent="0.25">
      <c r="A19854" s="1" t="str">
        <f>"523228"</f>
        <v>523228</v>
      </c>
      <c r="B19854" s="2" t="str">
        <f>"RELE DE SEGURANÇA ROCKWELL COD 440CCR3022BBB"</f>
        <v>RELE DE SEGURANÇA ROCKWELL COD 440CCR3022BBB</v>
      </c>
      <c r="C19854" s="2" t="str">
        <f t="shared" si="782"/>
        <v>UN</v>
      </c>
      <c r="D19854" s="7">
        <v>811</v>
      </c>
      <c r="E19854" s="3">
        <v>8</v>
      </c>
      <c r="F19854" s="2">
        <v>9</v>
      </c>
      <c r="G19854" t="s">
        <v>515</v>
      </c>
    </row>
    <row r="19855" spans="1:7" x14ac:dyDescent="0.25">
      <c r="A19855" s="1" t="str">
        <f>"526500"</f>
        <v>526500</v>
      </c>
      <c r="B19855" s="2" t="str">
        <f>"RELE DE SEGURANÇA SCHMERSAL BNS 36-02/01ZG-R10,0M"</f>
        <v>RELE DE SEGURANÇA SCHMERSAL BNS 36-02/01ZG-R10,0M</v>
      </c>
      <c r="C19855" s="2" t="str">
        <f t="shared" si="782"/>
        <v>UN</v>
      </c>
      <c r="D19855" s="7">
        <v>811</v>
      </c>
      <c r="E19855" s="3">
        <v>11</v>
      </c>
      <c r="F19855" s="5">
        <v>5</v>
      </c>
      <c r="G19855" t="s">
        <v>514</v>
      </c>
    </row>
    <row r="19856" spans="1:7" x14ac:dyDescent="0.25">
      <c r="A19856" s="1" t="str">
        <f>"525175"</f>
        <v>525175</v>
      </c>
      <c r="B19856" s="2" t="str">
        <f>"RELE DE SEGURANÇA SCHMERSAL PROTECT SRB 301 MC"</f>
        <v>RELE DE SEGURANÇA SCHMERSAL PROTECT SRB 301 MC</v>
      </c>
      <c r="C19856" s="2" t="str">
        <f t="shared" si="782"/>
        <v>UN</v>
      </c>
      <c r="D19856" s="7">
        <v>811</v>
      </c>
      <c r="E19856" s="3">
        <v>11</v>
      </c>
      <c r="F19856" s="2">
        <v>3</v>
      </c>
      <c r="G19856" t="s">
        <v>512</v>
      </c>
    </row>
    <row r="19857" spans="1:7" x14ac:dyDescent="0.25">
      <c r="A19857" s="1" t="str">
        <f>"527759"</f>
        <v>527759</v>
      </c>
      <c r="B19857" s="2" t="str">
        <f>"RELE DE SEGURANÇA SCHNEIDER XPSAF-5130"</f>
        <v>RELE DE SEGURANÇA SCHNEIDER XPSAF-5130</v>
      </c>
      <c r="C19857" s="2" t="str">
        <f t="shared" si="782"/>
        <v>UN</v>
      </c>
      <c r="D19857" s="7">
        <v>811</v>
      </c>
      <c r="E19857" s="3">
        <v>11</v>
      </c>
      <c r="F19857" s="2">
        <v>8</v>
      </c>
      <c r="G19857" t="s">
        <v>513</v>
      </c>
    </row>
    <row r="19858" spans="1:7" x14ac:dyDescent="0.25">
      <c r="A19858" s="1" t="str">
        <f>"521396"</f>
        <v>521396</v>
      </c>
      <c r="B19858" s="8" t="s">
        <v>202</v>
      </c>
      <c r="C19858" s="2" t="str">
        <f t="shared" si="782"/>
        <v>UN</v>
      </c>
      <c r="D19858" s="7">
        <v>811</v>
      </c>
      <c r="E19858" s="3">
        <v>8</v>
      </c>
      <c r="F19858" s="2">
        <v>6</v>
      </c>
      <c r="G19858" t="s">
        <v>514</v>
      </c>
    </row>
    <row r="19859" spans="1:7" x14ac:dyDescent="0.25">
      <c r="A19859" s="1" t="str">
        <f>"526044"</f>
        <v>526044</v>
      </c>
      <c r="B19859" s="2" t="str">
        <f>"RELE DE SEGURANÇA SIEMENS 3SK1 111-1AB30 24VCC/CA 3EC-1SC"</f>
        <v>RELE DE SEGURANÇA SIEMENS 3SK1 111-1AB30 24VCC/CA 3EC-1SC</v>
      </c>
      <c r="C19859" s="2" t="str">
        <f t="shared" si="782"/>
        <v>UN</v>
      </c>
      <c r="D19859" s="7">
        <v>811</v>
      </c>
      <c r="E19859" s="3">
        <v>11</v>
      </c>
      <c r="F19859" s="2">
        <v>4</v>
      </c>
      <c r="G19859" t="s">
        <v>514</v>
      </c>
    </row>
    <row r="19860" spans="1:7" x14ac:dyDescent="0.25">
      <c r="A19860" s="1" t="str">
        <f>"527021"</f>
        <v>527021</v>
      </c>
      <c r="B19860" s="2" t="str">
        <f>"RELE DE TEMPO"</f>
        <v>RELE DE TEMPO</v>
      </c>
      <c r="C19860" s="2" t="str">
        <f t="shared" si="782"/>
        <v>UN</v>
      </c>
      <c r="D19860" s="7">
        <v>402</v>
      </c>
      <c r="E19860" s="3">
        <v>4</v>
      </c>
      <c r="F19860" s="2">
        <v>1</v>
      </c>
      <c r="G19860" t="s">
        <v>512</v>
      </c>
    </row>
    <row r="19861" spans="1:7" x14ac:dyDescent="0.25">
      <c r="A19861" s="1" t="str">
        <f>"527144"</f>
        <v>527144</v>
      </c>
      <c r="B19861" s="2" t="str">
        <f>"RELE EST. SOLIDO GEFRAN CODEF000121BR TYPE25/480-0 25A480VA"</f>
        <v>RELE EST. SOLIDO GEFRAN CODEF000121BR TYPE25/480-0 25A480VA</v>
      </c>
      <c r="C19861" s="2" t="str">
        <f t="shared" si="782"/>
        <v>UN</v>
      </c>
      <c r="D19861" s="7">
        <v>600</v>
      </c>
      <c r="E19861" s="3">
        <v>8</v>
      </c>
      <c r="F19861" s="2">
        <v>2</v>
      </c>
      <c r="G19861" t="s">
        <v>513</v>
      </c>
    </row>
    <row r="19862" spans="1:7" x14ac:dyDescent="0.25">
      <c r="A19862" s="1" t="str">
        <f>"515865"</f>
        <v>515865</v>
      </c>
      <c r="B19862" s="2" t="str">
        <f>"RELE ESTADO SOLIDO OMRON G3NA-210B 24-240VAC-10A"</f>
        <v>RELE ESTADO SOLIDO OMRON G3NA-210B 24-240VAC-10A</v>
      </c>
      <c r="C19862" s="2" t="str">
        <f t="shared" si="782"/>
        <v>UN</v>
      </c>
      <c r="D19862" s="7">
        <v>900</v>
      </c>
      <c r="E19862" s="3">
        <v>11</v>
      </c>
      <c r="F19862" s="2">
        <v>7</v>
      </c>
      <c r="G19862" t="s">
        <v>514</v>
      </c>
    </row>
    <row r="19863" spans="1:7" x14ac:dyDescent="0.25">
      <c r="A19863" s="1" t="str">
        <f>"503128"</f>
        <v>503128</v>
      </c>
      <c r="B19863" s="2" t="str">
        <f>"RELE ESTADO SOLIDO TRIFASICO"</f>
        <v>RELE ESTADO SOLIDO TRIFASICO</v>
      </c>
      <c r="C19863" s="2" t="str">
        <f>"PC"</f>
        <v>PC</v>
      </c>
      <c r="D19863" s="7">
        <v>600</v>
      </c>
      <c r="E19863" s="3">
        <v>8</v>
      </c>
      <c r="F19863" s="2">
        <v>9</v>
      </c>
      <c r="G19863" t="s">
        <v>514</v>
      </c>
    </row>
    <row r="19864" spans="1:7" x14ac:dyDescent="0.25">
      <c r="A19864" s="1" t="str">
        <f>"501021"</f>
        <v>501021</v>
      </c>
      <c r="B19864" s="2" t="str">
        <f>"RELE ESTADO SOLIDO ZPV2440 250V 40A 32VC"</f>
        <v>RELE ESTADO SOLIDO ZPV2440 250V 40A 32VC</v>
      </c>
      <c r="C19864" s="2" t="str">
        <f t="shared" ref="C19864:C19878" si="783">"UN"</f>
        <v>UN</v>
      </c>
      <c r="D19864" s="7">
        <v>600</v>
      </c>
      <c r="E19864" s="3">
        <v>8</v>
      </c>
      <c r="F19864" s="2">
        <v>0</v>
      </c>
      <c r="G19864" t="s">
        <v>514</v>
      </c>
    </row>
    <row r="19865" spans="1:7" x14ac:dyDescent="0.25">
      <c r="A19865" s="1" t="str">
        <f>"517673"</f>
        <v>517673</v>
      </c>
      <c r="B19865" s="2" t="str">
        <f>"RELE ESTATICO 900P410010"</f>
        <v>RELE ESTATICO 900P410010</v>
      </c>
      <c r="C19865" s="2" t="str">
        <f t="shared" si="783"/>
        <v>UN</v>
      </c>
      <c r="D19865" s="7">
        <v>918</v>
      </c>
      <c r="E19865" s="3">
        <v>11</v>
      </c>
      <c r="F19865" s="2">
        <v>0</v>
      </c>
      <c r="G19865" t="s">
        <v>513</v>
      </c>
    </row>
    <row r="19866" spans="1:7" x14ac:dyDescent="0.25">
      <c r="A19866" s="1" t="str">
        <f>"518550"</f>
        <v>518550</v>
      </c>
      <c r="B19866" s="2" t="str">
        <f>"RELE FALTA DE FASE 220VCA FFS01MC"</f>
        <v>RELE FALTA DE FASE 220VCA FFS01MC</v>
      </c>
      <c r="C19866" s="2" t="str">
        <f t="shared" si="783"/>
        <v>UN</v>
      </c>
      <c r="D19866" s="7">
        <v>811</v>
      </c>
      <c r="E19866" s="3">
        <v>8</v>
      </c>
      <c r="F19866" s="2">
        <v>2</v>
      </c>
      <c r="G19866" t="s">
        <v>512</v>
      </c>
    </row>
    <row r="19867" spans="1:7" x14ac:dyDescent="0.25">
      <c r="A19867" s="1" t="str">
        <f>"520982"</f>
        <v>520982</v>
      </c>
      <c r="B19867" s="2" t="str">
        <f>"RELE FALTA DE FASE 380V SIEMENS"</f>
        <v>RELE FALTA DE FASE 380V SIEMENS</v>
      </c>
      <c r="C19867" s="2" t="str">
        <f t="shared" si="783"/>
        <v>UN</v>
      </c>
      <c r="D19867" s="7">
        <v>900</v>
      </c>
      <c r="E19867" s="3">
        <v>8</v>
      </c>
      <c r="F19867" s="2">
        <v>5</v>
      </c>
      <c r="G19867" t="s">
        <v>513</v>
      </c>
    </row>
    <row r="19868" spans="1:7" x14ac:dyDescent="0.25">
      <c r="A19868" s="1" t="str">
        <f>"527636"</f>
        <v>527636</v>
      </c>
      <c r="B19868" s="2" t="str">
        <f>"RELE FALTA DE FASE COEL BVF1-P 380V"</f>
        <v>RELE FALTA DE FASE COEL BVF1-P 380V</v>
      </c>
      <c r="C19868" s="2" t="str">
        <f t="shared" si="783"/>
        <v>UN</v>
      </c>
      <c r="D19868" s="7">
        <v>811</v>
      </c>
      <c r="E19868" s="3">
        <v>8</v>
      </c>
      <c r="F19868" s="2">
        <v>6</v>
      </c>
      <c r="G19868" t="s">
        <v>514</v>
      </c>
    </row>
    <row r="19869" spans="1:7" x14ac:dyDescent="0.25">
      <c r="A19869" s="1" t="str">
        <f>"503882"</f>
        <v>503882</v>
      </c>
      <c r="B19869" s="2" t="str">
        <f>"RELE FALTA DE FASE COEL PPNF 380VCA"</f>
        <v>RELE FALTA DE FASE COEL PPNF 380VCA</v>
      </c>
      <c r="C19869" s="2" t="str">
        <f t="shared" si="783"/>
        <v>UN</v>
      </c>
      <c r="D19869" s="7">
        <v>600</v>
      </c>
      <c r="E19869" s="3">
        <v>8</v>
      </c>
      <c r="F19869" s="2">
        <v>9</v>
      </c>
      <c r="G19869" t="s">
        <v>514</v>
      </c>
    </row>
    <row r="19870" spans="1:7" x14ac:dyDescent="0.25">
      <c r="A19870" s="1" t="str">
        <f>"502580"</f>
        <v>502580</v>
      </c>
      <c r="B19870" s="2" t="str">
        <f>"RELE FOTOELETRICO 220V REF. RFR2FS"</f>
        <v>RELE FOTOELETRICO 220V REF. RFR2FS</v>
      </c>
      <c r="C19870" s="2" t="str">
        <f t="shared" si="783"/>
        <v>UN</v>
      </c>
      <c r="D19870" s="7">
        <v>600</v>
      </c>
      <c r="E19870" s="3">
        <v>8</v>
      </c>
      <c r="F19870" s="2">
        <v>5</v>
      </c>
      <c r="G19870" t="s">
        <v>514</v>
      </c>
    </row>
    <row r="19871" spans="1:7" x14ac:dyDescent="0.25">
      <c r="A19871" s="1" t="str">
        <f>"527768"</f>
        <v>527768</v>
      </c>
      <c r="B19871" s="2" t="str">
        <f>"RELE MINIATURA 110V  PHOENIX CONTACT N-2961202"</f>
        <v>RELE MINIATURA 110V  PHOENIX CONTACT N-2961202</v>
      </c>
      <c r="C19871" s="2" t="str">
        <f t="shared" si="783"/>
        <v>UN</v>
      </c>
      <c r="D19871" s="7">
        <v>600</v>
      </c>
      <c r="E19871" s="3">
        <v>8</v>
      </c>
      <c r="F19871" s="2">
        <v>3</v>
      </c>
      <c r="G19871" t="s">
        <v>513</v>
      </c>
    </row>
    <row r="19872" spans="1:7" x14ac:dyDescent="0.25">
      <c r="A19872" s="1" t="str">
        <f>"527531"</f>
        <v>527531</v>
      </c>
      <c r="B19872" s="2" t="str">
        <f>"RELE MINIATURA 220V  PHOENIX CONTACT N-2961422"</f>
        <v>RELE MINIATURA 220V  PHOENIX CONTACT N-2961422</v>
      </c>
      <c r="C19872" s="2" t="str">
        <f t="shared" si="783"/>
        <v>UN</v>
      </c>
      <c r="D19872" s="7">
        <v>600</v>
      </c>
      <c r="E19872" s="3">
        <v>8</v>
      </c>
      <c r="F19872" s="2">
        <v>3</v>
      </c>
      <c r="G19872" t="s">
        <v>513</v>
      </c>
    </row>
    <row r="19873" spans="1:7" x14ac:dyDescent="0.25">
      <c r="A19873" s="1" t="str">
        <f>"523309"</f>
        <v>523309</v>
      </c>
      <c r="B19873" s="2" t="str">
        <f>"RELE MINIATURA 24Vm  REL-MR PHOENIX CONTACT N-2961105"</f>
        <v>RELE MINIATURA 24Vm  REL-MR PHOENIX CONTACT N-2961105</v>
      </c>
      <c r="C19873" s="2" t="str">
        <f t="shared" si="783"/>
        <v>UN</v>
      </c>
      <c r="D19873" s="7">
        <v>600</v>
      </c>
      <c r="E19873" s="3">
        <v>8</v>
      </c>
      <c r="F19873" s="2">
        <v>2</v>
      </c>
      <c r="G19873" t="s">
        <v>513</v>
      </c>
    </row>
    <row r="19874" spans="1:7" x14ac:dyDescent="0.25">
      <c r="A19874" s="1" t="str">
        <f>"525124"</f>
        <v>525124</v>
      </c>
      <c r="B19874" s="2" t="str">
        <f>"RELE MINIATURA 24Vm  REL-MR PHOENIX CONTACT N-2966595"</f>
        <v>RELE MINIATURA 24Vm  REL-MR PHOENIX CONTACT N-2966595</v>
      </c>
      <c r="C19874" s="2" t="str">
        <f t="shared" si="783"/>
        <v>UN</v>
      </c>
      <c r="D19874" s="7">
        <v>600</v>
      </c>
      <c r="E19874" s="3">
        <v>8</v>
      </c>
      <c r="F19874" s="2">
        <v>1</v>
      </c>
      <c r="G19874" t="s">
        <v>512</v>
      </c>
    </row>
    <row r="19875" spans="1:7" x14ac:dyDescent="0.25">
      <c r="A19875" s="1" t="str">
        <f>"511153"</f>
        <v>511153</v>
      </c>
      <c r="B19875" s="2" t="str">
        <f>"RELE MODULO SAIDA CLP OMROM DMAX"</f>
        <v>RELE MODULO SAIDA CLP OMROM DMAX</v>
      </c>
      <c r="C19875" s="2" t="str">
        <f t="shared" si="783"/>
        <v>UN</v>
      </c>
      <c r="D19875" s="7">
        <v>900</v>
      </c>
      <c r="E19875" s="3">
        <v>11</v>
      </c>
      <c r="F19875" s="2">
        <v>4</v>
      </c>
      <c r="G19875" t="s">
        <v>513</v>
      </c>
    </row>
    <row r="19876" spans="1:7" x14ac:dyDescent="0.25">
      <c r="A19876" s="1" t="str">
        <f>"512835"</f>
        <v>512835</v>
      </c>
      <c r="B19876" s="2" t="str">
        <f>"RELE MONOFASICO"</f>
        <v>RELE MONOFASICO</v>
      </c>
      <c r="C19876" s="2" t="str">
        <f t="shared" si="783"/>
        <v>UN</v>
      </c>
      <c r="D19876" s="7">
        <v>918</v>
      </c>
      <c r="E19876" s="3">
        <v>11</v>
      </c>
      <c r="F19876" s="2">
        <v>6</v>
      </c>
      <c r="G19876" t="s">
        <v>514</v>
      </c>
    </row>
    <row r="19877" spans="1:7" x14ac:dyDescent="0.25">
      <c r="A19877" s="1" t="str">
        <f>"515557"</f>
        <v>515557</v>
      </c>
      <c r="B19877" s="2" t="str">
        <f>"RELE NIVEL SUPERIOR SIEMENS"</f>
        <v>RELE NIVEL SUPERIOR SIEMENS</v>
      </c>
      <c r="C19877" s="2" t="str">
        <f t="shared" si="783"/>
        <v>UN</v>
      </c>
      <c r="D19877" s="7">
        <v>811</v>
      </c>
      <c r="E19877" s="3">
        <v>8</v>
      </c>
      <c r="F19877" s="2">
        <v>8</v>
      </c>
      <c r="G19877" t="s">
        <v>515</v>
      </c>
    </row>
    <row r="19878" spans="1:7" x14ac:dyDescent="0.25">
      <c r="A19878" s="1" t="str">
        <f>"511159"</f>
        <v>511159</v>
      </c>
      <c r="B19878" s="2" t="str">
        <f>"RELE NY24W-K 24VDC"</f>
        <v>RELE NY24W-K 24VDC</v>
      </c>
      <c r="C19878" s="2" t="str">
        <f t="shared" si="783"/>
        <v>UN</v>
      </c>
      <c r="D19878" s="7">
        <v>600</v>
      </c>
      <c r="E19878" s="3">
        <v>8</v>
      </c>
      <c r="F19878" s="2">
        <v>7</v>
      </c>
      <c r="G19878" t="s">
        <v>512</v>
      </c>
    </row>
    <row r="19879" spans="1:7" x14ac:dyDescent="0.25">
      <c r="A19879" s="1" t="str">
        <f>"512546"</f>
        <v>512546</v>
      </c>
      <c r="B19879" s="2" t="str">
        <f>"RELE P/ SOQUETE G2R-1-SND DC24(S)"</f>
        <v>RELE P/ SOQUETE G2R-1-SND DC24(S)</v>
      </c>
      <c r="C19879" s="2" t="str">
        <f>"PC"</f>
        <v>PC</v>
      </c>
      <c r="D19879" s="7">
        <v>900</v>
      </c>
      <c r="E19879" s="3">
        <v>11</v>
      </c>
      <c r="F19879" s="2">
        <v>6</v>
      </c>
      <c r="G19879" t="s">
        <v>516</v>
      </c>
    </row>
    <row r="19880" spans="1:7" x14ac:dyDescent="0.25">
      <c r="A19880" s="1" t="str">
        <f>"510189"</f>
        <v>510189</v>
      </c>
      <c r="B19880" s="2" t="str">
        <f>"RELE PARTIDA"</f>
        <v>RELE PARTIDA</v>
      </c>
      <c r="C19880" s="2" t="str">
        <f>"UN"</f>
        <v>UN</v>
      </c>
      <c r="D19880" s="7">
        <v>900</v>
      </c>
      <c r="E19880" s="3">
        <v>11</v>
      </c>
      <c r="F19880" s="2">
        <v>6</v>
      </c>
      <c r="G19880" t="s">
        <v>515</v>
      </c>
    </row>
    <row r="19881" spans="1:7" x14ac:dyDescent="0.25">
      <c r="A19881" s="1" t="str">
        <f>"526518"</f>
        <v>526518</v>
      </c>
      <c r="B19881" s="2" t="str">
        <f>"RELE PHOENIX 1 CONTATO VER. 12VDC"</f>
        <v>RELE PHOENIX 1 CONTATO VER. 12VDC</v>
      </c>
      <c r="C19881" s="2" t="str">
        <f>"UN"</f>
        <v>UN</v>
      </c>
      <c r="D19881" s="7">
        <v>99999</v>
      </c>
      <c r="E19881" s="3">
        <v>99</v>
      </c>
      <c r="F19881" s="2">
        <v>2</v>
      </c>
      <c r="G19881" t="s">
        <v>514</v>
      </c>
    </row>
    <row r="19882" spans="1:7" x14ac:dyDescent="0.25">
      <c r="A19882" s="1" t="str">
        <f>"517715"</f>
        <v>517715</v>
      </c>
      <c r="B19882" s="2" t="str">
        <f>"RELE PROGRAMAVEL WEG CLW-02/20HR-D 3RD 24VCC"</f>
        <v>RELE PROGRAMAVEL WEG CLW-02/20HR-D 3RD 24VCC</v>
      </c>
      <c r="C19882" s="2" t="str">
        <f>"UN"</f>
        <v>UN</v>
      </c>
      <c r="D19882" s="7">
        <v>811</v>
      </c>
      <c r="E19882" s="3">
        <v>8</v>
      </c>
      <c r="F19882" s="2">
        <v>1</v>
      </c>
      <c r="G19882" t="s">
        <v>512</v>
      </c>
    </row>
    <row r="19883" spans="1:7" x14ac:dyDescent="0.25">
      <c r="A19883" s="1" t="str">
        <f>"512478"</f>
        <v>512478</v>
      </c>
      <c r="B19883" s="2" t="str">
        <f>"RELE SAIDA 3A 250VCA P/ E5AK/E5EK"</f>
        <v>RELE SAIDA 3A 250VCA P/ E5AK/E5EK</v>
      </c>
      <c r="C19883" s="2" t="str">
        <f>"PC"</f>
        <v>PC</v>
      </c>
      <c r="D19883" s="7">
        <v>600</v>
      </c>
      <c r="E19883" s="3">
        <v>8</v>
      </c>
      <c r="F19883" s="2">
        <v>0</v>
      </c>
      <c r="G19883" t="s">
        <v>513</v>
      </c>
    </row>
    <row r="19884" spans="1:7" x14ac:dyDescent="0.25">
      <c r="A19884" s="1" t="str">
        <f>"522294"</f>
        <v>522294</v>
      </c>
      <c r="B19884" s="2" t="str">
        <f>"RELE SE SEGURANÇA SIEMENS"</f>
        <v>RELE SE SEGURANÇA SIEMENS</v>
      </c>
      <c r="C19884" s="2" t="str">
        <f>"UN"</f>
        <v>UN</v>
      </c>
      <c r="D19884" s="7">
        <v>811</v>
      </c>
      <c r="E19884" s="3">
        <v>8</v>
      </c>
      <c r="F19884" s="2">
        <v>0</v>
      </c>
      <c r="G19884" t="s">
        <v>514</v>
      </c>
    </row>
    <row r="19885" spans="1:7" x14ac:dyDescent="0.25">
      <c r="A19885" s="1" t="str">
        <f>"525375"</f>
        <v>525375</v>
      </c>
      <c r="B19885" s="2" t="str">
        <f>"RELE SEGURANÇA 24VCA/VCC 2SD SAFETY"</f>
        <v>RELE SEGURANÇA 24VCA/VCC 2SD SAFETY</v>
      </c>
      <c r="C19885" s="2" t="str">
        <f>"PC"</f>
        <v>PC</v>
      </c>
      <c r="D19885" s="7">
        <v>600</v>
      </c>
      <c r="E19885" s="3">
        <v>8</v>
      </c>
      <c r="F19885" s="2">
        <v>0</v>
      </c>
      <c r="G19885" t="s">
        <v>514</v>
      </c>
    </row>
    <row r="19886" spans="1:7" x14ac:dyDescent="0.25">
      <c r="A19886" s="1" t="str">
        <f>"516076"</f>
        <v>516076</v>
      </c>
      <c r="B19886" s="2" t="str">
        <f>"RELE SIE.V6 24RC 12/24VCC 8-E 4-S 6ED1052-1MD00-0BA5/6"</f>
        <v>RELE SIE.V6 24RC 12/24VCC 8-E 4-S 6ED1052-1MD00-0BA5/6</v>
      </c>
      <c r="C19886" s="2" t="str">
        <f t="shared" ref="C19886:C19917" si="784">"UN"</f>
        <v>UN</v>
      </c>
      <c r="D19886" s="7">
        <v>600</v>
      </c>
      <c r="E19886" s="3">
        <v>8</v>
      </c>
      <c r="F19886" s="2">
        <v>3</v>
      </c>
      <c r="G19886" t="s">
        <v>512</v>
      </c>
    </row>
    <row r="19887" spans="1:7" x14ac:dyDescent="0.25">
      <c r="A19887" s="1" t="str">
        <f>"516047"</f>
        <v>516047</v>
      </c>
      <c r="B19887" s="2" t="str">
        <f>"RELE SIE.V6 EXP. DM8 24R 24VCA/VCC 6ED 1055-1HB00-0BA0"</f>
        <v>RELE SIE.V6 EXP. DM8 24R 24VCA/VCC 6ED 1055-1HB00-0BA0</v>
      </c>
      <c r="C19887" s="2" t="str">
        <f t="shared" si="784"/>
        <v>UN</v>
      </c>
      <c r="D19887" s="7">
        <v>99999</v>
      </c>
      <c r="E19887" s="3">
        <v>99</v>
      </c>
      <c r="F19887" s="5">
        <v>5</v>
      </c>
      <c r="G19887" t="s">
        <v>513</v>
      </c>
    </row>
    <row r="19888" spans="1:7" x14ac:dyDescent="0.25">
      <c r="A19888" s="1" t="str">
        <f>"511690"</f>
        <v>511690</v>
      </c>
      <c r="B19888" s="2" t="str">
        <f>"RELE SIEMENS CLP 6ES7214-1AD23-0XB0"</f>
        <v>RELE SIEMENS CLP 6ES7214-1AD23-0XB0</v>
      </c>
      <c r="C19888" s="2" t="str">
        <f t="shared" si="784"/>
        <v>UN</v>
      </c>
      <c r="D19888" s="7">
        <v>600</v>
      </c>
      <c r="E19888" s="3">
        <v>8</v>
      </c>
      <c r="F19888" s="2">
        <v>3</v>
      </c>
      <c r="G19888" t="s">
        <v>514</v>
      </c>
    </row>
    <row r="19889" spans="1:7" x14ac:dyDescent="0.25">
      <c r="A19889" s="1" t="str">
        <f>"514840"</f>
        <v>514840</v>
      </c>
      <c r="B19889" s="2" t="str">
        <f>"RELE SIEMENS EXPANÇÃO 6ED10551HB00"</f>
        <v>RELE SIEMENS EXPANÇÃO 6ED10551HB00</v>
      </c>
      <c r="C19889" s="2" t="str">
        <f t="shared" si="784"/>
        <v>UN</v>
      </c>
      <c r="D19889" s="7">
        <v>811</v>
      </c>
      <c r="E19889" s="3">
        <v>8</v>
      </c>
      <c r="F19889" s="2">
        <v>8</v>
      </c>
      <c r="G19889" t="s">
        <v>514</v>
      </c>
    </row>
    <row r="19890" spans="1:7" x14ac:dyDescent="0.25">
      <c r="A19890" s="1" t="str">
        <f>"516891"</f>
        <v>516891</v>
      </c>
      <c r="B19890" s="2" t="str">
        <f>"RELE SIEMENS EXPANSÃO 6ED10551FB00"</f>
        <v>RELE SIEMENS EXPANSÃO 6ED10551FB00</v>
      </c>
      <c r="C19890" s="2" t="str">
        <f t="shared" si="784"/>
        <v>UN</v>
      </c>
      <c r="D19890" s="7">
        <v>811</v>
      </c>
      <c r="E19890" s="3">
        <v>8</v>
      </c>
      <c r="F19890" s="2">
        <v>6</v>
      </c>
      <c r="G19890" t="s">
        <v>514</v>
      </c>
    </row>
    <row r="19891" spans="1:7" x14ac:dyDescent="0.25">
      <c r="A19891" s="1" t="str">
        <f>"514808"</f>
        <v>514808</v>
      </c>
      <c r="B19891" s="2" t="str">
        <f>"RELE SIEMENS EXPANSÃO LOGO AM2 PT100"</f>
        <v>RELE SIEMENS EXPANSÃO LOGO AM2 PT100</v>
      </c>
      <c r="C19891" s="2" t="str">
        <f t="shared" si="784"/>
        <v>UN</v>
      </c>
      <c r="D19891" s="7">
        <v>811</v>
      </c>
      <c r="E19891" s="3">
        <v>8</v>
      </c>
      <c r="F19891" s="2">
        <v>4</v>
      </c>
      <c r="G19891" t="s">
        <v>513</v>
      </c>
    </row>
    <row r="19892" spans="1:7" x14ac:dyDescent="0.25">
      <c r="A19892" s="1" t="str">
        <f>"517706"</f>
        <v>517706</v>
      </c>
      <c r="B19892" s="2" t="str">
        <f>"RELE SIEMENS EXPANSÃO LOGO RTD PT100"</f>
        <v>RELE SIEMENS EXPANSÃO LOGO RTD PT100</v>
      </c>
      <c r="C19892" s="2" t="str">
        <f t="shared" si="784"/>
        <v>UN</v>
      </c>
      <c r="D19892" s="7">
        <v>811</v>
      </c>
      <c r="E19892" s="3">
        <v>8</v>
      </c>
      <c r="F19892" s="2">
        <v>1</v>
      </c>
      <c r="G19892" t="s">
        <v>512</v>
      </c>
    </row>
    <row r="19893" spans="1:7" x14ac:dyDescent="0.25">
      <c r="A19893" s="1" t="str">
        <f>"516890"</f>
        <v>516890</v>
      </c>
      <c r="B19893" s="2" t="str">
        <f>"RELE SIEMENS LOGO 6ED10521FB00"</f>
        <v>RELE SIEMENS LOGO 6ED10521FB00</v>
      </c>
      <c r="C19893" s="2" t="str">
        <f t="shared" si="784"/>
        <v>UN</v>
      </c>
      <c r="D19893" s="7">
        <v>811</v>
      </c>
      <c r="E19893" s="3">
        <v>8</v>
      </c>
      <c r="F19893" s="2">
        <v>2</v>
      </c>
      <c r="G19893" t="s">
        <v>513</v>
      </c>
    </row>
    <row r="19894" spans="1:7" x14ac:dyDescent="0.25">
      <c r="A19894" s="1" t="str">
        <f>"516466"</f>
        <v>516466</v>
      </c>
      <c r="B19894" s="2" t="str">
        <f>"RELE SIEMENS LOGO 6ED1052-1MD00-0BA6"</f>
        <v>RELE SIEMENS LOGO 6ED1052-1MD00-0BA6</v>
      </c>
      <c r="C19894" s="2" t="str">
        <f t="shared" si="784"/>
        <v>UN</v>
      </c>
      <c r="D19894" s="7">
        <v>811</v>
      </c>
      <c r="E19894" s="3">
        <v>8</v>
      </c>
      <c r="F19894" s="2">
        <v>7</v>
      </c>
      <c r="G19894" t="s">
        <v>514</v>
      </c>
    </row>
    <row r="19895" spans="1:7" x14ac:dyDescent="0.25">
      <c r="A19895" s="1" t="str">
        <f>"516077"</f>
        <v>516077</v>
      </c>
      <c r="B19895" s="2" t="str">
        <f>"RELE SIEMENS LOGO CABO CONEXÃO PC-LOGO 6ED1057-1AA01-0BA0USB"</f>
        <v>RELE SIEMENS LOGO CABO CONEXÃO PC-LOGO 6ED1057-1AA01-0BA0USB</v>
      </c>
      <c r="C19895" s="2" t="str">
        <f t="shared" si="784"/>
        <v>UN</v>
      </c>
      <c r="D19895" s="7">
        <v>600</v>
      </c>
      <c r="E19895" s="3">
        <v>8</v>
      </c>
      <c r="F19895" s="2">
        <v>9</v>
      </c>
      <c r="G19895" t="s">
        <v>514</v>
      </c>
    </row>
    <row r="19896" spans="1:7" x14ac:dyDescent="0.25">
      <c r="A19896" s="1" t="str">
        <f>"518127"</f>
        <v>518127</v>
      </c>
      <c r="B19896" s="2" t="str">
        <f>"RELE SIEMENS LOGO FONTE POWER 4A 24VCC 6EP1332-1SH52"</f>
        <v>RELE SIEMENS LOGO FONTE POWER 4A 24VCC 6EP1332-1SH52</v>
      </c>
      <c r="C19896" s="2" t="str">
        <f t="shared" si="784"/>
        <v>UN</v>
      </c>
      <c r="D19896" s="7">
        <v>811</v>
      </c>
      <c r="E19896" s="3">
        <v>8</v>
      </c>
      <c r="F19896" s="2">
        <v>0</v>
      </c>
      <c r="G19896" t="s">
        <v>514</v>
      </c>
    </row>
    <row r="19897" spans="1:7" x14ac:dyDescent="0.25">
      <c r="A19897" s="1" t="str">
        <f>"514839"</f>
        <v>514839</v>
      </c>
      <c r="B19897" s="2" t="str">
        <f>"RELE SIEMENS LOGO V6 24RC 12/24VCC 8-E-4-5 6ED1052-1MD000BA6"</f>
        <v>RELE SIEMENS LOGO V6 24RC 12/24VCC 8-E-4-5 6ED1052-1MD000BA6</v>
      </c>
      <c r="C19897" s="2" t="str">
        <f t="shared" si="784"/>
        <v>UN</v>
      </c>
      <c r="D19897" s="7">
        <v>811</v>
      </c>
      <c r="E19897" s="3">
        <v>8</v>
      </c>
      <c r="F19897" s="2">
        <v>0</v>
      </c>
      <c r="G19897" t="s">
        <v>513</v>
      </c>
    </row>
    <row r="19898" spans="1:7" x14ac:dyDescent="0.25">
      <c r="A19898" s="1" t="str">
        <f>"504200"</f>
        <v>504200</v>
      </c>
      <c r="B19898" s="2" t="str">
        <f>"RELE SIEMENS LOGO V6 TD DISPLAY TEXTO 6ED1055-4MH00-0BA0"</f>
        <v>RELE SIEMENS LOGO V6 TD DISPLAY TEXTO 6ED1055-4MH00-0BA0</v>
      </c>
      <c r="C19898" s="2" t="str">
        <f t="shared" si="784"/>
        <v>UN</v>
      </c>
      <c r="D19898" s="7">
        <v>811</v>
      </c>
      <c r="E19898" s="3">
        <v>8</v>
      </c>
      <c r="F19898" s="2">
        <v>2</v>
      </c>
      <c r="G19898" t="s">
        <v>513</v>
      </c>
    </row>
    <row r="19899" spans="1:7" x14ac:dyDescent="0.25">
      <c r="A19899" s="1" t="str">
        <f>"527036"</f>
        <v>527036</v>
      </c>
      <c r="B19899" s="2" t="str">
        <f>"RELE SIEMENS LOGO V8-12/24VCC 8E4S 6ED105-1MD00/08-0BA0"</f>
        <v>RELE SIEMENS LOGO V8-12/24VCC 8E4S 6ED105-1MD00/08-0BA0</v>
      </c>
      <c r="C19899" s="2" t="str">
        <f t="shared" si="784"/>
        <v>UN</v>
      </c>
      <c r="D19899" s="7">
        <v>811</v>
      </c>
      <c r="E19899" s="3">
        <v>8</v>
      </c>
      <c r="F19899" s="2">
        <v>5</v>
      </c>
      <c r="G19899" t="s">
        <v>513</v>
      </c>
    </row>
    <row r="19900" spans="1:7" x14ac:dyDescent="0.25">
      <c r="A19900" s="1" t="str">
        <f>"516536"</f>
        <v>516536</v>
      </c>
      <c r="B19900" s="2" t="str">
        <f>"RELE SIEMENS NIVEL INFERIOR 3UG05 02-2XD00 220/380V"</f>
        <v>RELE SIEMENS NIVEL INFERIOR 3UG05 02-2XD00 220/380V</v>
      </c>
      <c r="C19900" s="2" t="str">
        <f t="shared" si="784"/>
        <v>UN</v>
      </c>
      <c r="D19900" s="7">
        <v>811</v>
      </c>
      <c r="E19900" s="3">
        <v>8</v>
      </c>
      <c r="F19900" s="2">
        <v>6</v>
      </c>
      <c r="G19900" t="s">
        <v>512</v>
      </c>
    </row>
    <row r="19901" spans="1:7" x14ac:dyDescent="0.25">
      <c r="A19901" s="1" t="str">
        <f>"516537"</f>
        <v>516537</v>
      </c>
      <c r="B19901" s="2" t="str">
        <f>"RELE SIEMENS NIVEL SUPERIOR 3UG05 02-1XD00 220/380V"</f>
        <v>RELE SIEMENS NIVEL SUPERIOR 3UG05 02-1XD00 220/380V</v>
      </c>
      <c r="C19901" s="2" t="str">
        <f t="shared" si="784"/>
        <v>UN</v>
      </c>
      <c r="D19901" s="7">
        <v>811</v>
      </c>
      <c r="E19901" s="3">
        <v>8</v>
      </c>
      <c r="F19901" s="2">
        <v>9</v>
      </c>
      <c r="G19901" t="s">
        <v>513</v>
      </c>
    </row>
    <row r="19902" spans="1:7" x14ac:dyDescent="0.25">
      <c r="A19902" s="1" t="str">
        <f>"518932"</f>
        <v>518932</v>
      </c>
      <c r="B19902" s="2" t="str">
        <f>"RELE SIEMENS S7-1200 6AV2123-2GB03-0AX0 TOUCH KTP-700"</f>
        <v>RELE SIEMENS S7-1200 6AV2123-2GB03-0AX0 TOUCH KTP-700</v>
      </c>
      <c r="C19902" s="2" t="str">
        <f t="shared" si="784"/>
        <v>UN</v>
      </c>
      <c r="D19902" s="7">
        <v>811</v>
      </c>
      <c r="E19902" s="3">
        <v>8</v>
      </c>
      <c r="F19902" s="2">
        <v>5</v>
      </c>
      <c r="G19902" t="s">
        <v>514</v>
      </c>
    </row>
    <row r="19903" spans="1:7" x14ac:dyDescent="0.25">
      <c r="A19903" s="1" t="str">
        <f>"517914"</f>
        <v>517914</v>
      </c>
      <c r="B19903" s="2" t="str">
        <f>"RELE SIEMENS S7-1200 6AV6647-0AA11-3AX0 TOUCH KTP-400"</f>
        <v>RELE SIEMENS S7-1200 6AV6647-0AA11-3AX0 TOUCH KTP-400</v>
      </c>
      <c r="C19903" s="2" t="str">
        <f t="shared" si="784"/>
        <v>UN</v>
      </c>
      <c r="D19903" s="7">
        <v>811</v>
      </c>
      <c r="E19903" s="3">
        <v>8</v>
      </c>
      <c r="F19903" s="2">
        <v>3</v>
      </c>
      <c r="G19903" t="s">
        <v>515</v>
      </c>
    </row>
    <row r="19904" spans="1:7" x14ac:dyDescent="0.25">
      <c r="A19904" s="1" t="str">
        <f>"516879"</f>
        <v>516879</v>
      </c>
      <c r="B19904" s="2" t="str">
        <f>"RELE SIEMENS S7-1200 6ES7214-1BE30-0XB0 CPU 1214C"</f>
        <v>RELE SIEMENS S7-1200 6ES7214-1BE30-0XB0 CPU 1214C</v>
      </c>
      <c r="C19904" s="2" t="str">
        <f t="shared" si="784"/>
        <v>UN</v>
      </c>
      <c r="D19904" s="7">
        <v>811</v>
      </c>
      <c r="E19904" s="3">
        <v>8</v>
      </c>
      <c r="F19904" s="2">
        <v>3</v>
      </c>
      <c r="G19904" t="s">
        <v>512</v>
      </c>
    </row>
    <row r="19905" spans="1:7" x14ac:dyDescent="0.25">
      <c r="A19905" s="1" t="str">
        <f>"517912"</f>
        <v>517912</v>
      </c>
      <c r="B19905" s="2" t="str">
        <f>"RELE SIEMENS S7-1200 6ES7214-1BG31-0XB0 CPU 1214C"</f>
        <v>RELE SIEMENS S7-1200 6ES7214-1BG31-0XB0 CPU 1214C</v>
      </c>
      <c r="C19905" s="2" t="str">
        <f t="shared" si="784"/>
        <v>UN</v>
      </c>
      <c r="D19905" s="7">
        <v>811</v>
      </c>
      <c r="E19905" s="3">
        <v>8</v>
      </c>
      <c r="F19905" s="2">
        <v>2</v>
      </c>
      <c r="G19905" t="s">
        <v>516</v>
      </c>
    </row>
    <row r="19906" spans="1:7" x14ac:dyDescent="0.25">
      <c r="A19906" s="1" t="str">
        <f>"516880"</f>
        <v>516880</v>
      </c>
      <c r="B19906" s="2" t="str">
        <f>"RELE SIEMENS S7-1200 6ES7221-1BH30-0XB0 SM1221 16E 24VDC"</f>
        <v>RELE SIEMENS S7-1200 6ES7221-1BH30-0XB0 SM1221 16E 24VDC</v>
      </c>
      <c r="C19906" s="2" t="str">
        <f t="shared" si="784"/>
        <v>UN</v>
      </c>
      <c r="D19906" s="7">
        <v>811</v>
      </c>
      <c r="E19906" s="3">
        <v>8</v>
      </c>
      <c r="F19906" s="2">
        <v>1</v>
      </c>
      <c r="G19906" t="s">
        <v>515</v>
      </c>
    </row>
    <row r="19907" spans="1:7" x14ac:dyDescent="0.25">
      <c r="A19907" s="1" t="str">
        <f>"516881"</f>
        <v>516881</v>
      </c>
      <c r="B19907" s="2" t="str">
        <f>"RELE SIEMENS S7-1200 6ES7222-1HF30-0XB0 SM1222 8S 24VDC"</f>
        <v>RELE SIEMENS S7-1200 6ES7222-1HF30-0XB0 SM1222 8S 24VDC</v>
      </c>
      <c r="C19907" s="2" t="str">
        <f t="shared" si="784"/>
        <v>UN</v>
      </c>
      <c r="D19907" s="7">
        <v>811</v>
      </c>
      <c r="E19907" s="3">
        <v>8</v>
      </c>
      <c r="F19907" s="2">
        <v>4</v>
      </c>
      <c r="G19907" t="s">
        <v>514</v>
      </c>
    </row>
    <row r="19908" spans="1:7" x14ac:dyDescent="0.25">
      <c r="A19908" s="1" t="str">
        <f>"518930"</f>
        <v>518930</v>
      </c>
      <c r="B19908" s="2" t="str">
        <f>"RELE SIEMENS S7-1200 6ES7223-1BL32-0XB0 SM 1223 16DI 16DO"</f>
        <v>RELE SIEMENS S7-1200 6ES7223-1BL32-0XB0 SM 1223 16DI 16DO</v>
      </c>
      <c r="C19908" s="2" t="str">
        <f t="shared" si="784"/>
        <v>UN</v>
      </c>
      <c r="D19908" s="7">
        <v>811</v>
      </c>
      <c r="E19908" s="3">
        <v>8</v>
      </c>
      <c r="F19908" s="2">
        <v>1</v>
      </c>
      <c r="G19908" t="s">
        <v>512</v>
      </c>
    </row>
    <row r="19909" spans="1:7" x14ac:dyDescent="0.25">
      <c r="A19909" s="1" t="str">
        <f>"517413"</f>
        <v>517413</v>
      </c>
      <c r="B19909" s="2" t="str">
        <f>"RELE SIEMENS S7-1200 6ES7231-4HD30-0XB0 SM12314E 13 BITS 10V"</f>
        <v>RELE SIEMENS S7-1200 6ES7231-4HD30-0XB0 SM12314E 13 BITS 10V</v>
      </c>
      <c r="C19909" s="2" t="str">
        <f t="shared" si="784"/>
        <v>UN</v>
      </c>
      <c r="D19909" s="7">
        <v>811</v>
      </c>
      <c r="E19909" s="3">
        <v>8</v>
      </c>
      <c r="F19909" s="2">
        <v>2</v>
      </c>
      <c r="G19909" t="s">
        <v>513</v>
      </c>
    </row>
    <row r="19910" spans="1:7" x14ac:dyDescent="0.25">
      <c r="A19910" s="1" t="str">
        <f>"517093"</f>
        <v>517093</v>
      </c>
      <c r="B19910" s="2" t="str">
        <f>"RELE SIEMENS S7-1200 6ES7231-5PD30OXB0 SM1231 4AI RTD"</f>
        <v>RELE SIEMENS S7-1200 6ES7231-5PD30OXB0 SM1231 4AI RTD</v>
      </c>
      <c r="C19910" s="2" t="str">
        <f t="shared" si="784"/>
        <v>UN</v>
      </c>
      <c r="D19910" s="7">
        <v>811</v>
      </c>
      <c r="E19910" s="3">
        <v>8</v>
      </c>
      <c r="F19910" s="2">
        <v>7</v>
      </c>
      <c r="G19910" t="s">
        <v>514</v>
      </c>
    </row>
    <row r="19911" spans="1:7" x14ac:dyDescent="0.25">
      <c r="A19911" s="1" t="str">
        <f>"519029"</f>
        <v>519029</v>
      </c>
      <c r="B19911" s="2" t="str">
        <f>"RELE SIEMENS S7-1200 6ES7231-5PF32-0XB0 RTD 8 AI"</f>
        <v>RELE SIEMENS S7-1200 6ES7231-5PF32-0XB0 RTD 8 AI</v>
      </c>
      <c r="C19911" s="2" t="str">
        <f t="shared" si="784"/>
        <v>UN</v>
      </c>
      <c r="D19911" s="7">
        <v>811</v>
      </c>
      <c r="E19911" s="3">
        <v>8</v>
      </c>
      <c r="F19911" s="2">
        <v>9</v>
      </c>
      <c r="G19911" t="s">
        <v>514</v>
      </c>
    </row>
    <row r="19912" spans="1:7" x14ac:dyDescent="0.25">
      <c r="A19912" s="1" t="str">
        <f>"516950"</f>
        <v>516950</v>
      </c>
      <c r="B19912" s="2" t="str">
        <f>"RELE SIEMENS S7-1200 6ES7232-4HD30-0XB0 SM1232 4S14BITS 10V"</f>
        <v>RELE SIEMENS S7-1200 6ES7232-4HD30-0XB0 SM1232 4S14BITS 10V</v>
      </c>
      <c r="C19912" s="2" t="str">
        <f t="shared" si="784"/>
        <v>UN</v>
      </c>
      <c r="D19912" s="7">
        <v>811</v>
      </c>
      <c r="E19912" s="3">
        <v>8</v>
      </c>
      <c r="F19912" s="2">
        <v>0</v>
      </c>
      <c r="G19912" t="s">
        <v>512</v>
      </c>
    </row>
    <row r="19913" spans="1:7" x14ac:dyDescent="0.25">
      <c r="A19913" s="1" t="str">
        <f>"517151"</f>
        <v>517151</v>
      </c>
      <c r="B19913" s="2" t="str">
        <f>"RELE SIEMENS S7200 6ES7223-1BL22-0XA0 EM223 16E-16S 24VDC"</f>
        <v>RELE SIEMENS S7200 6ES7223-1BL22-0XA0 EM223 16E-16S 24VDC</v>
      </c>
      <c r="C19913" s="2" t="str">
        <f t="shared" si="784"/>
        <v>UN</v>
      </c>
      <c r="D19913" s="7">
        <v>811</v>
      </c>
      <c r="E19913" s="3">
        <v>8</v>
      </c>
      <c r="F19913" s="2">
        <v>0</v>
      </c>
      <c r="G19913" t="s">
        <v>513</v>
      </c>
    </row>
    <row r="19914" spans="1:7" x14ac:dyDescent="0.25">
      <c r="A19914" s="1" t="str">
        <f>"525235"</f>
        <v>525235</v>
      </c>
      <c r="B19914" s="2" t="str">
        <f>"RELE SIEMENS S7200 6ES7235-0KD22-0XA0 EM235 4E-01S MOD. ANAL"</f>
        <v>RELE SIEMENS S7200 6ES7235-0KD22-0XA0 EM235 4E-01S MOD. ANAL</v>
      </c>
      <c r="C19914" s="2" t="str">
        <f t="shared" si="784"/>
        <v>UN</v>
      </c>
      <c r="D19914" s="7">
        <v>811</v>
      </c>
      <c r="E19914" s="3">
        <v>10</v>
      </c>
      <c r="F19914" s="2">
        <v>4</v>
      </c>
      <c r="G19914" t="s">
        <v>514</v>
      </c>
    </row>
    <row r="19915" spans="1:7" x14ac:dyDescent="0.25">
      <c r="A19915" s="1" t="str">
        <f>"522554"</f>
        <v>522554</v>
      </c>
      <c r="B19915" s="2" t="str">
        <f>"RELE SIEMENS S7200 CABO INTELI.USB/PPI 5M 6ES7901-3DB30-0XA0"</f>
        <v>RELE SIEMENS S7200 CABO INTELI.USB/PPI 5M 6ES7901-3DB30-0XA0</v>
      </c>
      <c r="C19915" s="2" t="str">
        <f t="shared" si="784"/>
        <v>UN</v>
      </c>
      <c r="D19915" s="7">
        <v>811</v>
      </c>
      <c r="E19915" s="3">
        <v>10</v>
      </c>
      <c r="F19915" s="2">
        <v>1</v>
      </c>
      <c r="G19915" t="s">
        <v>514</v>
      </c>
    </row>
    <row r="19916" spans="1:7" x14ac:dyDescent="0.25">
      <c r="A19916" s="1" t="str">
        <f>"517117"</f>
        <v>517117</v>
      </c>
      <c r="B19916" s="2" t="str">
        <f>"RELE SIEMENS S7200 CABO INTELIG. RS232/PPI5M 6ES7901CB300XA0"</f>
        <v>RELE SIEMENS S7200 CABO INTELIG. RS232/PPI5M 6ES7901CB300XA0</v>
      </c>
      <c r="C19916" s="2" t="str">
        <f t="shared" si="784"/>
        <v>UN</v>
      </c>
      <c r="D19916" s="7">
        <v>811</v>
      </c>
      <c r="E19916" s="3">
        <v>8</v>
      </c>
      <c r="F19916" s="2">
        <v>2</v>
      </c>
      <c r="G19916" t="s">
        <v>514</v>
      </c>
    </row>
    <row r="19917" spans="1:7" x14ac:dyDescent="0.25">
      <c r="A19917" s="1" t="str">
        <f>"518931"</f>
        <v>518931</v>
      </c>
      <c r="B19917" s="2" t="str">
        <f>"RELE SIEMENS SCALANCE 6GK5008-0BA00-1AB2 XB008"</f>
        <v>RELE SIEMENS SCALANCE 6GK5008-0BA00-1AB2 XB008</v>
      </c>
      <c r="C19917" s="2" t="str">
        <f t="shared" si="784"/>
        <v>UN</v>
      </c>
      <c r="D19917" s="7">
        <v>811</v>
      </c>
      <c r="E19917" s="3">
        <v>8</v>
      </c>
      <c r="F19917" s="2">
        <v>7</v>
      </c>
      <c r="G19917" t="s">
        <v>513</v>
      </c>
    </row>
    <row r="19918" spans="1:7" x14ac:dyDescent="0.25">
      <c r="A19918" s="1" t="str">
        <f>"519180"</f>
        <v>519180</v>
      </c>
      <c r="B19918" s="2" t="str">
        <f>"RELE SIEMENS SUPERVISOR TENSÃO MONO 3UG06 31-1AN30 220VCA"</f>
        <v>RELE SIEMENS SUPERVISOR TENSÃO MONO 3UG06 31-1AN30 220VCA</v>
      </c>
      <c r="C19918" s="2" t="str">
        <f t="shared" ref="C19918:C19944" si="785">"UN"</f>
        <v>UN</v>
      </c>
      <c r="D19918" s="7">
        <v>811</v>
      </c>
      <c r="E19918" s="3">
        <v>8</v>
      </c>
      <c r="F19918" s="2">
        <v>9</v>
      </c>
      <c r="G19918" t="s">
        <v>512</v>
      </c>
    </row>
    <row r="19919" spans="1:7" x14ac:dyDescent="0.25">
      <c r="A19919" s="1" t="str">
        <f>"526667"</f>
        <v>526667</v>
      </c>
      <c r="B19919" s="2" t="str">
        <f>"RELE SIEMENS TRI INVER FASE 380V 3UG05 12 2AQ01"</f>
        <v>RELE SIEMENS TRI INVER FASE 380V 3UG05 12 2AQ01</v>
      </c>
      <c r="C19919" s="2" t="str">
        <f t="shared" si="785"/>
        <v>UN</v>
      </c>
      <c r="D19919" s="7">
        <v>811</v>
      </c>
      <c r="E19919" s="3">
        <v>8</v>
      </c>
      <c r="F19919" s="2">
        <v>0</v>
      </c>
      <c r="G19919" t="s">
        <v>513</v>
      </c>
    </row>
    <row r="19920" spans="1:7" x14ac:dyDescent="0.25">
      <c r="A19920" s="1" t="str">
        <f>"526043"</f>
        <v>526043</v>
      </c>
      <c r="B19920" s="2" t="str">
        <f>"RELE SIEMENS TRIFASICO 3UG05 12-1BQ00"</f>
        <v>RELE SIEMENS TRIFASICO 3UG05 12-1BQ00</v>
      </c>
      <c r="C19920" s="2" t="str">
        <f t="shared" si="785"/>
        <v>UN</v>
      </c>
      <c r="D19920" s="7">
        <v>811</v>
      </c>
      <c r="E19920" s="3">
        <v>8</v>
      </c>
      <c r="F19920" s="2">
        <v>0</v>
      </c>
      <c r="G19920" t="s">
        <v>514</v>
      </c>
    </row>
    <row r="19921" spans="1:7" x14ac:dyDescent="0.25">
      <c r="A19921" s="1" t="str">
        <f>"509988"</f>
        <v>509988</v>
      </c>
      <c r="B19921" s="2" t="str">
        <f>"RELE SOBRECARGA RW 27 1D 3 10-15A WEG"</f>
        <v>RELE SOBRECARGA RW 27 1D 3 10-15A WEG</v>
      </c>
      <c r="C19921" s="2" t="str">
        <f t="shared" si="785"/>
        <v>UN</v>
      </c>
      <c r="D19921" s="7">
        <v>600</v>
      </c>
      <c r="E19921" s="3">
        <v>8</v>
      </c>
      <c r="F19921" s="2">
        <v>2</v>
      </c>
      <c r="G19921" t="s">
        <v>514</v>
      </c>
    </row>
    <row r="19922" spans="1:7" x14ac:dyDescent="0.25">
      <c r="A19922" s="1" t="str">
        <f>"519130"</f>
        <v>519130</v>
      </c>
      <c r="B19922" s="2" t="str">
        <f>"RELE SOBRECARGA RW 27 1D 3 10-15A WEG"</f>
        <v>RELE SOBRECARGA RW 27 1D 3 10-15A WEG</v>
      </c>
      <c r="C19922" s="2" t="str">
        <f t="shared" si="785"/>
        <v>UN</v>
      </c>
      <c r="D19922" s="7">
        <v>600</v>
      </c>
      <c r="E19922" s="3">
        <v>8</v>
      </c>
      <c r="F19922" s="2">
        <v>5</v>
      </c>
      <c r="G19922" t="s">
        <v>514</v>
      </c>
    </row>
    <row r="19923" spans="1:7" x14ac:dyDescent="0.25">
      <c r="A19923" s="1" t="str">
        <f>"510679"</f>
        <v>510679</v>
      </c>
      <c r="B19923" s="2" t="str">
        <f>"RELE SOBRECARGA RW 27 1D 3 4-6,3A WEG"</f>
        <v>RELE SOBRECARGA RW 27 1D 3 4-6,3A WEG</v>
      </c>
      <c r="C19923" s="2" t="str">
        <f t="shared" si="785"/>
        <v>UN</v>
      </c>
      <c r="D19923" s="7">
        <v>600</v>
      </c>
      <c r="E19923" s="3">
        <v>8</v>
      </c>
      <c r="F19923" s="2">
        <v>0</v>
      </c>
      <c r="G19923" t="s">
        <v>513</v>
      </c>
    </row>
    <row r="19924" spans="1:7" x14ac:dyDescent="0.25">
      <c r="A19924" s="1" t="str">
        <f>"508550"</f>
        <v>508550</v>
      </c>
      <c r="B19924" s="2" t="str">
        <f>"RELE SOBRECARGA RW 27 1D3 22-32A WEG"</f>
        <v>RELE SOBRECARGA RW 27 1D3 22-32A WEG</v>
      </c>
      <c r="C19924" s="2" t="str">
        <f t="shared" si="785"/>
        <v>UN</v>
      </c>
      <c r="D19924" s="7">
        <v>811</v>
      </c>
      <c r="E19924" s="3">
        <v>8</v>
      </c>
      <c r="F19924" s="2">
        <v>2</v>
      </c>
      <c r="G19924" t="s">
        <v>513</v>
      </c>
    </row>
    <row r="19925" spans="1:7" x14ac:dyDescent="0.25">
      <c r="A19925" s="1" t="str">
        <f>"510142"</f>
        <v>510142</v>
      </c>
      <c r="B19925" s="2" t="str">
        <f>"RELE SOBRECARGA TELEMECANIC LR2K0308"</f>
        <v>RELE SOBRECARGA TELEMECANIC LR2K0308</v>
      </c>
      <c r="C19925" s="2" t="str">
        <f t="shared" si="785"/>
        <v>UN</v>
      </c>
      <c r="D19925" s="7">
        <v>600</v>
      </c>
      <c r="E19925" s="3">
        <v>8</v>
      </c>
      <c r="F19925" s="2">
        <v>5</v>
      </c>
      <c r="G19925" t="s">
        <v>513</v>
      </c>
    </row>
    <row r="19926" spans="1:7" x14ac:dyDescent="0.25">
      <c r="A19926" s="1" t="str">
        <f>"517960"</f>
        <v>517960</v>
      </c>
      <c r="B19926" s="2" t="str">
        <f>"RELE TEMP ALTRONICS 25,0 A 32,0 A"</f>
        <v>RELE TEMP ALTRONICS 25,0 A 32,0 A</v>
      </c>
      <c r="C19926" s="2" t="str">
        <f t="shared" si="785"/>
        <v>UN</v>
      </c>
      <c r="D19926" s="7">
        <v>811</v>
      </c>
      <c r="E19926" s="3">
        <v>8</v>
      </c>
      <c r="F19926" s="5">
        <v>5</v>
      </c>
      <c r="G19926" t="s">
        <v>512</v>
      </c>
    </row>
    <row r="19927" spans="1:7" x14ac:dyDescent="0.25">
      <c r="A19927" s="1" t="str">
        <f>"500734"</f>
        <v>500734</v>
      </c>
      <c r="B19927" s="2" t="str">
        <f>"RELE TEMPERATURA FH/1 300G 220V"</f>
        <v>RELE TEMPERATURA FH/1 300G 220V</v>
      </c>
      <c r="C19927" s="2" t="str">
        <f t="shared" si="785"/>
        <v>UN</v>
      </c>
      <c r="D19927" s="7">
        <v>600</v>
      </c>
      <c r="E19927" s="3">
        <v>8</v>
      </c>
      <c r="F19927" s="2">
        <v>3</v>
      </c>
      <c r="G19927" t="s">
        <v>513</v>
      </c>
    </row>
    <row r="19928" spans="1:7" x14ac:dyDescent="0.25">
      <c r="A19928" s="1" t="str">
        <f>"517015"</f>
        <v>517015</v>
      </c>
      <c r="B19928" s="2" t="str">
        <f>"RELE TEMPERATURA MT511RJ / MT622RI 220V 0-600G FULL GAUGE"</f>
        <v>RELE TEMPERATURA MT511RJ / MT622RI 220V 0-600G FULL GAUGE</v>
      </c>
      <c r="C19928" s="2" t="str">
        <f t="shared" si="785"/>
        <v>UN</v>
      </c>
      <c r="D19928" s="7">
        <v>811</v>
      </c>
      <c r="E19928" s="3">
        <v>8</v>
      </c>
      <c r="F19928" s="2">
        <v>8</v>
      </c>
      <c r="G19928" t="s">
        <v>514</v>
      </c>
    </row>
    <row r="19929" spans="1:7" x14ac:dyDescent="0.25">
      <c r="A19929" s="1" t="str">
        <f>"503185"</f>
        <v>503185</v>
      </c>
      <c r="B19929" s="2" t="str">
        <f>"RELE TEMPO 0,3 A 15 SEG 220V / 24V COEL"</f>
        <v>RELE TEMPO 0,3 A 15 SEG 220V / 24V COEL</v>
      </c>
      <c r="C19929" s="2" t="str">
        <f t="shared" si="785"/>
        <v>UN</v>
      </c>
      <c r="D19929" s="7">
        <v>600</v>
      </c>
      <c r="E19929" s="3">
        <v>8</v>
      </c>
      <c r="F19929" s="2">
        <v>6</v>
      </c>
      <c r="G19929" t="s">
        <v>515</v>
      </c>
    </row>
    <row r="19930" spans="1:7" x14ac:dyDescent="0.25">
      <c r="A19930" s="1" t="str">
        <f>"506151"</f>
        <v>506151</v>
      </c>
      <c r="B19930" s="2" t="str">
        <f>"RELE TEMPO 7PU0511 1AN-60 220V"</f>
        <v>RELE TEMPO 7PU0511 1AN-60 220V</v>
      </c>
      <c r="C19930" s="2" t="str">
        <f t="shared" si="785"/>
        <v>UN</v>
      </c>
      <c r="D19930" s="7">
        <v>600</v>
      </c>
      <c r="E19930" s="3">
        <v>8</v>
      </c>
      <c r="F19930" s="2">
        <v>4</v>
      </c>
      <c r="G19930" t="s">
        <v>512</v>
      </c>
    </row>
    <row r="19931" spans="1:7" x14ac:dyDescent="0.25">
      <c r="A19931" s="1" t="str">
        <f>"511044"</f>
        <v>511044</v>
      </c>
      <c r="B19931" s="2" t="str">
        <f>"RELE TEMPO AE 6MIN 220V - COEL"</f>
        <v>RELE TEMPO AE 6MIN 220V - COEL</v>
      </c>
      <c r="C19931" s="2" t="str">
        <f t="shared" si="785"/>
        <v>UN</v>
      </c>
      <c r="D19931" s="7">
        <v>600</v>
      </c>
      <c r="E19931" s="3">
        <v>8</v>
      </c>
      <c r="F19931" s="2">
        <v>1</v>
      </c>
      <c r="G19931" t="s">
        <v>516</v>
      </c>
    </row>
    <row r="19932" spans="1:7" x14ac:dyDescent="0.25">
      <c r="A19932" s="1" t="str">
        <f>"503493"</f>
        <v>503493</v>
      </c>
      <c r="B19932" s="2" t="str">
        <f>"RELE TEMPO COEL 1,5-15MIN 220V / 24V"</f>
        <v>RELE TEMPO COEL 1,5-15MIN 220V / 24V</v>
      </c>
      <c r="C19932" s="2" t="str">
        <f t="shared" si="785"/>
        <v>UN</v>
      </c>
      <c r="D19932" s="7">
        <v>600</v>
      </c>
      <c r="E19932" s="3">
        <v>8</v>
      </c>
      <c r="F19932" s="2">
        <v>2</v>
      </c>
      <c r="G19932" t="s">
        <v>515</v>
      </c>
    </row>
    <row r="19933" spans="1:7" x14ac:dyDescent="0.25">
      <c r="A19933" s="1" t="str">
        <f>"511793"</f>
        <v>511793</v>
      </c>
      <c r="B19933" s="2" t="str">
        <f>"RELE TEMPO COM RETARDO/ PULSO 24VCA30SEG A 1 HR"</f>
        <v>RELE TEMPO COM RETARDO/ PULSO 24VCA30SEG A 1 HR</v>
      </c>
      <c r="C19933" s="2" t="str">
        <f t="shared" si="785"/>
        <v>UN</v>
      </c>
      <c r="D19933" s="7">
        <v>600</v>
      </c>
      <c r="E19933" s="3">
        <v>8</v>
      </c>
      <c r="F19933" s="2">
        <v>7</v>
      </c>
      <c r="G19933" t="s">
        <v>514</v>
      </c>
    </row>
    <row r="19934" spans="1:7" x14ac:dyDescent="0.25">
      <c r="A19934" s="1" t="str">
        <f>"517963"</f>
        <v>517963</v>
      </c>
      <c r="B19934" s="2" t="str">
        <f>"RELE TEMPO WEG 0 A 60 SEG."</f>
        <v>RELE TEMPO WEG 0 A 60 SEG.</v>
      </c>
      <c r="C19934" s="2" t="str">
        <f t="shared" si="785"/>
        <v>UN</v>
      </c>
      <c r="D19934" s="7">
        <v>811</v>
      </c>
      <c r="E19934" s="3">
        <v>8</v>
      </c>
      <c r="F19934" s="2">
        <v>9</v>
      </c>
      <c r="G19934" t="s">
        <v>512</v>
      </c>
    </row>
    <row r="19935" spans="1:7" x14ac:dyDescent="0.25">
      <c r="A19935" s="1" t="str">
        <f>"517646"</f>
        <v>517646</v>
      </c>
      <c r="B19935" s="2" t="str">
        <f>"RELE TEMPORIZADOR COM RETARDO 24V / 220V 1 A 30SEG"</f>
        <v>RELE TEMPORIZADOR COM RETARDO 24V / 220V 1 A 30SEG</v>
      </c>
      <c r="C19935" s="2" t="str">
        <f t="shared" si="785"/>
        <v>UN</v>
      </c>
      <c r="D19935" s="7">
        <v>811</v>
      </c>
      <c r="E19935" s="3">
        <v>8</v>
      </c>
      <c r="F19935" s="2">
        <v>0</v>
      </c>
      <c r="G19935" t="s">
        <v>513</v>
      </c>
    </row>
    <row r="19936" spans="1:7" x14ac:dyDescent="0.25">
      <c r="A19936" s="1" t="str">
        <f>"511295"</f>
        <v>511295</v>
      </c>
      <c r="B19936" s="2" t="str">
        <f>"RELE TERMICO 5,6 A 8"</f>
        <v>RELE TERMICO 5,6 A 8</v>
      </c>
      <c r="C19936" s="2" t="str">
        <f t="shared" si="785"/>
        <v>UN</v>
      </c>
      <c r="D19936" s="7">
        <v>600</v>
      </c>
      <c r="E19936" s="3">
        <v>8</v>
      </c>
      <c r="F19936" s="2">
        <v>0</v>
      </c>
      <c r="G19936" t="s">
        <v>514</v>
      </c>
    </row>
    <row r="19937" spans="1:7" x14ac:dyDescent="0.25">
      <c r="A19937" s="1" t="str">
        <f>"504191"</f>
        <v>504191</v>
      </c>
      <c r="B19937" s="2" t="str">
        <f>"RELE TERMICO REF.LR2-K0308"</f>
        <v>RELE TERMICO REF.LR2-K0308</v>
      </c>
      <c r="C19937" s="2" t="str">
        <f t="shared" si="785"/>
        <v>UN</v>
      </c>
      <c r="D19937" s="7">
        <v>600</v>
      </c>
      <c r="E19937" s="3">
        <v>8</v>
      </c>
      <c r="F19937" s="2">
        <v>2</v>
      </c>
      <c r="G19937" t="s">
        <v>514</v>
      </c>
    </row>
    <row r="19938" spans="1:7" x14ac:dyDescent="0.25">
      <c r="A19938" s="1" t="str">
        <f>"504193"</f>
        <v>504193</v>
      </c>
      <c r="B19938" s="2" t="str">
        <f>"RELE TERMICO REF.LR2-K0310"</f>
        <v>RELE TERMICO REF.LR2-K0310</v>
      </c>
      <c r="C19938" s="2" t="str">
        <f t="shared" si="785"/>
        <v>UN</v>
      </c>
      <c r="D19938" s="7">
        <v>600</v>
      </c>
      <c r="E19938" s="3">
        <v>8</v>
      </c>
      <c r="F19938" s="2">
        <v>5</v>
      </c>
      <c r="G19938" t="s">
        <v>512</v>
      </c>
    </row>
    <row r="19939" spans="1:7" x14ac:dyDescent="0.25">
      <c r="A19939" s="1" t="str">
        <f>"504194"</f>
        <v>504194</v>
      </c>
      <c r="B19939" s="2" t="str">
        <f>"RELE TERMICO REF.LR2-K0312"</f>
        <v>RELE TERMICO REF.LR2-K0312</v>
      </c>
      <c r="C19939" s="2" t="str">
        <f t="shared" si="785"/>
        <v>UN</v>
      </c>
      <c r="D19939" s="7">
        <v>600</v>
      </c>
      <c r="E19939" s="3">
        <v>8</v>
      </c>
      <c r="F19939" s="2">
        <v>6</v>
      </c>
      <c r="G19939" t="s">
        <v>513</v>
      </c>
    </row>
    <row r="19940" spans="1:7" x14ac:dyDescent="0.25">
      <c r="A19940" s="1" t="str">
        <f>"504195"</f>
        <v>504195</v>
      </c>
      <c r="B19940" s="2" t="str">
        <f>"RELE TERMICO REF.LR2-K0314"</f>
        <v>RELE TERMICO REF.LR2-K0314</v>
      </c>
      <c r="C19940" s="2" t="str">
        <f t="shared" si="785"/>
        <v>UN</v>
      </c>
      <c r="D19940" s="7">
        <v>600</v>
      </c>
      <c r="E19940" s="3">
        <v>8</v>
      </c>
      <c r="F19940" s="2">
        <v>9</v>
      </c>
      <c r="G19940" t="s">
        <v>514</v>
      </c>
    </row>
    <row r="19941" spans="1:7" x14ac:dyDescent="0.25">
      <c r="A19941" s="1" t="str">
        <f>"504192"</f>
        <v>504192</v>
      </c>
      <c r="B19941" s="2" t="str">
        <f>"RELE TERMICO REF.LR2-K0316"</f>
        <v>RELE TERMICO REF.LR2-K0316</v>
      </c>
      <c r="C19941" s="2" t="str">
        <f t="shared" si="785"/>
        <v>UN</v>
      </c>
      <c r="D19941" s="7">
        <v>600</v>
      </c>
      <c r="E19941" s="3">
        <v>8</v>
      </c>
      <c r="F19941" s="2">
        <v>5</v>
      </c>
      <c r="G19941" t="s">
        <v>514</v>
      </c>
    </row>
    <row r="19942" spans="1:7" x14ac:dyDescent="0.25">
      <c r="A19942" s="1" t="str">
        <f>"503106"</f>
        <v>503106</v>
      </c>
      <c r="B19942" s="2" t="str">
        <f>"RELE TERMICO SIEMENS 3RB1056-1FGO"</f>
        <v>RELE TERMICO SIEMENS 3RB1056-1FGO</v>
      </c>
      <c r="C19942" s="2" t="str">
        <f t="shared" si="785"/>
        <v>UN</v>
      </c>
      <c r="D19942" s="7">
        <v>600</v>
      </c>
      <c r="E19942" s="3">
        <v>8</v>
      </c>
      <c r="F19942" s="2">
        <v>3</v>
      </c>
      <c r="G19942" t="s">
        <v>514</v>
      </c>
    </row>
    <row r="19943" spans="1:7" x14ac:dyDescent="0.25">
      <c r="A19943" s="1" t="str">
        <f>"508167"</f>
        <v>508167</v>
      </c>
      <c r="B19943" s="2" t="str">
        <f>"RELE TERMICO SIEMENS 3RB1066-1GG0"</f>
        <v>RELE TERMICO SIEMENS 3RB1066-1GG0</v>
      </c>
      <c r="C19943" s="2" t="str">
        <f t="shared" si="785"/>
        <v>UN</v>
      </c>
      <c r="D19943" s="7">
        <v>600</v>
      </c>
      <c r="E19943" s="3">
        <v>8</v>
      </c>
      <c r="F19943" s="2">
        <v>3</v>
      </c>
      <c r="G19943" t="s">
        <v>513</v>
      </c>
    </row>
    <row r="19944" spans="1:7" x14ac:dyDescent="0.25">
      <c r="A19944" s="1" t="str">
        <f>"509142"</f>
        <v>509142</v>
      </c>
      <c r="B19944" s="2" t="str">
        <f>"RELE TERMICO SIEMENS 3RB2056-1FC2"</f>
        <v>RELE TERMICO SIEMENS 3RB2056-1FC2</v>
      </c>
      <c r="C19944" s="2" t="str">
        <f t="shared" si="785"/>
        <v>UN</v>
      </c>
      <c r="D19944" s="7">
        <v>600</v>
      </c>
      <c r="E19944" s="3">
        <v>8</v>
      </c>
      <c r="F19944" s="2">
        <v>2</v>
      </c>
      <c r="G19944" t="s">
        <v>512</v>
      </c>
    </row>
    <row r="19945" spans="1:7" x14ac:dyDescent="0.25">
      <c r="A19945" s="1" t="str">
        <f>"506301"</f>
        <v>506301</v>
      </c>
      <c r="B19945" s="2" t="str">
        <f>"RELE TERMICO SIEMENS 3RU1116-0JBO"</f>
        <v>RELE TERMICO SIEMENS 3RU1116-0JBO</v>
      </c>
      <c r="C19945" s="2" t="str">
        <f>"PC"</f>
        <v>PC</v>
      </c>
      <c r="D19945" s="7">
        <v>600</v>
      </c>
      <c r="E19945" s="3">
        <v>8</v>
      </c>
      <c r="F19945" s="2">
        <v>1</v>
      </c>
      <c r="G19945" t="s">
        <v>513</v>
      </c>
    </row>
    <row r="19946" spans="1:7" x14ac:dyDescent="0.25">
      <c r="A19946" s="1" t="str">
        <f>"506302"</f>
        <v>506302</v>
      </c>
      <c r="B19946" s="2" t="str">
        <f>"RELE TERMICO SIEMENS 3RU1116-1AB0"</f>
        <v>RELE TERMICO SIEMENS 3RU1116-1AB0</v>
      </c>
      <c r="C19946" s="2" t="str">
        <f>"PC"</f>
        <v>PC</v>
      </c>
      <c r="D19946" s="7">
        <v>600</v>
      </c>
      <c r="E19946" s="3">
        <v>8</v>
      </c>
      <c r="F19946" s="2">
        <v>4</v>
      </c>
      <c r="G19946" t="s">
        <v>514</v>
      </c>
    </row>
    <row r="19947" spans="1:7" x14ac:dyDescent="0.25">
      <c r="A19947" s="1" t="str">
        <f>"506303"</f>
        <v>506303</v>
      </c>
      <c r="B19947" s="2" t="str">
        <f>"RELE TERMICO SIEMENS 3RU1116-1BB0"</f>
        <v>RELE TERMICO SIEMENS 3RU1116-1BB0</v>
      </c>
      <c r="C19947" s="2" t="str">
        <f t="shared" ref="C19947:C19974" si="786">"UN"</f>
        <v>UN</v>
      </c>
      <c r="D19947" s="7">
        <v>600</v>
      </c>
      <c r="E19947" s="3">
        <v>8</v>
      </c>
      <c r="F19947" s="2">
        <v>6</v>
      </c>
      <c r="G19947" t="s">
        <v>514</v>
      </c>
    </row>
    <row r="19948" spans="1:7" x14ac:dyDescent="0.25">
      <c r="A19948" s="1" t="str">
        <f>"500888"</f>
        <v>500888</v>
      </c>
      <c r="B19948" s="2" t="str">
        <f>"RELE TERMICO SIEMENS 3RU1116-1CBO"</f>
        <v>RELE TERMICO SIEMENS 3RU1116-1CBO</v>
      </c>
      <c r="C19948" s="2" t="str">
        <f t="shared" si="786"/>
        <v>UN</v>
      </c>
      <c r="D19948" s="7">
        <v>600</v>
      </c>
      <c r="E19948" s="3">
        <v>8</v>
      </c>
      <c r="F19948" s="2">
        <v>8</v>
      </c>
      <c r="G19948" t="s">
        <v>514</v>
      </c>
    </row>
    <row r="19949" spans="1:7" x14ac:dyDescent="0.25">
      <c r="A19949" s="1" t="str">
        <f>"500911"</f>
        <v>500911</v>
      </c>
      <c r="B19949" s="2" t="str">
        <f>"RELE TERMICO SIEMENS 3RU1116-1DB0"</f>
        <v>RELE TERMICO SIEMENS 3RU1116-1DB0</v>
      </c>
      <c r="C19949" s="2" t="str">
        <f t="shared" si="786"/>
        <v>UN</v>
      </c>
      <c r="D19949" s="7">
        <v>600</v>
      </c>
      <c r="E19949" s="3">
        <v>8</v>
      </c>
      <c r="F19949" s="2">
        <v>7</v>
      </c>
      <c r="G19949" t="s">
        <v>513</v>
      </c>
    </row>
    <row r="19950" spans="1:7" x14ac:dyDescent="0.25">
      <c r="A19950" s="1" t="str">
        <f>"501955"</f>
        <v>501955</v>
      </c>
      <c r="B19950" s="2" t="str">
        <f>"RELE TERMICO SIEMENS 3RU1116-1EBO"</f>
        <v>RELE TERMICO SIEMENS 3RU1116-1EBO</v>
      </c>
      <c r="C19950" s="2" t="str">
        <f t="shared" si="786"/>
        <v>UN</v>
      </c>
      <c r="D19950" s="7">
        <v>600</v>
      </c>
      <c r="E19950" s="3">
        <v>8</v>
      </c>
      <c r="F19950" s="2">
        <v>6</v>
      </c>
      <c r="G19950" t="s">
        <v>513</v>
      </c>
    </row>
    <row r="19951" spans="1:7" x14ac:dyDescent="0.25">
      <c r="A19951" s="1" t="str">
        <f>"500910"</f>
        <v>500910</v>
      </c>
      <c r="B19951" s="2" t="str">
        <f>"RELE TERMICO SIEMENS 3RU1116-1FB0"</f>
        <v>RELE TERMICO SIEMENS 3RU1116-1FB0</v>
      </c>
      <c r="C19951" s="2" t="str">
        <f t="shared" si="786"/>
        <v>UN</v>
      </c>
      <c r="D19951" s="7">
        <v>600</v>
      </c>
      <c r="E19951" s="3">
        <v>8</v>
      </c>
      <c r="F19951" s="2">
        <v>6</v>
      </c>
      <c r="G19951" t="s">
        <v>513</v>
      </c>
    </row>
    <row r="19952" spans="1:7" x14ac:dyDescent="0.25">
      <c r="A19952" s="1" t="str">
        <f>"503720"</f>
        <v>503720</v>
      </c>
      <c r="B19952" s="2" t="str">
        <f>"RELE TERMICO SIEMENS 3RU1116-1GBO"</f>
        <v>RELE TERMICO SIEMENS 3RU1116-1GBO</v>
      </c>
      <c r="C19952" s="2" t="str">
        <f t="shared" si="786"/>
        <v>UN</v>
      </c>
      <c r="D19952" s="7">
        <v>600</v>
      </c>
      <c r="E19952" s="3">
        <v>8</v>
      </c>
      <c r="F19952" s="2">
        <v>2</v>
      </c>
      <c r="G19952" t="s">
        <v>512</v>
      </c>
    </row>
    <row r="19953" spans="1:7" x14ac:dyDescent="0.25">
      <c r="A19953" s="1" t="str">
        <f>"500841"</f>
        <v>500841</v>
      </c>
      <c r="B19953" s="2" t="str">
        <f>"RELE TERMICO SIEMENS 3RU1116-1HBO"</f>
        <v>RELE TERMICO SIEMENS 3RU1116-1HBO</v>
      </c>
      <c r="C19953" s="2" t="str">
        <f t="shared" si="786"/>
        <v>UN</v>
      </c>
      <c r="D19953" s="7">
        <v>600</v>
      </c>
      <c r="E19953" s="3">
        <v>8</v>
      </c>
      <c r="F19953" s="2">
        <v>1</v>
      </c>
      <c r="G19953" t="s">
        <v>513</v>
      </c>
    </row>
    <row r="19954" spans="1:7" x14ac:dyDescent="0.25">
      <c r="A19954" s="1" t="str">
        <f>"500887"</f>
        <v>500887</v>
      </c>
      <c r="B19954" s="2" t="str">
        <f>"RELE TERMICO SIEMENS 3RU1116-1JBO"</f>
        <v>RELE TERMICO SIEMENS 3RU1116-1JBO</v>
      </c>
      <c r="C19954" s="2" t="str">
        <f t="shared" si="786"/>
        <v>UN</v>
      </c>
      <c r="D19954" s="7">
        <v>600</v>
      </c>
      <c r="E19954" s="3">
        <v>8</v>
      </c>
      <c r="F19954" s="2">
        <v>0</v>
      </c>
      <c r="G19954" t="s">
        <v>514</v>
      </c>
    </row>
    <row r="19955" spans="1:7" x14ac:dyDescent="0.25">
      <c r="A19955" s="1" t="str">
        <f>"501693"</f>
        <v>501693</v>
      </c>
      <c r="B19955" s="2" t="str">
        <f>"RELE TERMICO SIEMENS 3RU1116-1KBO"</f>
        <v>RELE TERMICO SIEMENS 3RU1116-1KBO</v>
      </c>
      <c r="C19955" s="2" t="str">
        <f t="shared" si="786"/>
        <v>UN</v>
      </c>
      <c r="D19955" s="7">
        <v>600</v>
      </c>
      <c r="E19955" s="3">
        <v>8</v>
      </c>
      <c r="F19955" s="2">
        <v>0</v>
      </c>
      <c r="G19955" t="s">
        <v>515</v>
      </c>
    </row>
    <row r="19956" spans="1:7" x14ac:dyDescent="0.25">
      <c r="A19956" s="1" t="str">
        <f>"506349"</f>
        <v>506349</v>
      </c>
      <c r="B19956" s="2" t="str">
        <f>"RELE TERMICO SIEMENS 3RU1126-4AB0"</f>
        <v>RELE TERMICO SIEMENS 3RU1126-4AB0</v>
      </c>
      <c r="C19956" s="2" t="str">
        <f t="shared" si="786"/>
        <v>UN</v>
      </c>
      <c r="D19956" s="7">
        <v>600</v>
      </c>
      <c r="E19956" s="3">
        <v>8</v>
      </c>
      <c r="F19956" s="2">
        <v>0</v>
      </c>
      <c r="G19956" t="s">
        <v>512</v>
      </c>
    </row>
    <row r="19957" spans="1:7" x14ac:dyDescent="0.25">
      <c r="A19957" s="1" t="str">
        <f>"512089"</f>
        <v>512089</v>
      </c>
      <c r="B19957" s="2" t="str">
        <f>"RELE TERMICO SIEMENS 3RU1126-4BB0"</f>
        <v>RELE TERMICO SIEMENS 3RU1126-4BB0</v>
      </c>
      <c r="C19957" s="2" t="str">
        <f t="shared" si="786"/>
        <v>UN</v>
      </c>
      <c r="D19957" s="7">
        <v>600</v>
      </c>
      <c r="E19957" s="3">
        <v>8</v>
      </c>
      <c r="F19957" s="2">
        <v>3</v>
      </c>
      <c r="G19957" t="s">
        <v>516</v>
      </c>
    </row>
    <row r="19958" spans="1:7" x14ac:dyDescent="0.25">
      <c r="A19958" s="1" t="str">
        <f>"509141"</f>
        <v>509141</v>
      </c>
      <c r="B19958" s="2" t="str">
        <f>"RELE TERMICO SIEMENS 3RU1126-4CB0"</f>
        <v>RELE TERMICO SIEMENS 3RU1126-4CB0</v>
      </c>
      <c r="C19958" s="2" t="str">
        <f t="shared" si="786"/>
        <v>UN</v>
      </c>
      <c r="D19958" s="7">
        <v>600</v>
      </c>
      <c r="E19958" s="3">
        <v>8</v>
      </c>
      <c r="F19958" s="5">
        <v>5</v>
      </c>
      <c r="G19958" t="s">
        <v>515</v>
      </c>
    </row>
    <row r="19959" spans="1:7" x14ac:dyDescent="0.25">
      <c r="A19959" s="1" t="str">
        <f>"505894"</f>
        <v>505894</v>
      </c>
      <c r="B19959" s="2" t="str">
        <f>"RELE TERMICO SIEMENS 3RU1136-1FBO"</f>
        <v>RELE TERMICO SIEMENS 3RU1136-1FBO</v>
      </c>
      <c r="C19959" s="2" t="str">
        <f t="shared" si="786"/>
        <v>UN</v>
      </c>
      <c r="D19959" s="7">
        <v>600</v>
      </c>
      <c r="E19959" s="3">
        <v>8</v>
      </c>
      <c r="F19959" s="2">
        <v>3</v>
      </c>
      <c r="G19959" t="s">
        <v>514</v>
      </c>
    </row>
    <row r="19960" spans="1:7" x14ac:dyDescent="0.25">
      <c r="A19960" s="1" t="str">
        <f>"500430"</f>
        <v>500430</v>
      </c>
      <c r="B19960" s="2" t="str">
        <f>"RELE TERMICO SIEMENS 3RU1136-4AB0"</f>
        <v>RELE TERMICO SIEMENS 3RU1136-4AB0</v>
      </c>
      <c r="C19960" s="2" t="str">
        <f t="shared" si="786"/>
        <v>UN</v>
      </c>
      <c r="D19960" s="7">
        <v>600</v>
      </c>
      <c r="E19960" s="3">
        <v>8</v>
      </c>
      <c r="F19960" s="2">
        <v>8</v>
      </c>
      <c r="G19960" t="s">
        <v>512</v>
      </c>
    </row>
    <row r="19961" spans="1:7" x14ac:dyDescent="0.25">
      <c r="A19961" s="1" t="str">
        <f>"505864"</f>
        <v>505864</v>
      </c>
      <c r="B19961" s="2" t="str">
        <f>"RELE TERMICO SIEMENS 3RU1136-4EBO"</f>
        <v>RELE TERMICO SIEMENS 3RU1136-4EBO</v>
      </c>
      <c r="C19961" s="2" t="str">
        <f t="shared" si="786"/>
        <v>UN</v>
      </c>
      <c r="D19961" s="7">
        <v>600</v>
      </c>
      <c r="E19961" s="3">
        <v>8</v>
      </c>
      <c r="F19961" s="2">
        <v>6</v>
      </c>
      <c r="G19961" t="s">
        <v>513</v>
      </c>
    </row>
    <row r="19962" spans="1:7" x14ac:dyDescent="0.25">
      <c r="A19962" s="1" t="str">
        <f>"507079"</f>
        <v>507079</v>
      </c>
      <c r="B19962" s="2" t="str">
        <f>"RELE TERMICO SIEMENS 3RU1136-4FBO"</f>
        <v>RELE TERMICO SIEMENS 3RU1136-4FBO</v>
      </c>
      <c r="C19962" s="2" t="str">
        <f t="shared" si="786"/>
        <v>UN</v>
      </c>
      <c r="D19962" s="7">
        <v>600</v>
      </c>
      <c r="E19962" s="3">
        <v>8</v>
      </c>
      <c r="F19962" s="2">
        <v>4</v>
      </c>
      <c r="G19962" t="s">
        <v>514</v>
      </c>
    </row>
    <row r="19963" spans="1:7" x14ac:dyDescent="0.25">
      <c r="A19963" s="1" t="str">
        <f>"508075"</f>
        <v>508075</v>
      </c>
      <c r="B19963" s="2" t="str">
        <f>"RELE TERMICO SIEMENS 3RU1136-4HB0"</f>
        <v>RELE TERMICO SIEMENS 3RU1136-4HB0</v>
      </c>
      <c r="C19963" s="2" t="str">
        <f t="shared" si="786"/>
        <v>UN</v>
      </c>
      <c r="D19963" s="7">
        <v>600</v>
      </c>
      <c r="E19963" s="3">
        <v>8</v>
      </c>
      <c r="F19963" s="2">
        <v>1</v>
      </c>
      <c r="G19963" t="s">
        <v>514</v>
      </c>
    </row>
    <row r="19964" spans="1:7" x14ac:dyDescent="0.25">
      <c r="A19964" s="1" t="str">
        <f>"507969"</f>
        <v>507969</v>
      </c>
      <c r="B19964" s="2" t="str">
        <f>"RELE TERMICO SIEMENS 3RU1146-4JB0"</f>
        <v>RELE TERMICO SIEMENS 3RU1146-4JB0</v>
      </c>
      <c r="C19964" s="2" t="str">
        <f t="shared" si="786"/>
        <v>UN</v>
      </c>
      <c r="D19964" s="7">
        <v>600</v>
      </c>
      <c r="E19964" s="3">
        <v>8</v>
      </c>
      <c r="F19964" s="2">
        <v>2</v>
      </c>
      <c r="G19964" t="s">
        <v>512</v>
      </c>
    </row>
    <row r="19965" spans="1:7" x14ac:dyDescent="0.25">
      <c r="A19965" s="1" t="str">
        <f>"506354"</f>
        <v>506354</v>
      </c>
      <c r="B19965" s="2" t="str">
        <f>"RELE TERMICO SIEMENS 3SB3000-4AD11"</f>
        <v>RELE TERMICO SIEMENS 3SB3000-4AD11</v>
      </c>
      <c r="C19965" s="2" t="str">
        <f t="shared" si="786"/>
        <v>UN</v>
      </c>
      <c r="D19965" s="7">
        <v>900</v>
      </c>
      <c r="E19965" s="3">
        <v>11</v>
      </c>
      <c r="F19965" s="2">
        <v>7</v>
      </c>
      <c r="G19965" t="s">
        <v>513</v>
      </c>
    </row>
    <row r="19966" spans="1:7" x14ac:dyDescent="0.25">
      <c r="A19966" s="1" t="str">
        <f>"505177"</f>
        <v>505177</v>
      </c>
      <c r="B19966" s="2" t="str">
        <f>"RELE TERMICO SIEMENS 3UA50 2,5-4A"</f>
        <v>RELE TERMICO SIEMENS 3UA50 2,5-4A</v>
      </c>
      <c r="C19966" s="2" t="str">
        <f t="shared" si="786"/>
        <v>UN</v>
      </c>
      <c r="D19966" s="7">
        <v>600</v>
      </c>
      <c r="E19966" s="3">
        <v>8</v>
      </c>
      <c r="F19966" s="2">
        <v>9</v>
      </c>
      <c r="G19966" t="s">
        <v>514</v>
      </c>
    </row>
    <row r="19967" spans="1:7" x14ac:dyDescent="0.25">
      <c r="A19967" s="1" t="str">
        <f>"503487"</f>
        <v>503487</v>
      </c>
      <c r="B19967" s="2" t="str">
        <f>"RELE TERMICO SIEMENS 3UA50 4-6,3A"</f>
        <v>RELE TERMICO SIEMENS 3UA50 4-6,3A</v>
      </c>
      <c r="C19967" s="2" t="str">
        <f t="shared" si="786"/>
        <v>UN</v>
      </c>
      <c r="D19967" s="7">
        <v>600</v>
      </c>
      <c r="E19967" s="3">
        <v>8</v>
      </c>
      <c r="F19967" s="2">
        <v>0</v>
      </c>
      <c r="G19967" t="s">
        <v>514</v>
      </c>
    </row>
    <row r="19968" spans="1:7" x14ac:dyDescent="0.25">
      <c r="A19968" s="1" t="str">
        <f>"501086"</f>
        <v>501086</v>
      </c>
      <c r="B19968" s="2" t="str">
        <f>"RELE TERMICO SIEMENS 3UA52 6,3-10A"</f>
        <v>RELE TERMICO SIEMENS 3UA52 6,3-10A</v>
      </c>
      <c r="C19968" s="2" t="str">
        <f t="shared" si="786"/>
        <v>UN</v>
      </c>
      <c r="D19968" s="7">
        <v>600</v>
      </c>
      <c r="E19968" s="3">
        <v>8</v>
      </c>
      <c r="F19968" s="2">
        <v>0</v>
      </c>
      <c r="G19968" t="s">
        <v>514</v>
      </c>
    </row>
    <row r="19969" spans="1:7" x14ac:dyDescent="0.25">
      <c r="A19969" s="1" t="str">
        <f>"505178"</f>
        <v>505178</v>
      </c>
      <c r="B19969" s="2" t="str">
        <f>"RELE TERMICO SIEMENS 3UA55 20-32A"</f>
        <v>RELE TERMICO SIEMENS 3UA55 20-32A</v>
      </c>
      <c r="C19969" s="2" t="str">
        <f t="shared" si="786"/>
        <v>UN</v>
      </c>
      <c r="D19969" s="7">
        <v>600</v>
      </c>
      <c r="E19969" s="3">
        <v>8</v>
      </c>
      <c r="F19969" s="2">
        <v>2</v>
      </c>
      <c r="G19969" t="s">
        <v>513</v>
      </c>
    </row>
    <row r="19970" spans="1:7" x14ac:dyDescent="0.25">
      <c r="A19970" s="1" t="str">
        <f>"522839"</f>
        <v>522839</v>
      </c>
      <c r="B19970" s="2" t="str">
        <f>"RELE TERMICO WEG RW17D 1,8A - 2,8A"</f>
        <v>RELE TERMICO WEG RW17D 1,8A - 2,8A</v>
      </c>
      <c r="C19970" s="2" t="str">
        <f t="shared" si="786"/>
        <v>UN</v>
      </c>
      <c r="D19970" s="7">
        <v>811</v>
      </c>
      <c r="E19970" s="3">
        <v>10</v>
      </c>
      <c r="F19970" s="2">
        <v>5</v>
      </c>
      <c r="G19970" t="s">
        <v>512</v>
      </c>
    </row>
    <row r="19971" spans="1:7" x14ac:dyDescent="0.25">
      <c r="A19971" s="1" t="str">
        <f>"500544"</f>
        <v>500544</v>
      </c>
      <c r="B19971" s="2" t="str">
        <f>"RELE TIMER DIGITAL CSR TD-3000"</f>
        <v>RELE TIMER DIGITAL CSR TD-3000</v>
      </c>
      <c r="C19971" s="2" t="str">
        <f t="shared" si="786"/>
        <v>UN</v>
      </c>
      <c r="D19971" s="7">
        <v>600</v>
      </c>
      <c r="E19971" s="3">
        <v>8</v>
      </c>
      <c r="F19971" s="2">
        <v>6</v>
      </c>
      <c r="G19971" t="s">
        <v>513</v>
      </c>
    </row>
    <row r="19972" spans="1:7" x14ac:dyDescent="0.25">
      <c r="A19972" s="1" t="str">
        <f>"503370"</f>
        <v>503370</v>
      </c>
      <c r="B19972" s="2" t="str">
        <f>"RELE TIMER ELCON MEC.TM-22 COD.06060043"</f>
        <v>RELE TIMER ELCON MEC.TM-22 COD.06060043</v>
      </c>
      <c r="C19972" s="2" t="str">
        <f t="shared" si="786"/>
        <v>UN</v>
      </c>
      <c r="D19972" s="7">
        <v>600</v>
      </c>
      <c r="E19972" s="3">
        <v>8</v>
      </c>
      <c r="F19972" s="2">
        <v>9</v>
      </c>
      <c r="G19972" t="s">
        <v>514</v>
      </c>
    </row>
    <row r="19973" spans="1:7" x14ac:dyDescent="0.25">
      <c r="A19973" s="1" t="str">
        <f>"519788"</f>
        <v>519788</v>
      </c>
      <c r="B19973" s="2" t="str">
        <f>"RELE TOTALIZADOR HORAS 48X48MM 220VCA DH COEL"</f>
        <v>RELE TOTALIZADOR HORAS 48X48MM 220VCA DH COEL</v>
      </c>
      <c r="C19973" s="2" t="str">
        <f t="shared" si="786"/>
        <v>UN</v>
      </c>
      <c r="D19973" s="7">
        <v>811</v>
      </c>
      <c r="E19973" s="3">
        <v>8</v>
      </c>
      <c r="F19973" s="2">
        <v>5</v>
      </c>
      <c r="G19973" t="s">
        <v>514</v>
      </c>
    </row>
    <row r="19974" spans="1:7" x14ac:dyDescent="0.25">
      <c r="A19974" s="1" t="str">
        <f>"511644"</f>
        <v>511644</v>
      </c>
      <c r="B19974" s="2" t="str">
        <f>"RELE VOLTIMETRO 220V"</f>
        <v>RELE VOLTIMETRO 220V</v>
      </c>
      <c r="C19974" s="2" t="str">
        <f t="shared" si="786"/>
        <v>UN</v>
      </c>
      <c r="D19974" s="7">
        <v>600</v>
      </c>
      <c r="E19974" s="3">
        <v>8</v>
      </c>
      <c r="F19974" s="2">
        <v>3</v>
      </c>
      <c r="G19974" t="s">
        <v>514</v>
      </c>
    </row>
    <row r="19975" spans="1:7" x14ac:dyDescent="0.25">
      <c r="A19975" s="1" t="str">
        <f>"508978"</f>
        <v>508978</v>
      </c>
      <c r="B19975" s="2" t="str">
        <f>"RELOGIO MINUTEIRO PLASTICO (TEMPORIZADOR)"</f>
        <v>RELOGIO MINUTEIRO PLASTICO (TEMPORIZADOR)</v>
      </c>
      <c r="C19975" s="2" t="str">
        <f>"PC"</f>
        <v>PC</v>
      </c>
      <c r="D19975" s="7">
        <v>406</v>
      </c>
      <c r="E19975" s="3">
        <v>4</v>
      </c>
      <c r="F19975" s="2">
        <v>3</v>
      </c>
      <c r="G19975" t="s">
        <v>513</v>
      </c>
    </row>
    <row r="19976" spans="1:7" x14ac:dyDescent="0.25">
      <c r="A19976" s="1" t="str">
        <f>"510162"</f>
        <v>510162</v>
      </c>
      <c r="B19976" s="2" t="str">
        <f>"RELOGIO PAREDE"</f>
        <v>RELOGIO PAREDE</v>
      </c>
      <c r="C19976" s="2" t="str">
        <f t="shared" ref="C19976:C19994" si="787">"UN"</f>
        <v>UN</v>
      </c>
      <c r="D19976" s="7">
        <v>401</v>
      </c>
      <c r="E19976" s="3">
        <v>4</v>
      </c>
      <c r="F19976" s="2">
        <v>2</v>
      </c>
      <c r="G19976" t="s">
        <v>513</v>
      </c>
    </row>
    <row r="19977" spans="1:7" x14ac:dyDescent="0.25">
      <c r="A19977" s="1" t="str">
        <f>"573814"</f>
        <v>573814</v>
      </c>
      <c r="B19977" s="2" t="str">
        <f>"RELOGIO PONTO BIOMETRICO PRINTPOINT"</f>
        <v>RELOGIO PONTO BIOMETRICO PRINTPOINT</v>
      </c>
      <c r="C19977" s="2" t="str">
        <f t="shared" si="787"/>
        <v>UN</v>
      </c>
      <c r="D19977" s="7">
        <v>99999</v>
      </c>
      <c r="E19977" s="3">
        <v>99</v>
      </c>
      <c r="F19977" s="2">
        <v>1</v>
      </c>
      <c r="G19977" t="s">
        <v>513</v>
      </c>
    </row>
    <row r="19978" spans="1:7" x14ac:dyDescent="0.25">
      <c r="A19978" s="1" t="str">
        <f>"518067"</f>
        <v>518067</v>
      </c>
      <c r="B19978" s="2" t="str">
        <f>"RELOGIO PULSO WURTH"</f>
        <v>RELOGIO PULSO WURTH</v>
      </c>
      <c r="C19978" s="2" t="str">
        <f t="shared" si="787"/>
        <v>UN</v>
      </c>
      <c r="D19978" s="7">
        <v>900</v>
      </c>
      <c r="E19978" s="3">
        <v>4</v>
      </c>
      <c r="F19978" s="2">
        <v>4</v>
      </c>
      <c r="G19978" t="s">
        <v>512</v>
      </c>
    </row>
    <row r="19979" spans="1:7" x14ac:dyDescent="0.25">
      <c r="A19979" s="1" t="str">
        <f>"522273"</f>
        <v>522273</v>
      </c>
      <c r="B19979" s="2" t="str">
        <f>"RELOGIO TEMPERATURA AGUA"</f>
        <v>RELOGIO TEMPERATURA AGUA</v>
      </c>
      <c r="C19979" s="2" t="str">
        <f t="shared" si="787"/>
        <v>UN</v>
      </c>
      <c r="D19979" s="7">
        <v>99999</v>
      </c>
      <c r="E19979" s="3">
        <v>99</v>
      </c>
      <c r="F19979" s="2">
        <v>1</v>
      </c>
      <c r="G19979" t="s">
        <v>513</v>
      </c>
    </row>
    <row r="19980" spans="1:7" x14ac:dyDescent="0.25">
      <c r="A19980" s="1" t="str">
        <f>"520774"</f>
        <v>520774</v>
      </c>
      <c r="B19980" s="2" t="str">
        <f>"RELOGIO TIMER DE COZINHA"</f>
        <v>RELOGIO TIMER DE COZINHA</v>
      </c>
      <c r="C19980" s="2" t="str">
        <f t="shared" si="787"/>
        <v>UN</v>
      </c>
      <c r="D19980" s="7">
        <v>99999</v>
      </c>
      <c r="E19980" s="3">
        <v>99</v>
      </c>
      <c r="F19980" s="2">
        <v>2</v>
      </c>
      <c r="G19980" t="s">
        <v>514</v>
      </c>
    </row>
    <row r="19981" spans="1:7" x14ac:dyDescent="0.25">
      <c r="A19981" s="1" t="str">
        <f>"514624"</f>
        <v>514624</v>
      </c>
      <c r="B19981" s="2" t="str">
        <f>"REMENDO"</f>
        <v>REMENDO</v>
      </c>
      <c r="C19981" s="2" t="str">
        <f t="shared" si="787"/>
        <v>UN</v>
      </c>
      <c r="D19981" s="7">
        <v>704</v>
      </c>
      <c r="E19981" s="3">
        <v>9</v>
      </c>
      <c r="F19981" s="2">
        <v>7</v>
      </c>
      <c r="G19981" t="s">
        <v>515</v>
      </c>
    </row>
    <row r="19982" spans="1:7" x14ac:dyDescent="0.25">
      <c r="A19982" s="1" t="str">
        <f>"511410"</f>
        <v>511410</v>
      </c>
      <c r="B19982" s="2" t="str">
        <f>"REMENDO LATERAL ESQUERDO"</f>
        <v>REMENDO LATERAL ESQUERDO</v>
      </c>
      <c r="C19982" s="2" t="str">
        <f t="shared" si="787"/>
        <v>UN</v>
      </c>
      <c r="D19982" s="7">
        <v>704</v>
      </c>
      <c r="E19982" s="3">
        <v>9</v>
      </c>
      <c r="F19982" s="2">
        <v>9</v>
      </c>
      <c r="G19982" t="s">
        <v>512</v>
      </c>
    </row>
    <row r="19983" spans="1:7" x14ac:dyDescent="0.25">
      <c r="A19983" s="1" t="str">
        <f>"511403"</f>
        <v>511403</v>
      </c>
      <c r="B19983" s="2" t="str">
        <f>"REMENDO PORTA INFERIOR LE"</f>
        <v>REMENDO PORTA INFERIOR LE</v>
      </c>
      <c r="C19983" s="2" t="str">
        <f t="shared" si="787"/>
        <v>UN</v>
      </c>
      <c r="D19983" s="7">
        <v>704</v>
      </c>
      <c r="E19983" s="3">
        <v>9</v>
      </c>
      <c r="F19983" s="2">
        <v>0</v>
      </c>
      <c r="G19983" t="s">
        <v>516</v>
      </c>
    </row>
    <row r="19984" spans="1:7" x14ac:dyDescent="0.25">
      <c r="A19984" s="1" t="str">
        <f>"526067"</f>
        <v>526067</v>
      </c>
      <c r="B19984" s="2" t="str">
        <f>"REMOTA P/ CLP 6ES7 151-3AA23-0AB0 SIEMENS"</f>
        <v>REMOTA P/ CLP 6ES7 151-3AA23-0AB0 SIEMENS</v>
      </c>
      <c r="C19984" s="2" t="str">
        <f t="shared" si="787"/>
        <v>UN</v>
      </c>
      <c r="D19984" s="7">
        <v>811</v>
      </c>
      <c r="E19984" s="3">
        <v>8</v>
      </c>
      <c r="F19984" s="2">
        <v>0</v>
      </c>
      <c r="G19984" t="s">
        <v>515</v>
      </c>
    </row>
    <row r="19985" spans="1:7" x14ac:dyDescent="0.25">
      <c r="A19985" s="1" t="str">
        <f>"500255"</f>
        <v>500255</v>
      </c>
      <c r="B19985" s="2" t="str">
        <f>"REMOVEDOR P/ TINTA - PASTOSO"</f>
        <v>REMOVEDOR P/ TINTA - PASTOSO</v>
      </c>
      <c r="C19985" s="2" t="str">
        <f t="shared" si="787"/>
        <v>UN</v>
      </c>
      <c r="D19985" s="7">
        <v>403</v>
      </c>
      <c r="E19985" s="3">
        <v>4</v>
      </c>
      <c r="F19985" s="2">
        <v>4</v>
      </c>
      <c r="G19985" t="s">
        <v>514</v>
      </c>
    </row>
    <row r="19986" spans="1:7" x14ac:dyDescent="0.25">
      <c r="A19986" s="1" t="str">
        <f>"517409"</f>
        <v>517409</v>
      </c>
      <c r="B19986" s="2" t="str">
        <f>"REP 100 BIOPROX TRILOBIT"</f>
        <v>REP 100 BIOPROX TRILOBIT</v>
      </c>
      <c r="C19986" s="2" t="str">
        <f t="shared" si="787"/>
        <v>UN</v>
      </c>
      <c r="D19986" s="7">
        <v>811</v>
      </c>
      <c r="E19986" s="3">
        <v>8</v>
      </c>
      <c r="F19986" s="2">
        <v>1</v>
      </c>
      <c r="G19986" t="s">
        <v>512</v>
      </c>
    </row>
    <row r="19987" spans="1:7" x14ac:dyDescent="0.25">
      <c r="A19987" s="1" t="str">
        <f>"515250"</f>
        <v>515250</v>
      </c>
      <c r="B19987" s="2" t="str">
        <f>"REP 1000 BIO PROX TRIBOLT"</f>
        <v>REP 1000 BIO PROX TRIBOLT</v>
      </c>
      <c r="C19987" s="2" t="str">
        <f t="shared" si="787"/>
        <v>UN</v>
      </c>
      <c r="D19987" s="7">
        <v>401</v>
      </c>
      <c r="E19987" s="3">
        <v>4</v>
      </c>
      <c r="F19987" s="2">
        <v>2</v>
      </c>
      <c r="G19987" t="s">
        <v>513</v>
      </c>
    </row>
    <row r="19988" spans="1:7" x14ac:dyDescent="0.25">
      <c r="A19988" s="1" t="str">
        <f>"501081"</f>
        <v>501081</v>
      </c>
      <c r="B19988" s="2" t="str">
        <f>"REP. VALV. SOLEN. EICA VSR 20mm AMONIA"</f>
        <v>REP. VALV. SOLEN. EICA VSR 20mm AMONIA</v>
      </c>
      <c r="C19988" s="2" t="str">
        <f t="shared" si="787"/>
        <v>UN</v>
      </c>
      <c r="D19988" s="7">
        <v>912</v>
      </c>
      <c r="E19988" s="3">
        <v>11</v>
      </c>
      <c r="F19988" s="2">
        <v>7</v>
      </c>
      <c r="G19988" t="s">
        <v>514</v>
      </c>
    </row>
    <row r="19989" spans="1:7" x14ac:dyDescent="0.25">
      <c r="A19989" s="1" t="str">
        <f>"501082"</f>
        <v>501082</v>
      </c>
      <c r="B19989" s="2" t="str">
        <f>"REP. VALV. SOLEN. EICA VSR 25mm AMONIA"</f>
        <v>REP. VALV. SOLEN. EICA VSR 25mm AMONIA</v>
      </c>
      <c r="C19989" s="2" t="str">
        <f t="shared" si="787"/>
        <v>UN</v>
      </c>
      <c r="D19989" s="7">
        <v>912</v>
      </c>
      <c r="E19989" s="3">
        <v>11</v>
      </c>
      <c r="F19989" s="2">
        <v>9</v>
      </c>
      <c r="G19989" t="s">
        <v>514</v>
      </c>
    </row>
    <row r="19990" spans="1:7" x14ac:dyDescent="0.25">
      <c r="A19990" s="1" t="str">
        <f>"526071"</f>
        <v>526071</v>
      </c>
      <c r="B19990" s="2" t="str">
        <f>"REPARADOR DE PNEU"</f>
        <v>REPARADOR DE PNEU</v>
      </c>
      <c r="C19990" s="2" t="str">
        <f t="shared" si="787"/>
        <v>UN</v>
      </c>
      <c r="D19990" s="7">
        <v>704</v>
      </c>
      <c r="E19990" s="3">
        <v>9</v>
      </c>
      <c r="F19990" s="5">
        <v>5</v>
      </c>
      <c r="G19990" t="s">
        <v>512</v>
      </c>
    </row>
    <row r="19991" spans="1:7" x14ac:dyDescent="0.25">
      <c r="A19991" s="1" t="str">
        <f>"514300"</f>
        <v>514300</v>
      </c>
      <c r="B19991" s="2" t="str">
        <f>"REPARO"</f>
        <v>REPARO</v>
      </c>
      <c r="C19991" s="2" t="str">
        <f t="shared" si="787"/>
        <v>UN</v>
      </c>
      <c r="D19991" s="7">
        <v>704</v>
      </c>
      <c r="E19991" s="3">
        <v>9</v>
      </c>
      <c r="F19991" s="2">
        <v>3</v>
      </c>
      <c r="G19991" t="s">
        <v>513</v>
      </c>
    </row>
    <row r="19992" spans="1:7" x14ac:dyDescent="0.25">
      <c r="A19992" s="1" t="str">
        <f>"511810"</f>
        <v>511810</v>
      </c>
      <c r="B19992" s="2" t="str">
        <f>"REPARO BOMBA 11-2725"</f>
        <v>REPARO BOMBA 11-2725</v>
      </c>
      <c r="C19992" s="2" t="str">
        <f t="shared" si="787"/>
        <v>UN</v>
      </c>
      <c r="D19992" s="7">
        <v>704</v>
      </c>
      <c r="E19992" s="3">
        <v>9</v>
      </c>
      <c r="F19992" s="2">
        <v>8</v>
      </c>
      <c r="G19992" t="s">
        <v>514</v>
      </c>
    </row>
    <row r="19993" spans="1:7" x14ac:dyDescent="0.25">
      <c r="A19993" s="1" t="str">
        <f>"513013"</f>
        <v>513013</v>
      </c>
      <c r="B19993" s="2" t="str">
        <f>"REPARO BOMBA COMERCIAL P-30 3911802112"</f>
        <v>REPARO BOMBA COMERCIAL P-30 3911802112</v>
      </c>
      <c r="C19993" s="2" t="str">
        <f t="shared" si="787"/>
        <v>UN</v>
      </c>
      <c r="D19993" s="7">
        <v>918</v>
      </c>
      <c r="E19993" s="3">
        <v>11</v>
      </c>
      <c r="F19993" s="2">
        <v>6</v>
      </c>
      <c r="G19993" t="s">
        <v>514</v>
      </c>
    </row>
    <row r="19994" spans="1:7" x14ac:dyDescent="0.25">
      <c r="A19994" s="1" t="str">
        <f>"502415"</f>
        <v>502415</v>
      </c>
      <c r="B19994" s="2" t="str">
        <f>"REPARO CABEÇOTE COMPRESSOR"</f>
        <v>REPARO CABEÇOTE COMPRESSOR</v>
      </c>
      <c r="C19994" s="2" t="str">
        <f t="shared" si="787"/>
        <v>UN</v>
      </c>
      <c r="D19994" s="7">
        <v>704</v>
      </c>
      <c r="E19994" s="3">
        <v>9</v>
      </c>
      <c r="F19994" s="2">
        <v>4</v>
      </c>
      <c r="G19994" t="s">
        <v>514</v>
      </c>
    </row>
    <row r="19995" spans="1:7" x14ac:dyDescent="0.25">
      <c r="A19995" s="1" t="str">
        <f>"500817"</f>
        <v>500817</v>
      </c>
      <c r="B19995" s="2" t="str">
        <f>"REPARO CIL VALVULA FLUXO 2""PASTEURIZADOR"</f>
        <v>REPARO CIL VALVULA FLUXO 2"PASTEURIZADOR</v>
      </c>
      <c r="C19995" s="2" t="str">
        <f>"BR"</f>
        <v>BR</v>
      </c>
      <c r="D19995" s="7">
        <v>807</v>
      </c>
      <c r="E19995" s="3">
        <v>10</v>
      </c>
      <c r="F19995" s="2">
        <v>1</v>
      </c>
      <c r="G19995" t="s">
        <v>513</v>
      </c>
    </row>
    <row r="19996" spans="1:7" x14ac:dyDescent="0.25">
      <c r="A19996" s="1" t="str">
        <f>"510220"</f>
        <v>510220</v>
      </c>
      <c r="B19996" s="2" t="str">
        <f>"REPARO CIL. HIDR. REXROTH Z10/01HCDM"</f>
        <v>REPARO CIL. HIDR. REXROTH Z10/01HCDM</v>
      </c>
      <c r="C19996" s="2" t="str">
        <f>"UN"</f>
        <v>UN</v>
      </c>
      <c r="D19996" s="7">
        <v>914</v>
      </c>
      <c r="E19996" s="3">
        <v>11</v>
      </c>
      <c r="F19996" s="2">
        <v>2</v>
      </c>
      <c r="G19996" t="s">
        <v>512</v>
      </c>
    </row>
    <row r="19997" spans="1:7" x14ac:dyDescent="0.25">
      <c r="A19997" s="1" t="str">
        <f>"520483"</f>
        <v>520483</v>
      </c>
      <c r="B19997" s="8" t="s">
        <v>146</v>
      </c>
      <c r="C19997" s="2" t="str">
        <f>"UN"</f>
        <v>UN</v>
      </c>
      <c r="D19997" s="7">
        <v>901</v>
      </c>
      <c r="E19997" s="3">
        <v>11</v>
      </c>
      <c r="F19997" s="2">
        <v>7</v>
      </c>
      <c r="G19997" t="s">
        <v>513</v>
      </c>
    </row>
    <row r="19998" spans="1:7" x14ac:dyDescent="0.25">
      <c r="A19998" s="1" t="str">
        <f>"520484"</f>
        <v>520484</v>
      </c>
      <c r="B19998" s="8" t="s">
        <v>147</v>
      </c>
      <c r="C19998" s="2" t="str">
        <f>"UN"</f>
        <v>UN</v>
      </c>
      <c r="D19998" s="7">
        <v>901</v>
      </c>
      <c r="E19998" s="3">
        <v>11</v>
      </c>
      <c r="F19998" s="2">
        <v>9</v>
      </c>
      <c r="G19998" t="s">
        <v>514</v>
      </c>
    </row>
    <row r="19999" spans="1:7" x14ac:dyDescent="0.25">
      <c r="A19999" s="1" t="str">
        <f>"523257"</f>
        <v>523257</v>
      </c>
      <c r="B19999" s="2" t="str">
        <f>"REPARO CILINDRO FESTO ADVU-63-50-AP-A"</f>
        <v>REPARO CILINDRO FESTO ADVU-63-50-AP-A</v>
      </c>
      <c r="C19999" s="2" t="str">
        <f>"PC"</f>
        <v>PC</v>
      </c>
      <c r="D19999" s="7">
        <v>913</v>
      </c>
      <c r="E19999" s="3">
        <v>11</v>
      </c>
      <c r="F19999" s="2">
        <v>0</v>
      </c>
      <c r="G19999" t="s">
        <v>514</v>
      </c>
    </row>
    <row r="20000" spans="1:7" x14ac:dyDescent="0.25">
      <c r="A20000" s="1" t="str">
        <f>"511916"</f>
        <v>511916</v>
      </c>
      <c r="B20000" s="2" t="str">
        <f>"REPARO CILINDRO SELAGEM DINIEPER 01662"</f>
        <v>REPARO CILINDRO SELAGEM DINIEPER 01662</v>
      </c>
      <c r="C20000" s="2" t="str">
        <f>"PC"</f>
        <v>PC</v>
      </c>
      <c r="D20000" s="7">
        <v>913</v>
      </c>
      <c r="E20000" s="3">
        <v>11</v>
      </c>
      <c r="F20000" s="2">
        <v>0</v>
      </c>
      <c r="G20000" t="s">
        <v>514</v>
      </c>
    </row>
    <row r="20001" spans="1:7" x14ac:dyDescent="0.25">
      <c r="A20001" s="1" t="str">
        <f>"509166"</f>
        <v>509166</v>
      </c>
      <c r="B20001" s="2" t="str">
        <f>"REPARO CILINDRO SELAGEM DMAX     01458"</f>
        <v>REPARO CILINDRO SELAGEM DMAX     01458</v>
      </c>
      <c r="C20001" s="2" t="str">
        <f>"PC"</f>
        <v>PC</v>
      </c>
      <c r="D20001" s="7">
        <v>913</v>
      </c>
      <c r="E20001" s="3">
        <v>11</v>
      </c>
      <c r="F20001" s="2">
        <v>2</v>
      </c>
      <c r="G20001" t="s">
        <v>513</v>
      </c>
    </row>
    <row r="20002" spans="1:7" x14ac:dyDescent="0.25">
      <c r="A20002" s="1" t="str">
        <f>"508108"</f>
        <v>508108</v>
      </c>
      <c r="B20002" s="2" t="str">
        <f>"REPARO CINEMATICO - RODOAR"</f>
        <v>REPARO CINEMATICO - RODOAR</v>
      </c>
      <c r="C20002" s="2" t="str">
        <f t="shared" ref="C20002:C20014" si="788">"UN"</f>
        <v>UN</v>
      </c>
      <c r="D20002" s="7">
        <v>99999</v>
      </c>
      <c r="E20002" s="3">
        <v>99</v>
      </c>
      <c r="F20002" s="2">
        <v>5</v>
      </c>
      <c r="G20002" t="s">
        <v>513</v>
      </c>
    </row>
    <row r="20003" spans="1:7" x14ac:dyDescent="0.25">
      <c r="A20003" s="1" t="str">
        <f>"512196"</f>
        <v>512196</v>
      </c>
      <c r="B20003" s="2" t="str">
        <f>"REPARO COMP. VED. HIDR. ANEIS E GAXETAS"</f>
        <v>REPARO COMP. VED. HIDR. ANEIS E GAXETAS</v>
      </c>
      <c r="C20003" s="2" t="str">
        <f t="shared" si="788"/>
        <v>UN</v>
      </c>
      <c r="D20003" s="7">
        <v>909</v>
      </c>
      <c r="E20003" s="3">
        <v>11</v>
      </c>
      <c r="F20003" s="2">
        <v>6</v>
      </c>
      <c r="G20003" t="s">
        <v>513</v>
      </c>
    </row>
    <row r="20004" spans="1:7" x14ac:dyDescent="0.25">
      <c r="A20004" s="1" t="str">
        <f>"521673"</f>
        <v>521673</v>
      </c>
      <c r="B20004" s="2" t="str">
        <f>"REPARO COMPLETO DA VALVULA DE SUCÇÃO SABROE SMC 106L"</f>
        <v>REPARO COMPLETO DA VALVULA DE SUCÇÃO SABROE SMC 106L</v>
      </c>
      <c r="C20004" s="2" t="str">
        <f t="shared" si="788"/>
        <v>UN</v>
      </c>
      <c r="D20004" s="7">
        <v>912</v>
      </c>
      <c r="E20004" s="3">
        <v>10</v>
      </c>
      <c r="F20004" s="2">
        <v>9</v>
      </c>
      <c r="G20004" t="s">
        <v>512</v>
      </c>
    </row>
    <row r="20005" spans="1:7" x14ac:dyDescent="0.25">
      <c r="A20005" s="1" t="str">
        <f>"514220"</f>
        <v>514220</v>
      </c>
      <c r="B20005" s="2" t="str">
        <f>"REPARO DA CUICA"</f>
        <v>REPARO DA CUICA</v>
      </c>
      <c r="C20005" s="2" t="str">
        <f t="shared" si="788"/>
        <v>UN</v>
      </c>
      <c r="D20005" s="7">
        <v>704</v>
      </c>
      <c r="E20005" s="3">
        <v>9</v>
      </c>
      <c r="F20005" s="2">
        <v>5</v>
      </c>
      <c r="G20005" t="s">
        <v>513</v>
      </c>
    </row>
    <row r="20006" spans="1:7" x14ac:dyDescent="0.25">
      <c r="A20006" s="1" t="str">
        <f>"528092"</f>
        <v>528092</v>
      </c>
      <c r="B20006" s="2" t="str">
        <f>"REPARO DA DESNATADEIRA - REF 2839"</f>
        <v>REPARO DA DESNATADEIRA - REF 2839</v>
      </c>
      <c r="C20006" s="2" t="str">
        <f t="shared" si="788"/>
        <v>UN</v>
      </c>
      <c r="D20006" s="7">
        <v>918</v>
      </c>
      <c r="E20006" s="3">
        <v>11</v>
      </c>
      <c r="F20006" s="2">
        <v>3</v>
      </c>
      <c r="G20006" t="s">
        <v>514</v>
      </c>
    </row>
    <row r="20007" spans="1:7" x14ac:dyDescent="0.25">
      <c r="A20007" s="1" t="str">
        <f>"503409"</f>
        <v>503409</v>
      </c>
      <c r="B20007" s="2" t="str">
        <f>"REPARO DA REDUZIDA"</f>
        <v>REPARO DA REDUZIDA</v>
      </c>
      <c r="C20007" s="2" t="str">
        <f t="shared" si="788"/>
        <v>UN</v>
      </c>
      <c r="D20007" s="7">
        <v>704</v>
      </c>
      <c r="E20007" s="3">
        <v>9</v>
      </c>
      <c r="F20007" s="2">
        <v>3</v>
      </c>
      <c r="G20007" t="s">
        <v>515</v>
      </c>
    </row>
    <row r="20008" spans="1:7" x14ac:dyDescent="0.25">
      <c r="A20008" s="1" t="str">
        <f>"500625"</f>
        <v>500625</v>
      </c>
      <c r="B20008" s="2" t="str">
        <f>"REPARO DA TAMPA INTERMEDIARIA VW8100"</f>
        <v>REPARO DA TAMPA INTERMEDIARIA VW8100</v>
      </c>
      <c r="C20008" s="2" t="str">
        <f t="shared" si="788"/>
        <v>UN</v>
      </c>
      <c r="D20008" s="7">
        <v>704</v>
      </c>
      <c r="E20008" s="3">
        <v>9</v>
      </c>
      <c r="F20008" s="2">
        <v>2</v>
      </c>
      <c r="G20008" t="s">
        <v>512</v>
      </c>
    </row>
    <row r="20009" spans="1:7" x14ac:dyDescent="0.25">
      <c r="A20009" s="1" t="str">
        <f>"501742"</f>
        <v>501742</v>
      </c>
      <c r="B20009" s="2" t="str">
        <f>"REPARO DE BOMBA INJETORA"</f>
        <v>REPARO DE BOMBA INJETORA</v>
      </c>
      <c r="C20009" s="2" t="str">
        <f t="shared" si="788"/>
        <v>UN</v>
      </c>
      <c r="D20009" s="7">
        <v>704</v>
      </c>
      <c r="E20009" s="3">
        <v>9</v>
      </c>
      <c r="F20009" s="2">
        <v>1</v>
      </c>
      <c r="G20009" t="s">
        <v>516</v>
      </c>
    </row>
    <row r="20010" spans="1:7" x14ac:dyDescent="0.25">
      <c r="A20010" s="1" t="str">
        <f>"506980"</f>
        <v>506980</v>
      </c>
      <c r="B20010" s="2" t="str">
        <f>"REPARO DE CORTE DO REFIL DA DINIEPER"</f>
        <v>REPARO DE CORTE DO REFIL DA DINIEPER</v>
      </c>
      <c r="C20010" s="2" t="str">
        <f t="shared" si="788"/>
        <v>UN</v>
      </c>
      <c r="D20010" s="7">
        <v>918</v>
      </c>
      <c r="E20010" s="3">
        <v>11</v>
      </c>
      <c r="F20010" s="2">
        <v>4</v>
      </c>
      <c r="G20010" t="s">
        <v>515</v>
      </c>
    </row>
    <row r="20011" spans="1:7" x14ac:dyDescent="0.25">
      <c r="A20011" s="1" t="str">
        <f>"501805"</f>
        <v>501805</v>
      </c>
      <c r="B20011" s="2" t="str">
        <f>"REPARO DO PATIM TRAZEIRO"</f>
        <v>REPARO DO PATIM TRAZEIRO</v>
      </c>
      <c r="C20011" s="2" t="str">
        <f t="shared" si="788"/>
        <v>UN</v>
      </c>
      <c r="D20011" s="7">
        <v>704</v>
      </c>
      <c r="E20011" s="3">
        <v>9</v>
      </c>
      <c r="F20011" s="2">
        <v>6</v>
      </c>
      <c r="G20011" t="s">
        <v>514</v>
      </c>
    </row>
    <row r="20012" spans="1:7" x14ac:dyDescent="0.25">
      <c r="A20012" s="1" t="str">
        <f>"509577"</f>
        <v>509577</v>
      </c>
      <c r="B20012" s="2" t="str">
        <f>"REPARO DO PISTAO HORIZONTAL"</f>
        <v>REPARO DO PISTAO HORIZONTAL</v>
      </c>
      <c r="C20012" s="2" t="str">
        <f t="shared" si="788"/>
        <v>UN</v>
      </c>
      <c r="D20012" s="7">
        <v>918</v>
      </c>
      <c r="E20012" s="3">
        <v>11</v>
      </c>
      <c r="F20012" s="2">
        <v>8</v>
      </c>
      <c r="G20012" t="s">
        <v>512</v>
      </c>
    </row>
    <row r="20013" spans="1:7" x14ac:dyDescent="0.25">
      <c r="A20013" s="1" t="str">
        <f>"502001"</f>
        <v>502001</v>
      </c>
      <c r="B20013" s="2" t="str">
        <f>"REPARO EIXO S MASTER"</f>
        <v>REPARO EIXO S MASTER</v>
      </c>
      <c r="C20013" s="2" t="str">
        <f t="shared" si="788"/>
        <v>UN</v>
      </c>
      <c r="D20013" s="7">
        <v>704</v>
      </c>
      <c r="E20013" s="3">
        <v>9</v>
      </c>
      <c r="F20013" s="2">
        <v>7</v>
      </c>
      <c r="G20013" t="s">
        <v>513</v>
      </c>
    </row>
    <row r="20014" spans="1:7" x14ac:dyDescent="0.25">
      <c r="A20014" s="1" t="str">
        <f>"504605"</f>
        <v>504605</v>
      </c>
      <c r="B20014" s="2" t="str">
        <f>"REPARO EMBREAGE RRCE0010.2"</f>
        <v>REPARO EMBREAGE RRCE0010.2</v>
      </c>
      <c r="C20014" s="2" t="str">
        <f t="shared" si="788"/>
        <v>UN</v>
      </c>
      <c r="D20014" s="7">
        <v>704</v>
      </c>
      <c r="E20014" s="3">
        <v>9</v>
      </c>
      <c r="F20014" s="2">
        <v>6</v>
      </c>
      <c r="G20014" t="s">
        <v>514</v>
      </c>
    </row>
    <row r="20015" spans="1:7" x14ac:dyDescent="0.25">
      <c r="A20015" s="1" t="str">
        <f>"500798"</f>
        <v>500798</v>
      </c>
      <c r="B20015" s="2" t="str">
        <f>"REPARO FESTER CILINDRO CPKR 040BD"</f>
        <v>REPARO FESTER CILINDRO CPKR 040BD</v>
      </c>
      <c r="C20015" s="2" t="str">
        <f>"BR"</f>
        <v>BR</v>
      </c>
      <c r="D20015" s="7">
        <v>808</v>
      </c>
      <c r="E20015" s="3">
        <v>10</v>
      </c>
      <c r="F20015" s="2">
        <v>6</v>
      </c>
      <c r="G20015" t="s">
        <v>514</v>
      </c>
    </row>
    <row r="20016" spans="1:7" x14ac:dyDescent="0.25">
      <c r="A20016" s="1" t="str">
        <f>"501022"</f>
        <v>501022</v>
      </c>
      <c r="B20016" s="2" t="str">
        <f>"REPARO FESTER VAL VPKR 14333 COD.17.8900"</f>
        <v>REPARO FESTER VAL VPKR 14333 COD.17.8900</v>
      </c>
      <c r="C20016" s="2" t="str">
        <f>"BR"</f>
        <v>BR</v>
      </c>
      <c r="D20016" s="7">
        <v>808</v>
      </c>
      <c r="E20016" s="3">
        <v>10</v>
      </c>
      <c r="F20016" s="2">
        <v>2</v>
      </c>
      <c r="G20016" t="s">
        <v>512</v>
      </c>
    </row>
    <row r="20017" spans="1:7" x14ac:dyDescent="0.25">
      <c r="A20017" s="1" t="str">
        <f>"501028"</f>
        <v>501028</v>
      </c>
      <c r="B20017" s="2" t="str">
        <f>"REPARO FESTO ADV20/25-A 13681R708"</f>
        <v>REPARO FESTO ADV20/25-A 13681R708</v>
      </c>
      <c r="C20017" s="2" t="str">
        <f>"BR"</f>
        <v>BR</v>
      </c>
      <c r="D20017" s="7">
        <v>808</v>
      </c>
      <c r="E20017" s="3">
        <v>10</v>
      </c>
      <c r="F20017" s="2">
        <v>1</v>
      </c>
      <c r="G20017" t="s">
        <v>513</v>
      </c>
    </row>
    <row r="20018" spans="1:7" x14ac:dyDescent="0.25">
      <c r="A20018" s="1" t="str">
        <f>"522485"</f>
        <v>522485</v>
      </c>
      <c r="B20018" s="2" t="str">
        <f>"REPARO FESTO DFM-16-30-PPV-GF 383663"</f>
        <v>REPARO FESTO DFM-16-30-PPV-GF 383663</v>
      </c>
      <c r="C20018" s="2" t="str">
        <f t="shared" ref="C20018:C20028" si="789">"UN"</f>
        <v>UN</v>
      </c>
      <c r="D20018" s="7">
        <v>901</v>
      </c>
      <c r="E20018" s="3">
        <v>10</v>
      </c>
      <c r="F20018" s="2">
        <v>0</v>
      </c>
      <c r="G20018" t="s">
        <v>514</v>
      </c>
    </row>
    <row r="20019" spans="1:7" x14ac:dyDescent="0.25">
      <c r="A20019" s="1" t="str">
        <f>"522483"</f>
        <v>522483</v>
      </c>
      <c r="B20019" s="2" t="str">
        <f>"REPARO FESTO DFM-20-80-P-A-GF 383664"</f>
        <v>REPARO FESTO DFM-20-80-P-A-GF 383664</v>
      </c>
      <c r="C20019" s="2" t="str">
        <f t="shared" si="789"/>
        <v>UN</v>
      </c>
      <c r="D20019" s="7">
        <v>901</v>
      </c>
      <c r="E20019" s="3">
        <v>10</v>
      </c>
      <c r="F20019" s="2">
        <v>0</v>
      </c>
      <c r="G20019" t="s">
        <v>514</v>
      </c>
    </row>
    <row r="20020" spans="1:7" x14ac:dyDescent="0.25">
      <c r="A20020" s="1" t="str">
        <f>"522484"</f>
        <v>522484</v>
      </c>
      <c r="B20020" s="2" t="str">
        <f>"REPARO FESTO DFM-25-115-B-PPV-GF 684523"</f>
        <v>REPARO FESTO DFM-25-115-B-PPV-GF 684523</v>
      </c>
      <c r="C20020" s="2" t="str">
        <f t="shared" si="789"/>
        <v>UN</v>
      </c>
      <c r="D20020" s="7">
        <v>901</v>
      </c>
      <c r="E20020" s="3">
        <v>10</v>
      </c>
      <c r="F20020" s="2">
        <v>0</v>
      </c>
      <c r="G20020" t="s">
        <v>514</v>
      </c>
    </row>
    <row r="20021" spans="1:7" x14ac:dyDescent="0.25">
      <c r="A20021" s="1" t="str">
        <f>"522482"</f>
        <v>522482</v>
      </c>
      <c r="B20021" s="2" t="str">
        <f>"REPARO FESTO DFM-25-40-P-A-GF 383665"</f>
        <v>REPARO FESTO DFM-25-40-P-A-GF 383665</v>
      </c>
      <c r="C20021" s="2" t="str">
        <f t="shared" si="789"/>
        <v>UN</v>
      </c>
      <c r="D20021" s="7">
        <v>901</v>
      </c>
      <c r="E20021" s="3">
        <v>10</v>
      </c>
      <c r="F20021" s="2">
        <v>3</v>
      </c>
      <c r="G20021" t="s">
        <v>513</v>
      </c>
    </row>
    <row r="20022" spans="1:7" x14ac:dyDescent="0.25">
      <c r="A20022" s="1" t="str">
        <f>"519772"</f>
        <v>519772</v>
      </c>
      <c r="B20022" s="2" t="str">
        <f>"REPARO FESTO DFPB-45-090 737039"</f>
        <v>REPARO FESTO DFPB-45-090 737039</v>
      </c>
      <c r="C20022" s="2" t="str">
        <f t="shared" si="789"/>
        <v>UN</v>
      </c>
      <c r="D20022" s="7">
        <v>913</v>
      </c>
      <c r="E20022" s="3">
        <v>11</v>
      </c>
      <c r="F20022" s="5">
        <v>5</v>
      </c>
      <c r="G20022" t="s">
        <v>512</v>
      </c>
    </row>
    <row r="20023" spans="1:7" x14ac:dyDescent="0.25">
      <c r="A20023" s="1" t="str">
        <f>"516375"</f>
        <v>516375</v>
      </c>
      <c r="B20023" s="2" t="str">
        <f>"REPARO FESTO DGP/DGPL-25-PPV-A O.BAND"</f>
        <v>REPARO FESTO DGP/DGPL-25-PPV-A O.BAND</v>
      </c>
      <c r="C20023" s="2" t="str">
        <f t="shared" si="789"/>
        <v>UN</v>
      </c>
      <c r="D20023" s="7">
        <v>913</v>
      </c>
      <c r="E20023" s="3">
        <v>11</v>
      </c>
      <c r="F20023" s="2">
        <v>3</v>
      </c>
      <c r="G20023" t="s">
        <v>513</v>
      </c>
    </row>
    <row r="20024" spans="1:7" x14ac:dyDescent="0.25">
      <c r="A20024" s="1" t="str">
        <f>"503434"</f>
        <v>503434</v>
      </c>
      <c r="B20024" s="2" t="str">
        <f>"REPARO FESTO DGP-25-320-PP Nº14280943"</f>
        <v>REPARO FESTO DGP-25-320-PP Nº14280943</v>
      </c>
      <c r="C20024" s="2" t="str">
        <f t="shared" si="789"/>
        <v>UN</v>
      </c>
      <c r="D20024" s="7">
        <v>808</v>
      </c>
      <c r="E20024" s="3">
        <v>10</v>
      </c>
      <c r="F20024" s="2">
        <v>8</v>
      </c>
      <c r="G20024" t="s">
        <v>514</v>
      </c>
    </row>
    <row r="20025" spans="1:7" x14ac:dyDescent="0.25">
      <c r="A20025" s="1" t="str">
        <f>"522481"</f>
        <v>522481</v>
      </c>
      <c r="B20025" s="2" t="str">
        <f>"REPARO FESTO DNC 63 PPV-S2 369198"</f>
        <v>REPARO FESTO DNC 63 PPV-S2 369198</v>
      </c>
      <c r="C20025" s="2" t="str">
        <f t="shared" si="789"/>
        <v>UN</v>
      </c>
      <c r="D20025" s="7">
        <v>901</v>
      </c>
      <c r="E20025" s="3">
        <v>10</v>
      </c>
      <c r="F20025" s="2">
        <v>6</v>
      </c>
      <c r="G20025" t="s">
        <v>514</v>
      </c>
    </row>
    <row r="20026" spans="1:7" x14ac:dyDescent="0.25">
      <c r="A20026" s="1" t="str">
        <f>"522808"</f>
        <v>522808</v>
      </c>
      <c r="B20026" s="2" t="str">
        <f>"REPARO FESTO DNC-100 PPV S2"</f>
        <v>REPARO FESTO DNC-100 PPV S2</v>
      </c>
      <c r="C20026" s="2" t="str">
        <f t="shared" si="789"/>
        <v>UN</v>
      </c>
      <c r="D20026" s="7">
        <v>808</v>
      </c>
      <c r="E20026" s="3">
        <v>10</v>
      </c>
      <c r="F20026" s="2">
        <v>4</v>
      </c>
      <c r="G20026" t="s">
        <v>514</v>
      </c>
    </row>
    <row r="20027" spans="1:7" x14ac:dyDescent="0.25">
      <c r="A20027" s="1" t="str">
        <f>"501558"</f>
        <v>501558</v>
      </c>
      <c r="B20027" s="2" t="str">
        <f>"REPARO FESTO DNC-40 Nº369196"</f>
        <v>REPARO FESTO DNC-40 Nº369196</v>
      </c>
      <c r="C20027" s="2" t="str">
        <f t="shared" si="789"/>
        <v>UN</v>
      </c>
      <c r="D20027" s="7">
        <v>808</v>
      </c>
      <c r="E20027" s="3">
        <v>10</v>
      </c>
      <c r="F20027" s="2">
        <v>1</v>
      </c>
      <c r="G20027" t="s">
        <v>513</v>
      </c>
    </row>
    <row r="20028" spans="1:7" x14ac:dyDescent="0.25">
      <c r="A20028" s="1" t="str">
        <f>"522529"</f>
        <v>522529</v>
      </c>
      <c r="B20028" s="2" t="str">
        <f>"REPARO FESTO DSBC 63 S2"</f>
        <v>REPARO FESTO DSBC 63 S2</v>
      </c>
      <c r="C20028" s="2" t="str">
        <f t="shared" si="789"/>
        <v>UN</v>
      </c>
      <c r="D20028" s="7">
        <v>901</v>
      </c>
      <c r="E20028" s="3">
        <v>11</v>
      </c>
      <c r="F20028" s="2">
        <v>2</v>
      </c>
      <c r="G20028" t="s">
        <v>513</v>
      </c>
    </row>
    <row r="20029" spans="1:7" x14ac:dyDescent="0.25">
      <c r="A20029" s="1" t="str">
        <f>"504097"</f>
        <v>504097</v>
      </c>
      <c r="B20029" s="2" t="str">
        <f>"REPARO FESTO MFH-5-1/2 SERIE M7-14"</f>
        <v>REPARO FESTO MFH-5-1/2 SERIE M7-14</v>
      </c>
      <c r="C20029" s="2" t="str">
        <f>"BR"</f>
        <v>BR</v>
      </c>
      <c r="D20029" s="7">
        <v>808</v>
      </c>
      <c r="E20029" s="3">
        <v>10</v>
      </c>
      <c r="F20029" s="2">
        <v>7</v>
      </c>
      <c r="G20029" t="s">
        <v>513</v>
      </c>
    </row>
    <row r="20030" spans="1:7" x14ac:dyDescent="0.25">
      <c r="A20030" s="1" t="str">
        <f>"502454"</f>
        <v>502454</v>
      </c>
      <c r="B20030" s="2" t="str">
        <f>"REPARO FESTO MFH-5-3,3 TIPO6068 SERIE689"</f>
        <v>REPARO FESTO MFH-5-3,3 TIPO6068 SERIE689</v>
      </c>
      <c r="C20030" s="2" t="str">
        <f>"BR"</f>
        <v>BR</v>
      </c>
      <c r="D20030" s="7">
        <v>808</v>
      </c>
      <c r="E20030" s="3">
        <v>10</v>
      </c>
      <c r="F20030" s="2">
        <v>9</v>
      </c>
      <c r="G20030" t="s">
        <v>512</v>
      </c>
    </row>
    <row r="20031" spans="1:7" x14ac:dyDescent="0.25">
      <c r="A20031" s="1" t="str">
        <f>"512161"</f>
        <v>512161</v>
      </c>
      <c r="B20031" s="2" t="str">
        <f>"REPARO FESTO MVH-5-1/8-L-S-B 19750"</f>
        <v>REPARO FESTO MVH-5-1/8-L-S-B 19750</v>
      </c>
      <c r="C20031" s="2" t="str">
        <f>"UN"</f>
        <v>UN</v>
      </c>
      <c r="D20031" s="7">
        <v>913</v>
      </c>
      <c r="E20031" s="3">
        <v>11</v>
      </c>
      <c r="F20031" s="2">
        <v>0</v>
      </c>
      <c r="G20031" t="s">
        <v>513</v>
      </c>
    </row>
    <row r="20032" spans="1:7" x14ac:dyDescent="0.25">
      <c r="A20032" s="1" t="str">
        <f>"501351"</f>
        <v>501351</v>
      </c>
      <c r="B20032" s="2" t="str">
        <f>"REPARO FESTO Nº100527 DC 50"</f>
        <v>REPARO FESTO Nº100527 DC 50</v>
      </c>
      <c r="C20032" s="2" t="str">
        <f>"BR"</f>
        <v>BR</v>
      </c>
      <c r="D20032" s="7">
        <v>808</v>
      </c>
      <c r="E20032" s="3">
        <v>10</v>
      </c>
      <c r="F20032" s="2">
        <v>0</v>
      </c>
      <c r="G20032" t="s">
        <v>514</v>
      </c>
    </row>
    <row r="20033" spans="1:7" x14ac:dyDescent="0.25">
      <c r="A20033" s="1" t="str">
        <f>"509579"</f>
        <v>509579</v>
      </c>
      <c r="B20033" s="2" t="str">
        <f>"REPARO FESTO Nº10410 JMFH-5-1/4"</f>
        <v>REPARO FESTO Nº10410 JMFH-5-1/4</v>
      </c>
      <c r="C20033" s="2" t="str">
        <f>"UN"</f>
        <v>UN</v>
      </c>
      <c r="D20033" s="7">
        <v>918</v>
      </c>
      <c r="E20033" s="3">
        <v>11</v>
      </c>
      <c r="F20033" s="2">
        <v>2</v>
      </c>
      <c r="G20033" t="s">
        <v>515</v>
      </c>
    </row>
    <row r="20034" spans="1:7" x14ac:dyDescent="0.25">
      <c r="A20034" s="1" t="str">
        <f>"500988"</f>
        <v>500988</v>
      </c>
      <c r="B20034" s="2" t="str">
        <f>"REPARO FESTO Nº104209 MFH-5-1/8"</f>
        <v>REPARO FESTO Nº104209 MFH-5-1/8</v>
      </c>
      <c r="C20034" s="2" t="str">
        <f>"UN"</f>
        <v>UN</v>
      </c>
      <c r="D20034" s="7">
        <v>808</v>
      </c>
      <c r="E20034" s="3">
        <v>10</v>
      </c>
      <c r="F20034" s="2">
        <v>5</v>
      </c>
      <c r="G20034" t="s">
        <v>512</v>
      </c>
    </row>
    <row r="20035" spans="1:7" x14ac:dyDescent="0.25">
      <c r="A20035" s="1" t="str">
        <f>"501550"</f>
        <v>501550</v>
      </c>
      <c r="B20035" s="2" t="str">
        <f>"REPARO FESTO Nº104211 MFH-5-1/4"</f>
        <v>REPARO FESTO Nº104211 MFH-5-1/4</v>
      </c>
      <c r="C20035" s="2" t="str">
        <f>"PC"</f>
        <v>PC</v>
      </c>
      <c r="D20035" s="7">
        <v>808</v>
      </c>
      <c r="E20035" s="3">
        <v>10</v>
      </c>
      <c r="F20035" s="2">
        <v>6</v>
      </c>
      <c r="G20035" t="s">
        <v>516</v>
      </c>
    </row>
    <row r="20036" spans="1:7" x14ac:dyDescent="0.25">
      <c r="A20036" s="1" t="str">
        <f>"501563"</f>
        <v>501563</v>
      </c>
      <c r="B20036" s="2" t="str">
        <f>"REPARO FESTO Nº115583"</f>
        <v>REPARO FESTO Nº115583</v>
      </c>
      <c r="C20036" s="2" t="str">
        <f>"BR"</f>
        <v>BR</v>
      </c>
      <c r="D20036" s="7">
        <v>808</v>
      </c>
      <c r="E20036" s="3">
        <v>10</v>
      </c>
      <c r="F20036" s="3">
        <v>10</v>
      </c>
      <c r="G20036" t="s">
        <v>515</v>
      </c>
    </row>
    <row r="20037" spans="1:7" x14ac:dyDescent="0.25">
      <c r="A20037" s="1" t="str">
        <f>"510682"</f>
        <v>510682</v>
      </c>
      <c r="B20037" s="2" t="str">
        <f>"REPARO FESTO Nº121119 ADVU-32-100-A-P"</f>
        <v>REPARO FESTO Nº121119 ADVU-32-100-A-P</v>
      </c>
      <c r="C20037" s="2" t="str">
        <f>"PC"</f>
        <v>PC</v>
      </c>
      <c r="D20037" s="7">
        <v>913</v>
      </c>
      <c r="E20037" s="3">
        <v>11</v>
      </c>
      <c r="F20037" s="3">
        <v>11</v>
      </c>
      <c r="G20037" t="s">
        <v>514</v>
      </c>
    </row>
    <row r="20038" spans="1:7" x14ac:dyDescent="0.25">
      <c r="A20038" s="1" t="str">
        <f>"512169"</f>
        <v>512169</v>
      </c>
      <c r="B20038" s="2" t="str">
        <f>"REPARO FESTO Nº121692 DNG 160-PPVA-D9"</f>
        <v>REPARO FESTO Nº121692 DNG 160-PPVA-D9</v>
      </c>
      <c r="C20038" s="2" t="str">
        <f>"PC"</f>
        <v>PC</v>
      </c>
      <c r="D20038" s="7">
        <v>913</v>
      </c>
      <c r="E20038" s="3">
        <v>11</v>
      </c>
      <c r="F20038" s="3">
        <v>11</v>
      </c>
      <c r="G20038" t="s">
        <v>512</v>
      </c>
    </row>
    <row r="20039" spans="1:7" x14ac:dyDescent="0.25">
      <c r="A20039" s="1" t="str">
        <f>"507758"</f>
        <v>507758</v>
      </c>
      <c r="B20039" s="2" t="str">
        <f>"REPARO FESTO Nº13031600 DC-50 PPV"</f>
        <v>REPARO FESTO Nº13031600 DC-50 PPV</v>
      </c>
      <c r="C20039" s="2" t="str">
        <f>"BR"</f>
        <v>BR</v>
      </c>
      <c r="D20039" s="7">
        <v>808</v>
      </c>
      <c r="E20039" s="3">
        <v>10</v>
      </c>
      <c r="F20039" s="3">
        <v>10</v>
      </c>
      <c r="G20039" t="s">
        <v>513</v>
      </c>
    </row>
    <row r="20040" spans="1:7" x14ac:dyDescent="0.25">
      <c r="A20040" s="1" t="str">
        <f>"501221"</f>
        <v>501221</v>
      </c>
      <c r="B20040" s="2" t="str">
        <f>"REPARO FESTO Nº13031601 DC-70 PPV"</f>
        <v>REPARO FESTO Nº13031601 DC-70 PPV</v>
      </c>
      <c r="C20040" s="2" t="str">
        <f>"BR"</f>
        <v>BR</v>
      </c>
      <c r="D20040" s="7">
        <v>808</v>
      </c>
      <c r="E20040" s="3">
        <v>10</v>
      </c>
      <c r="F20040" s="3">
        <v>10</v>
      </c>
      <c r="G20040" t="s">
        <v>514</v>
      </c>
    </row>
    <row r="20041" spans="1:7" x14ac:dyDescent="0.25">
      <c r="A20041" s="1" t="str">
        <f>"501219"</f>
        <v>501219</v>
      </c>
      <c r="B20041" s="2" t="str">
        <f>"REPARO FESTO Nº14285312 VALVULA QUADRADA"</f>
        <v>REPARO FESTO Nº14285312 VALVULA QUADRADA</v>
      </c>
      <c r="C20041" s="2" t="str">
        <f>"PC"</f>
        <v>PC</v>
      </c>
      <c r="D20041" s="7">
        <v>808</v>
      </c>
      <c r="E20041" s="3">
        <v>10</v>
      </c>
      <c r="F20041" s="3">
        <v>10</v>
      </c>
      <c r="G20041" t="s">
        <v>514</v>
      </c>
    </row>
    <row r="20042" spans="1:7" x14ac:dyDescent="0.25">
      <c r="A20042" s="1" t="str">
        <f>"509214"</f>
        <v>509214</v>
      </c>
      <c r="B20042" s="2" t="str">
        <f>"REPARO FESTO Nº181108 - SAQUINHO"</f>
        <v>REPARO FESTO Nº181108 - SAQUINHO</v>
      </c>
      <c r="C20042" s="2" t="str">
        <f>"UN"</f>
        <v>UN</v>
      </c>
      <c r="D20042" s="7">
        <v>913</v>
      </c>
      <c r="E20042" s="3">
        <v>11</v>
      </c>
      <c r="F20042" s="3">
        <v>11</v>
      </c>
      <c r="G20042" t="s">
        <v>512</v>
      </c>
    </row>
    <row r="20043" spans="1:7" x14ac:dyDescent="0.25">
      <c r="A20043" s="1" t="str">
        <f>"501938"</f>
        <v>501938</v>
      </c>
      <c r="B20043" s="2" t="str">
        <f>"REPARO FESTO Nº211729 VALVULA PETIT"</f>
        <v>REPARO FESTO Nº211729 VALVULA PETIT</v>
      </c>
      <c r="C20043" s="2" t="str">
        <f>"BR"</f>
        <v>BR</v>
      </c>
      <c r="D20043" s="7">
        <v>808</v>
      </c>
      <c r="E20043" s="3">
        <v>10</v>
      </c>
      <c r="F20043" s="3">
        <v>10</v>
      </c>
      <c r="G20043" t="s">
        <v>513</v>
      </c>
    </row>
    <row r="20044" spans="1:7" x14ac:dyDescent="0.25">
      <c r="A20044" s="1" t="str">
        <f>"502771"</f>
        <v>502771</v>
      </c>
      <c r="B20044" s="2" t="str">
        <f>"REPARO FESTO Nº223180 VALVULA COPO"</f>
        <v>REPARO FESTO Nº223180 VALVULA COPO</v>
      </c>
      <c r="C20044" s="2" t="str">
        <f>"BR"</f>
        <v>BR</v>
      </c>
      <c r="D20044" s="7">
        <v>808</v>
      </c>
      <c r="E20044" s="3">
        <v>10</v>
      </c>
      <c r="F20044" s="3">
        <v>10</v>
      </c>
      <c r="G20044" t="s">
        <v>514</v>
      </c>
    </row>
    <row r="20045" spans="1:7" x14ac:dyDescent="0.25">
      <c r="A20045" s="1" t="str">
        <f>"501220"</f>
        <v>501220</v>
      </c>
      <c r="B20045" s="2" t="str">
        <f>"REPARO FESTO Nº369195 DNC-32 PPVA"</f>
        <v>REPARO FESTO Nº369195 DNC-32 PPVA</v>
      </c>
      <c r="C20045" s="2" t="str">
        <f>"PC"</f>
        <v>PC</v>
      </c>
      <c r="D20045" s="7">
        <v>808</v>
      </c>
      <c r="E20045" s="3">
        <v>10</v>
      </c>
      <c r="F20045" s="3">
        <v>10</v>
      </c>
      <c r="G20045" t="s">
        <v>514</v>
      </c>
    </row>
    <row r="20046" spans="1:7" x14ac:dyDescent="0.25">
      <c r="A20046" s="1" t="str">
        <f>"501559"</f>
        <v>501559</v>
      </c>
      <c r="B20046" s="2" t="str">
        <f>"REPARO FESTO Nº369195 DNC-32 PPVA"</f>
        <v>REPARO FESTO Nº369195 DNC-32 PPVA</v>
      </c>
      <c r="C20046" s="2" t="str">
        <f t="shared" ref="C20046:C20051" si="790">"UN"</f>
        <v>UN</v>
      </c>
      <c r="D20046" s="7">
        <v>808</v>
      </c>
      <c r="E20046" s="3">
        <v>10</v>
      </c>
      <c r="F20046" s="3">
        <v>10</v>
      </c>
      <c r="G20046" t="s">
        <v>514</v>
      </c>
    </row>
    <row r="20047" spans="1:7" x14ac:dyDescent="0.25">
      <c r="A20047" s="1" t="str">
        <f>"501560"</f>
        <v>501560</v>
      </c>
      <c r="B20047" s="2" t="str">
        <f>"REPARO FESTO Nº369197 DNC-50 PPVA"</f>
        <v>REPARO FESTO Nº369197 DNC-50 PPVA</v>
      </c>
      <c r="C20047" s="2" t="str">
        <f t="shared" si="790"/>
        <v>UN</v>
      </c>
      <c r="D20047" s="7">
        <v>808</v>
      </c>
      <c r="E20047" s="3">
        <v>10</v>
      </c>
      <c r="F20047" s="3">
        <v>10</v>
      </c>
      <c r="G20047" t="s">
        <v>513</v>
      </c>
    </row>
    <row r="20048" spans="1:7" x14ac:dyDescent="0.25">
      <c r="A20048" s="1" t="str">
        <f>"500885"</f>
        <v>500885</v>
      </c>
      <c r="B20048" s="2" t="str">
        <f>"REPARO FESTO Nº369198 DNC-63 PPVA"</f>
        <v>REPARO FESTO Nº369198 DNC-63 PPVA</v>
      </c>
      <c r="C20048" s="2" t="str">
        <f t="shared" si="790"/>
        <v>UN</v>
      </c>
      <c r="D20048" s="7">
        <v>808</v>
      </c>
      <c r="E20048" s="3">
        <v>10</v>
      </c>
      <c r="F20048" s="3">
        <v>10</v>
      </c>
      <c r="G20048" t="s">
        <v>512</v>
      </c>
    </row>
    <row r="20049" spans="1:7" x14ac:dyDescent="0.25">
      <c r="A20049" s="1" t="str">
        <f>"501561"</f>
        <v>501561</v>
      </c>
      <c r="B20049" s="2" t="str">
        <f>"REPARO FESTO Nº369199 DNC-80 PPVA"</f>
        <v>REPARO FESTO Nº369199 DNC-80 PPVA</v>
      </c>
      <c r="C20049" s="2" t="str">
        <f t="shared" si="790"/>
        <v>UN</v>
      </c>
      <c r="D20049" s="7">
        <v>913</v>
      </c>
      <c r="E20049" s="3">
        <v>11</v>
      </c>
      <c r="F20049" s="3">
        <v>11</v>
      </c>
      <c r="G20049" t="s">
        <v>513</v>
      </c>
    </row>
    <row r="20050" spans="1:7" x14ac:dyDescent="0.25">
      <c r="A20050" s="1" t="str">
        <f>"501562"</f>
        <v>501562</v>
      </c>
      <c r="B20050" s="2" t="str">
        <f>"REPARO FESTO Nº369200 DNC-100 PPVA S2"</f>
        <v>REPARO FESTO Nº369200 DNC-100 PPVA S2</v>
      </c>
      <c r="C20050" s="2" t="str">
        <f t="shared" si="790"/>
        <v>UN</v>
      </c>
      <c r="D20050" s="7">
        <v>808</v>
      </c>
      <c r="E20050" s="3">
        <v>10</v>
      </c>
      <c r="F20050" s="3">
        <v>10</v>
      </c>
      <c r="G20050" t="s">
        <v>514</v>
      </c>
    </row>
    <row r="20051" spans="1:7" x14ac:dyDescent="0.25">
      <c r="A20051" s="1" t="str">
        <f>"519548"</f>
        <v>519548</v>
      </c>
      <c r="B20051" s="2" t="str">
        <f>"REPARO FESTO Nº383837 DRQ-50-PPV(J)-A"</f>
        <v>REPARO FESTO Nº383837 DRQ-50-PPV(J)-A</v>
      </c>
      <c r="C20051" s="2" t="str">
        <f t="shared" si="790"/>
        <v>UN</v>
      </c>
      <c r="D20051" s="7">
        <v>808</v>
      </c>
      <c r="E20051" s="3">
        <v>10</v>
      </c>
      <c r="F20051" s="3">
        <v>10</v>
      </c>
      <c r="G20051" t="s">
        <v>514</v>
      </c>
    </row>
    <row r="20052" spans="1:7" x14ac:dyDescent="0.25">
      <c r="A20052" s="1" t="str">
        <f>"521136"</f>
        <v>521136</v>
      </c>
      <c r="B20052" s="2" t="str">
        <f>"REPARO FESTO Nº383837 DRQ-50-PPV(J)-A"</f>
        <v>REPARO FESTO Nº383837 DRQ-50-PPV(J)-A</v>
      </c>
      <c r="C20052" s="2" t="str">
        <f>"BR"</f>
        <v>BR</v>
      </c>
      <c r="D20052" s="7">
        <v>808</v>
      </c>
      <c r="E20052" s="3">
        <v>10</v>
      </c>
      <c r="F20052" s="3">
        <v>10</v>
      </c>
      <c r="G20052" t="s">
        <v>514</v>
      </c>
    </row>
    <row r="20053" spans="1:7" x14ac:dyDescent="0.25">
      <c r="A20053" s="1" t="str">
        <f>"519773"</f>
        <v>519773</v>
      </c>
      <c r="B20053" s="2" t="str">
        <f>"REPARO FESTO Nº384218 DNC-80 PPVA-S6"</f>
        <v>REPARO FESTO Nº384218 DNC-80 PPVA-S6</v>
      </c>
      <c r="C20053" s="2" t="str">
        <f>"UN"</f>
        <v>UN</v>
      </c>
      <c r="D20053" s="7">
        <v>913</v>
      </c>
      <c r="E20053" s="3">
        <v>11</v>
      </c>
      <c r="F20053" s="3">
        <v>11</v>
      </c>
      <c r="G20053" t="s">
        <v>513</v>
      </c>
    </row>
    <row r="20054" spans="1:7" x14ac:dyDescent="0.25">
      <c r="A20054" s="1" t="str">
        <f>"521277"</f>
        <v>521277</v>
      </c>
      <c r="B20054" s="2" t="str">
        <f>"REPARO FESTO Nº753088 DSBC 32"</f>
        <v>REPARO FESTO Nº753088 DSBC 32</v>
      </c>
      <c r="C20054" s="2" t="str">
        <f>"UN"</f>
        <v>UN</v>
      </c>
      <c r="D20054" s="7">
        <v>918</v>
      </c>
      <c r="E20054" s="3">
        <v>11</v>
      </c>
      <c r="F20054" s="3">
        <v>11</v>
      </c>
      <c r="G20054" t="s">
        <v>513</v>
      </c>
    </row>
    <row r="20055" spans="1:7" x14ac:dyDescent="0.25">
      <c r="A20055" s="1" t="str">
        <f>"521276"</f>
        <v>521276</v>
      </c>
      <c r="B20055" s="2" t="str">
        <f>"REPARO FESTO Nº753091 DSBC-63"</f>
        <v>REPARO FESTO Nº753091 DSBC-63</v>
      </c>
      <c r="C20055" s="2" t="str">
        <f>"UN"</f>
        <v>UN</v>
      </c>
      <c r="D20055" s="7">
        <v>918</v>
      </c>
      <c r="E20055" s="3">
        <v>11</v>
      </c>
      <c r="F20055" s="3">
        <v>11</v>
      </c>
      <c r="G20055" t="s">
        <v>513</v>
      </c>
    </row>
    <row r="20056" spans="1:7" x14ac:dyDescent="0.25">
      <c r="A20056" s="1" t="str">
        <f>"503547"</f>
        <v>503547</v>
      </c>
      <c r="B20056" s="2" t="str">
        <f>"REPARO FESTO REG. FLUXO GRA-1/4-B"</f>
        <v>REPARO FESTO REG. FLUXO GRA-1/4-B</v>
      </c>
      <c r="C20056" s="2" t="str">
        <f>"BR"</f>
        <v>BR</v>
      </c>
      <c r="D20056" s="7">
        <v>808</v>
      </c>
      <c r="E20056" s="3">
        <v>10</v>
      </c>
      <c r="F20056" s="3">
        <v>10</v>
      </c>
      <c r="G20056" t="s">
        <v>512</v>
      </c>
    </row>
    <row r="20057" spans="1:7" x14ac:dyDescent="0.25">
      <c r="A20057" s="1" t="str">
        <f>"501246"</f>
        <v>501246</v>
      </c>
      <c r="B20057" s="2" t="str">
        <f>"REPARO GRAFITE 48mm BOMBA POSITIVA"</f>
        <v>REPARO GRAFITE 48mm BOMBA POSITIVA</v>
      </c>
      <c r="C20057" s="2" t="str">
        <f>"UN"</f>
        <v>UN</v>
      </c>
      <c r="D20057" s="7">
        <v>918</v>
      </c>
      <c r="E20057" s="3">
        <v>11</v>
      </c>
      <c r="F20057" s="3">
        <v>11</v>
      </c>
      <c r="G20057" t="s">
        <v>513</v>
      </c>
    </row>
    <row r="20058" spans="1:7" x14ac:dyDescent="0.25">
      <c r="A20058" s="1" t="str">
        <f>"501247"</f>
        <v>501247</v>
      </c>
      <c r="B20058" s="2" t="str">
        <f>"REPARO GRAFITE 52MM BOMBA POSITIVA"</f>
        <v>REPARO GRAFITE 52MM BOMBA POSITIVA</v>
      </c>
      <c r="C20058" s="2" t="str">
        <f>"UN"</f>
        <v>UN</v>
      </c>
      <c r="D20058" s="7">
        <v>918</v>
      </c>
      <c r="E20058" s="3">
        <v>11</v>
      </c>
      <c r="F20058" s="3">
        <v>11</v>
      </c>
      <c r="G20058" t="s">
        <v>514</v>
      </c>
    </row>
    <row r="20059" spans="1:7" x14ac:dyDescent="0.25">
      <c r="A20059" s="1" t="str">
        <f>"514159"</f>
        <v>514159</v>
      </c>
      <c r="B20059" s="2" t="str">
        <f>"REPARO HIDRA 2550"</f>
        <v>REPARO HIDRA 2550</v>
      </c>
      <c r="C20059" s="2" t="str">
        <f>"UN"</f>
        <v>UN</v>
      </c>
      <c r="D20059" s="7">
        <v>403</v>
      </c>
      <c r="E20059" s="3">
        <v>4</v>
      </c>
      <c r="F20059" s="3">
        <v>4</v>
      </c>
      <c r="G20059" t="s">
        <v>515</v>
      </c>
    </row>
    <row r="20060" spans="1:7" x14ac:dyDescent="0.25">
      <c r="A20060" s="1" t="str">
        <f>"516475"</f>
        <v>516475</v>
      </c>
      <c r="B20060" s="2" t="str">
        <f>"REPARO INTERNO P/ TORNEIRA AMOSTRA 1"""</f>
        <v>REPARO INTERNO P/ TORNEIRA AMOSTRA 1"</v>
      </c>
      <c r="C20060" s="2" t="str">
        <f>"UN"</f>
        <v>UN</v>
      </c>
      <c r="D20060" s="7">
        <v>807</v>
      </c>
      <c r="E20060" s="3">
        <v>10</v>
      </c>
      <c r="F20060" s="3">
        <v>10</v>
      </c>
      <c r="G20060" t="s">
        <v>512</v>
      </c>
    </row>
    <row r="20061" spans="1:7" x14ac:dyDescent="0.25">
      <c r="A20061" s="1" t="str">
        <f>"501190"</f>
        <v>501190</v>
      </c>
      <c r="B20061" s="2" t="str">
        <f>"REPARO MANIFULDE REXROTH 18806003"</f>
        <v>REPARO MANIFULDE REXROTH 18806003</v>
      </c>
      <c r="C20061" s="2" t="str">
        <f>"BR"</f>
        <v>BR</v>
      </c>
      <c r="D20061" s="7">
        <v>808</v>
      </c>
      <c r="E20061" s="3">
        <v>10</v>
      </c>
      <c r="F20061" s="3">
        <v>10</v>
      </c>
      <c r="G20061" t="s">
        <v>516</v>
      </c>
    </row>
    <row r="20062" spans="1:7" x14ac:dyDescent="0.25">
      <c r="A20062" s="1" t="str">
        <f>"507641"</f>
        <v>507641</v>
      </c>
      <c r="B20062" s="2" t="str">
        <f>"REPARO MICRO  0.048.000.101"</f>
        <v>REPARO MICRO  0.048.000.101</v>
      </c>
      <c r="C20062" s="2" t="str">
        <f>"UN"</f>
        <v>UN</v>
      </c>
      <c r="D20062" s="7">
        <v>913</v>
      </c>
      <c r="E20062" s="3">
        <v>11</v>
      </c>
      <c r="F20062" s="3">
        <v>11</v>
      </c>
      <c r="G20062" t="s">
        <v>515</v>
      </c>
    </row>
    <row r="20063" spans="1:7" x14ac:dyDescent="0.25">
      <c r="A20063" s="1" t="str">
        <f>"507896"</f>
        <v>507896</v>
      </c>
      <c r="B20063" s="2" t="str">
        <f>"REPARO MICRO AMORT. 0.047.000.102"</f>
        <v>REPARO MICRO AMORT. 0.047.000.102</v>
      </c>
      <c r="C20063" s="2" t="str">
        <f>"PC"</f>
        <v>PC</v>
      </c>
      <c r="D20063" s="7">
        <v>913</v>
      </c>
      <c r="E20063" s="3">
        <v>11</v>
      </c>
      <c r="F20063" s="3">
        <v>11</v>
      </c>
      <c r="G20063" t="s">
        <v>514</v>
      </c>
    </row>
    <row r="20064" spans="1:7" x14ac:dyDescent="0.25">
      <c r="A20064" s="1" t="str">
        <f>"507707"</f>
        <v>507707</v>
      </c>
      <c r="B20064" s="2" t="str">
        <f>"REPARO MICRO AMORT. 0.048.000.102"</f>
        <v>REPARO MICRO AMORT. 0.048.000.102</v>
      </c>
      <c r="C20064" s="2" t="str">
        <f t="shared" ref="C20064:C20071" si="791">"UN"</f>
        <v>UN</v>
      </c>
      <c r="D20064" s="7">
        <v>913</v>
      </c>
      <c r="E20064" s="3">
        <v>11</v>
      </c>
      <c r="F20064" s="3">
        <v>11</v>
      </c>
      <c r="G20064" t="s">
        <v>512</v>
      </c>
    </row>
    <row r="20065" spans="1:7" x14ac:dyDescent="0.25">
      <c r="A20065" s="1" t="str">
        <f>"509566"</f>
        <v>509566</v>
      </c>
      <c r="B20065" s="2" t="str">
        <f>"REPARO MICRO AMORT. 0.052.000.102"</f>
        <v>REPARO MICRO AMORT. 0.052.000.102</v>
      </c>
      <c r="C20065" s="2" t="str">
        <f t="shared" si="791"/>
        <v>UN</v>
      </c>
      <c r="D20065" s="7">
        <v>913</v>
      </c>
      <c r="E20065" s="3">
        <v>11</v>
      </c>
      <c r="F20065" s="3">
        <v>11</v>
      </c>
      <c r="G20065" t="s">
        <v>513</v>
      </c>
    </row>
    <row r="20066" spans="1:7" x14ac:dyDescent="0.25">
      <c r="A20066" s="1" t="str">
        <f>"509535"</f>
        <v>509535</v>
      </c>
      <c r="B20066" s="2" t="str">
        <f>"REPARO MICRO D100 - 0.052.060.100"</f>
        <v>REPARO MICRO D100 - 0.052.060.100</v>
      </c>
      <c r="C20066" s="2" t="str">
        <f t="shared" si="791"/>
        <v>UN</v>
      </c>
      <c r="D20066" s="7">
        <v>913</v>
      </c>
      <c r="E20066" s="3">
        <v>11</v>
      </c>
      <c r="F20066" s="3">
        <v>11</v>
      </c>
      <c r="G20066" t="s">
        <v>514</v>
      </c>
    </row>
    <row r="20067" spans="1:7" x14ac:dyDescent="0.25">
      <c r="A20067" s="1" t="str">
        <f>"503870"</f>
        <v>503870</v>
      </c>
      <c r="B20067" s="2" t="str">
        <f>"REPARO MICRO DNC 100 REF.0.052.000.101"</f>
        <v>REPARO MICRO DNC 100 REF.0.052.000.101</v>
      </c>
      <c r="C20067" s="2" t="str">
        <f t="shared" si="791"/>
        <v>UN</v>
      </c>
      <c r="D20067" s="7">
        <v>808</v>
      </c>
      <c r="E20067" s="3">
        <v>10</v>
      </c>
      <c r="F20067" s="3">
        <v>10</v>
      </c>
      <c r="G20067" t="s">
        <v>514</v>
      </c>
    </row>
    <row r="20068" spans="1:7" x14ac:dyDescent="0.25">
      <c r="A20068" s="1" t="str">
        <f>"503871"</f>
        <v>503871</v>
      </c>
      <c r="B20068" s="2" t="str">
        <f>"REPARO MICRO DNC 125 REF.0.013.000.101"</f>
        <v>REPARO MICRO DNC 125 REF.0.013.000.101</v>
      </c>
      <c r="C20068" s="2" t="str">
        <f t="shared" si="791"/>
        <v>UN</v>
      </c>
      <c r="D20068" s="7">
        <v>808</v>
      </c>
      <c r="E20068" s="3">
        <v>10</v>
      </c>
      <c r="F20068" s="3">
        <v>10</v>
      </c>
      <c r="G20068" t="s">
        <v>512</v>
      </c>
    </row>
    <row r="20069" spans="1:7" x14ac:dyDescent="0.25">
      <c r="A20069" s="1" t="str">
        <f>"503866"</f>
        <v>503866</v>
      </c>
      <c r="B20069" s="2" t="str">
        <f>"REPARO MICRO DNC 32 REF.0.047.000.101"</f>
        <v>REPARO MICRO DNC 32 REF.0.047.000.101</v>
      </c>
      <c r="C20069" s="2" t="str">
        <f t="shared" si="791"/>
        <v>UN</v>
      </c>
      <c r="D20069" s="7">
        <v>808</v>
      </c>
      <c r="E20069" s="3">
        <v>10</v>
      </c>
      <c r="F20069" s="3">
        <v>10</v>
      </c>
      <c r="G20069" t="s">
        <v>513</v>
      </c>
    </row>
    <row r="20070" spans="1:7" x14ac:dyDescent="0.25">
      <c r="A20070" s="1" t="str">
        <f>"512003"</f>
        <v>512003</v>
      </c>
      <c r="B20070" s="2" t="str">
        <f>"REPARO MICRO DNC 50 REF.0.009.060.050"</f>
        <v>REPARO MICRO DNC 50 REF.0.009.060.050</v>
      </c>
      <c r="C20070" s="2" t="str">
        <f t="shared" si="791"/>
        <v>UN</v>
      </c>
      <c r="D20070" s="7">
        <v>913</v>
      </c>
      <c r="E20070" s="3">
        <v>11</v>
      </c>
      <c r="F20070" s="3">
        <v>11</v>
      </c>
      <c r="G20070" t="s">
        <v>514</v>
      </c>
    </row>
    <row r="20071" spans="1:7" x14ac:dyDescent="0.25">
      <c r="A20071" s="1" t="str">
        <f>"503867"</f>
        <v>503867</v>
      </c>
      <c r="B20071" s="2" t="str">
        <f>"REPARO MICRO DNC 50 REF.0.049.000.101"</f>
        <v>REPARO MICRO DNC 50 REF.0.049.000.101</v>
      </c>
      <c r="C20071" s="2" t="str">
        <f t="shared" si="791"/>
        <v>UN</v>
      </c>
      <c r="D20071" s="7">
        <v>808</v>
      </c>
      <c r="E20071" s="3">
        <v>10</v>
      </c>
      <c r="F20071" s="3">
        <v>10</v>
      </c>
      <c r="G20071" t="s">
        <v>514</v>
      </c>
    </row>
    <row r="20072" spans="1:7" x14ac:dyDescent="0.25">
      <c r="A20072" s="1" t="str">
        <f>"503868"</f>
        <v>503868</v>
      </c>
      <c r="B20072" s="2" t="str">
        <f>"REPARO MICRO DNC 63 REF.0.050.000.101"</f>
        <v>REPARO MICRO DNC 63 REF.0.050.000.101</v>
      </c>
      <c r="C20072" s="2" t="str">
        <f>"BR"</f>
        <v>BR</v>
      </c>
      <c r="D20072" s="7">
        <v>808</v>
      </c>
      <c r="E20072" s="3">
        <v>10</v>
      </c>
      <c r="F20072" s="3">
        <v>10</v>
      </c>
      <c r="G20072" t="s">
        <v>514</v>
      </c>
    </row>
    <row r="20073" spans="1:7" x14ac:dyDescent="0.25">
      <c r="A20073" s="1" t="str">
        <f>"503869"</f>
        <v>503869</v>
      </c>
      <c r="B20073" s="2" t="str">
        <f>"REPARO MICRO DNC 80 REF.0.051.000.101"</f>
        <v>REPARO MICRO DNC 80 REF.0.051.000.101</v>
      </c>
      <c r="C20073" s="2" t="str">
        <f t="shared" ref="C20073:C20079" si="792">"UN"</f>
        <v>UN</v>
      </c>
      <c r="D20073" s="7">
        <v>808</v>
      </c>
      <c r="E20073" s="3">
        <v>10</v>
      </c>
      <c r="F20073" s="3">
        <v>10</v>
      </c>
      <c r="G20073" t="s">
        <v>513</v>
      </c>
    </row>
    <row r="20074" spans="1:7" x14ac:dyDescent="0.25">
      <c r="A20074" s="1" t="str">
        <f>"508997"</f>
        <v>508997</v>
      </c>
      <c r="B20074" s="2" t="str">
        <f>"REPARO MICRO REF. 0.047.060.080"</f>
        <v>REPARO MICRO REF. 0.047.060.080</v>
      </c>
      <c r="C20074" s="2" t="str">
        <f t="shared" si="792"/>
        <v>UN</v>
      </c>
      <c r="D20074" s="7">
        <v>913</v>
      </c>
      <c r="E20074" s="3">
        <v>11</v>
      </c>
      <c r="F20074" s="3">
        <v>11</v>
      </c>
      <c r="G20074" t="s">
        <v>512</v>
      </c>
    </row>
    <row r="20075" spans="1:7" x14ac:dyDescent="0.25">
      <c r="A20075" s="1" t="str">
        <f>"504182"</f>
        <v>504182</v>
      </c>
      <c r="B20075" s="2" t="str">
        <f>"REPARO MICRO VALV NG G1/4 0.250.002.522"</f>
        <v>REPARO MICRO VALV NG G1/4 0.250.002.522</v>
      </c>
      <c r="C20075" s="2" t="str">
        <f t="shared" si="792"/>
        <v>UN</v>
      </c>
      <c r="D20075" s="7">
        <v>808</v>
      </c>
      <c r="E20075" s="3">
        <v>10</v>
      </c>
      <c r="F20075" s="3">
        <v>10</v>
      </c>
      <c r="G20075" t="s">
        <v>513</v>
      </c>
    </row>
    <row r="20076" spans="1:7" x14ac:dyDescent="0.25">
      <c r="A20076" s="1" t="str">
        <f>"503976"</f>
        <v>503976</v>
      </c>
      <c r="B20076" s="2" t="str">
        <f>"REPARO MICRO VALV SD G1/4 REF.0200000526"</f>
        <v>REPARO MICRO VALV SD G1/4 REF.0200000526</v>
      </c>
      <c r="C20076" s="2" t="str">
        <f t="shared" si="792"/>
        <v>UN</v>
      </c>
      <c r="D20076" s="7">
        <v>808</v>
      </c>
      <c r="E20076" s="3">
        <v>10</v>
      </c>
      <c r="F20076" s="3">
        <v>10</v>
      </c>
      <c r="G20076" t="s">
        <v>514</v>
      </c>
    </row>
    <row r="20077" spans="1:7" x14ac:dyDescent="0.25">
      <c r="A20077" s="1" t="str">
        <f>"504991"</f>
        <v>504991</v>
      </c>
      <c r="B20077" s="2" t="str">
        <f>"REPARO MOTOR VENTILADOR"</f>
        <v>REPARO MOTOR VENTILADOR</v>
      </c>
      <c r="C20077" s="2" t="str">
        <f t="shared" si="792"/>
        <v>UN</v>
      </c>
      <c r="D20077" s="7">
        <v>704</v>
      </c>
      <c r="E20077" s="3">
        <v>9</v>
      </c>
      <c r="F20077" s="3">
        <v>9</v>
      </c>
      <c r="G20077" t="s">
        <v>514</v>
      </c>
    </row>
    <row r="20078" spans="1:7" x14ac:dyDescent="0.25">
      <c r="A20078" s="1" t="str">
        <f>"510757"</f>
        <v>510757</v>
      </c>
      <c r="B20078" s="2" t="str">
        <f>"REPARO MT 94204-10120"</f>
        <v>REPARO MT 94204-10120</v>
      </c>
      <c r="C20078" s="2" t="str">
        <f t="shared" si="792"/>
        <v>UN</v>
      </c>
      <c r="D20078" s="7">
        <v>913</v>
      </c>
      <c r="E20078" s="3">
        <v>11</v>
      </c>
      <c r="F20078" s="3">
        <v>11</v>
      </c>
      <c r="G20078" t="s">
        <v>514</v>
      </c>
    </row>
    <row r="20079" spans="1:7" x14ac:dyDescent="0.25">
      <c r="A20079" s="1" t="str">
        <f>"501239"</f>
        <v>501239</v>
      </c>
      <c r="B20079" s="2" t="str">
        <f>"REPARO NETZSCH COMPLETO"</f>
        <v>REPARO NETZSCH COMPLETO</v>
      </c>
      <c r="C20079" s="2" t="str">
        <f t="shared" si="792"/>
        <v>UN</v>
      </c>
      <c r="D20079" s="7">
        <v>918</v>
      </c>
      <c r="E20079" s="3">
        <v>11</v>
      </c>
      <c r="F20079" s="3">
        <v>11</v>
      </c>
      <c r="G20079" t="s">
        <v>513</v>
      </c>
    </row>
    <row r="20080" spans="1:7" x14ac:dyDescent="0.25">
      <c r="A20080" s="1" t="str">
        <f>"506565"</f>
        <v>506565</v>
      </c>
      <c r="B20080" s="2" t="str">
        <f>"REPARO NORGREN COD. 2636000"</f>
        <v>REPARO NORGREN COD. 2636000</v>
      </c>
      <c r="C20080" s="2" t="str">
        <f>"PC"</f>
        <v>PC</v>
      </c>
      <c r="D20080" s="7">
        <v>913</v>
      </c>
      <c r="E20080" s="3">
        <v>11</v>
      </c>
      <c r="F20080" s="3">
        <v>11</v>
      </c>
      <c r="G20080" t="s">
        <v>513</v>
      </c>
    </row>
    <row r="20081" spans="1:7" x14ac:dyDescent="0.25">
      <c r="A20081" s="1" t="str">
        <f>"502168"</f>
        <v>502168</v>
      </c>
      <c r="B20081" s="2" t="str">
        <f>"REPARO NORGREN COD.53474-03"</f>
        <v>REPARO NORGREN COD.53474-03</v>
      </c>
      <c r="C20081" s="2" t="str">
        <f>"BR"</f>
        <v>BR</v>
      </c>
      <c r="D20081" s="7">
        <v>808</v>
      </c>
      <c r="E20081" s="3">
        <v>10</v>
      </c>
      <c r="F20081" s="3">
        <v>10</v>
      </c>
      <c r="G20081" t="s">
        <v>513</v>
      </c>
    </row>
    <row r="20082" spans="1:7" x14ac:dyDescent="0.25">
      <c r="A20082" s="1" t="str">
        <f>"501183"</f>
        <v>501183</v>
      </c>
      <c r="B20082" s="2" t="str">
        <f>"REPARO NORGREN QA/8032A/00 BANDEJA"</f>
        <v>REPARO NORGREN QA/8032A/00 BANDEJA</v>
      </c>
      <c r="C20082" s="2" t="str">
        <f t="shared" ref="C20082:C20093" si="793">"UN"</f>
        <v>UN</v>
      </c>
      <c r="D20082" s="7">
        <v>808</v>
      </c>
      <c r="E20082" s="3">
        <v>10</v>
      </c>
      <c r="F20082" s="3">
        <v>10</v>
      </c>
      <c r="G20082" t="s">
        <v>512</v>
      </c>
    </row>
    <row r="20083" spans="1:7" x14ac:dyDescent="0.25">
      <c r="A20083" s="1" t="str">
        <f>"501184"</f>
        <v>501184</v>
      </c>
      <c r="B20083" s="2" t="str">
        <f>"REPARO NORGREN QA/8050A/00 BANDEJA"</f>
        <v>REPARO NORGREN QA/8050A/00 BANDEJA</v>
      </c>
      <c r="C20083" s="2" t="str">
        <f t="shared" si="793"/>
        <v>UN</v>
      </c>
      <c r="D20083" s="7">
        <v>808</v>
      </c>
      <c r="E20083" s="3">
        <v>10</v>
      </c>
      <c r="F20083" s="3">
        <v>10</v>
      </c>
      <c r="G20083" t="s">
        <v>513</v>
      </c>
    </row>
    <row r="20084" spans="1:7" x14ac:dyDescent="0.25">
      <c r="A20084" s="1" t="str">
        <f>"503629"</f>
        <v>503629</v>
      </c>
      <c r="B20084" s="2" t="str">
        <f>"REPARO NORGREN QA/8063A/00 BANDEJA"</f>
        <v>REPARO NORGREN QA/8063A/00 BANDEJA</v>
      </c>
      <c r="C20084" s="2" t="str">
        <f t="shared" si="793"/>
        <v>UN</v>
      </c>
      <c r="D20084" s="7">
        <v>808</v>
      </c>
      <c r="E20084" s="3">
        <v>10</v>
      </c>
      <c r="F20084" s="3">
        <v>10</v>
      </c>
      <c r="G20084" t="s">
        <v>514</v>
      </c>
    </row>
    <row r="20085" spans="1:7" x14ac:dyDescent="0.25">
      <c r="A20085" s="1" t="str">
        <f>"501185"</f>
        <v>501185</v>
      </c>
      <c r="B20085" s="2" t="str">
        <f>"REPARO NORGREN QA/8080A/00 BANDEJA"</f>
        <v>REPARO NORGREN QA/8080A/00 BANDEJA</v>
      </c>
      <c r="C20085" s="2" t="str">
        <f t="shared" si="793"/>
        <v>UN</v>
      </c>
      <c r="D20085" s="7">
        <v>808</v>
      </c>
      <c r="E20085" s="3">
        <v>10</v>
      </c>
      <c r="F20085" s="3">
        <v>10</v>
      </c>
      <c r="G20085" t="s">
        <v>515</v>
      </c>
    </row>
    <row r="20086" spans="1:7" x14ac:dyDescent="0.25">
      <c r="A20086" s="1" t="str">
        <f>"501186"</f>
        <v>501186</v>
      </c>
      <c r="B20086" s="2" t="str">
        <f>"REPARO NORGREN QA/8100A/00 BANDEJA"</f>
        <v>REPARO NORGREN QA/8100A/00 BANDEJA</v>
      </c>
      <c r="C20086" s="2" t="str">
        <f t="shared" si="793"/>
        <v>UN</v>
      </c>
      <c r="D20086" s="7">
        <v>808</v>
      </c>
      <c r="E20086" s="3">
        <v>10</v>
      </c>
      <c r="F20086" s="3">
        <v>10</v>
      </c>
      <c r="G20086" t="s">
        <v>512</v>
      </c>
    </row>
    <row r="20087" spans="1:7" x14ac:dyDescent="0.25">
      <c r="A20087" s="1" t="str">
        <f>"504949"</f>
        <v>504949</v>
      </c>
      <c r="B20087" s="2" t="str">
        <f>"REPARO NORGREN VALVULA PNEUM REF.0567314"</f>
        <v>REPARO NORGREN VALVULA PNEUM REF.0567314</v>
      </c>
      <c r="C20087" s="2" t="str">
        <f t="shared" si="793"/>
        <v>UN</v>
      </c>
      <c r="D20087" s="7">
        <v>913</v>
      </c>
      <c r="E20087" s="3">
        <v>11</v>
      </c>
      <c r="F20087" s="3">
        <v>11</v>
      </c>
      <c r="G20087" t="s">
        <v>516</v>
      </c>
    </row>
    <row r="20088" spans="1:7" x14ac:dyDescent="0.25">
      <c r="A20088" s="1" t="str">
        <f>"525390"</f>
        <v>525390</v>
      </c>
      <c r="B20088" s="2" t="str">
        <f>"REPARO P/ ACOPLAMENTO 60MM 3 DENTES"</f>
        <v>REPARO P/ ACOPLAMENTO 60MM 3 DENTES</v>
      </c>
      <c r="C20088" s="2" t="str">
        <f t="shared" si="793"/>
        <v>UN</v>
      </c>
      <c r="D20088" s="7">
        <v>807</v>
      </c>
      <c r="E20088" s="3">
        <v>10</v>
      </c>
      <c r="F20088" s="3">
        <v>10</v>
      </c>
      <c r="G20088" t="s">
        <v>515</v>
      </c>
    </row>
    <row r="20089" spans="1:7" x14ac:dyDescent="0.25">
      <c r="A20089" s="1" t="str">
        <f>"507876"</f>
        <v>507876</v>
      </c>
      <c r="B20089" s="2" t="str">
        <f>"REPARO P/ CINEMATICO"</f>
        <v>REPARO P/ CINEMATICO</v>
      </c>
      <c r="C20089" s="2" t="str">
        <f t="shared" si="793"/>
        <v>UN</v>
      </c>
      <c r="D20089" s="7">
        <v>704</v>
      </c>
      <c r="E20089" s="3">
        <v>9</v>
      </c>
      <c r="F20089" s="3">
        <v>9</v>
      </c>
      <c r="G20089" t="s">
        <v>514</v>
      </c>
    </row>
    <row r="20090" spans="1:7" x14ac:dyDescent="0.25">
      <c r="A20090" s="1" t="str">
        <f>"508197"</f>
        <v>508197</v>
      </c>
      <c r="B20090" s="2" t="str">
        <f>"REPARO P/ MOLA AUTOMATICA 453 COIMBRA"</f>
        <v>REPARO P/ MOLA AUTOMATICA 453 COIMBRA</v>
      </c>
      <c r="C20090" s="2" t="str">
        <f t="shared" si="793"/>
        <v>UN</v>
      </c>
      <c r="D20090" s="7">
        <v>803</v>
      </c>
      <c r="E20090" s="3">
        <v>10</v>
      </c>
      <c r="F20090" s="3">
        <v>10</v>
      </c>
      <c r="G20090" t="s">
        <v>512</v>
      </c>
    </row>
    <row r="20091" spans="1:7" x14ac:dyDescent="0.25">
      <c r="A20091" s="1" t="str">
        <f>"505807"</f>
        <v>505807</v>
      </c>
      <c r="B20091" s="2" t="str">
        <f>"REPARO P/ PURGADOR BOIA PN-25"</f>
        <v>REPARO P/ PURGADOR BOIA PN-25</v>
      </c>
      <c r="C20091" s="2" t="str">
        <f t="shared" si="793"/>
        <v>UN</v>
      </c>
      <c r="D20091" s="7">
        <v>808</v>
      </c>
      <c r="E20091" s="3">
        <v>10</v>
      </c>
      <c r="F20091" s="3">
        <v>10</v>
      </c>
      <c r="G20091" t="s">
        <v>513</v>
      </c>
    </row>
    <row r="20092" spans="1:7" x14ac:dyDescent="0.25">
      <c r="A20092" s="1" t="str">
        <f>"504367"</f>
        <v>504367</v>
      </c>
      <c r="B20092" s="2" t="str">
        <f>"REPARO P/ TORNEIRA DECA"</f>
        <v>REPARO P/ TORNEIRA DECA</v>
      </c>
      <c r="C20092" s="2" t="str">
        <f t="shared" si="793"/>
        <v>UN</v>
      </c>
      <c r="D20092" s="7">
        <v>704</v>
      </c>
      <c r="E20092" s="3">
        <v>9</v>
      </c>
      <c r="F20092" s="3">
        <v>9</v>
      </c>
      <c r="G20092" t="s">
        <v>514</v>
      </c>
    </row>
    <row r="20093" spans="1:7" x14ac:dyDescent="0.25">
      <c r="A20093" s="1" t="str">
        <f>"509802"</f>
        <v>509802</v>
      </c>
      <c r="B20093" s="2" t="str">
        <f>"REPARO P/ VALVULA COD. 5727400002"</f>
        <v>REPARO P/ VALVULA COD. 5727400002</v>
      </c>
      <c r="C20093" s="2" t="str">
        <f t="shared" si="793"/>
        <v>UN</v>
      </c>
      <c r="D20093" s="7">
        <v>918</v>
      </c>
      <c r="E20093" s="3">
        <v>11</v>
      </c>
      <c r="F20093" s="3">
        <v>11</v>
      </c>
      <c r="G20093" t="s">
        <v>514</v>
      </c>
    </row>
    <row r="20094" spans="1:7" x14ac:dyDescent="0.25">
      <c r="A20094" s="1" t="str">
        <f>"502497"</f>
        <v>502497</v>
      </c>
      <c r="B20094" s="2" t="str">
        <f>"REPARO P/ VB 1 1/2"" SILICONE"</f>
        <v>REPARO P/ VB 1 1/2" SILICONE</v>
      </c>
      <c r="C20094" s="2" t="str">
        <f>"PC"</f>
        <v>PC</v>
      </c>
      <c r="D20094" s="7">
        <v>807</v>
      </c>
      <c r="E20094" s="3">
        <v>10</v>
      </c>
      <c r="F20094" s="3">
        <v>10</v>
      </c>
      <c r="G20094" t="s">
        <v>512</v>
      </c>
    </row>
    <row r="20095" spans="1:7" x14ac:dyDescent="0.25">
      <c r="A20095" s="1" t="str">
        <f>"507061"</f>
        <v>507061</v>
      </c>
      <c r="B20095" s="2" t="str">
        <f>"REPARO P/ VB 1"" EPDM"</f>
        <v>REPARO P/ VB 1" EPDM</v>
      </c>
      <c r="C20095" s="2" t="str">
        <f>"PC"</f>
        <v>PC</v>
      </c>
      <c r="D20095" s="7">
        <v>807</v>
      </c>
      <c r="E20095" s="3">
        <v>10</v>
      </c>
      <c r="F20095" s="3">
        <v>10</v>
      </c>
      <c r="G20095" t="s">
        <v>513</v>
      </c>
    </row>
    <row r="20096" spans="1:7" x14ac:dyDescent="0.25">
      <c r="A20096" s="1" t="str">
        <f>"504036"</f>
        <v>504036</v>
      </c>
      <c r="B20096" s="2" t="str">
        <f>"REPARO P/ VB 2 1/2"" - CASTINOX (VITON) 3541-V"</f>
        <v>REPARO P/ VB 2 1/2" - CASTINOX (VITON) 3541-V</v>
      </c>
      <c r="C20096" s="2" t="str">
        <f>"UN"</f>
        <v>UN</v>
      </c>
      <c r="D20096" s="7">
        <v>807</v>
      </c>
      <c r="E20096" s="3">
        <v>10</v>
      </c>
      <c r="F20096" s="3">
        <v>10</v>
      </c>
      <c r="G20096" t="s">
        <v>514</v>
      </c>
    </row>
    <row r="20097" spans="1:7" x14ac:dyDescent="0.25">
      <c r="A20097" s="1" t="str">
        <f>"509542"</f>
        <v>509542</v>
      </c>
      <c r="B20097" s="2" t="str">
        <f>"REPARO P/ VB 2 1/2"" - HINOXILINE (VITON)"</f>
        <v>REPARO P/ VB 2 1/2" - HINOXILINE (VITON)</v>
      </c>
      <c r="C20097" s="2" t="str">
        <f>"PC"</f>
        <v>PC</v>
      </c>
      <c r="D20097" s="7">
        <v>807</v>
      </c>
      <c r="E20097" s="3">
        <v>10</v>
      </c>
      <c r="F20097" s="3">
        <v>10</v>
      </c>
      <c r="G20097" t="s">
        <v>514</v>
      </c>
    </row>
    <row r="20098" spans="1:7" x14ac:dyDescent="0.25">
      <c r="A20098" s="1" t="str">
        <f>"504526"</f>
        <v>504526</v>
      </c>
      <c r="B20098" s="2" t="str">
        <f>"REPARO P/ VB 2"" - CASTINOX 1944-V VITON"</f>
        <v>REPARO P/ VB 2" - CASTINOX 1944-V VITON</v>
      </c>
      <c r="C20098" s="2" t="str">
        <f>"UN"</f>
        <v>UN</v>
      </c>
      <c r="D20098" s="7">
        <v>807</v>
      </c>
      <c r="E20098" s="3">
        <v>10</v>
      </c>
      <c r="F20098" s="3">
        <v>10</v>
      </c>
      <c r="G20098" t="s">
        <v>514</v>
      </c>
    </row>
    <row r="20099" spans="1:7" x14ac:dyDescent="0.25">
      <c r="A20099" s="1" t="str">
        <f>"504530"</f>
        <v>504530</v>
      </c>
      <c r="B20099" s="2" t="str">
        <f>"REPARO P/ VB 2"" - ETSCHEID"</f>
        <v>REPARO P/ VB 2" - ETSCHEID</v>
      </c>
      <c r="C20099" s="2" t="str">
        <f>"UN"</f>
        <v>UN</v>
      </c>
      <c r="D20099" s="7">
        <v>915</v>
      </c>
      <c r="E20099" s="3">
        <v>10</v>
      </c>
      <c r="F20099" s="3">
        <v>10</v>
      </c>
      <c r="G20099" t="s">
        <v>513</v>
      </c>
    </row>
    <row r="20100" spans="1:7" x14ac:dyDescent="0.25">
      <c r="A20100" s="1" t="str">
        <f>"508735"</f>
        <v>508735</v>
      </c>
      <c r="B20100" s="2" t="str">
        <f>"REPARO P/ VB 2"" - HINOXILINE 3542-V VITON"</f>
        <v>REPARO P/ VB 2" - HINOXILINE 3542-V VITON</v>
      </c>
      <c r="C20100" s="2" t="str">
        <f>"PC"</f>
        <v>PC</v>
      </c>
      <c r="D20100" s="7">
        <v>807</v>
      </c>
      <c r="E20100" s="3">
        <v>10</v>
      </c>
      <c r="F20100" s="3">
        <v>10</v>
      </c>
      <c r="G20100" t="s">
        <v>512</v>
      </c>
    </row>
    <row r="20101" spans="1:7" x14ac:dyDescent="0.25">
      <c r="A20101" s="1" t="str">
        <f>"504040"</f>
        <v>504040</v>
      </c>
      <c r="B20101" s="2" t="str">
        <f>"REPARO P/ VB 3"" EPDM"</f>
        <v>REPARO P/ VB 3" EPDM</v>
      </c>
      <c r="C20101" s="2" t="str">
        <f>"BR"</f>
        <v>BR</v>
      </c>
      <c r="D20101" s="7">
        <v>807</v>
      </c>
      <c r="E20101" s="3">
        <v>10</v>
      </c>
      <c r="F20101" s="3">
        <v>10</v>
      </c>
      <c r="G20101" t="s">
        <v>513</v>
      </c>
    </row>
    <row r="20102" spans="1:7" x14ac:dyDescent="0.25">
      <c r="A20102" s="1" t="str">
        <f>"506545"</f>
        <v>506545</v>
      </c>
      <c r="B20102" s="2" t="str">
        <f>"REPARO P/ VB 4"" EPDM"</f>
        <v>REPARO P/ VB 4" EPDM</v>
      </c>
      <c r="C20102" s="2" t="str">
        <f>"UN"</f>
        <v>UN</v>
      </c>
      <c r="D20102" s="7">
        <v>909</v>
      </c>
      <c r="E20102" s="3">
        <v>11</v>
      </c>
      <c r="F20102" s="3">
        <v>11</v>
      </c>
      <c r="G20102" t="s">
        <v>514</v>
      </c>
    </row>
    <row r="20103" spans="1:7" x14ac:dyDescent="0.25">
      <c r="A20103" s="1" t="str">
        <f>"504492"</f>
        <v>504492</v>
      </c>
      <c r="B20103" s="2" t="str">
        <f>"REPARO P/VB EPDM 1.1/2"" TRIVAL"</f>
        <v>REPARO P/VB EPDM 1.1/2" TRIVAL</v>
      </c>
      <c r="C20103" s="2" t="str">
        <f>"UN"</f>
        <v>UN</v>
      </c>
      <c r="D20103" s="7">
        <v>909</v>
      </c>
      <c r="E20103" s="3">
        <v>11</v>
      </c>
      <c r="F20103" s="3">
        <v>11</v>
      </c>
      <c r="G20103" t="s">
        <v>514</v>
      </c>
    </row>
    <row r="20104" spans="1:7" x14ac:dyDescent="0.25">
      <c r="A20104" s="1" t="str">
        <f>"506196"</f>
        <v>506196</v>
      </c>
      <c r="B20104" s="2" t="str">
        <f>"REPARO P/VB EPDM 2"" TRIVAL"</f>
        <v>REPARO P/VB EPDM 2" TRIVAL</v>
      </c>
      <c r="C20104" s="2" t="str">
        <f>"BR"</f>
        <v>BR</v>
      </c>
      <c r="D20104" s="7">
        <v>807</v>
      </c>
      <c r="E20104" s="3">
        <v>10</v>
      </c>
      <c r="F20104" s="3">
        <v>10</v>
      </c>
      <c r="G20104" t="s">
        <v>514</v>
      </c>
    </row>
    <row r="20105" spans="1:7" x14ac:dyDescent="0.25">
      <c r="A20105" s="1" t="str">
        <f>"501030"</f>
        <v>501030</v>
      </c>
      <c r="B20105" s="2" t="str">
        <f>"REPARO PACKER Nº5100-8014"</f>
        <v>REPARO PACKER Nº5100-8014</v>
      </c>
      <c r="C20105" s="2" t="str">
        <f>"BR"</f>
        <v>BR</v>
      </c>
      <c r="D20105" s="7">
        <v>808</v>
      </c>
      <c r="E20105" s="3">
        <v>10</v>
      </c>
      <c r="F20105" s="3">
        <v>10</v>
      </c>
      <c r="G20105" t="s">
        <v>513</v>
      </c>
    </row>
    <row r="20106" spans="1:7" x14ac:dyDescent="0.25">
      <c r="A20106" s="1" t="str">
        <f>"512405"</f>
        <v>512405</v>
      </c>
      <c r="B20106" s="2" t="str">
        <f>"REPARO PISTAO HORIZONTAL"</f>
        <v>REPARO PISTAO HORIZONTAL</v>
      </c>
      <c r="C20106" s="2" t="str">
        <f>"UN"</f>
        <v>UN</v>
      </c>
      <c r="D20106" s="7">
        <v>918</v>
      </c>
      <c r="E20106" s="3">
        <v>11</v>
      </c>
      <c r="F20106" s="3">
        <v>11</v>
      </c>
      <c r="G20106" t="s">
        <v>513</v>
      </c>
    </row>
    <row r="20107" spans="1:7" x14ac:dyDescent="0.25">
      <c r="A20107" s="1" t="str">
        <f>"501188"</f>
        <v>501188</v>
      </c>
      <c r="B20107" s="2" t="str">
        <f>"REPARO REXROTH 572 740 000-2 DINIEPER"</f>
        <v>REPARO REXROTH 572 740 000-2 DINIEPER</v>
      </c>
      <c r="C20107" s="2" t="str">
        <f>"PC"</f>
        <v>PC</v>
      </c>
      <c r="D20107" s="7">
        <v>913</v>
      </c>
      <c r="E20107" s="3">
        <v>11</v>
      </c>
      <c r="F20107" s="3">
        <v>11</v>
      </c>
      <c r="G20107" t="s">
        <v>513</v>
      </c>
    </row>
    <row r="20108" spans="1:7" x14ac:dyDescent="0.25">
      <c r="A20108" s="1" t="str">
        <f>"501187"</f>
        <v>501187</v>
      </c>
      <c r="B20108" s="2" t="str">
        <f>"REPARO REXROTH 577 602 000-2 DINIEPER"</f>
        <v>REPARO REXROTH 577 602 000-2 DINIEPER</v>
      </c>
      <c r="C20108" s="2" t="str">
        <f>"PC"</f>
        <v>PC</v>
      </c>
      <c r="D20108" s="7">
        <v>913</v>
      </c>
      <c r="E20108" s="3">
        <v>11</v>
      </c>
      <c r="F20108" s="3">
        <v>11</v>
      </c>
      <c r="G20108" t="s">
        <v>512</v>
      </c>
    </row>
    <row r="20109" spans="1:7" x14ac:dyDescent="0.25">
      <c r="A20109" s="1" t="str">
        <f>"508216"</f>
        <v>508216</v>
      </c>
      <c r="B20109" s="2" t="str">
        <f>"REPARO REXROTH 577.608-0"</f>
        <v>REPARO REXROTH 577.608-0</v>
      </c>
      <c r="C20109" s="2" t="str">
        <f>"UN"</f>
        <v>UN</v>
      </c>
      <c r="D20109" s="7">
        <v>913</v>
      </c>
      <c r="E20109" s="3">
        <v>11</v>
      </c>
      <c r="F20109" s="3">
        <v>11</v>
      </c>
      <c r="G20109" t="s">
        <v>513</v>
      </c>
    </row>
    <row r="20110" spans="1:7" x14ac:dyDescent="0.25">
      <c r="A20110" s="1" t="str">
        <f>"501192"</f>
        <v>501192</v>
      </c>
      <c r="B20110" s="2" t="str">
        <f>"REPARO SUP. CILINDRO SELAGEM DINIEPER"</f>
        <v>REPARO SUP. CILINDRO SELAGEM DINIEPER</v>
      </c>
      <c r="C20110" s="2" t="str">
        <f>"UN"</f>
        <v>UN</v>
      </c>
      <c r="D20110" s="7">
        <v>913</v>
      </c>
      <c r="E20110" s="3">
        <v>11</v>
      </c>
      <c r="F20110" s="3">
        <v>11</v>
      </c>
      <c r="G20110" t="s">
        <v>514</v>
      </c>
    </row>
    <row r="20111" spans="1:7" x14ac:dyDescent="0.25">
      <c r="A20111" s="1" t="str">
        <f>"505675"</f>
        <v>505675</v>
      </c>
      <c r="B20111" s="2" t="str">
        <f>"REPARO TORNEIRA AMOSTRA 1"""</f>
        <v>REPARO TORNEIRA AMOSTRA 1"</v>
      </c>
      <c r="C20111" s="2" t="str">
        <f>"UN"</f>
        <v>UN</v>
      </c>
      <c r="D20111" s="7">
        <v>704</v>
      </c>
      <c r="E20111" s="3">
        <v>9</v>
      </c>
      <c r="F20111" s="3">
        <v>9</v>
      </c>
      <c r="G20111" t="s">
        <v>515</v>
      </c>
    </row>
    <row r="20112" spans="1:7" x14ac:dyDescent="0.25">
      <c r="A20112" s="1" t="str">
        <f>"503651"</f>
        <v>503651</v>
      </c>
      <c r="B20112" s="2" t="str">
        <f>"REPARO VAL. DESVIO FLUXO DE 1"""</f>
        <v>REPARO VAL. DESVIO FLUXO DE 1"</v>
      </c>
      <c r="C20112" s="2" t="str">
        <f>"BR"</f>
        <v>BR</v>
      </c>
      <c r="D20112" s="7">
        <v>808</v>
      </c>
      <c r="E20112" s="3">
        <v>10</v>
      </c>
      <c r="F20112" s="3">
        <v>10</v>
      </c>
      <c r="G20112" t="s">
        <v>512</v>
      </c>
    </row>
    <row r="20113" spans="1:7" x14ac:dyDescent="0.25">
      <c r="A20113" s="1" t="str">
        <f>"501996"</f>
        <v>501996</v>
      </c>
      <c r="B20113" s="2" t="str">
        <f>"REPARO VALV. ASCO SRC-222-A49 FV-170190"</f>
        <v>REPARO VALV. ASCO SRC-222-A49 FV-170190</v>
      </c>
      <c r="C20113" s="2" t="str">
        <f>"BR"</f>
        <v>BR</v>
      </c>
      <c r="D20113" s="7">
        <v>808</v>
      </c>
      <c r="E20113" s="3">
        <v>10</v>
      </c>
      <c r="F20113" s="3">
        <v>10</v>
      </c>
      <c r="G20113" t="s">
        <v>516</v>
      </c>
    </row>
    <row r="20114" spans="1:7" x14ac:dyDescent="0.25">
      <c r="A20114" s="1" t="str">
        <f>"504572"</f>
        <v>504572</v>
      </c>
      <c r="B20114" s="2" t="str">
        <f>"REPARO VALVULA AUX. FREIO"</f>
        <v>REPARO VALVULA AUX. FREIO</v>
      </c>
      <c r="C20114" s="2" t="str">
        <f t="shared" ref="C20114:C20130" si="794">"UN"</f>
        <v>UN</v>
      </c>
      <c r="D20114" s="7">
        <v>704</v>
      </c>
      <c r="E20114" s="3">
        <v>9</v>
      </c>
      <c r="F20114" s="3">
        <v>9</v>
      </c>
      <c r="G20114" t="s">
        <v>515</v>
      </c>
    </row>
    <row r="20115" spans="1:7" x14ac:dyDescent="0.25">
      <c r="A20115" s="1" t="str">
        <f>"506037"</f>
        <v>506037</v>
      </c>
      <c r="B20115" s="2" t="str">
        <f>"REPARO VALVULA COD.04651.10672.60"</f>
        <v>REPARO VALVULA COD.04651.10672.60</v>
      </c>
      <c r="C20115" s="2" t="str">
        <f t="shared" si="794"/>
        <v>UN</v>
      </c>
      <c r="D20115" s="7">
        <v>913</v>
      </c>
      <c r="E20115" s="3">
        <v>11</v>
      </c>
      <c r="F20115" s="3">
        <v>11</v>
      </c>
      <c r="G20115" t="s">
        <v>514</v>
      </c>
    </row>
    <row r="20116" spans="1:7" x14ac:dyDescent="0.25">
      <c r="A20116" s="1" t="str">
        <f>"502796"</f>
        <v>502796</v>
      </c>
      <c r="B20116" s="2" t="str">
        <f>"REPARO VALVULA DESCARGA"</f>
        <v>REPARO VALVULA DESCARGA</v>
      </c>
      <c r="C20116" s="2" t="str">
        <f t="shared" si="794"/>
        <v>UN</v>
      </c>
      <c r="D20116" s="7">
        <v>704</v>
      </c>
      <c r="E20116" s="3">
        <v>9</v>
      </c>
      <c r="F20116" s="3">
        <v>9</v>
      </c>
      <c r="G20116" t="s">
        <v>512</v>
      </c>
    </row>
    <row r="20117" spans="1:7" x14ac:dyDescent="0.25">
      <c r="A20117" s="1" t="str">
        <f>"502889"</f>
        <v>502889</v>
      </c>
      <c r="B20117" s="2" t="str">
        <f>"REPARO VALVULA DESTACADOR Nº1068"</f>
        <v>REPARO VALVULA DESTACADOR Nº1068</v>
      </c>
      <c r="C20117" s="2" t="str">
        <f t="shared" si="794"/>
        <v>UN</v>
      </c>
      <c r="D20117" s="7">
        <v>913</v>
      </c>
      <c r="E20117" s="3">
        <v>11</v>
      </c>
      <c r="F20117" s="3">
        <v>11</v>
      </c>
      <c r="G20117" t="s">
        <v>513</v>
      </c>
    </row>
    <row r="20118" spans="1:7" x14ac:dyDescent="0.25">
      <c r="A20118" s="1" t="str">
        <f>"508274"</f>
        <v>508274</v>
      </c>
      <c r="B20118" s="2" t="str">
        <f>"REPARO VALVULA DIST. 112 142 CIPEC"</f>
        <v>REPARO VALVULA DIST. 112 142 CIPEC</v>
      </c>
      <c r="C20118" s="2" t="str">
        <f t="shared" si="794"/>
        <v>UN</v>
      </c>
      <c r="D20118" s="7">
        <v>704</v>
      </c>
      <c r="E20118" s="3">
        <v>9</v>
      </c>
      <c r="F20118" s="3">
        <v>9</v>
      </c>
      <c r="G20118" t="s">
        <v>514</v>
      </c>
    </row>
    <row r="20119" spans="1:7" x14ac:dyDescent="0.25">
      <c r="A20119" s="1" t="str">
        <f>"527709"</f>
        <v>527709</v>
      </c>
      <c r="B20119" s="2" t="str">
        <f>"REPARO VALVULA HIDRA 2550"</f>
        <v>REPARO VALVULA HIDRA 2550</v>
      </c>
      <c r="C20119" s="2" t="str">
        <f t="shared" si="794"/>
        <v>UN</v>
      </c>
      <c r="D20119" s="7">
        <v>403</v>
      </c>
      <c r="E20119" s="3">
        <v>4</v>
      </c>
      <c r="F20119" s="3">
        <v>4</v>
      </c>
      <c r="G20119" t="s">
        <v>514</v>
      </c>
    </row>
    <row r="20120" spans="1:7" x14ac:dyDescent="0.25">
      <c r="A20120" s="1" t="str">
        <f>"527102"</f>
        <v>527102</v>
      </c>
      <c r="B20120" s="2" t="str">
        <f>"REPARO VALVULA MICTORIO"</f>
        <v>REPARO VALVULA MICTORIO</v>
      </c>
      <c r="C20120" s="2" t="str">
        <f t="shared" si="794"/>
        <v>UN</v>
      </c>
      <c r="D20120" s="7">
        <v>403</v>
      </c>
      <c r="E20120" s="3">
        <v>4</v>
      </c>
      <c r="F20120" s="3">
        <v>4</v>
      </c>
      <c r="G20120" t="s">
        <v>512</v>
      </c>
    </row>
    <row r="20121" spans="1:7" x14ac:dyDescent="0.25">
      <c r="A20121" s="1" t="str">
        <f>"513889"</f>
        <v>513889</v>
      </c>
      <c r="B20121" s="2" t="str">
        <f>"REPARO VALVULA PEDAL"</f>
        <v>REPARO VALVULA PEDAL</v>
      </c>
      <c r="C20121" s="2" t="str">
        <f t="shared" si="794"/>
        <v>UN</v>
      </c>
      <c r="D20121" s="7">
        <v>99999</v>
      </c>
      <c r="E20121" s="3">
        <v>10</v>
      </c>
      <c r="F20121" s="3">
        <v>10</v>
      </c>
      <c r="G20121" t="s">
        <v>513</v>
      </c>
    </row>
    <row r="20122" spans="1:7" x14ac:dyDescent="0.25">
      <c r="A20122" s="1" t="str">
        <f>"504552"</f>
        <v>504552</v>
      </c>
      <c r="B20122" s="2" t="str">
        <f>"REPARO VALVULA RE4/6S PRE-MONTADO"</f>
        <v>REPARO VALVULA RE4/6S PRE-MONTADO</v>
      </c>
      <c r="C20122" s="2" t="str">
        <f t="shared" si="794"/>
        <v>UN</v>
      </c>
      <c r="D20122" s="7">
        <v>704</v>
      </c>
      <c r="E20122" s="3">
        <v>9</v>
      </c>
      <c r="F20122" s="3">
        <v>9</v>
      </c>
      <c r="G20122" t="s">
        <v>514</v>
      </c>
    </row>
    <row r="20123" spans="1:7" x14ac:dyDescent="0.25">
      <c r="A20123" s="1" t="str">
        <f>"511650"</f>
        <v>511650</v>
      </c>
      <c r="B20123" s="2" t="str">
        <f>"REPARO VEDAÇAO 2ZF CX. DIREÇAO"</f>
        <v>REPARO VEDAÇAO 2ZF CX. DIREÇAO</v>
      </c>
      <c r="C20123" s="2" t="str">
        <f t="shared" si="794"/>
        <v>UN</v>
      </c>
      <c r="D20123" s="7">
        <v>704</v>
      </c>
      <c r="E20123" s="3">
        <v>9</v>
      </c>
      <c r="F20123" s="3">
        <v>9</v>
      </c>
      <c r="G20123" t="s">
        <v>514</v>
      </c>
    </row>
    <row r="20124" spans="1:7" x14ac:dyDescent="0.25">
      <c r="A20124" s="1" t="str">
        <f>"523676"</f>
        <v>523676</v>
      </c>
      <c r="B20124" s="2" t="str">
        <f>"REPLICA INFLÁVEL COPO IOGURTE NATURAL 2MTS"</f>
        <v>REPLICA INFLÁVEL COPO IOGURTE NATURAL 2MTS</v>
      </c>
      <c r="C20124" s="2" t="str">
        <f t="shared" si="794"/>
        <v>UN</v>
      </c>
      <c r="D20124" s="7">
        <v>99999</v>
      </c>
      <c r="E20124" s="3">
        <v>99</v>
      </c>
      <c r="F20124" s="3">
        <v>99</v>
      </c>
      <c r="G20124" t="s">
        <v>514</v>
      </c>
    </row>
    <row r="20125" spans="1:7" x14ac:dyDescent="0.25">
      <c r="A20125" s="1" t="str">
        <f>"523677"</f>
        <v>523677</v>
      </c>
      <c r="B20125" s="2" t="str">
        <f>"REPLICA INFLÁVEL GARRAFA IOGURTE GLUCK 2MTS"</f>
        <v>REPLICA INFLÁVEL GARRAFA IOGURTE GLUCK 2MTS</v>
      </c>
      <c r="C20125" s="2" t="str">
        <f t="shared" si="794"/>
        <v>UN</v>
      </c>
      <c r="D20125" s="7">
        <v>99999</v>
      </c>
      <c r="E20125" s="3">
        <v>99</v>
      </c>
      <c r="F20125" s="3">
        <v>99</v>
      </c>
      <c r="G20125" t="s">
        <v>513</v>
      </c>
    </row>
    <row r="20126" spans="1:7" x14ac:dyDescent="0.25">
      <c r="A20126" s="1" t="str">
        <f>"4012"</f>
        <v>4012</v>
      </c>
      <c r="B20126" s="2" t="str">
        <f>"REQUEIJAO BISNAGA CAROLINA 400G"</f>
        <v>REQUEIJAO BISNAGA CAROLINA 400G</v>
      </c>
      <c r="C20126" s="2" t="str">
        <f t="shared" si="794"/>
        <v>UN</v>
      </c>
      <c r="D20126" s="7">
        <v>62</v>
      </c>
      <c r="E20126" s="3">
        <v>6</v>
      </c>
      <c r="F20126" s="3">
        <v>6</v>
      </c>
      <c r="G20126" t="s">
        <v>512</v>
      </c>
    </row>
    <row r="20127" spans="1:7" x14ac:dyDescent="0.25">
      <c r="A20127" s="1" t="str">
        <f>"1241"</f>
        <v>1241</v>
      </c>
      <c r="B20127" s="2" t="str">
        <f>"REQUEIJAO CREMOS.LIGHT 220 G (COOP)"</f>
        <v>REQUEIJAO CREMOS.LIGHT 220 G (COOP)</v>
      </c>
      <c r="C20127" s="2" t="str">
        <f t="shared" si="794"/>
        <v>UN</v>
      </c>
      <c r="D20127" s="7">
        <v>6</v>
      </c>
      <c r="E20127" s="3">
        <v>6</v>
      </c>
      <c r="F20127" s="3">
        <v>6</v>
      </c>
      <c r="G20127" t="s">
        <v>513</v>
      </c>
    </row>
    <row r="20128" spans="1:7" x14ac:dyDescent="0.25">
      <c r="A20128" s="1" t="str">
        <f>"1240"</f>
        <v>1240</v>
      </c>
      <c r="B20128" s="2" t="str">
        <f>"REQUEIJAO CREMOS.TRAD. 220 G (COOP)"</f>
        <v>REQUEIJAO CREMOS.TRAD. 220 G (COOP)</v>
      </c>
      <c r="C20128" s="2" t="str">
        <f t="shared" si="794"/>
        <v>UN</v>
      </c>
      <c r="D20128" s="7">
        <v>6</v>
      </c>
      <c r="E20128" s="3">
        <v>6</v>
      </c>
      <c r="F20128" s="3">
        <v>6</v>
      </c>
      <c r="G20128" t="s">
        <v>514</v>
      </c>
    </row>
    <row r="20129" spans="1:7" x14ac:dyDescent="0.25">
      <c r="A20129" s="1" t="str">
        <f>"1418"</f>
        <v>1418</v>
      </c>
      <c r="B20129" s="2" t="str">
        <f>"REQUEIJAO CREMOSO CARREFOUR 200 G"</f>
        <v>REQUEIJAO CREMOSO CARREFOUR 200 G</v>
      </c>
      <c r="C20129" s="2" t="str">
        <f t="shared" si="794"/>
        <v>UN</v>
      </c>
      <c r="D20129" s="7">
        <v>5</v>
      </c>
      <c r="E20129" s="3">
        <v>6</v>
      </c>
      <c r="F20129" s="3">
        <v>6</v>
      </c>
      <c r="G20129" t="s">
        <v>514</v>
      </c>
    </row>
    <row r="20130" spans="1:7" x14ac:dyDescent="0.25">
      <c r="A20130" s="1" t="str">
        <f>"1204"</f>
        <v>1204</v>
      </c>
      <c r="B20130" s="2" t="str">
        <f>"REQUEIJAO CREMOSO CARREFOUR 220 G"</f>
        <v>REQUEIJAO CREMOSO CARREFOUR 220 G</v>
      </c>
      <c r="C20130" s="2" t="str">
        <f t="shared" si="794"/>
        <v>UN</v>
      </c>
      <c r="D20130" s="7">
        <v>6</v>
      </c>
      <c r="E20130" s="3">
        <v>6</v>
      </c>
      <c r="F20130" s="3">
        <v>6</v>
      </c>
      <c r="G20130" t="s">
        <v>514</v>
      </c>
    </row>
    <row r="20131" spans="1:7" x14ac:dyDescent="0.25">
      <c r="A20131" s="1" t="str">
        <f>"49"</f>
        <v>49</v>
      </c>
      <c r="B20131" s="2" t="str">
        <f>"REQUEIJAO CREMOSO COM AMIDO - COPO"</f>
        <v>REQUEIJAO CREMOSO COM AMIDO - COPO</v>
      </c>
      <c r="C20131" s="2" t="str">
        <f>"KG"</f>
        <v>KG</v>
      </c>
      <c r="D20131" s="7">
        <v>1900</v>
      </c>
      <c r="E20131" s="3">
        <v>7</v>
      </c>
      <c r="F20131" s="3">
        <v>7</v>
      </c>
      <c r="G20131" t="s">
        <v>513</v>
      </c>
    </row>
    <row r="20132" spans="1:7" x14ac:dyDescent="0.25">
      <c r="A20132" s="1" t="str">
        <f>"1419"</f>
        <v>1419</v>
      </c>
      <c r="B20132" s="2" t="str">
        <f>"REQUEIJAO CREMOSO COPO LIGHT VIVER 200G"</f>
        <v>REQUEIJAO CREMOSO COPO LIGHT VIVER 200G</v>
      </c>
      <c r="C20132" s="2" t="str">
        <f>"UN"</f>
        <v>UN</v>
      </c>
      <c r="D20132" s="7">
        <v>5</v>
      </c>
      <c r="E20132" s="3">
        <v>6</v>
      </c>
      <c r="F20132" s="3">
        <v>6</v>
      </c>
      <c r="G20132" t="s">
        <v>513</v>
      </c>
    </row>
    <row r="20133" spans="1:7" x14ac:dyDescent="0.25">
      <c r="A20133" s="1" t="str">
        <f>"1414"</f>
        <v>1414</v>
      </c>
      <c r="B20133" s="2" t="str">
        <f>"REQUEIJAO CREMOSO COPO LIGHT VIVER 500G"</f>
        <v>REQUEIJAO CREMOSO COPO LIGHT VIVER 500G</v>
      </c>
      <c r="C20133" s="2" t="str">
        <f>"UN"</f>
        <v>UN</v>
      </c>
      <c r="D20133" s="7">
        <v>47</v>
      </c>
      <c r="E20133" s="3">
        <v>6</v>
      </c>
      <c r="F20133" s="3">
        <v>6</v>
      </c>
      <c r="G20133" t="s">
        <v>513</v>
      </c>
    </row>
    <row r="20134" spans="1:7" x14ac:dyDescent="0.25">
      <c r="A20134" s="1" t="str">
        <f>"1881"</f>
        <v>1881</v>
      </c>
      <c r="B20134" s="2" t="str">
        <f>"REQUEIJAO CREMOSO DIA%  LIGHT 200G"</f>
        <v>REQUEIJAO CREMOSO DIA%  LIGHT 200G</v>
      </c>
      <c r="C20134" s="2" t="str">
        <f>"UN"</f>
        <v>UN</v>
      </c>
      <c r="D20134" s="7">
        <v>5</v>
      </c>
      <c r="E20134" s="3">
        <v>6</v>
      </c>
      <c r="F20134" s="3">
        <v>6</v>
      </c>
      <c r="G20134" t="s">
        <v>512</v>
      </c>
    </row>
    <row r="20135" spans="1:7" x14ac:dyDescent="0.25">
      <c r="A20135" s="1" t="str">
        <f>"1880"</f>
        <v>1880</v>
      </c>
      <c r="B20135" s="2" t="str">
        <f>"REQUEIJAO CREMOSO DIA%  TRAD 200G"</f>
        <v>REQUEIJAO CREMOSO DIA%  TRAD 200G</v>
      </c>
      <c r="C20135" s="2" t="str">
        <f>"UN"</f>
        <v>UN</v>
      </c>
      <c r="D20135" s="7">
        <v>5</v>
      </c>
      <c r="E20135" s="3">
        <v>6</v>
      </c>
      <c r="F20135" s="3">
        <v>6</v>
      </c>
      <c r="G20135" t="s">
        <v>513</v>
      </c>
    </row>
    <row r="20136" spans="1:7" x14ac:dyDescent="0.25">
      <c r="A20136" s="1" t="str">
        <f>"50"</f>
        <v>50</v>
      </c>
      <c r="B20136" s="2" t="str">
        <f>"REQUEIJAO CREMOSO LIGHT -  COPO"</f>
        <v>REQUEIJAO CREMOSO LIGHT -  COPO</v>
      </c>
      <c r="C20136" s="2" t="str">
        <f>"KG"</f>
        <v>KG</v>
      </c>
      <c r="D20136" s="7">
        <v>1900</v>
      </c>
      <c r="E20136" s="3">
        <v>7</v>
      </c>
      <c r="F20136" s="3">
        <v>7</v>
      </c>
      <c r="G20136" t="s">
        <v>514</v>
      </c>
    </row>
    <row r="20137" spans="1:7" x14ac:dyDescent="0.25">
      <c r="A20137" s="1" t="str">
        <f>"1628"</f>
        <v>1628</v>
      </c>
      <c r="B20137" s="2" t="str">
        <f>"REQUEIJAO CREMOSO LIGHT CAROLINA 220 G"</f>
        <v>REQUEIJAO CREMOSO LIGHT CAROLINA 220 G</v>
      </c>
      <c r="C20137" s="2" t="str">
        <f t="shared" ref="C20137:C20145" si="795">"UN"</f>
        <v>UN</v>
      </c>
      <c r="D20137" s="7">
        <v>6</v>
      </c>
      <c r="E20137" s="3">
        <v>6</v>
      </c>
      <c r="F20137" s="3">
        <v>6</v>
      </c>
      <c r="G20137" t="s">
        <v>515</v>
      </c>
    </row>
    <row r="20138" spans="1:7" x14ac:dyDescent="0.25">
      <c r="A20138" s="1" t="str">
        <f>"1413"</f>
        <v>1413</v>
      </c>
      <c r="B20138" s="2" t="str">
        <f>"REQUEIJAO CREMOSO LIGHT CARREFOUR  500 G"</f>
        <v>REQUEIJAO CREMOSO LIGHT CARREFOUR  500 G</v>
      </c>
      <c r="C20138" s="2" t="str">
        <f t="shared" si="795"/>
        <v>UN</v>
      </c>
      <c r="D20138" s="7">
        <v>47</v>
      </c>
      <c r="E20138" s="3">
        <v>6</v>
      </c>
      <c r="F20138" s="3">
        <v>6</v>
      </c>
      <c r="G20138" t="s">
        <v>512</v>
      </c>
    </row>
    <row r="20139" spans="1:7" x14ac:dyDescent="0.25">
      <c r="A20139" s="1" t="str">
        <f>"1412"</f>
        <v>1412</v>
      </c>
      <c r="B20139" s="2" t="str">
        <f>"REQUEIJAO CREMOSO LIGHT CARREFOUR 200 G"</f>
        <v>REQUEIJAO CREMOSO LIGHT CARREFOUR 200 G</v>
      </c>
      <c r="C20139" s="2" t="str">
        <f t="shared" si="795"/>
        <v>UN</v>
      </c>
      <c r="D20139" s="7">
        <v>5</v>
      </c>
      <c r="E20139" s="3">
        <v>6</v>
      </c>
      <c r="F20139" s="3">
        <v>6</v>
      </c>
      <c r="G20139" t="s">
        <v>516</v>
      </c>
    </row>
    <row r="20140" spans="1:7" x14ac:dyDescent="0.25">
      <c r="A20140" s="1" t="str">
        <f>"2901"</f>
        <v>2901</v>
      </c>
      <c r="B20140" s="2" t="str">
        <f>"REQUEIJAO CREMOSO LIGHT COPO CAROLINA 200G"</f>
        <v>REQUEIJAO CREMOSO LIGHT COPO CAROLINA 200G</v>
      </c>
      <c r="C20140" s="2" t="str">
        <f t="shared" si="795"/>
        <v>UN</v>
      </c>
      <c r="D20140" s="7">
        <v>5</v>
      </c>
      <c r="E20140" s="3">
        <v>6</v>
      </c>
      <c r="F20140" s="3">
        <v>6</v>
      </c>
      <c r="G20140" t="s">
        <v>515</v>
      </c>
    </row>
    <row r="20141" spans="1:7" x14ac:dyDescent="0.25">
      <c r="A20141" s="1" t="str">
        <f>"1212"</f>
        <v>1212</v>
      </c>
      <c r="B20141" s="2" t="str">
        <f>"REQUEIJÃO CREMOSO LIGHT SEM LACTOSE"</f>
        <v>REQUEIJÃO CREMOSO LIGHT SEM LACTOSE</v>
      </c>
      <c r="C20141" s="2" t="str">
        <f t="shared" si="795"/>
        <v>UN</v>
      </c>
      <c r="D20141" s="7">
        <v>6</v>
      </c>
      <c r="E20141" s="3">
        <v>6</v>
      </c>
      <c r="F20141" s="3">
        <v>6</v>
      </c>
      <c r="G20141" t="s">
        <v>514</v>
      </c>
    </row>
    <row r="20142" spans="1:7" x14ac:dyDescent="0.25">
      <c r="A20142" s="1" t="str">
        <f>"1516"</f>
        <v>1516</v>
      </c>
      <c r="B20142" s="2" t="str">
        <f>"REQUEIJAO CREMOSO LIGHT VIVER 220 G"</f>
        <v>REQUEIJAO CREMOSO LIGHT VIVER 220 G</v>
      </c>
      <c r="C20142" s="2" t="str">
        <f t="shared" si="795"/>
        <v>UN</v>
      </c>
      <c r="D20142" s="7">
        <v>6</v>
      </c>
      <c r="E20142" s="3">
        <v>6</v>
      </c>
      <c r="F20142" s="3">
        <v>6</v>
      </c>
      <c r="G20142" t="s">
        <v>512</v>
      </c>
    </row>
    <row r="20143" spans="1:7" x14ac:dyDescent="0.25">
      <c r="A20143" s="1" t="str">
        <f>"1471"</f>
        <v>1471</v>
      </c>
      <c r="B20143" s="2" t="str">
        <f>"REQUEIJAO CREMOSO LIGTH 200G (COOP)"</f>
        <v>REQUEIJAO CREMOSO LIGTH 200G (COOP)</v>
      </c>
      <c r="C20143" s="2" t="str">
        <f t="shared" si="795"/>
        <v>UN</v>
      </c>
      <c r="D20143" s="7">
        <v>5</v>
      </c>
      <c r="E20143" s="3">
        <v>6</v>
      </c>
      <c r="F20143" s="3">
        <v>6</v>
      </c>
      <c r="G20143" t="s">
        <v>513</v>
      </c>
    </row>
    <row r="20144" spans="1:7" x14ac:dyDescent="0.25">
      <c r="A20144" s="1" t="str">
        <f>"1470"</f>
        <v>1470</v>
      </c>
      <c r="B20144" s="2" t="str">
        <f>"REQUEIJAO CREMOSO TRAD 200G (COOP)"</f>
        <v>REQUEIJAO CREMOSO TRAD 200G (COOP)</v>
      </c>
      <c r="C20144" s="2" t="str">
        <f t="shared" si="795"/>
        <v>UN</v>
      </c>
      <c r="D20144" s="7">
        <v>5</v>
      </c>
      <c r="E20144" s="3">
        <v>6</v>
      </c>
      <c r="F20144" s="3">
        <v>6</v>
      </c>
      <c r="G20144" t="s">
        <v>514</v>
      </c>
    </row>
    <row r="20145" spans="1:7" x14ac:dyDescent="0.25">
      <c r="A20145" s="1" t="str">
        <f>"1627"</f>
        <v>1627</v>
      </c>
      <c r="B20145" s="2" t="str">
        <f>"REQUEIJAO CREMOSO TRAD. CAROLINA 220 G"</f>
        <v>REQUEIJAO CREMOSO TRAD. CAROLINA 220 G</v>
      </c>
      <c r="C20145" s="2" t="str">
        <f t="shared" si="795"/>
        <v>UN</v>
      </c>
      <c r="D20145" s="7">
        <v>6</v>
      </c>
      <c r="E20145" s="3">
        <v>6</v>
      </c>
      <c r="F20145" s="3">
        <v>6</v>
      </c>
      <c r="G20145" t="s">
        <v>514</v>
      </c>
    </row>
    <row r="20146" spans="1:7" x14ac:dyDescent="0.25">
      <c r="A20146" s="1" t="str">
        <f>"53"</f>
        <v>53</v>
      </c>
      <c r="B20146" s="2" t="str">
        <f>"REQUEIJAO CREMOSO TRADICIONAL - COPO"</f>
        <v>REQUEIJAO CREMOSO TRADICIONAL - COPO</v>
      </c>
      <c r="C20146" s="2" t="str">
        <f>"KG"</f>
        <v>KG</v>
      </c>
      <c r="D20146" s="7">
        <v>1900</v>
      </c>
      <c r="E20146" s="3">
        <v>7</v>
      </c>
      <c r="F20146" s="3">
        <v>7</v>
      </c>
      <c r="G20146" t="s">
        <v>512</v>
      </c>
    </row>
    <row r="20147" spans="1:7" x14ac:dyDescent="0.25">
      <c r="A20147" s="1" t="str">
        <f>"1539"</f>
        <v>1539</v>
      </c>
      <c r="B20147" s="2" t="str">
        <f>"REQUEIJAO CREMOSO TRADICIONAL COPO 200 G - BOMPREÇO"</f>
        <v>REQUEIJAO CREMOSO TRADICIONAL COPO 200 G - BOMPREÇO</v>
      </c>
      <c r="C20147" s="2" t="str">
        <f t="shared" ref="C20147:C20168" si="796">"UN"</f>
        <v>UN</v>
      </c>
      <c r="D20147" s="7">
        <v>5</v>
      </c>
      <c r="E20147" s="3">
        <v>6</v>
      </c>
      <c r="F20147" s="3">
        <v>6</v>
      </c>
      <c r="G20147" t="s">
        <v>513</v>
      </c>
    </row>
    <row r="20148" spans="1:7" x14ac:dyDescent="0.25">
      <c r="A20148" s="1" t="str">
        <f>"2900"</f>
        <v>2900</v>
      </c>
      <c r="B20148" s="2" t="str">
        <f>"REQUEIJAO CREMOSO TRADICIONAL COPO CAROLINA 180G"</f>
        <v>REQUEIJAO CREMOSO TRADICIONAL COPO CAROLINA 180G</v>
      </c>
      <c r="C20148" s="2" t="str">
        <f t="shared" si="796"/>
        <v>UN</v>
      </c>
      <c r="D20148" s="7">
        <v>3</v>
      </c>
      <c r="E20148" s="3">
        <v>6</v>
      </c>
      <c r="F20148" s="3">
        <v>6</v>
      </c>
      <c r="G20148" t="s">
        <v>514</v>
      </c>
    </row>
    <row r="20149" spans="1:7" x14ac:dyDescent="0.25">
      <c r="A20149" s="1" t="str">
        <f>"518171"</f>
        <v>518171</v>
      </c>
      <c r="B20149" s="2" t="str">
        <f>"REQUEIJAO FRIMESA LIGHT"</f>
        <v>REQUEIJAO FRIMESA LIGHT</v>
      </c>
      <c r="C20149" s="2" t="str">
        <f t="shared" si="796"/>
        <v>UN</v>
      </c>
      <c r="D20149" s="7">
        <v>5</v>
      </c>
      <c r="E20149" s="3">
        <v>6</v>
      </c>
      <c r="F20149" s="3">
        <v>6</v>
      </c>
      <c r="G20149" t="s">
        <v>514</v>
      </c>
    </row>
    <row r="20150" spans="1:7" x14ac:dyDescent="0.25">
      <c r="A20150" s="1" t="str">
        <f>"515720"</f>
        <v>515720</v>
      </c>
      <c r="B20150" s="2" t="str">
        <f>"REQUISICAO"</f>
        <v>REQUISICAO</v>
      </c>
      <c r="C20150" s="2" t="str">
        <f t="shared" si="796"/>
        <v>UN</v>
      </c>
      <c r="D20150" s="7">
        <v>401</v>
      </c>
      <c r="E20150" s="3">
        <v>4</v>
      </c>
      <c r="F20150" s="3">
        <v>4</v>
      </c>
      <c r="G20150" t="s">
        <v>514</v>
      </c>
    </row>
    <row r="20151" spans="1:7" x14ac:dyDescent="0.25">
      <c r="A20151" s="1" t="str">
        <f>"506087"</f>
        <v>506087</v>
      </c>
      <c r="B20151" s="2" t="str">
        <f>"RES BAINHA 100X38MM 220V COD 080506"</f>
        <v>RES BAINHA 100X38MM 220V COD 080506</v>
      </c>
      <c r="C20151" s="2" t="str">
        <f t="shared" si="796"/>
        <v>UN</v>
      </c>
      <c r="D20151" s="7">
        <v>900</v>
      </c>
      <c r="E20151" s="3">
        <v>11</v>
      </c>
      <c r="F20151" s="3">
        <v>11</v>
      </c>
      <c r="G20151" t="s">
        <v>513</v>
      </c>
    </row>
    <row r="20152" spans="1:7" x14ac:dyDescent="0.25">
      <c r="A20152" s="1" t="str">
        <f>"506088"</f>
        <v>506088</v>
      </c>
      <c r="B20152" s="2" t="str">
        <f>"RES BAINHA 100X40MM 220V COD 080508"</f>
        <v>RES BAINHA 100X40MM 220V COD 080508</v>
      </c>
      <c r="C20152" s="2" t="str">
        <f t="shared" si="796"/>
        <v>UN</v>
      </c>
      <c r="D20152" s="7">
        <v>900</v>
      </c>
      <c r="E20152" s="3">
        <v>11</v>
      </c>
      <c r="F20152" s="3">
        <v>11</v>
      </c>
      <c r="G20152" t="s">
        <v>512</v>
      </c>
    </row>
    <row r="20153" spans="1:7" x14ac:dyDescent="0.25">
      <c r="A20153" s="1" t="str">
        <f>"506084"</f>
        <v>506084</v>
      </c>
      <c r="B20153" s="2" t="str">
        <f>"RES BAINHA 105X95MM 320W 200V COD 080503"</f>
        <v>RES BAINHA 105X95MM 320W 200V COD 080503</v>
      </c>
      <c r="C20153" s="2" t="str">
        <f t="shared" si="796"/>
        <v>UN</v>
      </c>
      <c r="D20153" s="7">
        <v>900</v>
      </c>
      <c r="E20153" s="3">
        <v>11</v>
      </c>
      <c r="F20153" s="3">
        <v>11</v>
      </c>
      <c r="G20153" t="s">
        <v>513</v>
      </c>
    </row>
    <row r="20154" spans="1:7" x14ac:dyDescent="0.25">
      <c r="A20154" s="1" t="str">
        <f>"506085"</f>
        <v>506085</v>
      </c>
      <c r="B20154" s="2" t="str">
        <f>"RES BAINHA 330X55MM 320W 220V COD 080504"</f>
        <v>RES BAINHA 330X55MM 320W 220V COD 080504</v>
      </c>
      <c r="C20154" s="2" t="str">
        <f t="shared" si="796"/>
        <v>UN</v>
      </c>
      <c r="D20154" s="7">
        <v>900</v>
      </c>
      <c r="E20154" s="3">
        <v>11</v>
      </c>
      <c r="F20154" s="3">
        <v>11</v>
      </c>
      <c r="G20154" t="s">
        <v>514</v>
      </c>
    </row>
    <row r="20155" spans="1:7" x14ac:dyDescent="0.25">
      <c r="A20155" s="1" t="str">
        <f>"506090"</f>
        <v>506090</v>
      </c>
      <c r="B20155" s="2" t="str">
        <f>"RES COLEIRA MI 80X115MM 670W 220V 080502"</f>
        <v>RES COLEIRA MI 80X115MM 670W 220V 080502</v>
      </c>
      <c r="C20155" s="2" t="str">
        <f t="shared" si="796"/>
        <v>UN</v>
      </c>
      <c r="D20155" s="7">
        <v>900</v>
      </c>
      <c r="E20155" s="3">
        <v>11</v>
      </c>
      <c r="F20155" s="3">
        <v>11</v>
      </c>
      <c r="G20155" t="s">
        <v>514</v>
      </c>
    </row>
    <row r="20156" spans="1:7" x14ac:dyDescent="0.25">
      <c r="A20156" s="1" t="str">
        <f>"506086"</f>
        <v>506086</v>
      </c>
      <c r="B20156" s="2" t="str">
        <f>"RES COLEIRA MICA 30X50MM 220V COD 080505"</f>
        <v>RES COLEIRA MICA 30X50MM 220V COD 080505</v>
      </c>
      <c r="C20156" s="2" t="str">
        <f t="shared" si="796"/>
        <v>UN</v>
      </c>
      <c r="D20156" s="7">
        <v>900</v>
      </c>
      <c r="E20156" s="3">
        <v>11</v>
      </c>
      <c r="F20156" s="3">
        <v>11</v>
      </c>
      <c r="G20156" t="s">
        <v>514</v>
      </c>
    </row>
    <row r="20157" spans="1:7" x14ac:dyDescent="0.25">
      <c r="A20157" s="1" t="str">
        <f>"506089"</f>
        <v>506089</v>
      </c>
      <c r="B20157" s="2" t="str">
        <f>"RES COLEIRA MICA 55X70MM 270W 220V 80510"</f>
        <v>RES COLEIRA MICA 55X70MM 270W 220V 80510</v>
      </c>
      <c r="C20157" s="2" t="str">
        <f t="shared" si="796"/>
        <v>UN</v>
      </c>
      <c r="D20157" s="7">
        <v>900</v>
      </c>
      <c r="E20157" s="3">
        <v>11</v>
      </c>
      <c r="F20157" s="3">
        <v>11</v>
      </c>
      <c r="G20157" t="s">
        <v>513</v>
      </c>
    </row>
    <row r="20158" spans="1:7" x14ac:dyDescent="0.25">
      <c r="A20158" s="1" t="str">
        <f>"513627"</f>
        <v>513627</v>
      </c>
      <c r="B20158" s="2" t="str">
        <f>"RES DESSECANTE"</f>
        <v>RES DESSECANTE</v>
      </c>
      <c r="C20158" s="2" t="str">
        <f t="shared" si="796"/>
        <v>UN</v>
      </c>
      <c r="D20158" s="7">
        <v>704</v>
      </c>
      <c r="E20158" s="3">
        <v>9</v>
      </c>
      <c r="F20158" s="3">
        <v>9</v>
      </c>
      <c r="G20158" t="s">
        <v>513</v>
      </c>
    </row>
    <row r="20159" spans="1:7" x14ac:dyDescent="0.25">
      <c r="A20159" s="1" t="str">
        <f>"515382"</f>
        <v>515382</v>
      </c>
      <c r="B20159" s="2" t="str">
        <f>"RES ORTO 10.316-10"</f>
        <v>RES ORTO 10.316-10</v>
      </c>
      <c r="C20159" s="2" t="str">
        <f t="shared" si="796"/>
        <v>UN</v>
      </c>
      <c r="D20159" s="7">
        <v>704</v>
      </c>
      <c r="E20159" s="3">
        <v>9</v>
      </c>
      <c r="F20159" s="3">
        <v>9</v>
      </c>
      <c r="G20159" t="s">
        <v>513</v>
      </c>
    </row>
    <row r="20160" spans="1:7" x14ac:dyDescent="0.25">
      <c r="A20160" s="1" t="str">
        <f>"513898"</f>
        <v>513898</v>
      </c>
      <c r="B20160" s="2" t="str">
        <f>"RES ORTO 10.316-10 230KG"</f>
        <v>RES ORTO 10.316-10 230KG</v>
      </c>
      <c r="C20160" s="2" t="str">
        <f t="shared" si="796"/>
        <v>UN</v>
      </c>
      <c r="D20160" s="7">
        <v>99999</v>
      </c>
      <c r="E20160" s="3">
        <v>99</v>
      </c>
      <c r="F20160" s="3">
        <v>99</v>
      </c>
      <c r="G20160" t="s">
        <v>512</v>
      </c>
    </row>
    <row r="20161" spans="1:7" x14ac:dyDescent="0.25">
      <c r="A20161" s="1" t="str">
        <f>"515570"</f>
        <v>515570</v>
      </c>
      <c r="B20161" s="2" t="str">
        <f>"RES. DEG. U 2000W"</f>
        <v>RES. DEG. U 2000W</v>
      </c>
      <c r="C20161" s="2" t="str">
        <f t="shared" si="796"/>
        <v>UN</v>
      </c>
      <c r="D20161" s="7">
        <v>600</v>
      </c>
      <c r="E20161" s="3">
        <v>8</v>
      </c>
      <c r="F20161" s="3">
        <v>8</v>
      </c>
      <c r="G20161" t="s">
        <v>513</v>
      </c>
    </row>
    <row r="20162" spans="1:7" x14ac:dyDescent="0.25">
      <c r="A20162" s="1" t="str">
        <f>"509765"</f>
        <v>509765</v>
      </c>
      <c r="B20162" s="2" t="str">
        <f>"RES. PLACA FUNDIDA DA SELAG. BAND. PETIT"</f>
        <v>RES. PLACA FUNDIDA DA SELAG. BAND. PETIT</v>
      </c>
      <c r="C20162" s="2" t="str">
        <f t="shared" si="796"/>
        <v>UN</v>
      </c>
      <c r="D20162" s="7">
        <v>402</v>
      </c>
      <c r="E20162" s="3">
        <v>4</v>
      </c>
      <c r="F20162" s="3">
        <v>4</v>
      </c>
      <c r="G20162" t="s">
        <v>514</v>
      </c>
    </row>
    <row r="20163" spans="1:7" x14ac:dyDescent="0.25">
      <c r="A20163" s="1" t="str">
        <f>"502114"</f>
        <v>502114</v>
      </c>
      <c r="B20163" s="2" t="str">
        <f>"RES.BAINHA M.100X55MM 4 FUR.SAI.FIO300MM"</f>
        <v>RES.BAINHA M.100X55MM 4 FUR.SAI.FIO300MM</v>
      </c>
      <c r="C20163" s="2" t="str">
        <f t="shared" si="796"/>
        <v>UN</v>
      </c>
      <c r="D20163" s="7">
        <v>900</v>
      </c>
      <c r="E20163" s="3">
        <v>11</v>
      </c>
      <c r="F20163" s="3">
        <v>11</v>
      </c>
      <c r="G20163" t="s">
        <v>515</v>
      </c>
    </row>
    <row r="20164" spans="1:7" x14ac:dyDescent="0.25">
      <c r="A20164" s="1" t="str">
        <f>"502115"</f>
        <v>502115</v>
      </c>
      <c r="B20164" s="2" t="str">
        <f>"RES.COL.MIC.150X25MM SAI.FIO NA EXP.300M"</f>
        <v>RES.COL.MIC.150X25MM SAI.FIO NA EXP.300M</v>
      </c>
      <c r="C20164" s="2" t="str">
        <f t="shared" si="796"/>
        <v>UN</v>
      </c>
      <c r="D20164" s="7">
        <v>900</v>
      </c>
      <c r="E20164" s="3">
        <v>11</v>
      </c>
      <c r="F20164" s="3">
        <v>11</v>
      </c>
      <c r="G20164" t="s">
        <v>512</v>
      </c>
    </row>
    <row r="20165" spans="1:7" x14ac:dyDescent="0.25">
      <c r="A20165" s="1" t="str">
        <f>"504219"</f>
        <v>504219</v>
      </c>
      <c r="B20165" s="2" t="str">
        <f>"RESERVATORIO"</f>
        <v>RESERVATORIO</v>
      </c>
      <c r="C20165" s="2" t="str">
        <f t="shared" si="796"/>
        <v>UN</v>
      </c>
      <c r="D20165" s="7">
        <v>704</v>
      </c>
      <c r="E20165" s="3">
        <v>9</v>
      </c>
      <c r="F20165" s="3">
        <v>9</v>
      </c>
      <c r="G20165" t="s">
        <v>516</v>
      </c>
    </row>
    <row r="20166" spans="1:7" x14ac:dyDescent="0.25">
      <c r="A20166" s="1" t="str">
        <f>"501270"</f>
        <v>501270</v>
      </c>
      <c r="B20166" s="2" t="str">
        <f>"RESERVATORIO AGUA FOR/CARGO 2422 ANO 04"</f>
        <v>RESERVATORIO AGUA FOR/CARGO 2422 ANO 04</v>
      </c>
      <c r="C20166" s="2" t="str">
        <f t="shared" si="796"/>
        <v>UN</v>
      </c>
      <c r="D20166" s="7">
        <v>704</v>
      </c>
      <c r="E20166" s="3">
        <v>9</v>
      </c>
      <c r="F20166" s="3">
        <v>9</v>
      </c>
      <c r="G20166" t="s">
        <v>515</v>
      </c>
    </row>
    <row r="20167" spans="1:7" x14ac:dyDescent="0.25">
      <c r="A20167" s="1" t="str">
        <f>"504969"</f>
        <v>504969</v>
      </c>
      <c r="B20167" s="2" t="str">
        <f>"RESERVATORIO DE AR 115 L"</f>
        <v>RESERVATORIO DE AR 115 L</v>
      </c>
      <c r="C20167" s="2" t="str">
        <f t="shared" si="796"/>
        <v>UN</v>
      </c>
      <c r="D20167" s="7">
        <v>704</v>
      </c>
      <c r="E20167" s="3">
        <v>9</v>
      </c>
      <c r="F20167" s="3">
        <v>9</v>
      </c>
      <c r="G20167" t="s">
        <v>514</v>
      </c>
    </row>
    <row r="20168" spans="1:7" x14ac:dyDescent="0.25">
      <c r="A20168" s="1" t="str">
        <f>"502727"</f>
        <v>502727</v>
      </c>
      <c r="B20168" s="2" t="str">
        <f>"RESERVATORIO DE OLEO (60 LT)"</f>
        <v>RESERVATORIO DE OLEO (60 LT)</v>
      </c>
      <c r="C20168" s="2" t="str">
        <f t="shared" si="796"/>
        <v>UN</v>
      </c>
      <c r="D20168" s="7">
        <v>402</v>
      </c>
      <c r="E20168" s="3">
        <v>4</v>
      </c>
      <c r="F20168" s="3">
        <v>4</v>
      </c>
      <c r="G20168" t="s">
        <v>512</v>
      </c>
    </row>
    <row r="20169" spans="1:7" x14ac:dyDescent="0.25">
      <c r="A20169" s="1" t="str">
        <f>"518431"</f>
        <v>518431</v>
      </c>
      <c r="B20169" s="2" t="str">
        <f>"RESERVATORIO P/ AMONIA 1500LT"</f>
        <v>RESERVATORIO P/ AMONIA 1500LT</v>
      </c>
      <c r="C20169" s="2" t="str">
        <f>"PC"</f>
        <v>PC</v>
      </c>
      <c r="D20169" s="7">
        <v>806</v>
      </c>
      <c r="E20169" s="3">
        <v>13</v>
      </c>
      <c r="F20169" s="3">
        <v>13</v>
      </c>
      <c r="G20169" t="s">
        <v>513</v>
      </c>
    </row>
    <row r="20170" spans="1:7" x14ac:dyDescent="0.25">
      <c r="A20170" s="1" t="str">
        <f>"519006"</f>
        <v>519006</v>
      </c>
      <c r="B20170" s="2" t="str">
        <f>"RESERVATORIO P/ SABONETEIRA COLUMBUS C/ VALVULA 800ML"</f>
        <v>RESERVATORIO P/ SABONETEIRA COLUMBUS C/ VALVULA 800ML</v>
      </c>
      <c r="C20170" s="2" t="str">
        <f t="shared" ref="C20170:C20181" si="797">"UN"</f>
        <v>UN</v>
      </c>
      <c r="D20170" s="7">
        <v>918</v>
      </c>
      <c r="E20170" s="3">
        <v>11</v>
      </c>
      <c r="F20170" s="3">
        <v>11</v>
      </c>
      <c r="G20170" t="s">
        <v>514</v>
      </c>
    </row>
    <row r="20171" spans="1:7" x14ac:dyDescent="0.25">
      <c r="A20171" s="1" t="str">
        <f>"516293"</f>
        <v>516293</v>
      </c>
      <c r="B20171" s="2" t="str">
        <f>"RESERVATORIO TUBULAR COMPLETO 150000LT"</f>
        <v>RESERVATORIO TUBULAR COMPLETO 150000LT</v>
      </c>
      <c r="C20171" s="2" t="str">
        <f t="shared" si="797"/>
        <v>UN</v>
      </c>
      <c r="D20171" s="7">
        <v>808</v>
      </c>
      <c r="E20171" s="3">
        <v>10</v>
      </c>
      <c r="F20171" s="3">
        <v>10</v>
      </c>
      <c r="G20171" t="s">
        <v>514</v>
      </c>
    </row>
    <row r="20172" spans="1:7" x14ac:dyDescent="0.25">
      <c r="A20172" s="1" t="str">
        <f>"516292"</f>
        <v>516292</v>
      </c>
      <c r="B20172" s="2" t="str">
        <f>"RESERVATORIO TUBULAR COMPLETO 20000LT"</f>
        <v>RESERVATORIO TUBULAR COMPLETO 20000LT</v>
      </c>
      <c r="C20172" s="2" t="str">
        <f t="shared" si="797"/>
        <v>UN</v>
      </c>
      <c r="D20172" s="7">
        <v>808</v>
      </c>
      <c r="E20172" s="3">
        <v>10</v>
      </c>
      <c r="F20172" s="3">
        <v>10</v>
      </c>
      <c r="G20172" t="s">
        <v>512</v>
      </c>
    </row>
    <row r="20173" spans="1:7" x14ac:dyDescent="0.25">
      <c r="A20173" s="1" t="str">
        <f>"513135"</f>
        <v>513135</v>
      </c>
      <c r="B20173" s="2" t="str">
        <f>"RESFEDRYL CART 5 COMP"</f>
        <v>RESFEDRYL CART 5 COMP</v>
      </c>
      <c r="C20173" s="2" t="str">
        <f t="shared" si="797"/>
        <v>UN</v>
      </c>
      <c r="D20173" s="7">
        <v>401</v>
      </c>
      <c r="E20173" s="3">
        <v>4</v>
      </c>
      <c r="F20173" s="3">
        <v>4</v>
      </c>
      <c r="G20173" t="s">
        <v>513</v>
      </c>
    </row>
    <row r="20174" spans="1:7" x14ac:dyDescent="0.25">
      <c r="A20174" s="1" t="str">
        <f>"514880"</f>
        <v>514880</v>
      </c>
      <c r="B20174" s="2" t="str">
        <f>"RESFRIADOR A PLACAS 10000 L/H"</f>
        <v>RESFRIADOR A PLACAS 10000 L/H</v>
      </c>
      <c r="C20174" s="2" t="str">
        <f t="shared" si="797"/>
        <v>UN</v>
      </c>
      <c r="D20174" s="7">
        <v>915</v>
      </c>
      <c r="E20174" s="3">
        <v>13</v>
      </c>
      <c r="F20174" s="3">
        <v>13</v>
      </c>
      <c r="G20174" t="s">
        <v>514</v>
      </c>
    </row>
    <row r="20175" spans="1:7" x14ac:dyDescent="0.25">
      <c r="A20175" s="1" t="str">
        <f>"520913"</f>
        <v>520913</v>
      </c>
      <c r="B20175" s="2" t="str">
        <f>"RESFRIADOR DE AGUA GELADA"</f>
        <v>RESFRIADOR DE AGUA GELADA</v>
      </c>
      <c r="C20175" s="2" t="str">
        <f t="shared" si="797"/>
        <v>UN</v>
      </c>
      <c r="D20175" s="7">
        <v>1002</v>
      </c>
      <c r="E20175" s="3">
        <v>10</v>
      </c>
      <c r="F20175" s="3">
        <v>10</v>
      </c>
      <c r="G20175" t="s">
        <v>514</v>
      </c>
    </row>
    <row r="20176" spans="1:7" x14ac:dyDescent="0.25">
      <c r="A20176" s="1" t="str">
        <f>"518496"</f>
        <v>518496</v>
      </c>
      <c r="B20176" s="2" t="str">
        <f>"RESFRIADOR DE IMERSÃO 200 LITROS"</f>
        <v>RESFRIADOR DE IMERSÃO 200 LITROS</v>
      </c>
      <c r="C20176" s="2" t="str">
        <f t="shared" si="797"/>
        <v>UN</v>
      </c>
      <c r="D20176" s="7">
        <v>916</v>
      </c>
      <c r="E20176" s="3">
        <v>13</v>
      </c>
      <c r="F20176" s="3">
        <v>13</v>
      </c>
      <c r="G20176" t="s">
        <v>514</v>
      </c>
    </row>
    <row r="20177" spans="1:7" x14ac:dyDescent="0.25">
      <c r="A20177" s="1" t="str">
        <f>"519867"</f>
        <v>519867</v>
      </c>
      <c r="B20177" s="2" t="str">
        <f>"RESFRIADOR DE LEITE"</f>
        <v>RESFRIADOR DE LEITE</v>
      </c>
      <c r="C20177" s="2" t="str">
        <f t="shared" si="797"/>
        <v>UN</v>
      </c>
      <c r="D20177" s="7">
        <v>99999</v>
      </c>
      <c r="E20177" s="3">
        <v>99</v>
      </c>
      <c r="F20177" s="3">
        <v>99</v>
      </c>
      <c r="G20177" t="s">
        <v>513</v>
      </c>
    </row>
    <row r="20178" spans="1:7" x14ac:dyDescent="0.25">
      <c r="A20178" s="1" t="str">
        <f>"512875"</f>
        <v>512875</v>
      </c>
      <c r="B20178" s="2" t="str">
        <f>"RESFRIADOR DE LEITE 2000L"</f>
        <v>RESFRIADOR DE LEITE 2000L</v>
      </c>
      <c r="C20178" s="2" t="str">
        <f t="shared" si="797"/>
        <v>UN</v>
      </c>
      <c r="D20178" s="7">
        <v>1600</v>
      </c>
      <c r="E20178" s="3">
        <v>13</v>
      </c>
      <c r="F20178" s="3">
        <v>13</v>
      </c>
      <c r="G20178" t="s">
        <v>512</v>
      </c>
    </row>
    <row r="20179" spans="1:7" x14ac:dyDescent="0.25">
      <c r="A20179" s="1" t="str">
        <f>"519254"</f>
        <v>519254</v>
      </c>
      <c r="B20179" s="2" t="str">
        <f>"RESFRIADOR DE LEITE 300L TROPICAL"</f>
        <v>RESFRIADOR DE LEITE 300L TROPICAL</v>
      </c>
      <c r="C20179" s="2" t="str">
        <f t="shared" si="797"/>
        <v>UN</v>
      </c>
      <c r="D20179" s="7">
        <v>1600</v>
      </c>
      <c r="E20179" s="3">
        <v>13</v>
      </c>
      <c r="F20179" s="3">
        <v>13</v>
      </c>
      <c r="G20179" t="s">
        <v>513</v>
      </c>
    </row>
    <row r="20180" spans="1:7" x14ac:dyDescent="0.25">
      <c r="A20180" s="1" t="str">
        <f>"509642"</f>
        <v>509642</v>
      </c>
      <c r="B20180" s="2" t="str">
        <f>"RESFRIADOR DE LEITE 600L GRANEL"</f>
        <v>RESFRIADOR DE LEITE 600L GRANEL</v>
      </c>
      <c r="C20180" s="2" t="str">
        <f t="shared" si="797"/>
        <v>UN</v>
      </c>
      <c r="D20180" s="7">
        <v>1600</v>
      </c>
      <c r="E20180" s="3">
        <v>13</v>
      </c>
      <c r="F20180" s="3">
        <v>13</v>
      </c>
      <c r="G20180" t="s">
        <v>514</v>
      </c>
    </row>
    <row r="20181" spans="1:7" x14ac:dyDescent="0.25">
      <c r="A20181" s="1" t="str">
        <f>"512039"</f>
        <v>512039</v>
      </c>
      <c r="B20181" s="2" t="str">
        <f>"RESFRIADOR DE LEITE GRANEL 1000L"</f>
        <v>RESFRIADOR DE LEITE GRANEL 1000L</v>
      </c>
      <c r="C20181" s="2" t="str">
        <f t="shared" si="797"/>
        <v>UN</v>
      </c>
      <c r="D20181" s="7">
        <v>1600</v>
      </c>
      <c r="E20181" s="3">
        <v>13</v>
      </c>
      <c r="F20181" s="3">
        <v>13</v>
      </c>
      <c r="G20181" t="s">
        <v>514</v>
      </c>
    </row>
    <row r="20182" spans="1:7" x14ac:dyDescent="0.25">
      <c r="A20182" s="1" t="str">
        <f>"510602"</f>
        <v>510602</v>
      </c>
      <c r="B20182" s="2" t="str">
        <f>"RESFRIADOR EVAPORATIVO BB 300"</f>
        <v>RESFRIADOR EVAPORATIVO BB 300</v>
      </c>
      <c r="C20182" s="2" t="str">
        <f>"BR"</f>
        <v>BR</v>
      </c>
      <c r="D20182" s="7">
        <v>808</v>
      </c>
      <c r="E20182" s="3">
        <v>10</v>
      </c>
      <c r="F20182" s="3">
        <v>10</v>
      </c>
      <c r="G20182" t="s">
        <v>514</v>
      </c>
    </row>
    <row r="20183" spans="1:7" x14ac:dyDescent="0.25">
      <c r="A20183" s="1" t="str">
        <f>"511069"</f>
        <v>511069</v>
      </c>
      <c r="B20183" s="2" t="str">
        <f>"RESFRIADOR EXP. DIRE. 800LTS 20RDFOCKINK"</f>
        <v>RESFRIADOR EXP. DIRE. 800LTS 20RDFOCKINK</v>
      </c>
      <c r="C20183" s="2" t="str">
        <f>"UN"</f>
        <v>UN</v>
      </c>
      <c r="D20183" s="7">
        <v>1600</v>
      </c>
      <c r="E20183" s="3">
        <v>13</v>
      </c>
      <c r="F20183" s="3">
        <v>13</v>
      </c>
      <c r="G20183" t="s">
        <v>513</v>
      </c>
    </row>
    <row r="20184" spans="1:7" x14ac:dyDescent="0.25">
      <c r="A20184" s="1" t="str">
        <f>"527705"</f>
        <v>527705</v>
      </c>
      <c r="B20184" s="2" t="str">
        <f>"RESIDUOS AMBULATORIAIS"</f>
        <v>RESIDUOS AMBULATORIAIS</v>
      </c>
      <c r="C20184" s="2" t="str">
        <f>"KG"</f>
        <v>KG</v>
      </c>
      <c r="D20184" s="7">
        <v>99999</v>
      </c>
      <c r="E20184" s="3">
        <v>99</v>
      </c>
      <c r="F20184" s="3">
        <v>99</v>
      </c>
      <c r="G20184" t="s">
        <v>513</v>
      </c>
    </row>
    <row r="20185" spans="1:7" x14ac:dyDescent="0.25">
      <c r="A20185" s="1" t="str">
        <f>"526947"</f>
        <v>526947</v>
      </c>
      <c r="B20185" s="2" t="str">
        <f>"RESINA ALTA PERFORMANCE"</f>
        <v>RESINA ALTA PERFORMANCE</v>
      </c>
      <c r="C20185" s="2" t="str">
        <f t="shared" ref="C20185:C20202" si="798">"UN"</f>
        <v>UN</v>
      </c>
      <c r="D20185" s="7">
        <v>804</v>
      </c>
      <c r="E20185" s="3">
        <v>10</v>
      </c>
      <c r="F20185" s="3">
        <v>10</v>
      </c>
      <c r="G20185" t="s">
        <v>513</v>
      </c>
    </row>
    <row r="20186" spans="1:7" x14ac:dyDescent="0.25">
      <c r="A20186" s="1" t="str">
        <f>"526769"</f>
        <v>526769</v>
      </c>
      <c r="B20186" s="2" t="str">
        <f>"RESINA CATIONICA SODIO PERMUTION PC003"</f>
        <v>RESINA CATIONICA SODIO PERMUTION PC003</v>
      </c>
      <c r="C20186" s="2" t="str">
        <f t="shared" si="798"/>
        <v>UN</v>
      </c>
      <c r="D20186" s="7">
        <v>811</v>
      </c>
      <c r="E20186" s="3">
        <v>8</v>
      </c>
      <c r="F20186" s="3">
        <v>8</v>
      </c>
      <c r="G20186" t="s">
        <v>512</v>
      </c>
    </row>
    <row r="20187" spans="1:7" x14ac:dyDescent="0.25">
      <c r="A20187" s="1" t="str">
        <f>"526891"</f>
        <v>526891</v>
      </c>
      <c r="B20187" s="2" t="str">
        <f>"RESINA DE ALTA PERFORMANCE CINZA CLARO HIDRONORTH 18LT"</f>
        <v>RESINA DE ALTA PERFORMANCE CINZA CLARO HIDRONORTH 18LT</v>
      </c>
      <c r="C20187" s="2" t="str">
        <f t="shared" si="798"/>
        <v>UN</v>
      </c>
      <c r="D20187" s="7">
        <v>804</v>
      </c>
      <c r="E20187" s="3">
        <v>11</v>
      </c>
      <c r="F20187" s="3">
        <v>11</v>
      </c>
      <c r="G20187" t="s">
        <v>513</v>
      </c>
    </row>
    <row r="20188" spans="1:7" x14ac:dyDescent="0.25">
      <c r="A20188" s="1" t="str">
        <f>"520357"</f>
        <v>520357</v>
      </c>
      <c r="B20188" s="2" t="str">
        <f>"RESINA IMPERMEABILIZANTE ALTA PERF. P/ PISO HIDRONORTH 3,6LT"</f>
        <v>RESINA IMPERMEABILIZANTE ALTA PERF. P/ PISO HIDRONORTH 3,6LT</v>
      </c>
      <c r="C20188" s="2" t="str">
        <f t="shared" si="798"/>
        <v>UN</v>
      </c>
      <c r="D20188" s="7">
        <v>917</v>
      </c>
      <c r="E20188" s="3">
        <v>4</v>
      </c>
      <c r="F20188" s="3">
        <v>4</v>
      </c>
      <c r="G20188" t="s">
        <v>514</v>
      </c>
    </row>
    <row r="20189" spans="1:7" x14ac:dyDescent="0.25">
      <c r="A20189" s="1" t="str">
        <f>"504391"</f>
        <v>504391</v>
      </c>
      <c r="B20189" s="2" t="str">
        <f>"RESINA ORTO 10.228"</f>
        <v>RESINA ORTO 10.228</v>
      </c>
      <c r="C20189" s="2" t="str">
        <f t="shared" si="798"/>
        <v>UN</v>
      </c>
      <c r="D20189" s="7">
        <v>704</v>
      </c>
      <c r="E20189" s="3">
        <v>9</v>
      </c>
      <c r="F20189" s="3">
        <v>9</v>
      </c>
      <c r="G20189" t="s">
        <v>515</v>
      </c>
    </row>
    <row r="20190" spans="1:7" x14ac:dyDescent="0.25">
      <c r="A20190" s="1" t="str">
        <f>"511513"</f>
        <v>511513</v>
      </c>
      <c r="B20190" s="2" t="str">
        <f>"RESINA ORTO 10.316-10 230KG"</f>
        <v>RESINA ORTO 10.316-10 230KG</v>
      </c>
      <c r="C20190" s="2" t="str">
        <f t="shared" si="798"/>
        <v>UN</v>
      </c>
      <c r="D20190" s="7">
        <v>704</v>
      </c>
      <c r="E20190" s="3">
        <v>9</v>
      </c>
      <c r="F20190" s="3">
        <v>9</v>
      </c>
      <c r="G20190" t="s">
        <v>512</v>
      </c>
    </row>
    <row r="20191" spans="1:7" x14ac:dyDescent="0.25">
      <c r="A20191" s="1" t="str">
        <f>"516620"</f>
        <v>516620</v>
      </c>
      <c r="B20191" s="2" t="str">
        <f>"RESINA POLIESTER"</f>
        <v>RESINA POLIESTER</v>
      </c>
      <c r="C20191" s="2" t="str">
        <f t="shared" si="798"/>
        <v>UN</v>
      </c>
      <c r="D20191" s="7">
        <v>704</v>
      </c>
      <c r="E20191" s="3">
        <v>9</v>
      </c>
      <c r="F20191" s="3">
        <v>9</v>
      </c>
      <c r="G20191" t="s">
        <v>516</v>
      </c>
    </row>
    <row r="20192" spans="1:7" x14ac:dyDescent="0.25">
      <c r="A20192" s="1" t="str">
        <f>"515902"</f>
        <v>515902</v>
      </c>
      <c r="B20192" s="2" t="str">
        <f>"RESINA PPB CHAMPAGNE 30KG"</f>
        <v>RESINA PPB CHAMPAGNE 30KG</v>
      </c>
      <c r="C20192" s="2" t="str">
        <f t="shared" si="798"/>
        <v>UN</v>
      </c>
      <c r="D20192" s="7">
        <v>99999</v>
      </c>
      <c r="E20192" s="3">
        <v>99</v>
      </c>
      <c r="F20192" s="3">
        <v>99</v>
      </c>
      <c r="G20192" t="s">
        <v>515</v>
      </c>
    </row>
    <row r="20193" spans="1:7" x14ac:dyDescent="0.25">
      <c r="A20193" s="1" t="str">
        <f>"518888"</f>
        <v>518888</v>
      </c>
      <c r="B20193" s="2" t="str">
        <f>"RESINA TROCA IONICA"</f>
        <v>RESINA TROCA IONICA</v>
      </c>
      <c r="C20193" s="2" t="str">
        <f t="shared" si="798"/>
        <v>UN</v>
      </c>
      <c r="D20193" s="7">
        <v>914</v>
      </c>
      <c r="E20193" s="3">
        <v>4</v>
      </c>
      <c r="F20193" s="3">
        <v>4</v>
      </c>
      <c r="G20193" t="s">
        <v>514</v>
      </c>
    </row>
    <row r="20194" spans="1:7" x14ac:dyDescent="0.25">
      <c r="A20194" s="1" t="str">
        <f>"515246"</f>
        <v>515246</v>
      </c>
      <c r="B20194" s="2" t="str">
        <f>"RESIST. ALETADA LP09 1500W 220V"</f>
        <v>RESIST. ALETADA LP09 1500W 220V</v>
      </c>
      <c r="C20194" s="2" t="str">
        <f t="shared" si="798"/>
        <v>UN</v>
      </c>
      <c r="D20194" s="7">
        <v>811</v>
      </c>
      <c r="E20194" s="3">
        <v>4</v>
      </c>
      <c r="F20194" s="3">
        <v>4</v>
      </c>
      <c r="G20194" t="s">
        <v>512</v>
      </c>
    </row>
    <row r="20195" spans="1:7" x14ac:dyDescent="0.25">
      <c r="A20195" s="1" t="str">
        <f>"506909"</f>
        <v>506909</v>
      </c>
      <c r="B20195" s="2" t="str">
        <f>"RESIST. RTB 1,1 X 1350MM 2400W 220V AÇO INOX - PACKMATIC"</f>
        <v>RESIST. RTB 1,1 X 1350MM 2400W 220V AÇO INOX - PACKMATIC</v>
      </c>
      <c r="C20195" s="2" t="str">
        <f t="shared" si="798"/>
        <v>UN</v>
      </c>
      <c r="D20195" s="7">
        <v>99999</v>
      </c>
      <c r="E20195" s="3">
        <v>99</v>
      </c>
      <c r="F20195" s="3">
        <v>99</v>
      </c>
      <c r="G20195" t="s">
        <v>513</v>
      </c>
    </row>
    <row r="20196" spans="1:7" x14ac:dyDescent="0.25">
      <c r="A20196" s="1" t="str">
        <f>"521547"</f>
        <v>521547</v>
      </c>
      <c r="B20196" s="2" t="str">
        <f>"RESISTENCIA 220V 400W P/ COMPRESSOR MAYCON N4WA"</f>
        <v>RESISTENCIA 220V 400W P/ COMPRESSOR MAYCON N4WA</v>
      </c>
      <c r="C20196" s="2" t="str">
        <f t="shared" si="798"/>
        <v>UN</v>
      </c>
      <c r="D20196" s="7">
        <v>811</v>
      </c>
      <c r="E20196" s="3">
        <v>10</v>
      </c>
      <c r="F20196" s="3">
        <v>10</v>
      </c>
      <c r="G20196" t="s">
        <v>514</v>
      </c>
    </row>
    <row r="20197" spans="1:7" x14ac:dyDescent="0.25">
      <c r="A20197" s="1" t="str">
        <f>"518504"</f>
        <v>518504</v>
      </c>
      <c r="B20197" s="2" t="str">
        <f>"RESISTENCIA 3500W 220V CIRCULAR"</f>
        <v>RESISTENCIA 3500W 220V CIRCULAR</v>
      </c>
      <c r="C20197" s="2" t="str">
        <f t="shared" si="798"/>
        <v>UN</v>
      </c>
      <c r="D20197" s="7">
        <v>811</v>
      </c>
      <c r="E20197" s="3">
        <v>8</v>
      </c>
      <c r="F20197" s="3">
        <v>8</v>
      </c>
      <c r="G20197" t="s">
        <v>514</v>
      </c>
    </row>
    <row r="20198" spans="1:7" x14ac:dyDescent="0.25">
      <c r="A20198" s="1" t="str">
        <f>"506159"</f>
        <v>506159</v>
      </c>
      <c r="B20198" s="2" t="str">
        <f>"RESISTENCIA CART COMPRESSOR SMC 106"</f>
        <v>RESISTENCIA CART COMPRESSOR SMC 106</v>
      </c>
      <c r="C20198" s="2" t="str">
        <f t="shared" si="798"/>
        <v>UN</v>
      </c>
      <c r="D20198" s="7">
        <v>910</v>
      </c>
      <c r="E20198" s="3">
        <v>11</v>
      </c>
      <c r="F20198" s="3">
        <v>11</v>
      </c>
      <c r="G20198" t="s">
        <v>512</v>
      </c>
    </row>
    <row r="20199" spans="1:7" x14ac:dyDescent="0.25">
      <c r="A20199" s="1" t="str">
        <f>"517996"</f>
        <v>517996</v>
      </c>
      <c r="B20199" s="2" t="str">
        <f>"RESISTENCIA CARTER 270W X 240V - COMPRESSOR MK2"</f>
        <v>RESISTENCIA CARTER 270W X 240V - COMPRESSOR MK2</v>
      </c>
      <c r="C20199" s="2" t="str">
        <f t="shared" si="798"/>
        <v>UN</v>
      </c>
      <c r="D20199" s="7">
        <v>811</v>
      </c>
      <c r="E20199" s="3">
        <v>8</v>
      </c>
      <c r="F20199" s="3">
        <v>8</v>
      </c>
      <c r="G20199" t="s">
        <v>513</v>
      </c>
    </row>
    <row r="20200" spans="1:7" x14ac:dyDescent="0.25">
      <c r="A20200" s="1" t="str">
        <f>"519868"</f>
        <v>519868</v>
      </c>
      <c r="B20200" s="2" t="str">
        <f>"RESISTENCIA CIRCULAR 1000W 220V AUTO CLAVE PRISMATEC"</f>
        <v>RESISTENCIA CIRCULAR 1000W 220V AUTO CLAVE PRISMATEC</v>
      </c>
      <c r="C20200" s="2" t="str">
        <f t="shared" si="798"/>
        <v>UN</v>
      </c>
      <c r="D20200" s="7">
        <v>811</v>
      </c>
      <c r="E20200" s="3">
        <v>11</v>
      </c>
      <c r="F20200" s="3">
        <v>11</v>
      </c>
      <c r="G20200" t="s">
        <v>514</v>
      </c>
    </row>
    <row r="20201" spans="1:7" x14ac:dyDescent="0.25">
      <c r="A20201" s="1" t="str">
        <f>"504073"</f>
        <v>504073</v>
      </c>
      <c r="B20201" s="2" t="str">
        <f>"RESISTENCIA COD. 204864 VIDEOJET 37E"</f>
        <v>RESISTENCIA COD. 204864 VIDEOJET 37E</v>
      </c>
      <c r="C20201" s="2" t="str">
        <f t="shared" si="798"/>
        <v>UN</v>
      </c>
      <c r="D20201" s="7">
        <v>900</v>
      </c>
      <c r="E20201" s="3">
        <v>11</v>
      </c>
      <c r="F20201" s="3">
        <v>11</v>
      </c>
      <c r="G20201" t="s">
        <v>514</v>
      </c>
    </row>
    <row r="20202" spans="1:7" x14ac:dyDescent="0.25">
      <c r="A20202" s="1" t="str">
        <f>"520432"</f>
        <v>520432</v>
      </c>
      <c r="B20202" s="8" t="s">
        <v>137</v>
      </c>
      <c r="C20202" s="2" t="str">
        <f t="shared" si="798"/>
        <v>UN</v>
      </c>
      <c r="D20202" s="7">
        <v>811</v>
      </c>
      <c r="E20202" s="3">
        <v>8</v>
      </c>
      <c r="F20202" s="3">
        <v>8</v>
      </c>
      <c r="G20202" t="s">
        <v>514</v>
      </c>
    </row>
    <row r="20203" spans="1:7" x14ac:dyDescent="0.25">
      <c r="A20203" s="1" t="str">
        <f>"526559"</f>
        <v>526559</v>
      </c>
      <c r="B20203" s="2" t="str">
        <f>"RESISTENCIA D-64656"</f>
        <v>RESISTENCIA D-64656</v>
      </c>
      <c r="C20203" s="2" t="str">
        <f>"PC"</f>
        <v>PC</v>
      </c>
      <c r="D20203" s="7">
        <v>918</v>
      </c>
      <c r="E20203" s="3">
        <v>11</v>
      </c>
      <c r="F20203" s="3">
        <v>11</v>
      </c>
      <c r="G20203" t="s">
        <v>513</v>
      </c>
    </row>
    <row r="20204" spans="1:7" x14ac:dyDescent="0.25">
      <c r="A20204" s="1" t="str">
        <f>"527488"</f>
        <v>527488</v>
      </c>
      <c r="B20204" s="2" t="str">
        <f>"RESISTENCIA DA SELAGEM GREGO CG599-64795 4/68/80/2604/3"</f>
        <v>RESISTENCIA DA SELAGEM GREGO CG599-64795 4/68/80/2604/3</v>
      </c>
      <c r="C20204" s="2" t="str">
        <f>"PC"</f>
        <v>PC</v>
      </c>
      <c r="D20204" s="7">
        <v>1300</v>
      </c>
      <c r="E20204" s="3">
        <v>13</v>
      </c>
      <c r="F20204" s="3">
        <v>13</v>
      </c>
      <c r="G20204" t="s">
        <v>512</v>
      </c>
    </row>
    <row r="20205" spans="1:7" x14ac:dyDescent="0.25">
      <c r="A20205" s="1" t="str">
        <f>"509583"</f>
        <v>509583</v>
      </c>
      <c r="B20205" s="2" t="str">
        <f>"RESISTENCIA DATADOR 3/8"""</f>
        <v>RESISTENCIA DATADOR 3/8"</v>
      </c>
      <c r="C20205" s="2" t="str">
        <f>"UN"</f>
        <v>UN</v>
      </c>
      <c r="D20205" s="7">
        <v>900</v>
      </c>
      <c r="E20205" s="3">
        <v>11</v>
      </c>
      <c r="F20205" s="3">
        <v>11</v>
      </c>
      <c r="G20205" t="s">
        <v>513</v>
      </c>
    </row>
    <row r="20206" spans="1:7" x14ac:dyDescent="0.25">
      <c r="A20206" s="1" t="str">
        <f>"522784"</f>
        <v>522784</v>
      </c>
      <c r="B20206" s="8" t="s">
        <v>330</v>
      </c>
      <c r="C20206" s="2" t="str">
        <f>"UN"</f>
        <v>UN</v>
      </c>
      <c r="D20206" s="7">
        <v>1002</v>
      </c>
      <c r="E20206" s="3">
        <v>11</v>
      </c>
      <c r="F20206" s="3">
        <v>11</v>
      </c>
      <c r="G20206" t="s">
        <v>514</v>
      </c>
    </row>
    <row r="20207" spans="1:7" x14ac:dyDescent="0.25">
      <c r="A20207" s="1" t="str">
        <f>"517529"</f>
        <v>517529</v>
      </c>
      <c r="B20207" s="2" t="str">
        <f>"RESISTENCIA ELETRICA 9000113012"</f>
        <v>RESISTENCIA ELETRICA 9000113012</v>
      </c>
      <c r="C20207" s="2" t="str">
        <f>"UN"</f>
        <v>UN</v>
      </c>
      <c r="D20207" s="7">
        <v>918</v>
      </c>
      <c r="E20207" s="3">
        <v>11</v>
      </c>
      <c r="F20207" s="3">
        <v>11</v>
      </c>
      <c r="G20207" t="s">
        <v>514</v>
      </c>
    </row>
    <row r="20208" spans="1:7" x14ac:dyDescent="0.25">
      <c r="A20208" s="1" t="str">
        <f>"516855"</f>
        <v>516855</v>
      </c>
      <c r="B20208" s="2" t="str">
        <f>"RESISTENCIA FUNDIDA C4399-52668 OP8/1/1433/7"</f>
        <v>RESISTENCIA FUNDIDA C4399-52668 OP8/1/1433/7</v>
      </c>
      <c r="C20208" s="2" t="str">
        <f>"UN"</f>
        <v>UN</v>
      </c>
      <c r="D20208" s="7">
        <v>900</v>
      </c>
      <c r="E20208" s="3">
        <v>11</v>
      </c>
      <c r="F20208" s="3">
        <v>11</v>
      </c>
      <c r="G20208" t="s">
        <v>514</v>
      </c>
    </row>
    <row r="20209" spans="1:7" x14ac:dyDescent="0.25">
      <c r="A20209" s="1" t="str">
        <f>"516862"</f>
        <v>516862</v>
      </c>
      <c r="B20209" s="2" t="str">
        <f>"RESISTENCIA FUNDIDA OP2/22/1433/2 OP3/22/1433/2 C4399-54555"</f>
        <v>RESISTENCIA FUNDIDA OP2/22/1433/2 OP3/22/1433/2 C4399-54555</v>
      </c>
      <c r="C20209" s="2" t="str">
        <f>"UN"</f>
        <v>UN</v>
      </c>
      <c r="D20209" s="7">
        <v>900</v>
      </c>
      <c r="E20209" s="3">
        <v>11</v>
      </c>
      <c r="F20209" s="3">
        <v>11</v>
      </c>
      <c r="G20209" t="s">
        <v>513</v>
      </c>
    </row>
    <row r="20210" spans="1:7" x14ac:dyDescent="0.25">
      <c r="A20210" s="1" t="str">
        <f>"526550"</f>
        <v>526550</v>
      </c>
      <c r="B20210" s="2" t="str">
        <f>"RESISTENCIA INF  D-63648"</f>
        <v>RESISTENCIA INF  D-63648</v>
      </c>
      <c r="C20210" s="2" t="str">
        <f>"PC"</f>
        <v>PC</v>
      </c>
      <c r="D20210" s="7">
        <v>918</v>
      </c>
      <c r="E20210" s="3">
        <v>11</v>
      </c>
      <c r="F20210" s="3">
        <v>11</v>
      </c>
      <c r="G20210" t="s">
        <v>513</v>
      </c>
    </row>
    <row r="20211" spans="1:7" x14ac:dyDescent="0.25">
      <c r="A20211" s="1" t="str">
        <f>"520429"</f>
        <v>520429</v>
      </c>
      <c r="B20211" s="2" t="str">
        <f>"RESISTENCIA L CARTUCHO 100W 220V TREPKO"</f>
        <v>RESISTENCIA L CARTUCHO 100W 220V TREPKO</v>
      </c>
      <c r="C20211" s="2" t="str">
        <f t="shared" ref="C20211:C20216" si="799">"UN"</f>
        <v>UN</v>
      </c>
      <c r="D20211" s="7">
        <v>811</v>
      </c>
      <c r="E20211" s="3">
        <v>8</v>
      </c>
      <c r="F20211" s="3">
        <v>8</v>
      </c>
      <c r="G20211" t="s">
        <v>513</v>
      </c>
    </row>
    <row r="20212" spans="1:7" x14ac:dyDescent="0.25">
      <c r="A20212" s="1" t="str">
        <f>"505404"</f>
        <v>505404</v>
      </c>
      <c r="B20212" s="2" t="str">
        <f>"RESISTENCIA LORENZETTI"</f>
        <v>RESISTENCIA LORENZETTI</v>
      </c>
      <c r="C20212" s="2" t="str">
        <f t="shared" si="799"/>
        <v>UN</v>
      </c>
      <c r="D20212" s="7">
        <v>704</v>
      </c>
      <c r="E20212" s="3">
        <v>9</v>
      </c>
      <c r="F20212" s="3">
        <v>9</v>
      </c>
      <c r="G20212" t="s">
        <v>512</v>
      </c>
    </row>
    <row r="20213" spans="1:7" x14ac:dyDescent="0.25">
      <c r="A20213" s="1" t="str">
        <f>"516859"</f>
        <v>516859</v>
      </c>
      <c r="B20213" s="2" t="str">
        <f>"RESISTENCIA OP5/1433/45 D4199-30235 12,7 X 137 200W 220V"</f>
        <v>RESISTENCIA OP5/1433/45 D4199-30235 12,7 X 137 200W 220V</v>
      </c>
      <c r="C20213" s="2" t="str">
        <f t="shared" si="799"/>
        <v>UN</v>
      </c>
      <c r="D20213" s="7">
        <v>900</v>
      </c>
      <c r="E20213" s="3">
        <v>11</v>
      </c>
      <c r="F20213" s="3">
        <v>11</v>
      </c>
      <c r="G20213" t="s">
        <v>513</v>
      </c>
    </row>
    <row r="20214" spans="1:7" x14ac:dyDescent="0.25">
      <c r="A20214" s="1" t="str">
        <f>"528046"</f>
        <v>528046</v>
      </c>
      <c r="B20214" s="2" t="str">
        <f>"RESISTENCIA P/ CAFETEIRA TRADICIONAL 220V"</f>
        <v>RESISTENCIA P/ CAFETEIRA TRADICIONAL 220V</v>
      </c>
      <c r="C20214" s="2" t="str">
        <f t="shared" si="799"/>
        <v>UN</v>
      </c>
      <c r="D20214" s="7">
        <v>811</v>
      </c>
      <c r="E20214" s="3">
        <v>11</v>
      </c>
      <c r="F20214" s="3">
        <v>11</v>
      </c>
      <c r="G20214" t="s">
        <v>514</v>
      </c>
    </row>
    <row r="20215" spans="1:7" x14ac:dyDescent="0.25">
      <c r="A20215" s="1" t="str">
        <f>"573791"</f>
        <v>573791</v>
      </c>
      <c r="B20215" s="2" t="str">
        <f>"RESISTENCIA PALLEY 1200W 230W"</f>
        <v>RESISTENCIA PALLEY 1200W 230W</v>
      </c>
      <c r="C20215" s="2" t="str">
        <f t="shared" si="799"/>
        <v>UN</v>
      </c>
      <c r="D20215" s="7">
        <v>918</v>
      </c>
      <c r="E20215" s="3">
        <v>11</v>
      </c>
      <c r="F20215" s="3">
        <v>11</v>
      </c>
      <c r="G20215" t="s">
        <v>515</v>
      </c>
    </row>
    <row r="20216" spans="1:7" x14ac:dyDescent="0.25">
      <c r="A20216" s="1" t="str">
        <f>"517335"</f>
        <v>517335</v>
      </c>
      <c r="B20216" s="2" t="str">
        <f>"RESISTENCIA PRE AQUECIMENTO"</f>
        <v>RESISTENCIA PRE AQUECIMENTO</v>
      </c>
      <c r="C20216" s="2" t="str">
        <f t="shared" si="799"/>
        <v>UN</v>
      </c>
      <c r="D20216" s="7">
        <v>811</v>
      </c>
      <c r="E20216" s="3">
        <v>8</v>
      </c>
      <c r="F20216" s="3">
        <v>8</v>
      </c>
      <c r="G20216" t="s">
        <v>512</v>
      </c>
    </row>
    <row r="20217" spans="1:7" x14ac:dyDescent="0.25">
      <c r="A20217" s="1" t="str">
        <f>"526544"</f>
        <v>526544</v>
      </c>
      <c r="B20217" s="2" t="str">
        <f>"RESISTENCIA SUP. D-63647"</f>
        <v>RESISTENCIA SUP. D-63647</v>
      </c>
      <c r="C20217" s="2" t="str">
        <f>"PC"</f>
        <v>PC</v>
      </c>
      <c r="D20217" s="7">
        <v>918</v>
      </c>
      <c r="E20217" s="3">
        <v>11</v>
      </c>
      <c r="F20217" s="3">
        <v>11</v>
      </c>
      <c r="G20217" t="s">
        <v>516</v>
      </c>
    </row>
    <row r="20218" spans="1:7" x14ac:dyDescent="0.25">
      <c r="A20218" s="1" t="str">
        <f>"515998"</f>
        <v>515998</v>
      </c>
      <c r="B20218" s="2" t="str">
        <f>"RESISTENCIA TB 230K447 - 2400W 220V - A/I FERM."</f>
        <v>RESISTENCIA TB 230K447 - 2400W 220V - A/I FERM.</v>
      </c>
      <c r="C20218" s="2" t="str">
        <f t="shared" ref="C20218:C20236" si="800">"UN"</f>
        <v>UN</v>
      </c>
      <c r="D20218" s="7">
        <v>99999</v>
      </c>
      <c r="E20218" s="3">
        <v>99</v>
      </c>
      <c r="F20218" s="3">
        <v>99</v>
      </c>
      <c r="G20218" t="s">
        <v>515</v>
      </c>
    </row>
    <row r="20219" spans="1:7" x14ac:dyDescent="0.25">
      <c r="A20219" s="1" t="str">
        <f>"515431"</f>
        <v>515431</v>
      </c>
      <c r="B20219" s="2" t="str">
        <f>"RESISTENCIA TUBULAR 2.4 KW 220V - RT2.4KW"</f>
        <v>RESISTENCIA TUBULAR 2.4 KW 220V - RT2.4KW</v>
      </c>
      <c r="C20219" s="2" t="str">
        <f t="shared" si="800"/>
        <v>UN</v>
      </c>
      <c r="D20219" s="7">
        <v>900</v>
      </c>
      <c r="E20219" s="3">
        <v>11</v>
      </c>
      <c r="F20219" s="3">
        <v>11</v>
      </c>
      <c r="G20219" t="s">
        <v>514</v>
      </c>
    </row>
    <row r="20220" spans="1:7" x14ac:dyDescent="0.25">
      <c r="A20220" s="1" t="str">
        <f>"512834"</f>
        <v>512834</v>
      </c>
      <c r="B20220" s="2" t="str">
        <f>"RESISTENCIA VERTICAL BABILYC"</f>
        <v>RESISTENCIA VERTICAL BABILYC</v>
      </c>
      <c r="C20220" s="2" t="str">
        <f t="shared" si="800"/>
        <v>UN</v>
      </c>
      <c r="D20220" s="7">
        <v>918</v>
      </c>
      <c r="E20220" s="3">
        <v>11</v>
      </c>
      <c r="F20220" s="3">
        <v>11</v>
      </c>
      <c r="G20220" t="s">
        <v>512</v>
      </c>
    </row>
    <row r="20221" spans="1:7" x14ac:dyDescent="0.25">
      <c r="A20221" s="1" t="str">
        <f>"510422"</f>
        <v>510422</v>
      </c>
      <c r="B20221" s="2" t="str">
        <f>"RESISTOR 2 MR - ALTA TENSAO"</f>
        <v>RESISTOR 2 MR - ALTA TENSAO</v>
      </c>
      <c r="C20221" s="2" t="str">
        <f t="shared" si="800"/>
        <v>UN</v>
      </c>
      <c r="D20221" s="7">
        <v>900</v>
      </c>
      <c r="E20221" s="3">
        <v>11</v>
      </c>
      <c r="F20221" s="3">
        <v>11</v>
      </c>
      <c r="G20221" t="s">
        <v>513</v>
      </c>
    </row>
    <row r="20222" spans="1:7" x14ac:dyDescent="0.25">
      <c r="A20222" s="1" t="str">
        <f>"527645"</f>
        <v>527645</v>
      </c>
      <c r="B20222" s="2" t="str">
        <f>"RESISTOR CARVAO 150 OHM CR25"</f>
        <v>RESISTOR CARVAO 150 OHM CR25</v>
      </c>
      <c r="C20222" s="2" t="str">
        <f t="shared" si="800"/>
        <v>UN</v>
      </c>
      <c r="D20222" s="7">
        <v>99999</v>
      </c>
      <c r="E20222" s="3">
        <v>99</v>
      </c>
      <c r="F20222" s="3">
        <v>99</v>
      </c>
      <c r="G20222" t="s">
        <v>514</v>
      </c>
    </row>
    <row r="20223" spans="1:7" x14ac:dyDescent="0.25">
      <c r="A20223" s="1" t="str">
        <f>"519335"</f>
        <v>519335</v>
      </c>
      <c r="B20223" s="2" t="str">
        <f>"RESISTOR FRENAGEM 2,2KW / 22HMS"</f>
        <v>RESISTOR FRENAGEM 2,2KW / 22HMS</v>
      </c>
      <c r="C20223" s="2" t="str">
        <f t="shared" si="800"/>
        <v>UN</v>
      </c>
      <c r="D20223" s="7">
        <v>811</v>
      </c>
      <c r="E20223" s="3">
        <v>8</v>
      </c>
      <c r="F20223" s="3">
        <v>8</v>
      </c>
      <c r="G20223" t="s">
        <v>514</v>
      </c>
    </row>
    <row r="20224" spans="1:7" x14ac:dyDescent="0.25">
      <c r="A20224" s="1" t="str">
        <f>"519528"</f>
        <v>519528</v>
      </c>
      <c r="B20224" s="2" t="str">
        <f>"RESOLVER R111MKK 270"</f>
        <v>RESOLVER R111MKK 270</v>
      </c>
      <c r="C20224" s="2" t="str">
        <f t="shared" si="800"/>
        <v>UN</v>
      </c>
      <c r="D20224" s="7">
        <v>811</v>
      </c>
      <c r="E20224" s="3">
        <v>8</v>
      </c>
      <c r="F20224" s="3">
        <v>8</v>
      </c>
      <c r="G20224" t="s">
        <v>512</v>
      </c>
    </row>
    <row r="20225" spans="1:7" x14ac:dyDescent="0.25">
      <c r="A20225" s="1" t="str">
        <f>"527663"</f>
        <v>527663</v>
      </c>
      <c r="B20225" s="2" t="str">
        <f>"RESOLVER RH1M KK 270 COD 13357700"</f>
        <v>RESOLVER RH1M KK 270 COD 13357700</v>
      </c>
      <c r="C20225" s="2" t="str">
        <f t="shared" si="800"/>
        <v>UN</v>
      </c>
      <c r="D20225" s="7">
        <v>811</v>
      </c>
      <c r="E20225" s="3">
        <v>11</v>
      </c>
      <c r="F20225" s="3">
        <v>11</v>
      </c>
      <c r="G20225" t="s">
        <v>513</v>
      </c>
    </row>
    <row r="20226" spans="1:7" x14ac:dyDescent="0.25">
      <c r="A20226" s="1" t="str">
        <f>"3448"</f>
        <v>3448</v>
      </c>
      <c r="B20226" s="2" t="str">
        <f>"RESPIRADOR CONTRA AMONIA/METILAMINA"</f>
        <v>RESPIRADOR CONTRA AMONIA/METILAMINA</v>
      </c>
      <c r="C20226" s="2" t="str">
        <f t="shared" si="800"/>
        <v>UN</v>
      </c>
      <c r="D20226" s="7">
        <v>501</v>
      </c>
      <c r="E20226" s="3">
        <v>5</v>
      </c>
      <c r="F20226" s="3">
        <v>5</v>
      </c>
      <c r="G20226" t="s">
        <v>514</v>
      </c>
    </row>
    <row r="20227" spans="1:7" x14ac:dyDescent="0.25">
      <c r="A20227" s="1" t="str">
        <f>"526408"</f>
        <v>526408</v>
      </c>
      <c r="B20227" s="2" t="str">
        <f>"RESPIRADOR DESCART. C/ VALVULA PFF2 3M CA-5657"</f>
        <v>RESPIRADOR DESCART. C/ VALVULA PFF2 3M CA-5657</v>
      </c>
      <c r="C20227" s="2" t="str">
        <f t="shared" si="800"/>
        <v>UN</v>
      </c>
      <c r="D20227" s="7">
        <v>502</v>
      </c>
      <c r="E20227" s="3">
        <v>5</v>
      </c>
      <c r="F20227" s="3">
        <v>5</v>
      </c>
      <c r="G20227" t="s">
        <v>514</v>
      </c>
    </row>
    <row r="20228" spans="1:7" x14ac:dyDescent="0.25">
      <c r="A20228" s="1" t="str">
        <f>"523988"</f>
        <v>523988</v>
      </c>
      <c r="B20228" s="2" t="str">
        <f>"RESPIRADOR DESCART. PFF2 CA-38504"</f>
        <v>RESPIRADOR DESCART. PFF2 CA-38504</v>
      </c>
      <c r="C20228" s="2" t="str">
        <f t="shared" si="800"/>
        <v>UN</v>
      </c>
      <c r="D20228" s="7">
        <v>502</v>
      </c>
      <c r="E20228" s="3">
        <v>5</v>
      </c>
      <c r="F20228" s="3">
        <v>5</v>
      </c>
      <c r="G20228" t="s">
        <v>514</v>
      </c>
    </row>
    <row r="20229" spans="1:7" x14ac:dyDescent="0.25">
      <c r="A20229" s="1" t="str">
        <f>"3449"</f>
        <v>3449</v>
      </c>
      <c r="B20229" s="2" t="str">
        <f>"RESPIRADOR DESCARTAVEL PFF1 S/ VALVULA 3M 9810 CA-41513"</f>
        <v>RESPIRADOR DESCARTAVEL PFF1 S/ VALVULA 3M 9810 CA-41513</v>
      </c>
      <c r="C20229" s="2" t="str">
        <f t="shared" si="800"/>
        <v>UN</v>
      </c>
      <c r="D20229" s="7">
        <v>502</v>
      </c>
      <c r="E20229" s="3">
        <v>5</v>
      </c>
      <c r="F20229" s="3">
        <v>5</v>
      </c>
      <c r="G20229" t="s">
        <v>513</v>
      </c>
    </row>
    <row r="20230" spans="1:7" x14ac:dyDescent="0.25">
      <c r="A20230" s="1" t="str">
        <f>"523711"</f>
        <v>523711</v>
      </c>
      <c r="B20230" s="2" t="str">
        <f>"RESPIRADOR FACIAL INTEIRA 6800 3M CA-7298"</f>
        <v>RESPIRADOR FACIAL INTEIRA 6800 3M CA-7298</v>
      </c>
      <c r="C20230" s="2" t="str">
        <f t="shared" si="800"/>
        <v>UN</v>
      </c>
      <c r="D20230" s="7">
        <v>501</v>
      </c>
      <c r="E20230" s="3">
        <v>5</v>
      </c>
      <c r="F20230" s="3">
        <v>5</v>
      </c>
      <c r="G20230" t="s">
        <v>512</v>
      </c>
    </row>
    <row r="20231" spans="1:7" x14ac:dyDescent="0.25">
      <c r="A20231" s="1" t="str">
        <f>"522696"</f>
        <v>522696</v>
      </c>
      <c r="B20231" s="2" t="str">
        <f>"RESPIRADOR SEMI FACIAL C/ FILTRO QUIMICO 6200 3M CA-4115"</f>
        <v>RESPIRADOR SEMI FACIAL C/ FILTRO QUIMICO 6200 3M CA-4115</v>
      </c>
      <c r="C20231" s="2" t="str">
        <f t="shared" si="800"/>
        <v>UN</v>
      </c>
      <c r="D20231" s="7">
        <v>501</v>
      </c>
      <c r="E20231" s="3">
        <v>5</v>
      </c>
      <c r="F20231" s="3">
        <v>5</v>
      </c>
      <c r="G20231" t="s">
        <v>513</v>
      </c>
    </row>
    <row r="20232" spans="1:7" x14ac:dyDescent="0.25">
      <c r="A20232" s="1" t="str">
        <f>"503410"</f>
        <v>503410</v>
      </c>
      <c r="B20232" s="2" t="str">
        <f>"RESPIRO"</f>
        <v>RESPIRO</v>
      </c>
      <c r="C20232" s="2" t="str">
        <f t="shared" si="800"/>
        <v>UN</v>
      </c>
      <c r="D20232" s="7">
        <v>704</v>
      </c>
      <c r="E20232" s="3">
        <v>9</v>
      </c>
      <c r="F20232" s="3">
        <v>9</v>
      </c>
      <c r="G20232" t="s">
        <v>514</v>
      </c>
    </row>
    <row r="20233" spans="1:7" x14ac:dyDescent="0.25">
      <c r="A20233" s="1" t="str">
        <f>"517577"</f>
        <v>517577</v>
      </c>
      <c r="B20233" s="2" t="str">
        <f>"REST 12,5 X 62 200W 220V CART. PLANO 9000113012 CABO 3 METRO"</f>
        <v>REST 12,5 X 62 200W 220V CART. PLANO 9000113012 CABO 3 METRO</v>
      </c>
      <c r="C20233" s="2" t="str">
        <f t="shared" si="800"/>
        <v>UN</v>
      </c>
      <c r="D20233" s="7">
        <v>918</v>
      </c>
      <c r="E20233" s="3">
        <v>11</v>
      </c>
      <c r="F20233" s="3">
        <v>11</v>
      </c>
      <c r="G20233" t="s">
        <v>514</v>
      </c>
    </row>
    <row r="20234" spans="1:7" x14ac:dyDescent="0.25">
      <c r="A20234" s="1" t="str">
        <f>"513276"</f>
        <v>513276</v>
      </c>
      <c r="B20234" s="2" t="str">
        <f>"REST 3/8 X 690MM 550W 220V"</f>
        <v>REST 3/8 X 690MM 550W 220V</v>
      </c>
      <c r="C20234" s="2" t="str">
        <f t="shared" si="800"/>
        <v>UN</v>
      </c>
      <c r="D20234" s="7">
        <v>900</v>
      </c>
      <c r="E20234" s="3">
        <v>11</v>
      </c>
      <c r="F20234" s="3">
        <v>11</v>
      </c>
      <c r="G20234" t="s">
        <v>514</v>
      </c>
    </row>
    <row r="20235" spans="1:7" x14ac:dyDescent="0.25">
      <c r="A20235" s="1" t="str">
        <f>"06005101011"</f>
        <v>06005101011</v>
      </c>
      <c r="B20235" s="2" t="str">
        <f>"REST 3/8X3"" 200W 240V"</f>
        <v>REST 3/8X3" 200W 240V</v>
      </c>
      <c r="C20235" s="2" t="str">
        <f t="shared" si="800"/>
        <v>UN</v>
      </c>
      <c r="D20235" s="7">
        <v>811</v>
      </c>
      <c r="E20235" s="3">
        <v>11</v>
      </c>
      <c r="F20235" s="3">
        <v>11</v>
      </c>
      <c r="G20235" t="s">
        <v>513</v>
      </c>
    </row>
    <row r="20236" spans="1:7" x14ac:dyDescent="0.25">
      <c r="A20236" s="1" t="str">
        <f>"502515"</f>
        <v>502515</v>
      </c>
      <c r="B20236" s="2" t="str">
        <f>"REST 30030503 600W 220V D31027"</f>
        <v>REST 30030503 600W 220V D31027</v>
      </c>
      <c r="C20236" s="2" t="str">
        <f t="shared" si="800"/>
        <v>UN</v>
      </c>
      <c r="D20236" s="7">
        <v>900</v>
      </c>
      <c r="E20236" s="3">
        <v>11</v>
      </c>
      <c r="F20236" s="3">
        <v>11</v>
      </c>
      <c r="G20236" t="s">
        <v>513</v>
      </c>
    </row>
    <row r="20237" spans="1:7" x14ac:dyDescent="0.25">
      <c r="A20237" s="1" t="str">
        <f>"510470"</f>
        <v>510470</v>
      </c>
      <c r="B20237" s="2" t="str">
        <f>"REST 5/8X3"" 500W 240V MAQUINA PRIMOS 027-369"</f>
        <v>REST 5/8X3" 500W 240V MAQUINA PRIMOS 027-369</v>
      </c>
      <c r="C20237" s="2" t="str">
        <f>"PC"</f>
        <v>PC</v>
      </c>
      <c r="D20237" s="7">
        <v>900</v>
      </c>
      <c r="E20237" s="3">
        <v>11</v>
      </c>
      <c r="F20237" s="3">
        <v>11</v>
      </c>
      <c r="G20237" t="s">
        <v>513</v>
      </c>
    </row>
    <row r="20238" spans="1:7" x14ac:dyDescent="0.25">
      <c r="A20238" s="1" t="str">
        <f>"517334"</f>
        <v>517334</v>
      </c>
      <c r="B20238" s="2" t="str">
        <f>"REST ALETADA LD09 1500W 220V"</f>
        <v>REST ALETADA LD09 1500W 220V</v>
      </c>
      <c r="C20238" s="2" t="str">
        <f t="shared" ref="C20238:C20247" si="801">"UN"</f>
        <v>UN</v>
      </c>
      <c r="D20238" s="7">
        <v>811</v>
      </c>
      <c r="E20238" s="3">
        <v>8</v>
      </c>
      <c r="F20238" s="3">
        <v>8</v>
      </c>
      <c r="G20238" t="s">
        <v>512</v>
      </c>
    </row>
    <row r="20239" spans="1:7" x14ac:dyDescent="0.25">
      <c r="A20239" s="1" t="str">
        <f>"503299"</f>
        <v>503299</v>
      </c>
      <c r="B20239" s="2" t="str">
        <f>"REST CIRCULAR COD.2278 260X115MM 1000W"</f>
        <v>REST CIRCULAR COD.2278 260X115MM 1000W</v>
      </c>
      <c r="C20239" s="2" t="str">
        <f t="shared" si="801"/>
        <v>UN</v>
      </c>
      <c r="D20239" s="7">
        <v>900</v>
      </c>
      <c r="E20239" s="3">
        <v>11</v>
      </c>
      <c r="F20239" s="3">
        <v>11</v>
      </c>
      <c r="G20239" t="s">
        <v>513</v>
      </c>
    </row>
    <row r="20240" spans="1:7" x14ac:dyDescent="0.25">
      <c r="A20240" s="1" t="str">
        <f>"500990"</f>
        <v>500990</v>
      </c>
      <c r="B20240" s="2" t="str">
        <f>"REST COD.002/17 RM 82X115 800W 200V"</f>
        <v>REST COD.002/17 RM 82X115 800W 200V</v>
      </c>
      <c r="C20240" s="2" t="str">
        <f t="shared" si="801"/>
        <v>UN</v>
      </c>
      <c r="D20240" s="7">
        <v>900</v>
      </c>
      <c r="E20240" s="3">
        <v>11</v>
      </c>
      <c r="F20240" s="3">
        <v>11</v>
      </c>
      <c r="G20240" t="s">
        <v>514</v>
      </c>
    </row>
    <row r="20241" spans="1:7" x14ac:dyDescent="0.25">
      <c r="A20241" s="1" t="str">
        <f>"502584"</f>
        <v>502584</v>
      </c>
      <c r="B20241" s="2" t="str">
        <f>"REST COD.003/17 RM 82X115  800W 220V"</f>
        <v>REST COD.003/17 RM 82X115  800W 220V</v>
      </c>
      <c r="C20241" s="2" t="str">
        <f t="shared" si="801"/>
        <v>UN</v>
      </c>
      <c r="D20241" s="7">
        <v>900</v>
      </c>
      <c r="E20241" s="3">
        <v>11</v>
      </c>
      <c r="F20241" s="3">
        <v>11</v>
      </c>
      <c r="G20241" t="s">
        <v>515</v>
      </c>
    </row>
    <row r="20242" spans="1:7" x14ac:dyDescent="0.25">
      <c r="A20242" s="1" t="str">
        <f>"06005101006"</f>
        <v>06005101006</v>
      </c>
      <c r="B20242" s="2" t="str">
        <f>"REST COD.004/17 RM 85X60 500W 220V"</f>
        <v>REST COD.004/17 RM 85X60 500W 220V</v>
      </c>
      <c r="C20242" s="2" t="str">
        <f t="shared" si="801"/>
        <v>UN</v>
      </c>
      <c r="D20242" s="7">
        <v>900</v>
      </c>
      <c r="E20242" s="3">
        <v>11</v>
      </c>
      <c r="F20242" s="3">
        <v>11</v>
      </c>
      <c r="G20242" t="s">
        <v>512</v>
      </c>
    </row>
    <row r="20243" spans="1:7" x14ac:dyDescent="0.25">
      <c r="A20243" s="1" t="str">
        <f>"512289"</f>
        <v>512289</v>
      </c>
      <c r="B20243" s="2" t="str">
        <f>"REST COD.1325D 190X50 700W 220V PROWAT"</f>
        <v>REST COD.1325D 190X50 700W 220V PROWAT</v>
      </c>
      <c r="C20243" s="2" t="str">
        <f t="shared" si="801"/>
        <v>UN</v>
      </c>
      <c r="D20243" s="7">
        <v>900</v>
      </c>
      <c r="E20243" s="3">
        <v>11</v>
      </c>
      <c r="F20243" s="3">
        <v>11</v>
      </c>
      <c r="G20243" t="s">
        <v>516</v>
      </c>
    </row>
    <row r="20244" spans="1:7" x14ac:dyDescent="0.25">
      <c r="A20244" s="1" t="str">
        <f>"503298"</f>
        <v>503298</v>
      </c>
      <c r="B20244" s="2" t="str">
        <f>"REST COD.1325DA 100X38  150W 220V"</f>
        <v>REST COD.1325DA 100X38  150W 220V</v>
      </c>
      <c r="C20244" s="2" t="str">
        <f t="shared" si="801"/>
        <v>UN</v>
      </c>
      <c r="D20244" s="7">
        <v>900</v>
      </c>
      <c r="E20244" s="3">
        <v>11</v>
      </c>
      <c r="F20244" s="3">
        <v>11</v>
      </c>
      <c r="G20244" t="s">
        <v>515</v>
      </c>
    </row>
    <row r="20245" spans="1:7" x14ac:dyDescent="0.25">
      <c r="A20245" s="1" t="str">
        <f>"06005101010"</f>
        <v>06005101010</v>
      </c>
      <c r="B20245" s="2" t="str">
        <f>"REST COD.74802 M50X70 270W 220V"</f>
        <v>REST COD.74802 M50X70 270W 220V</v>
      </c>
      <c r="C20245" s="2" t="str">
        <f t="shared" si="801"/>
        <v>UN</v>
      </c>
      <c r="D20245" s="7">
        <v>900</v>
      </c>
      <c r="E20245" s="3">
        <v>11</v>
      </c>
      <c r="F20245" s="3">
        <v>11</v>
      </c>
      <c r="G20245" t="s">
        <v>514</v>
      </c>
    </row>
    <row r="20246" spans="1:7" x14ac:dyDescent="0.25">
      <c r="A20246" s="1" t="str">
        <f>"500993"</f>
        <v>500993</v>
      </c>
      <c r="B20246" s="2" t="str">
        <f>"REST COD.74816 RM 48X20 90W 220V"</f>
        <v>REST COD.74816 RM 48X20 90W 220V</v>
      </c>
      <c r="C20246" s="2" t="str">
        <f t="shared" si="801"/>
        <v>UN</v>
      </c>
      <c r="D20246" s="7">
        <v>900</v>
      </c>
      <c r="E20246" s="3">
        <v>11</v>
      </c>
      <c r="F20246" s="3">
        <v>11</v>
      </c>
      <c r="G20246" t="s">
        <v>512</v>
      </c>
    </row>
    <row r="20247" spans="1:7" x14ac:dyDescent="0.25">
      <c r="A20247" s="1" t="str">
        <f>"06005101014"</f>
        <v>06005101014</v>
      </c>
      <c r="B20247" s="2" t="str">
        <f>"REST COD.74819 RM 30X14MM 50W 220V"</f>
        <v>REST COD.74819 RM 30X14MM 50W 220V</v>
      </c>
      <c r="C20247" s="2" t="str">
        <f t="shared" si="801"/>
        <v>UN</v>
      </c>
      <c r="D20247" s="7">
        <v>900</v>
      </c>
      <c r="E20247" s="3">
        <v>11</v>
      </c>
      <c r="F20247" s="3">
        <v>11</v>
      </c>
      <c r="G20247" t="s">
        <v>513</v>
      </c>
    </row>
    <row r="20248" spans="1:7" x14ac:dyDescent="0.25">
      <c r="A20248" s="1" t="str">
        <f>"512304"</f>
        <v>512304</v>
      </c>
      <c r="B20248" s="2" t="str">
        <f>"REST COD.74846  220W 220V"</f>
        <v>REST COD.74846  220W 220V</v>
      </c>
      <c r="C20248" s="2" t="str">
        <f>"PC"</f>
        <v>PC</v>
      </c>
      <c r="D20248" s="7">
        <v>900</v>
      </c>
      <c r="E20248" s="3">
        <v>11</v>
      </c>
      <c r="F20248" s="3">
        <v>11</v>
      </c>
      <c r="G20248" t="s">
        <v>514</v>
      </c>
    </row>
    <row r="20249" spans="1:7" x14ac:dyDescent="0.25">
      <c r="A20249" s="1" t="str">
        <f>"06005101001"</f>
        <v>06005101001</v>
      </c>
      <c r="B20249" s="2" t="str">
        <f>"REST COD.74992 RM 155X50 230W 220V"</f>
        <v>REST COD.74992 RM 155X50 230W 220V</v>
      </c>
      <c r="C20249" s="2" t="str">
        <f>"PC"</f>
        <v>PC</v>
      </c>
      <c r="D20249" s="7">
        <v>900</v>
      </c>
      <c r="E20249" s="3">
        <v>11</v>
      </c>
      <c r="F20249" s="3">
        <v>11</v>
      </c>
      <c r="G20249" t="s">
        <v>514</v>
      </c>
    </row>
    <row r="20250" spans="1:7" x14ac:dyDescent="0.25">
      <c r="A20250" s="1" t="str">
        <f>"500992"</f>
        <v>500992</v>
      </c>
      <c r="B20250" s="2" t="str">
        <f>"REST COD.77831 RM 185X50 800W"</f>
        <v>REST COD.77831 RM 185X50 800W</v>
      </c>
      <c r="C20250" s="2" t="str">
        <f>"UN"</f>
        <v>UN</v>
      </c>
      <c r="D20250" s="7">
        <v>900</v>
      </c>
      <c r="E20250" s="3">
        <v>11</v>
      </c>
      <c r="F20250" s="3">
        <v>11</v>
      </c>
      <c r="G20250" t="s">
        <v>512</v>
      </c>
    </row>
    <row r="20251" spans="1:7" x14ac:dyDescent="0.25">
      <c r="A20251" s="1" t="str">
        <f>"500991"</f>
        <v>500991</v>
      </c>
      <c r="B20251" s="2" t="str">
        <f>"REST COD.79489 RM 180X98 1700W"</f>
        <v>REST COD.79489 RM 180X98 1700W</v>
      </c>
      <c r="C20251" s="2" t="str">
        <f>"UN"</f>
        <v>UN</v>
      </c>
      <c r="D20251" s="7">
        <v>900</v>
      </c>
      <c r="E20251" s="3">
        <v>11</v>
      </c>
      <c r="F20251" s="3">
        <v>11</v>
      </c>
      <c r="G20251" t="s">
        <v>513</v>
      </c>
    </row>
    <row r="20252" spans="1:7" x14ac:dyDescent="0.25">
      <c r="A20252" s="1" t="str">
        <f>"06005101012"</f>
        <v>06005101012</v>
      </c>
      <c r="B20252" s="2" t="str">
        <f>"REST COD.79624 RM 105X95 320W 220V"</f>
        <v>REST COD.79624 RM 105X95 320W 220V</v>
      </c>
      <c r="C20252" s="2" t="str">
        <f>"UN"</f>
        <v>UN</v>
      </c>
      <c r="D20252" s="7">
        <v>900</v>
      </c>
      <c r="E20252" s="3">
        <v>11</v>
      </c>
      <c r="F20252" s="3">
        <v>11</v>
      </c>
      <c r="G20252" t="s">
        <v>514</v>
      </c>
    </row>
    <row r="20253" spans="1:7" x14ac:dyDescent="0.25">
      <c r="A20253" s="1" t="str">
        <f>"502883"</f>
        <v>502883</v>
      </c>
      <c r="B20253" s="2" t="str">
        <f>"REST COD.79624 RMP 105X95 320W 220V"</f>
        <v>REST COD.79624 RMP 105X95 320W 220V</v>
      </c>
      <c r="C20253" s="2" t="str">
        <f>"PC"</f>
        <v>PC</v>
      </c>
      <c r="D20253" s="7">
        <v>900</v>
      </c>
      <c r="E20253" s="3">
        <v>10</v>
      </c>
      <c r="F20253" s="3">
        <v>10</v>
      </c>
      <c r="G20253" t="s">
        <v>514</v>
      </c>
    </row>
    <row r="20254" spans="1:7" x14ac:dyDescent="0.25">
      <c r="A20254" s="1" t="str">
        <f>"502962"</f>
        <v>502962</v>
      </c>
      <c r="B20254" s="2" t="str">
        <f>"REST COD.80217 RM 120X60 780W 220V"</f>
        <v>REST COD.80217 RM 120X60 780W 220V</v>
      </c>
      <c r="C20254" s="2" t="str">
        <f>"UN"</f>
        <v>UN</v>
      </c>
      <c r="D20254" s="7">
        <v>900</v>
      </c>
      <c r="E20254" s="3">
        <v>11</v>
      </c>
      <c r="F20254" s="3">
        <v>11</v>
      </c>
      <c r="G20254" t="s">
        <v>514</v>
      </c>
    </row>
    <row r="20255" spans="1:7" x14ac:dyDescent="0.25">
      <c r="A20255" s="1" t="str">
        <f>"520350"</f>
        <v>520350</v>
      </c>
      <c r="B20255" s="2" t="str">
        <f>"REST COD.80510 270W 220V"</f>
        <v>REST COD.80510 270W 220V</v>
      </c>
      <c r="C20255" s="2" t="str">
        <f>"PC"</f>
        <v>PC</v>
      </c>
      <c r="D20255" s="7">
        <v>900</v>
      </c>
      <c r="E20255" s="3">
        <v>11</v>
      </c>
      <c r="F20255" s="3">
        <v>11</v>
      </c>
      <c r="G20255" t="s">
        <v>513</v>
      </c>
    </row>
    <row r="20256" spans="1:7" x14ac:dyDescent="0.25">
      <c r="A20256" s="1" t="str">
        <f>"06005101004"</f>
        <v>06005101004</v>
      </c>
      <c r="B20256" s="2" t="str">
        <f>"REST COD.80741 RM 330X30 320W 220V"</f>
        <v>REST COD.80741 RM 330X30 320W 220V</v>
      </c>
      <c r="C20256" s="2" t="str">
        <f>"UN"</f>
        <v>UN</v>
      </c>
      <c r="D20256" s="7">
        <v>900</v>
      </c>
      <c r="E20256" s="3">
        <v>11</v>
      </c>
      <c r="F20256" s="3">
        <v>11</v>
      </c>
      <c r="G20256" t="s">
        <v>512</v>
      </c>
    </row>
    <row r="20257" spans="1:7" x14ac:dyDescent="0.25">
      <c r="A20257" s="1" t="str">
        <f>"06005101009"</f>
        <v>06005101009</v>
      </c>
      <c r="B20257" s="2" t="str">
        <f>"REST COD.80797 RM 270X100 870W 220V"</f>
        <v>REST COD.80797 RM 270X100 870W 220V</v>
      </c>
      <c r="C20257" s="2" t="str">
        <f>"UN"</f>
        <v>UN</v>
      </c>
      <c r="D20257" s="7">
        <v>900</v>
      </c>
      <c r="E20257" s="3">
        <v>11</v>
      </c>
      <c r="F20257" s="3">
        <v>11</v>
      </c>
      <c r="G20257" t="s">
        <v>513</v>
      </c>
    </row>
    <row r="20258" spans="1:7" x14ac:dyDescent="0.25">
      <c r="A20258" s="1" t="str">
        <f>"520349"</f>
        <v>520349</v>
      </c>
      <c r="B20258" s="2" t="str">
        <f>"REST COD.9001936 W1700  220V"</f>
        <v>REST COD.9001936 W1700  220V</v>
      </c>
      <c r="C20258" s="2" t="str">
        <f>"UN"</f>
        <v>UN</v>
      </c>
      <c r="D20258" s="7">
        <v>900</v>
      </c>
      <c r="E20258" s="3">
        <v>11</v>
      </c>
      <c r="F20258" s="3">
        <v>11</v>
      </c>
      <c r="G20258" t="s">
        <v>514</v>
      </c>
    </row>
    <row r="20259" spans="1:7" x14ac:dyDescent="0.25">
      <c r="A20259" s="1" t="str">
        <f>"520351"</f>
        <v>520351</v>
      </c>
      <c r="B20259" s="2" t="str">
        <f>"REST COD.9003267 100W 220V"</f>
        <v>REST COD.9003267 100W 220V</v>
      </c>
      <c r="C20259" s="2" t="str">
        <f>"PC"</f>
        <v>PC</v>
      </c>
      <c r="D20259" s="7">
        <v>900</v>
      </c>
      <c r="E20259" s="3">
        <v>11</v>
      </c>
      <c r="F20259" s="3">
        <v>11</v>
      </c>
      <c r="G20259" t="s">
        <v>514</v>
      </c>
    </row>
    <row r="20260" spans="1:7" x14ac:dyDescent="0.25">
      <c r="A20260" s="1" t="str">
        <f>"510775"</f>
        <v>510775</v>
      </c>
      <c r="B20260" s="2" t="str">
        <f>"REST COD.9003397 RMP 155X55 230W 220V"</f>
        <v>REST COD.9003397 RMP 155X55 230W 220V</v>
      </c>
      <c r="C20260" s="2" t="str">
        <f>"PC"</f>
        <v>PC</v>
      </c>
      <c r="D20260" s="7">
        <v>900</v>
      </c>
      <c r="E20260" s="3">
        <v>11</v>
      </c>
      <c r="F20260" s="3">
        <v>11</v>
      </c>
      <c r="G20260" t="s">
        <v>514</v>
      </c>
    </row>
    <row r="20261" spans="1:7" x14ac:dyDescent="0.25">
      <c r="A20261" s="1" t="str">
        <f>"502882"</f>
        <v>502882</v>
      </c>
      <c r="B20261" s="2" t="str">
        <f>"REST COD.L6A220  150X5/8 220W 220V"</f>
        <v>REST COD.L6A220  150X5/8 220W 220V</v>
      </c>
      <c r="C20261" s="2" t="str">
        <f>"UN"</f>
        <v>UN</v>
      </c>
      <c r="D20261" s="7">
        <v>900</v>
      </c>
      <c r="E20261" s="3">
        <v>11</v>
      </c>
      <c r="F20261" s="3">
        <v>11</v>
      </c>
      <c r="G20261" t="s">
        <v>513</v>
      </c>
    </row>
    <row r="20262" spans="1:7" x14ac:dyDescent="0.25">
      <c r="A20262" s="1" t="str">
        <f>"504506"</f>
        <v>504506</v>
      </c>
      <c r="B20262" s="2" t="str">
        <f>"REST COLEIRA 185X50MM 1325D8 220V/750W"</f>
        <v>REST COLEIRA 185X50MM 1325D8 220V/750W</v>
      </c>
      <c r="C20262" s="2" t="str">
        <f>"UN"</f>
        <v>UN</v>
      </c>
      <c r="D20262" s="7">
        <v>900</v>
      </c>
      <c r="E20262" s="3">
        <v>11</v>
      </c>
      <c r="F20262" s="3">
        <v>11</v>
      </c>
      <c r="G20262" t="s">
        <v>513</v>
      </c>
    </row>
    <row r="20263" spans="1:7" x14ac:dyDescent="0.25">
      <c r="A20263" s="1" t="str">
        <f>"500757"</f>
        <v>500757</v>
      </c>
      <c r="B20263" s="2" t="str">
        <f>"REST COLEIRA COD.2279"</f>
        <v>REST COLEIRA COD.2279</v>
      </c>
      <c r="C20263" s="2" t="str">
        <f>"UN"</f>
        <v>UN</v>
      </c>
      <c r="D20263" s="7">
        <v>900</v>
      </c>
      <c r="E20263" s="3">
        <v>11</v>
      </c>
      <c r="F20263" s="3">
        <v>11</v>
      </c>
      <c r="G20263" t="s">
        <v>513</v>
      </c>
    </row>
    <row r="20264" spans="1:7" x14ac:dyDescent="0.25">
      <c r="A20264" s="1" t="str">
        <f>"503684"</f>
        <v>503684</v>
      </c>
      <c r="B20264" s="2" t="str">
        <f>"REST COLEIRA REF. 1325D2"</f>
        <v>REST COLEIRA REF. 1325D2</v>
      </c>
      <c r="C20264" s="2" t="str">
        <f>"UN"</f>
        <v>UN</v>
      </c>
      <c r="D20264" s="7">
        <v>900</v>
      </c>
      <c r="E20264" s="3">
        <v>11</v>
      </c>
      <c r="F20264" s="3">
        <v>11</v>
      </c>
      <c r="G20264" t="s">
        <v>512</v>
      </c>
    </row>
    <row r="20265" spans="1:7" x14ac:dyDescent="0.25">
      <c r="A20265" s="1" t="str">
        <f>"06005101005"</f>
        <v>06005101005</v>
      </c>
      <c r="B20265" s="2" t="str">
        <f>"REST COLEIRA REF. 1325D4 800W 220V"</f>
        <v>REST COLEIRA REF. 1325D4 800W 220V</v>
      </c>
      <c r="C20265" s="2" t="str">
        <f>"UN"</f>
        <v>UN</v>
      </c>
      <c r="D20265" s="7">
        <v>900</v>
      </c>
      <c r="E20265" s="3">
        <v>11</v>
      </c>
      <c r="F20265" s="3">
        <v>11</v>
      </c>
      <c r="G20265" t="s">
        <v>513</v>
      </c>
    </row>
    <row r="20266" spans="1:7" x14ac:dyDescent="0.25">
      <c r="A20266" s="1" t="str">
        <f>"500756"</f>
        <v>500756</v>
      </c>
      <c r="B20266" s="2" t="str">
        <f>"REST COLEIRA REF.1325D6 150X50 220W 220V"</f>
        <v>REST COLEIRA REF.1325D6 150X50 220W 220V</v>
      </c>
      <c r="C20266" s="2" t="str">
        <f>"PC"</f>
        <v>PC</v>
      </c>
      <c r="D20266" s="7">
        <v>900</v>
      </c>
      <c r="E20266" s="3">
        <v>11</v>
      </c>
      <c r="F20266" s="3">
        <v>11</v>
      </c>
      <c r="G20266" t="s">
        <v>514</v>
      </c>
    </row>
    <row r="20267" spans="1:7" x14ac:dyDescent="0.25">
      <c r="A20267" s="1" t="str">
        <f>"518818"</f>
        <v>518818</v>
      </c>
      <c r="B20267" s="2" t="str">
        <f>"REST COMP. AMONIA 270W 240V"</f>
        <v>REST COMP. AMONIA 270W 240V</v>
      </c>
      <c r="C20267" s="2" t="str">
        <f>"UN"</f>
        <v>UN</v>
      </c>
      <c r="D20267" s="7">
        <v>811</v>
      </c>
      <c r="E20267" s="3">
        <v>8</v>
      </c>
      <c r="F20267" s="3">
        <v>8</v>
      </c>
      <c r="G20267" t="s">
        <v>515</v>
      </c>
    </row>
    <row r="20268" spans="1:7" x14ac:dyDescent="0.25">
      <c r="A20268" s="1" t="str">
        <f>"501203"</f>
        <v>501203</v>
      </c>
      <c r="B20268" s="2" t="str">
        <f>"REST COREL 2000W 240V REF 7338 SAQUINHO"</f>
        <v>REST COREL 2000W 240V REF 7338 SAQUINHO</v>
      </c>
      <c r="C20268" s="2" t="str">
        <f>"UN"</f>
        <v>UN</v>
      </c>
      <c r="D20268" s="7">
        <v>900</v>
      </c>
      <c r="E20268" s="3">
        <v>11</v>
      </c>
      <c r="F20268" s="3">
        <v>11</v>
      </c>
      <c r="G20268" t="s">
        <v>512</v>
      </c>
    </row>
    <row r="20269" spans="1:7" x14ac:dyDescent="0.25">
      <c r="A20269" s="1" t="str">
        <f>"501204"</f>
        <v>501204</v>
      </c>
      <c r="B20269" s="2" t="str">
        <f>"REST COREL 400W 127V ROTULADEIRA"</f>
        <v>REST COREL 400W 127V ROTULADEIRA</v>
      </c>
      <c r="C20269" s="2" t="str">
        <f>"UN"</f>
        <v>UN</v>
      </c>
      <c r="D20269" s="7">
        <v>900</v>
      </c>
      <c r="E20269" s="3">
        <v>11</v>
      </c>
      <c r="F20269" s="3">
        <v>11</v>
      </c>
      <c r="G20269" t="s">
        <v>516</v>
      </c>
    </row>
    <row r="20270" spans="1:7" x14ac:dyDescent="0.25">
      <c r="A20270" s="1" t="str">
        <f>"501553"</f>
        <v>501553</v>
      </c>
      <c r="B20270" s="2" t="str">
        <f>"REST DATADOR 100WX220V 3/8"" MAQ SAQUINHO"</f>
        <v>REST DATADOR 100WX220V 3/8" MAQ SAQUINHO</v>
      </c>
      <c r="C20270" s="2" t="str">
        <f>"PC"</f>
        <v>PC</v>
      </c>
      <c r="D20270" s="7">
        <v>900</v>
      </c>
      <c r="E20270" s="3">
        <v>11</v>
      </c>
      <c r="F20270" s="3">
        <v>11</v>
      </c>
      <c r="G20270" t="s">
        <v>515</v>
      </c>
    </row>
    <row r="20271" spans="1:7" x14ac:dyDescent="0.25">
      <c r="A20271" s="1" t="str">
        <f>"516316"</f>
        <v>516316</v>
      </c>
      <c r="B20271" s="2" t="str">
        <f>"REST DESTILADOR 5L 6500W 220V QA23047"</f>
        <v>REST DESTILADOR 5L 6500W 220V QA23047</v>
      </c>
      <c r="C20271" s="2" t="str">
        <f>"UN"</f>
        <v>UN</v>
      </c>
      <c r="D20271" s="7">
        <v>600</v>
      </c>
      <c r="E20271" s="3">
        <v>8</v>
      </c>
      <c r="F20271" s="3">
        <v>8</v>
      </c>
      <c r="G20271" t="s">
        <v>514</v>
      </c>
    </row>
    <row r="20272" spans="1:7" x14ac:dyDescent="0.25">
      <c r="A20272" s="1" t="str">
        <f>"517410"</f>
        <v>517410</v>
      </c>
      <c r="B20272" s="2" t="str">
        <f>"REST FORNO MITRI D'VOLTS 15402 220V 9KW"</f>
        <v>REST FORNO MITRI D'VOLTS 15402 220V 9KW</v>
      </c>
      <c r="C20272" s="2" t="str">
        <f>"UN"</f>
        <v>UN</v>
      </c>
      <c r="D20272" s="7">
        <v>811</v>
      </c>
      <c r="E20272" s="3">
        <v>8</v>
      </c>
      <c r="F20272" s="3">
        <v>8</v>
      </c>
      <c r="G20272" t="s">
        <v>512</v>
      </c>
    </row>
    <row r="20273" spans="1:7" x14ac:dyDescent="0.25">
      <c r="A20273" s="1" t="str">
        <f>"501551"</f>
        <v>501551</v>
      </c>
      <c r="B20273" s="2" t="str">
        <f>"REST INFERIOR MAQ SAQUINHO"</f>
        <v>REST INFERIOR MAQ SAQUINHO</v>
      </c>
      <c r="C20273" s="2" t="str">
        <f>"PC"</f>
        <v>PC</v>
      </c>
      <c r="D20273" s="7">
        <v>900</v>
      </c>
      <c r="E20273" s="3">
        <v>11</v>
      </c>
      <c r="F20273" s="3">
        <v>11</v>
      </c>
      <c r="G20273" t="s">
        <v>513</v>
      </c>
    </row>
    <row r="20274" spans="1:7" x14ac:dyDescent="0.25">
      <c r="A20274" s="1" t="str">
        <f>"503685"</f>
        <v>503685</v>
      </c>
      <c r="B20274" s="2" t="str">
        <f>"REST MEIA LUA REF. 1325D3 220W 220V"</f>
        <v>REST MEIA LUA REF. 1325D3 220W 220V</v>
      </c>
      <c r="C20274" s="2" t="str">
        <f t="shared" ref="C20274:C20290" si="802">"UN"</f>
        <v>UN</v>
      </c>
      <c r="D20274" s="7">
        <v>900</v>
      </c>
      <c r="E20274" s="3">
        <v>11</v>
      </c>
      <c r="F20274" s="3">
        <v>11</v>
      </c>
      <c r="G20274" t="s">
        <v>514</v>
      </c>
    </row>
    <row r="20275" spans="1:7" x14ac:dyDescent="0.25">
      <c r="A20275" s="1" t="str">
        <f>"505168"</f>
        <v>505168</v>
      </c>
      <c r="B20275" s="2" t="str">
        <f>"REST MITRI COD. OF11482 02/07 1500W 220V"</f>
        <v>REST MITRI COD. OF11482 02/07 1500W 220V</v>
      </c>
      <c r="C20275" s="2" t="str">
        <f t="shared" si="802"/>
        <v>UN</v>
      </c>
      <c r="D20275" s="7">
        <v>900</v>
      </c>
      <c r="E20275" s="3">
        <v>11</v>
      </c>
      <c r="F20275" s="3">
        <v>11</v>
      </c>
      <c r="G20275" t="s">
        <v>514</v>
      </c>
    </row>
    <row r="20276" spans="1:7" x14ac:dyDescent="0.25">
      <c r="A20276" s="1" t="str">
        <f>"505167"</f>
        <v>505167</v>
      </c>
      <c r="B20276" s="2" t="str">
        <f>"REST MITRI COD. OF12107 1200W 220V"</f>
        <v>REST MITRI COD. OF12107 1200W 220V</v>
      </c>
      <c r="C20276" s="2" t="str">
        <f t="shared" si="802"/>
        <v>UN</v>
      </c>
      <c r="D20276" s="7">
        <v>900</v>
      </c>
      <c r="E20276" s="3">
        <v>11</v>
      </c>
      <c r="F20276" s="3">
        <v>11</v>
      </c>
      <c r="G20276" t="s">
        <v>512</v>
      </c>
    </row>
    <row r="20277" spans="1:7" x14ac:dyDescent="0.25">
      <c r="A20277" s="1" t="str">
        <f>"500851"</f>
        <v>500851</v>
      </c>
      <c r="B20277" s="2" t="str">
        <f>"REST NIPLE TIPO M INOX 850X0 500W 220V"</f>
        <v>REST NIPLE TIPO M INOX 850X0 500W 220V</v>
      </c>
      <c r="C20277" s="2" t="str">
        <f t="shared" si="802"/>
        <v>UN</v>
      </c>
      <c r="D20277" s="7">
        <v>402</v>
      </c>
      <c r="E20277" s="3">
        <v>4</v>
      </c>
      <c r="F20277" s="3">
        <v>4</v>
      </c>
      <c r="G20277" t="s">
        <v>513</v>
      </c>
    </row>
    <row r="20278" spans="1:7" x14ac:dyDescent="0.25">
      <c r="A20278" s="1" t="str">
        <f>"501216"</f>
        <v>501216</v>
      </c>
      <c r="B20278" s="2" t="str">
        <f>"REST PALLEY R-4521 325W 220V SAQUINHO"</f>
        <v>REST PALLEY R-4521 325W 220V SAQUINHO</v>
      </c>
      <c r="C20278" s="2" t="str">
        <f t="shared" si="802"/>
        <v>UN</v>
      </c>
      <c r="D20278" s="7">
        <v>900</v>
      </c>
      <c r="E20278" s="3">
        <v>11</v>
      </c>
      <c r="F20278" s="3">
        <v>11</v>
      </c>
      <c r="G20278" t="s">
        <v>514</v>
      </c>
    </row>
    <row r="20279" spans="1:7" x14ac:dyDescent="0.25">
      <c r="A20279" s="1" t="str">
        <f>"501163"</f>
        <v>501163</v>
      </c>
      <c r="B20279" s="2" t="str">
        <f>"REST PLACA CONTATO  BANDEJA DMAX/DINIEPER"</f>
        <v>REST PLACA CONTATO  BANDEJA DMAX/DINIEPER</v>
      </c>
      <c r="C20279" s="2" t="str">
        <f t="shared" si="802"/>
        <v>UN</v>
      </c>
      <c r="D20279" s="7">
        <v>900</v>
      </c>
      <c r="E20279" s="3">
        <v>11</v>
      </c>
      <c r="F20279" s="3">
        <v>11</v>
      </c>
      <c r="G20279" t="s">
        <v>514</v>
      </c>
    </row>
    <row r="20280" spans="1:7" x14ac:dyDescent="0.25">
      <c r="A20280" s="1" t="str">
        <f>"501060"</f>
        <v>501060</v>
      </c>
      <c r="B20280" s="2" t="str">
        <f>"REST PLACA CONTATO DINIEPER PETIT"</f>
        <v>REST PLACA CONTATO DINIEPER PETIT</v>
      </c>
      <c r="C20280" s="2" t="str">
        <f t="shared" si="802"/>
        <v>UN</v>
      </c>
      <c r="D20280" s="7">
        <v>900</v>
      </c>
      <c r="E20280" s="3">
        <v>11</v>
      </c>
      <c r="F20280" s="3">
        <v>11</v>
      </c>
      <c r="G20280" t="s">
        <v>514</v>
      </c>
    </row>
    <row r="20281" spans="1:7" x14ac:dyDescent="0.25">
      <c r="A20281" s="1" t="str">
        <f>"501557"</f>
        <v>501557</v>
      </c>
      <c r="B20281" s="2" t="str">
        <f>"REST PLACA FORMAGEM BANDEJA DMAX/DINIEPER"</f>
        <v>REST PLACA FORMAGEM BANDEJA DMAX/DINIEPER</v>
      </c>
      <c r="C20281" s="2" t="str">
        <f t="shared" si="802"/>
        <v>UN</v>
      </c>
      <c r="D20281" s="7">
        <v>900</v>
      </c>
      <c r="E20281" s="3">
        <v>11</v>
      </c>
      <c r="F20281" s="3">
        <v>11</v>
      </c>
      <c r="G20281" t="s">
        <v>513</v>
      </c>
    </row>
    <row r="20282" spans="1:7" x14ac:dyDescent="0.25">
      <c r="A20282" s="1" t="str">
        <f>"509852"</f>
        <v>509852</v>
      </c>
      <c r="B20282" s="2" t="str">
        <f>"REST PLACA FORMAGEM DINIEPER PETIT"</f>
        <v>REST PLACA FORMAGEM DINIEPER PETIT</v>
      </c>
      <c r="C20282" s="2" t="str">
        <f t="shared" si="802"/>
        <v>UN</v>
      </c>
      <c r="D20282" s="7">
        <v>900</v>
      </c>
      <c r="E20282" s="3">
        <v>11</v>
      </c>
      <c r="F20282" s="3">
        <v>11</v>
      </c>
      <c r="G20282" t="s">
        <v>512</v>
      </c>
    </row>
    <row r="20283" spans="1:7" x14ac:dyDescent="0.25">
      <c r="A20283" s="1" t="str">
        <f>"501526"</f>
        <v>501526</v>
      </c>
      <c r="B20283" s="2" t="str">
        <f>"REST PLACA SELAGEM  BANDEJA DMAX"</f>
        <v>REST PLACA SELAGEM  BANDEJA DMAX</v>
      </c>
      <c r="C20283" s="2" t="str">
        <f t="shared" si="802"/>
        <v>UN</v>
      </c>
      <c r="D20283" s="7">
        <v>900</v>
      </c>
      <c r="E20283" s="3">
        <v>11</v>
      </c>
      <c r="F20283" s="3">
        <v>11</v>
      </c>
      <c r="G20283" t="s">
        <v>513</v>
      </c>
    </row>
    <row r="20284" spans="1:7" x14ac:dyDescent="0.25">
      <c r="A20284" s="1" t="str">
        <f>"505165"</f>
        <v>505165</v>
      </c>
      <c r="B20284" s="2" t="str">
        <f>"REST PLACA SELAGEM DINIEPER PETIT"</f>
        <v>REST PLACA SELAGEM DINIEPER PETIT</v>
      </c>
      <c r="C20284" s="2" t="str">
        <f t="shared" si="802"/>
        <v>UN</v>
      </c>
      <c r="D20284" s="7">
        <v>900</v>
      </c>
      <c r="E20284" s="3">
        <v>11</v>
      </c>
      <c r="F20284" s="3">
        <v>11</v>
      </c>
      <c r="G20284" t="s">
        <v>514</v>
      </c>
    </row>
    <row r="20285" spans="1:7" x14ac:dyDescent="0.25">
      <c r="A20285" s="1" t="str">
        <f>"510770"</f>
        <v>510770</v>
      </c>
      <c r="B20285" s="2" t="str">
        <f>"REST PUNCOES DMAX"</f>
        <v>REST PUNCOES DMAX</v>
      </c>
      <c r="C20285" s="2" t="str">
        <f t="shared" si="802"/>
        <v>UN</v>
      </c>
      <c r="D20285" s="7">
        <v>900</v>
      </c>
      <c r="E20285" s="3">
        <v>11</v>
      </c>
      <c r="F20285" s="3">
        <v>11</v>
      </c>
      <c r="G20285" t="s">
        <v>514</v>
      </c>
    </row>
    <row r="20286" spans="1:7" x14ac:dyDescent="0.25">
      <c r="A20286" s="1" t="str">
        <f>"501161"</f>
        <v>501161</v>
      </c>
      <c r="B20286" s="2" t="str">
        <f>"REST PUNCOES PETIT"</f>
        <v>REST PUNCOES PETIT</v>
      </c>
      <c r="C20286" s="2" t="str">
        <f t="shared" si="802"/>
        <v>UN</v>
      </c>
      <c r="D20286" s="7">
        <v>900</v>
      </c>
      <c r="E20286" s="3">
        <v>11</v>
      </c>
      <c r="F20286" s="3">
        <v>11</v>
      </c>
      <c r="G20286" t="s">
        <v>514</v>
      </c>
    </row>
    <row r="20287" spans="1:7" x14ac:dyDescent="0.25">
      <c r="A20287" s="1" t="str">
        <f>"511785"</f>
        <v>511785</v>
      </c>
      <c r="B20287" s="2" t="str">
        <f>"REST REAL OF 5312-0 550W 220V 08/08"</f>
        <v>REST REAL OF 5312-0 550W 220V 08/08</v>
      </c>
      <c r="C20287" s="2" t="str">
        <f t="shared" si="802"/>
        <v>UN</v>
      </c>
      <c r="D20287" s="7">
        <v>900</v>
      </c>
      <c r="E20287" s="3">
        <v>11</v>
      </c>
      <c r="F20287" s="3">
        <v>11</v>
      </c>
      <c r="G20287" t="s">
        <v>513</v>
      </c>
    </row>
    <row r="20288" spans="1:7" x14ac:dyDescent="0.25">
      <c r="A20288" s="1" t="str">
        <f>"503235"</f>
        <v>503235</v>
      </c>
      <c r="B20288" s="2" t="str">
        <f>"REST RETANGULAR COD.4645-2077 150WX220V"</f>
        <v>REST RETANGULAR COD.4645-2077 150WX220V</v>
      </c>
      <c r="C20288" s="2" t="str">
        <f t="shared" si="802"/>
        <v>UN</v>
      </c>
      <c r="D20288" s="7">
        <v>900</v>
      </c>
      <c r="E20288" s="3">
        <v>11</v>
      </c>
      <c r="F20288" s="3">
        <v>11</v>
      </c>
      <c r="G20288" t="s">
        <v>513</v>
      </c>
    </row>
    <row r="20289" spans="1:7" x14ac:dyDescent="0.25">
      <c r="A20289" s="1" t="str">
        <f>"516441"</f>
        <v>516441</v>
      </c>
      <c r="B20289" s="2" t="str">
        <f>"REST RTB 65 X 500W 220V - 8000"</f>
        <v>REST RTB 65 X 500W 220V - 8000</v>
      </c>
      <c r="C20289" s="2" t="str">
        <f t="shared" si="802"/>
        <v>UN</v>
      </c>
      <c r="D20289" s="7">
        <v>1500</v>
      </c>
      <c r="E20289" s="3">
        <v>11</v>
      </c>
      <c r="F20289" s="3">
        <v>11</v>
      </c>
      <c r="G20289" t="s">
        <v>513</v>
      </c>
    </row>
    <row r="20290" spans="1:7" x14ac:dyDescent="0.25">
      <c r="A20290" s="1" t="str">
        <f>"503349"</f>
        <v>503349</v>
      </c>
      <c r="B20290" s="2" t="str">
        <f>"REST SUPERIOR ALTA MAQ SAQUINHO"</f>
        <v>REST SUPERIOR ALTA MAQ SAQUINHO</v>
      </c>
      <c r="C20290" s="2" t="str">
        <f t="shared" si="802"/>
        <v>UN</v>
      </c>
      <c r="D20290" s="7">
        <v>900</v>
      </c>
      <c r="E20290" s="3">
        <v>11</v>
      </c>
      <c r="F20290" s="3">
        <v>11</v>
      </c>
      <c r="G20290" t="s">
        <v>512</v>
      </c>
    </row>
    <row r="20291" spans="1:7" x14ac:dyDescent="0.25">
      <c r="A20291" s="1" t="str">
        <f>"501552"</f>
        <v>501552</v>
      </c>
      <c r="B20291" s="2" t="str">
        <f>"REST SUPERIOR BAIXA MAQ SAQUINHO"</f>
        <v>REST SUPERIOR BAIXA MAQ SAQUINHO</v>
      </c>
      <c r="C20291" s="2" t="str">
        <f>"PC"</f>
        <v>PC</v>
      </c>
      <c r="D20291" s="7">
        <v>900</v>
      </c>
      <c r="E20291" s="3">
        <v>11</v>
      </c>
      <c r="F20291" s="3">
        <v>11</v>
      </c>
      <c r="G20291" t="s">
        <v>513</v>
      </c>
    </row>
    <row r="20292" spans="1:7" x14ac:dyDescent="0.25">
      <c r="A20292" s="1" t="str">
        <f>"504258"</f>
        <v>504258</v>
      </c>
      <c r="B20292" s="2" t="str">
        <f>"REST SUPERIOR MAQ SAQUINHO"</f>
        <v>REST SUPERIOR MAQ SAQUINHO</v>
      </c>
      <c r="C20292" s="2" t="str">
        <f>"UN"</f>
        <v>UN</v>
      </c>
      <c r="D20292" s="7">
        <v>900</v>
      </c>
      <c r="E20292" s="3">
        <v>11</v>
      </c>
      <c r="F20292" s="3">
        <v>11</v>
      </c>
      <c r="G20292" t="s">
        <v>514</v>
      </c>
    </row>
    <row r="20293" spans="1:7" x14ac:dyDescent="0.25">
      <c r="A20293" s="1" t="str">
        <f>"512308"</f>
        <v>512308</v>
      </c>
      <c r="B20293" s="2" t="str">
        <f>"REST TUBULAR 1""X850MM 1000W 220V WATTCRO"</f>
        <v>REST TUBULAR 1"X850MM 1000W 220V WATTCRO</v>
      </c>
      <c r="C20293" s="2" t="str">
        <f t="shared" ref="C20293:C20298" si="803">"PC"</f>
        <v>PC</v>
      </c>
      <c r="D20293" s="7">
        <v>900</v>
      </c>
      <c r="E20293" s="3">
        <v>11</v>
      </c>
      <c r="F20293" s="3">
        <v>11</v>
      </c>
      <c r="G20293" t="s">
        <v>515</v>
      </c>
    </row>
    <row r="20294" spans="1:7" x14ac:dyDescent="0.25">
      <c r="A20294" s="1" t="str">
        <f>"512310"</f>
        <v>512310</v>
      </c>
      <c r="B20294" s="2" t="str">
        <f>"REST TUBULAR 22X690MM 1050W 110V WATTCRO"</f>
        <v>REST TUBULAR 22X690MM 1050W 110V WATTCRO</v>
      </c>
      <c r="C20294" s="2" t="str">
        <f t="shared" si="803"/>
        <v>PC</v>
      </c>
      <c r="D20294" s="7">
        <v>900</v>
      </c>
      <c r="E20294" s="3">
        <v>11</v>
      </c>
      <c r="F20294" s="3">
        <v>11</v>
      </c>
      <c r="G20294" t="s">
        <v>512</v>
      </c>
    </row>
    <row r="20295" spans="1:7" x14ac:dyDescent="0.25">
      <c r="A20295" s="1" t="str">
        <f>"512309"</f>
        <v>512309</v>
      </c>
      <c r="B20295" s="2" t="str">
        <f>"REST TUBULAR 24,5X690MM 1050W 110V WATTC"</f>
        <v>REST TUBULAR 24,5X690MM 1050W 110V WATTC</v>
      </c>
      <c r="C20295" s="2" t="str">
        <f t="shared" si="803"/>
        <v>PC</v>
      </c>
      <c r="D20295" s="7">
        <v>900</v>
      </c>
      <c r="E20295" s="3">
        <v>11</v>
      </c>
      <c r="F20295" s="3">
        <v>11</v>
      </c>
      <c r="G20295" t="s">
        <v>516</v>
      </c>
    </row>
    <row r="20296" spans="1:7" x14ac:dyDescent="0.25">
      <c r="A20296" s="1" t="str">
        <f>"512307"</f>
        <v>512307</v>
      </c>
      <c r="B20296" s="2" t="str">
        <f>"REST TUBULAR 9,5X175MM 400W 220V WATTCRO"</f>
        <v>REST TUBULAR 9,5X175MM 400W 220V WATTCRO</v>
      </c>
      <c r="C20296" s="2" t="str">
        <f t="shared" si="803"/>
        <v>PC</v>
      </c>
      <c r="D20296" s="7">
        <v>900</v>
      </c>
      <c r="E20296" s="3">
        <v>11</v>
      </c>
      <c r="F20296" s="3">
        <v>11</v>
      </c>
      <c r="G20296" t="s">
        <v>515</v>
      </c>
    </row>
    <row r="20297" spans="1:7" x14ac:dyDescent="0.25">
      <c r="A20297" s="1" t="str">
        <f>"512153"</f>
        <v>512153</v>
      </c>
      <c r="B20297" s="2" t="str">
        <f>"REST TUBULAR 9,5X340MM 400W 220V WATTCRO"</f>
        <v>REST TUBULAR 9,5X340MM 400W 220V WATTCRO</v>
      </c>
      <c r="C20297" s="2" t="str">
        <f t="shared" si="803"/>
        <v>PC</v>
      </c>
      <c r="D20297" s="7">
        <v>900</v>
      </c>
      <c r="E20297" s="3">
        <v>11</v>
      </c>
      <c r="F20297" s="3">
        <v>11</v>
      </c>
      <c r="G20297" t="s">
        <v>514</v>
      </c>
    </row>
    <row r="20298" spans="1:7" x14ac:dyDescent="0.25">
      <c r="A20298" s="1" t="str">
        <f>"512152"</f>
        <v>512152</v>
      </c>
      <c r="B20298" s="2" t="str">
        <f>"REST TUBULAR 9,5X750MM 750W 220V WATTCRO"</f>
        <v>REST TUBULAR 9,5X750MM 750W 220V WATTCRO</v>
      </c>
      <c r="C20298" s="2" t="str">
        <f t="shared" si="803"/>
        <v>PC</v>
      </c>
      <c r="D20298" s="7">
        <v>900</v>
      </c>
      <c r="E20298" s="3">
        <v>11</v>
      </c>
      <c r="F20298" s="3">
        <v>11</v>
      </c>
      <c r="G20298" t="s">
        <v>512</v>
      </c>
    </row>
    <row r="20299" spans="1:7" x14ac:dyDescent="0.25">
      <c r="A20299" s="1" t="str">
        <f>"512608"</f>
        <v>512608</v>
      </c>
      <c r="B20299" s="2" t="str">
        <f>"REST U 58X180MM 500W 220V 230K436"</f>
        <v>REST U 58X180MM 500W 220V 230K436</v>
      </c>
      <c r="C20299" s="2" t="str">
        <f t="shared" ref="C20299:C20318" si="804">"UN"</f>
        <v>UN</v>
      </c>
      <c r="D20299" s="7">
        <v>900</v>
      </c>
      <c r="E20299" s="3">
        <v>11</v>
      </c>
      <c r="F20299" s="3">
        <v>11</v>
      </c>
      <c r="G20299" t="s">
        <v>513</v>
      </c>
    </row>
    <row r="20300" spans="1:7" x14ac:dyDescent="0.25">
      <c r="A20300" s="1" t="str">
        <f>"501700"</f>
        <v>501700</v>
      </c>
      <c r="B20300" s="2" t="str">
        <f>"REST U SOLDA 600X220V MAQ 200ML"</f>
        <v>REST U SOLDA 600X220V MAQ 200ML</v>
      </c>
      <c r="C20300" s="2" t="str">
        <f t="shared" si="804"/>
        <v>UN</v>
      </c>
      <c r="D20300" s="7">
        <v>900</v>
      </c>
      <c r="E20300" s="3">
        <v>11</v>
      </c>
      <c r="F20300" s="3">
        <v>11</v>
      </c>
      <c r="G20300" t="s">
        <v>514</v>
      </c>
    </row>
    <row r="20301" spans="1:7" x14ac:dyDescent="0.25">
      <c r="A20301" s="1" t="str">
        <f>"517094"</f>
        <v>517094</v>
      </c>
      <c r="B20301" s="2" t="str">
        <f>"REST.RTB.65X500W 220V-8000 DIAN.INT 12MM EXT.57MM"</f>
        <v>REST.RTB.65X500W 220V-8000 DIAN.INT 12MM EXT.57MM</v>
      </c>
      <c r="C20301" s="2" t="str">
        <f t="shared" si="804"/>
        <v>UN</v>
      </c>
      <c r="D20301" s="7">
        <v>811</v>
      </c>
      <c r="E20301" s="3">
        <v>8</v>
      </c>
      <c r="F20301" s="3">
        <v>8</v>
      </c>
      <c r="G20301" t="s">
        <v>514</v>
      </c>
    </row>
    <row r="20302" spans="1:7" x14ac:dyDescent="0.25">
      <c r="A20302" s="1" t="str">
        <f>"527112"</f>
        <v>527112</v>
      </c>
      <c r="B20302" s="2" t="str">
        <f>"RETALHO DE CHAPA"</f>
        <v>RETALHO DE CHAPA</v>
      </c>
      <c r="C20302" s="2" t="str">
        <f t="shared" si="804"/>
        <v>UN</v>
      </c>
      <c r="D20302" s="7">
        <v>900</v>
      </c>
      <c r="E20302" s="3">
        <v>11</v>
      </c>
      <c r="F20302" s="3">
        <v>11</v>
      </c>
      <c r="G20302" t="s">
        <v>512</v>
      </c>
    </row>
    <row r="20303" spans="1:7" x14ac:dyDescent="0.25">
      <c r="A20303" s="1" t="str">
        <f>"507077"</f>
        <v>507077</v>
      </c>
      <c r="B20303" s="2" t="str">
        <f>"RETARDADOR TUBULAR"</f>
        <v>RETARDADOR TUBULAR</v>
      </c>
      <c r="C20303" s="2" t="str">
        <f t="shared" si="804"/>
        <v>UN</v>
      </c>
      <c r="D20303" s="7">
        <v>915</v>
      </c>
      <c r="E20303" s="3">
        <v>10</v>
      </c>
      <c r="F20303" s="3">
        <v>10</v>
      </c>
      <c r="G20303" t="s">
        <v>513</v>
      </c>
    </row>
    <row r="20304" spans="1:7" x14ac:dyDescent="0.25">
      <c r="A20304" s="1" t="str">
        <f>"516485"</f>
        <v>516485</v>
      </c>
      <c r="B20304" s="2" t="str">
        <f>"RETARDADOR TUBULAR 2 1/2"" CADRI"</f>
        <v>RETARDADOR TUBULAR 2 1/2" CADRI</v>
      </c>
      <c r="C20304" s="2" t="str">
        <f t="shared" si="804"/>
        <v>UN</v>
      </c>
      <c r="D20304" s="7">
        <v>912</v>
      </c>
      <c r="E20304" s="3">
        <v>10</v>
      </c>
      <c r="F20304" s="3">
        <v>10</v>
      </c>
      <c r="G20304" t="s">
        <v>514</v>
      </c>
    </row>
    <row r="20305" spans="1:7" x14ac:dyDescent="0.25">
      <c r="A20305" s="1" t="str">
        <f>"501574"</f>
        <v>501574</v>
      </c>
      <c r="B20305" s="2" t="str">
        <f>"RETENTOR"</f>
        <v>RETENTOR</v>
      </c>
      <c r="C20305" s="2" t="str">
        <f t="shared" si="804"/>
        <v>UN</v>
      </c>
      <c r="D20305" s="7">
        <v>704</v>
      </c>
      <c r="E20305" s="3">
        <v>9</v>
      </c>
      <c r="F20305" s="3">
        <v>9</v>
      </c>
      <c r="G20305" t="s">
        <v>514</v>
      </c>
    </row>
    <row r="20306" spans="1:7" x14ac:dyDescent="0.25">
      <c r="A20306" s="1" t="str">
        <f>"527267"</f>
        <v>527267</v>
      </c>
      <c r="B20306" s="2" t="str">
        <f>"RETENTOR - 015438"</f>
        <v>RETENTOR - 015438</v>
      </c>
      <c r="C20306" s="2" t="str">
        <f t="shared" si="804"/>
        <v>UN</v>
      </c>
      <c r="D20306" s="7">
        <v>918</v>
      </c>
      <c r="E20306" s="3">
        <v>11</v>
      </c>
      <c r="F20306" s="3">
        <v>11</v>
      </c>
      <c r="G20306" t="s">
        <v>514</v>
      </c>
    </row>
    <row r="20307" spans="1:7" x14ac:dyDescent="0.25">
      <c r="A20307" s="1" t="str">
        <f>"510327"</f>
        <v>510327</v>
      </c>
      <c r="B20307" s="2" t="str">
        <f>"RETENTOR 009620136"</f>
        <v>RETENTOR 009620136</v>
      </c>
      <c r="C20307" s="2" t="str">
        <f t="shared" si="804"/>
        <v>UN</v>
      </c>
      <c r="D20307" s="7">
        <v>918</v>
      </c>
      <c r="E20307" s="3">
        <v>11</v>
      </c>
      <c r="F20307" s="3">
        <v>11</v>
      </c>
      <c r="G20307" t="s">
        <v>513</v>
      </c>
    </row>
    <row r="20308" spans="1:7" x14ac:dyDescent="0.25">
      <c r="A20308" s="1" t="str">
        <f>"510329"</f>
        <v>510329</v>
      </c>
      <c r="B20308" s="2" t="str">
        <f>"RETENTOR 009620209"</f>
        <v>RETENTOR 009620209</v>
      </c>
      <c r="C20308" s="2" t="str">
        <f t="shared" si="804"/>
        <v>UN</v>
      </c>
      <c r="D20308" s="7">
        <v>918</v>
      </c>
      <c r="E20308" s="3">
        <v>11</v>
      </c>
      <c r="F20308" s="3">
        <v>11</v>
      </c>
      <c r="G20308" t="s">
        <v>512</v>
      </c>
    </row>
    <row r="20309" spans="1:7" x14ac:dyDescent="0.25">
      <c r="A20309" s="1" t="str">
        <f>"524241"</f>
        <v>524241</v>
      </c>
      <c r="B20309" s="2" t="str">
        <f>"RETENTOR 02075BREP"</f>
        <v>RETENTOR 02075BREP</v>
      </c>
      <c r="C20309" s="2" t="str">
        <f t="shared" si="804"/>
        <v>UN</v>
      </c>
      <c r="D20309" s="7">
        <v>918</v>
      </c>
      <c r="E20309" s="3">
        <v>11</v>
      </c>
      <c r="F20309" s="3">
        <v>11</v>
      </c>
      <c r="G20309" t="s">
        <v>513</v>
      </c>
    </row>
    <row r="20310" spans="1:7" x14ac:dyDescent="0.25">
      <c r="A20310" s="1" t="str">
        <f>"524242"</f>
        <v>524242</v>
      </c>
      <c r="B20310" s="2" t="str">
        <f>"RETENTOR 05159 BR"</f>
        <v>RETENTOR 05159 BR</v>
      </c>
      <c r="C20310" s="2" t="str">
        <f t="shared" si="804"/>
        <v>UN</v>
      </c>
      <c r="D20310" s="7">
        <v>918</v>
      </c>
      <c r="E20310" s="3">
        <v>11</v>
      </c>
      <c r="F20310" s="3">
        <v>11</v>
      </c>
      <c r="G20310" t="s">
        <v>514</v>
      </c>
    </row>
    <row r="20311" spans="1:7" x14ac:dyDescent="0.25">
      <c r="A20311" s="1" t="str">
        <f>"524240"</f>
        <v>524240</v>
      </c>
      <c r="B20311" s="2" t="str">
        <f>"RETENTOR 0804 BR"</f>
        <v>RETENTOR 0804 BR</v>
      </c>
      <c r="C20311" s="2" t="str">
        <f t="shared" si="804"/>
        <v>UN</v>
      </c>
      <c r="D20311" s="7">
        <v>918</v>
      </c>
      <c r="E20311" s="3">
        <v>11</v>
      </c>
      <c r="F20311" s="3">
        <v>11</v>
      </c>
      <c r="G20311" t="s">
        <v>514</v>
      </c>
    </row>
    <row r="20312" spans="1:7" x14ac:dyDescent="0.25">
      <c r="A20312" s="1" t="str">
        <f>"520030"</f>
        <v>520030</v>
      </c>
      <c r="B20312" s="2" t="str">
        <f>"RETENTOR 105X135X15MM"</f>
        <v>RETENTOR 105X135X15MM</v>
      </c>
      <c r="C20312" s="2" t="str">
        <f t="shared" si="804"/>
        <v>UN</v>
      </c>
      <c r="D20312" s="7">
        <v>918</v>
      </c>
      <c r="E20312" s="3">
        <v>11</v>
      </c>
      <c r="F20312" s="3">
        <v>11</v>
      </c>
      <c r="G20312" t="s">
        <v>514</v>
      </c>
    </row>
    <row r="20313" spans="1:7" x14ac:dyDescent="0.25">
      <c r="A20313" s="1" t="str">
        <f>"502499"</f>
        <v>502499</v>
      </c>
      <c r="B20313" s="2" t="str">
        <f>"RETENTOR 11,1X25,4X6MM"</f>
        <v>RETENTOR 11,1X25,4X6MM</v>
      </c>
      <c r="C20313" s="2" t="str">
        <f t="shared" si="804"/>
        <v>UN</v>
      </c>
      <c r="D20313" s="7">
        <v>905</v>
      </c>
      <c r="E20313" s="3">
        <v>11</v>
      </c>
      <c r="F20313" s="3">
        <v>11</v>
      </c>
      <c r="G20313" t="s">
        <v>513</v>
      </c>
    </row>
    <row r="20314" spans="1:7" x14ac:dyDescent="0.25">
      <c r="A20314" s="1" t="str">
        <f>"504137"</f>
        <v>504137</v>
      </c>
      <c r="B20314" s="2" t="str">
        <f>"RETENTOR 110X130X12MM REDUTOR SOPRO BSP2"</f>
        <v>RETENTOR 110X130X12MM REDUTOR SOPRO BSP2</v>
      </c>
      <c r="C20314" s="2" t="str">
        <f t="shared" si="804"/>
        <v>UN</v>
      </c>
      <c r="D20314" s="7">
        <v>402</v>
      </c>
      <c r="E20314" s="3">
        <v>4</v>
      </c>
      <c r="F20314" s="3">
        <v>4</v>
      </c>
      <c r="G20314" t="s">
        <v>513</v>
      </c>
    </row>
    <row r="20315" spans="1:7" x14ac:dyDescent="0.25">
      <c r="A20315" s="1" t="str">
        <f>"509540"</f>
        <v>509540</v>
      </c>
      <c r="B20315" s="2" t="str">
        <f>"RETENTOR 12,5X20X5MM"</f>
        <v>RETENTOR 12,5X20X5MM</v>
      </c>
      <c r="C20315" s="2" t="str">
        <f t="shared" si="804"/>
        <v>UN</v>
      </c>
      <c r="D20315" s="7">
        <v>918</v>
      </c>
      <c r="E20315" s="3">
        <v>11</v>
      </c>
      <c r="F20315" s="3">
        <v>11</v>
      </c>
      <c r="G20315" t="s">
        <v>513</v>
      </c>
    </row>
    <row r="20316" spans="1:7" x14ac:dyDescent="0.25">
      <c r="A20316" s="1" t="str">
        <f>"508156"</f>
        <v>508156</v>
      </c>
      <c r="B20316" s="2" t="str">
        <f>"RETENTOR 12,7X25,37X9,52MM"</f>
        <v>RETENTOR 12,7X25,37X9,52MM</v>
      </c>
      <c r="C20316" s="2" t="str">
        <f t="shared" si="804"/>
        <v>UN</v>
      </c>
      <c r="D20316" s="7">
        <v>918</v>
      </c>
      <c r="E20316" s="3">
        <v>11</v>
      </c>
      <c r="F20316" s="3">
        <v>11</v>
      </c>
      <c r="G20316" t="s">
        <v>512</v>
      </c>
    </row>
    <row r="20317" spans="1:7" x14ac:dyDescent="0.25">
      <c r="A20317" s="1" t="str">
        <f>"520037"</f>
        <v>520037</v>
      </c>
      <c r="B20317" s="2" t="str">
        <f>"RETENTOR 130X150X12MM"</f>
        <v>RETENTOR 130X150X12MM</v>
      </c>
      <c r="C20317" s="2" t="str">
        <f t="shared" si="804"/>
        <v>UN</v>
      </c>
      <c r="D20317" s="7">
        <v>918</v>
      </c>
      <c r="E20317" s="3">
        <v>11</v>
      </c>
      <c r="F20317" s="3">
        <v>11</v>
      </c>
      <c r="G20317" t="s">
        <v>513</v>
      </c>
    </row>
    <row r="20318" spans="1:7" x14ac:dyDescent="0.25">
      <c r="A20318" s="1" t="str">
        <f>"510655"</f>
        <v>510655</v>
      </c>
      <c r="B20318" s="2" t="str">
        <f>"RETENTOR 13X22X05MM - DBH 8776 EMP. JUNG"</f>
        <v>RETENTOR 13X22X05MM - DBH 8776 EMP. JUNG</v>
      </c>
      <c r="C20318" s="2" t="str">
        <f t="shared" si="804"/>
        <v>UN</v>
      </c>
      <c r="D20318" s="7">
        <v>918</v>
      </c>
      <c r="E20318" s="3">
        <v>11</v>
      </c>
      <c r="F20318" s="3">
        <v>11</v>
      </c>
      <c r="G20318" t="s">
        <v>514</v>
      </c>
    </row>
    <row r="20319" spans="1:7" x14ac:dyDescent="0.25">
      <c r="A20319" s="1" t="str">
        <f>"507029"</f>
        <v>507029</v>
      </c>
      <c r="B20319" s="2" t="str">
        <f>"RETENTOR 15X35X7MM"</f>
        <v>RETENTOR 15X35X7MM</v>
      </c>
      <c r="C20319" s="2" t="str">
        <f>"PC"</f>
        <v>PC</v>
      </c>
      <c r="D20319" s="7">
        <v>402</v>
      </c>
      <c r="E20319" s="3">
        <v>4</v>
      </c>
      <c r="F20319" s="3">
        <v>4</v>
      </c>
      <c r="G20319" t="s">
        <v>515</v>
      </c>
    </row>
    <row r="20320" spans="1:7" x14ac:dyDescent="0.25">
      <c r="A20320" s="1" t="str">
        <f>"508528"</f>
        <v>508528</v>
      </c>
      <c r="B20320" s="2" t="str">
        <f>"RETENTOR 15X35X7MM"</f>
        <v>RETENTOR 15X35X7MM</v>
      </c>
      <c r="C20320" s="2" t="str">
        <f t="shared" ref="C20320:C20336" si="805">"UN"</f>
        <v>UN</v>
      </c>
      <c r="D20320" s="7">
        <v>812</v>
      </c>
      <c r="E20320" s="3">
        <v>10</v>
      </c>
      <c r="F20320" s="3">
        <v>10</v>
      </c>
      <c r="G20320" t="s">
        <v>512</v>
      </c>
    </row>
    <row r="20321" spans="1:7" x14ac:dyDescent="0.25">
      <c r="A20321" s="1" t="str">
        <f>"507058"</f>
        <v>507058</v>
      </c>
      <c r="B20321" s="2" t="str">
        <f>"RETENTOR 17.5X28,5X07MM - 1496"</f>
        <v>RETENTOR 17.5X28,5X07MM - 1496</v>
      </c>
      <c r="C20321" s="2" t="str">
        <f t="shared" si="805"/>
        <v>UN</v>
      </c>
      <c r="D20321" s="7">
        <v>905</v>
      </c>
      <c r="E20321" s="3">
        <v>11</v>
      </c>
      <c r="F20321" s="3">
        <v>11</v>
      </c>
      <c r="G20321" t="s">
        <v>516</v>
      </c>
    </row>
    <row r="20322" spans="1:7" x14ac:dyDescent="0.25">
      <c r="A20322" s="1" t="str">
        <f>"527760"</f>
        <v>527760</v>
      </c>
      <c r="B20322" s="2" t="str">
        <f>"RETENTOR 17X32X7"</f>
        <v>RETENTOR 17X32X7</v>
      </c>
      <c r="C20322" s="2" t="str">
        <f t="shared" si="805"/>
        <v>UN</v>
      </c>
      <c r="D20322" s="7">
        <v>918</v>
      </c>
      <c r="E20322" s="3">
        <v>11</v>
      </c>
      <c r="F20322" s="3">
        <v>11</v>
      </c>
      <c r="G20322" t="s">
        <v>515</v>
      </c>
    </row>
    <row r="20323" spans="1:7" x14ac:dyDescent="0.25">
      <c r="A20323" s="1" t="str">
        <f>"512009"</f>
        <v>512009</v>
      </c>
      <c r="B20323" s="2" t="str">
        <f>"RETENTOR 17X40X8,5MM"</f>
        <v>RETENTOR 17X40X8,5MM</v>
      </c>
      <c r="C20323" s="2" t="str">
        <f t="shared" si="805"/>
        <v>UN</v>
      </c>
      <c r="D20323" s="7">
        <v>918</v>
      </c>
      <c r="E20323" s="3">
        <v>11</v>
      </c>
      <c r="F20323" s="3">
        <v>11</v>
      </c>
      <c r="G20323" t="s">
        <v>514</v>
      </c>
    </row>
    <row r="20324" spans="1:7" x14ac:dyDescent="0.25">
      <c r="A20324" s="1" t="str">
        <f>"505108"</f>
        <v>505108</v>
      </c>
      <c r="B20324" s="2" t="str">
        <f>"RETENTOR 18X30X6,4MM - BOMBA CAMINHÃO LEITE"</f>
        <v>RETENTOR 18X30X6,4MM - BOMBA CAMINHÃO LEITE</v>
      </c>
      <c r="C20324" s="2" t="str">
        <f t="shared" si="805"/>
        <v>UN</v>
      </c>
      <c r="D20324" s="7">
        <v>812</v>
      </c>
      <c r="E20324" s="3">
        <v>10</v>
      </c>
      <c r="F20324" s="3">
        <v>10</v>
      </c>
      <c r="G20324" t="s">
        <v>512</v>
      </c>
    </row>
    <row r="20325" spans="1:7" x14ac:dyDescent="0.25">
      <c r="A20325" s="1" t="str">
        <f>"520047"</f>
        <v>520047</v>
      </c>
      <c r="B20325" s="2" t="str">
        <f>"RETENTOR 18X30X6MM"</f>
        <v>RETENTOR 18X30X6MM</v>
      </c>
      <c r="C20325" s="2" t="str">
        <f t="shared" si="805"/>
        <v>UN</v>
      </c>
      <c r="D20325" s="7">
        <v>918</v>
      </c>
      <c r="E20325" s="3">
        <v>11</v>
      </c>
      <c r="F20325" s="3">
        <v>11</v>
      </c>
      <c r="G20325" t="s">
        <v>513</v>
      </c>
    </row>
    <row r="20326" spans="1:7" x14ac:dyDescent="0.25">
      <c r="A20326" s="1" t="str">
        <f>"520277"</f>
        <v>520277</v>
      </c>
      <c r="B20326" s="2" t="str">
        <f>"RETENTOR 18X30X6MM"</f>
        <v>RETENTOR 18X30X6MM</v>
      </c>
      <c r="C20326" s="2" t="str">
        <f t="shared" si="805"/>
        <v>UN</v>
      </c>
      <c r="D20326" s="7">
        <v>918</v>
      </c>
      <c r="E20326" s="3">
        <v>11</v>
      </c>
      <c r="F20326" s="3">
        <v>11</v>
      </c>
      <c r="G20326" t="s">
        <v>514</v>
      </c>
    </row>
    <row r="20327" spans="1:7" x14ac:dyDescent="0.25">
      <c r="A20327" s="1" t="str">
        <f>"520060"</f>
        <v>520060</v>
      </c>
      <c r="B20327" s="2" t="str">
        <f>"RETENTOR 18X30X7MM"</f>
        <v>RETENTOR 18X30X7MM</v>
      </c>
      <c r="C20327" s="2" t="str">
        <f t="shared" si="805"/>
        <v>UN</v>
      </c>
      <c r="D20327" s="7">
        <v>918</v>
      </c>
      <c r="E20327" s="3">
        <v>11</v>
      </c>
      <c r="F20327" s="3">
        <v>11</v>
      </c>
      <c r="G20327" t="s">
        <v>514</v>
      </c>
    </row>
    <row r="20328" spans="1:7" x14ac:dyDescent="0.25">
      <c r="A20328" s="1" t="str">
        <f>"512348"</f>
        <v>512348</v>
      </c>
      <c r="B20328" s="2" t="str">
        <f>"RETENTOR 18X32X07MM 2334 PALET. TOYOTA"</f>
        <v>RETENTOR 18X32X07MM 2334 PALET. TOYOTA</v>
      </c>
      <c r="C20328" s="2" t="str">
        <f t="shared" si="805"/>
        <v>UN</v>
      </c>
      <c r="D20328" s="7">
        <v>918</v>
      </c>
      <c r="E20328" s="3">
        <v>11</v>
      </c>
      <c r="F20328" s="3">
        <v>11</v>
      </c>
      <c r="G20328" t="s">
        <v>512</v>
      </c>
    </row>
    <row r="20329" spans="1:7" x14ac:dyDescent="0.25">
      <c r="A20329" s="1" t="str">
        <f>"520059"</f>
        <v>520059</v>
      </c>
      <c r="B20329" s="2" t="str">
        <f>"RETENTOR 18X32X8MM"</f>
        <v>RETENTOR 18X32X8MM</v>
      </c>
      <c r="C20329" s="2" t="str">
        <f t="shared" si="805"/>
        <v>UN</v>
      </c>
      <c r="D20329" s="7">
        <v>918</v>
      </c>
      <c r="E20329" s="3">
        <v>11</v>
      </c>
      <c r="F20329" s="3">
        <v>11</v>
      </c>
      <c r="G20329" t="s">
        <v>513</v>
      </c>
    </row>
    <row r="20330" spans="1:7" x14ac:dyDescent="0.25">
      <c r="A20330" s="1" t="str">
        <f>"520070"</f>
        <v>520070</v>
      </c>
      <c r="B20330" s="2" t="str">
        <f>"RETENTOR 19X30,1X7,5MM"</f>
        <v>RETENTOR 19X30,1X7,5MM</v>
      </c>
      <c r="C20330" s="2" t="str">
        <f t="shared" si="805"/>
        <v>UN</v>
      </c>
      <c r="D20330" s="7">
        <v>918</v>
      </c>
      <c r="E20330" s="3">
        <v>11</v>
      </c>
      <c r="F20330" s="3">
        <v>11</v>
      </c>
      <c r="G20330" t="s">
        <v>514</v>
      </c>
    </row>
    <row r="20331" spans="1:7" x14ac:dyDescent="0.25">
      <c r="A20331" s="1" t="str">
        <f>"520054"</f>
        <v>520054</v>
      </c>
      <c r="B20331" s="2" t="str">
        <f>"RETENTOR 20X26X4MM"</f>
        <v>RETENTOR 20X26X4MM</v>
      </c>
      <c r="C20331" s="2" t="str">
        <f t="shared" si="805"/>
        <v>UN</v>
      </c>
      <c r="D20331" s="7">
        <v>918</v>
      </c>
      <c r="E20331" s="3">
        <v>11</v>
      </c>
      <c r="F20331" s="3">
        <v>11</v>
      </c>
      <c r="G20331" t="s">
        <v>514</v>
      </c>
    </row>
    <row r="20332" spans="1:7" x14ac:dyDescent="0.25">
      <c r="A20332" s="1" t="str">
        <f>"520281"</f>
        <v>520281</v>
      </c>
      <c r="B20332" s="2" t="str">
        <f>"RETENTOR 20X26X4MM"</f>
        <v>RETENTOR 20X26X4MM</v>
      </c>
      <c r="C20332" s="2" t="str">
        <f t="shared" si="805"/>
        <v>UN</v>
      </c>
      <c r="D20332" s="7">
        <v>918</v>
      </c>
      <c r="E20332" s="3">
        <v>11</v>
      </c>
      <c r="F20332" s="3">
        <v>11</v>
      </c>
      <c r="G20332" t="s">
        <v>514</v>
      </c>
    </row>
    <row r="20333" spans="1:7" x14ac:dyDescent="0.25">
      <c r="A20333" s="1" t="str">
        <f>"508527"</f>
        <v>508527</v>
      </c>
      <c r="B20333" s="2" t="str">
        <f>"RETENTOR 20X26X5MM"</f>
        <v>RETENTOR 20X26X5MM</v>
      </c>
      <c r="C20333" s="2" t="str">
        <f t="shared" si="805"/>
        <v>UN</v>
      </c>
      <c r="D20333" s="7">
        <v>812</v>
      </c>
      <c r="E20333" s="3">
        <v>10</v>
      </c>
      <c r="F20333" s="3">
        <v>10</v>
      </c>
      <c r="G20333" t="s">
        <v>513</v>
      </c>
    </row>
    <row r="20334" spans="1:7" x14ac:dyDescent="0.25">
      <c r="A20334" s="1" t="str">
        <f>"517708"</f>
        <v>517708</v>
      </c>
      <c r="B20334" s="2" t="str">
        <f>"RETENTOR 20X30X07MM"</f>
        <v>RETENTOR 20X30X07MM</v>
      </c>
      <c r="C20334" s="2" t="str">
        <f t="shared" si="805"/>
        <v>UN</v>
      </c>
      <c r="D20334" s="7">
        <v>918</v>
      </c>
      <c r="E20334" s="3">
        <v>11</v>
      </c>
      <c r="F20334" s="3">
        <v>11</v>
      </c>
      <c r="G20334" t="s">
        <v>512</v>
      </c>
    </row>
    <row r="20335" spans="1:7" x14ac:dyDescent="0.25">
      <c r="A20335" s="1" t="str">
        <f>"520046"</f>
        <v>520046</v>
      </c>
      <c r="B20335" s="2" t="str">
        <f>"RETENTOR 20X32,1X7MM"</f>
        <v>RETENTOR 20X32,1X7MM</v>
      </c>
      <c r="C20335" s="2" t="str">
        <f t="shared" si="805"/>
        <v>UN</v>
      </c>
      <c r="D20335" s="7">
        <v>918</v>
      </c>
      <c r="E20335" s="3">
        <v>11</v>
      </c>
      <c r="F20335" s="3">
        <v>11</v>
      </c>
      <c r="G20335" t="s">
        <v>513</v>
      </c>
    </row>
    <row r="20336" spans="1:7" x14ac:dyDescent="0.25">
      <c r="A20336" s="1" t="str">
        <f>"520278"</f>
        <v>520278</v>
      </c>
      <c r="B20336" s="2" t="str">
        <f>"RETENTOR 20X32,1X7MM"</f>
        <v>RETENTOR 20X32,1X7MM</v>
      </c>
      <c r="C20336" s="2" t="str">
        <f t="shared" si="805"/>
        <v>UN</v>
      </c>
      <c r="D20336" s="7">
        <v>918</v>
      </c>
      <c r="E20336" s="3">
        <v>11</v>
      </c>
      <c r="F20336" s="3">
        <v>11</v>
      </c>
      <c r="G20336" t="s">
        <v>514</v>
      </c>
    </row>
    <row r="20337" spans="1:7" x14ac:dyDescent="0.25">
      <c r="A20337" s="1" t="str">
        <f>"507097"</f>
        <v>507097</v>
      </c>
      <c r="B20337" s="2" t="str">
        <f>"RETENTOR 20X32X07MM"</f>
        <v>RETENTOR 20X32X07MM</v>
      </c>
      <c r="C20337" s="2" t="str">
        <f>"PC"</f>
        <v>PC</v>
      </c>
      <c r="D20337" s="7">
        <v>402</v>
      </c>
      <c r="E20337" s="3">
        <v>4</v>
      </c>
      <c r="F20337" s="3">
        <v>4</v>
      </c>
      <c r="G20337" t="s">
        <v>514</v>
      </c>
    </row>
    <row r="20338" spans="1:7" x14ac:dyDescent="0.25">
      <c r="A20338" s="1" t="str">
        <f>"520280"</f>
        <v>520280</v>
      </c>
      <c r="B20338" s="2" t="str">
        <f>"RETENTOR 20X34,95X07MM"</f>
        <v>RETENTOR 20X34,95X07MM</v>
      </c>
      <c r="C20338" s="2" t="str">
        <f t="shared" ref="C20338:C20347" si="806">"UN"</f>
        <v>UN</v>
      </c>
      <c r="D20338" s="7">
        <v>918</v>
      </c>
      <c r="E20338" s="3">
        <v>11</v>
      </c>
      <c r="F20338" s="3">
        <v>11</v>
      </c>
      <c r="G20338" t="s">
        <v>514</v>
      </c>
    </row>
    <row r="20339" spans="1:7" x14ac:dyDescent="0.25">
      <c r="A20339" s="1" t="str">
        <f>"520055"</f>
        <v>520055</v>
      </c>
      <c r="B20339" s="2" t="str">
        <f>"RETENTOR 20X34,95X6MM"</f>
        <v>RETENTOR 20X34,95X6MM</v>
      </c>
      <c r="C20339" s="2" t="str">
        <f t="shared" si="806"/>
        <v>UN</v>
      </c>
      <c r="D20339" s="7">
        <v>918</v>
      </c>
      <c r="E20339" s="3">
        <v>11</v>
      </c>
      <c r="F20339" s="3">
        <v>11</v>
      </c>
      <c r="G20339" t="s">
        <v>513</v>
      </c>
    </row>
    <row r="20340" spans="1:7" x14ac:dyDescent="0.25">
      <c r="A20340" s="1" t="str">
        <f>"520279"</f>
        <v>520279</v>
      </c>
      <c r="B20340" s="2" t="str">
        <f>"RETENTOR 20X34,95X6MM"</f>
        <v>RETENTOR 20X34,95X6MM</v>
      </c>
      <c r="C20340" s="2" t="str">
        <f t="shared" si="806"/>
        <v>UN</v>
      </c>
      <c r="D20340" s="7">
        <v>918</v>
      </c>
      <c r="E20340" s="3">
        <v>11</v>
      </c>
      <c r="F20340" s="3">
        <v>11</v>
      </c>
      <c r="G20340" t="s">
        <v>513</v>
      </c>
    </row>
    <row r="20341" spans="1:7" x14ac:dyDescent="0.25">
      <c r="A20341" s="1" t="str">
        <f>"520056"</f>
        <v>520056</v>
      </c>
      <c r="B20341" s="2" t="str">
        <f>"RETENTOR 20X34,95X7MM"</f>
        <v>RETENTOR 20X34,95X7MM</v>
      </c>
      <c r="C20341" s="2" t="str">
        <f t="shared" si="806"/>
        <v>UN</v>
      </c>
      <c r="D20341" s="7">
        <v>918</v>
      </c>
      <c r="E20341" s="3">
        <v>11</v>
      </c>
      <c r="F20341" s="3">
        <v>11</v>
      </c>
      <c r="G20341" t="s">
        <v>513</v>
      </c>
    </row>
    <row r="20342" spans="1:7" x14ac:dyDescent="0.25">
      <c r="A20342" s="1" t="str">
        <f>"505105"</f>
        <v>505105</v>
      </c>
      <c r="B20342" s="2" t="str">
        <f>"RETENTOR 20X35X07MM"</f>
        <v>RETENTOR 20X35X07MM</v>
      </c>
      <c r="C20342" s="2" t="str">
        <f t="shared" si="806"/>
        <v>UN</v>
      </c>
      <c r="D20342" s="7">
        <v>402</v>
      </c>
      <c r="E20342" s="3">
        <v>4</v>
      </c>
      <c r="F20342" s="3">
        <v>4</v>
      </c>
      <c r="G20342" t="s">
        <v>512</v>
      </c>
    </row>
    <row r="20343" spans="1:7" x14ac:dyDescent="0.25">
      <c r="A20343" s="1" t="str">
        <f>"520073"</f>
        <v>520073</v>
      </c>
      <c r="B20343" s="2" t="str">
        <f>"RETENTOR 20X35X6MM"</f>
        <v>RETENTOR 20X35X6MM</v>
      </c>
      <c r="C20343" s="2" t="str">
        <f t="shared" si="806"/>
        <v>UN</v>
      </c>
      <c r="D20343" s="7">
        <v>918</v>
      </c>
      <c r="E20343" s="3">
        <v>11</v>
      </c>
      <c r="F20343" s="3">
        <v>11</v>
      </c>
      <c r="G20343" t="s">
        <v>513</v>
      </c>
    </row>
    <row r="20344" spans="1:7" x14ac:dyDescent="0.25">
      <c r="A20344" s="1" t="str">
        <f>"520039"</f>
        <v>520039</v>
      </c>
      <c r="B20344" s="2" t="str">
        <f>"RETENTOR 20X42X10MM"</f>
        <v>RETENTOR 20X42X10MM</v>
      </c>
      <c r="C20344" s="2" t="str">
        <f t="shared" si="806"/>
        <v>UN</v>
      </c>
      <c r="D20344" s="7">
        <v>918</v>
      </c>
      <c r="E20344" s="3">
        <v>11</v>
      </c>
      <c r="F20344" s="3">
        <v>11</v>
      </c>
      <c r="G20344" t="s">
        <v>514</v>
      </c>
    </row>
    <row r="20345" spans="1:7" x14ac:dyDescent="0.25">
      <c r="A20345" s="1" t="str">
        <f>"505126"</f>
        <v>505126</v>
      </c>
      <c r="B20345" s="2" t="str">
        <f>"RETENTOR 22X35X07MM"</f>
        <v>RETENTOR 22X35X07MM</v>
      </c>
      <c r="C20345" s="2" t="str">
        <f t="shared" si="806"/>
        <v>UN</v>
      </c>
      <c r="D20345" s="7">
        <v>918</v>
      </c>
      <c r="E20345" s="3">
        <v>11</v>
      </c>
      <c r="F20345" s="3">
        <v>11</v>
      </c>
      <c r="G20345" t="s">
        <v>515</v>
      </c>
    </row>
    <row r="20346" spans="1:7" x14ac:dyDescent="0.25">
      <c r="A20346" s="1" t="str">
        <f>"528142"</f>
        <v>528142</v>
      </c>
      <c r="B20346" s="2" t="str">
        <f>"RETENTOR 24X35X08MM"</f>
        <v>RETENTOR 24X35X08MM</v>
      </c>
      <c r="C20346" s="2" t="str">
        <f t="shared" si="806"/>
        <v>UN</v>
      </c>
      <c r="D20346" s="7">
        <v>812</v>
      </c>
      <c r="E20346" s="3">
        <v>10</v>
      </c>
      <c r="F20346" s="3">
        <v>10</v>
      </c>
      <c r="G20346" t="s">
        <v>512</v>
      </c>
    </row>
    <row r="20347" spans="1:7" x14ac:dyDescent="0.25">
      <c r="A20347" s="1" t="str">
        <f>"515926"</f>
        <v>515926</v>
      </c>
      <c r="B20347" s="2" t="str">
        <f>"RETENTOR 24X42X10MM"</f>
        <v>RETENTOR 24X42X10MM</v>
      </c>
      <c r="C20347" s="2" t="str">
        <f t="shared" si="806"/>
        <v>UN</v>
      </c>
      <c r="D20347" s="7">
        <v>812</v>
      </c>
      <c r="E20347" s="3">
        <v>11</v>
      </c>
      <c r="F20347" s="3">
        <v>11</v>
      </c>
      <c r="G20347" t="s">
        <v>516</v>
      </c>
    </row>
    <row r="20348" spans="1:7" x14ac:dyDescent="0.25">
      <c r="A20348" s="1" t="str">
        <f>"507028"</f>
        <v>507028</v>
      </c>
      <c r="B20348" s="2" t="str">
        <f>"RETENTOR 25X35X07MM"</f>
        <v>RETENTOR 25X35X07MM</v>
      </c>
      <c r="C20348" s="2" t="str">
        <f>"PC"</f>
        <v>PC</v>
      </c>
      <c r="D20348" s="7">
        <v>402</v>
      </c>
      <c r="E20348" s="3">
        <v>4</v>
      </c>
      <c r="F20348" s="3">
        <v>4</v>
      </c>
      <c r="G20348" t="s">
        <v>515</v>
      </c>
    </row>
    <row r="20349" spans="1:7" x14ac:dyDescent="0.25">
      <c r="A20349" s="1" t="str">
        <f>"525070"</f>
        <v>525070</v>
      </c>
      <c r="B20349" s="2" t="str">
        <f>"RETENTOR 25X37X07"</f>
        <v>RETENTOR 25X37X07</v>
      </c>
      <c r="C20349" s="2" t="str">
        <f>"UN"</f>
        <v>UN</v>
      </c>
      <c r="D20349" s="7">
        <v>918</v>
      </c>
      <c r="E20349" s="3">
        <v>11</v>
      </c>
      <c r="F20349" s="3">
        <v>11</v>
      </c>
      <c r="G20349" t="s">
        <v>514</v>
      </c>
    </row>
    <row r="20350" spans="1:7" x14ac:dyDescent="0.25">
      <c r="A20350" s="1" t="str">
        <f>"520074"</f>
        <v>520074</v>
      </c>
      <c r="B20350" s="2" t="str">
        <f>"RETENTOR 25X40X7MM"</f>
        <v>RETENTOR 25X40X7MM</v>
      </c>
      <c r="C20350" s="2" t="str">
        <f>"UN"</f>
        <v>UN</v>
      </c>
      <c r="D20350" s="7">
        <v>918</v>
      </c>
      <c r="E20350" s="3">
        <v>11</v>
      </c>
      <c r="F20350" s="3">
        <v>11</v>
      </c>
      <c r="G20350" t="s">
        <v>512</v>
      </c>
    </row>
    <row r="20351" spans="1:7" x14ac:dyDescent="0.25">
      <c r="A20351" s="1" t="str">
        <f>"520658"</f>
        <v>520658</v>
      </c>
      <c r="B20351" s="2" t="str">
        <f>"RETENTOR 25X40X8MM"</f>
        <v>RETENTOR 25X40X8MM</v>
      </c>
      <c r="C20351" s="2" t="str">
        <f>"UN"</f>
        <v>UN</v>
      </c>
      <c r="D20351" s="7">
        <v>918</v>
      </c>
      <c r="E20351" s="3">
        <v>11</v>
      </c>
      <c r="F20351" s="3">
        <v>11</v>
      </c>
      <c r="G20351" t="s">
        <v>513</v>
      </c>
    </row>
    <row r="20352" spans="1:7" x14ac:dyDescent="0.25">
      <c r="A20352" s="1" t="str">
        <f>"511968"</f>
        <v>511968</v>
      </c>
      <c r="B20352" s="2" t="str">
        <f>"RETENTOR 25X42X08MM"</f>
        <v>RETENTOR 25X42X08MM</v>
      </c>
      <c r="C20352" s="2" t="str">
        <f>"PC"</f>
        <v>PC</v>
      </c>
      <c r="D20352" s="7">
        <v>918</v>
      </c>
      <c r="E20352" s="3">
        <v>11</v>
      </c>
      <c r="F20352" s="3">
        <v>11</v>
      </c>
      <c r="G20352" t="s">
        <v>514</v>
      </c>
    </row>
    <row r="20353" spans="1:7" x14ac:dyDescent="0.25">
      <c r="A20353" s="1" t="str">
        <f>"520282"</f>
        <v>520282</v>
      </c>
      <c r="B20353" s="2" t="str">
        <f>"RETENTOR 25X42X6MM"</f>
        <v>RETENTOR 25X42X6MM</v>
      </c>
      <c r="C20353" s="2" t="str">
        <f t="shared" ref="C20353:C20378" si="807">"UN"</f>
        <v>UN</v>
      </c>
      <c r="D20353" s="7">
        <v>918</v>
      </c>
      <c r="E20353" s="3">
        <v>11</v>
      </c>
      <c r="F20353" s="3">
        <v>11</v>
      </c>
      <c r="G20353" t="s">
        <v>514</v>
      </c>
    </row>
    <row r="20354" spans="1:7" x14ac:dyDescent="0.25">
      <c r="A20354" s="1" t="str">
        <f>"520061"</f>
        <v>520061</v>
      </c>
      <c r="B20354" s="2" t="str">
        <f>"RETENTOR 25X43X10MM"</f>
        <v>RETENTOR 25X43X10MM</v>
      </c>
      <c r="C20354" s="2" t="str">
        <f t="shared" si="807"/>
        <v>UN</v>
      </c>
      <c r="D20354" s="7">
        <v>918</v>
      </c>
      <c r="E20354" s="3">
        <v>11</v>
      </c>
      <c r="F20354" s="3">
        <v>11</v>
      </c>
      <c r="G20354" t="s">
        <v>512</v>
      </c>
    </row>
    <row r="20355" spans="1:7" x14ac:dyDescent="0.25">
      <c r="A20355" s="1" t="str">
        <f>"503796"</f>
        <v>503796</v>
      </c>
      <c r="B20355" s="2" t="str">
        <f>"RETENTOR 25X47X07MM"</f>
        <v>RETENTOR 25X47X07MM</v>
      </c>
      <c r="C20355" s="2" t="str">
        <f t="shared" si="807"/>
        <v>UN</v>
      </c>
      <c r="D20355" s="7">
        <v>918</v>
      </c>
      <c r="E20355" s="3">
        <v>11</v>
      </c>
      <c r="F20355" s="3">
        <v>11</v>
      </c>
      <c r="G20355" t="s">
        <v>513</v>
      </c>
    </row>
    <row r="20356" spans="1:7" x14ac:dyDescent="0.25">
      <c r="A20356" s="1" t="str">
        <f>"528141"</f>
        <v>528141</v>
      </c>
      <c r="B20356" s="2" t="str">
        <f>"RETENTOR 25X47X07MM"</f>
        <v>RETENTOR 25X47X07MM</v>
      </c>
      <c r="C20356" s="2" t="str">
        <f t="shared" si="807"/>
        <v>UN</v>
      </c>
      <c r="D20356" s="7">
        <v>812</v>
      </c>
      <c r="E20356" s="3">
        <v>10</v>
      </c>
      <c r="F20356" s="3">
        <v>10</v>
      </c>
      <c r="G20356" t="s">
        <v>514</v>
      </c>
    </row>
    <row r="20357" spans="1:7" x14ac:dyDescent="0.25">
      <c r="A20357" s="1" t="str">
        <f>"512056"</f>
        <v>512056</v>
      </c>
      <c r="B20357" s="2" t="str">
        <f>"RETENTOR 25X52X10MM SKF"</f>
        <v>RETENTOR 25X52X10MM SKF</v>
      </c>
      <c r="C20357" s="2" t="str">
        <f t="shared" si="807"/>
        <v>UN</v>
      </c>
      <c r="D20357" s="7">
        <v>918</v>
      </c>
      <c r="E20357" s="3">
        <v>11</v>
      </c>
      <c r="F20357" s="3">
        <v>11</v>
      </c>
      <c r="G20357" t="s">
        <v>514</v>
      </c>
    </row>
    <row r="20358" spans="1:7" x14ac:dyDescent="0.25">
      <c r="A20358" s="1" t="str">
        <f>"526447"</f>
        <v>526447</v>
      </c>
      <c r="B20358" s="2" t="str">
        <f>"RETENTOR 25X62X10MM"</f>
        <v>RETENTOR 25X62X10MM</v>
      </c>
      <c r="C20358" s="2" t="str">
        <f t="shared" si="807"/>
        <v>UN</v>
      </c>
      <c r="D20358" s="7">
        <v>918</v>
      </c>
      <c r="E20358" s="3">
        <v>11</v>
      </c>
      <c r="F20358" s="3">
        <v>11</v>
      </c>
      <c r="G20358" t="s">
        <v>514</v>
      </c>
    </row>
    <row r="20359" spans="1:7" x14ac:dyDescent="0.25">
      <c r="A20359" s="1" t="str">
        <f>"520068"</f>
        <v>520068</v>
      </c>
      <c r="B20359" s="2" t="str">
        <f>"RETENTOR 26X35X7MM"</f>
        <v>RETENTOR 26X35X7MM</v>
      </c>
      <c r="C20359" s="2" t="str">
        <f t="shared" si="807"/>
        <v>UN</v>
      </c>
      <c r="D20359" s="7">
        <v>918</v>
      </c>
      <c r="E20359" s="3">
        <v>11</v>
      </c>
      <c r="F20359" s="3">
        <v>11</v>
      </c>
      <c r="G20359" t="s">
        <v>513</v>
      </c>
    </row>
    <row r="20360" spans="1:7" x14ac:dyDescent="0.25">
      <c r="A20360" s="1" t="str">
        <f>"520048"</f>
        <v>520048</v>
      </c>
      <c r="B20360" s="2" t="str">
        <f>"RETENTOR 27X40X7MM"</f>
        <v>RETENTOR 27X40X7MM</v>
      </c>
      <c r="C20360" s="2" t="str">
        <f t="shared" si="807"/>
        <v>UN</v>
      </c>
      <c r="D20360" s="7">
        <v>918</v>
      </c>
      <c r="E20360" s="3">
        <v>11</v>
      </c>
      <c r="F20360" s="3">
        <v>11</v>
      </c>
      <c r="G20360" t="s">
        <v>512</v>
      </c>
    </row>
    <row r="20361" spans="1:7" x14ac:dyDescent="0.25">
      <c r="A20361" s="1" t="str">
        <f>"524579"</f>
        <v>524579</v>
      </c>
      <c r="B20361" s="2" t="str">
        <f>"RETENTOR 28X38 X6MM"</f>
        <v>RETENTOR 28X38 X6MM</v>
      </c>
      <c r="C20361" s="2" t="str">
        <f t="shared" si="807"/>
        <v>UN</v>
      </c>
      <c r="D20361" s="7">
        <v>918</v>
      </c>
      <c r="E20361" s="3">
        <v>11</v>
      </c>
      <c r="F20361" s="3">
        <v>11</v>
      </c>
      <c r="G20361" t="s">
        <v>513</v>
      </c>
    </row>
    <row r="20362" spans="1:7" x14ac:dyDescent="0.25">
      <c r="A20362" s="1" t="str">
        <f>"505711"</f>
        <v>505711</v>
      </c>
      <c r="B20362" s="2" t="str">
        <f>"RETENTOR 28X40X07MM"</f>
        <v>RETENTOR 28X40X07MM</v>
      </c>
      <c r="C20362" s="2" t="str">
        <f t="shared" si="807"/>
        <v>UN</v>
      </c>
      <c r="D20362" s="7">
        <v>918</v>
      </c>
      <c r="E20362" s="3">
        <v>11</v>
      </c>
      <c r="F20362" s="3">
        <v>11</v>
      </c>
      <c r="G20362" t="s">
        <v>514</v>
      </c>
    </row>
    <row r="20363" spans="1:7" x14ac:dyDescent="0.25">
      <c r="A20363" s="1" t="str">
        <f>"504082"</f>
        <v>504082</v>
      </c>
      <c r="B20363" s="2" t="str">
        <f>"RETENTOR 28X42X07MM"</f>
        <v>RETENTOR 28X42X07MM</v>
      </c>
      <c r="C20363" s="2" t="str">
        <f t="shared" si="807"/>
        <v>UN</v>
      </c>
      <c r="D20363" s="7">
        <v>918</v>
      </c>
      <c r="E20363" s="3">
        <v>11</v>
      </c>
      <c r="F20363" s="3">
        <v>11</v>
      </c>
      <c r="G20363" t="s">
        <v>514</v>
      </c>
    </row>
    <row r="20364" spans="1:7" x14ac:dyDescent="0.25">
      <c r="A20364" s="1" t="str">
        <f>"520076"</f>
        <v>520076</v>
      </c>
      <c r="B20364" s="2" t="str">
        <f>"RETENTOR 28X42X10MM"</f>
        <v>RETENTOR 28X42X10MM</v>
      </c>
      <c r="C20364" s="2" t="str">
        <f t="shared" si="807"/>
        <v>UN</v>
      </c>
      <c r="D20364" s="7">
        <v>918</v>
      </c>
      <c r="E20364" s="3">
        <v>11</v>
      </c>
      <c r="F20364" s="3">
        <v>11</v>
      </c>
      <c r="G20364" t="s">
        <v>514</v>
      </c>
    </row>
    <row r="20365" spans="1:7" x14ac:dyDescent="0.25">
      <c r="A20365" s="1" t="str">
        <f>"513065"</f>
        <v>513065</v>
      </c>
      <c r="B20365" s="2" t="str">
        <f>"RETENTOR 28X46X10MM"</f>
        <v>RETENTOR 28X46X10MM</v>
      </c>
      <c r="C20365" s="2" t="str">
        <f t="shared" si="807"/>
        <v>UN</v>
      </c>
      <c r="D20365" s="7">
        <v>918</v>
      </c>
      <c r="E20365" s="3">
        <v>11</v>
      </c>
      <c r="F20365" s="3">
        <v>11</v>
      </c>
      <c r="G20365" t="s">
        <v>513</v>
      </c>
    </row>
    <row r="20366" spans="1:7" x14ac:dyDescent="0.25">
      <c r="A20366" s="1" t="str">
        <f>"513159"</f>
        <v>513159</v>
      </c>
      <c r="B20366" s="2" t="str">
        <f>"RETENTOR 30X40X08MM"</f>
        <v>RETENTOR 30X40X08MM</v>
      </c>
      <c r="C20366" s="2" t="str">
        <f t="shared" si="807"/>
        <v>UN</v>
      </c>
      <c r="D20366" s="7">
        <v>918</v>
      </c>
      <c r="E20366" s="3">
        <v>11</v>
      </c>
      <c r="F20366" s="3">
        <v>11</v>
      </c>
      <c r="G20366" t="s">
        <v>513</v>
      </c>
    </row>
    <row r="20367" spans="1:7" x14ac:dyDescent="0.25">
      <c r="A20367" s="1" t="str">
        <f>"520050"</f>
        <v>520050</v>
      </c>
      <c r="B20367" s="2" t="str">
        <f>"RETENTOR 30X40X7MM"</f>
        <v>RETENTOR 30X40X7MM</v>
      </c>
      <c r="C20367" s="2" t="str">
        <f t="shared" si="807"/>
        <v>UN</v>
      </c>
      <c r="D20367" s="7">
        <v>918</v>
      </c>
      <c r="E20367" s="3">
        <v>11</v>
      </c>
      <c r="F20367" s="3">
        <v>11</v>
      </c>
      <c r="G20367" t="s">
        <v>513</v>
      </c>
    </row>
    <row r="20368" spans="1:7" x14ac:dyDescent="0.25">
      <c r="A20368" s="1" t="str">
        <f>"512143"</f>
        <v>512143</v>
      </c>
      <c r="B20368" s="2" t="str">
        <f>"RETENTOR 30X42X08MM"</f>
        <v>RETENTOR 30X42X08MM</v>
      </c>
      <c r="C20368" s="2" t="str">
        <f t="shared" si="807"/>
        <v>UN</v>
      </c>
      <c r="D20368" s="7">
        <v>918</v>
      </c>
      <c r="E20368" s="3">
        <v>11</v>
      </c>
      <c r="F20368" s="3">
        <v>11</v>
      </c>
      <c r="G20368" t="s">
        <v>512</v>
      </c>
    </row>
    <row r="20369" spans="1:7" x14ac:dyDescent="0.25">
      <c r="A20369" s="1" t="str">
        <f>"520032"</f>
        <v>520032</v>
      </c>
      <c r="B20369" s="2" t="str">
        <f>"RETENTOR 30X42X10MM"</f>
        <v>RETENTOR 30X42X10MM</v>
      </c>
      <c r="C20369" s="2" t="str">
        <f t="shared" si="807"/>
        <v>UN</v>
      </c>
      <c r="D20369" s="7">
        <v>918</v>
      </c>
      <c r="E20369" s="3">
        <v>11</v>
      </c>
      <c r="F20369" s="3">
        <v>11</v>
      </c>
      <c r="G20369" t="s">
        <v>513</v>
      </c>
    </row>
    <row r="20370" spans="1:7" x14ac:dyDescent="0.25">
      <c r="A20370" s="1" t="str">
        <f>"500966"</f>
        <v>500966</v>
      </c>
      <c r="B20370" s="2" t="str">
        <f>"RETENTOR 30X47X06MM"</f>
        <v>RETENTOR 30X47X06MM</v>
      </c>
      <c r="C20370" s="2" t="str">
        <f t="shared" si="807"/>
        <v>UN</v>
      </c>
      <c r="D20370" s="7">
        <v>918</v>
      </c>
      <c r="E20370" s="3">
        <v>11</v>
      </c>
      <c r="F20370" s="3">
        <v>11</v>
      </c>
      <c r="G20370" t="s">
        <v>514</v>
      </c>
    </row>
    <row r="20371" spans="1:7" x14ac:dyDescent="0.25">
      <c r="A20371" s="1" t="str">
        <f>"505104"</f>
        <v>505104</v>
      </c>
      <c r="B20371" s="2" t="str">
        <f>"RETENTOR 30X47X07MM"</f>
        <v>RETENTOR 30X47X07MM</v>
      </c>
      <c r="C20371" s="2" t="str">
        <f t="shared" si="807"/>
        <v>UN</v>
      </c>
      <c r="D20371" s="7">
        <v>402</v>
      </c>
      <c r="E20371" s="3">
        <v>4</v>
      </c>
      <c r="F20371" s="3">
        <v>4</v>
      </c>
      <c r="G20371" t="s">
        <v>515</v>
      </c>
    </row>
    <row r="20372" spans="1:7" x14ac:dyDescent="0.25">
      <c r="A20372" s="1" t="str">
        <f>"520038"</f>
        <v>520038</v>
      </c>
      <c r="B20372" s="2" t="str">
        <f>"RETENTOR 30X47X10MM"</f>
        <v>RETENTOR 30X47X10MM</v>
      </c>
      <c r="C20372" s="2" t="str">
        <f t="shared" si="807"/>
        <v>UN</v>
      </c>
      <c r="D20372" s="7">
        <v>918</v>
      </c>
      <c r="E20372" s="3">
        <v>11</v>
      </c>
      <c r="F20372" s="3">
        <v>11</v>
      </c>
      <c r="G20372" t="s">
        <v>512</v>
      </c>
    </row>
    <row r="20373" spans="1:7" x14ac:dyDescent="0.25">
      <c r="A20373" s="1" t="str">
        <f>"508654"</f>
        <v>508654</v>
      </c>
      <c r="B20373" s="2" t="str">
        <f>"RETENTOR 30X50X13MM ARCA 5330"</f>
        <v>RETENTOR 30X50X13MM ARCA 5330</v>
      </c>
      <c r="C20373" s="2" t="str">
        <f t="shared" si="807"/>
        <v>UN</v>
      </c>
      <c r="D20373" s="7">
        <v>918</v>
      </c>
      <c r="E20373" s="3">
        <v>11</v>
      </c>
      <c r="F20373" s="3">
        <v>11</v>
      </c>
      <c r="G20373" t="s">
        <v>516</v>
      </c>
    </row>
    <row r="20374" spans="1:7" x14ac:dyDescent="0.25">
      <c r="A20374" s="1" t="str">
        <f>"508297"</f>
        <v>508297</v>
      </c>
      <c r="B20374" s="2" t="str">
        <f>"RETENTOR 30X55X07MM - DBH9329"</f>
        <v>RETENTOR 30X55X07MM - DBH9329</v>
      </c>
      <c r="C20374" s="2" t="str">
        <f t="shared" si="807"/>
        <v>UN</v>
      </c>
      <c r="D20374" s="7">
        <v>918</v>
      </c>
      <c r="E20374" s="3">
        <v>11</v>
      </c>
      <c r="F20374" s="3">
        <v>11</v>
      </c>
      <c r="G20374" t="s">
        <v>515</v>
      </c>
    </row>
    <row r="20375" spans="1:7" x14ac:dyDescent="0.25">
      <c r="A20375" s="1" t="str">
        <f>"505460"</f>
        <v>505460</v>
      </c>
      <c r="B20375" s="2" t="str">
        <f>"RETENTOR 30X55X12MM"</f>
        <v>RETENTOR 30X55X12MM</v>
      </c>
      <c r="C20375" s="2" t="str">
        <f t="shared" si="807"/>
        <v>UN</v>
      </c>
      <c r="D20375" s="7">
        <v>402</v>
      </c>
      <c r="E20375" s="3">
        <v>4</v>
      </c>
      <c r="F20375" s="3">
        <v>4</v>
      </c>
      <c r="G20375" t="s">
        <v>514</v>
      </c>
    </row>
    <row r="20376" spans="1:7" x14ac:dyDescent="0.25">
      <c r="A20376" s="1" t="str">
        <f>"527399"</f>
        <v>527399</v>
      </c>
      <c r="B20376" s="2" t="str">
        <f>"RETENTOR 30X60X10MM VITON"</f>
        <v>RETENTOR 30X60X10MM VITON</v>
      </c>
      <c r="C20376" s="2" t="str">
        <f t="shared" si="807"/>
        <v>UN</v>
      </c>
      <c r="D20376" s="7">
        <v>909</v>
      </c>
      <c r="E20376" s="3">
        <v>11</v>
      </c>
      <c r="F20376" s="3">
        <v>11</v>
      </c>
      <c r="G20376" t="s">
        <v>512</v>
      </c>
    </row>
    <row r="20377" spans="1:7" x14ac:dyDescent="0.25">
      <c r="A20377" s="1" t="str">
        <f>"512431"</f>
        <v>512431</v>
      </c>
      <c r="B20377" s="2" t="str">
        <f>"RETENTOR 30X62X10MM"</f>
        <v>RETENTOR 30X62X10MM</v>
      </c>
      <c r="C20377" s="2" t="str">
        <f t="shared" si="807"/>
        <v>UN</v>
      </c>
      <c r="D20377" s="7">
        <v>918</v>
      </c>
      <c r="E20377" s="3">
        <v>11</v>
      </c>
      <c r="F20377" s="3">
        <v>11</v>
      </c>
      <c r="G20377" t="s">
        <v>513</v>
      </c>
    </row>
    <row r="20378" spans="1:7" x14ac:dyDescent="0.25">
      <c r="A20378" s="1" t="str">
        <f>"520086"</f>
        <v>520086</v>
      </c>
      <c r="B20378" s="2" t="str">
        <f>"RETENTOR 30X62X7MM"</f>
        <v>RETENTOR 30X62X7MM</v>
      </c>
      <c r="C20378" s="2" t="str">
        <f t="shared" si="807"/>
        <v>UN</v>
      </c>
      <c r="D20378" s="7">
        <v>918</v>
      </c>
      <c r="E20378" s="3">
        <v>11</v>
      </c>
      <c r="F20378" s="3">
        <v>11</v>
      </c>
      <c r="G20378" t="s">
        <v>514</v>
      </c>
    </row>
    <row r="20379" spans="1:7" x14ac:dyDescent="0.25">
      <c r="A20379" s="1" t="str">
        <f>"508322"</f>
        <v>508322</v>
      </c>
      <c r="B20379" s="2" t="str">
        <f>"RETENTOR 31X46X09MM"</f>
        <v>RETENTOR 31X46X09MM</v>
      </c>
      <c r="C20379" s="2" t="str">
        <f>"PC"</f>
        <v>PC</v>
      </c>
      <c r="D20379" s="7">
        <v>402</v>
      </c>
      <c r="E20379" s="3">
        <v>4</v>
      </c>
      <c r="F20379" s="3">
        <v>4</v>
      </c>
      <c r="G20379" t="s">
        <v>514</v>
      </c>
    </row>
    <row r="20380" spans="1:7" x14ac:dyDescent="0.25">
      <c r="A20380" s="1" t="str">
        <f>"503343"</f>
        <v>503343</v>
      </c>
      <c r="B20380" s="2" t="str">
        <f>"RETENTOR 32X50X08MM"</f>
        <v>RETENTOR 32X50X08MM</v>
      </c>
      <c r="C20380" s="2" t="str">
        <f t="shared" ref="C20380:C20390" si="808">"UN"</f>
        <v>UN</v>
      </c>
      <c r="D20380" s="7">
        <v>918</v>
      </c>
      <c r="E20380" s="3">
        <v>11</v>
      </c>
      <c r="F20380" s="3">
        <v>11</v>
      </c>
      <c r="G20380" t="s">
        <v>512</v>
      </c>
    </row>
    <row r="20381" spans="1:7" x14ac:dyDescent="0.25">
      <c r="A20381" s="1" t="str">
        <f>"520084"</f>
        <v>520084</v>
      </c>
      <c r="B20381" s="2" t="str">
        <f>"RETENTOR 32X50X10MM"</f>
        <v>RETENTOR 32X50X10MM</v>
      </c>
      <c r="C20381" s="2" t="str">
        <f t="shared" si="808"/>
        <v>UN</v>
      </c>
      <c r="D20381" s="7">
        <v>918</v>
      </c>
      <c r="E20381" s="3">
        <v>11</v>
      </c>
      <c r="F20381" s="3">
        <v>11</v>
      </c>
      <c r="G20381" t="s">
        <v>513</v>
      </c>
    </row>
    <row r="20382" spans="1:7" x14ac:dyDescent="0.25">
      <c r="A20382" s="1" t="str">
        <f>"503352"</f>
        <v>503352</v>
      </c>
      <c r="B20382" s="2" t="str">
        <f>"RETENTOR 32X52X07MM"</f>
        <v>RETENTOR 32X52X07MM</v>
      </c>
      <c r="C20382" s="2" t="str">
        <f t="shared" si="808"/>
        <v>UN</v>
      </c>
      <c r="D20382" s="7">
        <v>812</v>
      </c>
      <c r="E20382" s="3">
        <v>11</v>
      </c>
      <c r="F20382" s="3">
        <v>11</v>
      </c>
      <c r="G20382" t="s">
        <v>514</v>
      </c>
    </row>
    <row r="20383" spans="1:7" x14ac:dyDescent="0.25">
      <c r="A20383" s="1" t="str">
        <f>"520077"</f>
        <v>520077</v>
      </c>
      <c r="B20383" s="2" t="str">
        <f>"RETENTOR 32X52X10MM"</f>
        <v>RETENTOR 32X52X10MM</v>
      </c>
      <c r="C20383" s="2" t="str">
        <f t="shared" si="808"/>
        <v>UN</v>
      </c>
      <c r="D20383" s="7">
        <v>918</v>
      </c>
      <c r="E20383" s="3">
        <v>11</v>
      </c>
      <c r="F20383" s="3">
        <v>11</v>
      </c>
      <c r="G20383" t="s">
        <v>514</v>
      </c>
    </row>
    <row r="20384" spans="1:7" x14ac:dyDescent="0.25">
      <c r="A20384" s="1" t="str">
        <f>"520082"</f>
        <v>520082</v>
      </c>
      <c r="B20384" s="2" t="str">
        <f>"RETENTOR 32X52X12MM"</f>
        <v>RETENTOR 32X52X12MM</v>
      </c>
      <c r="C20384" s="2" t="str">
        <f t="shared" si="808"/>
        <v>UN</v>
      </c>
      <c r="D20384" s="7">
        <v>918</v>
      </c>
      <c r="E20384" s="3">
        <v>11</v>
      </c>
      <c r="F20384" s="3">
        <v>11</v>
      </c>
      <c r="G20384" t="s">
        <v>514</v>
      </c>
    </row>
    <row r="20385" spans="1:7" x14ac:dyDescent="0.25">
      <c r="A20385" s="1" t="str">
        <f>"520044"</f>
        <v>520044</v>
      </c>
      <c r="B20385" s="2" t="str">
        <f>"RETENTOR 32X57,05X9,5MM"</f>
        <v>RETENTOR 32X57,05X9,5MM</v>
      </c>
      <c r="C20385" s="2" t="str">
        <f t="shared" si="808"/>
        <v>UN</v>
      </c>
      <c r="D20385" s="7">
        <v>918</v>
      </c>
      <c r="E20385" s="3">
        <v>11</v>
      </c>
      <c r="F20385" s="3">
        <v>11</v>
      </c>
      <c r="G20385" t="s">
        <v>513</v>
      </c>
    </row>
    <row r="20386" spans="1:7" x14ac:dyDescent="0.25">
      <c r="A20386" s="1" t="str">
        <f>"520075"</f>
        <v>520075</v>
      </c>
      <c r="B20386" s="2" t="str">
        <f>"RETENTOR 33X46X8MM"</f>
        <v>RETENTOR 33X46X8MM</v>
      </c>
      <c r="C20386" s="2" t="str">
        <f t="shared" si="808"/>
        <v>UN</v>
      </c>
      <c r="D20386" s="7">
        <v>918</v>
      </c>
      <c r="E20386" s="3">
        <v>11</v>
      </c>
      <c r="F20386" s="3">
        <v>11</v>
      </c>
      <c r="G20386" t="s">
        <v>512</v>
      </c>
    </row>
    <row r="20387" spans="1:7" x14ac:dyDescent="0.25">
      <c r="A20387" s="1" t="str">
        <f>"520083"</f>
        <v>520083</v>
      </c>
      <c r="B20387" s="2" t="str">
        <f>"RETENTOR 33X50X8MM"</f>
        <v>RETENTOR 33X50X8MM</v>
      </c>
      <c r="C20387" s="2" t="str">
        <f t="shared" si="808"/>
        <v>UN</v>
      </c>
      <c r="D20387" s="7">
        <v>918</v>
      </c>
      <c r="E20387" s="3">
        <v>11</v>
      </c>
      <c r="F20387" s="3">
        <v>11</v>
      </c>
      <c r="G20387" t="s">
        <v>513</v>
      </c>
    </row>
    <row r="20388" spans="1:7" x14ac:dyDescent="0.25">
      <c r="A20388" s="1" t="str">
        <f>"520033"</f>
        <v>520033</v>
      </c>
      <c r="B20388" s="2" t="str">
        <f>"RETENTOR 35X47X9MM"</f>
        <v>RETENTOR 35X47X9MM</v>
      </c>
      <c r="C20388" s="2" t="str">
        <f t="shared" si="808"/>
        <v>UN</v>
      </c>
      <c r="D20388" s="7">
        <v>918</v>
      </c>
      <c r="E20388" s="3">
        <v>11</v>
      </c>
      <c r="F20388" s="3">
        <v>11</v>
      </c>
      <c r="G20388" t="s">
        <v>514</v>
      </c>
    </row>
    <row r="20389" spans="1:7" x14ac:dyDescent="0.25">
      <c r="A20389" s="1" t="str">
        <f>"505107"</f>
        <v>505107</v>
      </c>
      <c r="B20389" s="2" t="str">
        <f>"RETENTOR 35X50X07MM"</f>
        <v>RETENTOR 35X50X07MM</v>
      </c>
      <c r="C20389" s="2" t="str">
        <f t="shared" si="808"/>
        <v>UN</v>
      </c>
      <c r="D20389" s="7">
        <v>402</v>
      </c>
      <c r="E20389" s="3">
        <v>4</v>
      </c>
      <c r="F20389" s="3">
        <v>4</v>
      </c>
      <c r="G20389" t="s">
        <v>514</v>
      </c>
    </row>
    <row r="20390" spans="1:7" x14ac:dyDescent="0.25">
      <c r="A20390" s="1" t="str">
        <f>"507060"</f>
        <v>507060</v>
      </c>
      <c r="B20390" s="2" t="str">
        <f>"RETENTOR 35X50X10MM"</f>
        <v>RETENTOR 35X50X10MM</v>
      </c>
      <c r="C20390" s="2" t="str">
        <f t="shared" si="808"/>
        <v>UN</v>
      </c>
      <c r="D20390" s="7">
        <v>918</v>
      </c>
      <c r="E20390" s="3">
        <v>11</v>
      </c>
      <c r="F20390" s="3">
        <v>11</v>
      </c>
      <c r="G20390" t="s">
        <v>514</v>
      </c>
    </row>
    <row r="20391" spans="1:7" x14ac:dyDescent="0.25">
      <c r="A20391" s="1" t="str">
        <f>"506927"</f>
        <v>506927</v>
      </c>
      <c r="B20391" s="2" t="str">
        <f>"RETENTOR 35X52X12MM"</f>
        <v>RETENTOR 35X52X12MM</v>
      </c>
      <c r="C20391" s="2" t="str">
        <f>"PC"</f>
        <v>PC</v>
      </c>
      <c r="D20391" s="7">
        <v>918</v>
      </c>
      <c r="E20391" s="3">
        <v>11</v>
      </c>
      <c r="F20391" s="3">
        <v>11</v>
      </c>
      <c r="G20391" t="s">
        <v>513</v>
      </c>
    </row>
    <row r="20392" spans="1:7" x14ac:dyDescent="0.25">
      <c r="A20392" s="1" t="str">
        <f>"520040"</f>
        <v>520040</v>
      </c>
      <c r="B20392" s="2" t="str">
        <f>"RETENTOR 35X56,05X12MM"</f>
        <v>RETENTOR 35X56,05X12MM</v>
      </c>
      <c r="C20392" s="2" t="str">
        <f t="shared" ref="C20392:C20399" si="809">"UN"</f>
        <v>UN</v>
      </c>
      <c r="D20392" s="7">
        <v>918</v>
      </c>
      <c r="E20392" s="3">
        <v>11</v>
      </c>
      <c r="F20392" s="3">
        <v>11</v>
      </c>
      <c r="G20392" t="s">
        <v>513</v>
      </c>
    </row>
    <row r="20393" spans="1:7" x14ac:dyDescent="0.25">
      <c r="A20393" s="1" t="str">
        <f>"520041"</f>
        <v>520041</v>
      </c>
      <c r="B20393" s="2" t="str">
        <f>"RETENTOR 35X56X10MM"</f>
        <v>RETENTOR 35X56X10MM</v>
      </c>
      <c r="C20393" s="2" t="str">
        <f t="shared" si="809"/>
        <v>UN</v>
      </c>
      <c r="D20393" s="7">
        <v>918</v>
      </c>
      <c r="E20393" s="3">
        <v>11</v>
      </c>
      <c r="F20393" s="3">
        <v>11</v>
      </c>
      <c r="G20393" t="s">
        <v>513</v>
      </c>
    </row>
    <row r="20394" spans="1:7" x14ac:dyDescent="0.25">
      <c r="A20394" s="1" t="str">
        <f>"507057"</f>
        <v>507057</v>
      </c>
      <c r="B20394" s="2" t="str">
        <f>"RETENTOR 35X56X10MM - 2087"</f>
        <v>RETENTOR 35X56X10MM - 2087</v>
      </c>
      <c r="C20394" s="2" t="str">
        <f t="shared" si="809"/>
        <v>UN</v>
      </c>
      <c r="D20394" s="7">
        <v>905</v>
      </c>
      <c r="E20394" s="3">
        <v>11</v>
      </c>
      <c r="F20394" s="3">
        <v>11</v>
      </c>
      <c r="G20394" t="s">
        <v>512</v>
      </c>
    </row>
    <row r="20395" spans="1:7" x14ac:dyDescent="0.25">
      <c r="A20395" s="1" t="str">
        <f>"520049"</f>
        <v>520049</v>
      </c>
      <c r="B20395" s="2" t="str">
        <f>"RETENTOR 35X56X12MM"</f>
        <v>RETENTOR 35X56X12MM</v>
      </c>
      <c r="C20395" s="2" t="str">
        <f t="shared" si="809"/>
        <v>UN</v>
      </c>
      <c r="D20395" s="7">
        <v>918</v>
      </c>
      <c r="E20395" s="3">
        <v>11</v>
      </c>
      <c r="F20395" s="3">
        <v>11</v>
      </c>
      <c r="G20395" t="s">
        <v>513</v>
      </c>
    </row>
    <row r="20396" spans="1:7" x14ac:dyDescent="0.25">
      <c r="A20396" s="1" t="str">
        <f>"502642"</f>
        <v>502642</v>
      </c>
      <c r="B20396" s="2" t="str">
        <f>"RETENTOR 35X58X10MM BORDA FERRO"</f>
        <v>RETENTOR 35X58X10MM BORDA FERRO</v>
      </c>
      <c r="C20396" s="2" t="str">
        <f t="shared" si="809"/>
        <v>UN</v>
      </c>
      <c r="D20396" s="7">
        <v>402</v>
      </c>
      <c r="E20396" s="3">
        <v>4</v>
      </c>
      <c r="F20396" s="3">
        <v>4</v>
      </c>
      <c r="G20396" t="s">
        <v>514</v>
      </c>
    </row>
    <row r="20397" spans="1:7" x14ac:dyDescent="0.25">
      <c r="A20397" s="1" t="str">
        <f>"515927"</f>
        <v>515927</v>
      </c>
      <c r="B20397" s="2" t="str">
        <f>"RETENTOR 36X56X10MM"</f>
        <v>RETENTOR 36X56X10MM</v>
      </c>
      <c r="C20397" s="2" t="str">
        <f t="shared" si="809"/>
        <v>UN</v>
      </c>
      <c r="D20397" s="7">
        <v>812</v>
      </c>
      <c r="E20397" s="3">
        <v>11</v>
      </c>
      <c r="F20397" s="3">
        <v>11</v>
      </c>
      <c r="G20397" t="s">
        <v>515</v>
      </c>
    </row>
    <row r="20398" spans="1:7" x14ac:dyDescent="0.25">
      <c r="A20398" s="1" t="str">
        <f>"528091"</f>
        <v>528091</v>
      </c>
      <c r="B20398" s="2" t="str">
        <f>"RETENTOR 38X58X11MM"</f>
        <v>RETENTOR 38X58X11MM</v>
      </c>
      <c r="C20398" s="2" t="str">
        <f t="shared" si="809"/>
        <v>UN</v>
      </c>
      <c r="D20398" s="7">
        <v>918</v>
      </c>
      <c r="E20398" s="3">
        <v>11</v>
      </c>
      <c r="F20398" s="3">
        <v>11</v>
      </c>
      <c r="G20398" t="s">
        <v>512</v>
      </c>
    </row>
    <row r="20399" spans="1:7" x14ac:dyDescent="0.25">
      <c r="A20399" s="1" t="str">
        <f>"520081"</f>
        <v>520081</v>
      </c>
      <c r="B20399" s="2" t="str">
        <f>"RETENTOR 38X62X7MM"</f>
        <v>RETENTOR 38X62X7MM</v>
      </c>
      <c r="C20399" s="2" t="str">
        <f t="shared" si="809"/>
        <v>UN</v>
      </c>
      <c r="D20399" s="7">
        <v>918</v>
      </c>
      <c r="E20399" s="3">
        <v>11</v>
      </c>
      <c r="F20399" s="3">
        <v>11</v>
      </c>
      <c r="G20399" t="s">
        <v>516</v>
      </c>
    </row>
    <row r="20400" spans="1:7" x14ac:dyDescent="0.25">
      <c r="A20400" s="1" t="str">
        <f>"508323"</f>
        <v>508323</v>
      </c>
      <c r="B20400" s="2" t="str">
        <f>"RETENTOR 40X27X07MM"</f>
        <v>RETENTOR 40X27X07MM</v>
      </c>
      <c r="C20400" s="2" t="str">
        <f>"PC"</f>
        <v>PC</v>
      </c>
      <c r="D20400" s="7">
        <v>402</v>
      </c>
      <c r="E20400" s="3">
        <v>4</v>
      </c>
      <c r="F20400" s="3">
        <v>4</v>
      </c>
      <c r="G20400" t="s">
        <v>515</v>
      </c>
    </row>
    <row r="20401" spans="1:7" x14ac:dyDescent="0.25">
      <c r="A20401" s="1" t="str">
        <f>"520283"</f>
        <v>520283</v>
      </c>
      <c r="B20401" s="2" t="str">
        <f>"RETENTOR 40X52X08MM"</f>
        <v>RETENTOR 40X52X08MM</v>
      </c>
      <c r="C20401" s="2" t="str">
        <f>"UN"</f>
        <v>UN</v>
      </c>
      <c r="D20401" s="7">
        <v>918</v>
      </c>
      <c r="E20401" s="3">
        <v>11</v>
      </c>
      <c r="F20401" s="3">
        <v>11</v>
      </c>
      <c r="G20401" t="s">
        <v>514</v>
      </c>
    </row>
    <row r="20402" spans="1:7" x14ac:dyDescent="0.25">
      <c r="A20402" s="1" t="str">
        <f>"508749"</f>
        <v>508749</v>
      </c>
      <c r="B20402" s="2" t="str">
        <f>"RETENTOR 40X55X08MM"</f>
        <v>RETENTOR 40X55X08MM</v>
      </c>
      <c r="C20402" s="2" t="str">
        <f>"PC"</f>
        <v>PC</v>
      </c>
      <c r="D20402" s="7">
        <v>402</v>
      </c>
      <c r="E20402" s="3">
        <v>4</v>
      </c>
      <c r="F20402" s="3">
        <v>4</v>
      </c>
      <c r="G20402" t="s">
        <v>512</v>
      </c>
    </row>
    <row r="20403" spans="1:7" x14ac:dyDescent="0.25">
      <c r="A20403" s="1" t="str">
        <f>"511019"</f>
        <v>511019</v>
      </c>
      <c r="B20403" s="2" t="str">
        <f>"RETENTOR 40X56X08MM"</f>
        <v>RETENTOR 40X56X08MM</v>
      </c>
      <c r="C20403" s="2" t="str">
        <f>"PC"</f>
        <v>PC</v>
      </c>
      <c r="D20403" s="7">
        <v>918</v>
      </c>
      <c r="E20403" s="3">
        <v>11</v>
      </c>
      <c r="F20403" s="3">
        <v>11</v>
      </c>
      <c r="G20403" t="s">
        <v>513</v>
      </c>
    </row>
    <row r="20404" spans="1:7" x14ac:dyDescent="0.25">
      <c r="A20404" s="1" t="str">
        <f>"520069"</f>
        <v>520069</v>
      </c>
      <c r="B20404" s="2" t="str">
        <f>"RETENTOR 40X56X8MM"</f>
        <v>RETENTOR 40X56X8MM</v>
      </c>
      <c r="C20404" s="2" t="str">
        <f t="shared" ref="C20404:C20409" si="810">"UN"</f>
        <v>UN</v>
      </c>
      <c r="D20404" s="7">
        <v>918</v>
      </c>
      <c r="E20404" s="3">
        <v>11</v>
      </c>
      <c r="F20404" s="3">
        <v>11</v>
      </c>
      <c r="G20404" t="s">
        <v>514</v>
      </c>
    </row>
    <row r="20405" spans="1:7" x14ac:dyDescent="0.25">
      <c r="A20405" s="1" t="str">
        <f>"526001"</f>
        <v>526001</v>
      </c>
      <c r="B20405" s="2" t="str">
        <f>"RETENTOR 40X57X7MM"</f>
        <v>RETENTOR 40X57X7MM</v>
      </c>
      <c r="C20405" s="2" t="str">
        <f t="shared" si="810"/>
        <v>UN</v>
      </c>
      <c r="D20405" s="7">
        <v>905</v>
      </c>
      <c r="E20405" s="3">
        <v>11</v>
      </c>
      <c r="F20405" s="3">
        <v>11</v>
      </c>
      <c r="G20405" t="s">
        <v>514</v>
      </c>
    </row>
    <row r="20406" spans="1:7" x14ac:dyDescent="0.25">
      <c r="A20406" s="1" t="str">
        <f>"520051"</f>
        <v>520051</v>
      </c>
      <c r="B20406" s="2" t="str">
        <f>"RETENTOR 40X60X10MM"</f>
        <v>RETENTOR 40X60X10MM</v>
      </c>
      <c r="C20406" s="2" t="str">
        <f t="shared" si="810"/>
        <v>UN</v>
      </c>
      <c r="D20406" s="7">
        <v>918</v>
      </c>
      <c r="E20406" s="3">
        <v>11</v>
      </c>
      <c r="F20406" s="3">
        <v>11</v>
      </c>
      <c r="G20406" t="s">
        <v>512</v>
      </c>
    </row>
    <row r="20407" spans="1:7" x14ac:dyDescent="0.25">
      <c r="A20407" s="1" t="str">
        <f>"520034"</f>
        <v>520034</v>
      </c>
      <c r="B20407" s="2" t="str">
        <f>"RETENTOR 40X62X11,5MM"</f>
        <v>RETENTOR 40X62X11,5MM</v>
      </c>
      <c r="C20407" s="2" t="str">
        <f t="shared" si="810"/>
        <v>UN</v>
      </c>
      <c r="D20407" s="7">
        <v>918</v>
      </c>
      <c r="E20407" s="3">
        <v>11</v>
      </c>
      <c r="F20407" s="3">
        <v>11</v>
      </c>
      <c r="G20407" t="s">
        <v>513</v>
      </c>
    </row>
    <row r="20408" spans="1:7" x14ac:dyDescent="0.25">
      <c r="A20408" s="1" t="str">
        <f>"503793"</f>
        <v>503793</v>
      </c>
      <c r="B20408" s="2" t="str">
        <f>"RETENTOR 40X62X11MM"</f>
        <v>RETENTOR 40X62X11MM</v>
      </c>
      <c r="C20408" s="2" t="str">
        <f t="shared" si="810"/>
        <v>UN</v>
      </c>
      <c r="D20408" s="7">
        <v>918</v>
      </c>
      <c r="E20408" s="3">
        <v>11</v>
      </c>
      <c r="F20408" s="3">
        <v>11</v>
      </c>
      <c r="G20408" t="s">
        <v>514</v>
      </c>
    </row>
    <row r="20409" spans="1:7" x14ac:dyDescent="0.25">
      <c r="A20409" s="1" t="str">
        <f>"520657"</f>
        <v>520657</v>
      </c>
      <c r="B20409" s="2" t="str">
        <f>"RETENTOR 40X62X8MM"</f>
        <v>RETENTOR 40X62X8MM</v>
      </c>
      <c r="C20409" s="2" t="str">
        <f t="shared" si="810"/>
        <v>UN</v>
      </c>
      <c r="D20409" s="7">
        <v>918</v>
      </c>
      <c r="E20409" s="3">
        <v>11</v>
      </c>
      <c r="F20409" s="3">
        <v>11</v>
      </c>
      <c r="G20409" t="s">
        <v>514</v>
      </c>
    </row>
    <row r="20410" spans="1:7" x14ac:dyDescent="0.25">
      <c r="A20410" s="1" t="str">
        <f>"501664"</f>
        <v>501664</v>
      </c>
      <c r="B20410" s="2" t="str">
        <f>"RETENTOR 40X72X12MM"</f>
        <v>RETENTOR 40X72X12MM</v>
      </c>
      <c r="C20410" s="2" t="str">
        <f>"PC"</f>
        <v>PC</v>
      </c>
      <c r="D20410" s="7">
        <v>918</v>
      </c>
      <c r="E20410" s="3">
        <v>11</v>
      </c>
      <c r="F20410" s="3">
        <v>11</v>
      </c>
      <c r="G20410" t="s">
        <v>514</v>
      </c>
    </row>
    <row r="20411" spans="1:7" x14ac:dyDescent="0.25">
      <c r="A20411" s="1" t="str">
        <f>"520071"</f>
        <v>520071</v>
      </c>
      <c r="B20411" s="2" t="str">
        <f>"RETENTOR 40X72X7MM"</f>
        <v>RETENTOR 40X72X7MM</v>
      </c>
      <c r="C20411" s="2" t="str">
        <f t="shared" ref="C20411:C20417" si="811">"UN"</f>
        <v>UN</v>
      </c>
      <c r="D20411" s="7">
        <v>918</v>
      </c>
      <c r="E20411" s="3">
        <v>11</v>
      </c>
      <c r="F20411" s="3">
        <v>11</v>
      </c>
      <c r="G20411" t="s">
        <v>513</v>
      </c>
    </row>
    <row r="20412" spans="1:7" x14ac:dyDescent="0.25">
      <c r="A20412" s="1" t="str">
        <f>"520053"</f>
        <v>520053</v>
      </c>
      <c r="B20412" s="2" t="str">
        <f>"RETENTOR 40X80X10MM"</f>
        <v>RETENTOR 40X80X10MM</v>
      </c>
      <c r="C20412" s="2" t="str">
        <f t="shared" si="811"/>
        <v>UN</v>
      </c>
      <c r="D20412" s="7">
        <v>918</v>
      </c>
      <c r="E20412" s="3">
        <v>11</v>
      </c>
      <c r="F20412" s="3">
        <v>11</v>
      </c>
      <c r="G20412" t="s">
        <v>512</v>
      </c>
    </row>
    <row r="20413" spans="1:7" x14ac:dyDescent="0.25">
      <c r="A20413" s="1" t="str">
        <f>"520284"</f>
        <v>520284</v>
      </c>
      <c r="B20413" s="2" t="str">
        <f>"RETENTOR 40X80X10MM"</f>
        <v>RETENTOR 40X80X10MM</v>
      </c>
      <c r="C20413" s="2" t="str">
        <f t="shared" si="811"/>
        <v>UN</v>
      </c>
      <c r="D20413" s="7">
        <v>918</v>
      </c>
      <c r="E20413" s="3">
        <v>11</v>
      </c>
      <c r="F20413" s="3">
        <v>11</v>
      </c>
      <c r="G20413" t="s">
        <v>513</v>
      </c>
    </row>
    <row r="20414" spans="1:7" x14ac:dyDescent="0.25">
      <c r="A20414" s="1" t="str">
        <f>"518111"</f>
        <v>518111</v>
      </c>
      <c r="B20414" s="2" t="str">
        <f>"RETENTOR 42X21X10MM"</f>
        <v>RETENTOR 42X21X10MM</v>
      </c>
      <c r="C20414" s="2" t="str">
        <f t="shared" si="811"/>
        <v>UN</v>
      </c>
      <c r="D20414" s="7">
        <v>918</v>
      </c>
      <c r="E20414" s="3">
        <v>11</v>
      </c>
      <c r="F20414" s="3">
        <v>11</v>
      </c>
      <c r="G20414" t="s">
        <v>514</v>
      </c>
    </row>
    <row r="20415" spans="1:7" x14ac:dyDescent="0.25">
      <c r="A20415" s="1" t="str">
        <f>"512812"</f>
        <v>512812</v>
      </c>
      <c r="B20415" s="2" t="str">
        <f>"RETENTOR 42X60X08MM"</f>
        <v>RETENTOR 42X60X08MM</v>
      </c>
      <c r="C20415" s="2" t="str">
        <f t="shared" si="811"/>
        <v>UN</v>
      </c>
      <c r="D20415" s="7">
        <v>918</v>
      </c>
      <c r="E20415" s="3">
        <v>11</v>
      </c>
      <c r="F20415" s="3">
        <v>11</v>
      </c>
      <c r="G20415" t="s">
        <v>514</v>
      </c>
    </row>
    <row r="20416" spans="1:7" x14ac:dyDescent="0.25">
      <c r="A20416" s="1" t="str">
        <f>"520066"</f>
        <v>520066</v>
      </c>
      <c r="B20416" s="2" t="str">
        <f>"RETENTOR 42X62X6MM"</f>
        <v>RETENTOR 42X62X6MM</v>
      </c>
      <c r="C20416" s="2" t="str">
        <f t="shared" si="811"/>
        <v>UN</v>
      </c>
      <c r="D20416" s="7">
        <v>918</v>
      </c>
      <c r="E20416" s="3">
        <v>11</v>
      </c>
      <c r="F20416" s="3">
        <v>11</v>
      </c>
      <c r="G20416" t="s">
        <v>514</v>
      </c>
    </row>
    <row r="20417" spans="1:7" x14ac:dyDescent="0.25">
      <c r="A20417" s="1" t="str">
        <f>"520146"</f>
        <v>520146</v>
      </c>
      <c r="B20417" s="2" t="str">
        <f>"RETENTOR 44X60X10MM"</f>
        <v>RETENTOR 44X60X10MM</v>
      </c>
      <c r="C20417" s="2" t="str">
        <f t="shared" si="811"/>
        <v>UN</v>
      </c>
      <c r="D20417" s="7">
        <v>918</v>
      </c>
      <c r="E20417" s="3">
        <v>11</v>
      </c>
      <c r="F20417" s="3">
        <v>11</v>
      </c>
      <c r="G20417" t="s">
        <v>513</v>
      </c>
    </row>
    <row r="20418" spans="1:7" x14ac:dyDescent="0.25">
      <c r="A20418" s="1" t="str">
        <f>"527788"</f>
        <v>527788</v>
      </c>
      <c r="B20418" s="2" t="str">
        <f>"RETENTOR 45 X 72 X 8MM"</f>
        <v>RETENTOR 45 X 72 X 8MM</v>
      </c>
      <c r="C20418" s="2" t="str">
        <f>"PC"</f>
        <v>PC</v>
      </c>
      <c r="D20418" s="7">
        <v>402</v>
      </c>
      <c r="E20418" s="3">
        <v>4</v>
      </c>
      <c r="F20418" s="3">
        <v>4</v>
      </c>
      <c r="G20418" t="s">
        <v>513</v>
      </c>
    </row>
    <row r="20419" spans="1:7" x14ac:dyDescent="0.25">
      <c r="A20419" s="1" t="str">
        <f>"506928"</f>
        <v>506928</v>
      </c>
      <c r="B20419" s="2" t="str">
        <f>"RETENTOR 45X60X08MM - GEIGER"</f>
        <v>RETENTOR 45X60X08MM - GEIGER</v>
      </c>
      <c r="C20419" s="2" t="str">
        <f>"PC"</f>
        <v>PC</v>
      </c>
      <c r="D20419" s="7">
        <v>918</v>
      </c>
      <c r="E20419" s="3">
        <v>11</v>
      </c>
      <c r="F20419" s="3">
        <v>11</v>
      </c>
      <c r="G20419" t="s">
        <v>513</v>
      </c>
    </row>
    <row r="20420" spans="1:7" x14ac:dyDescent="0.25">
      <c r="A20420" s="1" t="str">
        <f>"520042"</f>
        <v>520042</v>
      </c>
      <c r="B20420" s="2" t="str">
        <f>"RETENTOR 45X60X10MM"</f>
        <v>RETENTOR 45X60X10MM</v>
      </c>
      <c r="C20420" s="2" t="str">
        <f>"UN"</f>
        <v>UN</v>
      </c>
      <c r="D20420" s="7">
        <v>918</v>
      </c>
      <c r="E20420" s="3">
        <v>11</v>
      </c>
      <c r="F20420" s="3">
        <v>11</v>
      </c>
      <c r="G20420" t="s">
        <v>512</v>
      </c>
    </row>
    <row r="20421" spans="1:7" x14ac:dyDescent="0.25">
      <c r="A20421" s="1" t="str">
        <f>"520058"</f>
        <v>520058</v>
      </c>
      <c r="B20421" s="2" t="str">
        <f>"RETENTOR 45X60X10MM"</f>
        <v>RETENTOR 45X60X10MM</v>
      </c>
      <c r="C20421" s="2" t="str">
        <f>"UN"</f>
        <v>UN</v>
      </c>
      <c r="D20421" s="7">
        <v>918</v>
      </c>
      <c r="E20421" s="3">
        <v>11</v>
      </c>
      <c r="F20421" s="3">
        <v>11</v>
      </c>
      <c r="G20421" t="s">
        <v>513</v>
      </c>
    </row>
    <row r="20422" spans="1:7" x14ac:dyDescent="0.25">
      <c r="A20422" s="1" t="str">
        <f>"520285"</f>
        <v>520285</v>
      </c>
      <c r="B20422" s="2" t="str">
        <f>"RETENTOR 45X60X10MM"</f>
        <v>RETENTOR 45X60X10MM</v>
      </c>
      <c r="C20422" s="2" t="str">
        <f>"UN"</f>
        <v>UN</v>
      </c>
      <c r="D20422" s="7">
        <v>918</v>
      </c>
      <c r="E20422" s="3">
        <v>11</v>
      </c>
      <c r="F20422" s="3">
        <v>11</v>
      </c>
      <c r="G20422" t="s">
        <v>514</v>
      </c>
    </row>
    <row r="20423" spans="1:7" x14ac:dyDescent="0.25">
      <c r="A20423" s="1" t="str">
        <f>"520052"</f>
        <v>520052</v>
      </c>
      <c r="B20423" s="2" t="str">
        <f>"RETENTOR 45X60X9MM"</f>
        <v>RETENTOR 45X60X9MM</v>
      </c>
      <c r="C20423" s="2" t="str">
        <f>"UN"</f>
        <v>UN</v>
      </c>
      <c r="D20423" s="7">
        <v>918</v>
      </c>
      <c r="E20423" s="3">
        <v>11</v>
      </c>
      <c r="F20423" s="3">
        <v>11</v>
      </c>
      <c r="G20423" t="s">
        <v>515</v>
      </c>
    </row>
    <row r="20424" spans="1:7" x14ac:dyDescent="0.25">
      <c r="A20424" s="1" t="str">
        <f>"501156"</f>
        <v>501156</v>
      </c>
      <c r="B20424" s="2" t="str">
        <f>"RETENTOR 45X62X10MM"</f>
        <v>RETENTOR 45X62X10MM</v>
      </c>
      <c r="C20424" s="2" t="str">
        <f>"UN"</f>
        <v>UN</v>
      </c>
      <c r="D20424" s="7">
        <v>402</v>
      </c>
      <c r="E20424" s="3">
        <v>4</v>
      </c>
      <c r="F20424" s="3">
        <v>4</v>
      </c>
      <c r="G20424" t="s">
        <v>512</v>
      </c>
    </row>
    <row r="20425" spans="1:7" x14ac:dyDescent="0.25">
      <c r="A20425" s="1" t="str">
        <f>"508008"</f>
        <v>508008</v>
      </c>
      <c r="B20425" s="2" t="str">
        <f>"RETENTOR 45X65X10MM"</f>
        <v>RETENTOR 45X65X10MM</v>
      </c>
      <c r="C20425" s="2" t="str">
        <f>"PC"</f>
        <v>PC</v>
      </c>
      <c r="D20425" s="7">
        <v>402</v>
      </c>
      <c r="E20425" s="3">
        <v>4</v>
      </c>
      <c r="F20425" s="3">
        <v>4</v>
      </c>
      <c r="G20425" t="s">
        <v>516</v>
      </c>
    </row>
    <row r="20426" spans="1:7" x14ac:dyDescent="0.25">
      <c r="A20426" s="1" t="str">
        <f>"520065"</f>
        <v>520065</v>
      </c>
      <c r="B20426" s="2" t="str">
        <f>"RETENTOR 45X72X12MM"</f>
        <v>RETENTOR 45X72X12MM</v>
      </c>
      <c r="C20426" s="2" t="str">
        <f t="shared" ref="C20426:C20432" si="812">"UN"</f>
        <v>UN</v>
      </c>
      <c r="D20426" s="7">
        <v>918</v>
      </c>
      <c r="E20426" s="3">
        <v>11</v>
      </c>
      <c r="F20426" s="3">
        <v>11</v>
      </c>
      <c r="G20426" t="s">
        <v>515</v>
      </c>
    </row>
    <row r="20427" spans="1:7" x14ac:dyDescent="0.25">
      <c r="A20427" s="1" t="str">
        <f>"520656"</f>
        <v>520656</v>
      </c>
      <c r="B20427" s="2" t="str">
        <f>"RETENTOR 45X72X8MM"</f>
        <v>RETENTOR 45X72X8MM</v>
      </c>
      <c r="C20427" s="2" t="str">
        <f t="shared" si="812"/>
        <v>UN</v>
      </c>
      <c r="D20427" s="7">
        <v>918</v>
      </c>
      <c r="E20427" s="3">
        <v>11</v>
      </c>
      <c r="F20427" s="3">
        <v>11</v>
      </c>
      <c r="G20427" t="s">
        <v>514</v>
      </c>
    </row>
    <row r="20428" spans="1:7" x14ac:dyDescent="0.25">
      <c r="A20428" s="1" t="str">
        <f>"502666"</f>
        <v>502666</v>
      </c>
      <c r="B20428" s="2" t="str">
        <f>"RETENTOR 45X75X10MM"</f>
        <v>RETENTOR 45X75X10MM</v>
      </c>
      <c r="C20428" s="2" t="str">
        <f t="shared" si="812"/>
        <v>UN</v>
      </c>
      <c r="D20428" s="7">
        <v>402</v>
      </c>
      <c r="E20428" s="3">
        <v>4</v>
      </c>
      <c r="F20428" s="3">
        <v>4</v>
      </c>
      <c r="G20428" t="s">
        <v>512</v>
      </c>
    </row>
    <row r="20429" spans="1:7" x14ac:dyDescent="0.25">
      <c r="A20429" s="1" t="str">
        <f>"520087"</f>
        <v>520087</v>
      </c>
      <c r="B20429" s="2" t="str">
        <f>"RETENTOR 45X75X8MM"</f>
        <v>RETENTOR 45X75X8MM</v>
      </c>
      <c r="C20429" s="2" t="str">
        <f t="shared" si="812"/>
        <v>UN</v>
      </c>
      <c r="D20429" s="7">
        <v>918</v>
      </c>
      <c r="E20429" s="3">
        <v>11</v>
      </c>
      <c r="F20429" s="3">
        <v>11</v>
      </c>
      <c r="G20429" t="s">
        <v>513</v>
      </c>
    </row>
    <row r="20430" spans="1:7" x14ac:dyDescent="0.25">
      <c r="A20430" s="1" t="str">
        <f>"520085"</f>
        <v>520085</v>
      </c>
      <c r="B20430" s="2" t="str">
        <f>"RETENTOR 45X80X10MM"</f>
        <v>RETENTOR 45X80X10MM</v>
      </c>
      <c r="C20430" s="2" t="str">
        <f t="shared" si="812"/>
        <v>UN</v>
      </c>
      <c r="D20430" s="7">
        <v>918</v>
      </c>
      <c r="E20430" s="3">
        <v>11</v>
      </c>
      <c r="F20430" s="3">
        <v>11</v>
      </c>
      <c r="G20430" t="s">
        <v>514</v>
      </c>
    </row>
    <row r="20431" spans="1:7" x14ac:dyDescent="0.25">
      <c r="A20431" s="1" t="str">
        <f>"520080"</f>
        <v>520080</v>
      </c>
      <c r="B20431" s="2" t="str">
        <f>"RETENTOR 46X62X12MM"</f>
        <v>RETENTOR 46X62X12MM</v>
      </c>
      <c r="C20431" s="2" t="str">
        <f t="shared" si="812"/>
        <v>UN</v>
      </c>
      <c r="D20431" s="7">
        <v>918</v>
      </c>
      <c r="E20431" s="3">
        <v>11</v>
      </c>
      <c r="F20431" s="3">
        <v>11</v>
      </c>
      <c r="G20431" t="s">
        <v>514</v>
      </c>
    </row>
    <row r="20432" spans="1:7" x14ac:dyDescent="0.25">
      <c r="A20432" s="1" t="str">
        <f>"520072"</f>
        <v>520072</v>
      </c>
      <c r="B20432" s="2" t="str">
        <f>"RETENTOR 46X68X12MM"</f>
        <v>RETENTOR 46X68X12MM</v>
      </c>
      <c r="C20432" s="2" t="str">
        <f t="shared" si="812"/>
        <v>UN</v>
      </c>
      <c r="D20432" s="7">
        <v>918</v>
      </c>
      <c r="E20432" s="3">
        <v>11</v>
      </c>
      <c r="F20432" s="3">
        <v>11</v>
      </c>
      <c r="G20432" t="s">
        <v>512</v>
      </c>
    </row>
    <row r="20433" spans="1:7" x14ac:dyDescent="0.25">
      <c r="A20433" s="1" t="str">
        <f>"501154"</f>
        <v>501154</v>
      </c>
      <c r="B20433" s="2" t="str">
        <f>"RETENTOR 48X65X10MM"</f>
        <v>RETENTOR 48X65X10MM</v>
      </c>
      <c r="C20433" s="2" t="str">
        <f>"PC"</f>
        <v>PC</v>
      </c>
      <c r="D20433" s="7">
        <v>402</v>
      </c>
      <c r="E20433" s="3">
        <v>4</v>
      </c>
      <c r="F20433" s="3">
        <v>4</v>
      </c>
      <c r="G20433" t="s">
        <v>513</v>
      </c>
    </row>
    <row r="20434" spans="1:7" x14ac:dyDescent="0.25">
      <c r="A20434" s="1" t="str">
        <f>"520079"</f>
        <v>520079</v>
      </c>
      <c r="B20434" s="2" t="str">
        <f>"RETENTOR 48X65X8MM"</f>
        <v>RETENTOR 48X65X8MM</v>
      </c>
      <c r="C20434" s="2" t="str">
        <f t="shared" ref="C20434:C20440" si="813">"UN"</f>
        <v>UN</v>
      </c>
      <c r="D20434" s="7">
        <v>918</v>
      </c>
      <c r="E20434" s="3">
        <v>11</v>
      </c>
      <c r="F20434" s="3">
        <v>11</v>
      </c>
      <c r="G20434" t="s">
        <v>514</v>
      </c>
    </row>
    <row r="20435" spans="1:7" x14ac:dyDescent="0.25">
      <c r="A20435" s="1" t="str">
        <f>"512691"</f>
        <v>512691</v>
      </c>
      <c r="B20435" s="2" t="str">
        <f>"RETENTOR 48X72X10MM"</f>
        <v>RETENTOR 48X72X10MM</v>
      </c>
      <c r="C20435" s="2" t="str">
        <f t="shared" si="813"/>
        <v>UN</v>
      </c>
      <c r="D20435" s="7">
        <v>918</v>
      </c>
      <c r="E20435" s="3">
        <v>11</v>
      </c>
      <c r="F20435" s="3">
        <v>11</v>
      </c>
      <c r="G20435" t="s">
        <v>514</v>
      </c>
    </row>
    <row r="20436" spans="1:7" x14ac:dyDescent="0.25">
      <c r="A20436" s="1" t="str">
        <f>"516119"</f>
        <v>516119</v>
      </c>
      <c r="B20436" s="2" t="str">
        <f>"RETENTOR 48X78X10MM"</f>
        <v>RETENTOR 48X78X10MM</v>
      </c>
      <c r="C20436" s="2" t="str">
        <f t="shared" si="813"/>
        <v>UN</v>
      </c>
      <c r="D20436" s="7">
        <v>918</v>
      </c>
      <c r="E20436" s="3">
        <v>11</v>
      </c>
      <c r="F20436" s="3">
        <v>11</v>
      </c>
      <c r="G20436" t="s">
        <v>514</v>
      </c>
    </row>
    <row r="20437" spans="1:7" x14ac:dyDescent="0.25">
      <c r="A20437" s="1" t="str">
        <f>"512813"</f>
        <v>512813</v>
      </c>
      <c r="B20437" s="2" t="str">
        <f>"RETENTOR 48X90X10MM"</f>
        <v>RETENTOR 48X90X10MM</v>
      </c>
      <c r="C20437" s="2" t="str">
        <f t="shared" si="813"/>
        <v>UN</v>
      </c>
      <c r="D20437" s="7">
        <v>918</v>
      </c>
      <c r="E20437" s="3">
        <v>11</v>
      </c>
      <c r="F20437" s="3">
        <v>11</v>
      </c>
      <c r="G20437" t="s">
        <v>513</v>
      </c>
    </row>
    <row r="20438" spans="1:7" x14ac:dyDescent="0.25">
      <c r="A20438" s="1" t="str">
        <f>"527959"</f>
        <v>527959</v>
      </c>
      <c r="B20438" s="2" t="str">
        <f>"RETENTOR 50X100X10"</f>
        <v>RETENTOR 50X100X10</v>
      </c>
      <c r="C20438" s="2" t="str">
        <f t="shared" si="813"/>
        <v>UN</v>
      </c>
      <c r="D20438" s="7">
        <v>402</v>
      </c>
      <c r="E20438" s="3">
        <v>4</v>
      </c>
      <c r="F20438" s="3">
        <v>4</v>
      </c>
      <c r="G20438" t="s">
        <v>512</v>
      </c>
    </row>
    <row r="20439" spans="1:7" x14ac:dyDescent="0.25">
      <c r="A20439" s="1" t="str">
        <f>"502800"</f>
        <v>502800</v>
      </c>
      <c r="B20439" s="2" t="str">
        <f>"RETENTOR 50X65X08MM"</f>
        <v>RETENTOR 50X65X08MM</v>
      </c>
      <c r="C20439" s="2" t="str">
        <f t="shared" si="813"/>
        <v>UN</v>
      </c>
      <c r="D20439" s="7">
        <v>402</v>
      </c>
      <c r="E20439" s="3">
        <v>4</v>
      </c>
      <c r="F20439" s="3">
        <v>4</v>
      </c>
      <c r="G20439" t="s">
        <v>513</v>
      </c>
    </row>
    <row r="20440" spans="1:7" x14ac:dyDescent="0.25">
      <c r="A20440" s="1" t="str">
        <f>"520286"</f>
        <v>520286</v>
      </c>
      <c r="B20440" s="2" t="str">
        <f>"RETENTOR 50X65X8,5MM"</f>
        <v>RETENTOR 50X65X8,5MM</v>
      </c>
      <c r="C20440" s="2" t="str">
        <f t="shared" si="813"/>
        <v>UN</v>
      </c>
      <c r="D20440" s="7">
        <v>918</v>
      </c>
      <c r="E20440" s="3">
        <v>11</v>
      </c>
      <c r="F20440" s="3">
        <v>11</v>
      </c>
      <c r="G20440" t="s">
        <v>514</v>
      </c>
    </row>
    <row r="20441" spans="1:7" x14ac:dyDescent="0.25">
      <c r="A20441" s="1" t="str">
        <f>"501430"</f>
        <v>501430</v>
      </c>
      <c r="B20441" s="2" t="str">
        <f>"RETENTOR 50X70X10MM"</f>
        <v>RETENTOR 50X70X10MM</v>
      </c>
      <c r="C20441" s="2" t="str">
        <f>"PC"</f>
        <v>PC</v>
      </c>
      <c r="D20441" s="7">
        <v>402</v>
      </c>
      <c r="E20441" s="3">
        <v>4</v>
      </c>
      <c r="F20441" s="3">
        <v>4</v>
      </c>
      <c r="G20441" t="s">
        <v>514</v>
      </c>
    </row>
    <row r="20442" spans="1:7" x14ac:dyDescent="0.25">
      <c r="A20442" s="1" t="str">
        <f>"526443"</f>
        <v>526443</v>
      </c>
      <c r="B20442" s="2" t="str">
        <f>"RETENTOR 50X72X08"</f>
        <v>RETENTOR 50X72X08</v>
      </c>
      <c r="C20442" s="2" t="str">
        <f t="shared" ref="C20442:C20462" si="814">"UN"</f>
        <v>UN</v>
      </c>
      <c r="D20442" s="7">
        <v>918</v>
      </c>
      <c r="E20442" s="3">
        <v>11</v>
      </c>
      <c r="F20442" s="3">
        <v>11</v>
      </c>
      <c r="G20442" t="s">
        <v>514</v>
      </c>
    </row>
    <row r="20443" spans="1:7" x14ac:dyDescent="0.25">
      <c r="A20443" s="1" t="str">
        <f>"520063"</f>
        <v>520063</v>
      </c>
      <c r="B20443" s="2" t="str">
        <f>"RETENTOR 50X72X12MM"</f>
        <v>RETENTOR 50X72X12MM</v>
      </c>
      <c r="C20443" s="2" t="str">
        <f t="shared" si="814"/>
        <v>UN</v>
      </c>
      <c r="D20443" s="7">
        <v>918</v>
      </c>
      <c r="E20443" s="3">
        <v>11</v>
      </c>
      <c r="F20443" s="3">
        <v>11</v>
      </c>
      <c r="G20443" t="s">
        <v>513</v>
      </c>
    </row>
    <row r="20444" spans="1:7" x14ac:dyDescent="0.25">
      <c r="A20444" s="1" t="str">
        <f>"520031"</f>
        <v>520031</v>
      </c>
      <c r="B20444" s="2" t="str">
        <f>"RETENTOR 50X80X10MM"</f>
        <v>RETENTOR 50X80X10MM</v>
      </c>
      <c r="C20444" s="2" t="str">
        <f t="shared" si="814"/>
        <v>UN</v>
      </c>
      <c r="D20444" s="7">
        <v>918</v>
      </c>
      <c r="E20444" s="3">
        <v>11</v>
      </c>
      <c r="F20444" s="3">
        <v>11</v>
      </c>
      <c r="G20444" t="s">
        <v>513</v>
      </c>
    </row>
    <row r="20445" spans="1:7" x14ac:dyDescent="0.25">
      <c r="A20445" s="1" t="str">
        <f>"520078"</f>
        <v>520078</v>
      </c>
      <c r="B20445" s="2" t="str">
        <f>"RETENTOR 52X70X8MM"</f>
        <v>RETENTOR 52X70X8MM</v>
      </c>
      <c r="C20445" s="2" t="str">
        <f t="shared" si="814"/>
        <v>UN</v>
      </c>
      <c r="D20445" s="7">
        <v>918</v>
      </c>
      <c r="E20445" s="3">
        <v>11</v>
      </c>
      <c r="F20445" s="3">
        <v>11</v>
      </c>
      <c r="G20445" t="s">
        <v>513</v>
      </c>
    </row>
    <row r="20446" spans="1:7" x14ac:dyDescent="0.25">
      <c r="A20446" s="1" t="str">
        <f>"526945"</f>
        <v>526945</v>
      </c>
      <c r="B20446" s="2" t="str">
        <f>"RETENTOR 53X75X8"</f>
        <v>RETENTOR 53X75X8</v>
      </c>
      <c r="C20446" s="2" t="str">
        <f t="shared" si="814"/>
        <v>UN</v>
      </c>
      <c r="D20446" s="7">
        <v>906</v>
      </c>
      <c r="E20446" s="3">
        <v>11</v>
      </c>
      <c r="F20446" s="3">
        <v>11</v>
      </c>
      <c r="G20446" t="s">
        <v>512</v>
      </c>
    </row>
    <row r="20447" spans="1:7" x14ac:dyDescent="0.25">
      <c r="A20447" s="1" t="str">
        <f>"501066"</f>
        <v>501066</v>
      </c>
      <c r="B20447" s="2" t="str">
        <f>"RETENTOR 55 X 80 X 10MM SKF (VITON)"</f>
        <v>RETENTOR 55 X 80 X 10MM SKF (VITON)</v>
      </c>
      <c r="C20447" s="2" t="str">
        <f t="shared" si="814"/>
        <v>UN</v>
      </c>
      <c r="D20447" s="7">
        <v>402</v>
      </c>
      <c r="E20447" s="3">
        <v>4</v>
      </c>
      <c r="F20447" s="3">
        <v>4</v>
      </c>
      <c r="G20447" t="s">
        <v>513</v>
      </c>
    </row>
    <row r="20448" spans="1:7" x14ac:dyDescent="0.25">
      <c r="A20448" s="1" t="str">
        <f>"507030"</f>
        <v>507030</v>
      </c>
      <c r="B20448" s="2" t="str">
        <f>"RETENTOR 55X70X08MM - GEIGER"</f>
        <v>RETENTOR 55X70X08MM - GEIGER</v>
      </c>
      <c r="C20448" s="2" t="str">
        <f t="shared" si="814"/>
        <v>UN</v>
      </c>
      <c r="D20448" s="7">
        <v>812</v>
      </c>
      <c r="E20448" s="3">
        <v>11</v>
      </c>
      <c r="F20448" s="3">
        <v>11</v>
      </c>
      <c r="G20448" t="s">
        <v>514</v>
      </c>
    </row>
    <row r="20449" spans="1:7" x14ac:dyDescent="0.25">
      <c r="A20449" s="1" t="str">
        <f>"520062"</f>
        <v>520062</v>
      </c>
      <c r="B20449" s="2" t="str">
        <f>"RETENTOR 55X72X10MM"</f>
        <v>RETENTOR 55X72X10MM</v>
      </c>
      <c r="C20449" s="2" t="str">
        <f t="shared" si="814"/>
        <v>UN</v>
      </c>
      <c r="D20449" s="7">
        <v>918</v>
      </c>
      <c r="E20449" s="3">
        <v>11</v>
      </c>
      <c r="F20449" s="3">
        <v>11</v>
      </c>
      <c r="G20449" t="s">
        <v>515</v>
      </c>
    </row>
    <row r="20450" spans="1:7" x14ac:dyDescent="0.25">
      <c r="A20450" s="1" t="str">
        <f>"500912"</f>
        <v>500912</v>
      </c>
      <c r="B20450" s="2" t="str">
        <f>"RETENTOR 55X75X10MM"</f>
        <v>RETENTOR 55X75X10MM</v>
      </c>
      <c r="C20450" s="2" t="str">
        <f t="shared" si="814"/>
        <v>UN</v>
      </c>
      <c r="D20450" s="7">
        <v>905</v>
      </c>
      <c r="E20450" s="3">
        <v>11</v>
      </c>
      <c r="F20450" s="3">
        <v>11</v>
      </c>
      <c r="G20450" t="s">
        <v>512</v>
      </c>
    </row>
    <row r="20451" spans="1:7" x14ac:dyDescent="0.25">
      <c r="A20451" s="1" t="str">
        <f>"520045"</f>
        <v>520045</v>
      </c>
      <c r="B20451" s="2" t="str">
        <f>"RETENTOR 55X80X13MM"</f>
        <v>RETENTOR 55X80X13MM</v>
      </c>
      <c r="C20451" s="2" t="str">
        <f t="shared" si="814"/>
        <v>UN</v>
      </c>
      <c r="D20451" s="7">
        <v>918</v>
      </c>
      <c r="E20451" s="3">
        <v>11</v>
      </c>
      <c r="F20451" s="3">
        <v>11</v>
      </c>
      <c r="G20451" t="s">
        <v>516</v>
      </c>
    </row>
    <row r="20452" spans="1:7" x14ac:dyDescent="0.25">
      <c r="A20452" s="1" t="str">
        <f>"518112"</f>
        <v>518112</v>
      </c>
      <c r="B20452" s="2" t="str">
        <f>"RETENTOR 56X36X08MM"</f>
        <v>RETENTOR 56X36X08MM</v>
      </c>
      <c r="C20452" s="2" t="str">
        <f t="shared" si="814"/>
        <v>UN</v>
      </c>
      <c r="D20452" s="7">
        <v>918</v>
      </c>
      <c r="E20452" s="3">
        <v>11</v>
      </c>
      <c r="F20452" s="3">
        <v>11</v>
      </c>
      <c r="G20452" t="s">
        <v>515</v>
      </c>
    </row>
    <row r="20453" spans="1:7" x14ac:dyDescent="0.25">
      <c r="A20453" s="1" t="str">
        <f>"502643"</f>
        <v>502643</v>
      </c>
      <c r="B20453" s="2" t="str">
        <f>"RETENTOR 59X80X10MM REDUTOR T.03"</f>
        <v>RETENTOR 59X80X10MM REDUTOR T.03</v>
      </c>
      <c r="C20453" s="2" t="str">
        <f t="shared" si="814"/>
        <v>UN</v>
      </c>
      <c r="D20453" s="7">
        <v>918</v>
      </c>
      <c r="E20453" s="3">
        <v>11</v>
      </c>
      <c r="F20453" s="3">
        <v>11</v>
      </c>
      <c r="G20453" t="s">
        <v>514</v>
      </c>
    </row>
    <row r="20454" spans="1:7" x14ac:dyDescent="0.25">
      <c r="A20454" s="1" t="str">
        <f>"526461"</f>
        <v>526461</v>
      </c>
      <c r="B20454" s="2" t="str">
        <f>"RETENTOR 60X72X08MM"</f>
        <v>RETENTOR 60X72X08MM</v>
      </c>
      <c r="C20454" s="2" t="str">
        <f t="shared" si="814"/>
        <v>UN</v>
      </c>
      <c r="D20454" s="7">
        <v>402</v>
      </c>
      <c r="E20454" s="3">
        <v>4</v>
      </c>
      <c r="F20454" s="3">
        <v>4</v>
      </c>
      <c r="G20454" t="s">
        <v>512</v>
      </c>
    </row>
    <row r="20455" spans="1:7" x14ac:dyDescent="0.25">
      <c r="A20455" s="1" t="str">
        <f>"522864"</f>
        <v>522864</v>
      </c>
      <c r="B20455" s="2" t="str">
        <f>"RETENTOR 60X75X08MM"</f>
        <v>RETENTOR 60X75X08MM</v>
      </c>
      <c r="C20455" s="2" t="str">
        <f t="shared" si="814"/>
        <v>UN</v>
      </c>
      <c r="D20455" s="7">
        <v>402</v>
      </c>
      <c r="E20455" s="3">
        <v>4</v>
      </c>
      <c r="F20455" s="3">
        <v>4</v>
      </c>
      <c r="G20455" t="s">
        <v>513</v>
      </c>
    </row>
    <row r="20456" spans="1:7" x14ac:dyDescent="0.25">
      <c r="A20456" s="1" t="str">
        <f>"503342"</f>
        <v>503342</v>
      </c>
      <c r="B20456" s="2" t="str">
        <f>"RETENTOR 60X80X10MM"</f>
        <v>RETENTOR 60X80X10MM</v>
      </c>
      <c r="C20456" s="2" t="str">
        <f t="shared" si="814"/>
        <v>UN</v>
      </c>
      <c r="D20456" s="7">
        <v>402</v>
      </c>
      <c r="E20456" s="3">
        <v>4</v>
      </c>
      <c r="F20456" s="3">
        <v>4</v>
      </c>
      <c r="G20456" t="s">
        <v>514</v>
      </c>
    </row>
    <row r="20457" spans="1:7" x14ac:dyDescent="0.25">
      <c r="A20457" s="1" t="str">
        <f>"526393"</f>
        <v>526393</v>
      </c>
      <c r="B20457" s="2" t="str">
        <f>"RETENTOR 65X100X10MM"</f>
        <v>RETENTOR 65X100X10MM</v>
      </c>
      <c r="C20457" s="2" t="str">
        <f t="shared" si="814"/>
        <v>UN</v>
      </c>
      <c r="D20457" s="7">
        <v>918</v>
      </c>
      <c r="E20457" s="3">
        <v>11</v>
      </c>
      <c r="F20457" s="3">
        <v>11</v>
      </c>
      <c r="G20457" t="s">
        <v>514</v>
      </c>
    </row>
    <row r="20458" spans="1:7" x14ac:dyDescent="0.25">
      <c r="A20458" s="1" t="str">
        <f>"520064"</f>
        <v>520064</v>
      </c>
      <c r="B20458" s="2" t="str">
        <f>"RETENTOR 65X80X8MM"</f>
        <v>RETENTOR 65X80X8MM</v>
      </c>
      <c r="C20458" s="2" t="str">
        <f t="shared" si="814"/>
        <v>UN</v>
      </c>
      <c r="D20458" s="7">
        <v>918</v>
      </c>
      <c r="E20458" s="3">
        <v>11</v>
      </c>
      <c r="F20458" s="3">
        <v>11</v>
      </c>
      <c r="G20458" t="s">
        <v>512</v>
      </c>
    </row>
    <row r="20459" spans="1:7" x14ac:dyDescent="0.25">
      <c r="A20459" s="1" t="str">
        <f>"526392"</f>
        <v>526392</v>
      </c>
      <c r="B20459" s="2" t="str">
        <f>"RETENTOR 65X85X10MM"</f>
        <v>RETENTOR 65X85X10MM</v>
      </c>
      <c r="C20459" s="2" t="str">
        <f t="shared" si="814"/>
        <v>UN</v>
      </c>
      <c r="D20459" s="7">
        <v>918</v>
      </c>
      <c r="E20459" s="3">
        <v>11</v>
      </c>
      <c r="F20459" s="3">
        <v>11</v>
      </c>
      <c r="G20459" t="s">
        <v>513</v>
      </c>
    </row>
    <row r="20460" spans="1:7" x14ac:dyDescent="0.25">
      <c r="A20460" s="1" t="str">
        <f>"521320"</f>
        <v>521320</v>
      </c>
      <c r="B20460" s="2" t="str">
        <f>"RETENTOR 70 X 110 X 8 MM"</f>
        <v>RETENTOR 70 X 110 X 8 MM</v>
      </c>
      <c r="C20460" s="2" t="str">
        <f t="shared" si="814"/>
        <v>UN</v>
      </c>
      <c r="D20460" s="7">
        <v>918</v>
      </c>
      <c r="E20460" s="3">
        <v>11</v>
      </c>
      <c r="F20460" s="3">
        <v>11</v>
      </c>
      <c r="G20460" t="s">
        <v>514</v>
      </c>
    </row>
    <row r="20461" spans="1:7" x14ac:dyDescent="0.25">
      <c r="A20461" s="1" t="str">
        <f>"521319"</f>
        <v>521319</v>
      </c>
      <c r="B20461" s="2" t="str">
        <f>"RETENTOR 70 X 90 X 10 MM"</f>
        <v>RETENTOR 70 X 90 X 10 MM</v>
      </c>
      <c r="C20461" s="2" t="str">
        <f t="shared" si="814"/>
        <v>UN</v>
      </c>
      <c r="D20461" s="7">
        <v>918</v>
      </c>
      <c r="E20461" s="3">
        <v>11</v>
      </c>
      <c r="F20461" s="3">
        <v>11</v>
      </c>
      <c r="G20461" t="s">
        <v>514</v>
      </c>
    </row>
    <row r="20462" spans="1:7" x14ac:dyDescent="0.25">
      <c r="A20462" s="1" t="str">
        <f>"520043"</f>
        <v>520043</v>
      </c>
      <c r="B20462" s="2" t="str">
        <f>"RETENTOR 70X85X8MM"</f>
        <v>RETENTOR 70X85X8MM</v>
      </c>
      <c r="C20462" s="2" t="str">
        <f t="shared" si="814"/>
        <v>UN</v>
      </c>
      <c r="D20462" s="7">
        <v>918</v>
      </c>
      <c r="E20462" s="3">
        <v>11</v>
      </c>
      <c r="F20462" s="3">
        <v>11</v>
      </c>
      <c r="G20462" t="s">
        <v>514</v>
      </c>
    </row>
    <row r="20463" spans="1:7" x14ac:dyDescent="0.25">
      <c r="A20463" s="1" t="str">
        <f>"520475"</f>
        <v>520475</v>
      </c>
      <c r="B20463" s="2" t="str">
        <f>"RETENTOR 70X90X10MM"</f>
        <v>RETENTOR 70X90X10MM</v>
      </c>
      <c r="C20463" s="2" t="str">
        <f>"PC"</f>
        <v>PC</v>
      </c>
      <c r="D20463" s="7">
        <v>402</v>
      </c>
      <c r="E20463" s="3">
        <v>4</v>
      </c>
      <c r="F20463" s="3">
        <v>4</v>
      </c>
      <c r="G20463" t="s">
        <v>513</v>
      </c>
    </row>
    <row r="20464" spans="1:7" x14ac:dyDescent="0.25">
      <c r="A20464" s="1" t="str">
        <f>"527033"</f>
        <v>527033</v>
      </c>
      <c r="B20464" s="2" t="str">
        <f>"RETENTOR 70X95X10MM"</f>
        <v>RETENTOR 70X95X10MM</v>
      </c>
      <c r="C20464" s="2" t="str">
        <f>"PC"</f>
        <v>PC</v>
      </c>
      <c r="D20464" s="7">
        <v>402</v>
      </c>
      <c r="E20464" s="3">
        <v>4</v>
      </c>
      <c r="F20464" s="3">
        <v>4</v>
      </c>
      <c r="G20464" t="s">
        <v>512</v>
      </c>
    </row>
    <row r="20465" spans="1:7" x14ac:dyDescent="0.25">
      <c r="A20465" s="1" t="str">
        <f>"525409"</f>
        <v>525409</v>
      </c>
      <c r="B20465" s="2" t="str">
        <f>"RETENTOR 72X95X10MM"</f>
        <v>RETENTOR 72X95X10MM</v>
      </c>
      <c r="C20465" s="2" t="str">
        <f t="shared" ref="C20465:C20473" si="815">"UN"</f>
        <v>UN</v>
      </c>
      <c r="D20465" s="7">
        <v>918</v>
      </c>
      <c r="E20465" s="3">
        <v>11</v>
      </c>
      <c r="F20465" s="3">
        <v>11</v>
      </c>
      <c r="G20465" t="s">
        <v>513</v>
      </c>
    </row>
    <row r="20466" spans="1:7" x14ac:dyDescent="0.25">
      <c r="A20466" s="1" t="str">
        <f>"526802"</f>
        <v>526802</v>
      </c>
      <c r="B20466" s="2" t="str">
        <f>"RETENTOR 75x100x10"</f>
        <v>RETENTOR 75x100x10</v>
      </c>
      <c r="C20466" s="2" t="str">
        <f t="shared" si="815"/>
        <v>UN</v>
      </c>
      <c r="D20466" s="7">
        <v>402</v>
      </c>
      <c r="E20466" s="3">
        <v>4</v>
      </c>
      <c r="F20466" s="3">
        <v>4</v>
      </c>
      <c r="G20466" t="s">
        <v>514</v>
      </c>
    </row>
    <row r="20467" spans="1:7" x14ac:dyDescent="0.25">
      <c r="A20467" s="1" t="str">
        <f>"527942"</f>
        <v>527942</v>
      </c>
      <c r="B20467" s="2" t="str">
        <f>"RETENTOR 75x105x13"</f>
        <v>RETENTOR 75x105x13</v>
      </c>
      <c r="C20467" s="2" t="str">
        <f t="shared" si="815"/>
        <v>UN</v>
      </c>
      <c r="D20467" s="7">
        <v>402</v>
      </c>
      <c r="E20467" s="3">
        <v>4</v>
      </c>
      <c r="F20467" s="3">
        <v>4</v>
      </c>
      <c r="G20467" t="s">
        <v>514</v>
      </c>
    </row>
    <row r="20468" spans="1:7" x14ac:dyDescent="0.25">
      <c r="A20468" s="1" t="str">
        <f>"502828"</f>
        <v>502828</v>
      </c>
      <c r="B20468" s="2" t="str">
        <f>"RETENTOR 80X95X12MM REDUTOR SOPRO BSP-2"</f>
        <v>RETENTOR 80X95X12MM REDUTOR SOPRO BSP-2</v>
      </c>
      <c r="C20468" s="2" t="str">
        <f t="shared" si="815"/>
        <v>UN</v>
      </c>
      <c r="D20468" s="7">
        <v>918</v>
      </c>
      <c r="E20468" s="3">
        <v>11</v>
      </c>
      <c r="F20468" s="3">
        <v>11</v>
      </c>
      <c r="G20468" t="s">
        <v>514</v>
      </c>
    </row>
    <row r="20469" spans="1:7" x14ac:dyDescent="0.25">
      <c r="A20469" s="1" t="str">
        <f>"521482"</f>
        <v>521482</v>
      </c>
      <c r="B20469" s="2" t="str">
        <f>"RETENTOR 85X110X12"</f>
        <v>RETENTOR 85X110X12</v>
      </c>
      <c r="C20469" s="2" t="str">
        <f t="shared" si="815"/>
        <v>UN</v>
      </c>
      <c r="D20469" s="7">
        <v>905</v>
      </c>
      <c r="E20469" s="3">
        <v>11</v>
      </c>
      <c r="F20469" s="3">
        <v>11</v>
      </c>
      <c r="G20469" t="s">
        <v>513</v>
      </c>
    </row>
    <row r="20470" spans="1:7" x14ac:dyDescent="0.25">
      <c r="A20470" s="1" t="str">
        <f>"520067"</f>
        <v>520067</v>
      </c>
      <c r="B20470" s="2" t="str">
        <f>"RETENTOR 85X130X12MM"</f>
        <v>RETENTOR 85X130X12MM</v>
      </c>
      <c r="C20470" s="2" t="str">
        <f t="shared" si="815"/>
        <v>UN</v>
      </c>
      <c r="D20470" s="7">
        <v>918</v>
      </c>
      <c r="E20470" s="3">
        <v>11</v>
      </c>
      <c r="F20470" s="3">
        <v>11</v>
      </c>
      <c r="G20470" t="s">
        <v>513</v>
      </c>
    </row>
    <row r="20471" spans="1:7" x14ac:dyDescent="0.25">
      <c r="A20471" s="1" t="str">
        <f>"521481"</f>
        <v>521481</v>
      </c>
      <c r="B20471" s="2" t="str">
        <f>"RETENTOR 85X140X12"</f>
        <v>RETENTOR 85X140X12</v>
      </c>
      <c r="C20471" s="2" t="str">
        <f t="shared" si="815"/>
        <v>UN</v>
      </c>
      <c r="D20471" s="7">
        <v>905</v>
      </c>
      <c r="E20471" s="3">
        <v>11</v>
      </c>
      <c r="F20471" s="3">
        <v>11</v>
      </c>
      <c r="G20471" t="s">
        <v>513</v>
      </c>
    </row>
    <row r="20472" spans="1:7" x14ac:dyDescent="0.25">
      <c r="A20472" s="1" t="str">
        <f>"520035"</f>
        <v>520035</v>
      </c>
      <c r="B20472" s="2" t="str">
        <f>"RETENTOR 90X110X12MM"</f>
        <v>RETENTOR 90X110X12MM</v>
      </c>
      <c r="C20472" s="2" t="str">
        <f t="shared" si="815"/>
        <v>UN</v>
      </c>
      <c r="D20472" s="7">
        <v>918</v>
      </c>
      <c r="E20472" s="3">
        <v>11</v>
      </c>
      <c r="F20472" s="3">
        <v>11</v>
      </c>
      <c r="G20472" t="s">
        <v>512</v>
      </c>
    </row>
    <row r="20473" spans="1:7" x14ac:dyDescent="0.25">
      <c r="A20473" s="1" t="str">
        <f>"502490"</f>
        <v>502490</v>
      </c>
      <c r="B20473" s="2" t="str">
        <f>"RETENTOR 90X120X13MM"</f>
        <v>RETENTOR 90X120X13MM</v>
      </c>
      <c r="C20473" s="2" t="str">
        <f t="shared" si="815"/>
        <v>UN</v>
      </c>
      <c r="D20473" s="7">
        <v>402</v>
      </c>
      <c r="E20473" s="3">
        <v>4</v>
      </c>
      <c r="F20473" s="3">
        <v>4</v>
      </c>
      <c r="G20473" t="s">
        <v>513</v>
      </c>
    </row>
    <row r="20474" spans="1:7" x14ac:dyDescent="0.25">
      <c r="A20474" s="1" t="str">
        <f>"527787"</f>
        <v>527787</v>
      </c>
      <c r="B20474" s="2" t="str">
        <f>"RETENTOR 95 X 130 X 13MM"</f>
        <v>RETENTOR 95 X 130 X 13MM</v>
      </c>
      <c r="C20474" s="2" t="str">
        <f>"PC"</f>
        <v>PC</v>
      </c>
      <c r="D20474" s="7">
        <v>402</v>
      </c>
      <c r="E20474" s="3">
        <v>4</v>
      </c>
      <c r="F20474" s="3">
        <v>4</v>
      </c>
      <c r="G20474" t="s">
        <v>514</v>
      </c>
    </row>
    <row r="20475" spans="1:7" x14ac:dyDescent="0.25">
      <c r="A20475" s="1" t="str">
        <f>"520476"</f>
        <v>520476</v>
      </c>
      <c r="B20475" s="2" t="str">
        <f>"RETENTOR 95X130X12MM"</f>
        <v>RETENTOR 95X130X12MM</v>
      </c>
      <c r="C20475" s="2" t="str">
        <f>"PC"</f>
        <v>PC</v>
      </c>
      <c r="D20475" s="7">
        <v>402</v>
      </c>
      <c r="E20475" s="3">
        <v>4</v>
      </c>
      <c r="F20475" s="3">
        <v>4</v>
      </c>
      <c r="G20475" t="s">
        <v>515</v>
      </c>
    </row>
    <row r="20476" spans="1:7" x14ac:dyDescent="0.25">
      <c r="A20476" s="1" t="str">
        <f>"516938"</f>
        <v>516938</v>
      </c>
      <c r="B20476" s="2" t="str">
        <f>"RETENTOR AÇO 1616551700"</f>
        <v>RETENTOR AÇO 1616551700</v>
      </c>
      <c r="C20476" s="2" t="str">
        <f t="shared" ref="C20476:C20513" si="816">"UN"</f>
        <v>UN</v>
      </c>
      <c r="D20476" s="7">
        <v>909</v>
      </c>
      <c r="E20476" s="3">
        <v>11</v>
      </c>
      <c r="F20476" s="3">
        <v>11</v>
      </c>
      <c r="G20476" t="s">
        <v>512</v>
      </c>
    </row>
    <row r="20477" spans="1:7" x14ac:dyDescent="0.25">
      <c r="A20477" s="1" t="str">
        <f>"526498"</f>
        <v>526498</v>
      </c>
      <c r="B20477" s="2" t="str">
        <f>"RETENTOR APF-9037"</f>
        <v>RETENTOR APF-9037</v>
      </c>
      <c r="C20477" s="2" t="str">
        <f t="shared" si="816"/>
        <v>UN</v>
      </c>
      <c r="D20477" s="7">
        <v>918</v>
      </c>
      <c r="E20477" s="3">
        <v>11</v>
      </c>
      <c r="F20477" s="3">
        <v>11</v>
      </c>
      <c r="G20477" t="s">
        <v>516</v>
      </c>
    </row>
    <row r="20478" spans="1:7" x14ac:dyDescent="0.25">
      <c r="A20478" s="1" t="str">
        <f>"504577"</f>
        <v>504577</v>
      </c>
      <c r="B20478" s="2" t="str">
        <f>"RETENTOR CAMBIO TRATOR 02084"</f>
        <v>RETENTOR CAMBIO TRATOR 02084</v>
      </c>
      <c r="C20478" s="2" t="str">
        <f t="shared" si="816"/>
        <v>UN</v>
      </c>
      <c r="D20478" s="7">
        <v>704</v>
      </c>
      <c r="E20478" s="3">
        <v>9</v>
      </c>
      <c r="F20478" s="3">
        <v>9</v>
      </c>
      <c r="G20478" t="s">
        <v>515</v>
      </c>
    </row>
    <row r="20479" spans="1:7" x14ac:dyDescent="0.25">
      <c r="A20479" s="1" t="str">
        <f>"504578"</f>
        <v>504578</v>
      </c>
      <c r="B20479" s="2" t="str">
        <f>"RETENTOR CAMBIO TRATOR 05189"</f>
        <v>RETENTOR CAMBIO TRATOR 05189</v>
      </c>
      <c r="C20479" s="2" t="str">
        <f t="shared" si="816"/>
        <v>UN</v>
      </c>
      <c r="D20479" s="7">
        <v>704</v>
      </c>
      <c r="E20479" s="3">
        <v>9</v>
      </c>
      <c r="F20479" s="3">
        <v>9</v>
      </c>
      <c r="G20479" t="s">
        <v>514</v>
      </c>
    </row>
    <row r="20480" spans="1:7" x14ac:dyDescent="0.25">
      <c r="A20480" s="1" t="str">
        <f>"505056"</f>
        <v>505056</v>
      </c>
      <c r="B20480" s="2" t="str">
        <f>"RETENTOR COD.384525-3"</f>
        <v>RETENTOR COD.384525-3</v>
      </c>
      <c r="C20480" s="2" t="str">
        <f t="shared" si="816"/>
        <v>UN</v>
      </c>
      <c r="D20480" s="7">
        <v>918</v>
      </c>
      <c r="E20480" s="3">
        <v>11</v>
      </c>
      <c r="F20480" s="3">
        <v>11</v>
      </c>
      <c r="G20480" t="s">
        <v>512</v>
      </c>
    </row>
    <row r="20481" spans="1:7" x14ac:dyDescent="0.25">
      <c r="A20481" s="1" t="str">
        <f>"501008"</f>
        <v>501008</v>
      </c>
      <c r="B20481" s="2" t="str">
        <f>"RETENTOR COD.390985-03 MAQ COPO"</f>
        <v>RETENTOR COD.390985-03 MAQ COPO</v>
      </c>
      <c r="C20481" s="2" t="str">
        <f t="shared" si="816"/>
        <v>UN</v>
      </c>
      <c r="D20481" s="7">
        <v>918</v>
      </c>
      <c r="E20481" s="3">
        <v>11</v>
      </c>
      <c r="F20481" s="3">
        <v>11</v>
      </c>
      <c r="G20481" t="s">
        <v>513</v>
      </c>
    </row>
    <row r="20482" spans="1:7" x14ac:dyDescent="0.25">
      <c r="A20482" s="1" t="str">
        <f>"502591"</f>
        <v>502591</v>
      </c>
      <c r="B20482" s="2" t="str">
        <f>"RETENTOR COD.8500005 BYG L2000"</f>
        <v>RETENTOR COD.8500005 BYG L2000</v>
      </c>
      <c r="C20482" s="2" t="str">
        <f t="shared" si="816"/>
        <v>UN</v>
      </c>
      <c r="D20482" s="7">
        <v>918</v>
      </c>
      <c r="E20482" s="3">
        <v>11</v>
      </c>
      <c r="F20482" s="3">
        <v>11</v>
      </c>
      <c r="G20482" t="s">
        <v>514</v>
      </c>
    </row>
    <row r="20483" spans="1:7" x14ac:dyDescent="0.25">
      <c r="A20483" s="1" t="str">
        <f>"504810"</f>
        <v>504810</v>
      </c>
      <c r="B20483" s="2" t="str">
        <f>"RETENTOR CUBO DIAN.CARGO 16220 T16407641"</f>
        <v>RETENTOR CUBO DIAN.CARGO 16220 T16407641</v>
      </c>
      <c r="C20483" s="2" t="str">
        <f t="shared" si="816"/>
        <v>UN</v>
      </c>
      <c r="D20483" s="7">
        <v>704</v>
      </c>
      <c r="E20483" s="3">
        <v>9</v>
      </c>
      <c r="F20483" s="3">
        <v>9</v>
      </c>
      <c r="G20483" t="s">
        <v>514</v>
      </c>
    </row>
    <row r="20484" spans="1:7" x14ac:dyDescent="0.25">
      <c r="A20484" s="1" t="str">
        <f>"504809"</f>
        <v>504809</v>
      </c>
      <c r="B20484" s="2" t="str">
        <f>"RETENTOR CUBO TRAS.CARGO 16220 2RH501507"</f>
        <v>RETENTOR CUBO TRAS.CARGO 16220 2RH501507</v>
      </c>
      <c r="C20484" s="2" t="str">
        <f t="shared" si="816"/>
        <v>UN</v>
      </c>
      <c r="D20484" s="7">
        <v>704</v>
      </c>
      <c r="E20484" s="3">
        <v>9</v>
      </c>
      <c r="F20484" s="3">
        <v>9</v>
      </c>
      <c r="G20484" t="s">
        <v>512</v>
      </c>
    </row>
    <row r="20485" spans="1:7" x14ac:dyDescent="0.25">
      <c r="A20485" s="1" t="str">
        <f>"501744"</f>
        <v>501744</v>
      </c>
      <c r="B20485" s="2" t="str">
        <f>"RETENTOR DA BOMBA INJETORA"</f>
        <v>RETENTOR DA BOMBA INJETORA</v>
      </c>
      <c r="C20485" s="2" t="str">
        <f t="shared" si="816"/>
        <v>UN</v>
      </c>
      <c r="D20485" s="7">
        <v>402</v>
      </c>
      <c r="E20485" s="3">
        <v>4</v>
      </c>
      <c r="F20485" s="3">
        <v>4</v>
      </c>
      <c r="G20485" t="s">
        <v>513</v>
      </c>
    </row>
    <row r="20486" spans="1:7" x14ac:dyDescent="0.25">
      <c r="A20486" s="1" t="str">
        <f>"505010"</f>
        <v>505010</v>
      </c>
      <c r="B20486" s="2" t="str">
        <f>"RETENTOR DA EMPILHADEIRA MIST. COD.370"</f>
        <v>RETENTOR DA EMPILHADEIRA MIST. COD.370</v>
      </c>
      <c r="C20486" s="2" t="str">
        <f t="shared" si="816"/>
        <v>UN</v>
      </c>
      <c r="D20486" s="7">
        <v>918</v>
      </c>
      <c r="E20486" s="3">
        <v>11</v>
      </c>
      <c r="F20486" s="3">
        <v>11</v>
      </c>
      <c r="G20486" t="s">
        <v>514</v>
      </c>
    </row>
    <row r="20487" spans="1:7" x14ac:dyDescent="0.25">
      <c r="A20487" s="1" t="str">
        <f>"518843"</f>
        <v>518843</v>
      </c>
      <c r="B20487" s="2" t="str">
        <f>"RETENTOR DE AÇO GA90 1616551700"</f>
        <v>RETENTOR DE AÇO GA90 1616551700</v>
      </c>
      <c r="C20487" s="2" t="str">
        <f t="shared" si="816"/>
        <v>UN</v>
      </c>
      <c r="D20487" s="7">
        <v>918</v>
      </c>
      <c r="E20487" s="3">
        <v>11</v>
      </c>
      <c r="F20487" s="3">
        <v>11</v>
      </c>
      <c r="G20487" t="s">
        <v>514</v>
      </c>
    </row>
    <row r="20488" spans="1:7" x14ac:dyDescent="0.25">
      <c r="A20488" s="1" t="str">
        <f>"511318"</f>
        <v>511318</v>
      </c>
      <c r="B20488" s="2" t="str">
        <f>"RETENTOR DIFERENCIAL 216-4457"</f>
        <v>RETENTOR DIFERENCIAL 216-4457</v>
      </c>
      <c r="C20488" s="2" t="str">
        <f t="shared" si="816"/>
        <v>UN</v>
      </c>
      <c r="D20488" s="7">
        <v>704</v>
      </c>
      <c r="E20488" s="3">
        <v>9</v>
      </c>
      <c r="F20488" s="3">
        <v>9</v>
      </c>
      <c r="G20488" t="s">
        <v>514</v>
      </c>
    </row>
    <row r="20489" spans="1:7" x14ac:dyDescent="0.25">
      <c r="A20489" s="1" t="str">
        <f>"513942"</f>
        <v>513942</v>
      </c>
      <c r="B20489" s="2" t="str">
        <f>"RETENTOR DO CARDAN DA TRANSMISSÃO"</f>
        <v>RETENTOR DO CARDAN DA TRANSMISSÃO</v>
      </c>
      <c r="C20489" s="2" t="str">
        <f t="shared" si="816"/>
        <v>UN</v>
      </c>
      <c r="D20489" s="7">
        <v>99999</v>
      </c>
      <c r="E20489" s="3">
        <v>99</v>
      </c>
      <c r="F20489" s="3">
        <v>99</v>
      </c>
      <c r="G20489" t="s">
        <v>513</v>
      </c>
    </row>
    <row r="20490" spans="1:7" x14ac:dyDescent="0.25">
      <c r="A20490" s="1" t="str">
        <f>"511606"</f>
        <v>511606</v>
      </c>
      <c r="B20490" s="2" t="str">
        <f>"RETENTOR DO CARDAN DO DIFERENCIAL"</f>
        <v>RETENTOR DO CARDAN DO DIFERENCIAL</v>
      </c>
      <c r="C20490" s="2" t="str">
        <f t="shared" si="816"/>
        <v>UN</v>
      </c>
      <c r="D20490" s="7">
        <v>704</v>
      </c>
      <c r="E20490" s="3">
        <v>9</v>
      </c>
      <c r="F20490" s="3">
        <v>9</v>
      </c>
      <c r="G20490" t="s">
        <v>512</v>
      </c>
    </row>
    <row r="20491" spans="1:7" x14ac:dyDescent="0.25">
      <c r="A20491" s="1" t="str">
        <f>"502060"</f>
        <v>502060</v>
      </c>
      <c r="B20491" s="2" t="str">
        <f>"RETENTOR DO CUBO DA TRACAO DA INVECO"</f>
        <v>RETENTOR DO CUBO DA TRACAO DA INVECO</v>
      </c>
      <c r="C20491" s="2" t="str">
        <f t="shared" si="816"/>
        <v>UN</v>
      </c>
      <c r="D20491" s="7">
        <v>704</v>
      </c>
      <c r="E20491" s="3">
        <v>9</v>
      </c>
      <c r="F20491" s="3">
        <v>9</v>
      </c>
      <c r="G20491" t="s">
        <v>513</v>
      </c>
    </row>
    <row r="20492" spans="1:7" x14ac:dyDescent="0.25">
      <c r="A20492" s="1" t="str">
        <f>"501991"</f>
        <v>501991</v>
      </c>
      <c r="B20492" s="2" t="str">
        <f>"RETENTOR DO CUBO TRAS. 18-130 (2713)"</f>
        <v>RETENTOR DO CUBO TRAS. 18-130 (2713)</v>
      </c>
      <c r="C20492" s="2" t="str">
        <f t="shared" si="816"/>
        <v>UN</v>
      </c>
      <c r="D20492" s="7">
        <v>704</v>
      </c>
      <c r="E20492" s="3">
        <v>9</v>
      </c>
      <c r="F20492" s="3">
        <v>9</v>
      </c>
      <c r="G20492" t="s">
        <v>514</v>
      </c>
    </row>
    <row r="20493" spans="1:7" x14ac:dyDescent="0.25">
      <c r="A20493" s="1" t="str">
        <f>"522890"</f>
        <v>522890</v>
      </c>
      <c r="B20493" s="2" t="str">
        <f>"RETENTOR EIXO TRASEIRO"</f>
        <v>RETENTOR EIXO TRASEIRO</v>
      </c>
      <c r="C20493" s="2" t="str">
        <f t="shared" si="816"/>
        <v>UN</v>
      </c>
      <c r="D20493" s="7">
        <v>918</v>
      </c>
      <c r="E20493" s="3">
        <v>10</v>
      </c>
      <c r="F20493" s="3">
        <v>10</v>
      </c>
      <c r="G20493" t="s">
        <v>514</v>
      </c>
    </row>
    <row r="20494" spans="1:7" x14ac:dyDescent="0.25">
      <c r="A20494" s="1" t="str">
        <f>"504242"</f>
        <v>504242</v>
      </c>
      <c r="B20494" s="2" t="str">
        <f>"RETENTOR HASTE CENTRAL 65136-14190-60"</f>
        <v>RETENTOR HASTE CENTRAL 65136-14190-60</v>
      </c>
      <c r="C20494" s="2" t="str">
        <f t="shared" si="816"/>
        <v>UN</v>
      </c>
      <c r="D20494" s="7">
        <v>918</v>
      </c>
      <c r="E20494" s="3">
        <v>11</v>
      </c>
      <c r="F20494" s="3">
        <v>11</v>
      </c>
      <c r="G20494" t="s">
        <v>514</v>
      </c>
    </row>
    <row r="20495" spans="1:7" x14ac:dyDescent="0.25">
      <c r="A20495" s="1" t="str">
        <f>"509298"</f>
        <v>509298</v>
      </c>
      <c r="B20495" s="2" t="str">
        <f>"RETENTOR L3.0 COD.009620160"</f>
        <v>RETENTOR L3.0 COD.009620160</v>
      </c>
      <c r="C20495" s="2" t="str">
        <f t="shared" si="816"/>
        <v>UN</v>
      </c>
      <c r="D20495" s="7">
        <v>918</v>
      </c>
      <c r="E20495" s="3">
        <v>11</v>
      </c>
      <c r="F20495" s="3">
        <v>11</v>
      </c>
      <c r="G20495" t="s">
        <v>513</v>
      </c>
    </row>
    <row r="20496" spans="1:7" x14ac:dyDescent="0.25">
      <c r="A20496" s="1" t="str">
        <f>"509297"</f>
        <v>509297</v>
      </c>
      <c r="B20496" s="2" t="str">
        <f>"RETENTOR L3000 COD.009620098"</f>
        <v>RETENTOR L3000 COD.009620098</v>
      </c>
      <c r="C20496" s="2" t="str">
        <f t="shared" si="816"/>
        <v>UN</v>
      </c>
      <c r="D20496" s="7">
        <v>918</v>
      </c>
      <c r="E20496" s="3">
        <v>11</v>
      </c>
      <c r="F20496" s="3">
        <v>11</v>
      </c>
      <c r="G20496" t="s">
        <v>513</v>
      </c>
    </row>
    <row r="20497" spans="1:7" x14ac:dyDescent="0.25">
      <c r="A20497" s="1" t="str">
        <f>"501932"</f>
        <v>501932</v>
      </c>
      <c r="B20497" s="2" t="str">
        <f>"RETENTOR MANCAL TRASEIRO"</f>
        <v>RETENTOR MANCAL TRASEIRO</v>
      </c>
      <c r="C20497" s="2" t="str">
        <f t="shared" si="816"/>
        <v>UN</v>
      </c>
      <c r="D20497" s="7">
        <v>704</v>
      </c>
      <c r="E20497" s="3">
        <v>9</v>
      </c>
      <c r="F20497" s="3">
        <v>9</v>
      </c>
      <c r="G20497" t="s">
        <v>513</v>
      </c>
    </row>
    <row r="20498" spans="1:7" x14ac:dyDescent="0.25">
      <c r="A20498" s="1" t="str">
        <f>"503606"</f>
        <v>503606</v>
      </c>
      <c r="B20498" s="2" t="str">
        <f>"RETENTOR MOD.R5 COD.26151 VITON(VEDABRAS"</f>
        <v>RETENTOR MOD.R5 COD.26151 VITON(VEDABRAS</v>
      </c>
      <c r="C20498" s="2" t="str">
        <f t="shared" si="816"/>
        <v>UN</v>
      </c>
      <c r="D20498" s="7">
        <v>402</v>
      </c>
      <c r="E20498" s="3">
        <v>4</v>
      </c>
      <c r="F20498" s="3">
        <v>4</v>
      </c>
      <c r="G20498" t="s">
        <v>512</v>
      </c>
    </row>
    <row r="20499" spans="1:7" x14ac:dyDescent="0.25">
      <c r="A20499" s="1" t="str">
        <f>"3487"</f>
        <v>3487</v>
      </c>
      <c r="B20499" s="2" t="str">
        <f>"RETENTOR P/ RESP. SERIE 6000 501 FILTRO 5N11 H0001381021 3M"</f>
        <v>RETENTOR P/ RESP. SERIE 6000 501 FILTRO 5N11 H0001381021 3M</v>
      </c>
      <c r="C20499" s="2" t="str">
        <f t="shared" si="816"/>
        <v>UN</v>
      </c>
      <c r="D20499" s="7">
        <v>501</v>
      </c>
      <c r="E20499" s="3">
        <v>5</v>
      </c>
      <c r="F20499" s="3">
        <v>5</v>
      </c>
      <c r="G20499" t="s">
        <v>513</v>
      </c>
    </row>
    <row r="20500" spans="1:7" x14ac:dyDescent="0.25">
      <c r="A20500" s="1" t="str">
        <f>"510406"</f>
        <v>510406</v>
      </c>
      <c r="B20500" s="2" t="str">
        <f>"RETENTOR PARA MANCAL DA BOMBA SANITARIA"</f>
        <v>RETENTOR PARA MANCAL DA BOMBA SANITARIA</v>
      </c>
      <c r="C20500" s="2" t="str">
        <f t="shared" si="816"/>
        <v>UN</v>
      </c>
      <c r="D20500" s="7">
        <v>918</v>
      </c>
      <c r="E20500" s="3">
        <v>11</v>
      </c>
      <c r="F20500" s="3">
        <v>11</v>
      </c>
      <c r="G20500" t="s">
        <v>514</v>
      </c>
    </row>
    <row r="20501" spans="1:7" x14ac:dyDescent="0.25">
      <c r="A20501" s="1" t="str">
        <f>"505847"</f>
        <v>505847</v>
      </c>
      <c r="B20501" s="2" t="str">
        <f>"RETENTOR PINHAO Nº 02687-BRGEP"</f>
        <v>RETENTOR PINHAO Nº 02687-BRGEP</v>
      </c>
      <c r="C20501" s="2" t="str">
        <f t="shared" si="816"/>
        <v>UN</v>
      </c>
      <c r="D20501" s="7">
        <v>704</v>
      </c>
      <c r="E20501" s="3">
        <v>9</v>
      </c>
      <c r="F20501" s="3">
        <v>9</v>
      </c>
      <c r="G20501" t="s">
        <v>515</v>
      </c>
    </row>
    <row r="20502" spans="1:7" x14ac:dyDescent="0.25">
      <c r="A20502" s="1" t="str">
        <f>"523874"</f>
        <v>523874</v>
      </c>
      <c r="B20502" s="2" t="str">
        <f>"RETENTOR PLASTICO CART QUIMICO P/ 5N11 SERIE 6000 E 7500 3M"</f>
        <v>RETENTOR PLASTICO CART QUIMICO P/ 5N11 SERIE 6000 E 7500 3M</v>
      </c>
      <c r="C20502" s="2" t="str">
        <f t="shared" si="816"/>
        <v>UN</v>
      </c>
      <c r="D20502" s="7">
        <v>502</v>
      </c>
      <c r="E20502" s="3">
        <v>5</v>
      </c>
      <c r="F20502" s="3">
        <v>5</v>
      </c>
      <c r="G20502" t="s">
        <v>512</v>
      </c>
    </row>
    <row r="20503" spans="1:7" x14ac:dyDescent="0.25">
      <c r="A20503" s="1" t="str">
        <f>"508849"</f>
        <v>508849</v>
      </c>
      <c r="B20503" s="2" t="str">
        <f>"RETENTOR POS.18 COD. 1616562500"</f>
        <v>RETENTOR POS.18 COD. 1616562500</v>
      </c>
      <c r="C20503" s="2" t="str">
        <f t="shared" si="816"/>
        <v>UN</v>
      </c>
      <c r="D20503" s="7">
        <v>918</v>
      </c>
      <c r="E20503" s="3">
        <v>11</v>
      </c>
      <c r="F20503" s="3">
        <v>11</v>
      </c>
      <c r="G20503" t="s">
        <v>516</v>
      </c>
    </row>
    <row r="20504" spans="1:7" x14ac:dyDescent="0.25">
      <c r="A20504" s="1" t="str">
        <f>"503134"</f>
        <v>503134</v>
      </c>
      <c r="B20504" s="2" t="str">
        <f>"RETENTOR POS.45 FIG.1 TM-3 REF. 0961-B"</f>
        <v>RETENTOR POS.45 FIG.1 TM-3 REF. 0961-B</v>
      </c>
      <c r="C20504" s="2" t="str">
        <f t="shared" si="816"/>
        <v>UN</v>
      </c>
      <c r="D20504" s="7">
        <v>918</v>
      </c>
      <c r="E20504" s="3">
        <v>11</v>
      </c>
      <c r="F20504" s="3">
        <v>11</v>
      </c>
      <c r="G20504" t="s">
        <v>515</v>
      </c>
    </row>
    <row r="20505" spans="1:7" x14ac:dyDescent="0.25">
      <c r="A20505" s="1" t="str">
        <f>"523667"</f>
        <v>523667</v>
      </c>
      <c r="B20505" s="2" t="str">
        <f>"RETENTOR PRÉ FILTRO 5N11 3M"</f>
        <v>RETENTOR PRÉ FILTRO 5N11 3M</v>
      </c>
      <c r="C20505" s="2" t="str">
        <f t="shared" si="816"/>
        <v>UN</v>
      </c>
      <c r="D20505" s="7">
        <v>502</v>
      </c>
      <c r="E20505" s="3">
        <v>5</v>
      </c>
      <c r="F20505" s="3">
        <v>5</v>
      </c>
      <c r="G20505" t="s">
        <v>514</v>
      </c>
    </row>
    <row r="20506" spans="1:7" x14ac:dyDescent="0.25">
      <c r="A20506" s="1" t="str">
        <f>"503582"</f>
        <v>503582</v>
      </c>
      <c r="B20506" s="2" t="str">
        <f>"RETENTOR RASPADOR AS 25-35-7/10"</f>
        <v>RETENTOR RASPADOR AS 25-35-7/10</v>
      </c>
      <c r="C20506" s="2" t="str">
        <f t="shared" si="816"/>
        <v>UN</v>
      </c>
      <c r="D20506" s="7">
        <v>918</v>
      </c>
      <c r="E20506" s="3">
        <v>11</v>
      </c>
      <c r="F20506" s="3">
        <v>11</v>
      </c>
      <c r="G20506" t="s">
        <v>512</v>
      </c>
    </row>
    <row r="20507" spans="1:7" x14ac:dyDescent="0.25">
      <c r="A20507" s="1" t="str">
        <f>"505587"</f>
        <v>505587</v>
      </c>
      <c r="B20507" s="2" t="str">
        <f>"RETENTOR RAVEL 10210"</f>
        <v>RETENTOR RAVEL 10210</v>
      </c>
      <c r="C20507" s="2" t="str">
        <f t="shared" si="816"/>
        <v>UN</v>
      </c>
      <c r="D20507" s="7">
        <v>918</v>
      </c>
      <c r="E20507" s="3">
        <v>11</v>
      </c>
      <c r="F20507" s="3">
        <v>11</v>
      </c>
      <c r="G20507" t="s">
        <v>513</v>
      </c>
    </row>
    <row r="20508" spans="1:7" x14ac:dyDescent="0.25">
      <c r="A20508" s="1" t="str">
        <f>"500491"</f>
        <v>500491</v>
      </c>
      <c r="B20508" s="2" t="str">
        <f>"RETENTOR RODA"</f>
        <v>RETENTOR RODA</v>
      </c>
      <c r="C20508" s="2" t="str">
        <f t="shared" si="816"/>
        <v>UN</v>
      </c>
      <c r="D20508" s="7">
        <v>704</v>
      </c>
      <c r="E20508" s="3">
        <v>9</v>
      </c>
      <c r="F20508" s="3">
        <v>9</v>
      </c>
      <c r="G20508" t="s">
        <v>514</v>
      </c>
    </row>
    <row r="20509" spans="1:7" x14ac:dyDescent="0.25">
      <c r="A20509" s="1" t="str">
        <f>"511938"</f>
        <v>511938</v>
      </c>
      <c r="B20509" s="2" t="str">
        <f>"RETENTOR SABO 22X35X07MM"</f>
        <v>RETENTOR SABO 22X35X07MM</v>
      </c>
      <c r="C20509" s="2" t="str">
        <f t="shared" si="816"/>
        <v>UN</v>
      </c>
      <c r="D20509" s="7">
        <v>918</v>
      </c>
      <c r="E20509" s="3">
        <v>11</v>
      </c>
      <c r="F20509" s="3">
        <v>11</v>
      </c>
      <c r="G20509" t="s">
        <v>514</v>
      </c>
    </row>
    <row r="20510" spans="1:7" x14ac:dyDescent="0.25">
      <c r="A20510" s="1" t="str">
        <f>"504942"</f>
        <v>504942</v>
      </c>
      <c r="B20510" s="2" t="str">
        <f>"RETENTOR SABO 25X45X5"</f>
        <v>RETENTOR SABO 25X45X5</v>
      </c>
      <c r="C20510" s="2" t="str">
        <f t="shared" si="816"/>
        <v>UN</v>
      </c>
      <c r="D20510" s="7">
        <v>402</v>
      </c>
      <c r="E20510" s="3">
        <v>4</v>
      </c>
      <c r="F20510" s="3">
        <v>4</v>
      </c>
      <c r="G20510" t="s">
        <v>512</v>
      </c>
    </row>
    <row r="20511" spans="1:7" x14ac:dyDescent="0.25">
      <c r="A20511" s="1" t="str">
        <f>"502484"</f>
        <v>502484</v>
      </c>
      <c r="B20511" s="2" t="str">
        <f>"RETENTOR SABO Nº00019 - BR"</f>
        <v>RETENTOR SABO Nº00019 - BR</v>
      </c>
      <c r="C20511" s="2" t="str">
        <f t="shared" si="816"/>
        <v>UN</v>
      </c>
      <c r="D20511" s="7">
        <v>402</v>
      </c>
      <c r="E20511" s="3">
        <v>4</v>
      </c>
      <c r="F20511" s="3">
        <v>4</v>
      </c>
      <c r="G20511" t="s">
        <v>513</v>
      </c>
    </row>
    <row r="20512" spans="1:7" x14ac:dyDescent="0.25">
      <c r="A20512" s="1" t="str">
        <f>"500813"</f>
        <v>500813</v>
      </c>
      <c r="B20512" s="2" t="str">
        <f>"RETENTOR SABO Nº00028 - BR"</f>
        <v>RETENTOR SABO Nº00028 - BR</v>
      </c>
      <c r="C20512" s="2" t="str">
        <f t="shared" si="816"/>
        <v>UN</v>
      </c>
      <c r="D20512" s="7">
        <v>402</v>
      </c>
      <c r="E20512" s="3">
        <v>4</v>
      </c>
      <c r="F20512" s="3">
        <v>4</v>
      </c>
      <c r="G20512" t="s">
        <v>514</v>
      </c>
    </row>
    <row r="20513" spans="1:7" x14ac:dyDescent="0.25">
      <c r="A20513" s="1" t="str">
        <f>"508176"</f>
        <v>508176</v>
      </c>
      <c r="B20513" s="2" t="str">
        <f>"RETENTOR SABO Nº00129 - BR"</f>
        <v>RETENTOR SABO Nº00129 - BR</v>
      </c>
      <c r="C20513" s="2" t="str">
        <f t="shared" si="816"/>
        <v>UN</v>
      </c>
      <c r="D20513" s="7">
        <v>812</v>
      </c>
      <c r="E20513" s="3">
        <v>10</v>
      </c>
      <c r="F20513" s="3">
        <v>10</v>
      </c>
      <c r="G20513" t="s">
        <v>514</v>
      </c>
    </row>
    <row r="20514" spans="1:7" x14ac:dyDescent="0.25">
      <c r="A20514" s="1" t="str">
        <f>"508204"</f>
        <v>508204</v>
      </c>
      <c r="B20514" s="2" t="str">
        <f>"RETENTOR SABO Nº00129 - BR"</f>
        <v>RETENTOR SABO Nº00129 - BR</v>
      </c>
      <c r="C20514" s="2" t="str">
        <f>"PC"</f>
        <v>PC</v>
      </c>
      <c r="D20514" s="7">
        <v>402</v>
      </c>
      <c r="E20514" s="3">
        <v>4</v>
      </c>
      <c r="F20514" s="3">
        <v>4</v>
      </c>
      <c r="G20514" t="s">
        <v>514</v>
      </c>
    </row>
    <row r="20515" spans="1:7" x14ac:dyDescent="0.25">
      <c r="A20515" s="1" t="str">
        <f>"505514"</f>
        <v>505514</v>
      </c>
      <c r="B20515" s="2" t="str">
        <f>"RETENTOR SABO Nº00131 - BR"</f>
        <v>RETENTOR SABO Nº00131 - BR</v>
      </c>
      <c r="C20515" s="2" t="str">
        <f>"UN"</f>
        <v>UN</v>
      </c>
      <c r="D20515" s="7">
        <v>402</v>
      </c>
      <c r="E20515" s="3">
        <v>4</v>
      </c>
      <c r="F20515" s="3">
        <v>4</v>
      </c>
      <c r="G20515" t="s">
        <v>513</v>
      </c>
    </row>
    <row r="20516" spans="1:7" x14ac:dyDescent="0.25">
      <c r="A20516" s="1" t="str">
        <f>"501150"</f>
        <v>501150</v>
      </c>
      <c r="B20516" s="2" t="str">
        <f>"RETENTOR SABO Nº00161 - BR"</f>
        <v>RETENTOR SABO Nº00161 - BR</v>
      </c>
      <c r="C20516" s="2" t="str">
        <f>"PC"</f>
        <v>PC</v>
      </c>
      <c r="D20516" s="7">
        <v>402</v>
      </c>
      <c r="E20516" s="3">
        <v>4</v>
      </c>
      <c r="F20516" s="3">
        <v>4</v>
      </c>
      <c r="G20516" t="s">
        <v>512</v>
      </c>
    </row>
    <row r="20517" spans="1:7" x14ac:dyDescent="0.25">
      <c r="A20517" s="1" t="str">
        <f>"501972"</f>
        <v>501972</v>
      </c>
      <c r="B20517" s="2" t="str">
        <f>"RETENTOR SABO Nº00223 - BR"</f>
        <v>RETENTOR SABO Nº00223 - BR</v>
      </c>
      <c r="C20517" s="2" t="str">
        <f>"UN"</f>
        <v>UN</v>
      </c>
      <c r="D20517" s="7">
        <v>402</v>
      </c>
      <c r="E20517" s="3">
        <v>4</v>
      </c>
      <c r="F20517" s="3">
        <v>4</v>
      </c>
      <c r="G20517" t="s">
        <v>513</v>
      </c>
    </row>
    <row r="20518" spans="1:7" x14ac:dyDescent="0.25">
      <c r="A20518" s="1" t="str">
        <f>"511096"</f>
        <v>511096</v>
      </c>
      <c r="B20518" s="2" t="str">
        <f>"RETENTOR SABO Nº00266 - BR"</f>
        <v>RETENTOR SABO Nº00266 - BR</v>
      </c>
      <c r="C20518" s="2" t="str">
        <f>"UN"</f>
        <v>UN</v>
      </c>
      <c r="D20518" s="7">
        <v>918</v>
      </c>
      <c r="E20518" s="3">
        <v>11</v>
      </c>
      <c r="F20518" s="3">
        <v>11</v>
      </c>
      <c r="G20518" t="s">
        <v>514</v>
      </c>
    </row>
    <row r="20519" spans="1:7" x14ac:dyDescent="0.25">
      <c r="A20519" s="1" t="str">
        <f>"503992"</f>
        <v>503992</v>
      </c>
      <c r="B20519" s="2" t="str">
        <f>"RETENTOR SABO Nº00311 - BR"</f>
        <v>RETENTOR SABO Nº00311 - BR</v>
      </c>
      <c r="C20519" s="2" t="str">
        <f>"UN"</f>
        <v>UN</v>
      </c>
      <c r="D20519" s="7">
        <v>402</v>
      </c>
      <c r="E20519" s="3">
        <v>4</v>
      </c>
      <c r="F20519" s="3">
        <v>4</v>
      </c>
      <c r="G20519" t="s">
        <v>514</v>
      </c>
    </row>
    <row r="20520" spans="1:7" x14ac:dyDescent="0.25">
      <c r="A20520" s="1" t="str">
        <f>"510604"</f>
        <v>510604</v>
      </c>
      <c r="B20520" s="2" t="str">
        <f>"RETENTOR SABO Nº00358 - BR - DUET"</f>
        <v>RETENTOR SABO Nº00358 - BR - DUET</v>
      </c>
      <c r="C20520" s="2" t="str">
        <f>"PC"</f>
        <v>PC</v>
      </c>
      <c r="D20520" s="7">
        <v>918</v>
      </c>
      <c r="E20520" s="3">
        <v>11</v>
      </c>
      <c r="F20520" s="3">
        <v>11</v>
      </c>
      <c r="G20520" t="s">
        <v>514</v>
      </c>
    </row>
    <row r="20521" spans="1:7" x14ac:dyDescent="0.25">
      <c r="A20521" s="1" t="str">
        <f>"501155"</f>
        <v>501155</v>
      </c>
      <c r="B20521" s="2" t="str">
        <f>"RETENTOR SABO Nº00359 - BR"</f>
        <v>RETENTOR SABO Nº00359 - BR</v>
      </c>
      <c r="C20521" s="2" t="str">
        <f>"PC"</f>
        <v>PC</v>
      </c>
      <c r="D20521" s="7">
        <v>402</v>
      </c>
      <c r="E20521" s="3">
        <v>4</v>
      </c>
      <c r="F20521" s="3">
        <v>4</v>
      </c>
      <c r="G20521" t="s">
        <v>513</v>
      </c>
    </row>
    <row r="20522" spans="1:7" x14ac:dyDescent="0.25">
      <c r="A20522" s="1" t="str">
        <f>"511737"</f>
        <v>511737</v>
      </c>
      <c r="B20522" s="2" t="str">
        <f>"RETENTOR SABO Nº00420 - BR"</f>
        <v>RETENTOR SABO Nº00420 - BR</v>
      </c>
      <c r="C20522" s="2" t="str">
        <f t="shared" ref="C20522:C20534" si="817">"UN"</f>
        <v>UN</v>
      </c>
      <c r="D20522" s="7">
        <v>918</v>
      </c>
      <c r="E20522" s="3">
        <v>11</v>
      </c>
      <c r="F20522" s="3">
        <v>11</v>
      </c>
      <c r="G20522" t="s">
        <v>513</v>
      </c>
    </row>
    <row r="20523" spans="1:7" x14ac:dyDescent="0.25">
      <c r="A20523" s="1" t="str">
        <f>"502606"</f>
        <v>502606</v>
      </c>
      <c r="B20523" s="2" t="str">
        <f>"RETENTOR SABO Nº00459 - BR - GEIGER"</f>
        <v>RETENTOR SABO Nº00459 - BR - GEIGER</v>
      </c>
      <c r="C20523" s="2" t="str">
        <f t="shared" si="817"/>
        <v>UN</v>
      </c>
      <c r="D20523" s="7">
        <v>402</v>
      </c>
      <c r="E20523" s="3">
        <v>4</v>
      </c>
      <c r="F20523" s="3">
        <v>4</v>
      </c>
      <c r="G20523" t="s">
        <v>513</v>
      </c>
    </row>
    <row r="20524" spans="1:7" x14ac:dyDescent="0.25">
      <c r="A20524" s="1" t="str">
        <f>"501348"</f>
        <v>501348</v>
      </c>
      <c r="B20524" s="2" t="str">
        <f>"RETENTOR SABO Nº00463 - BR"</f>
        <v>RETENTOR SABO Nº00463 - BR</v>
      </c>
      <c r="C20524" s="2" t="str">
        <f t="shared" si="817"/>
        <v>UN</v>
      </c>
      <c r="D20524" s="7">
        <v>402</v>
      </c>
      <c r="E20524" s="3">
        <v>4</v>
      </c>
      <c r="F20524" s="3">
        <v>4</v>
      </c>
      <c r="G20524" t="s">
        <v>512</v>
      </c>
    </row>
    <row r="20525" spans="1:7" x14ac:dyDescent="0.25">
      <c r="A20525" s="1" t="str">
        <f>"506096"</f>
        <v>506096</v>
      </c>
      <c r="B20525" s="2" t="str">
        <f>"RETENTOR SABO Nº00492 - BR"</f>
        <v>RETENTOR SABO Nº00492 - BR</v>
      </c>
      <c r="C20525" s="2" t="str">
        <f t="shared" si="817"/>
        <v>UN</v>
      </c>
      <c r="D20525" s="7">
        <v>402</v>
      </c>
      <c r="E20525" s="3">
        <v>4</v>
      </c>
      <c r="F20525" s="3">
        <v>4</v>
      </c>
      <c r="G20525" t="s">
        <v>513</v>
      </c>
    </row>
    <row r="20526" spans="1:7" x14ac:dyDescent="0.25">
      <c r="A20526" s="1" t="str">
        <f>"508209"</f>
        <v>508209</v>
      </c>
      <c r="B20526" s="2" t="str">
        <f>"RETENTOR SABO Nº00496 - BR"</f>
        <v>RETENTOR SABO Nº00496 - BR</v>
      </c>
      <c r="C20526" s="2" t="str">
        <f t="shared" si="817"/>
        <v>UN</v>
      </c>
      <c r="D20526" s="7">
        <v>918</v>
      </c>
      <c r="E20526" s="3">
        <v>11</v>
      </c>
      <c r="F20526" s="3">
        <v>11</v>
      </c>
      <c r="G20526" t="s">
        <v>514</v>
      </c>
    </row>
    <row r="20527" spans="1:7" x14ac:dyDescent="0.25">
      <c r="A20527" s="1" t="str">
        <f>"500812"</f>
        <v>500812</v>
      </c>
      <c r="B20527" s="2" t="str">
        <f>"RETENTOR SABO Nº00501 - BR"</f>
        <v>RETENTOR SABO Nº00501 - BR</v>
      </c>
      <c r="C20527" s="2" t="str">
        <f t="shared" si="817"/>
        <v>UN</v>
      </c>
      <c r="D20527" s="7">
        <v>402</v>
      </c>
      <c r="E20527" s="3">
        <v>4</v>
      </c>
      <c r="F20527" s="3">
        <v>4</v>
      </c>
      <c r="G20527" t="s">
        <v>515</v>
      </c>
    </row>
    <row r="20528" spans="1:7" x14ac:dyDescent="0.25">
      <c r="A20528" s="1" t="str">
        <f>"502801"</f>
        <v>502801</v>
      </c>
      <c r="B20528" s="2" t="str">
        <f>"RETENTOR SABO Nº00505 - BR"</f>
        <v>RETENTOR SABO Nº00505 - BR</v>
      </c>
      <c r="C20528" s="2" t="str">
        <f t="shared" si="817"/>
        <v>UN</v>
      </c>
      <c r="D20528" s="7">
        <v>402</v>
      </c>
      <c r="E20528" s="3">
        <v>4</v>
      </c>
      <c r="F20528" s="3">
        <v>4</v>
      </c>
      <c r="G20528" t="s">
        <v>512</v>
      </c>
    </row>
    <row r="20529" spans="1:7" x14ac:dyDescent="0.25">
      <c r="A20529" s="1" t="str">
        <f>"500865"</f>
        <v>500865</v>
      </c>
      <c r="B20529" s="2" t="str">
        <f>"RETENTOR SABO Nº00506 - BR"</f>
        <v>RETENTOR SABO Nº00506 - BR</v>
      </c>
      <c r="C20529" s="2" t="str">
        <f t="shared" si="817"/>
        <v>UN</v>
      </c>
      <c r="D20529" s="7">
        <v>402</v>
      </c>
      <c r="E20529" s="3">
        <v>4</v>
      </c>
      <c r="F20529" s="3">
        <v>4</v>
      </c>
      <c r="G20529" t="s">
        <v>516</v>
      </c>
    </row>
    <row r="20530" spans="1:7" x14ac:dyDescent="0.25">
      <c r="A20530" s="1" t="str">
        <f>"505715"</f>
        <v>505715</v>
      </c>
      <c r="B20530" s="2" t="str">
        <f>"RETENTOR SABO Nº00509 - BR"</f>
        <v>RETENTOR SABO Nº00509 - BR</v>
      </c>
      <c r="C20530" s="2" t="str">
        <f t="shared" si="817"/>
        <v>UN</v>
      </c>
      <c r="D20530" s="7">
        <v>402</v>
      </c>
      <c r="E20530" s="3">
        <v>4</v>
      </c>
      <c r="F20530" s="3">
        <v>4</v>
      </c>
      <c r="G20530" t="s">
        <v>515</v>
      </c>
    </row>
    <row r="20531" spans="1:7" x14ac:dyDescent="0.25">
      <c r="A20531" s="1" t="str">
        <f>"508927"</f>
        <v>508927</v>
      </c>
      <c r="B20531" s="2" t="str">
        <f>"RETENTOR SABO Nº00517 - BR"</f>
        <v>RETENTOR SABO Nº00517 - BR</v>
      </c>
      <c r="C20531" s="2" t="str">
        <f t="shared" si="817"/>
        <v>UN</v>
      </c>
      <c r="D20531" s="7">
        <v>918</v>
      </c>
      <c r="E20531" s="3">
        <v>11</v>
      </c>
      <c r="F20531" s="3">
        <v>11</v>
      </c>
      <c r="G20531" t="s">
        <v>514</v>
      </c>
    </row>
    <row r="20532" spans="1:7" x14ac:dyDescent="0.25">
      <c r="A20532" s="1" t="str">
        <f>"502785"</f>
        <v>502785</v>
      </c>
      <c r="B20532" s="2" t="str">
        <f>"RETENTOR SABO Nº00618 - BR"</f>
        <v>RETENTOR SABO Nº00618 - BR</v>
      </c>
      <c r="C20532" s="2" t="str">
        <f t="shared" si="817"/>
        <v>UN</v>
      </c>
      <c r="D20532" s="7">
        <v>402</v>
      </c>
      <c r="E20532" s="3">
        <v>4</v>
      </c>
      <c r="F20532" s="3">
        <v>4</v>
      </c>
      <c r="G20532" t="s">
        <v>512</v>
      </c>
    </row>
    <row r="20533" spans="1:7" x14ac:dyDescent="0.25">
      <c r="A20533" s="1" t="str">
        <f>"508177"</f>
        <v>508177</v>
      </c>
      <c r="B20533" s="2" t="str">
        <f>"RETENTOR SABO Nº00645 - BR"</f>
        <v>RETENTOR SABO Nº00645 - BR</v>
      </c>
      <c r="C20533" s="2" t="str">
        <f t="shared" si="817"/>
        <v>UN</v>
      </c>
      <c r="D20533" s="7">
        <v>812</v>
      </c>
      <c r="E20533" s="3">
        <v>10</v>
      </c>
      <c r="F20533" s="3">
        <v>10</v>
      </c>
      <c r="G20533" t="s">
        <v>513</v>
      </c>
    </row>
    <row r="20534" spans="1:7" x14ac:dyDescent="0.25">
      <c r="A20534" s="1" t="str">
        <f>"500830"</f>
        <v>500830</v>
      </c>
      <c r="B20534" s="2" t="str">
        <f>"RETENTOR SABO Nº00762 - BR"</f>
        <v>RETENTOR SABO Nº00762 - BR</v>
      </c>
      <c r="C20534" s="2" t="str">
        <f t="shared" si="817"/>
        <v>UN</v>
      </c>
      <c r="D20534" s="7">
        <v>402</v>
      </c>
      <c r="E20534" s="3">
        <v>4</v>
      </c>
      <c r="F20534" s="3">
        <v>4</v>
      </c>
      <c r="G20534" t="s">
        <v>514</v>
      </c>
    </row>
    <row r="20535" spans="1:7" x14ac:dyDescent="0.25">
      <c r="A20535" s="1" t="str">
        <f>"511980"</f>
        <v>511980</v>
      </c>
      <c r="B20535" s="2" t="str">
        <f>"RETENTOR SABO Nº00774 - BR"</f>
        <v>RETENTOR SABO Nº00774 - BR</v>
      </c>
      <c r="C20535" s="2" t="str">
        <f>"PC"</f>
        <v>PC</v>
      </c>
      <c r="D20535" s="7">
        <v>918</v>
      </c>
      <c r="E20535" s="3">
        <v>11</v>
      </c>
      <c r="F20535" s="3">
        <v>11</v>
      </c>
      <c r="G20535" t="s">
        <v>514</v>
      </c>
    </row>
    <row r="20536" spans="1:7" x14ac:dyDescent="0.25">
      <c r="A20536" s="1" t="str">
        <f>"511095"</f>
        <v>511095</v>
      </c>
      <c r="B20536" s="2" t="str">
        <f>"RETENTOR SABO Nº00788 - BR - BRASK 5000"</f>
        <v>RETENTOR SABO Nº00788 - BR - BRASK 5000</v>
      </c>
      <c r="C20536" s="2" t="str">
        <f>"UN"</f>
        <v>UN</v>
      </c>
      <c r="D20536" s="7">
        <v>918</v>
      </c>
      <c r="E20536" s="3">
        <v>11</v>
      </c>
      <c r="F20536" s="3">
        <v>11</v>
      </c>
      <c r="G20536" t="s">
        <v>512</v>
      </c>
    </row>
    <row r="20537" spans="1:7" x14ac:dyDescent="0.25">
      <c r="A20537" s="1" t="str">
        <f>"507914"</f>
        <v>507914</v>
      </c>
      <c r="B20537" s="2" t="str">
        <f>"RETENTOR SABO Nº00790 - BR 13X24X7MM"</f>
        <v>RETENTOR SABO Nº00790 - BR 13X24X7MM</v>
      </c>
      <c r="C20537" s="2" t="str">
        <f>"PC"</f>
        <v>PC</v>
      </c>
      <c r="D20537" s="7">
        <v>402</v>
      </c>
      <c r="E20537" s="3">
        <v>4</v>
      </c>
      <c r="F20537" s="3">
        <v>4</v>
      </c>
      <c r="G20537" t="s">
        <v>513</v>
      </c>
    </row>
    <row r="20538" spans="1:7" x14ac:dyDescent="0.25">
      <c r="A20538" s="1" t="str">
        <f>"519240"</f>
        <v>519240</v>
      </c>
      <c r="B20538" s="2" t="str">
        <f>"RETENTOR SABO Nº00793 - BR"</f>
        <v>RETENTOR SABO Nº00793 - BR</v>
      </c>
      <c r="C20538" s="2" t="str">
        <f>"PC"</f>
        <v>PC</v>
      </c>
      <c r="D20538" s="7">
        <v>402</v>
      </c>
      <c r="E20538" s="3">
        <v>4</v>
      </c>
      <c r="F20538" s="3">
        <v>4</v>
      </c>
      <c r="G20538" t="s">
        <v>514</v>
      </c>
    </row>
    <row r="20539" spans="1:7" x14ac:dyDescent="0.25">
      <c r="A20539" s="1" t="str">
        <f>"508457"</f>
        <v>508457</v>
      </c>
      <c r="B20539" s="2" t="str">
        <f>"RETENTOR SABO Nº00801 - BR - GEIGER"</f>
        <v>RETENTOR SABO Nº00801 - BR - GEIGER</v>
      </c>
      <c r="C20539" s="2" t="str">
        <f>"PC"</f>
        <v>PC</v>
      </c>
      <c r="D20539" s="7">
        <v>918</v>
      </c>
      <c r="E20539" s="3">
        <v>11</v>
      </c>
      <c r="F20539" s="3">
        <v>11</v>
      </c>
      <c r="G20539" t="s">
        <v>514</v>
      </c>
    </row>
    <row r="20540" spans="1:7" x14ac:dyDescent="0.25">
      <c r="A20540" s="1" t="str">
        <f>"500914"</f>
        <v>500914</v>
      </c>
      <c r="B20540" s="2" t="str">
        <f>"RETENTOR SABO Nº00818 - BR"</f>
        <v>RETENTOR SABO Nº00818 - BR</v>
      </c>
      <c r="C20540" s="2" t="str">
        <f>"UN"</f>
        <v>UN</v>
      </c>
      <c r="D20540" s="7">
        <v>402</v>
      </c>
      <c r="E20540" s="3">
        <v>4</v>
      </c>
      <c r="F20540" s="3">
        <v>4</v>
      </c>
      <c r="G20540" t="s">
        <v>514</v>
      </c>
    </row>
    <row r="20541" spans="1:7" x14ac:dyDescent="0.25">
      <c r="A20541" s="1" t="str">
        <f>"507946"</f>
        <v>507946</v>
      </c>
      <c r="B20541" s="2" t="str">
        <f>"RETENTOR SABO Nº00847 - BR"</f>
        <v>RETENTOR SABO Nº00847 - BR</v>
      </c>
      <c r="C20541" s="2" t="str">
        <f>"UN"</f>
        <v>UN</v>
      </c>
      <c r="D20541" s="7">
        <v>918</v>
      </c>
      <c r="E20541" s="3">
        <v>11</v>
      </c>
      <c r="F20541" s="3">
        <v>11</v>
      </c>
      <c r="G20541" t="s">
        <v>513</v>
      </c>
    </row>
    <row r="20542" spans="1:7" x14ac:dyDescent="0.25">
      <c r="A20542" s="1" t="str">
        <f>"505511"</f>
        <v>505511</v>
      </c>
      <c r="B20542" s="2" t="str">
        <f>"RETENTOR SABO Nº00918 - BR"</f>
        <v>RETENTOR SABO Nº00918 - BR</v>
      </c>
      <c r="C20542" s="2" t="str">
        <f>"UN"</f>
        <v>UN</v>
      </c>
      <c r="D20542" s="7">
        <v>402</v>
      </c>
      <c r="E20542" s="3">
        <v>4</v>
      </c>
      <c r="F20542" s="3">
        <v>4</v>
      </c>
      <c r="G20542" t="s">
        <v>512</v>
      </c>
    </row>
    <row r="20543" spans="1:7" x14ac:dyDescent="0.25">
      <c r="A20543" s="1" t="str">
        <f>"502802"</f>
        <v>502802</v>
      </c>
      <c r="B20543" s="2" t="str">
        <f>"RETENTOR SABO Nº00946 - BR"</f>
        <v>RETENTOR SABO Nº00946 - BR</v>
      </c>
      <c r="C20543" s="2" t="str">
        <f>"UN"</f>
        <v>UN</v>
      </c>
      <c r="D20543" s="7">
        <v>402</v>
      </c>
      <c r="E20543" s="3">
        <v>4</v>
      </c>
      <c r="F20543" s="3">
        <v>4</v>
      </c>
      <c r="G20543" t="s">
        <v>513</v>
      </c>
    </row>
    <row r="20544" spans="1:7" x14ac:dyDescent="0.25">
      <c r="A20544" s="1" t="str">
        <f>"505515"</f>
        <v>505515</v>
      </c>
      <c r="B20544" s="2" t="str">
        <f>"RETENTOR SABO Nº01040 - BR"</f>
        <v>RETENTOR SABO Nº01040 - BR</v>
      </c>
      <c r="C20544" s="2" t="str">
        <f>"UN"</f>
        <v>UN</v>
      </c>
      <c r="D20544" s="7">
        <v>402</v>
      </c>
      <c r="E20544" s="3">
        <v>4</v>
      </c>
      <c r="F20544" s="3">
        <v>4</v>
      </c>
      <c r="G20544" t="s">
        <v>514</v>
      </c>
    </row>
    <row r="20545" spans="1:7" x14ac:dyDescent="0.25">
      <c r="A20545" s="1" t="str">
        <f>"508893"</f>
        <v>508893</v>
      </c>
      <c r="B20545" s="2" t="str">
        <f>"RETENTOR SABO Nº01061 - BR"</f>
        <v>RETENTOR SABO Nº01061 - BR</v>
      </c>
      <c r="C20545" s="2" t="str">
        <f>"PC"</f>
        <v>PC</v>
      </c>
      <c r="D20545" s="7">
        <v>918</v>
      </c>
      <c r="E20545" s="3">
        <v>11</v>
      </c>
      <c r="F20545" s="3">
        <v>11</v>
      </c>
      <c r="G20545" t="s">
        <v>514</v>
      </c>
    </row>
    <row r="20546" spans="1:7" x14ac:dyDescent="0.25">
      <c r="A20546" s="1" t="str">
        <f>"511937"</f>
        <v>511937</v>
      </c>
      <c r="B20546" s="2" t="str">
        <f>"RETENTOR SABO Nº01063 - BR"</f>
        <v>RETENTOR SABO Nº01063 - BR</v>
      </c>
      <c r="C20546" s="2" t="str">
        <f>"UN"</f>
        <v>UN</v>
      </c>
      <c r="D20546" s="7">
        <v>918</v>
      </c>
      <c r="E20546" s="3">
        <v>11</v>
      </c>
      <c r="F20546" s="3">
        <v>11</v>
      </c>
      <c r="G20546" t="s">
        <v>514</v>
      </c>
    </row>
    <row r="20547" spans="1:7" x14ac:dyDescent="0.25">
      <c r="A20547" s="1" t="str">
        <f>"508930"</f>
        <v>508930</v>
      </c>
      <c r="B20547" s="2" t="str">
        <f>"RETENTOR SABO Nº01095 - BR"</f>
        <v>RETENTOR SABO Nº01095 - BR</v>
      </c>
      <c r="C20547" s="2" t="str">
        <f>"UN"</f>
        <v>UN</v>
      </c>
      <c r="D20547" s="7">
        <v>918</v>
      </c>
      <c r="E20547" s="3">
        <v>11</v>
      </c>
      <c r="F20547" s="3">
        <v>11</v>
      </c>
      <c r="G20547" t="s">
        <v>513</v>
      </c>
    </row>
    <row r="20548" spans="1:7" x14ac:dyDescent="0.25">
      <c r="A20548" s="1" t="str">
        <f>"510001"</f>
        <v>510001</v>
      </c>
      <c r="B20548" s="2" t="str">
        <f>"RETENTOR SABO Nº01207 - BR"</f>
        <v>RETENTOR SABO Nº01207 - BR</v>
      </c>
      <c r="C20548" s="2" t="str">
        <f>"UN"</f>
        <v>UN</v>
      </c>
      <c r="D20548" s="7">
        <v>918</v>
      </c>
      <c r="E20548" s="3">
        <v>11</v>
      </c>
      <c r="F20548" s="3">
        <v>11</v>
      </c>
      <c r="G20548" t="s">
        <v>513</v>
      </c>
    </row>
    <row r="20549" spans="1:7" x14ac:dyDescent="0.25">
      <c r="A20549" s="1" t="str">
        <f>"510690"</f>
        <v>510690</v>
      </c>
      <c r="B20549" s="2" t="str">
        <f>"RETENTOR SABO Nº01265 - BR"</f>
        <v>RETENTOR SABO Nº01265 - BR</v>
      </c>
      <c r="C20549" s="2" t="str">
        <f>"PC"</f>
        <v>PC</v>
      </c>
      <c r="D20549" s="7">
        <v>918</v>
      </c>
      <c r="E20549" s="3">
        <v>11</v>
      </c>
      <c r="F20549" s="3">
        <v>11</v>
      </c>
      <c r="G20549" t="s">
        <v>513</v>
      </c>
    </row>
    <row r="20550" spans="1:7" x14ac:dyDescent="0.25">
      <c r="A20550" s="1" t="str">
        <f>"509208"</f>
        <v>509208</v>
      </c>
      <c r="B20550" s="2" t="str">
        <f>"RETENTOR SABO Nº01273 - BR"</f>
        <v>RETENTOR SABO Nº01273 - BR</v>
      </c>
      <c r="C20550" s="2" t="str">
        <f>"UN"</f>
        <v>UN</v>
      </c>
      <c r="D20550" s="7">
        <v>812</v>
      </c>
      <c r="E20550" s="3">
        <v>10</v>
      </c>
      <c r="F20550" s="3">
        <v>10</v>
      </c>
      <c r="G20550" t="s">
        <v>512</v>
      </c>
    </row>
    <row r="20551" spans="1:7" x14ac:dyDescent="0.25">
      <c r="A20551" s="1" t="str">
        <f>"505509"</f>
        <v>505509</v>
      </c>
      <c r="B20551" s="2" t="str">
        <f>"RETENTOR SABO Nº01366 - BR"</f>
        <v>RETENTOR SABO Nº01366 - BR</v>
      </c>
      <c r="C20551" s="2" t="str">
        <f>"UN"</f>
        <v>UN</v>
      </c>
      <c r="D20551" s="7">
        <v>402</v>
      </c>
      <c r="E20551" s="3">
        <v>4</v>
      </c>
      <c r="F20551" s="3">
        <v>4</v>
      </c>
      <c r="G20551" t="s">
        <v>513</v>
      </c>
    </row>
    <row r="20552" spans="1:7" x14ac:dyDescent="0.25">
      <c r="A20552" s="1" t="str">
        <f>"511682"</f>
        <v>511682</v>
      </c>
      <c r="B20552" s="2" t="str">
        <f>"RETENTOR SABO Nº01407 - BR"</f>
        <v>RETENTOR SABO Nº01407 - BR</v>
      </c>
      <c r="C20552" s="2" t="str">
        <f>"UN"</f>
        <v>UN</v>
      </c>
      <c r="D20552" s="7">
        <v>918</v>
      </c>
      <c r="E20552" s="3">
        <v>11</v>
      </c>
      <c r="F20552" s="3">
        <v>11</v>
      </c>
      <c r="G20552" t="s">
        <v>514</v>
      </c>
    </row>
    <row r="20553" spans="1:7" x14ac:dyDescent="0.25">
      <c r="A20553" s="1" t="str">
        <f>"502491"</f>
        <v>502491</v>
      </c>
      <c r="B20553" s="2" t="str">
        <f>"RETENTOR SABO Nº01422 - BR"</f>
        <v>RETENTOR SABO Nº01422 - BR</v>
      </c>
      <c r="C20553" s="2" t="str">
        <f>"UN"</f>
        <v>UN</v>
      </c>
      <c r="D20553" s="7">
        <v>402</v>
      </c>
      <c r="E20553" s="3">
        <v>4</v>
      </c>
      <c r="F20553" s="3">
        <v>4</v>
      </c>
      <c r="G20553" t="s">
        <v>515</v>
      </c>
    </row>
    <row r="20554" spans="1:7" x14ac:dyDescent="0.25">
      <c r="A20554" s="1" t="str">
        <f>"511979"</f>
        <v>511979</v>
      </c>
      <c r="B20554" s="2" t="str">
        <f>"RETENTOR SABO Nº01462 - BR"</f>
        <v>RETENTOR SABO Nº01462 - BR</v>
      </c>
      <c r="C20554" s="2" t="str">
        <f>"PC"</f>
        <v>PC</v>
      </c>
      <c r="D20554" s="7">
        <v>918</v>
      </c>
      <c r="E20554" s="3">
        <v>11</v>
      </c>
      <c r="F20554" s="3">
        <v>11</v>
      </c>
      <c r="G20554" t="s">
        <v>512</v>
      </c>
    </row>
    <row r="20555" spans="1:7" x14ac:dyDescent="0.25">
      <c r="A20555" s="1" t="str">
        <f>"506017"</f>
        <v>506017</v>
      </c>
      <c r="B20555" s="2" t="str">
        <f>"RETENTOR SABO Nº01509 - BR"</f>
        <v>RETENTOR SABO Nº01509 - BR</v>
      </c>
      <c r="C20555" s="2" t="str">
        <f>"UN"</f>
        <v>UN</v>
      </c>
      <c r="D20555" s="7">
        <v>402</v>
      </c>
      <c r="E20555" s="3">
        <v>4</v>
      </c>
      <c r="F20555" s="3">
        <v>4</v>
      </c>
      <c r="G20555" t="s">
        <v>516</v>
      </c>
    </row>
    <row r="20556" spans="1:7" x14ac:dyDescent="0.25">
      <c r="A20556" s="1" t="str">
        <f>"512046"</f>
        <v>512046</v>
      </c>
      <c r="B20556" s="2" t="str">
        <f>"RETENTOR SABO Nº01535 - BR"</f>
        <v>RETENTOR SABO Nº01535 - BR</v>
      </c>
      <c r="C20556" s="2" t="str">
        <f>"UN"</f>
        <v>UN</v>
      </c>
      <c r="D20556" s="7">
        <v>918</v>
      </c>
      <c r="E20556" s="3">
        <v>11</v>
      </c>
      <c r="F20556" s="3">
        <v>11</v>
      </c>
      <c r="G20556" t="s">
        <v>515</v>
      </c>
    </row>
    <row r="20557" spans="1:7" x14ac:dyDescent="0.25">
      <c r="A20557" s="1" t="str">
        <f>"505380"</f>
        <v>505380</v>
      </c>
      <c r="B20557" s="2" t="str">
        <f>"RETENTOR SABO Nº01543 - BR"</f>
        <v>RETENTOR SABO Nº01543 - BR</v>
      </c>
      <c r="C20557" s="2" t="str">
        <f>"UN"</f>
        <v>UN</v>
      </c>
      <c r="D20557" s="7">
        <v>402</v>
      </c>
      <c r="E20557" s="3">
        <v>4</v>
      </c>
      <c r="F20557" s="3">
        <v>4</v>
      </c>
      <c r="G20557" t="s">
        <v>514</v>
      </c>
    </row>
    <row r="20558" spans="1:7" x14ac:dyDescent="0.25">
      <c r="A20558" s="1" t="str">
        <f>"508883"</f>
        <v>508883</v>
      </c>
      <c r="B20558" s="2" t="str">
        <f>"RETENTOR SABO Nº01550 - BR"</f>
        <v>RETENTOR SABO Nº01550 - BR</v>
      </c>
      <c r="C20558" s="2" t="str">
        <f>"PC"</f>
        <v>PC</v>
      </c>
      <c r="D20558" s="7">
        <v>918</v>
      </c>
      <c r="E20558" s="3">
        <v>11</v>
      </c>
      <c r="F20558" s="3">
        <v>11</v>
      </c>
      <c r="G20558" t="s">
        <v>512</v>
      </c>
    </row>
    <row r="20559" spans="1:7" x14ac:dyDescent="0.25">
      <c r="A20559" s="1" t="str">
        <f>"503341"</f>
        <v>503341</v>
      </c>
      <c r="B20559" s="2" t="str">
        <f>"RETENTOR SABO Nº01551 - BR"</f>
        <v>RETENTOR SABO Nº01551 - BR</v>
      </c>
      <c r="C20559" s="2" t="str">
        <f t="shared" ref="C20559:C20569" si="818">"UN"</f>
        <v>UN</v>
      </c>
      <c r="D20559" s="7">
        <v>918</v>
      </c>
      <c r="E20559" s="3">
        <v>11</v>
      </c>
      <c r="F20559" s="3">
        <v>11</v>
      </c>
      <c r="G20559" t="s">
        <v>513</v>
      </c>
    </row>
    <row r="20560" spans="1:7" x14ac:dyDescent="0.25">
      <c r="A20560" s="1" t="str">
        <f>"505513"</f>
        <v>505513</v>
      </c>
      <c r="B20560" s="2" t="str">
        <f>"RETENTOR SABO Nº01556 - BR"</f>
        <v>RETENTOR SABO Nº01556 - BR</v>
      </c>
      <c r="C20560" s="2" t="str">
        <f t="shared" si="818"/>
        <v>UN</v>
      </c>
      <c r="D20560" s="7">
        <v>402</v>
      </c>
      <c r="E20560" s="3">
        <v>4</v>
      </c>
      <c r="F20560" s="3">
        <v>4</v>
      </c>
      <c r="G20560" t="s">
        <v>514</v>
      </c>
    </row>
    <row r="20561" spans="1:7" x14ac:dyDescent="0.25">
      <c r="A20561" s="1" t="str">
        <f>"500968"</f>
        <v>500968</v>
      </c>
      <c r="B20561" s="2" t="str">
        <f>"RETENTOR SABO Nº01716 - BR"</f>
        <v>RETENTOR SABO Nº01716 - BR</v>
      </c>
      <c r="C20561" s="2" t="str">
        <f t="shared" si="818"/>
        <v>UN</v>
      </c>
      <c r="D20561" s="7">
        <v>402</v>
      </c>
      <c r="E20561" s="3">
        <v>4</v>
      </c>
      <c r="F20561" s="3">
        <v>4</v>
      </c>
      <c r="G20561" t="s">
        <v>514</v>
      </c>
    </row>
    <row r="20562" spans="1:7" x14ac:dyDescent="0.25">
      <c r="A20562" s="1" t="str">
        <f>"519279"</f>
        <v>519279</v>
      </c>
      <c r="B20562" s="2" t="str">
        <f>"RETENTOR SABO Nº01774 - BR"</f>
        <v>RETENTOR SABO Nº01774 - BR</v>
      </c>
      <c r="C20562" s="2" t="str">
        <f t="shared" si="818"/>
        <v>UN</v>
      </c>
      <c r="D20562" s="7">
        <v>402</v>
      </c>
      <c r="E20562" s="3">
        <v>4</v>
      </c>
      <c r="F20562" s="3">
        <v>4</v>
      </c>
      <c r="G20562" t="s">
        <v>512</v>
      </c>
    </row>
    <row r="20563" spans="1:7" x14ac:dyDescent="0.25">
      <c r="A20563" s="1" t="str">
        <f>"505712"</f>
        <v>505712</v>
      </c>
      <c r="B20563" s="2" t="str">
        <f>"RETENTOR SABO Nº01802 - BR"</f>
        <v>RETENTOR SABO Nº01802 - BR</v>
      </c>
      <c r="C20563" s="2" t="str">
        <f t="shared" si="818"/>
        <v>UN</v>
      </c>
      <c r="D20563" s="7">
        <v>918</v>
      </c>
      <c r="E20563" s="3">
        <v>11</v>
      </c>
      <c r="F20563" s="3">
        <v>11</v>
      </c>
      <c r="G20563" t="s">
        <v>513</v>
      </c>
    </row>
    <row r="20564" spans="1:7" x14ac:dyDescent="0.25">
      <c r="A20564" s="1" t="str">
        <f>"508064"</f>
        <v>508064</v>
      </c>
      <c r="B20564" s="2" t="str">
        <f>"RETENTOR SABO Nº01861 - BR - GEIGER"</f>
        <v>RETENTOR SABO Nº01861 - BR - GEIGER</v>
      </c>
      <c r="C20564" s="2" t="str">
        <f t="shared" si="818"/>
        <v>UN</v>
      </c>
      <c r="D20564" s="7">
        <v>402</v>
      </c>
      <c r="E20564" s="3">
        <v>4</v>
      </c>
      <c r="F20564" s="3">
        <v>4</v>
      </c>
      <c r="G20564" t="s">
        <v>514</v>
      </c>
    </row>
    <row r="20565" spans="1:7" x14ac:dyDescent="0.25">
      <c r="A20565" s="1" t="str">
        <f>"506023"</f>
        <v>506023</v>
      </c>
      <c r="B20565" s="2" t="str">
        <f>"RETENTOR SABO Nº01864 - BR - GEIGER"</f>
        <v>RETENTOR SABO Nº01864 - BR - GEIGER</v>
      </c>
      <c r="C20565" s="2" t="str">
        <f t="shared" si="818"/>
        <v>UN</v>
      </c>
      <c r="D20565" s="7">
        <v>918</v>
      </c>
      <c r="E20565" s="3">
        <v>11</v>
      </c>
      <c r="F20565" s="3">
        <v>11</v>
      </c>
      <c r="G20565" t="s">
        <v>514</v>
      </c>
    </row>
    <row r="20566" spans="1:7" x14ac:dyDescent="0.25">
      <c r="A20566" s="1" t="str">
        <f>"506095"</f>
        <v>506095</v>
      </c>
      <c r="B20566" s="2" t="str">
        <f>"RETENTOR SABO Nº01907 - BR"</f>
        <v>RETENTOR SABO Nº01907 - BR</v>
      </c>
      <c r="C20566" s="2" t="str">
        <f t="shared" si="818"/>
        <v>UN</v>
      </c>
      <c r="D20566" s="7">
        <v>402</v>
      </c>
      <c r="E20566" s="3">
        <v>4</v>
      </c>
      <c r="F20566" s="3">
        <v>4</v>
      </c>
      <c r="G20566" t="s">
        <v>514</v>
      </c>
    </row>
    <row r="20567" spans="1:7" x14ac:dyDescent="0.25">
      <c r="A20567" s="1" t="str">
        <f>"507851"</f>
        <v>507851</v>
      </c>
      <c r="B20567" s="2" t="str">
        <f>"RETENTOR SABO Nº01935 - BR - GEIGER"</f>
        <v>RETENTOR SABO Nº01935 - BR - GEIGER</v>
      </c>
      <c r="C20567" s="2" t="str">
        <f t="shared" si="818"/>
        <v>UN</v>
      </c>
      <c r="D20567" s="7">
        <v>918</v>
      </c>
      <c r="E20567" s="3">
        <v>11</v>
      </c>
      <c r="F20567" s="3">
        <v>11</v>
      </c>
      <c r="G20567" t="s">
        <v>513</v>
      </c>
    </row>
    <row r="20568" spans="1:7" x14ac:dyDescent="0.25">
      <c r="A20568" s="1" t="str">
        <f>"503991"</f>
        <v>503991</v>
      </c>
      <c r="B20568" s="2" t="str">
        <f>"RETENTOR SABO Nº01973 - BR"</f>
        <v>RETENTOR SABO Nº01973 - BR</v>
      </c>
      <c r="C20568" s="2" t="str">
        <f t="shared" si="818"/>
        <v>UN</v>
      </c>
      <c r="D20568" s="7">
        <v>402</v>
      </c>
      <c r="E20568" s="3">
        <v>4</v>
      </c>
      <c r="F20568" s="3">
        <v>4</v>
      </c>
      <c r="G20568" t="s">
        <v>512</v>
      </c>
    </row>
    <row r="20569" spans="1:7" x14ac:dyDescent="0.25">
      <c r="A20569" s="1" t="str">
        <f>"503795"</f>
        <v>503795</v>
      </c>
      <c r="B20569" s="2" t="str">
        <f>"RETENTOR SABO Nº02046 - BR"</f>
        <v>RETENTOR SABO Nº02046 - BR</v>
      </c>
      <c r="C20569" s="2" t="str">
        <f t="shared" si="818"/>
        <v>UN</v>
      </c>
      <c r="D20569" s="7">
        <v>402</v>
      </c>
      <c r="E20569" s="3">
        <v>4</v>
      </c>
      <c r="F20569" s="3">
        <v>4</v>
      </c>
      <c r="G20569" t="s">
        <v>513</v>
      </c>
    </row>
    <row r="20570" spans="1:7" x14ac:dyDescent="0.25">
      <c r="A20570" s="1" t="str">
        <f>"507908"</f>
        <v>507908</v>
      </c>
      <c r="B20570" s="2" t="str">
        <f>"RETENTOR SABO Nº02055 - BR"</f>
        <v>RETENTOR SABO Nº02055 - BR</v>
      </c>
      <c r="C20570" s="2" t="str">
        <f>"PC"</f>
        <v>PC</v>
      </c>
      <c r="D20570" s="7">
        <v>402</v>
      </c>
      <c r="E20570" s="3">
        <v>4</v>
      </c>
      <c r="F20570" s="3">
        <v>4</v>
      </c>
      <c r="G20570" t="s">
        <v>514</v>
      </c>
    </row>
    <row r="20571" spans="1:7" x14ac:dyDescent="0.25">
      <c r="A20571" s="1" t="str">
        <f>"505690"</f>
        <v>505690</v>
      </c>
      <c r="B20571" s="2" t="str">
        <f>"RETENTOR SABO Nº02075 - BR"</f>
        <v>RETENTOR SABO Nº02075 - BR</v>
      </c>
      <c r="C20571" s="2" t="str">
        <f>"PC"</f>
        <v>PC</v>
      </c>
      <c r="D20571" s="7">
        <v>402</v>
      </c>
      <c r="E20571" s="3">
        <v>4</v>
      </c>
      <c r="F20571" s="3">
        <v>4</v>
      </c>
      <c r="G20571" t="s">
        <v>514</v>
      </c>
    </row>
    <row r="20572" spans="1:7" x14ac:dyDescent="0.25">
      <c r="A20572" s="1" t="str">
        <f>"501153"</f>
        <v>501153</v>
      </c>
      <c r="B20572" s="2" t="str">
        <f>"RETENTOR SABO Nº02110 - BR"</f>
        <v>RETENTOR SABO Nº02110 - BR</v>
      </c>
      <c r="C20572" s="2" t="str">
        <f>"PC"</f>
        <v>PC</v>
      </c>
      <c r="D20572" s="7">
        <v>402</v>
      </c>
      <c r="E20572" s="3">
        <v>4</v>
      </c>
      <c r="F20572" s="3">
        <v>4</v>
      </c>
      <c r="G20572" t="s">
        <v>514</v>
      </c>
    </row>
    <row r="20573" spans="1:7" x14ac:dyDescent="0.25">
      <c r="A20573" s="1" t="str">
        <f>"505255"</f>
        <v>505255</v>
      </c>
      <c r="B20573" s="2" t="str">
        <f>"RETENTOR SABO Nº02111 - BR"</f>
        <v>RETENTOR SABO Nº02111 - BR</v>
      </c>
      <c r="C20573" s="2" t="str">
        <f>"UN"</f>
        <v>UN</v>
      </c>
      <c r="D20573" s="7">
        <v>402</v>
      </c>
      <c r="E20573" s="3">
        <v>4</v>
      </c>
      <c r="F20573" s="3">
        <v>4</v>
      </c>
      <c r="G20573" t="s">
        <v>513</v>
      </c>
    </row>
    <row r="20574" spans="1:7" x14ac:dyDescent="0.25">
      <c r="A20574" s="1" t="str">
        <f>"500807"</f>
        <v>500807</v>
      </c>
      <c r="B20574" s="2" t="str">
        <f>"RETENTOR SABO Nº02139 - BR"</f>
        <v>RETENTOR SABO Nº02139 - BR</v>
      </c>
      <c r="C20574" s="2" t="str">
        <f>"UN"</f>
        <v>UN</v>
      </c>
      <c r="D20574" s="7">
        <v>402</v>
      </c>
      <c r="E20574" s="3">
        <v>4</v>
      </c>
      <c r="F20574" s="3">
        <v>4</v>
      </c>
      <c r="G20574" t="s">
        <v>513</v>
      </c>
    </row>
    <row r="20575" spans="1:7" x14ac:dyDescent="0.25">
      <c r="A20575" s="1" t="str">
        <f>"502050"</f>
        <v>502050</v>
      </c>
      <c r="B20575" s="2" t="str">
        <f>"RETENTOR SABO Nº02139 - BR"</f>
        <v>RETENTOR SABO Nº02139 - BR</v>
      </c>
      <c r="C20575" s="2" t="str">
        <f>"UN"</f>
        <v>UN</v>
      </c>
      <c r="D20575" s="7">
        <v>402</v>
      </c>
      <c r="E20575" s="3">
        <v>4</v>
      </c>
      <c r="F20575" s="3">
        <v>4</v>
      </c>
      <c r="G20575" t="s">
        <v>513</v>
      </c>
    </row>
    <row r="20576" spans="1:7" x14ac:dyDescent="0.25">
      <c r="A20576" s="1" t="str">
        <f>"500828"</f>
        <v>500828</v>
      </c>
      <c r="B20576" s="2" t="str">
        <f>"RETENTOR SABO Nº02226 - BR"</f>
        <v>RETENTOR SABO Nº02226 - BR</v>
      </c>
      <c r="C20576" s="2" t="str">
        <f>"UN"</f>
        <v>UN</v>
      </c>
      <c r="D20576" s="7">
        <v>918</v>
      </c>
      <c r="E20576" s="3">
        <v>11</v>
      </c>
      <c r="F20576" s="3">
        <v>11</v>
      </c>
      <c r="G20576" t="s">
        <v>512</v>
      </c>
    </row>
    <row r="20577" spans="1:7" x14ac:dyDescent="0.25">
      <c r="A20577" s="1" t="str">
        <f>"504049"</f>
        <v>504049</v>
      </c>
      <c r="B20577" s="2" t="str">
        <f>"RETENTOR SABO Nº02234 - BR"</f>
        <v>RETENTOR SABO Nº02234 - BR</v>
      </c>
      <c r="C20577" s="2" t="str">
        <f>"PC"</f>
        <v>PC</v>
      </c>
      <c r="D20577" s="7">
        <v>918</v>
      </c>
      <c r="E20577" s="3">
        <v>11</v>
      </c>
      <c r="F20577" s="3">
        <v>11</v>
      </c>
      <c r="G20577" t="s">
        <v>513</v>
      </c>
    </row>
    <row r="20578" spans="1:7" x14ac:dyDescent="0.25">
      <c r="A20578" s="1" t="str">
        <f>"506116"</f>
        <v>506116</v>
      </c>
      <c r="B20578" s="2" t="str">
        <f>"RETENTOR SABO Nº02295 - BR"</f>
        <v>RETENTOR SABO Nº02295 - BR</v>
      </c>
      <c r="C20578" s="2" t="str">
        <f>"UN"</f>
        <v>UN</v>
      </c>
      <c r="D20578" s="7">
        <v>402</v>
      </c>
      <c r="E20578" s="3">
        <v>4</v>
      </c>
      <c r="F20578" s="3">
        <v>4</v>
      </c>
      <c r="G20578" t="s">
        <v>514</v>
      </c>
    </row>
    <row r="20579" spans="1:7" x14ac:dyDescent="0.25">
      <c r="A20579" s="1" t="str">
        <f>"503432"</f>
        <v>503432</v>
      </c>
      <c r="B20579" s="2" t="str">
        <f>"RETENTOR SABO Nº02296 - BR"</f>
        <v>RETENTOR SABO Nº02296 - BR</v>
      </c>
      <c r="C20579" s="2" t="str">
        <f>"UN"</f>
        <v>UN</v>
      </c>
      <c r="D20579" s="7">
        <v>402</v>
      </c>
      <c r="E20579" s="3">
        <v>4</v>
      </c>
      <c r="F20579" s="3">
        <v>4</v>
      </c>
      <c r="G20579" t="s">
        <v>515</v>
      </c>
    </row>
    <row r="20580" spans="1:7" x14ac:dyDescent="0.25">
      <c r="A20580" s="1" t="str">
        <f>"501151"</f>
        <v>501151</v>
      </c>
      <c r="B20580" s="2" t="str">
        <f>"RETENTOR SABO Nº02312 - BR"</f>
        <v>RETENTOR SABO Nº02312 - BR</v>
      </c>
      <c r="C20580" s="2" t="str">
        <f>"UN"</f>
        <v>UN</v>
      </c>
      <c r="D20580" s="7">
        <v>402</v>
      </c>
      <c r="E20580" s="3">
        <v>4</v>
      </c>
      <c r="F20580" s="3">
        <v>4</v>
      </c>
      <c r="G20580" t="s">
        <v>512</v>
      </c>
    </row>
    <row r="20581" spans="1:7" x14ac:dyDescent="0.25">
      <c r="A20581" s="1" t="str">
        <f>"510558"</f>
        <v>510558</v>
      </c>
      <c r="B20581" s="2" t="str">
        <f>"RETENTOR SABO Nº02324 - BR"</f>
        <v>RETENTOR SABO Nº02324 - BR</v>
      </c>
      <c r="C20581" s="2" t="str">
        <f>"UN"</f>
        <v>UN</v>
      </c>
      <c r="D20581" s="7">
        <v>918</v>
      </c>
      <c r="E20581" s="3">
        <v>11</v>
      </c>
      <c r="F20581" s="3">
        <v>11</v>
      </c>
      <c r="G20581" t="s">
        <v>516</v>
      </c>
    </row>
    <row r="20582" spans="1:7" x14ac:dyDescent="0.25">
      <c r="A20582" s="1" t="str">
        <f>"501940"</f>
        <v>501940</v>
      </c>
      <c r="B20582" s="2" t="str">
        <f>"RETENTOR SABO Nº02360 - BR"</f>
        <v>RETENTOR SABO Nº02360 - BR</v>
      </c>
      <c r="C20582" s="2" t="str">
        <f>"PÇ"</f>
        <v>PÇ</v>
      </c>
      <c r="D20582" s="7">
        <v>402</v>
      </c>
      <c r="E20582" s="3">
        <v>4</v>
      </c>
      <c r="F20582" s="3">
        <v>4</v>
      </c>
      <c r="G20582" t="s">
        <v>515</v>
      </c>
    </row>
    <row r="20583" spans="1:7" x14ac:dyDescent="0.25">
      <c r="A20583" s="1" t="str">
        <f>"501152"</f>
        <v>501152</v>
      </c>
      <c r="B20583" s="2" t="str">
        <f>"RETENTOR SABO Nº02378 - BR"</f>
        <v>RETENTOR SABO Nº02378 - BR</v>
      </c>
      <c r="C20583" s="2" t="str">
        <f>"UN"</f>
        <v>UN</v>
      </c>
      <c r="D20583" s="7">
        <v>402</v>
      </c>
      <c r="E20583" s="3">
        <v>4</v>
      </c>
      <c r="F20583" s="3">
        <v>4</v>
      </c>
      <c r="G20583" t="s">
        <v>514</v>
      </c>
    </row>
    <row r="20584" spans="1:7" x14ac:dyDescent="0.25">
      <c r="A20584" s="1" t="str">
        <f>"518845"</f>
        <v>518845</v>
      </c>
      <c r="B20584" s="2" t="str">
        <f>"RETENTOR SABO Nº02391 - BR"</f>
        <v>RETENTOR SABO Nº02391 - BR</v>
      </c>
      <c r="C20584" s="2" t="str">
        <f>"UN"</f>
        <v>UN</v>
      </c>
      <c r="D20584" s="7">
        <v>402</v>
      </c>
      <c r="E20584" s="3">
        <v>4</v>
      </c>
      <c r="F20584" s="3">
        <v>4</v>
      </c>
      <c r="G20584" t="s">
        <v>512</v>
      </c>
    </row>
    <row r="20585" spans="1:7" x14ac:dyDescent="0.25">
      <c r="A20585" s="1" t="str">
        <f>"504816"</f>
        <v>504816</v>
      </c>
      <c r="B20585" s="2" t="str">
        <f>"RETENTOR SABO Nº02484 - BR"</f>
        <v>RETENTOR SABO Nº02484 - BR</v>
      </c>
      <c r="C20585" s="2" t="str">
        <f>"UN"</f>
        <v>UN</v>
      </c>
      <c r="D20585" s="7">
        <v>704</v>
      </c>
      <c r="E20585" s="3">
        <v>9</v>
      </c>
      <c r="F20585" s="3">
        <v>9</v>
      </c>
      <c r="G20585" t="s">
        <v>513</v>
      </c>
    </row>
    <row r="20586" spans="1:7" x14ac:dyDescent="0.25">
      <c r="A20586" s="1" t="str">
        <f>"503433"</f>
        <v>503433</v>
      </c>
      <c r="B20586" s="2" t="str">
        <f>"RETENTOR SABO Nº02574 - BR - GEIGER"</f>
        <v>RETENTOR SABO Nº02574 - BR - GEIGER</v>
      </c>
      <c r="C20586" s="2" t="str">
        <f>"UN"</f>
        <v>UN</v>
      </c>
      <c r="D20586" s="7">
        <v>402</v>
      </c>
      <c r="E20586" s="3">
        <v>4</v>
      </c>
      <c r="F20586" s="3">
        <v>4</v>
      </c>
      <c r="G20586" t="s">
        <v>514</v>
      </c>
    </row>
    <row r="20587" spans="1:7" x14ac:dyDescent="0.25">
      <c r="A20587" s="1" t="str">
        <f>"510689"</f>
        <v>510689</v>
      </c>
      <c r="B20587" s="2" t="str">
        <f>"RETENTOR SABO Nº02664 - BR - SOPRO"</f>
        <v>RETENTOR SABO Nº02664 - BR - SOPRO</v>
      </c>
      <c r="C20587" s="2" t="str">
        <f>"PC"</f>
        <v>PC</v>
      </c>
      <c r="D20587" s="7">
        <v>918</v>
      </c>
      <c r="E20587" s="3">
        <v>11</v>
      </c>
      <c r="F20587" s="3">
        <v>11</v>
      </c>
      <c r="G20587" t="s">
        <v>514</v>
      </c>
    </row>
    <row r="20588" spans="1:7" x14ac:dyDescent="0.25">
      <c r="A20588" s="1" t="str">
        <f>"511735"</f>
        <v>511735</v>
      </c>
      <c r="B20588" s="2" t="str">
        <f>"RETENTOR SABO Nº05294 - BR - MIT FG25"</f>
        <v>RETENTOR SABO Nº05294 - BR - MIT FG25</v>
      </c>
      <c r="C20588" s="2" t="str">
        <f t="shared" ref="C20588:C20617" si="819">"UN"</f>
        <v>UN</v>
      </c>
      <c r="D20588" s="7">
        <v>918</v>
      </c>
      <c r="E20588" s="3">
        <v>11</v>
      </c>
      <c r="F20588" s="3">
        <v>11</v>
      </c>
      <c r="G20588" t="s">
        <v>512</v>
      </c>
    </row>
    <row r="20589" spans="1:7" x14ac:dyDescent="0.25">
      <c r="A20589" s="1" t="str">
        <f>"501158"</f>
        <v>501158</v>
      </c>
      <c r="B20589" s="2" t="str">
        <f>"RETENTOR SABO Nº07553 - BR"</f>
        <v>RETENTOR SABO Nº07553 - BR</v>
      </c>
      <c r="C20589" s="2" t="str">
        <f t="shared" si="819"/>
        <v>UN</v>
      </c>
      <c r="D20589" s="7">
        <v>402</v>
      </c>
      <c r="E20589" s="3">
        <v>4</v>
      </c>
      <c r="F20589" s="3">
        <v>4</v>
      </c>
      <c r="G20589" t="s">
        <v>513</v>
      </c>
    </row>
    <row r="20590" spans="1:7" x14ac:dyDescent="0.25">
      <c r="A20590" s="1" t="str">
        <f>"522480"</f>
        <v>522480</v>
      </c>
      <c r="B20590" s="2" t="str">
        <f>"RETENTOR SKFº 25X52X08"</f>
        <v>RETENTOR SKFº 25X52X08</v>
      </c>
      <c r="C20590" s="2" t="str">
        <f t="shared" si="819"/>
        <v>UN</v>
      </c>
      <c r="D20590" s="7">
        <v>905</v>
      </c>
      <c r="E20590" s="3">
        <v>10</v>
      </c>
      <c r="F20590" s="3">
        <v>10</v>
      </c>
      <c r="G20590" t="s">
        <v>514</v>
      </c>
    </row>
    <row r="20591" spans="1:7" x14ac:dyDescent="0.25">
      <c r="A20591" s="1" t="str">
        <f>"502590"</f>
        <v>502590</v>
      </c>
      <c r="B20591" s="2" t="str">
        <f>"RETENTOR SUPERIOR COD.9620138 BYG L2000"</f>
        <v>RETENTOR SUPERIOR COD.9620138 BYG L2000</v>
      </c>
      <c r="C20591" s="2" t="str">
        <f t="shared" si="819"/>
        <v>UN</v>
      </c>
      <c r="D20591" s="7">
        <v>918</v>
      </c>
      <c r="E20591" s="3">
        <v>11</v>
      </c>
      <c r="F20591" s="3">
        <v>11</v>
      </c>
      <c r="G20591" t="s">
        <v>514</v>
      </c>
    </row>
    <row r="20592" spans="1:7" x14ac:dyDescent="0.25">
      <c r="A20592" s="1" t="str">
        <f>"501262"</f>
        <v>501262</v>
      </c>
      <c r="B20592" s="2" t="str">
        <f>"RETENTOR SUPERIOR PISTAO LANCA FBRE 15"</f>
        <v>RETENTOR SUPERIOR PISTAO LANCA FBRE 15</v>
      </c>
      <c r="C20592" s="2" t="str">
        <f t="shared" si="819"/>
        <v>UN</v>
      </c>
      <c r="D20592" s="7">
        <v>918</v>
      </c>
      <c r="E20592" s="3">
        <v>11</v>
      </c>
      <c r="F20592" s="3">
        <v>11</v>
      </c>
      <c r="G20592" t="s">
        <v>514</v>
      </c>
    </row>
    <row r="20593" spans="1:7" x14ac:dyDescent="0.25">
      <c r="A20593" s="1" t="str">
        <f>"504573"</f>
        <v>504573</v>
      </c>
      <c r="B20593" s="2" t="str">
        <f>"RETENTOR TRASEIRO 01923"</f>
        <v>RETENTOR TRASEIRO 01923</v>
      </c>
      <c r="C20593" s="2" t="str">
        <f t="shared" si="819"/>
        <v>UN</v>
      </c>
      <c r="D20593" s="7">
        <v>704</v>
      </c>
      <c r="E20593" s="3">
        <v>9</v>
      </c>
      <c r="F20593" s="3">
        <v>9</v>
      </c>
      <c r="G20593" t="s">
        <v>513</v>
      </c>
    </row>
    <row r="20594" spans="1:7" x14ac:dyDescent="0.25">
      <c r="A20594" s="1" t="str">
        <f>"504576"</f>
        <v>504576</v>
      </c>
      <c r="B20594" s="2" t="str">
        <f>"RETENTOR TRASEIRO 02485"</f>
        <v>RETENTOR TRASEIRO 02485</v>
      </c>
      <c r="C20594" s="2" t="str">
        <f t="shared" si="819"/>
        <v>UN</v>
      </c>
      <c r="D20594" s="7">
        <v>704</v>
      </c>
      <c r="E20594" s="3">
        <v>9</v>
      </c>
      <c r="F20594" s="3">
        <v>9</v>
      </c>
      <c r="G20594" t="s">
        <v>512</v>
      </c>
    </row>
    <row r="20595" spans="1:7" x14ac:dyDescent="0.25">
      <c r="A20595" s="1" t="str">
        <f>"504574"</f>
        <v>504574</v>
      </c>
      <c r="B20595" s="2" t="str">
        <f>"RETENTOR TRASEIRO 07375"</f>
        <v>RETENTOR TRASEIRO 07375</v>
      </c>
      <c r="C20595" s="2" t="str">
        <f t="shared" si="819"/>
        <v>UN</v>
      </c>
      <c r="D20595" s="7">
        <v>704</v>
      </c>
      <c r="E20595" s="3">
        <v>9</v>
      </c>
      <c r="F20595" s="3">
        <v>9</v>
      </c>
      <c r="G20595" t="s">
        <v>513</v>
      </c>
    </row>
    <row r="20596" spans="1:7" x14ac:dyDescent="0.25">
      <c r="A20596" s="1" t="str">
        <f>"504604"</f>
        <v>504604</v>
      </c>
      <c r="B20596" s="2" t="str">
        <f>"RETENTOR TRASEIRO CUBO E-1HT1175AA"</f>
        <v>RETENTOR TRASEIRO CUBO E-1HT1175AA</v>
      </c>
      <c r="C20596" s="2" t="str">
        <f t="shared" si="819"/>
        <v>UN</v>
      </c>
      <c r="D20596" s="7">
        <v>704</v>
      </c>
      <c r="E20596" s="3">
        <v>9</v>
      </c>
      <c r="F20596" s="3">
        <v>9</v>
      </c>
      <c r="G20596" t="s">
        <v>514</v>
      </c>
    </row>
    <row r="20597" spans="1:7" x14ac:dyDescent="0.25">
      <c r="A20597" s="1" t="str">
        <f>"501157"</f>
        <v>501157</v>
      </c>
      <c r="B20597" s="2" t="str">
        <f>"RETENTOR VEDABRAS N.3041"</f>
        <v>RETENTOR VEDABRAS N.3041</v>
      </c>
      <c r="C20597" s="2" t="str">
        <f t="shared" si="819"/>
        <v>UN</v>
      </c>
      <c r="D20597" s="7">
        <v>402</v>
      </c>
      <c r="E20597" s="3">
        <v>4</v>
      </c>
      <c r="F20597" s="3">
        <v>4</v>
      </c>
      <c r="G20597" t="s">
        <v>514</v>
      </c>
    </row>
    <row r="20598" spans="1:7" x14ac:dyDescent="0.25">
      <c r="A20598" s="1" t="str">
        <f>"500994"</f>
        <v>500994</v>
      </c>
      <c r="B20598" s="2" t="str">
        <f>"RETENTOR VEDABRAS Nº1984"</f>
        <v>RETENTOR VEDABRAS Nº1984</v>
      </c>
      <c r="C20598" s="2" t="str">
        <f t="shared" si="819"/>
        <v>UN</v>
      </c>
      <c r="D20598" s="7">
        <v>402</v>
      </c>
      <c r="E20598" s="3">
        <v>4</v>
      </c>
      <c r="F20598" s="3">
        <v>4</v>
      </c>
      <c r="G20598" t="s">
        <v>514</v>
      </c>
    </row>
    <row r="20599" spans="1:7" x14ac:dyDescent="0.25">
      <c r="A20599" s="1" t="str">
        <f>"503485"</f>
        <v>503485</v>
      </c>
      <c r="B20599" s="2" t="str">
        <f>"RETENTOR VEDALONE Nº4695 25X35X7MM"</f>
        <v>RETENTOR VEDALONE Nº4695 25X35X7MM</v>
      </c>
      <c r="C20599" s="2" t="str">
        <f t="shared" si="819"/>
        <v>UN</v>
      </c>
      <c r="D20599" s="7">
        <v>402</v>
      </c>
      <c r="E20599" s="3">
        <v>4</v>
      </c>
      <c r="F20599" s="3">
        <v>4</v>
      </c>
      <c r="G20599" t="s">
        <v>513</v>
      </c>
    </row>
    <row r="20600" spans="1:7" x14ac:dyDescent="0.25">
      <c r="A20600" s="1" t="str">
        <f>"519164"</f>
        <v>519164</v>
      </c>
      <c r="B20600" s="2" t="str">
        <f>"RETENTOR VIRA STILL FS220 2250"</f>
        <v>RETENTOR VIRA STILL FS220 2250</v>
      </c>
      <c r="C20600" s="2" t="str">
        <f t="shared" si="819"/>
        <v>UN</v>
      </c>
      <c r="D20600" s="7">
        <v>918</v>
      </c>
      <c r="E20600" s="3">
        <v>11</v>
      </c>
      <c r="F20600" s="3">
        <v>11</v>
      </c>
      <c r="G20600" t="s">
        <v>513</v>
      </c>
    </row>
    <row r="20601" spans="1:7" x14ac:dyDescent="0.25">
      <c r="A20601" s="1" t="str">
        <f>"519165"</f>
        <v>519165</v>
      </c>
      <c r="B20601" s="2" t="str">
        <f>"RETENTOR VIRA STILL FS220 2252"</f>
        <v>RETENTOR VIRA STILL FS220 2252</v>
      </c>
      <c r="C20601" s="2" t="str">
        <f t="shared" si="819"/>
        <v>UN</v>
      </c>
      <c r="D20601" s="7">
        <v>918</v>
      </c>
      <c r="E20601" s="3">
        <v>11</v>
      </c>
      <c r="F20601" s="3">
        <v>11</v>
      </c>
      <c r="G20601" t="s">
        <v>513</v>
      </c>
    </row>
    <row r="20602" spans="1:7" x14ac:dyDescent="0.25">
      <c r="A20602" s="1" t="str">
        <f>"519082"</f>
        <v>519082</v>
      </c>
      <c r="B20602" s="2" t="str">
        <f>"RETIFICA ALTERNADOR"</f>
        <v>RETIFICA ALTERNADOR</v>
      </c>
      <c r="C20602" s="2" t="str">
        <f t="shared" si="819"/>
        <v>UN</v>
      </c>
      <c r="D20602" s="7">
        <v>704</v>
      </c>
      <c r="E20602" s="3">
        <v>9</v>
      </c>
      <c r="F20602" s="3">
        <v>9</v>
      </c>
      <c r="G20602" t="s">
        <v>512</v>
      </c>
    </row>
    <row r="20603" spans="1:7" x14ac:dyDescent="0.25">
      <c r="A20603" s="1" t="str">
        <f>"523358"</f>
        <v>523358</v>
      </c>
      <c r="B20603" s="2" t="str">
        <f>"RETIFICA DWT GS0627LV 600W"</f>
        <v>RETIFICA DWT GS0627LV 600W</v>
      </c>
      <c r="C20603" s="2" t="str">
        <f t="shared" si="819"/>
        <v>UN</v>
      </c>
      <c r="D20603" s="7">
        <v>920</v>
      </c>
      <c r="E20603" s="3">
        <v>13</v>
      </c>
      <c r="F20603" s="3">
        <v>13</v>
      </c>
      <c r="G20603" t="s">
        <v>513</v>
      </c>
    </row>
    <row r="20604" spans="1:7" x14ac:dyDescent="0.25">
      <c r="A20604" s="1" t="str">
        <f>"518849"</f>
        <v>518849</v>
      </c>
      <c r="B20604" s="2" t="str">
        <f>"RETIFICA MINI PNEUMATICA C/ ACE. 8JN"</f>
        <v>RETIFICA MINI PNEUMATICA C/ ACE. 8JN</v>
      </c>
      <c r="C20604" s="2" t="str">
        <f t="shared" si="819"/>
        <v>UN</v>
      </c>
      <c r="D20604" s="7">
        <v>920</v>
      </c>
      <c r="E20604" s="3">
        <v>11</v>
      </c>
      <c r="F20604" s="3">
        <v>11</v>
      </c>
      <c r="G20604" t="s">
        <v>514</v>
      </c>
    </row>
    <row r="20605" spans="1:7" x14ac:dyDescent="0.25">
      <c r="A20605" s="1" t="str">
        <f>"514679"</f>
        <v>514679</v>
      </c>
      <c r="B20605" s="2" t="str">
        <f>"RETIFICADEIRA RETA BOSCH GGS 28L 220V"</f>
        <v>RETIFICADEIRA RETA BOSCH GGS 28L 220V</v>
      </c>
      <c r="C20605" s="2" t="str">
        <f t="shared" si="819"/>
        <v>UN</v>
      </c>
      <c r="D20605" s="7">
        <v>920</v>
      </c>
      <c r="E20605" s="3">
        <v>13</v>
      </c>
      <c r="F20605" s="3">
        <v>13</v>
      </c>
      <c r="G20605" t="s">
        <v>515</v>
      </c>
    </row>
    <row r="20606" spans="1:7" x14ac:dyDescent="0.25">
      <c r="A20606" s="1" t="str">
        <f>"525851"</f>
        <v>525851</v>
      </c>
      <c r="B20606" s="2" t="str">
        <f>"RETIFICADOR SEW TYPE BG 1.5 (825 384 6.)"</f>
        <v>RETIFICADOR SEW TYPE BG 1.5 (825 384 6.)</v>
      </c>
      <c r="C20606" s="2" t="str">
        <f t="shared" si="819"/>
        <v>UN</v>
      </c>
      <c r="D20606" s="7">
        <v>811</v>
      </c>
      <c r="E20606" s="3">
        <v>11</v>
      </c>
      <c r="F20606" s="3">
        <v>11</v>
      </c>
      <c r="G20606" t="s">
        <v>512</v>
      </c>
    </row>
    <row r="20607" spans="1:7" x14ac:dyDescent="0.25">
      <c r="A20607" s="1" t="str">
        <f>"527661"</f>
        <v>527661</v>
      </c>
      <c r="B20607" s="2" t="str">
        <f>"RETIFICADOR SEW TYPE BSG 24 V COD8254591"</f>
        <v>RETIFICADOR SEW TYPE BSG 24 V COD8254591</v>
      </c>
      <c r="C20607" s="2" t="str">
        <f t="shared" si="819"/>
        <v>UN</v>
      </c>
      <c r="D20607" s="7">
        <v>811</v>
      </c>
      <c r="E20607" s="3">
        <v>11</v>
      </c>
      <c r="F20607" s="3">
        <v>11</v>
      </c>
      <c r="G20607" t="s">
        <v>516</v>
      </c>
    </row>
    <row r="20608" spans="1:7" x14ac:dyDescent="0.25">
      <c r="A20608" s="1" t="str">
        <f>"510788"</f>
        <v>510788</v>
      </c>
      <c r="B20608" s="2" t="str">
        <f>"RETIRADA DE VIRUS"</f>
        <v>RETIRADA DE VIRUS</v>
      </c>
      <c r="C20608" s="2" t="str">
        <f t="shared" si="819"/>
        <v>UN</v>
      </c>
      <c r="D20608" s="7">
        <v>401</v>
      </c>
      <c r="E20608" s="3">
        <v>4</v>
      </c>
      <c r="F20608" s="3">
        <v>4</v>
      </c>
      <c r="G20608" t="s">
        <v>515</v>
      </c>
    </row>
    <row r="20609" spans="1:7" x14ac:dyDescent="0.25">
      <c r="A20609" s="1" t="str">
        <f>"518475"</f>
        <v>518475</v>
      </c>
      <c r="B20609" s="2" t="str">
        <f>"RETROESCAVADEIRA CAT. MOD-416E-JCBD01095"</f>
        <v>RETROESCAVADEIRA CAT. MOD-416E-JCBD01095</v>
      </c>
      <c r="C20609" s="2" t="str">
        <f t="shared" si="819"/>
        <v>UN</v>
      </c>
      <c r="D20609" s="7">
        <v>99999</v>
      </c>
      <c r="E20609" s="3">
        <v>99</v>
      </c>
      <c r="F20609" s="3">
        <v>99</v>
      </c>
      <c r="G20609" t="s">
        <v>514</v>
      </c>
    </row>
    <row r="20610" spans="1:7" x14ac:dyDescent="0.25">
      <c r="A20610" s="1" t="str">
        <f>"509307"</f>
        <v>509307</v>
      </c>
      <c r="B20610" s="2" t="str">
        <f>"RETROFIT"</f>
        <v>RETROFIT</v>
      </c>
      <c r="C20610" s="2" t="str">
        <f t="shared" si="819"/>
        <v>UN</v>
      </c>
      <c r="D20610" s="7">
        <v>704</v>
      </c>
      <c r="E20610" s="3">
        <v>9</v>
      </c>
      <c r="F20610" s="3">
        <v>9</v>
      </c>
      <c r="G20610" t="s">
        <v>512</v>
      </c>
    </row>
    <row r="20611" spans="1:7" x14ac:dyDescent="0.25">
      <c r="A20611" s="1" t="str">
        <f>"526007"</f>
        <v>526007</v>
      </c>
      <c r="B20611" s="2" t="str">
        <f>"RETROVISOR COMUN"</f>
        <v>RETROVISOR COMUN</v>
      </c>
      <c r="C20611" s="2" t="str">
        <f t="shared" si="819"/>
        <v>UN</v>
      </c>
      <c r="D20611" s="7">
        <v>99999</v>
      </c>
      <c r="E20611" s="3">
        <v>9</v>
      </c>
      <c r="F20611" s="3">
        <v>9</v>
      </c>
      <c r="G20611" t="s">
        <v>513</v>
      </c>
    </row>
    <row r="20612" spans="1:7" x14ac:dyDescent="0.25">
      <c r="A20612" s="1" t="str">
        <f>"506464"</f>
        <v>506464</v>
      </c>
      <c r="B20612" s="2" t="str">
        <f>"RETROVISOR ESQUERDO-AQ"</f>
        <v>RETROVISOR ESQUERDO-AQ</v>
      </c>
      <c r="C20612" s="2" t="str">
        <f t="shared" si="819"/>
        <v>UN</v>
      </c>
      <c r="D20612" s="7">
        <v>918</v>
      </c>
      <c r="E20612" s="3">
        <v>11</v>
      </c>
      <c r="F20612" s="3">
        <v>11</v>
      </c>
      <c r="G20612" t="s">
        <v>514</v>
      </c>
    </row>
    <row r="20613" spans="1:7" x14ac:dyDescent="0.25">
      <c r="A20613" s="1" t="str">
        <f>"518824"</f>
        <v>518824</v>
      </c>
      <c r="B20613" s="2" t="str">
        <f>"RETROVISOR FORD CARDO 1722 DIREITO"</f>
        <v>RETROVISOR FORD CARDO 1722 DIREITO</v>
      </c>
      <c r="C20613" s="2" t="str">
        <f t="shared" si="819"/>
        <v>UN</v>
      </c>
      <c r="D20613" s="7">
        <v>704</v>
      </c>
      <c r="E20613" s="3">
        <v>9</v>
      </c>
      <c r="F20613" s="3">
        <v>9</v>
      </c>
      <c r="G20613" t="s">
        <v>514</v>
      </c>
    </row>
    <row r="20614" spans="1:7" x14ac:dyDescent="0.25">
      <c r="A20614" s="1" t="str">
        <f>"518825"</f>
        <v>518825</v>
      </c>
      <c r="B20614" s="2" t="str">
        <f>"RETROVISOR FORD CARDO 1722 ESQUERDO"</f>
        <v>RETROVISOR FORD CARDO 1722 ESQUERDO</v>
      </c>
      <c r="C20614" s="2" t="str">
        <f t="shared" si="819"/>
        <v>UN</v>
      </c>
      <c r="D20614" s="7">
        <v>704</v>
      </c>
      <c r="E20614" s="3">
        <v>9</v>
      </c>
      <c r="F20614" s="3">
        <v>9</v>
      </c>
      <c r="G20614" t="s">
        <v>512</v>
      </c>
    </row>
    <row r="20615" spans="1:7" x14ac:dyDescent="0.25">
      <c r="A20615" s="1" t="str">
        <f>"503056"</f>
        <v>503056</v>
      </c>
      <c r="B20615" s="2" t="str">
        <f>"RETROVISOR PARA VOSKWAGEM 23.220"</f>
        <v>RETROVISOR PARA VOSKWAGEM 23.220</v>
      </c>
      <c r="C20615" s="2" t="str">
        <f t="shared" si="819"/>
        <v>UN</v>
      </c>
      <c r="D20615" s="7">
        <v>704</v>
      </c>
      <c r="E20615" s="3">
        <v>9</v>
      </c>
      <c r="F20615" s="3">
        <v>9</v>
      </c>
      <c r="G20615" t="s">
        <v>513</v>
      </c>
    </row>
    <row r="20616" spans="1:7" x14ac:dyDescent="0.25">
      <c r="A20616" s="1" t="str">
        <f>"511111"</f>
        <v>511111</v>
      </c>
      <c r="B20616" s="2" t="str">
        <f>"REVEST. ELIANE BRANCO PSCINA 20X20 BLILH"</f>
        <v>REVEST. ELIANE BRANCO PSCINA 20X20 BLILH</v>
      </c>
      <c r="C20616" s="2" t="str">
        <f t="shared" si="819"/>
        <v>UN</v>
      </c>
      <c r="D20616" s="7">
        <v>803</v>
      </c>
      <c r="E20616" s="3">
        <v>10</v>
      </c>
      <c r="F20616" s="3">
        <v>10</v>
      </c>
      <c r="G20616" t="s">
        <v>514</v>
      </c>
    </row>
    <row r="20617" spans="1:7" x14ac:dyDescent="0.25">
      <c r="A20617" s="1" t="str">
        <f>"511974"</f>
        <v>511974</v>
      </c>
      <c r="B20617" s="2" t="str">
        <f>"REVESTIMENTO"</f>
        <v>REVESTIMENTO</v>
      </c>
      <c r="C20617" s="2" t="str">
        <f t="shared" si="819"/>
        <v>UN</v>
      </c>
      <c r="D20617" s="7">
        <v>704</v>
      </c>
      <c r="E20617" s="3">
        <v>9</v>
      </c>
      <c r="F20617" s="3">
        <v>9</v>
      </c>
      <c r="G20617" t="s">
        <v>514</v>
      </c>
    </row>
    <row r="20618" spans="1:7" x14ac:dyDescent="0.25">
      <c r="A20618" s="1" t="str">
        <f>"511071"</f>
        <v>511071</v>
      </c>
      <c r="B20618" s="2" t="str">
        <f>"REVESTIMENTO 6"" AÇO CARBONO"</f>
        <v>REVESTIMENTO 6" AÇO CARBONO</v>
      </c>
      <c r="C20618" s="2" t="str">
        <f>"BR"</f>
        <v>BR</v>
      </c>
      <c r="D20618" s="7">
        <v>808</v>
      </c>
      <c r="E20618" s="3">
        <v>10</v>
      </c>
      <c r="F20618" s="3">
        <v>10</v>
      </c>
      <c r="G20618" t="s">
        <v>514</v>
      </c>
    </row>
    <row r="20619" spans="1:7" x14ac:dyDescent="0.25">
      <c r="A20619" s="1" t="str">
        <f>"505806"</f>
        <v>505806</v>
      </c>
      <c r="B20619" s="2" t="str">
        <f>"REVESTIMENTO AGATA BIANCO 32X43"</f>
        <v>REVESTIMENTO AGATA BIANCO 32X43</v>
      </c>
      <c r="C20619" s="2" t="str">
        <f t="shared" ref="C20619:C20627" si="820">"UN"</f>
        <v>UN</v>
      </c>
      <c r="D20619" s="7">
        <v>803</v>
      </c>
      <c r="E20619" s="3">
        <v>10</v>
      </c>
      <c r="F20619" s="3">
        <v>10</v>
      </c>
      <c r="G20619" t="s">
        <v>513</v>
      </c>
    </row>
    <row r="20620" spans="1:7" x14ac:dyDescent="0.25">
      <c r="A20620" s="1" t="str">
        <f>"511693"</f>
        <v>511693</v>
      </c>
      <c r="B20620" s="2" t="str">
        <f>"REVESTIMENTO BRANCO 20X20 VILLAGRES"</f>
        <v>REVESTIMENTO BRANCO 20X20 VILLAGRES</v>
      </c>
      <c r="C20620" s="2" t="str">
        <f t="shared" si="820"/>
        <v>UN</v>
      </c>
      <c r="D20620" s="7">
        <v>803</v>
      </c>
      <c r="E20620" s="3">
        <v>10</v>
      </c>
      <c r="F20620" s="3">
        <v>10</v>
      </c>
      <c r="G20620" t="s">
        <v>512</v>
      </c>
    </row>
    <row r="20621" spans="1:7" x14ac:dyDescent="0.25">
      <c r="A20621" s="1" t="str">
        <f>"521952"</f>
        <v>521952</v>
      </c>
      <c r="B20621" s="2" t="str">
        <f>"REVESTIMENTO CAIXA 60X60CM AÇO INOX 314L OD"</f>
        <v>REVESTIMENTO CAIXA 60X60CM AÇO INOX 314L OD</v>
      </c>
      <c r="C20621" s="2" t="str">
        <f t="shared" si="820"/>
        <v>UN</v>
      </c>
      <c r="D20621" s="7">
        <v>915</v>
      </c>
      <c r="E20621" s="3">
        <v>10</v>
      </c>
      <c r="F20621" s="3">
        <v>10</v>
      </c>
      <c r="G20621" t="s">
        <v>513</v>
      </c>
    </row>
    <row r="20622" spans="1:7" x14ac:dyDescent="0.25">
      <c r="A20622" s="1" t="str">
        <f>"520862"</f>
        <v>520862</v>
      </c>
      <c r="B20622" s="2" t="str">
        <f>"REVISÃO E REGULAGEM GERAL"</f>
        <v>REVISÃO E REGULAGEM GERAL</v>
      </c>
      <c r="C20622" s="2" t="str">
        <f t="shared" si="820"/>
        <v>UN</v>
      </c>
      <c r="D20622" s="7">
        <v>1300</v>
      </c>
      <c r="E20622" s="3">
        <v>11</v>
      </c>
      <c r="F20622" s="3">
        <v>11</v>
      </c>
      <c r="G20622" t="s">
        <v>514</v>
      </c>
    </row>
    <row r="20623" spans="1:7" x14ac:dyDescent="0.25">
      <c r="A20623" s="1" t="str">
        <f>"518868"</f>
        <v>518868</v>
      </c>
      <c r="B20623" s="2" t="str">
        <f>"REVISÃO HIDRAULICA"</f>
        <v>REVISÃO HIDRAULICA</v>
      </c>
      <c r="C20623" s="2" t="str">
        <f t="shared" si="820"/>
        <v>UN</v>
      </c>
      <c r="D20623" s="7">
        <v>918</v>
      </c>
      <c r="E20623" s="3">
        <v>11</v>
      </c>
      <c r="F20623" s="3">
        <v>11</v>
      </c>
      <c r="G20623" t="s">
        <v>514</v>
      </c>
    </row>
    <row r="20624" spans="1:7" x14ac:dyDescent="0.25">
      <c r="A20624" s="1" t="str">
        <f>"514304"</f>
        <v>514304</v>
      </c>
      <c r="B20624" s="2" t="str">
        <f>"REVISTA"</f>
        <v>REVISTA</v>
      </c>
      <c r="C20624" s="2" t="str">
        <f t="shared" si="820"/>
        <v>UN</v>
      </c>
      <c r="D20624" s="7">
        <v>401</v>
      </c>
      <c r="E20624" s="3">
        <v>4</v>
      </c>
      <c r="F20624" s="3">
        <v>4</v>
      </c>
      <c r="G20624" t="s">
        <v>514</v>
      </c>
    </row>
    <row r="20625" spans="1:7" x14ac:dyDescent="0.25">
      <c r="A20625" s="1" t="str">
        <f>"523665"</f>
        <v>523665</v>
      </c>
      <c r="B20625" s="2" t="str">
        <f>"REVISTA CODIGO DE CONDUTA"</f>
        <v>REVISTA CODIGO DE CONDUTA</v>
      </c>
      <c r="C20625" s="2" t="str">
        <f t="shared" si="820"/>
        <v>UN</v>
      </c>
      <c r="D20625" s="7">
        <v>99999</v>
      </c>
      <c r="E20625" s="3">
        <v>99</v>
      </c>
      <c r="F20625" s="3">
        <v>99</v>
      </c>
      <c r="G20625" t="s">
        <v>513</v>
      </c>
    </row>
    <row r="20626" spans="1:7" x14ac:dyDescent="0.25">
      <c r="A20626" s="1" t="str">
        <f>"524463"</f>
        <v>524463</v>
      </c>
      <c r="B20626" s="2" t="str">
        <f>"REVOLVER DE PINTURA"</f>
        <v>REVOLVER DE PINTURA</v>
      </c>
      <c r="C20626" s="2" t="str">
        <f t="shared" si="820"/>
        <v>UN</v>
      </c>
      <c r="D20626" s="7">
        <v>817</v>
      </c>
      <c r="E20626" s="3">
        <v>4</v>
      </c>
      <c r="F20626" s="3">
        <v>4</v>
      </c>
      <c r="G20626" t="s">
        <v>513</v>
      </c>
    </row>
    <row r="20627" spans="1:7" x14ac:dyDescent="0.25">
      <c r="A20627" s="1" t="str">
        <f>"509067"</f>
        <v>509067</v>
      </c>
      <c r="B20627" s="2" t="str">
        <f>"REVOLVER P/ MANGUEIRA 1/2"""</f>
        <v>REVOLVER P/ MANGUEIRA 1/2"</v>
      </c>
      <c r="C20627" s="2" t="str">
        <f t="shared" si="820"/>
        <v>UN</v>
      </c>
      <c r="D20627" s="7">
        <v>914</v>
      </c>
      <c r="E20627" s="3">
        <v>11</v>
      </c>
      <c r="F20627" s="3">
        <v>11</v>
      </c>
      <c r="G20627" t="s">
        <v>513</v>
      </c>
    </row>
    <row r="20628" spans="1:7" x14ac:dyDescent="0.25">
      <c r="A20628" s="1" t="str">
        <f>"512541"</f>
        <v>512541</v>
      </c>
      <c r="B20628" s="2" t="str">
        <f>"REVOLVER P/ MANGUEIRA ALTA PRESSAO"</f>
        <v>REVOLVER P/ MANGUEIRA ALTA PRESSAO</v>
      </c>
      <c r="C20628" s="2" t="str">
        <f>"BR"</f>
        <v>BR</v>
      </c>
      <c r="D20628" s="7">
        <v>808</v>
      </c>
      <c r="E20628" s="3">
        <v>10</v>
      </c>
      <c r="F20628" s="3">
        <v>10</v>
      </c>
      <c r="G20628" t="s">
        <v>512</v>
      </c>
    </row>
    <row r="20629" spans="1:7" x14ac:dyDescent="0.25">
      <c r="A20629" s="1" t="str">
        <f>"510387"</f>
        <v>510387</v>
      </c>
      <c r="B20629" s="2" t="str">
        <f>"REVOLVER P/ PINTURA - ALUMINIO MILENIUM 1,8MM ALTA"</f>
        <v>REVOLVER P/ PINTURA - ALUMINIO MILENIUM 1,8MM ALTA</v>
      </c>
      <c r="C20629" s="2" t="str">
        <f>"UN"</f>
        <v>UN</v>
      </c>
      <c r="D20629" s="7">
        <v>402</v>
      </c>
      <c r="E20629" s="3">
        <v>4</v>
      </c>
      <c r="F20629" s="3">
        <v>4</v>
      </c>
      <c r="G20629" t="s">
        <v>513</v>
      </c>
    </row>
    <row r="20630" spans="1:7" x14ac:dyDescent="0.25">
      <c r="A20630" s="1" t="str">
        <f>"519225"</f>
        <v>519225</v>
      </c>
      <c r="B20630" s="2" t="str">
        <f>"RIBBON DE CERA ESPECIAL 110MM X 74 METROS"</f>
        <v>RIBBON DE CERA ESPECIAL 110MM X 74 METROS</v>
      </c>
      <c r="C20630" s="2" t="str">
        <f>"UN"</f>
        <v>UN</v>
      </c>
      <c r="D20630" s="7">
        <v>107</v>
      </c>
      <c r="E20630" s="3">
        <v>4</v>
      </c>
      <c r="F20630" s="3">
        <v>4</v>
      </c>
      <c r="G20630" t="s">
        <v>514</v>
      </c>
    </row>
    <row r="20631" spans="1:7" x14ac:dyDescent="0.25">
      <c r="A20631" s="1" t="str">
        <f>"518503"</f>
        <v>518503</v>
      </c>
      <c r="B20631" s="2" t="str">
        <f>"RIBBON TTO P PRETO 33MM X 550M"</f>
        <v>RIBBON TTO P PRETO 33MM X 550M</v>
      </c>
      <c r="C20631" s="2" t="str">
        <f>"PC"</f>
        <v>PC</v>
      </c>
      <c r="D20631" s="7">
        <v>907</v>
      </c>
      <c r="E20631" s="3">
        <v>11</v>
      </c>
      <c r="F20631" s="3">
        <v>11</v>
      </c>
      <c r="G20631" t="s">
        <v>515</v>
      </c>
    </row>
    <row r="20632" spans="1:7" x14ac:dyDescent="0.25">
      <c r="A20632" s="1" t="str">
        <f>"521698"</f>
        <v>521698</v>
      </c>
      <c r="B20632" s="2" t="str">
        <f>"RIFAMICINA 10MG SPRAY FR 20ML"</f>
        <v>RIFAMICINA 10MG SPRAY FR 20ML</v>
      </c>
      <c r="C20632" s="2" t="str">
        <f t="shared" ref="C20632:C20663" si="821">"UN"</f>
        <v>UN</v>
      </c>
      <c r="D20632" s="7">
        <v>99999</v>
      </c>
      <c r="E20632" s="3">
        <v>99</v>
      </c>
      <c r="F20632" s="3">
        <v>99</v>
      </c>
      <c r="G20632" t="s">
        <v>512</v>
      </c>
    </row>
    <row r="20633" spans="1:7" x14ac:dyDescent="0.25">
      <c r="A20633" s="1" t="str">
        <f>"514722"</f>
        <v>514722</v>
      </c>
      <c r="B20633" s="2" t="str">
        <f>"RIFASAN"</f>
        <v>RIFASAN</v>
      </c>
      <c r="C20633" s="2" t="str">
        <f t="shared" si="821"/>
        <v>UN</v>
      </c>
      <c r="D20633" s="7">
        <v>401</v>
      </c>
      <c r="E20633" s="3">
        <v>4</v>
      </c>
      <c r="F20633" s="3">
        <v>4</v>
      </c>
      <c r="G20633" t="s">
        <v>516</v>
      </c>
    </row>
    <row r="20634" spans="1:7" x14ac:dyDescent="0.25">
      <c r="A20634" s="1" t="str">
        <f>"527686"</f>
        <v>527686</v>
      </c>
      <c r="B20634" s="2" t="str">
        <f>"RIFOCINA SPRAY"</f>
        <v>RIFOCINA SPRAY</v>
      </c>
      <c r="C20634" s="2" t="str">
        <f t="shared" si="821"/>
        <v>UN</v>
      </c>
      <c r="D20634" s="7">
        <v>99999</v>
      </c>
      <c r="E20634" s="3">
        <v>99</v>
      </c>
      <c r="F20634" s="3">
        <v>99</v>
      </c>
      <c r="G20634" t="s">
        <v>515</v>
      </c>
    </row>
    <row r="20635" spans="1:7" x14ac:dyDescent="0.25">
      <c r="A20635" s="1" t="str">
        <f>"515585"</f>
        <v>515585</v>
      </c>
      <c r="B20635" s="2" t="str">
        <f>"RIOCIM 30GR"</f>
        <v>RIOCIM 30GR</v>
      </c>
      <c r="C20635" s="2" t="str">
        <f t="shared" si="821"/>
        <v>UN</v>
      </c>
      <c r="D20635" s="7">
        <v>401</v>
      </c>
      <c r="E20635" s="3">
        <v>4</v>
      </c>
      <c r="F20635" s="3">
        <v>4</v>
      </c>
      <c r="G20635" t="s">
        <v>514</v>
      </c>
    </row>
    <row r="20636" spans="1:7" x14ac:dyDescent="0.25">
      <c r="A20636" s="1" t="str">
        <f>"515225"</f>
        <v>515225</v>
      </c>
      <c r="B20636" s="2" t="str">
        <f>"RIODEINE TOPICO 100ML"</f>
        <v>RIODEINE TOPICO 100ML</v>
      </c>
      <c r="C20636" s="2" t="str">
        <f t="shared" si="821"/>
        <v>UN</v>
      </c>
      <c r="D20636" s="7">
        <v>401</v>
      </c>
      <c r="E20636" s="3">
        <v>4</v>
      </c>
      <c r="F20636" s="3">
        <v>4</v>
      </c>
      <c r="G20636" t="s">
        <v>512</v>
      </c>
    </row>
    <row r="20637" spans="1:7" x14ac:dyDescent="0.25">
      <c r="A20637" s="1" t="str">
        <f>"518655"</f>
        <v>518655</v>
      </c>
      <c r="B20637" s="2" t="str">
        <f>"RIODEINE TOPICO 30ML"</f>
        <v>RIODEINE TOPICO 30ML</v>
      </c>
      <c r="C20637" s="2" t="str">
        <f t="shared" si="821"/>
        <v>UN</v>
      </c>
      <c r="D20637" s="7">
        <v>401</v>
      </c>
      <c r="E20637" s="3">
        <v>4</v>
      </c>
      <c r="F20637" s="3">
        <v>4</v>
      </c>
      <c r="G20637" t="s">
        <v>513</v>
      </c>
    </row>
    <row r="20638" spans="1:7" x14ac:dyDescent="0.25">
      <c r="A20638" s="1" t="str">
        <f>"513418"</f>
        <v>513418</v>
      </c>
      <c r="B20638" s="2" t="str">
        <f>"RIPA DE PINUS 1 X 2 PEÇA 2,50"</f>
        <v>RIPA DE PINUS 1 X 2 PEÇA 2,50</v>
      </c>
      <c r="C20638" s="2" t="str">
        <f t="shared" si="821"/>
        <v>UN</v>
      </c>
      <c r="D20638" s="7">
        <v>803</v>
      </c>
      <c r="E20638" s="3">
        <v>4</v>
      </c>
      <c r="F20638" s="3">
        <v>4</v>
      </c>
      <c r="G20638" t="s">
        <v>514</v>
      </c>
    </row>
    <row r="20639" spans="1:7" x14ac:dyDescent="0.25">
      <c r="A20639" s="1" t="str">
        <f>"515052"</f>
        <v>515052</v>
      </c>
      <c r="B20639" s="2" t="str">
        <f>"RISCADOR PARA PISO"</f>
        <v>RISCADOR PARA PISO</v>
      </c>
      <c r="C20639" s="2" t="str">
        <f t="shared" si="821"/>
        <v>UN</v>
      </c>
      <c r="D20639" s="7">
        <v>919</v>
      </c>
      <c r="E20639" s="3">
        <v>4</v>
      </c>
      <c r="F20639" s="3">
        <v>4</v>
      </c>
      <c r="G20639" t="s">
        <v>514</v>
      </c>
    </row>
    <row r="20640" spans="1:7" x14ac:dyDescent="0.25">
      <c r="A20640" s="1" t="str">
        <f>"513340"</f>
        <v>513340</v>
      </c>
      <c r="B20640" s="2" t="str">
        <f>"RISQUE RABISQUE"</f>
        <v>RISQUE RABISQUE</v>
      </c>
      <c r="C20640" s="2" t="str">
        <f t="shared" si="821"/>
        <v>UN</v>
      </c>
      <c r="D20640" s="7">
        <v>401</v>
      </c>
      <c r="E20640" s="3">
        <v>4</v>
      </c>
      <c r="F20640" s="3">
        <v>4</v>
      </c>
      <c r="G20640" t="s">
        <v>512</v>
      </c>
    </row>
    <row r="20641" spans="1:7" x14ac:dyDescent="0.25">
      <c r="A20641" s="1" t="str">
        <f>"520670"</f>
        <v>520670</v>
      </c>
      <c r="B20641" s="2" t="str">
        <f>"ROÇADEIRA STHIL FS220"</f>
        <v>ROÇADEIRA STHIL FS220</v>
      </c>
      <c r="C20641" s="2" t="str">
        <f t="shared" si="821"/>
        <v>UN</v>
      </c>
      <c r="D20641" s="7">
        <v>817</v>
      </c>
      <c r="E20641" s="3">
        <v>4</v>
      </c>
      <c r="F20641" s="3">
        <v>4</v>
      </c>
      <c r="G20641" t="s">
        <v>513</v>
      </c>
    </row>
    <row r="20642" spans="1:7" x14ac:dyDescent="0.25">
      <c r="A20642" s="1" t="str">
        <f>"524790"</f>
        <v>524790</v>
      </c>
      <c r="B20642" s="2" t="str">
        <f>"RODA"</f>
        <v>RODA</v>
      </c>
      <c r="C20642" s="2" t="str">
        <f t="shared" si="821"/>
        <v>UN</v>
      </c>
      <c r="D20642" s="7">
        <v>99999</v>
      </c>
      <c r="E20642" s="3">
        <v>99</v>
      </c>
      <c r="F20642" s="3">
        <v>99</v>
      </c>
      <c r="G20642" t="s">
        <v>514</v>
      </c>
    </row>
    <row r="20643" spans="1:7" x14ac:dyDescent="0.25">
      <c r="A20643" s="1" t="str">
        <f>"513255"</f>
        <v>513255</v>
      </c>
      <c r="B20643" s="2" t="str">
        <f>"RODA 14"" GOL"</f>
        <v>RODA 14" GOL</v>
      </c>
      <c r="C20643" s="2" t="str">
        <f t="shared" si="821"/>
        <v>UN</v>
      </c>
      <c r="D20643" s="7">
        <v>704</v>
      </c>
      <c r="E20643" s="3">
        <v>9</v>
      </c>
      <c r="F20643" s="3">
        <v>9</v>
      </c>
      <c r="G20643" t="s">
        <v>514</v>
      </c>
    </row>
    <row r="20644" spans="1:7" x14ac:dyDescent="0.25">
      <c r="A20644" s="1" t="str">
        <f>"513609"</f>
        <v>513609</v>
      </c>
      <c r="B20644" s="2" t="str">
        <f>"RODA APOIO TOYOTA"</f>
        <v>RODA APOIO TOYOTA</v>
      </c>
      <c r="C20644" s="2" t="str">
        <f t="shared" si="821"/>
        <v>UN</v>
      </c>
      <c r="D20644" s="7">
        <v>918</v>
      </c>
      <c r="E20644" s="3">
        <v>4</v>
      </c>
      <c r="F20644" s="3">
        <v>4</v>
      </c>
      <c r="G20644" t="s">
        <v>514</v>
      </c>
    </row>
    <row r="20645" spans="1:7" x14ac:dyDescent="0.25">
      <c r="A20645" s="1" t="str">
        <f>"506056"</f>
        <v>506056</v>
      </c>
      <c r="B20645" s="2" t="str">
        <f>"RODA CARRINHO 4.80/400-8"""</f>
        <v>RODA CARRINHO 4.80/400-8"</v>
      </c>
      <c r="C20645" s="2" t="str">
        <f t="shared" si="821"/>
        <v>UN</v>
      </c>
      <c r="D20645" s="7">
        <v>919</v>
      </c>
      <c r="E20645" s="3">
        <v>11</v>
      </c>
      <c r="F20645" s="3">
        <v>11</v>
      </c>
      <c r="G20645" t="s">
        <v>513</v>
      </c>
    </row>
    <row r="20646" spans="1:7" x14ac:dyDescent="0.25">
      <c r="A20646" s="1" t="str">
        <f>"506955"</f>
        <v>506955</v>
      </c>
      <c r="B20646" s="2" t="str">
        <f>"RODA COD. 63215600"</f>
        <v>RODA COD. 63215600</v>
      </c>
      <c r="C20646" s="2" t="str">
        <f t="shared" si="821"/>
        <v>UN</v>
      </c>
      <c r="D20646" s="7">
        <v>918</v>
      </c>
      <c r="E20646" s="3">
        <v>11</v>
      </c>
      <c r="F20646" s="3">
        <v>11</v>
      </c>
      <c r="G20646" t="s">
        <v>512</v>
      </c>
    </row>
    <row r="20647" spans="1:7" x14ac:dyDescent="0.25">
      <c r="A20647" s="1" t="str">
        <f>"525145"</f>
        <v>525145</v>
      </c>
      <c r="B20647" s="2" t="str">
        <f>"RODA D200"</f>
        <v>RODA D200</v>
      </c>
      <c r="C20647" s="2" t="str">
        <f t="shared" si="821"/>
        <v>UN</v>
      </c>
      <c r="D20647" s="7">
        <v>99999</v>
      </c>
      <c r="E20647" s="3">
        <v>99</v>
      </c>
      <c r="F20647" s="3">
        <v>99</v>
      </c>
      <c r="G20647" t="s">
        <v>513</v>
      </c>
    </row>
    <row r="20648" spans="1:7" x14ac:dyDescent="0.25">
      <c r="A20648" s="1" t="str">
        <f>"509205"</f>
        <v>509205</v>
      </c>
      <c r="B20648" s="2" t="str">
        <f>"RODA DE ALUMINIO RLR"</f>
        <v>RODA DE ALUMINIO RLR</v>
      </c>
      <c r="C20648" s="2" t="str">
        <f t="shared" si="821"/>
        <v>UN</v>
      </c>
      <c r="D20648" s="7">
        <v>402</v>
      </c>
      <c r="E20648" s="3">
        <v>4</v>
      </c>
      <c r="F20648" s="3">
        <v>4</v>
      </c>
      <c r="G20648" t="s">
        <v>514</v>
      </c>
    </row>
    <row r="20649" spans="1:7" x14ac:dyDescent="0.25">
      <c r="A20649" s="1" t="str">
        <f>"522810"</f>
        <v>522810</v>
      </c>
      <c r="B20649" s="2" t="str">
        <f>"RODA DE BRIM 10CM"</f>
        <v>RODA DE BRIM 10CM</v>
      </c>
      <c r="C20649" s="2" t="str">
        <f t="shared" si="821"/>
        <v>UN</v>
      </c>
      <c r="D20649" s="7">
        <v>817</v>
      </c>
      <c r="E20649" s="3">
        <v>4</v>
      </c>
      <c r="F20649" s="3">
        <v>4</v>
      </c>
      <c r="G20649" t="s">
        <v>514</v>
      </c>
    </row>
    <row r="20650" spans="1:7" x14ac:dyDescent="0.25">
      <c r="A20650" s="1" t="str">
        <f>"521812"</f>
        <v>521812</v>
      </c>
      <c r="B20650" s="2" t="str">
        <f>"RODA DE BRIM 15CM"</f>
        <v>RODA DE BRIM 15CM</v>
      </c>
      <c r="C20650" s="2" t="str">
        <f t="shared" si="821"/>
        <v>UN</v>
      </c>
      <c r="D20650" s="7">
        <v>817</v>
      </c>
      <c r="E20650" s="3">
        <v>4</v>
      </c>
      <c r="F20650" s="3">
        <v>4</v>
      </c>
      <c r="G20650" t="s">
        <v>514</v>
      </c>
    </row>
    <row r="20651" spans="1:7" x14ac:dyDescent="0.25">
      <c r="A20651" s="1" t="str">
        <f>"522763"</f>
        <v>522763</v>
      </c>
      <c r="B20651" s="2" t="str">
        <f>"RODA DE BRIM 20CM"</f>
        <v>RODA DE BRIM 20CM</v>
      </c>
      <c r="C20651" s="2" t="str">
        <f t="shared" si="821"/>
        <v>UN</v>
      </c>
      <c r="D20651" s="7">
        <v>817</v>
      </c>
      <c r="E20651" s="3">
        <v>4</v>
      </c>
      <c r="F20651" s="3">
        <v>4</v>
      </c>
      <c r="G20651" t="s">
        <v>513</v>
      </c>
    </row>
    <row r="20652" spans="1:7" x14ac:dyDescent="0.25">
      <c r="A20652" s="1" t="str">
        <f>"527137"</f>
        <v>527137</v>
      </c>
      <c r="B20652" s="2" t="str">
        <f>"RODA DE CARGA"</f>
        <v>RODA DE CARGA</v>
      </c>
      <c r="C20652" s="2" t="str">
        <f t="shared" si="821"/>
        <v>UN</v>
      </c>
      <c r="D20652" s="7">
        <v>917</v>
      </c>
      <c r="E20652" s="3">
        <v>11</v>
      </c>
      <c r="F20652" s="3">
        <v>11</v>
      </c>
      <c r="G20652" t="s">
        <v>513</v>
      </c>
    </row>
    <row r="20653" spans="1:7" x14ac:dyDescent="0.25">
      <c r="A20653" s="1" t="str">
        <f>"508220"</f>
        <v>508220</v>
      </c>
      <c r="B20653" s="2" t="str">
        <f>"RODA DE CARGA 63190330 - JUNGHEINRICH"</f>
        <v>RODA DE CARGA 63190330 - JUNGHEINRICH</v>
      </c>
      <c r="C20653" s="2" t="str">
        <f t="shared" si="821"/>
        <v>UN</v>
      </c>
      <c r="D20653" s="7">
        <v>918</v>
      </c>
      <c r="E20653" s="3">
        <v>11</v>
      </c>
      <c r="F20653" s="3">
        <v>11</v>
      </c>
      <c r="G20653" t="s">
        <v>513</v>
      </c>
    </row>
    <row r="20654" spans="1:7" x14ac:dyDescent="0.25">
      <c r="A20654" s="1" t="str">
        <f>"502450"</f>
        <v>502450</v>
      </c>
      <c r="B20654" s="2" t="str">
        <f>"RODA DE CARGA PU P/ EMPILHADEIRA FBRE 15"</f>
        <v>RODA DE CARGA PU P/ EMPILHADEIRA FBRE 15</v>
      </c>
      <c r="C20654" s="2" t="str">
        <f t="shared" si="821"/>
        <v>UN</v>
      </c>
      <c r="D20654" s="7">
        <v>918</v>
      </c>
      <c r="E20654" s="3">
        <v>11</v>
      </c>
      <c r="F20654" s="3">
        <v>11</v>
      </c>
      <c r="G20654" t="s">
        <v>512</v>
      </c>
    </row>
    <row r="20655" spans="1:7" x14ac:dyDescent="0.25">
      <c r="A20655" s="1" t="str">
        <f>"506551"</f>
        <v>506551</v>
      </c>
      <c r="B20655" s="2" t="str">
        <f>"RODA DE NYLON COD. 009723202 C/ CALOTA"</f>
        <v>RODA DE NYLON COD. 009723202 C/ CALOTA</v>
      </c>
      <c r="C20655" s="2" t="str">
        <f t="shared" si="821"/>
        <v>UN</v>
      </c>
      <c r="D20655" s="7">
        <v>918</v>
      </c>
      <c r="E20655" s="3">
        <v>11</v>
      </c>
      <c r="F20655" s="3">
        <v>11</v>
      </c>
      <c r="G20655" t="s">
        <v>513</v>
      </c>
    </row>
    <row r="20656" spans="1:7" x14ac:dyDescent="0.25">
      <c r="A20656" s="1" t="str">
        <f>"509443"</f>
        <v>509443</v>
      </c>
      <c r="B20656" s="2" t="str">
        <f>"RODA DE PLASTICO GIRATORIA P/ CADEIRA"</f>
        <v>RODA DE PLASTICO GIRATORIA P/ CADEIRA</v>
      </c>
      <c r="C20656" s="2" t="str">
        <f t="shared" si="821"/>
        <v>UN</v>
      </c>
      <c r="D20656" s="7">
        <v>402</v>
      </c>
      <c r="E20656" s="3">
        <v>4</v>
      </c>
      <c r="F20656" s="3">
        <v>4</v>
      </c>
      <c r="G20656" t="s">
        <v>514</v>
      </c>
    </row>
    <row r="20657" spans="1:7" x14ac:dyDescent="0.25">
      <c r="A20657" s="1" t="str">
        <f>"500513"</f>
        <v>500513</v>
      </c>
      <c r="B20657" s="2" t="str">
        <f>"RODA DIRECIONAL N/POLIURETANO Nº9723202"</f>
        <v>RODA DIRECIONAL N/POLIURETANO Nº9723202</v>
      </c>
      <c r="C20657" s="2" t="str">
        <f t="shared" si="821"/>
        <v>UN</v>
      </c>
      <c r="D20657" s="7">
        <v>918</v>
      </c>
      <c r="E20657" s="3">
        <v>11</v>
      </c>
      <c r="F20657" s="3">
        <v>11</v>
      </c>
      <c r="G20657" t="s">
        <v>515</v>
      </c>
    </row>
    <row r="20658" spans="1:7" x14ac:dyDescent="0.25">
      <c r="A20658" s="1" t="str">
        <f>"509063"</f>
        <v>509063</v>
      </c>
      <c r="B20658" s="2" t="str">
        <f>"RODA DUPLA DE NYLON 009723300"</f>
        <v>RODA DUPLA DE NYLON 009723300</v>
      </c>
      <c r="C20658" s="2" t="str">
        <f t="shared" si="821"/>
        <v>UN</v>
      </c>
      <c r="D20658" s="7">
        <v>918</v>
      </c>
      <c r="E20658" s="3">
        <v>11</v>
      </c>
      <c r="F20658" s="3">
        <v>11</v>
      </c>
      <c r="G20658" t="s">
        <v>512</v>
      </c>
    </row>
    <row r="20659" spans="1:7" x14ac:dyDescent="0.25">
      <c r="A20659" s="1" t="str">
        <f>"509078"</f>
        <v>509078</v>
      </c>
      <c r="B20659" s="2" t="str">
        <f>"RODA DUPLA DE NYLON EVOLUTION 009723388"</f>
        <v>RODA DUPLA DE NYLON EVOLUTION 009723388</v>
      </c>
      <c r="C20659" s="2" t="str">
        <f t="shared" si="821"/>
        <v>UN</v>
      </c>
      <c r="D20659" s="7">
        <v>918</v>
      </c>
      <c r="E20659" s="3">
        <v>11</v>
      </c>
      <c r="F20659" s="3">
        <v>11</v>
      </c>
      <c r="G20659" t="s">
        <v>516</v>
      </c>
    </row>
    <row r="20660" spans="1:7" x14ac:dyDescent="0.25">
      <c r="A20660" s="1" t="str">
        <f>"509079"</f>
        <v>509079</v>
      </c>
      <c r="B20660" s="2" t="str">
        <f>"RODA DUPLA DE NYLON EVOLUTION 009723388"</f>
        <v>RODA DUPLA DE NYLON EVOLUTION 009723388</v>
      </c>
      <c r="C20660" s="2" t="str">
        <f t="shared" si="821"/>
        <v>UN</v>
      </c>
      <c r="D20660" s="7">
        <v>918</v>
      </c>
      <c r="E20660" s="3">
        <v>11</v>
      </c>
      <c r="F20660" s="3">
        <v>11</v>
      </c>
      <c r="G20660" t="s">
        <v>515</v>
      </c>
    </row>
    <row r="20661" spans="1:7" x14ac:dyDescent="0.25">
      <c r="A20661" s="1" t="str">
        <f>"509295"</f>
        <v>509295</v>
      </c>
      <c r="B20661" s="2" t="str">
        <f>"RODA DUPLA NYLON COD. 009724217"</f>
        <v>RODA DUPLA NYLON COD. 009724217</v>
      </c>
      <c r="C20661" s="2" t="str">
        <f t="shared" si="821"/>
        <v>UN</v>
      </c>
      <c r="D20661" s="7">
        <v>918</v>
      </c>
      <c r="E20661" s="3">
        <v>11</v>
      </c>
      <c r="F20661" s="3">
        <v>11</v>
      </c>
      <c r="G20661" t="s">
        <v>514</v>
      </c>
    </row>
    <row r="20662" spans="1:7" x14ac:dyDescent="0.25">
      <c r="A20662" s="1" t="str">
        <f>"527419"</f>
        <v>527419</v>
      </c>
      <c r="B20662" s="2" t="str">
        <f>"RODA EM PHP NUCLEO EM AISI 304 45X26MM 02.01.016.001.238697"</f>
        <v>RODA EM PHP NUCLEO EM AISI 304 45X26MM 02.01.016.001.238697</v>
      </c>
      <c r="C20662" s="2" t="str">
        <f t="shared" si="821"/>
        <v>UN</v>
      </c>
      <c r="D20662" s="7">
        <v>918</v>
      </c>
      <c r="E20662" s="3">
        <v>10</v>
      </c>
      <c r="F20662" s="3">
        <v>10</v>
      </c>
      <c r="G20662" t="s">
        <v>512</v>
      </c>
    </row>
    <row r="20663" spans="1:7" x14ac:dyDescent="0.25">
      <c r="A20663" s="1" t="str">
        <f>"524811"</f>
        <v>524811</v>
      </c>
      <c r="B20663" s="2" t="str">
        <f>"RODA LAVADORA 6/15"</f>
        <v>RODA LAVADORA 6/15</v>
      </c>
      <c r="C20663" s="2" t="str">
        <f t="shared" si="821"/>
        <v>UN</v>
      </c>
      <c r="D20663" s="7">
        <v>99999</v>
      </c>
      <c r="E20663" s="3">
        <v>99</v>
      </c>
      <c r="F20663" s="3">
        <v>99</v>
      </c>
      <c r="G20663" t="s">
        <v>513</v>
      </c>
    </row>
    <row r="20664" spans="1:7" x14ac:dyDescent="0.25">
      <c r="A20664" s="1" t="str">
        <f>"512911"</f>
        <v>512911</v>
      </c>
      <c r="B20664" s="2" t="str">
        <f>"RODA LIXA 150X50MM FURO 46MM GR80"</f>
        <v>RODA LIXA 150X50MM FURO 46MM GR80</v>
      </c>
      <c r="C20664" s="2" t="str">
        <f t="shared" ref="C20664:C20695" si="822">"UN"</f>
        <v>UN</v>
      </c>
      <c r="D20664" s="7">
        <v>918</v>
      </c>
      <c r="E20664" s="3">
        <v>11</v>
      </c>
      <c r="F20664" s="3">
        <v>11</v>
      </c>
      <c r="G20664" t="s">
        <v>514</v>
      </c>
    </row>
    <row r="20665" spans="1:7" x14ac:dyDescent="0.25">
      <c r="A20665" s="1" t="str">
        <f>"512217"</f>
        <v>512217</v>
      </c>
      <c r="B20665" s="2" t="str">
        <f>"RODA MAIOR 160422"</f>
        <v>RODA MAIOR 160422</v>
      </c>
      <c r="C20665" s="2" t="str">
        <f t="shared" si="822"/>
        <v>UN</v>
      </c>
      <c r="D20665" s="7">
        <v>918</v>
      </c>
      <c r="E20665" s="3">
        <v>11</v>
      </c>
      <c r="F20665" s="3">
        <v>11</v>
      </c>
      <c r="G20665" t="s">
        <v>514</v>
      </c>
    </row>
    <row r="20666" spans="1:7" x14ac:dyDescent="0.25">
      <c r="A20666" s="1" t="str">
        <f>"512214"</f>
        <v>512214</v>
      </c>
      <c r="B20666" s="2" t="str">
        <f>"RODA MENOR 200968"</f>
        <v>RODA MENOR 200968</v>
      </c>
      <c r="C20666" s="2" t="str">
        <f t="shared" si="822"/>
        <v>UN</v>
      </c>
      <c r="D20666" s="7">
        <v>918</v>
      </c>
      <c r="E20666" s="3">
        <v>11</v>
      </c>
      <c r="F20666" s="3">
        <v>11</v>
      </c>
      <c r="G20666" t="s">
        <v>512</v>
      </c>
    </row>
    <row r="20667" spans="1:7" x14ac:dyDescent="0.25">
      <c r="A20667" s="1" t="str">
        <f>"501879"</f>
        <v>501879</v>
      </c>
      <c r="B20667" s="2" t="str">
        <f>"RODA NYLON 009723300 PALETEIRO BYG 2000"</f>
        <v>RODA NYLON 009723300 PALETEIRO BYG 2000</v>
      </c>
      <c r="C20667" s="2" t="str">
        <f t="shared" si="822"/>
        <v>UN</v>
      </c>
      <c r="D20667" s="7">
        <v>918</v>
      </c>
      <c r="E20667" s="3">
        <v>11</v>
      </c>
      <c r="F20667" s="3">
        <v>11</v>
      </c>
      <c r="G20667" t="s">
        <v>513</v>
      </c>
    </row>
    <row r="20668" spans="1:7" x14ac:dyDescent="0.25">
      <c r="A20668" s="1" t="str">
        <f>"500866"</f>
        <v>500866</v>
      </c>
      <c r="B20668" s="2" t="str">
        <f>"RODA NYLON 009723601 PALETEIRO C/ 1RODA"</f>
        <v>RODA NYLON 009723601 PALETEIRO C/ 1RODA</v>
      </c>
      <c r="C20668" s="2" t="str">
        <f t="shared" si="822"/>
        <v>UN</v>
      </c>
      <c r="D20668" s="7">
        <v>918</v>
      </c>
      <c r="E20668" s="3">
        <v>11</v>
      </c>
      <c r="F20668" s="3">
        <v>11</v>
      </c>
      <c r="G20668" t="s">
        <v>514</v>
      </c>
    </row>
    <row r="20669" spans="1:7" x14ac:dyDescent="0.25">
      <c r="A20669" s="1" t="str">
        <f>"519147"</f>
        <v>519147</v>
      </c>
      <c r="B20669" s="2" t="str">
        <f>"RODA P/ PNEU S/ CAMERA RAIADA 22,5"</f>
        <v>RODA P/ PNEU S/ CAMERA RAIADA 22,5</v>
      </c>
      <c r="C20669" s="2" t="str">
        <f t="shared" si="822"/>
        <v>UN</v>
      </c>
      <c r="D20669" s="7">
        <v>704</v>
      </c>
      <c r="E20669" s="3">
        <v>9</v>
      </c>
      <c r="F20669" s="3">
        <v>9</v>
      </c>
      <c r="G20669" t="s">
        <v>514</v>
      </c>
    </row>
    <row r="20670" spans="1:7" x14ac:dyDescent="0.25">
      <c r="A20670" s="1" t="str">
        <f>"510575"</f>
        <v>510575</v>
      </c>
      <c r="B20670" s="2" t="str">
        <f>"RODA PALETEIRA TOYOTA COD. 160421 MAIOR"</f>
        <v>RODA PALETEIRA TOYOTA COD. 160421 MAIOR</v>
      </c>
      <c r="C20670" s="2" t="str">
        <f t="shared" si="822"/>
        <v>UN</v>
      </c>
      <c r="D20670" s="7">
        <v>918</v>
      </c>
      <c r="E20670" s="3">
        <v>11</v>
      </c>
      <c r="F20670" s="3">
        <v>11</v>
      </c>
      <c r="G20670" t="s">
        <v>514</v>
      </c>
    </row>
    <row r="20671" spans="1:7" x14ac:dyDescent="0.25">
      <c r="A20671" s="1" t="str">
        <f>"510574"</f>
        <v>510574</v>
      </c>
      <c r="B20671" s="2" t="str">
        <f>"RODA PALETEIRA TOYOTA COD. 167611 MENOR"</f>
        <v>RODA PALETEIRA TOYOTA COD. 167611 MENOR</v>
      </c>
      <c r="C20671" s="2" t="str">
        <f t="shared" si="822"/>
        <v>UN</v>
      </c>
      <c r="D20671" s="7">
        <v>918</v>
      </c>
      <c r="E20671" s="3">
        <v>11</v>
      </c>
      <c r="F20671" s="3">
        <v>11</v>
      </c>
      <c r="G20671" t="s">
        <v>513</v>
      </c>
    </row>
    <row r="20672" spans="1:7" x14ac:dyDescent="0.25">
      <c r="A20672" s="1" t="str">
        <f>"524403"</f>
        <v>524403</v>
      </c>
      <c r="B20672" s="2" t="str">
        <f>"RODA PALETEIRA TOYOTA TRAÇÃO MEDIDAS 230 X 70 X 45"</f>
        <v>RODA PALETEIRA TOYOTA TRAÇÃO MEDIDAS 230 X 70 X 45</v>
      </c>
      <c r="C20672" s="2" t="str">
        <f t="shared" si="822"/>
        <v>UN</v>
      </c>
      <c r="D20672" s="7">
        <v>918</v>
      </c>
      <c r="E20672" s="3">
        <v>11</v>
      </c>
      <c r="F20672" s="3">
        <v>11</v>
      </c>
      <c r="G20672" t="s">
        <v>512</v>
      </c>
    </row>
    <row r="20673" spans="1:7" x14ac:dyDescent="0.25">
      <c r="A20673" s="1" t="str">
        <f>"505939"</f>
        <v>505939</v>
      </c>
      <c r="B20673" s="2" t="str">
        <f>"RODA PARA TOMBADOR HT31008"</f>
        <v>RODA PARA TOMBADOR HT31008</v>
      </c>
      <c r="C20673" s="2" t="str">
        <f t="shared" si="822"/>
        <v>UN</v>
      </c>
      <c r="D20673" s="7">
        <v>918</v>
      </c>
      <c r="E20673" s="3">
        <v>11</v>
      </c>
      <c r="F20673" s="3">
        <v>11</v>
      </c>
      <c r="G20673" t="s">
        <v>513</v>
      </c>
    </row>
    <row r="20674" spans="1:7" x14ac:dyDescent="0.25">
      <c r="A20674" s="1" t="str">
        <f>"506393"</f>
        <v>506393</v>
      </c>
      <c r="B20674" s="2" t="str">
        <f>"RODA PARA TOMBADOR HT36502"</f>
        <v>RODA PARA TOMBADOR HT36502</v>
      </c>
      <c r="C20674" s="2" t="str">
        <f t="shared" si="822"/>
        <v>UN</v>
      </c>
      <c r="D20674" s="7">
        <v>918</v>
      </c>
      <c r="E20674" s="3">
        <v>11</v>
      </c>
      <c r="F20674" s="3">
        <v>11</v>
      </c>
      <c r="G20674" t="s">
        <v>514</v>
      </c>
    </row>
    <row r="20675" spans="1:7" x14ac:dyDescent="0.25">
      <c r="A20675" s="1" t="str">
        <f>"518836"</f>
        <v>518836</v>
      </c>
      <c r="B20675" s="2" t="str">
        <f>"RODA PG FANDELI X-88 150X50 G120"</f>
        <v>RODA PG FANDELI X-88 150X50 G120</v>
      </c>
      <c r="C20675" s="2" t="str">
        <f t="shared" si="822"/>
        <v>UN</v>
      </c>
      <c r="D20675" s="7">
        <v>920</v>
      </c>
      <c r="E20675" s="3">
        <v>4</v>
      </c>
      <c r="F20675" s="3">
        <v>4</v>
      </c>
      <c r="G20675" t="s">
        <v>514</v>
      </c>
    </row>
    <row r="20676" spans="1:7" x14ac:dyDescent="0.25">
      <c r="A20676" s="1" t="str">
        <f>"525063"</f>
        <v>525063</v>
      </c>
      <c r="B20676" s="2" t="str">
        <f>"RODA PG FANDELI X-88 150X50 G60"</f>
        <v>RODA PG FANDELI X-88 150X50 G60</v>
      </c>
      <c r="C20676" s="2" t="str">
        <f t="shared" si="822"/>
        <v>UN</v>
      </c>
      <c r="D20676" s="7">
        <v>920</v>
      </c>
      <c r="E20676" s="3">
        <v>4</v>
      </c>
      <c r="F20676" s="3">
        <v>4</v>
      </c>
      <c r="G20676" t="s">
        <v>514</v>
      </c>
    </row>
    <row r="20677" spans="1:7" x14ac:dyDescent="0.25">
      <c r="A20677" s="1" t="str">
        <f>"518835"</f>
        <v>518835</v>
      </c>
      <c r="B20677" s="2" t="str">
        <f>"RODA PG FANDELI X-88 150X50 G80"</f>
        <v>RODA PG FANDELI X-88 150X50 G80</v>
      </c>
      <c r="C20677" s="2" t="str">
        <f t="shared" si="822"/>
        <v>UN</v>
      </c>
      <c r="D20677" s="7">
        <v>920</v>
      </c>
      <c r="E20677" s="3">
        <v>4</v>
      </c>
      <c r="F20677" s="3">
        <v>4</v>
      </c>
      <c r="G20677" t="s">
        <v>513</v>
      </c>
    </row>
    <row r="20678" spans="1:7" x14ac:dyDescent="0.25">
      <c r="A20678" s="1" t="str">
        <f>"504972"</f>
        <v>504972</v>
      </c>
      <c r="B20678" s="2" t="str">
        <f>"RODA PNEU S/ CAMARA 295 RAIADA"</f>
        <v>RODA PNEU S/ CAMARA 295 RAIADA</v>
      </c>
      <c r="C20678" s="2" t="str">
        <f t="shared" si="822"/>
        <v>UN</v>
      </c>
      <c r="D20678" s="7">
        <v>704</v>
      </c>
      <c r="E20678" s="3">
        <v>9</v>
      </c>
      <c r="F20678" s="3">
        <v>9</v>
      </c>
      <c r="G20678" t="s">
        <v>513</v>
      </c>
    </row>
    <row r="20679" spans="1:7" x14ac:dyDescent="0.25">
      <c r="A20679" s="1" t="str">
        <f>"518635"</f>
        <v>518635</v>
      </c>
      <c r="B20679" s="2" t="str">
        <f>"RODA PNL 100X100X19,1 #100 MEDIA"</f>
        <v>RODA PNL 100X100X19,1 #100 MEDIA</v>
      </c>
      <c r="C20679" s="2" t="str">
        <f t="shared" si="822"/>
        <v>UN</v>
      </c>
      <c r="D20679" s="7">
        <v>802</v>
      </c>
      <c r="E20679" s="3">
        <v>4</v>
      </c>
      <c r="F20679" s="3">
        <v>4</v>
      </c>
      <c r="G20679" t="s">
        <v>513</v>
      </c>
    </row>
    <row r="20680" spans="1:7" x14ac:dyDescent="0.25">
      <c r="A20680" s="1" t="str">
        <f>"519679"</f>
        <v>519679</v>
      </c>
      <c r="B20680" s="2" t="str">
        <f>"RODA PU+FERRO FUBDIDO 100X50MM 4"""</f>
        <v>RODA PU+FERRO FUBDIDO 100X50MM 4"</v>
      </c>
      <c r="C20680" s="2" t="str">
        <f t="shared" si="822"/>
        <v>UN</v>
      </c>
      <c r="D20680" s="7">
        <v>918</v>
      </c>
      <c r="E20680" s="3">
        <v>11</v>
      </c>
      <c r="F20680" s="3">
        <v>11</v>
      </c>
      <c r="G20680" t="s">
        <v>512</v>
      </c>
    </row>
    <row r="20681" spans="1:7" x14ac:dyDescent="0.25">
      <c r="A20681" s="1" t="str">
        <f>"517924"</f>
        <v>517924</v>
      </c>
      <c r="B20681" s="2" t="str">
        <f>"RODA ROÇADEIRA TRAPP"</f>
        <v>RODA ROÇADEIRA TRAPP</v>
      </c>
      <c r="C20681" s="2" t="str">
        <f t="shared" si="822"/>
        <v>UN</v>
      </c>
      <c r="D20681" s="7">
        <v>918</v>
      </c>
      <c r="E20681" s="3">
        <v>11</v>
      </c>
      <c r="F20681" s="3">
        <v>11</v>
      </c>
      <c r="G20681" t="s">
        <v>513</v>
      </c>
    </row>
    <row r="20682" spans="1:7" x14ac:dyDescent="0.25">
      <c r="A20682" s="1" t="str">
        <f>"527090"</f>
        <v>527090</v>
      </c>
      <c r="B20682" s="2" t="str">
        <f>"RODA TRAÇÃO BT"</f>
        <v>RODA TRAÇÃO BT</v>
      </c>
      <c r="C20682" s="2" t="str">
        <f t="shared" si="822"/>
        <v>UN</v>
      </c>
      <c r="D20682" s="7">
        <v>99999</v>
      </c>
      <c r="E20682" s="3">
        <v>11</v>
      </c>
      <c r="F20682" s="3">
        <v>11</v>
      </c>
      <c r="G20682" t="s">
        <v>514</v>
      </c>
    </row>
    <row r="20683" spans="1:7" x14ac:dyDescent="0.25">
      <c r="A20683" s="1" t="str">
        <f>"518653"</f>
        <v>518653</v>
      </c>
      <c r="B20683" s="2" t="str">
        <f>"RODA TRAÇÃO STHIL"</f>
        <v>RODA TRAÇÃO STHIL</v>
      </c>
      <c r="C20683" s="2" t="str">
        <f t="shared" si="822"/>
        <v>UN</v>
      </c>
      <c r="D20683" s="7">
        <v>99999</v>
      </c>
      <c r="E20683" s="3">
        <v>11</v>
      </c>
      <c r="F20683" s="3">
        <v>11</v>
      </c>
      <c r="G20683" t="s">
        <v>515</v>
      </c>
    </row>
    <row r="20684" spans="1:7" x14ac:dyDescent="0.25">
      <c r="A20684" s="1" t="str">
        <f>"502099"</f>
        <v>502099</v>
      </c>
      <c r="B20684" s="2" t="str">
        <f>"RODA TRAÇO FBR 15 (EMPILHADEIRA)"</f>
        <v>RODA TRAÇO FBR 15 (EMPILHADEIRA)</v>
      </c>
      <c r="C20684" s="2" t="str">
        <f t="shared" si="822"/>
        <v>UN</v>
      </c>
      <c r="D20684" s="7">
        <v>918</v>
      </c>
      <c r="E20684" s="3">
        <v>11</v>
      </c>
      <c r="F20684" s="3">
        <v>11</v>
      </c>
      <c r="G20684" t="s">
        <v>512</v>
      </c>
    </row>
    <row r="20685" spans="1:7" x14ac:dyDescent="0.25">
      <c r="A20685" s="1" t="str">
        <f>"501926"</f>
        <v>501926</v>
      </c>
      <c r="B20685" s="2" t="str">
        <f>"RODANA 4"" F.G. P/ PORTAO BASE INFERIOR"</f>
        <v>RODANA 4" F.G. P/ PORTAO BASE INFERIOR</v>
      </c>
      <c r="C20685" s="2" t="str">
        <f t="shared" si="822"/>
        <v>UN</v>
      </c>
      <c r="D20685" s="7">
        <v>402</v>
      </c>
      <c r="E20685" s="3">
        <v>4</v>
      </c>
      <c r="F20685" s="3">
        <v>4</v>
      </c>
      <c r="G20685" t="s">
        <v>516</v>
      </c>
    </row>
    <row r="20686" spans="1:7" x14ac:dyDescent="0.25">
      <c r="A20686" s="1" t="str">
        <f>"527084"</f>
        <v>527084</v>
      </c>
      <c r="B20686" s="2" t="str">
        <f>"RODIZIO DUPLO"</f>
        <v>RODIZIO DUPLO</v>
      </c>
      <c r="C20686" s="2" t="str">
        <f t="shared" si="822"/>
        <v>UN</v>
      </c>
      <c r="D20686" s="7">
        <v>99999</v>
      </c>
      <c r="E20686" s="3">
        <v>10</v>
      </c>
      <c r="F20686" s="3">
        <v>10</v>
      </c>
      <c r="G20686" t="s">
        <v>515</v>
      </c>
    </row>
    <row r="20687" spans="1:7" x14ac:dyDescent="0.25">
      <c r="A20687" s="1" t="str">
        <f>"502206"</f>
        <v>502206</v>
      </c>
      <c r="B20687" s="2" t="str">
        <f>"RODIZIO FIXO PLACA 3"" POLIPROPILENO"</f>
        <v>RODIZIO FIXO PLACA 3" POLIPROPILENO</v>
      </c>
      <c r="C20687" s="2" t="str">
        <f t="shared" si="822"/>
        <v>UN</v>
      </c>
      <c r="D20687" s="7">
        <v>402</v>
      </c>
      <c r="E20687" s="3">
        <v>4</v>
      </c>
      <c r="F20687" s="3">
        <v>4</v>
      </c>
      <c r="G20687" t="s">
        <v>514</v>
      </c>
    </row>
    <row r="20688" spans="1:7" x14ac:dyDescent="0.25">
      <c r="A20688" s="1" t="str">
        <f>"514567"</f>
        <v>514567</v>
      </c>
      <c r="B20688" s="2" t="str">
        <f>"RODIZIO FIXO/GIRATORIO ANDAIME COM FREIO"</f>
        <v>RODIZIO FIXO/GIRATORIO ANDAIME COM FREIO</v>
      </c>
      <c r="C20688" s="2" t="str">
        <f t="shared" si="822"/>
        <v>UN</v>
      </c>
      <c r="D20688" s="7">
        <v>812</v>
      </c>
      <c r="E20688" s="3">
        <v>4</v>
      </c>
      <c r="F20688" s="3">
        <v>4</v>
      </c>
      <c r="G20688" t="s">
        <v>512</v>
      </c>
    </row>
    <row r="20689" spans="1:7" x14ac:dyDescent="0.25">
      <c r="A20689" s="1" t="str">
        <f>"500740"</f>
        <v>500740</v>
      </c>
      <c r="B20689" s="2" t="str">
        <f>"RODIZIO FL 312 PU SCHIOPPA"</f>
        <v>RODIZIO FL 312 PU SCHIOPPA</v>
      </c>
      <c r="C20689" s="2" t="str">
        <f t="shared" si="822"/>
        <v>UN</v>
      </c>
      <c r="D20689" s="7">
        <v>402</v>
      </c>
      <c r="E20689" s="3">
        <v>4</v>
      </c>
      <c r="F20689" s="3">
        <v>4</v>
      </c>
      <c r="G20689" t="s">
        <v>513</v>
      </c>
    </row>
    <row r="20690" spans="1:7" x14ac:dyDescent="0.25">
      <c r="A20690" s="1" t="str">
        <f>"500814"</f>
        <v>500814</v>
      </c>
      <c r="B20690" s="2" t="str">
        <f>"RODIZIO FL 414 PU SCHIOPPA"</f>
        <v>RODIZIO FL 414 PU SCHIOPPA</v>
      </c>
      <c r="C20690" s="2" t="str">
        <f t="shared" si="822"/>
        <v>UN</v>
      </c>
      <c r="D20690" s="7">
        <v>402</v>
      </c>
      <c r="E20690" s="3">
        <v>4</v>
      </c>
      <c r="F20690" s="3">
        <v>4</v>
      </c>
      <c r="G20690" t="s">
        <v>514</v>
      </c>
    </row>
    <row r="20691" spans="1:7" x14ac:dyDescent="0.25">
      <c r="A20691" s="1" t="str">
        <f>"510242"</f>
        <v>510242</v>
      </c>
      <c r="B20691" s="2" t="str">
        <f>"RODIZIO FL 614 PN"</f>
        <v>RODIZIO FL 614 PN</v>
      </c>
      <c r="C20691" s="2" t="str">
        <f t="shared" si="822"/>
        <v>UN</v>
      </c>
      <c r="D20691" s="7">
        <v>918</v>
      </c>
      <c r="E20691" s="3">
        <v>11</v>
      </c>
      <c r="F20691" s="3">
        <v>11</v>
      </c>
      <c r="G20691" t="s">
        <v>514</v>
      </c>
    </row>
    <row r="20692" spans="1:7" x14ac:dyDescent="0.25">
      <c r="A20692" s="1" t="str">
        <f>"510616"</f>
        <v>510616</v>
      </c>
      <c r="B20692" s="2" t="str">
        <f>"RODIZIO FRE/BOI/MII/TOR"</f>
        <v>RODIZIO FRE/BOI/MII/TOR</v>
      </c>
      <c r="C20692" s="2" t="str">
        <f t="shared" si="822"/>
        <v>UN</v>
      </c>
      <c r="D20692" s="7">
        <v>401</v>
      </c>
      <c r="E20692" s="3">
        <v>4</v>
      </c>
      <c r="F20692" s="3">
        <v>4</v>
      </c>
      <c r="G20692" t="s">
        <v>512</v>
      </c>
    </row>
    <row r="20693" spans="1:7" x14ac:dyDescent="0.25">
      <c r="A20693" s="1" t="str">
        <f>"522271"</f>
        <v>522271</v>
      </c>
      <c r="B20693" s="2" t="str">
        <f>"RODIZIO GIRATORIO BORRACHA MACIÇA 6"""</f>
        <v>RODIZIO GIRATORIO BORRACHA MACIÇA 6"</v>
      </c>
      <c r="C20693" s="2" t="str">
        <f t="shared" si="822"/>
        <v>UN</v>
      </c>
      <c r="D20693" s="7">
        <v>918</v>
      </c>
      <c r="E20693" s="3">
        <v>11</v>
      </c>
      <c r="F20693" s="3">
        <v>11</v>
      </c>
      <c r="G20693" t="s">
        <v>513</v>
      </c>
    </row>
    <row r="20694" spans="1:7" x14ac:dyDescent="0.25">
      <c r="A20694" s="1" t="str">
        <f>"505973"</f>
        <v>505973</v>
      </c>
      <c r="B20694" s="2" t="str">
        <f>"RODIZIO GIRATORIO FXO PLACA 3"" POLIPROPILENO"</f>
        <v>RODIZIO GIRATORIO FXO PLACA 3" POLIPROPILENO</v>
      </c>
      <c r="C20694" s="2" t="str">
        <f t="shared" si="822"/>
        <v>UN</v>
      </c>
      <c r="D20694" s="7">
        <v>918</v>
      </c>
      <c r="E20694" s="3">
        <v>11</v>
      </c>
      <c r="F20694" s="3">
        <v>11</v>
      </c>
      <c r="G20694" t="s">
        <v>514</v>
      </c>
    </row>
    <row r="20695" spans="1:7" x14ac:dyDescent="0.25">
      <c r="A20695" s="1" t="str">
        <f>"500741"</f>
        <v>500741</v>
      </c>
      <c r="B20695" s="2" t="str">
        <f>"RODIZIO GL 312 PU SCHIOPPA"</f>
        <v>RODIZIO GL 312 PU SCHIOPPA</v>
      </c>
      <c r="C20695" s="2" t="str">
        <f t="shared" si="822"/>
        <v>UN</v>
      </c>
      <c r="D20695" s="7">
        <v>402</v>
      </c>
      <c r="E20695" s="3">
        <v>4</v>
      </c>
      <c r="F20695" s="3">
        <v>4</v>
      </c>
      <c r="G20695" t="s">
        <v>514</v>
      </c>
    </row>
    <row r="20696" spans="1:7" x14ac:dyDescent="0.25">
      <c r="A20696" s="1" t="str">
        <f>"526481"</f>
        <v>526481</v>
      </c>
      <c r="B20696" s="2" t="str">
        <f>"RODIZIO GL 412 UPE G INOX 412"</f>
        <v>RODIZIO GL 412 UPE G INOX 412</v>
      </c>
      <c r="C20696" s="2" t="str">
        <f t="shared" ref="C20696:C20727" si="823">"UN"</f>
        <v>UN</v>
      </c>
      <c r="D20696" s="7">
        <v>812</v>
      </c>
      <c r="E20696" s="3">
        <v>11</v>
      </c>
      <c r="F20696" s="3">
        <v>11</v>
      </c>
      <c r="G20696" t="s">
        <v>514</v>
      </c>
    </row>
    <row r="20697" spans="1:7" x14ac:dyDescent="0.25">
      <c r="A20697" s="1" t="str">
        <f>"500815"</f>
        <v>500815</v>
      </c>
      <c r="B20697" s="2" t="str">
        <f>"RODIZIO GL 414 PU SCHIOPPA"</f>
        <v>RODIZIO GL 414 PU SCHIOPPA</v>
      </c>
      <c r="C20697" s="2" t="str">
        <f t="shared" si="823"/>
        <v>UN</v>
      </c>
      <c r="D20697" s="7">
        <v>402</v>
      </c>
      <c r="E20697" s="3">
        <v>4</v>
      </c>
      <c r="F20697" s="3">
        <v>4</v>
      </c>
      <c r="G20697" t="s">
        <v>513</v>
      </c>
    </row>
    <row r="20698" spans="1:7" x14ac:dyDescent="0.25">
      <c r="A20698" s="1" t="str">
        <f>"511473"</f>
        <v>511473</v>
      </c>
      <c r="B20698" s="2" t="str">
        <f>"RODIZIO GLE 312 PN"</f>
        <v>RODIZIO GLE 312 PN</v>
      </c>
      <c r="C20698" s="2" t="str">
        <f t="shared" si="823"/>
        <v>UN</v>
      </c>
      <c r="D20698" s="7">
        <v>812</v>
      </c>
      <c r="E20698" s="3">
        <v>10</v>
      </c>
      <c r="F20698" s="3">
        <v>10</v>
      </c>
      <c r="G20698" t="s">
        <v>512</v>
      </c>
    </row>
    <row r="20699" spans="1:7" x14ac:dyDescent="0.25">
      <c r="A20699" s="1" t="str">
        <f>"502207"</f>
        <v>502207</v>
      </c>
      <c r="B20699" s="2" t="str">
        <f>"RODIZIO GLE 412 BP COM ESPIGAO E FREIO"</f>
        <v>RODIZIO GLE 412 BP COM ESPIGAO E FREIO</v>
      </c>
      <c r="C20699" s="2" t="str">
        <f t="shared" si="823"/>
        <v>UN</v>
      </c>
      <c r="D20699" s="7">
        <v>402</v>
      </c>
      <c r="E20699" s="3">
        <v>4</v>
      </c>
      <c r="F20699" s="3">
        <v>4</v>
      </c>
      <c r="G20699" t="s">
        <v>513</v>
      </c>
    </row>
    <row r="20700" spans="1:7" x14ac:dyDescent="0.25">
      <c r="A20700" s="1" t="str">
        <f>"508345"</f>
        <v>508345</v>
      </c>
      <c r="B20700" s="2" t="str">
        <f>"RODIZIO GLS 412 BP 04 PARAFUSOS"</f>
        <v>RODIZIO GLS 412 BP 04 PARAFUSOS</v>
      </c>
      <c r="C20700" s="2" t="str">
        <f t="shared" si="823"/>
        <v>UN</v>
      </c>
      <c r="D20700" s="7">
        <v>918</v>
      </c>
      <c r="E20700" s="3">
        <v>11</v>
      </c>
      <c r="F20700" s="3">
        <v>11</v>
      </c>
      <c r="G20700" t="s">
        <v>514</v>
      </c>
    </row>
    <row r="20701" spans="1:7" x14ac:dyDescent="0.25">
      <c r="A20701" s="1" t="str">
        <f>"514446"</f>
        <v>514446</v>
      </c>
      <c r="B20701" s="2" t="str">
        <f>"RODIZIO PP PRETO"</f>
        <v>RODIZIO PP PRETO</v>
      </c>
      <c r="C20701" s="2" t="str">
        <f t="shared" si="823"/>
        <v>UN</v>
      </c>
      <c r="D20701" s="7">
        <v>401</v>
      </c>
      <c r="E20701" s="3">
        <v>4</v>
      </c>
      <c r="F20701" s="3">
        <v>4</v>
      </c>
      <c r="G20701" t="s">
        <v>514</v>
      </c>
    </row>
    <row r="20702" spans="1:7" x14ac:dyDescent="0.25">
      <c r="A20702" s="1" t="str">
        <f>"511472"</f>
        <v>511472</v>
      </c>
      <c r="B20702" s="2" t="str">
        <f>"RODIZIO PU 414 BASE GITARORIA"</f>
        <v>RODIZIO PU 414 BASE GITARORIA</v>
      </c>
      <c r="C20702" s="2" t="str">
        <f t="shared" si="823"/>
        <v>UN</v>
      </c>
      <c r="D20702" s="7">
        <v>812</v>
      </c>
      <c r="E20702" s="3">
        <v>10</v>
      </c>
      <c r="F20702" s="3">
        <v>10</v>
      </c>
      <c r="G20702" t="s">
        <v>514</v>
      </c>
    </row>
    <row r="20703" spans="1:7" x14ac:dyDescent="0.25">
      <c r="A20703" s="1" t="str">
        <f>"519450"</f>
        <v>519450</v>
      </c>
      <c r="B20703" s="2" t="str">
        <f>"RODO"</f>
        <v>RODO</v>
      </c>
      <c r="C20703" s="2" t="str">
        <f t="shared" si="823"/>
        <v>UN</v>
      </c>
      <c r="D20703" s="7">
        <v>401</v>
      </c>
      <c r="E20703" s="3">
        <v>4</v>
      </c>
      <c r="F20703" s="3">
        <v>4</v>
      </c>
      <c r="G20703" t="s">
        <v>513</v>
      </c>
    </row>
    <row r="20704" spans="1:7" x14ac:dyDescent="0.25">
      <c r="A20704" s="1" t="str">
        <f>"527019"</f>
        <v>527019</v>
      </c>
      <c r="B20704" s="2" t="str">
        <f>"RODO BARRA ASPIRAÇÃO"</f>
        <v>RODO BARRA ASPIRAÇÃO</v>
      </c>
      <c r="C20704" s="2" t="str">
        <f t="shared" si="823"/>
        <v>UN</v>
      </c>
      <c r="D20704" s="7">
        <v>402</v>
      </c>
      <c r="E20704" s="3">
        <v>4</v>
      </c>
      <c r="F20704" s="3">
        <v>4</v>
      </c>
      <c r="G20704" t="s">
        <v>513</v>
      </c>
    </row>
    <row r="20705" spans="1:7" x14ac:dyDescent="0.25">
      <c r="A20705" s="1" t="str">
        <f>"522993"</f>
        <v>522993</v>
      </c>
      <c r="B20705" s="2" t="str">
        <f>"RODO BORRACHA SUBSTITUIÇÃO PT (COR VERMELHO CÓD.15173)"</f>
        <v>RODO BORRACHA SUBSTITUIÇÃO PT (COR VERMELHO CÓD.15173)</v>
      </c>
      <c r="C20705" s="2" t="str">
        <f t="shared" si="823"/>
        <v>UN</v>
      </c>
      <c r="D20705" s="7">
        <v>400</v>
      </c>
      <c r="E20705" s="3">
        <v>4</v>
      </c>
      <c r="F20705" s="3">
        <v>4</v>
      </c>
      <c r="G20705" t="s">
        <v>513</v>
      </c>
    </row>
    <row r="20706" spans="1:7" x14ac:dyDescent="0.25">
      <c r="A20706" s="1" t="str">
        <f>"521067"</f>
        <v>521067</v>
      </c>
      <c r="B20706" s="2" t="str">
        <f>"RODO COM BORRACHA DE SUBSTITUIÇÃO PRETA (COR ROXO CÓD.15173)"</f>
        <v>RODO COM BORRACHA DE SUBSTITUIÇÃO PRETA (COR ROXO CÓD.15173)</v>
      </c>
      <c r="C20706" s="2" t="str">
        <f t="shared" si="823"/>
        <v>UN</v>
      </c>
      <c r="D20706" s="7">
        <v>400</v>
      </c>
      <c r="E20706" s="3">
        <v>4</v>
      </c>
      <c r="F20706" s="3">
        <v>4</v>
      </c>
      <c r="G20706" t="s">
        <v>512</v>
      </c>
    </row>
    <row r="20707" spans="1:7" x14ac:dyDescent="0.25">
      <c r="A20707" s="1" t="str">
        <f>"523739"</f>
        <v>523739</v>
      </c>
      <c r="B20707" s="2" t="str">
        <f>"RODO COM BORRACHA INTEGRADA (COR AMARELA CÓD. 48600)"</f>
        <v>RODO COM BORRACHA INTEGRADA (COR AMARELA CÓD. 48600)</v>
      </c>
      <c r="C20707" s="2" t="str">
        <f t="shared" si="823"/>
        <v>UN</v>
      </c>
      <c r="D20707" s="7">
        <v>400</v>
      </c>
      <c r="E20707" s="3">
        <v>4</v>
      </c>
      <c r="F20707" s="3">
        <v>4</v>
      </c>
      <c r="G20707" t="s">
        <v>513</v>
      </c>
    </row>
    <row r="20708" spans="1:7" x14ac:dyDescent="0.25">
      <c r="A20708" s="1" t="str">
        <f>"527316"</f>
        <v>527316</v>
      </c>
      <c r="B20708" s="2" t="str">
        <f>"RODO COM BORRACHA INTEGRADA (COR AZUL CÓD. 48600)"</f>
        <v>RODO COM BORRACHA INTEGRADA (COR AZUL CÓD. 48600)</v>
      </c>
      <c r="C20708" s="2" t="str">
        <f t="shared" si="823"/>
        <v>UN</v>
      </c>
      <c r="D20708" s="7">
        <v>400</v>
      </c>
      <c r="E20708" s="3">
        <v>4</v>
      </c>
      <c r="F20708" s="3">
        <v>4</v>
      </c>
      <c r="G20708" t="s">
        <v>514</v>
      </c>
    </row>
    <row r="20709" spans="1:7" x14ac:dyDescent="0.25">
      <c r="A20709" s="1" t="str">
        <f>"527820"</f>
        <v>527820</v>
      </c>
      <c r="B20709" s="2" t="str">
        <f>"RODO COM BORRACHA INTEGRADA (COR LARANJA CÓD. 48600)"</f>
        <v>RODO COM BORRACHA INTEGRADA (COR LARANJA CÓD. 48600)</v>
      </c>
      <c r="C20709" s="2" t="str">
        <f t="shared" si="823"/>
        <v>UN</v>
      </c>
      <c r="D20709" s="7">
        <v>400</v>
      </c>
      <c r="E20709" s="3">
        <v>4</v>
      </c>
      <c r="F20709" s="3">
        <v>4</v>
      </c>
      <c r="G20709" t="s">
        <v>515</v>
      </c>
    </row>
    <row r="20710" spans="1:7" x14ac:dyDescent="0.25">
      <c r="A20710" s="1" t="str">
        <f>"521783"</f>
        <v>521783</v>
      </c>
      <c r="B20710" s="2" t="str">
        <f>"RODO COM BORRACHA INTEGRADA (COR MARROM CÓD. 48400)"</f>
        <v>RODO COM BORRACHA INTEGRADA (COR MARROM CÓD. 48400)</v>
      </c>
      <c r="C20710" s="2" t="str">
        <f t="shared" si="823"/>
        <v>UN</v>
      </c>
      <c r="D20710" s="7">
        <v>400</v>
      </c>
      <c r="E20710" s="3">
        <v>4</v>
      </c>
      <c r="F20710" s="3">
        <v>4</v>
      </c>
      <c r="G20710" t="s">
        <v>512</v>
      </c>
    </row>
    <row r="20711" spans="1:7" x14ac:dyDescent="0.25">
      <c r="A20711" s="1" t="str">
        <f>"521259"</f>
        <v>521259</v>
      </c>
      <c r="B20711" s="2" t="str">
        <f>"RODO COM BORRACHA INTEGRADA (COR MARROM CÓD. 48600)"</f>
        <v>RODO COM BORRACHA INTEGRADA (COR MARROM CÓD. 48600)</v>
      </c>
      <c r="C20711" s="2" t="str">
        <f t="shared" si="823"/>
        <v>UN</v>
      </c>
      <c r="D20711" s="7">
        <v>400</v>
      </c>
      <c r="E20711" s="3">
        <v>4</v>
      </c>
      <c r="F20711" s="3">
        <v>4</v>
      </c>
      <c r="G20711" t="s">
        <v>516</v>
      </c>
    </row>
    <row r="20712" spans="1:7" x14ac:dyDescent="0.25">
      <c r="A20712" s="1" t="str">
        <f>"523741"</f>
        <v>523741</v>
      </c>
      <c r="B20712" s="2" t="str">
        <f>"RODO COM BORRACHA INTEGRADA (COR ROXO CÓD. 48600)"</f>
        <v>RODO COM BORRACHA INTEGRADA (COR ROXO CÓD. 48600)</v>
      </c>
      <c r="C20712" s="2" t="str">
        <f t="shared" si="823"/>
        <v>UN</v>
      </c>
      <c r="D20712" s="7">
        <v>400</v>
      </c>
      <c r="E20712" s="3">
        <v>4</v>
      </c>
      <c r="F20712" s="3">
        <v>4</v>
      </c>
      <c r="G20712" t="s">
        <v>515</v>
      </c>
    </row>
    <row r="20713" spans="1:7" x14ac:dyDescent="0.25">
      <c r="A20713" s="1" t="str">
        <f>"523740"</f>
        <v>523740</v>
      </c>
      <c r="B20713" s="2" t="str">
        <f>"RODO COM BORRACHA INTEGRADA (COR VERDE CÓD. 48600)"</f>
        <v>RODO COM BORRACHA INTEGRADA (COR VERDE CÓD. 48600)</v>
      </c>
      <c r="C20713" s="2" t="str">
        <f t="shared" si="823"/>
        <v>UN</v>
      </c>
      <c r="D20713" s="7">
        <v>400</v>
      </c>
      <c r="E20713" s="3">
        <v>4</v>
      </c>
      <c r="F20713" s="3">
        <v>4</v>
      </c>
      <c r="G20713" t="s">
        <v>514</v>
      </c>
    </row>
    <row r="20714" spans="1:7" x14ac:dyDescent="0.25">
      <c r="A20714" s="1" t="str">
        <f>"523738"</f>
        <v>523738</v>
      </c>
      <c r="B20714" s="2" t="str">
        <f>"RODO COM BORRACHA INTEGRADA (COR VERMELHA CÓD. 48600)"</f>
        <v>RODO COM BORRACHA INTEGRADA (COR VERMELHA CÓD. 48600)</v>
      </c>
      <c r="C20714" s="2" t="str">
        <f t="shared" si="823"/>
        <v>UN</v>
      </c>
      <c r="D20714" s="7">
        <v>400</v>
      </c>
      <c r="E20714" s="3">
        <v>4</v>
      </c>
      <c r="F20714" s="3">
        <v>4</v>
      </c>
      <c r="G20714" t="s">
        <v>512</v>
      </c>
    </row>
    <row r="20715" spans="1:7" x14ac:dyDescent="0.25">
      <c r="A20715" s="1" t="str">
        <f>"521066"</f>
        <v>521066</v>
      </c>
      <c r="B20715" s="2" t="str">
        <f>"RODO COM BORRACHA SUBSTITUIÇÃO PRETA (COR AMARELO CÓD.15173)"</f>
        <v>RODO COM BORRACHA SUBSTITUIÇÃO PRETA (COR AMARELO CÓD.15173)</v>
      </c>
      <c r="C20715" s="2" t="str">
        <f t="shared" si="823"/>
        <v>UN</v>
      </c>
      <c r="D20715" s="7">
        <v>400</v>
      </c>
      <c r="E20715" s="3">
        <v>4</v>
      </c>
      <c r="F20715" s="3">
        <v>4</v>
      </c>
      <c r="G20715" t="s">
        <v>513</v>
      </c>
    </row>
    <row r="20716" spans="1:7" x14ac:dyDescent="0.25">
      <c r="A20716" s="1" t="str">
        <f>"521255"</f>
        <v>521255</v>
      </c>
      <c r="B20716" s="2" t="str">
        <f>"RODO COM BORRACHA SUBSTITUIÇÃO PRETA (COR LARANJA CÓD.15173)"</f>
        <v>RODO COM BORRACHA SUBSTITUIÇÃO PRETA (COR LARANJA CÓD.15173)</v>
      </c>
      <c r="C20716" s="2" t="str">
        <f t="shared" si="823"/>
        <v>UN</v>
      </c>
      <c r="D20716" s="7">
        <v>400</v>
      </c>
      <c r="E20716" s="3">
        <v>4</v>
      </c>
      <c r="F20716" s="3">
        <v>4</v>
      </c>
      <c r="G20716" t="s">
        <v>514</v>
      </c>
    </row>
    <row r="20717" spans="1:7" x14ac:dyDescent="0.25">
      <c r="A20717" s="1" t="str">
        <f>"521247"</f>
        <v>521247</v>
      </c>
      <c r="B20717" s="2" t="str">
        <f>"RODO COM BORRACHA SUBSTITUIÇÃO PRETA (COR VERDE CÓD15173)"</f>
        <v>RODO COM BORRACHA SUBSTITUIÇÃO PRETA (COR VERDE CÓD15173)</v>
      </c>
      <c r="C20717" s="2" t="str">
        <f t="shared" si="823"/>
        <v>UN</v>
      </c>
      <c r="D20717" s="7">
        <v>400</v>
      </c>
      <c r="E20717" s="3">
        <v>4</v>
      </c>
      <c r="F20717" s="3">
        <v>4</v>
      </c>
      <c r="G20717" t="s">
        <v>514</v>
      </c>
    </row>
    <row r="20718" spans="1:7" x14ac:dyDescent="0.25">
      <c r="A20718" s="1" t="str">
        <f>"527506"</f>
        <v>527506</v>
      </c>
      <c r="B20718" s="2" t="str">
        <f>"RODO DE MÃO COM BORRACHA INTEGRADA  (COR AZUL CÓD. 28243)"</f>
        <v>RODO DE MÃO COM BORRACHA INTEGRADA  (COR AZUL CÓD. 28243)</v>
      </c>
      <c r="C20718" s="2" t="str">
        <f t="shared" si="823"/>
        <v>UN</v>
      </c>
      <c r="D20718" s="7">
        <v>400</v>
      </c>
      <c r="E20718" s="3">
        <v>4</v>
      </c>
      <c r="F20718" s="3">
        <v>4</v>
      </c>
      <c r="G20718" t="s">
        <v>512</v>
      </c>
    </row>
    <row r="20719" spans="1:7" x14ac:dyDescent="0.25">
      <c r="A20719" s="1" t="str">
        <f>"516002"</f>
        <v>516002</v>
      </c>
      <c r="B20719" s="2" t="str">
        <f>"RODO DRY 55CM C/ CABO ALUMINIO"</f>
        <v>RODO DRY 55CM C/ CABO ALUMINIO</v>
      </c>
      <c r="C20719" s="2" t="str">
        <f t="shared" si="823"/>
        <v>UN</v>
      </c>
      <c r="D20719" s="7">
        <v>400</v>
      </c>
      <c r="E20719" s="3">
        <v>10</v>
      </c>
      <c r="F20719" s="3">
        <v>10</v>
      </c>
      <c r="G20719" t="s">
        <v>513</v>
      </c>
    </row>
    <row r="20720" spans="1:7" x14ac:dyDescent="0.25">
      <c r="A20720" s="1" t="str">
        <f>"516131"</f>
        <v>516131</v>
      </c>
      <c r="B20720" s="2" t="str">
        <f>"RODO ESFREGA PISO RODOVAS"</f>
        <v>RODO ESFREGA PISO RODOVAS</v>
      </c>
      <c r="C20720" s="2" t="str">
        <f t="shared" si="823"/>
        <v>UN</v>
      </c>
      <c r="D20720" s="7">
        <v>401</v>
      </c>
      <c r="E20720" s="3">
        <v>4</v>
      </c>
      <c r="F20720" s="3">
        <v>4</v>
      </c>
      <c r="G20720" t="s">
        <v>514</v>
      </c>
    </row>
    <row r="20721" spans="1:7" x14ac:dyDescent="0.25">
      <c r="A20721" s="1" t="str">
        <f>"32"</f>
        <v>32</v>
      </c>
      <c r="B20721" s="2" t="str">
        <f>"RODO ESPUMA PASSA CERA S/R (COD.0361)"</f>
        <v>RODO ESPUMA PASSA CERA S/R (COD.0361)</v>
      </c>
      <c r="C20721" s="2" t="str">
        <f t="shared" si="823"/>
        <v>UN</v>
      </c>
      <c r="D20721" s="7">
        <v>400</v>
      </c>
      <c r="E20721" s="3">
        <v>4</v>
      </c>
      <c r="F20721" s="3">
        <v>4</v>
      </c>
      <c r="G20721" t="s">
        <v>514</v>
      </c>
    </row>
    <row r="20722" spans="1:7" x14ac:dyDescent="0.25">
      <c r="A20722" s="1" t="str">
        <f>"513253"</f>
        <v>513253</v>
      </c>
      <c r="B20722" s="2" t="str">
        <f>"RODO P/ PIA"</f>
        <v>RODO P/ PIA</v>
      </c>
      <c r="C20722" s="2" t="str">
        <f t="shared" si="823"/>
        <v>UN</v>
      </c>
      <c r="D20722" s="7">
        <v>99999</v>
      </c>
      <c r="E20722" s="3">
        <v>99</v>
      </c>
      <c r="F20722" s="3">
        <v>99</v>
      </c>
      <c r="G20722" t="s">
        <v>514</v>
      </c>
    </row>
    <row r="20723" spans="1:7" x14ac:dyDescent="0.25">
      <c r="A20723" s="1" t="str">
        <f>"135"</f>
        <v>135</v>
      </c>
      <c r="B20723" s="2" t="str">
        <f>"RODO PUXA/SECA/60CM(COD. 0278)"</f>
        <v>RODO PUXA/SECA/60CM(COD. 0278)</v>
      </c>
      <c r="C20723" s="2" t="str">
        <f t="shared" si="823"/>
        <v>UN</v>
      </c>
      <c r="D20723" s="7">
        <v>400</v>
      </c>
      <c r="E20723" s="3">
        <v>4</v>
      </c>
      <c r="F20723" s="3">
        <v>4</v>
      </c>
      <c r="G20723" t="s">
        <v>513</v>
      </c>
    </row>
    <row r="20724" spans="1:7" x14ac:dyDescent="0.25">
      <c r="A20724" s="1" t="str">
        <f>"502468"</f>
        <v>502468</v>
      </c>
      <c r="B20724" s="2" t="str">
        <f>"RODOAR MARCA VOAR"</f>
        <v>RODOAR MARCA VOAR</v>
      </c>
      <c r="C20724" s="2" t="str">
        <f t="shared" si="823"/>
        <v>UN</v>
      </c>
      <c r="D20724" s="7">
        <v>704</v>
      </c>
      <c r="E20724" s="3">
        <v>9</v>
      </c>
      <c r="F20724" s="3">
        <v>9</v>
      </c>
      <c r="G20724" t="s">
        <v>512</v>
      </c>
    </row>
    <row r="20725" spans="1:7" x14ac:dyDescent="0.25">
      <c r="A20725" s="1" t="str">
        <f>"504322"</f>
        <v>504322</v>
      </c>
      <c r="B20725" s="2" t="str">
        <f>"RODOAR TRUCK."</f>
        <v>RODOAR TRUCK.</v>
      </c>
      <c r="C20725" s="2" t="str">
        <f t="shared" si="823"/>
        <v>UN</v>
      </c>
      <c r="D20725" s="7">
        <v>704</v>
      </c>
      <c r="E20725" s="3">
        <v>9</v>
      </c>
      <c r="F20725" s="3">
        <v>9</v>
      </c>
      <c r="G20725" t="s">
        <v>513</v>
      </c>
    </row>
    <row r="20726" spans="1:7" x14ac:dyDescent="0.25">
      <c r="A20726" s="1" t="str">
        <f>"515369"</f>
        <v>515369</v>
      </c>
      <c r="B20726" s="2" t="str">
        <f>"ROJAO"</f>
        <v>ROJAO</v>
      </c>
      <c r="C20726" s="2" t="str">
        <f t="shared" si="823"/>
        <v>UN</v>
      </c>
      <c r="D20726" s="7">
        <v>401</v>
      </c>
      <c r="E20726" s="3">
        <v>4</v>
      </c>
      <c r="F20726" s="3">
        <v>4</v>
      </c>
      <c r="G20726" t="s">
        <v>514</v>
      </c>
    </row>
    <row r="20727" spans="1:7" x14ac:dyDescent="0.25">
      <c r="A20727" s="1" t="str">
        <f>"512810"</f>
        <v>512810</v>
      </c>
      <c r="B20727" s="2" t="str">
        <f>"ROL COMD KR 30 PP INA"</f>
        <v>ROL COMD KR 30 PP INA</v>
      </c>
      <c r="C20727" s="2" t="str">
        <f t="shared" si="823"/>
        <v>UN</v>
      </c>
      <c r="D20727" s="7">
        <v>918</v>
      </c>
      <c r="E20727" s="3">
        <v>11</v>
      </c>
      <c r="F20727" s="3">
        <v>11</v>
      </c>
      <c r="G20727" t="s">
        <v>514</v>
      </c>
    </row>
    <row r="20728" spans="1:7" x14ac:dyDescent="0.25">
      <c r="A20728" s="1" t="str">
        <f>"513970"</f>
        <v>513970</v>
      </c>
      <c r="B20728" s="2" t="str">
        <f>"ROLAMENTO"</f>
        <v>ROLAMENTO</v>
      </c>
      <c r="C20728" s="2" t="str">
        <f t="shared" ref="C20728:C20755" si="824">"UN"</f>
        <v>UN</v>
      </c>
      <c r="D20728" s="7">
        <v>99999</v>
      </c>
      <c r="E20728" s="3">
        <v>99</v>
      </c>
      <c r="F20728" s="3">
        <v>99</v>
      </c>
      <c r="G20728" t="s">
        <v>514</v>
      </c>
    </row>
    <row r="20729" spans="1:7" x14ac:dyDescent="0.25">
      <c r="A20729" s="1" t="str">
        <f>"523342"</f>
        <v>523342</v>
      </c>
      <c r="B20729" s="2" t="str">
        <f>"ROLAMENTO  Nº  21311 D1C3"</f>
        <v>ROLAMENTO  Nº  21311 D1C3</v>
      </c>
      <c r="C20729" s="2" t="str">
        <f t="shared" si="824"/>
        <v>UN</v>
      </c>
      <c r="D20729" s="7">
        <v>918</v>
      </c>
      <c r="E20729" s="3">
        <v>11</v>
      </c>
      <c r="F20729" s="3">
        <v>11</v>
      </c>
      <c r="G20729" t="s">
        <v>513</v>
      </c>
    </row>
    <row r="20730" spans="1:7" x14ac:dyDescent="0.25">
      <c r="A20730" s="1" t="str">
        <f>"520655"</f>
        <v>520655</v>
      </c>
      <c r="B20730" s="2" t="str">
        <f>"ROLAMENTO  Nº 30316 J2"</f>
        <v>ROLAMENTO  Nº 30316 J2</v>
      </c>
      <c r="C20730" s="2" t="str">
        <f t="shared" si="824"/>
        <v>UN</v>
      </c>
      <c r="D20730" s="7">
        <v>918</v>
      </c>
      <c r="E20730" s="3">
        <v>11</v>
      </c>
      <c r="F20730" s="3">
        <v>11</v>
      </c>
      <c r="G20730" t="s">
        <v>513</v>
      </c>
    </row>
    <row r="20731" spans="1:7" x14ac:dyDescent="0.25">
      <c r="A20731" s="1" t="str">
        <f>"527418"</f>
        <v>527418</v>
      </c>
      <c r="B20731" s="2" t="str">
        <f>"ROLAMENTO 009257 01.05.004.001.009257"</f>
        <v>ROLAMENTO 009257 01.05.004.001.009257</v>
      </c>
      <c r="C20731" s="2" t="str">
        <f t="shared" si="824"/>
        <v>UN</v>
      </c>
      <c r="D20731" s="7">
        <v>918</v>
      </c>
      <c r="E20731" s="3">
        <v>10</v>
      </c>
      <c r="F20731" s="3">
        <v>10</v>
      </c>
      <c r="G20731" t="s">
        <v>513</v>
      </c>
    </row>
    <row r="20732" spans="1:7" x14ac:dyDescent="0.25">
      <c r="A20732" s="1" t="str">
        <f>"516142"</f>
        <v>516142</v>
      </c>
      <c r="B20732" s="2" t="str">
        <f>"ROLAMENTO 1204 ZKL ESFERAS"</f>
        <v>ROLAMENTO 1204 ZKL ESFERAS</v>
      </c>
      <c r="C20732" s="2" t="str">
        <f t="shared" si="824"/>
        <v>UN</v>
      </c>
      <c r="D20732" s="7">
        <v>906</v>
      </c>
      <c r="E20732" s="3">
        <v>11</v>
      </c>
      <c r="F20732" s="3">
        <v>11</v>
      </c>
      <c r="G20732" t="s">
        <v>512</v>
      </c>
    </row>
    <row r="20733" spans="1:7" x14ac:dyDescent="0.25">
      <c r="A20733" s="1" t="str">
        <f>"512858"</f>
        <v>512858</v>
      </c>
      <c r="B20733" s="2" t="str">
        <f>"ROLAMENTO 1206 ZKL ESFERAS"</f>
        <v>ROLAMENTO 1206 ZKL ESFERAS</v>
      </c>
      <c r="C20733" s="2" t="str">
        <f t="shared" si="824"/>
        <v>UN</v>
      </c>
      <c r="D20733" s="7">
        <v>906</v>
      </c>
      <c r="E20733" s="3">
        <v>11</v>
      </c>
      <c r="F20733" s="3">
        <v>11</v>
      </c>
      <c r="G20733" t="s">
        <v>513</v>
      </c>
    </row>
    <row r="20734" spans="1:7" x14ac:dyDescent="0.25">
      <c r="A20734" s="1" t="str">
        <f>"526237"</f>
        <v>526237</v>
      </c>
      <c r="B20734" s="2" t="str">
        <f>"ROLAMENTO 30307"</f>
        <v>ROLAMENTO 30307</v>
      </c>
      <c r="C20734" s="2" t="str">
        <f t="shared" si="824"/>
        <v>UN</v>
      </c>
      <c r="D20734" s="7">
        <v>906</v>
      </c>
      <c r="E20734" s="3">
        <v>11</v>
      </c>
      <c r="F20734" s="3">
        <v>11</v>
      </c>
      <c r="G20734" t="s">
        <v>514</v>
      </c>
    </row>
    <row r="20735" spans="1:7" x14ac:dyDescent="0.25">
      <c r="A20735" s="1" t="str">
        <f>"526236"</f>
        <v>526236</v>
      </c>
      <c r="B20735" s="2" t="str">
        <f>"ROLAMENTO 30308"</f>
        <v>ROLAMENTO 30308</v>
      </c>
      <c r="C20735" s="2" t="str">
        <f t="shared" si="824"/>
        <v>UN</v>
      </c>
      <c r="D20735" s="7">
        <v>906</v>
      </c>
      <c r="E20735" s="3">
        <v>11</v>
      </c>
      <c r="F20735" s="3">
        <v>11</v>
      </c>
      <c r="G20735" t="s">
        <v>515</v>
      </c>
    </row>
    <row r="20736" spans="1:7" x14ac:dyDescent="0.25">
      <c r="A20736" s="1" t="str">
        <f>"527990"</f>
        <v>527990</v>
      </c>
      <c r="B20736" s="2" t="str">
        <f>"ROLAMENTO 32009 XA"</f>
        <v>ROLAMENTO 32009 XA</v>
      </c>
      <c r="C20736" s="2" t="str">
        <f t="shared" si="824"/>
        <v>UN</v>
      </c>
      <c r="D20736" s="7">
        <v>918</v>
      </c>
      <c r="E20736" s="3">
        <v>11</v>
      </c>
      <c r="F20736" s="3">
        <v>11</v>
      </c>
      <c r="G20736" t="s">
        <v>512</v>
      </c>
    </row>
    <row r="20737" spans="1:7" x14ac:dyDescent="0.25">
      <c r="A20737" s="1" t="str">
        <f>"523144"</f>
        <v>523144</v>
      </c>
      <c r="B20737" s="2" t="str">
        <f>"ROLAMENTO 6018 2RS"</f>
        <v>ROLAMENTO 6018 2RS</v>
      </c>
      <c r="C20737" s="2" t="str">
        <f t="shared" si="824"/>
        <v>UN</v>
      </c>
      <c r="D20737" s="7">
        <v>906</v>
      </c>
      <c r="E20737" s="3">
        <v>11</v>
      </c>
      <c r="F20737" s="3">
        <v>11</v>
      </c>
      <c r="G20737" t="s">
        <v>516</v>
      </c>
    </row>
    <row r="20738" spans="1:7" x14ac:dyDescent="0.25">
      <c r="A20738" s="1" t="str">
        <f>"527949"</f>
        <v>527949</v>
      </c>
      <c r="B20738" s="2" t="str">
        <f>"ROLAMENTO 6021 - ZZ TIMKEN"</f>
        <v>ROLAMENTO 6021 - ZZ TIMKEN</v>
      </c>
      <c r="C20738" s="2" t="str">
        <f t="shared" si="824"/>
        <v>UN</v>
      </c>
      <c r="D20738" s="7">
        <v>402</v>
      </c>
      <c r="E20738" s="3">
        <v>4</v>
      </c>
      <c r="F20738" s="3">
        <v>4</v>
      </c>
      <c r="G20738" t="s">
        <v>515</v>
      </c>
    </row>
    <row r="20739" spans="1:7" x14ac:dyDescent="0.25">
      <c r="A20739" s="1" t="str">
        <f>"513010"</f>
        <v>513010</v>
      </c>
      <c r="B20739" s="2" t="str">
        <f>"ROLAMENTO 6803 FAG"</f>
        <v>ROLAMENTO 6803 FAG</v>
      </c>
      <c r="C20739" s="2" t="str">
        <f t="shared" si="824"/>
        <v>UN</v>
      </c>
      <c r="D20739" s="7">
        <v>906</v>
      </c>
      <c r="E20739" s="3">
        <v>11</v>
      </c>
      <c r="F20739" s="3">
        <v>11</v>
      </c>
      <c r="G20739" t="s">
        <v>514</v>
      </c>
    </row>
    <row r="20740" spans="1:7" x14ac:dyDescent="0.25">
      <c r="A20740" s="1" t="str">
        <f>"525546"</f>
        <v>525546</v>
      </c>
      <c r="B20740" s="2" t="str">
        <f>"ROLAMENTO 6805 2RS"</f>
        <v>ROLAMENTO 6805 2RS</v>
      </c>
      <c r="C20740" s="2" t="str">
        <f t="shared" si="824"/>
        <v>UN</v>
      </c>
      <c r="D20740" s="7">
        <v>906</v>
      </c>
      <c r="E20740" s="3">
        <v>11</v>
      </c>
      <c r="F20740" s="3">
        <v>11</v>
      </c>
      <c r="G20740" t="s">
        <v>512</v>
      </c>
    </row>
    <row r="20741" spans="1:7" x14ac:dyDescent="0.25">
      <c r="A20741" s="1" t="str">
        <f>"519743"</f>
        <v>519743</v>
      </c>
      <c r="B20741" s="2" t="str">
        <f>"ROLAMENTO 6807/2RS"</f>
        <v>ROLAMENTO 6807/2RS</v>
      </c>
      <c r="C20741" s="2" t="str">
        <f t="shared" si="824"/>
        <v>UN</v>
      </c>
      <c r="D20741" s="7">
        <v>918</v>
      </c>
      <c r="E20741" s="3">
        <v>11</v>
      </c>
      <c r="F20741" s="3">
        <v>11</v>
      </c>
      <c r="G20741" t="s">
        <v>513</v>
      </c>
    </row>
    <row r="20742" spans="1:7" x14ac:dyDescent="0.25">
      <c r="A20742" s="1" t="str">
        <f>"522917"</f>
        <v>522917</v>
      </c>
      <c r="B20742" s="2" t="str">
        <f>"ROLAMENTO 7R20 PEER"</f>
        <v>ROLAMENTO 7R20 PEER</v>
      </c>
      <c r="C20742" s="2" t="str">
        <f t="shared" si="824"/>
        <v>UN</v>
      </c>
      <c r="D20742" s="7">
        <v>918</v>
      </c>
      <c r="E20742" s="3">
        <v>10</v>
      </c>
      <c r="F20742" s="3">
        <v>10</v>
      </c>
      <c r="G20742" t="s">
        <v>514</v>
      </c>
    </row>
    <row r="20743" spans="1:7" x14ac:dyDescent="0.25">
      <c r="A20743" s="1" t="str">
        <f>"525597"</f>
        <v>525597</v>
      </c>
      <c r="B20743" s="2" t="str">
        <f>"ROLAMENTO AGULHA HK1816INA"</f>
        <v>ROLAMENTO AGULHA HK1816INA</v>
      </c>
      <c r="C20743" s="2" t="str">
        <f t="shared" si="824"/>
        <v>UN</v>
      </c>
      <c r="D20743" s="7">
        <v>906</v>
      </c>
      <c r="E20743" s="3">
        <v>11</v>
      </c>
      <c r="F20743" s="3">
        <v>11</v>
      </c>
      <c r="G20743" t="s">
        <v>514</v>
      </c>
    </row>
    <row r="20744" spans="1:7" x14ac:dyDescent="0.25">
      <c r="A20744" s="1" t="str">
        <f>"527772"</f>
        <v>527772</v>
      </c>
      <c r="B20744" s="2" t="str">
        <f>"ROLAMENTO AGULHA HK2526"</f>
        <v>ROLAMENTO AGULHA HK2526</v>
      </c>
      <c r="C20744" s="2" t="str">
        <f t="shared" si="824"/>
        <v>UN</v>
      </c>
      <c r="D20744" s="7">
        <v>906</v>
      </c>
      <c r="E20744" s="3">
        <v>11</v>
      </c>
      <c r="F20744" s="3">
        <v>11</v>
      </c>
      <c r="G20744" t="s">
        <v>512</v>
      </c>
    </row>
    <row r="20745" spans="1:7" x14ac:dyDescent="0.25">
      <c r="A20745" s="1" t="str">
        <f>"518235"</f>
        <v>518235</v>
      </c>
      <c r="B20745" s="2" t="str">
        <f>"ROLAMENTO AGULHA NATR-12PPA ST1 - INA"</f>
        <v>ROLAMENTO AGULHA NATR-12PPA ST1 - INA</v>
      </c>
      <c r="C20745" s="2" t="str">
        <f t="shared" si="824"/>
        <v>UN</v>
      </c>
      <c r="D20745" s="7">
        <v>906</v>
      </c>
      <c r="E20745" s="3">
        <v>11</v>
      </c>
      <c r="F20745" s="3">
        <v>11</v>
      </c>
      <c r="G20745" t="s">
        <v>513</v>
      </c>
    </row>
    <row r="20746" spans="1:7" x14ac:dyDescent="0.25">
      <c r="A20746" s="1" t="str">
        <f>"517299"</f>
        <v>517299</v>
      </c>
      <c r="B20746" s="2" t="str">
        <f>"ROLAMENTO AGULHA NATR-35PPIKO INA"</f>
        <v>ROLAMENTO AGULHA NATR-35PPIKO INA</v>
      </c>
      <c r="C20746" s="2" t="str">
        <f t="shared" si="824"/>
        <v>UN</v>
      </c>
      <c r="D20746" s="7">
        <v>906</v>
      </c>
      <c r="E20746" s="3">
        <v>11</v>
      </c>
      <c r="F20746" s="3">
        <v>11</v>
      </c>
      <c r="G20746" t="s">
        <v>514</v>
      </c>
    </row>
    <row r="20747" spans="1:7" x14ac:dyDescent="0.25">
      <c r="A20747" s="1" t="str">
        <f>"517302"</f>
        <v>517302</v>
      </c>
      <c r="B20747" s="2" t="str">
        <f>"ROLAMENTO AGULHA NATR-40PPIKO"</f>
        <v>ROLAMENTO AGULHA NATR-40PPIKO</v>
      </c>
      <c r="C20747" s="2" t="str">
        <f t="shared" si="824"/>
        <v>UN</v>
      </c>
      <c r="D20747" s="7">
        <v>906</v>
      </c>
      <c r="E20747" s="3">
        <v>11</v>
      </c>
      <c r="F20747" s="3">
        <v>11</v>
      </c>
      <c r="G20747" t="s">
        <v>514</v>
      </c>
    </row>
    <row r="20748" spans="1:7" x14ac:dyDescent="0.25">
      <c r="A20748" s="1" t="str">
        <f>"503704"</f>
        <v>503704</v>
      </c>
      <c r="B20748" s="2" t="str">
        <f>"ROLAMENTO AGULHA/ENCOSTO NKX-35 ZIKO+"</f>
        <v>ROLAMENTO AGULHA/ENCOSTO NKX-35 ZIKO+</v>
      </c>
      <c r="C20748" s="2" t="str">
        <f t="shared" si="824"/>
        <v>UN</v>
      </c>
      <c r="D20748" s="7">
        <v>906</v>
      </c>
      <c r="E20748" s="3">
        <v>11</v>
      </c>
      <c r="F20748" s="3">
        <v>11</v>
      </c>
      <c r="G20748" t="s">
        <v>514</v>
      </c>
    </row>
    <row r="20749" spans="1:7" x14ac:dyDescent="0.25">
      <c r="A20749" s="1" t="str">
        <f>"519631"</f>
        <v>519631</v>
      </c>
      <c r="B20749" s="2" t="str">
        <f>"ROLAMENTO ALAVANCA CAMBIO"</f>
        <v>ROLAMENTO ALAVANCA CAMBIO</v>
      </c>
      <c r="C20749" s="2" t="str">
        <f t="shared" si="824"/>
        <v>UN</v>
      </c>
      <c r="D20749" s="7">
        <v>704</v>
      </c>
      <c r="E20749" s="3">
        <v>9</v>
      </c>
      <c r="F20749" s="3">
        <v>9</v>
      </c>
      <c r="G20749" t="s">
        <v>513</v>
      </c>
    </row>
    <row r="20750" spans="1:7" x14ac:dyDescent="0.25">
      <c r="A20750" s="1" t="str">
        <f>"526499"</f>
        <v>526499</v>
      </c>
      <c r="B20750" s="2" t="str">
        <f>"ROLAMENTO APF-32676"</f>
        <v>ROLAMENTO APF-32676</v>
      </c>
      <c r="C20750" s="2" t="str">
        <f t="shared" si="824"/>
        <v>UN</v>
      </c>
      <c r="D20750" s="7">
        <v>918</v>
      </c>
      <c r="E20750" s="3">
        <v>11</v>
      </c>
      <c r="F20750" s="3">
        <v>11</v>
      </c>
      <c r="G20750" t="s">
        <v>512</v>
      </c>
    </row>
    <row r="20751" spans="1:7" x14ac:dyDescent="0.25">
      <c r="A20751" s="1" t="str">
        <f>"527141"</f>
        <v>527141</v>
      </c>
      <c r="B20751" s="2" t="str">
        <f>"ROLAMENTO APOIO"</f>
        <v>ROLAMENTO APOIO</v>
      </c>
      <c r="C20751" s="2" t="str">
        <f t="shared" si="824"/>
        <v>UN</v>
      </c>
      <c r="D20751" s="7">
        <v>917</v>
      </c>
      <c r="E20751" s="3">
        <v>11</v>
      </c>
      <c r="F20751" s="3">
        <v>11</v>
      </c>
      <c r="G20751" t="s">
        <v>513</v>
      </c>
    </row>
    <row r="20752" spans="1:7" x14ac:dyDescent="0.25">
      <c r="A20752" s="1" t="str">
        <f>"514746"</f>
        <v>514746</v>
      </c>
      <c r="B20752" s="2" t="str">
        <f>"ROLAMENTO AXIAL 2000"</f>
        <v>ROLAMENTO AXIAL 2000</v>
      </c>
      <c r="C20752" s="2" t="str">
        <f t="shared" si="824"/>
        <v>UN</v>
      </c>
      <c r="D20752" s="7">
        <v>918</v>
      </c>
      <c r="E20752" s="3">
        <v>11</v>
      </c>
      <c r="F20752" s="3">
        <v>11</v>
      </c>
      <c r="G20752" t="s">
        <v>514</v>
      </c>
    </row>
    <row r="20753" spans="1:7" x14ac:dyDescent="0.25">
      <c r="A20753" s="1" t="str">
        <f>"512946"</f>
        <v>512946</v>
      </c>
      <c r="B20753" s="2" t="str">
        <f>"ROLAMENTO CARRINHO"</f>
        <v>ROLAMENTO CARRINHO</v>
      </c>
      <c r="C20753" s="2" t="str">
        <f t="shared" si="824"/>
        <v>UN</v>
      </c>
      <c r="D20753" s="7">
        <v>906</v>
      </c>
      <c r="E20753" s="3">
        <v>11</v>
      </c>
      <c r="F20753" s="3">
        <v>11</v>
      </c>
      <c r="G20753" t="s">
        <v>514</v>
      </c>
    </row>
    <row r="20754" spans="1:7" x14ac:dyDescent="0.25">
      <c r="A20754" s="1" t="str">
        <f>"517209"</f>
        <v>517209</v>
      </c>
      <c r="B20754" s="2" t="str">
        <f>"ROLAMENTO CATRACA AS15 STIEBER GERMANY - X J"</f>
        <v>ROLAMENTO CATRACA AS15 STIEBER GERMANY - X J</v>
      </c>
      <c r="C20754" s="2" t="str">
        <f t="shared" si="824"/>
        <v>UN</v>
      </c>
      <c r="D20754" s="7">
        <v>906</v>
      </c>
      <c r="E20754" s="3">
        <v>11</v>
      </c>
      <c r="F20754" s="3">
        <v>11</v>
      </c>
      <c r="G20754" t="s">
        <v>514</v>
      </c>
    </row>
    <row r="20755" spans="1:7" x14ac:dyDescent="0.25">
      <c r="A20755" s="1" t="str">
        <f>"500836"</f>
        <v>500836</v>
      </c>
      <c r="B20755" s="2" t="str">
        <f>"ROLAMENTO CATRACA KK 17B-C5"</f>
        <v>ROLAMENTO CATRACA KK 17B-C5</v>
      </c>
      <c r="C20755" s="2" t="str">
        <f t="shared" si="824"/>
        <v>UN</v>
      </c>
      <c r="D20755" s="7">
        <v>906</v>
      </c>
      <c r="E20755" s="3">
        <v>11</v>
      </c>
      <c r="F20755" s="3">
        <v>11</v>
      </c>
      <c r="G20755" t="s">
        <v>513</v>
      </c>
    </row>
    <row r="20756" spans="1:7" x14ac:dyDescent="0.25">
      <c r="A20756" s="1" t="str">
        <f>"526214"</f>
        <v>526214</v>
      </c>
      <c r="B20756" s="2" t="str">
        <f>"ROLAMENTO CFH 1 1/4"</f>
        <v>ROLAMENTO CFH 1 1/4</v>
      </c>
      <c r="C20756" s="2" t="str">
        <f>"PC"</f>
        <v>PC</v>
      </c>
      <c r="D20756" s="7">
        <v>918</v>
      </c>
      <c r="E20756" s="3">
        <v>11</v>
      </c>
      <c r="F20756" s="3">
        <v>11</v>
      </c>
      <c r="G20756" t="s">
        <v>513</v>
      </c>
    </row>
    <row r="20757" spans="1:7" x14ac:dyDescent="0.25">
      <c r="A20757" s="1" t="str">
        <f>"521177"</f>
        <v>521177</v>
      </c>
      <c r="B20757" s="2" t="str">
        <f>"ROLAMENTO COMPENSADOR 7206 B ESFERA"</f>
        <v>ROLAMENTO COMPENSADOR 7206 B ESFERA</v>
      </c>
      <c r="C20757" s="2" t="str">
        <f t="shared" ref="C20757:C20770" si="825">"UN"</f>
        <v>UN</v>
      </c>
      <c r="D20757" s="7">
        <v>906</v>
      </c>
      <c r="E20757" s="3">
        <v>11</v>
      </c>
      <c r="F20757" s="3">
        <v>11</v>
      </c>
      <c r="G20757" t="s">
        <v>513</v>
      </c>
    </row>
    <row r="20758" spans="1:7" x14ac:dyDescent="0.25">
      <c r="A20758" s="1" t="str">
        <f>"522892"</f>
        <v>522892</v>
      </c>
      <c r="B20758" s="2" t="str">
        <f>"ROLAMENTO DE AGULHAS"</f>
        <v>ROLAMENTO DE AGULHAS</v>
      </c>
      <c r="C20758" s="2" t="str">
        <f t="shared" si="825"/>
        <v>UN</v>
      </c>
      <c r="D20758" s="7">
        <v>918</v>
      </c>
      <c r="E20758" s="3">
        <v>10</v>
      </c>
      <c r="F20758" s="3">
        <v>10</v>
      </c>
      <c r="G20758" t="s">
        <v>512</v>
      </c>
    </row>
    <row r="20759" spans="1:7" x14ac:dyDescent="0.25">
      <c r="A20759" s="1" t="str">
        <f>"522893"</f>
        <v>522893</v>
      </c>
      <c r="B20759" s="2" t="str">
        <f>"ROLAMENTO DE ENCOSTO"</f>
        <v>ROLAMENTO DE ENCOSTO</v>
      </c>
      <c r="C20759" s="2" t="str">
        <f t="shared" si="825"/>
        <v>UN</v>
      </c>
      <c r="D20759" s="7">
        <v>918</v>
      </c>
      <c r="E20759" s="3">
        <v>10</v>
      </c>
      <c r="F20759" s="3">
        <v>10</v>
      </c>
      <c r="G20759" t="s">
        <v>513</v>
      </c>
    </row>
    <row r="20760" spans="1:7" x14ac:dyDescent="0.25">
      <c r="A20760" s="1" t="str">
        <f>"501823"</f>
        <v>501823</v>
      </c>
      <c r="B20760" s="2" t="str">
        <f>"ROLAMENTO DIANTEIRO ROTOR ARRANQUE"</f>
        <v>ROLAMENTO DIANTEIRO ROTOR ARRANQUE</v>
      </c>
      <c r="C20760" s="2" t="str">
        <f t="shared" si="825"/>
        <v>UN</v>
      </c>
      <c r="D20760" s="7">
        <v>918</v>
      </c>
      <c r="E20760" s="3">
        <v>9</v>
      </c>
      <c r="F20760" s="3">
        <v>9</v>
      </c>
      <c r="G20760" t="s">
        <v>514</v>
      </c>
    </row>
    <row r="20761" spans="1:7" x14ac:dyDescent="0.25">
      <c r="A20761" s="1" t="str">
        <f>"525461"</f>
        <v>525461</v>
      </c>
      <c r="B20761" s="2" t="str">
        <f>"ROLAMENTO ENCODER SKF"</f>
        <v>ROLAMENTO ENCODER SKF</v>
      </c>
      <c r="C20761" s="2" t="str">
        <f t="shared" si="825"/>
        <v>UN</v>
      </c>
      <c r="D20761" s="7">
        <v>906</v>
      </c>
      <c r="E20761" s="3">
        <v>10</v>
      </c>
      <c r="F20761" s="3">
        <v>10</v>
      </c>
      <c r="G20761" t="s">
        <v>515</v>
      </c>
    </row>
    <row r="20762" spans="1:7" x14ac:dyDescent="0.25">
      <c r="A20762" s="1" t="str">
        <f>"517657"</f>
        <v>517657</v>
      </c>
      <c r="B20762" s="2" t="str">
        <f>"ROLAMENTO ENCOSTO 29317 EI STI - FAG"</f>
        <v>ROLAMENTO ENCOSTO 29317 EI STI - FAG</v>
      </c>
      <c r="C20762" s="2" t="str">
        <f t="shared" si="825"/>
        <v>UN</v>
      </c>
      <c r="D20762" s="7">
        <v>906</v>
      </c>
      <c r="E20762" s="3">
        <v>11</v>
      </c>
      <c r="F20762" s="3">
        <v>11</v>
      </c>
      <c r="G20762" t="s">
        <v>512</v>
      </c>
    </row>
    <row r="20763" spans="1:7" x14ac:dyDescent="0.25">
      <c r="A20763" s="1" t="str">
        <f>"517300"</f>
        <v>517300</v>
      </c>
      <c r="B20763" s="2" t="str">
        <f>"ROLAMENTO ESFERAS UC-210SNR"</f>
        <v>ROLAMENTO ESFERAS UC-210SNR</v>
      </c>
      <c r="C20763" s="2" t="str">
        <f t="shared" si="825"/>
        <v>UN</v>
      </c>
      <c r="D20763" s="7">
        <v>906</v>
      </c>
      <c r="E20763" s="3">
        <v>11</v>
      </c>
      <c r="F20763" s="3">
        <v>11</v>
      </c>
      <c r="G20763" t="s">
        <v>516</v>
      </c>
    </row>
    <row r="20764" spans="1:7" x14ac:dyDescent="0.25">
      <c r="A20764" s="1" t="str">
        <f>"511025"</f>
        <v>511025</v>
      </c>
      <c r="B20764" s="2" t="str">
        <f>"ROLAMENTO EX.206.G2 GE30KRRB"</f>
        <v>ROLAMENTO EX.206.G2 GE30KRRB</v>
      </c>
      <c r="C20764" s="2" t="str">
        <f t="shared" si="825"/>
        <v>UN</v>
      </c>
      <c r="D20764" s="7">
        <v>918</v>
      </c>
      <c r="E20764" s="3">
        <v>11</v>
      </c>
      <c r="F20764" s="3">
        <v>11</v>
      </c>
      <c r="G20764" t="s">
        <v>515</v>
      </c>
    </row>
    <row r="20765" spans="1:7" x14ac:dyDescent="0.25">
      <c r="A20765" s="1" t="str">
        <f>"527909"</f>
        <v>527909</v>
      </c>
      <c r="B20765" s="2" t="str">
        <f>"ROLAMENTO FIXO DE ESFERAS UCR207300"</f>
        <v>ROLAMENTO FIXO DE ESFERAS UCR207300</v>
      </c>
      <c r="C20765" s="2" t="str">
        <f t="shared" si="825"/>
        <v>UN</v>
      </c>
      <c r="D20765" s="7">
        <v>402</v>
      </c>
      <c r="E20765" s="3">
        <v>4</v>
      </c>
      <c r="F20765" s="3">
        <v>4</v>
      </c>
      <c r="G20765" t="s">
        <v>514</v>
      </c>
    </row>
    <row r="20766" spans="1:7" x14ac:dyDescent="0.25">
      <c r="A20766" s="1" t="str">
        <f>"518346"</f>
        <v>518346</v>
      </c>
      <c r="B20766" s="2" t="str">
        <f>"ROLAMENTO GYE25"</f>
        <v>ROLAMENTO GYE25</v>
      </c>
      <c r="C20766" s="2" t="str">
        <f t="shared" si="825"/>
        <v>UN</v>
      </c>
      <c r="D20766" s="7">
        <v>906</v>
      </c>
      <c r="E20766" s="3">
        <v>11</v>
      </c>
      <c r="F20766" s="3">
        <v>11</v>
      </c>
      <c r="G20766" t="s">
        <v>512</v>
      </c>
    </row>
    <row r="20767" spans="1:7" x14ac:dyDescent="0.25">
      <c r="A20767" s="1" t="str">
        <f>"518345"</f>
        <v>518345</v>
      </c>
      <c r="B20767" s="2" t="str">
        <f>"ROLAMENTO GYE30"</f>
        <v>ROLAMENTO GYE30</v>
      </c>
      <c r="C20767" s="2" t="str">
        <f t="shared" si="825"/>
        <v>UN</v>
      </c>
      <c r="D20767" s="7">
        <v>906</v>
      </c>
      <c r="E20767" s="3">
        <v>11</v>
      </c>
      <c r="F20767" s="3">
        <v>11</v>
      </c>
      <c r="G20767" t="s">
        <v>513</v>
      </c>
    </row>
    <row r="20768" spans="1:7" x14ac:dyDescent="0.25">
      <c r="A20768" s="1" t="str">
        <f>"518347"</f>
        <v>518347</v>
      </c>
      <c r="B20768" s="2" t="str">
        <f>"ROLAMENTO GYE35"</f>
        <v>ROLAMENTO GYE35</v>
      </c>
      <c r="C20768" s="2" t="str">
        <f t="shared" si="825"/>
        <v>UN</v>
      </c>
      <c r="D20768" s="7">
        <v>906</v>
      </c>
      <c r="E20768" s="3">
        <v>11</v>
      </c>
      <c r="F20768" s="3">
        <v>11</v>
      </c>
      <c r="G20768" t="s">
        <v>514</v>
      </c>
    </row>
    <row r="20769" spans="1:7" x14ac:dyDescent="0.25">
      <c r="A20769" s="1" t="str">
        <f>"509851"</f>
        <v>509851</v>
      </c>
      <c r="B20769" s="2" t="str">
        <f>"ROLAMENTO HF1616 XYZ GERMANY INA"</f>
        <v>ROLAMENTO HF1616 XYZ GERMANY INA</v>
      </c>
      <c r="C20769" s="2" t="str">
        <f t="shared" si="825"/>
        <v>UN</v>
      </c>
      <c r="D20769" s="7">
        <v>918</v>
      </c>
      <c r="E20769" s="3">
        <v>11</v>
      </c>
      <c r="F20769" s="3">
        <v>11</v>
      </c>
      <c r="G20769" t="s">
        <v>514</v>
      </c>
    </row>
    <row r="20770" spans="1:7" x14ac:dyDescent="0.25">
      <c r="A20770" s="1" t="str">
        <f>"512814"</f>
        <v>512814</v>
      </c>
      <c r="B20770" s="2" t="str">
        <f>"ROLAMENTO HR31308J NSK"</f>
        <v>ROLAMENTO HR31308J NSK</v>
      </c>
      <c r="C20770" s="2" t="str">
        <f t="shared" si="825"/>
        <v>UN</v>
      </c>
      <c r="D20770" s="7">
        <v>918</v>
      </c>
      <c r="E20770" s="3">
        <v>11</v>
      </c>
      <c r="F20770" s="3">
        <v>11</v>
      </c>
      <c r="G20770" t="s">
        <v>512</v>
      </c>
    </row>
    <row r="20771" spans="1:7" x14ac:dyDescent="0.25">
      <c r="A20771" s="1" t="str">
        <f>"509992"</f>
        <v>509992</v>
      </c>
      <c r="B20771" s="2" t="str">
        <f>"ROLAMENTO KFB NJ310EMC3"</f>
        <v>ROLAMENTO KFB NJ310EMC3</v>
      </c>
      <c r="C20771" s="2" t="str">
        <f>"PC"</f>
        <v>PC</v>
      </c>
      <c r="D20771" s="7">
        <v>918</v>
      </c>
      <c r="E20771" s="3">
        <v>11</v>
      </c>
      <c r="F20771" s="3">
        <v>11</v>
      </c>
      <c r="G20771" t="s">
        <v>513</v>
      </c>
    </row>
    <row r="20772" spans="1:7" x14ac:dyDescent="0.25">
      <c r="A20772" s="1" t="str">
        <f>"509014"</f>
        <v>509014</v>
      </c>
      <c r="B20772" s="2" t="str">
        <f>"ROLAMENTO KR22-X-PP-A"</f>
        <v>ROLAMENTO KR22-X-PP-A</v>
      </c>
      <c r="C20772" s="2" t="str">
        <f>"UN"</f>
        <v>UN</v>
      </c>
      <c r="D20772" s="7">
        <v>918</v>
      </c>
      <c r="E20772" s="3">
        <v>11</v>
      </c>
      <c r="F20772" s="3">
        <v>11</v>
      </c>
      <c r="G20772" t="s">
        <v>514</v>
      </c>
    </row>
    <row r="20773" spans="1:7" x14ac:dyDescent="0.25">
      <c r="A20773" s="1" t="str">
        <f>"521138"</f>
        <v>521138</v>
      </c>
      <c r="B20773" s="2" t="str">
        <f>"ROLAMENTO KRV-19PP"</f>
        <v>ROLAMENTO KRV-19PP</v>
      </c>
      <c r="C20773" s="2" t="str">
        <f>"UN"</f>
        <v>UN</v>
      </c>
      <c r="D20773" s="7">
        <v>906</v>
      </c>
      <c r="E20773" s="3">
        <v>11</v>
      </c>
      <c r="F20773" s="3">
        <v>11</v>
      </c>
      <c r="G20773" t="s">
        <v>514</v>
      </c>
    </row>
    <row r="20774" spans="1:7" x14ac:dyDescent="0.25">
      <c r="A20774" s="1" t="str">
        <f>"520604"</f>
        <v>520604</v>
      </c>
      <c r="B20774" s="2" t="str">
        <f>"ROLAMENTO N° 16005"</f>
        <v>ROLAMENTO N° 16005</v>
      </c>
      <c r="C20774" s="2" t="str">
        <f>"UN"</f>
        <v>UN</v>
      </c>
      <c r="D20774" s="7">
        <v>704</v>
      </c>
      <c r="E20774" s="3">
        <v>9</v>
      </c>
      <c r="F20774" s="3">
        <v>9</v>
      </c>
      <c r="G20774" t="s">
        <v>514</v>
      </c>
    </row>
    <row r="20775" spans="1:7" x14ac:dyDescent="0.25">
      <c r="A20775" s="1" t="str">
        <f>"520523"</f>
        <v>520523</v>
      </c>
      <c r="B20775" s="2" t="str">
        <f>"ROLAMENTO N° 61803-2Z-HLC"</f>
        <v>ROLAMENTO N° 61803-2Z-HLC</v>
      </c>
      <c r="C20775" s="2" t="str">
        <f>"PC"</f>
        <v>PC</v>
      </c>
      <c r="D20775" s="7">
        <v>918</v>
      </c>
      <c r="E20775" s="3">
        <v>11</v>
      </c>
      <c r="F20775" s="3">
        <v>11</v>
      </c>
      <c r="G20775" t="s">
        <v>513</v>
      </c>
    </row>
    <row r="20776" spans="1:7" x14ac:dyDescent="0.25">
      <c r="A20776" s="1" t="str">
        <f>"520600"</f>
        <v>520600</v>
      </c>
      <c r="B20776" s="2" t="str">
        <f>"ROLAMENTO N° 6803 2RS"</f>
        <v>ROLAMENTO N° 6803 2RS</v>
      </c>
      <c r="C20776" s="2" t="str">
        <f>"UN"</f>
        <v>UN</v>
      </c>
      <c r="D20776" s="7">
        <v>704</v>
      </c>
      <c r="E20776" s="3">
        <v>9</v>
      </c>
      <c r="F20776" s="3">
        <v>9</v>
      </c>
      <c r="G20776" t="s">
        <v>512</v>
      </c>
    </row>
    <row r="20777" spans="1:7" x14ac:dyDescent="0.25">
      <c r="A20777" s="1" t="str">
        <f>"520603"</f>
        <v>520603</v>
      </c>
      <c r="B20777" s="2" t="str">
        <f>"ROLAMENTO N° 6804"</f>
        <v>ROLAMENTO N° 6804</v>
      </c>
      <c r="C20777" s="2" t="str">
        <f>"UN"</f>
        <v>UN</v>
      </c>
      <c r="D20777" s="7">
        <v>704</v>
      </c>
      <c r="E20777" s="3">
        <v>9</v>
      </c>
      <c r="F20777" s="3">
        <v>9</v>
      </c>
      <c r="G20777" t="s">
        <v>513</v>
      </c>
    </row>
    <row r="20778" spans="1:7" x14ac:dyDescent="0.25">
      <c r="A20778" s="1" t="str">
        <f>"522479"</f>
        <v>522479</v>
      </c>
      <c r="B20778" s="2" t="str">
        <f>"ROLAMENTO N° KR30PR"</f>
        <v>ROLAMENTO N° KR30PR</v>
      </c>
      <c r="C20778" s="2" t="str">
        <f>"UN"</f>
        <v>UN</v>
      </c>
      <c r="D20778" s="7">
        <v>906</v>
      </c>
      <c r="E20778" s="3">
        <v>10</v>
      </c>
      <c r="F20778" s="3">
        <v>10</v>
      </c>
      <c r="G20778" t="s">
        <v>514</v>
      </c>
    </row>
    <row r="20779" spans="1:7" x14ac:dyDescent="0.25">
      <c r="A20779" s="1" t="str">
        <f>"520342"</f>
        <v>520342</v>
      </c>
      <c r="B20779" s="2" t="str">
        <f>"ROLAMENTO N°2.203 2RSR SKF"</f>
        <v>ROLAMENTO N°2.203 2RSR SKF</v>
      </c>
      <c r="C20779" s="2" t="str">
        <f>"PC"</f>
        <v>PC</v>
      </c>
      <c r="D20779" s="7">
        <v>918</v>
      </c>
      <c r="E20779" s="3">
        <v>11</v>
      </c>
      <c r="F20779" s="3">
        <v>11</v>
      </c>
      <c r="G20779" t="s">
        <v>514</v>
      </c>
    </row>
    <row r="20780" spans="1:7" x14ac:dyDescent="0.25">
      <c r="A20780" s="1" t="str">
        <f>"525988"</f>
        <v>525988</v>
      </c>
      <c r="B20780" s="2" t="str">
        <f>"ROLAMENTO N°2210"</f>
        <v>ROLAMENTO N°2210</v>
      </c>
      <c r="C20780" s="2" t="str">
        <f t="shared" ref="C20780:C20789" si="826">"UN"</f>
        <v>UN</v>
      </c>
      <c r="D20780" s="7">
        <v>812</v>
      </c>
      <c r="E20780" s="3">
        <v>11</v>
      </c>
      <c r="F20780" s="3">
        <v>11</v>
      </c>
      <c r="G20780" t="s">
        <v>514</v>
      </c>
    </row>
    <row r="20781" spans="1:7" x14ac:dyDescent="0.25">
      <c r="A20781" s="1" t="str">
        <f>"527786"</f>
        <v>527786</v>
      </c>
      <c r="B20781" s="2" t="str">
        <f>"ROLAMENTO N°30316 A"</f>
        <v>ROLAMENTO N°30316 A</v>
      </c>
      <c r="C20781" s="2" t="str">
        <f t="shared" si="826"/>
        <v>UN</v>
      </c>
      <c r="D20781" s="7">
        <v>906</v>
      </c>
      <c r="E20781" s="3">
        <v>11</v>
      </c>
      <c r="F20781" s="3">
        <v>11</v>
      </c>
      <c r="G20781" t="s">
        <v>513</v>
      </c>
    </row>
    <row r="20782" spans="1:7" x14ac:dyDescent="0.25">
      <c r="A20782" s="1" t="str">
        <f>"525990"</f>
        <v>525990</v>
      </c>
      <c r="B20782" s="2" t="str">
        <f>"ROLAMENTO N°32206"</f>
        <v>ROLAMENTO N°32206</v>
      </c>
      <c r="C20782" s="2" t="str">
        <f t="shared" si="826"/>
        <v>UN</v>
      </c>
      <c r="D20782" s="7">
        <v>812</v>
      </c>
      <c r="E20782" s="3">
        <v>11</v>
      </c>
      <c r="F20782" s="3">
        <v>11</v>
      </c>
      <c r="G20782" t="s">
        <v>513</v>
      </c>
    </row>
    <row r="20783" spans="1:7" x14ac:dyDescent="0.25">
      <c r="A20783" s="1" t="str">
        <f>"525989"</f>
        <v>525989</v>
      </c>
      <c r="B20783" s="2" t="str">
        <f>"ROLAMENTO N°32208"</f>
        <v>ROLAMENTO N°32208</v>
      </c>
      <c r="C20783" s="2" t="str">
        <f t="shared" si="826"/>
        <v>UN</v>
      </c>
      <c r="D20783" s="7">
        <v>812</v>
      </c>
      <c r="E20783" s="3">
        <v>11</v>
      </c>
      <c r="F20783" s="3">
        <v>11</v>
      </c>
      <c r="G20783" t="s">
        <v>513</v>
      </c>
    </row>
    <row r="20784" spans="1:7" x14ac:dyDescent="0.25">
      <c r="A20784" s="1" t="str">
        <f>"503754"</f>
        <v>503754</v>
      </c>
      <c r="B20784" s="2" t="str">
        <f>"ROLAMENTO NA-4906 - BOMBA DE VACUO"</f>
        <v>ROLAMENTO NA-4906 - BOMBA DE VACUO</v>
      </c>
      <c r="C20784" s="2" t="str">
        <f t="shared" si="826"/>
        <v>UN</v>
      </c>
      <c r="D20784" s="7">
        <v>906</v>
      </c>
      <c r="E20784" s="3">
        <v>11</v>
      </c>
      <c r="F20784" s="3">
        <v>11</v>
      </c>
      <c r="G20784" t="s">
        <v>512</v>
      </c>
    </row>
    <row r="20785" spans="1:7" x14ac:dyDescent="0.25">
      <c r="A20785" s="1" t="str">
        <f>"513011"</f>
        <v>513011</v>
      </c>
      <c r="B20785" s="2" t="str">
        <f>"ROLAMENTO NART12 PP-A INA"</f>
        <v>ROLAMENTO NART12 PP-A INA</v>
      </c>
      <c r="C20785" s="2" t="str">
        <f t="shared" si="826"/>
        <v>UN</v>
      </c>
      <c r="D20785" s="7">
        <v>906</v>
      </c>
      <c r="E20785" s="3">
        <v>11</v>
      </c>
      <c r="F20785" s="3">
        <v>11</v>
      </c>
      <c r="G20785" t="s">
        <v>513</v>
      </c>
    </row>
    <row r="20786" spans="1:7" x14ac:dyDescent="0.25">
      <c r="A20786" s="1" t="str">
        <f>"521137"</f>
        <v>521137</v>
      </c>
      <c r="B20786" s="2" t="str">
        <f>"ROLAMENTO NART-35PP"</f>
        <v>ROLAMENTO NART-35PP</v>
      </c>
      <c r="C20786" s="2" t="str">
        <f t="shared" si="826"/>
        <v>UN</v>
      </c>
      <c r="D20786" s="7">
        <v>906</v>
      </c>
      <c r="E20786" s="3">
        <v>11</v>
      </c>
      <c r="F20786" s="3">
        <v>11</v>
      </c>
      <c r="G20786" t="s">
        <v>514</v>
      </c>
    </row>
    <row r="20787" spans="1:7" x14ac:dyDescent="0.25">
      <c r="A20787" s="1" t="str">
        <f>"527858"</f>
        <v>527858</v>
      </c>
      <c r="B20787" s="2" t="str">
        <f>"ROLAMENTO NJ214 EC"</f>
        <v>ROLAMENTO NJ214 EC</v>
      </c>
      <c r="C20787" s="2" t="str">
        <f t="shared" si="826"/>
        <v>UN</v>
      </c>
      <c r="D20787" s="7">
        <v>906</v>
      </c>
      <c r="E20787" s="3">
        <v>11</v>
      </c>
      <c r="F20787" s="3">
        <v>11</v>
      </c>
      <c r="G20787" t="s">
        <v>515</v>
      </c>
    </row>
    <row r="20788" spans="1:7" x14ac:dyDescent="0.25">
      <c r="A20788" s="1" t="str">
        <f>"503755"</f>
        <v>503755</v>
      </c>
      <c r="B20788" s="2" t="str">
        <f>"ROLAMENTO NKX35-A - BOMBA DE VACUO"</f>
        <v>ROLAMENTO NKX35-A - BOMBA DE VACUO</v>
      </c>
      <c r="C20788" s="2" t="str">
        <f t="shared" si="826"/>
        <v>UN</v>
      </c>
      <c r="D20788" s="7">
        <v>906</v>
      </c>
      <c r="E20788" s="3">
        <v>11</v>
      </c>
      <c r="F20788" s="3">
        <v>11</v>
      </c>
      <c r="G20788" t="s">
        <v>512</v>
      </c>
    </row>
    <row r="20789" spans="1:7" x14ac:dyDescent="0.25">
      <c r="A20789" s="1" t="str">
        <f>"505106"</f>
        <v>505106</v>
      </c>
      <c r="B20789" s="2" t="str">
        <f>"ROLAMENTO Nº 30208 ZWZ"</f>
        <v>ROLAMENTO Nº 30208 ZWZ</v>
      </c>
      <c r="C20789" s="2" t="str">
        <f t="shared" si="826"/>
        <v>UN</v>
      </c>
      <c r="D20789" s="7">
        <v>402</v>
      </c>
      <c r="E20789" s="3">
        <v>4</v>
      </c>
      <c r="F20789" s="3">
        <v>4</v>
      </c>
      <c r="G20789" t="s">
        <v>516</v>
      </c>
    </row>
    <row r="20790" spans="1:7" x14ac:dyDescent="0.25">
      <c r="A20790" s="1" t="str">
        <f>"527287"</f>
        <v>527287</v>
      </c>
      <c r="B20790" s="2" t="str">
        <f>"ROLAMENTO Nº 61.905 2RS"</f>
        <v>ROLAMENTO Nº 61.905 2RS</v>
      </c>
      <c r="C20790" s="2" t="str">
        <f>"PC"</f>
        <v>PC</v>
      </c>
      <c r="D20790" s="7">
        <v>918</v>
      </c>
      <c r="E20790" s="3">
        <v>11</v>
      </c>
      <c r="F20790" s="3">
        <v>11</v>
      </c>
      <c r="G20790" t="s">
        <v>515</v>
      </c>
    </row>
    <row r="20791" spans="1:7" x14ac:dyDescent="0.25">
      <c r="A20791" s="1" t="str">
        <f>"520002"</f>
        <v>520002</v>
      </c>
      <c r="B20791" s="2" t="str">
        <f>"ROLAMENTO Nº 6406ZZ"</f>
        <v>ROLAMENTO Nº 6406ZZ</v>
      </c>
      <c r="C20791" s="2" t="str">
        <f>"PC"</f>
        <v>PC</v>
      </c>
      <c r="D20791" s="7">
        <v>918</v>
      </c>
      <c r="E20791" s="3">
        <v>11</v>
      </c>
      <c r="F20791" s="3">
        <v>11</v>
      </c>
      <c r="G20791" t="s">
        <v>514</v>
      </c>
    </row>
    <row r="20792" spans="1:7" x14ac:dyDescent="0.25">
      <c r="A20792" s="1" t="str">
        <f>"520003"</f>
        <v>520003</v>
      </c>
      <c r="B20792" s="2" t="str">
        <f>"ROLAMENTO Nº 6800 2RS"</f>
        <v>ROLAMENTO Nº 6800 2RS</v>
      </c>
      <c r="C20792" s="2" t="str">
        <f>"PC"</f>
        <v>PC</v>
      </c>
      <c r="D20792" s="7">
        <v>918</v>
      </c>
      <c r="E20792" s="3">
        <v>11</v>
      </c>
      <c r="F20792" s="3">
        <v>11</v>
      </c>
      <c r="G20792" t="s">
        <v>512</v>
      </c>
    </row>
    <row r="20793" spans="1:7" x14ac:dyDescent="0.25">
      <c r="A20793" s="1" t="str">
        <f>"520004"</f>
        <v>520004</v>
      </c>
      <c r="B20793" s="2" t="str">
        <f>"ROLAMENTO Nº 6801 2RS"</f>
        <v>ROLAMENTO Nº 6801 2RS</v>
      </c>
      <c r="C20793" s="2" t="str">
        <f>"PC"</f>
        <v>PC</v>
      </c>
      <c r="D20793" s="7">
        <v>918</v>
      </c>
      <c r="E20793" s="3">
        <v>11</v>
      </c>
      <c r="F20793" s="3">
        <v>11</v>
      </c>
      <c r="G20793" t="s">
        <v>513</v>
      </c>
    </row>
    <row r="20794" spans="1:7" x14ac:dyDescent="0.25">
      <c r="A20794" s="1" t="str">
        <f>"502784"</f>
        <v>502784</v>
      </c>
      <c r="B20794" s="2" t="str">
        <f>"ROLAMENTO Nº GYE30KRRB-INA"</f>
        <v>ROLAMENTO Nº GYE30KRRB-INA</v>
      </c>
      <c r="C20794" s="2" t="str">
        <f>"UN"</f>
        <v>UN</v>
      </c>
      <c r="D20794" s="7">
        <v>402</v>
      </c>
      <c r="E20794" s="3">
        <v>4</v>
      </c>
      <c r="F20794" s="3">
        <v>4</v>
      </c>
      <c r="G20794" t="s">
        <v>514</v>
      </c>
    </row>
    <row r="20795" spans="1:7" x14ac:dyDescent="0.25">
      <c r="A20795" s="1" t="str">
        <f>"500850"</f>
        <v>500850</v>
      </c>
      <c r="B20795" s="2" t="str">
        <f>"ROLAMENTO Nº KK 17 INA"</f>
        <v>ROLAMENTO Nº KK 17 INA</v>
      </c>
      <c r="C20795" s="2" t="str">
        <f>"UN"</f>
        <v>UN</v>
      </c>
      <c r="D20795" s="7">
        <v>402</v>
      </c>
      <c r="E20795" s="3">
        <v>4</v>
      </c>
      <c r="F20795" s="3">
        <v>4</v>
      </c>
      <c r="G20795" t="s">
        <v>514</v>
      </c>
    </row>
    <row r="20796" spans="1:7" x14ac:dyDescent="0.25">
      <c r="A20796" s="1" t="str">
        <f>"509018"</f>
        <v>509018</v>
      </c>
      <c r="B20796" s="2" t="str">
        <f>"ROLAMENTO Nº KR 19 PPX - INA"</f>
        <v>ROLAMENTO Nº KR 19 PPX - INA</v>
      </c>
      <c r="C20796" s="2" t="str">
        <f>"PC"</f>
        <v>PC</v>
      </c>
      <c r="D20796" s="7">
        <v>918</v>
      </c>
      <c r="E20796" s="3">
        <v>11</v>
      </c>
      <c r="F20796" s="3">
        <v>11</v>
      </c>
      <c r="G20796" t="s">
        <v>512</v>
      </c>
    </row>
    <row r="20797" spans="1:7" x14ac:dyDescent="0.25">
      <c r="A20797" s="1" t="str">
        <f>"517012"</f>
        <v>517012</v>
      </c>
      <c r="B20797" s="2" t="str">
        <f>"ROLAMENTO Nº KR 35 PP - INA"</f>
        <v>ROLAMENTO Nº KR 35 PP - INA</v>
      </c>
      <c r="C20797" s="2" t="str">
        <f>"UN"</f>
        <v>UN</v>
      </c>
      <c r="D20797" s="7">
        <v>906</v>
      </c>
      <c r="E20797" s="3">
        <v>11</v>
      </c>
      <c r="F20797" s="3">
        <v>11</v>
      </c>
      <c r="G20797" t="s">
        <v>513</v>
      </c>
    </row>
    <row r="20798" spans="1:7" x14ac:dyDescent="0.25">
      <c r="A20798" s="1" t="str">
        <f>"520001"</f>
        <v>520001</v>
      </c>
      <c r="B20798" s="2" t="str">
        <f>"ROLAMENTO Nº NATR 40 UUR"</f>
        <v>ROLAMENTO Nº NATR 40 UUR</v>
      </c>
      <c r="C20798" s="2" t="str">
        <f>"PC"</f>
        <v>PC</v>
      </c>
      <c r="D20798" s="7">
        <v>918</v>
      </c>
      <c r="E20798" s="3">
        <v>11</v>
      </c>
      <c r="F20798" s="3">
        <v>11</v>
      </c>
      <c r="G20798" t="s">
        <v>514</v>
      </c>
    </row>
    <row r="20799" spans="1:7" x14ac:dyDescent="0.25">
      <c r="A20799" s="1" t="str">
        <f>"520000"</f>
        <v>520000</v>
      </c>
      <c r="B20799" s="2" t="str">
        <f>"ROLAMENTO Nº NATR40-PP-A INA"</f>
        <v>ROLAMENTO Nº NATR40-PP-A INA</v>
      </c>
      <c r="C20799" s="2" t="str">
        <f>"PC"</f>
        <v>PC</v>
      </c>
      <c r="D20799" s="7">
        <v>918</v>
      </c>
      <c r="E20799" s="3">
        <v>11</v>
      </c>
      <c r="F20799" s="3">
        <v>11</v>
      </c>
      <c r="G20799" t="s">
        <v>514</v>
      </c>
    </row>
    <row r="20800" spans="1:7" x14ac:dyDescent="0.25">
      <c r="A20800" s="1" t="str">
        <f>"502557"</f>
        <v>502557</v>
      </c>
      <c r="B20800" s="2" t="str">
        <f>"ROLAMENTO Nº NJ311 120X55X30MM SKF REQUE"</f>
        <v>ROLAMENTO Nº NJ311 120X55X30MM SKF REQUE</v>
      </c>
      <c r="C20800" s="2" t="str">
        <f>"UN"</f>
        <v>UN</v>
      </c>
      <c r="D20800" s="7">
        <v>402</v>
      </c>
      <c r="E20800" s="3">
        <v>4</v>
      </c>
      <c r="F20800" s="3">
        <v>4</v>
      </c>
      <c r="G20800" t="s">
        <v>514</v>
      </c>
    </row>
    <row r="20801" spans="1:7" x14ac:dyDescent="0.25">
      <c r="A20801" s="1" t="str">
        <f>"522865"</f>
        <v>522865</v>
      </c>
      <c r="B20801" s="2" t="str">
        <f>"ROLAMENTO Nº UC 208"</f>
        <v>ROLAMENTO Nº UC 208</v>
      </c>
      <c r="C20801" s="2" t="str">
        <f>"UN"</f>
        <v>UN</v>
      </c>
      <c r="D20801" s="7">
        <v>906</v>
      </c>
      <c r="E20801" s="3">
        <v>11</v>
      </c>
      <c r="F20801" s="3">
        <v>11</v>
      </c>
      <c r="G20801" t="s">
        <v>513</v>
      </c>
    </row>
    <row r="20802" spans="1:7" x14ac:dyDescent="0.25">
      <c r="A20802" s="1" t="str">
        <f>"512460"</f>
        <v>512460</v>
      </c>
      <c r="B20802" s="2" t="str">
        <f>"ROLAMENTO Nº UC204 OSCILANTE"</f>
        <v>ROLAMENTO Nº UC204 OSCILANTE</v>
      </c>
      <c r="C20802" s="2" t="str">
        <f>"UN"</f>
        <v>UN</v>
      </c>
      <c r="D20802" s="7">
        <v>918</v>
      </c>
      <c r="E20802" s="3">
        <v>11</v>
      </c>
      <c r="F20802" s="3">
        <v>11</v>
      </c>
      <c r="G20802" t="s">
        <v>512</v>
      </c>
    </row>
    <row r="20803" spans="1:7" x14ac:dyDescent="0.25">
      <c r="A20803" s="1" t="str">
        <f>"512481"</f>
        <v>512481</v>
      </c>
      <c r="B20803" s="2" t="str">
        <f>"ROLAMENTO Nº UC205 OSCILANTE"</f>
        <v>ROLAMENTO Nº UC205 OSCILANTE</v>
      </c>
      <c r="C20803" s="2" t="str">
        <f>"PC"</f>
        <v>PC</v>
      </c>
      <c r="D20803" s="7">
        <v>918</v>
      </c>
      <c r="E20803" s="3">
        <v>11</v>
      </c>
      <c r="F20803" s="3">
        <v>11</v>
      </c>
      <c r="G20803" t="s">
        <v>513</v>
      </c>
    </row>
    <row r="20804" spans="1:7" x14ac:dyDescent="0.25">
      <c r="A20804" s="1" t="str">
        <f>"503099"</f>
        <v>503099</v>
      </c>
      <c r="B20804" s="2" t="str">
        <f>"ROLAMENTO Nº UC206 OSCILANTE"</f>
        <v>ROLAMENTO Nº UC206 OSCILANTE</v>
      </c>
      <c r="C20804" s="2" t="str">
        <f>"UN"</f>
        <v>UN</v>
      </c>
      <c r="D20804" s="7">
        <v>402</v>
      </c>
      <c r="E20804" s="3">
        <v>4</v>
      </c>
      <c r="F20804" s="3">
        <v>4</v>
      </c>
      <c r="G20804" t="s">
        <v>514</v>
      </c>
    </row>
    <row r="20805" spans="1:7" x14ac:dyDescent="0.25">
      <c r="A20805" s="1" t="str">
        <f>"519999"</f>
        <v>519999</v>
      </c>
      <c r="B20805" s="2" t="str">
        <f>"ROLAMENTO Nº UC207 OSCILANTE"</f>
        <v>ROLAMENTO Nº UC207 OSCILANTE</v>
      </c>
      <c r="C20805" s="2" t="str">
        <f>"PC"</f>
        <v>PC</v>
      </c>
      <c r="D20805" s="7">
        <v>918</v>
      </c>
      <c r="E20805" s="3">
        <v>11</v>
      </c>
      <c r="F20805" s="3">
        <v>11</v>
      </c>
      <c r="G20805" t="s">
        <v>514</v>
      </c>
    </row>
    <row r="20806" spans="1:7" x14ac:dyDescent="0.25">
      <c r="A20806" s="1" t="str">
        <f>"518936"</f>
        <v>518936</v>
      </c>
      <c r="B20806" s="2" t="str">
        <f>"ROLAMENTO Nº YAR 205-ZF"</f>
        <v>ROLAMENTO Nº YAR 205-ZF</v>
      </c>
      <c r="C20806" s="2" t="str">
        <f t="shared" ref="C20806:C20813" si="827">"UN"</f>
        <v>UN</v>
      </c>
      <c r="D20806" s="7">
        <v>402</v>
      </c>
      <c r="E20806" s="3">
        <v>4</v>
      </c>
      <c r="F20806" s="3">
        <v>4</v>
      </c>
      <c r="G20806" t="s">
        <v>514</v>
      </c>
    </row>
    <row r="20807" spans="1:7" x14ac:dyDescent="0.25">
      <c r="A20807" s="1" t="str">
        <f>"502696"</f>
        <v>502696</v>
      </c>
      <c r="B20807" s="2" t="str">
        <f>"ROLAMENTO Nº YAR 206-ZF"</f>
        <v>ROLAMENTO Nº YAR 206-ZF</v>
      </c>
      <c r="C20807" s="2" t="str">
        <f t="shared" si="827"/>
        <v>UN</v>
      </c>
      <c r="D20807" s="7">
        <v>402</v>
      </c>
      <c r="E20807" s="3">
        <v>4</v>
      </c>
      <c r="F20807" s="3">
        <v>4</v>
      </c>
      <c r="G20807" t="s">
        <v>513</v>
      </c>
    </row>
    <row r="20808" spans="1:7" x14ac:dyDescent="0.25">
      <c r="A20808" s="1" t="str">
        <f>"526536"</f>
        <v>526536</v>
      </c>
      <c r="B20808" s="2" t="str">
        <f>"ROLAMENTO Nº6805 ZZ"</f>
        <v>ROLAMENTO Nº6805 ZZ</v>
      </c>
      <c r="C20808" s="2" t="str">
        <f t="shared" si="827"/>
        <v>UN</v>
      </c>
      <c r="D20808" s="7">
        <v>906</v>
      </c>
      <c r="E20808" s="3">
        <v>11</v>
      </c>
      <c r="F20808" s="3">
        <v>11</v>
      </c>
      <c r="G20808" t="s">
        <v>513</v>
      </c>
    </row>
    <row r="20809" spans="1:7" x14ac:dyDescent="0.25">
      <c r="A20809" s="1" t="str">
        <f>"503290"</f>
        <v>503290</v>
      </c>
      <c r="B20809" s="2" t="str">
        <f>"ROLAMENTO NU 215 EC3"</f>
        <v>ROLAMENTO NU 215 EC3</v>
      </c>
      <c r="C20809" s="2" t="str">
        <f t="shared" si="827"/>
        <v>UN</v>
      </c>
      <c r="D20809" s="7">
        <v>906</v>
      </c>
      <c r="E20809" s="3">
        <v>11</v>
      </c>
      <c r="F20809" s="3">
        <v>11</v>
      </c>
      <c r="G20809" t="s">
        <v>513</v>
      </c>
    </row>
    <row r="20810" spans="1:7" x14ac:dyDescent="0.25">
      <c r="A20810" s="1" t="str">
        <f>"518844"</f>
        <v>518844</v>
      </c>
      <c r="B20810" s="2" t="str">
        <f>"ROLAMENTO NU 315 EC3"</f>
        <v>ROLAMENTO NU 315 EC3</v>
      </c>
      <c r="C20810" s="2" t="str">
        <f t="shared" si="827"/>
        <v>UN</v>
      </c>
      <c r="D20810" s="7">
        <v>906</v>
      </c>
      <c r="E20810" s="3">
        <v>11</v>
      </c>
      <c r="F20810" s="3">
        <v>11</v>
      </c>
      <c r="G20810" t="s">
        <v>512</v>
      </c>
    </row>
    <row r="20811" spans="1:7" x14ac:dyDescent="0.25">
      <c r="A20811" s="1" t="str">
        <f>"520599"</f>
        <v>520599</v>
      </c>
      <c r="B20811" s="2" t="str">
        <f>"ROLAMENTO NUP206E"</f>
        <v>ROLAMENTO NUP206E</v>
      </c>
      <c r="C20811" s="2" t="str">
        <f t="shared" si="827"/>
        <v>UN</v>
      </c>
      <c r="D20811" s="7">
        <v>906</v>
      </c>
      <c r="E20811" s="3">
        <v>11</v>
      </c>
      <c r="F20811" s="3">
        <v>11</v>
      </c>
      <c r="G20811" t="s">
        <v>513</v>
      </c>
    </row>
    <row r="20812" spans="1:7" x14ac:dyDescent="0.25">
      <c r="A20812" s="1" t="str">
        <f>"524514"</f>
        <v>524514</v>
      </c>
      <c r="B20812" s="2" t="str">
        <f>"ROLAMENTO PARA MANCAL DA BOMBA SANITARIA LIVENZA 336207"</f>
        <v>ROLAMENTO PARA MANCAL DA BOMBA SANITARIA LIVENZA 336207</v>
      </c>
      <c r="C20812" s="2" t="str">
        <f t="shared" si="827"/>
        <v>UN</v>
      </c>
      <c r="D20812" s="7">
        <v>906</v>
      </c>
      <c r="E20812" s="3">
        <v>10</v>
      </c>
      <c r="F20812" s="3">
        <v>10</v>
      </c>
      <c r="G20812" t="s">
        <v>514</v>
      </c>
    </row>
    <row r="20813" spans="1:7" x14ac:dyDescent="0.25">
      <c r="A20813" s="1" t="str">
        <f>"503175"</f>
        <v>503175</v>
      </c>
      <c r="B20813" s="2" t="str">
        <f>"ROLAMENTO RNA 2.202 2RSR INA SELAGEM"</f>
        <v>ROLAMENTO RNA 2.202 2RSR INA SELAGEM</v>
      </c>
      <c r="C20813" s="2" t="str">
        <f t="shared" si="827"/>
        <v>UN</v>
      </c>
      <c r="D20813" s="7">
        <v>918</v>
      </c>
      <c r="E20813" s="3">
        <v>11</v>
      </c>
      <c r="F20813" s="3">
        <v>11</v>
      </c>
      <c r="G20813" t="s">
        <v>515</v>
      </c>
    </row>
    <row r="20814" spans="1:7" x14ac:dyDescent="0.25">
      <c r="A20814" s="1" t="str">
        <f>"500044"</f>
        <v>500044</v>
      </c>
      <c r="B20814" s="2" t="str">
        <f>"ROLAMENTO RNA 2.203 2RSR INA SELAGEM"</f>
        <v>ROLAMENTO RNA 2.203 2RSR INA SELAGEM</v>
      </c>
      <c r="C20814" s="2" t="str">
        <f>"PC"</f>
        <v>PC</v>
      </c>
      <c r="D20814" s="7">
        <v>918</v>
      </c>
      <c r="E20814" s="3">
        <v>11</v>
      </c>
      <c r="F20814" s="3">
        <v>11</v>
      </c>
      <c r="G20814" t="s">
        <v>512</v>
      </c>
    </row>
    <row r="20815" spans="1:7" x14ac:dyDescent="0.25">
      <c r="A20815" s="1" t="str">
        <f>"527138"</f>
        <v>527138</v>
      </c>
      <c r="B20815" s="2" t="str">
        <f>"ROLAMENTO RODA CARGA"</f>
        <v>ROLAMENTO RODA CARGA</v>
      </c>
      <c r="C20815" s="2" t="str">
        <f t="shared" ref="C20815:C20824" si="828">"UN"</f>
        <v>UN</v>
      </c>
      <c r="D20815" s="7">
        <v>917</v>
      </c>
      <c r="E20815" s="3">
        <v>11</v>
      </c>
      <c r="F20815" s="3">
        <v>11</v>
      </c>
      <c r="G20815" t="s">
        <v>516</v>
      </c>
    </row>
    <row r="20816" spans="1:7" x14ac:dyDescent="0.25">
      <c r="A20816" s="1" t="str">
        <f>"517656"</f>
        <v>517656</v>
      </c>
      <c r="B20816" s="2" t="str">
        <f>"ROLAMENTO ROLETE NU 1016 MI STI - FAG"</f>
        <v>ROLAMENTO ROLETE NU 1016 MI STI - FAG</v>
      </c>
      <c r="C20816" s="2" t="str">
        <f t="shared" si="828"/>
        <v>UN</v>
      </c>
      <c r="D20816" s="7">
        <v>906</v>
      </c>
      <c r="E20816" s="3">
        <v>11</v>
      </c>
      <c r="F20816" s="3">
        <v>11</v>
      </c>
      <c r="G20816" t="s">
        <v>515</v>
      </c>
    </row>
    <row r="20817" spans="1:7" x14ac:dyDescent="0.25">
      <c r="A20817" s="1" t="str">
        <f>"512945"</f>
        <v>512945</v>
      </c>
      <c r="B20817" s="2" t="str">
        <f>"ROLAMENTO ROLETES"</f>
        <v>ROLAMENTO ROLETES</v>
      </c>
      <c r="C20817" s="2" t="str">
        <f t="shared" si="828"/>
        <v>UN</v>
      </c>
      <c r="D20817" s="7">
        <v>906</v>
      </c>
      <c r="E20817" s="3">
        <v>11</v>
      </c>
      <c r="F20817" s="3">
        <v>11</v>
      </c>
      <c r="G20817" t="s">
        <v>514</v>
      </c>
    </row>
    <row r="20818" spans="1:7" x14ac:dyDescent="0.25">
      <c r="A20818" s="1" t="str">
        <f>"518935"</f>
        <v>518935</v>
      </c>
      <c r="B20818" s="2" t="str">
        <f>"ROLAMENTO SKF 2.203 E-2RS1TN9"</f>
        <v>ROLAMENTO SKF 2.203 E-2RS1TN9</v>
      </c>
      <c r="C20818" s="2" t="str">
        <f t="shared" si="828"/>
        <v>UN</v>
      </c>
      <c r="D20818" s="7">
        <v>918</v>
      </c>
      <c r="E20818" s="3">
        <v>11</v>
      </c>
      <c r="F20818" s="3">
        <v>11</v>
      </c>
      <c r="G20818" t="s">
        <v>512</v>
      </c>
    </row>
    <row r="20819" spans="1:7" x14ac:dyDescent="0.25">
      <c r="A20819" s="1" t="str">
        <f>"519654"</f>
        <v>519654</v>
      </c>
      <c r="B20819" s="2" t="str">
        <f>"ROLAMENTO SKF 22210 KC3"</f>
        <v>ROLAMENTO SKF 22210 KC3</v>
      </c>
      <c r="C20819" s="2" t="str">
        <f t="shared" si="828"/>
        <v>UN</v>
      </c>
      <c r="D20819" s="7">
        <v>918</v>
      </c>
      <c r="E20819" s="3">
        <v>11</v>
      </c>
      <c r="F20819" s="3">
        <v>11</v>
      </c>
      <c r="G20819" t="s">
        <v>513</v>
      </c>
    </row>
    <row r="20820" spans="1:7" x14ac:dyDescent="0.25">
      <c r="A20820" s="1" t="str">
        <f>"523182"</f>
        <v>523182</v>
      </c>
      <c r="B20820" s="2" t="str">
        <f>"ROLAMENTO SKF 30211 J"</f>
        <v>ROLAMENTO SKF 30211 J</v>
      </c>
      <c r="C20820" s="2" t="str">
        <f t="shared" si="828"/>
        <v>UN</v>
      </c>
      <c r="D20820" s="7">
        <v>906</v>
      </c>
      <c r="E20820" s="3">
        <v>11</v>
      </c>
      <c r="F20820" s="3">
        <v>11</v>
      </c>
      <c r="G20820" t="s">
        <v>514</v>
      </c>
    </row>
    <row r="20821" spans="1:7" x14ac:dyDescent="0.25">
      <c r="A20821" s="1" t="str">
        <f>"524689"</f>
        <v>524689</v>
      </c>
      <c r="B20821" s="2" t="str">
        <f>"ROLAMENTO SKF 32205"</f>
        <v>ROLAMENTO SKF 32205</v>
      </c>
      <c r="C20821" s="2" t="str">
        <f t="shared" si="828"/>
        <v>UN</v>
      </c>
      <c r="D20821" s="7">
        <v>906</v>
      </c>
      <c r="E20821" s="3">
        <v>10</v>
      </c>
      <c r="F20821" s="3">
        <v>10</v>
      </c>
      <c r="G20821" t="s">
        <v>514</v>
      </c>
    </row>
    <row r="20822" spans="1:7" x14ac:dyDescent="0.25">
      <c r="A20822" s="1" t="str">
        <f>"522601"</f>
        <v>522601</v>
      </c>
      <c r="B20822" s="2" t="str">
        <f>"ROLAMENTO SKF 61805 ESFERA 2-RS"</f>
        <v>ROLAMENTO SKF 61805 ESFERA 2-RS</v>
      </c>
      <c r="C20822" s="2" t="str">
        <f t="shared" si="828"/>
        <v>UN</v>
      </c>
      <c r="D20822" s="7">
        <v>906</v>
      </c>
      <c r="E20822" s="3">
        <v>11</v>
      </c>
      <c r="F20822" s="3">
        <v>11</v>
      </c>
      <c r="G20822" t="s">
        <v>512</v>
      </c>
    </row>
    <row r="20823" spans="1:7" x14ac:dyDescent="0.25">
      <c r="A20823" s="1" t="str">
        <f>"527660"</f>
        <v>527660</v>
      </c>
      <c r="B20823" s="2" t="str">
        <f>"ROLAMENTO SKF BIPARTIDO 3311 DMA"</f>
        <v>ROLAMENTO SKF BIPARTIDO 3311 DMA</v>
      </c>
      <c r="C20823" s="2" t="str">
        <f t="shared" si="828"/>
        <v>UN</v>
      </c>
      <c r="D20823" s="7">
        <v>918</v>
      </c>
      <c r="E20823" s="3">
        <v>11</v>
      </c>
      <c r="F20823" s="3">
        <v>11</v>
      </c>
      <c r="G20823" t="s">
        <v>513</v>
      </c>
    </row>
    <row r="20824" spans="1:7" x14ac:dyDescent="0.25">
      <c r="A20824" s="1" t="str">
        <f>"525985"</f>
        <v>525985</v>
      </c>
      <c r="B20824" s="2" t="str">
        <f>"ROLAMENTO SKF N° 6203 CATRACA CONTRA RECUO"</f>
        <v>ROLAMENTO SKF N° 6203 CATRACA CONTRA RECUO</v>
      </c>
      <c r="C20824" s="2" t="str">
        <f t="shared" si="828"/>
        <v>UN</v>
      </c>
      <c r="D20824" s="7">
        <v>906</v>
      </c>
      <c r="E20824" s="3">
        <v>10</v>
      </c>
      <c r="F20824" s="3">
        <v>10</v>
      </c>
      <c r="G20824" t="s">
        <v>514</v>
      </c>
    </row>
    <row r="20825" spans="1:7" x14ac:dyDescent="0.25">
      <c r="A20825" s="1" t="str">
        <f>"509266"</f>
        <v>509266</v>
      </c>
      <c r="B20825" s="2" t="str">
        <f>"ROLAMENTO SKF NJ311 - ROLETE"</f>
        <v>ROLAMENTO SKF NJ311 - ROLETE</v>
      </c>
      <c r="C20825" s="2" t="str">
        <f>"PC"</f>
        <v>PC</v>
      </c>
      <c r="D20825" s="7">
        <v>918</v>
      </c>
      <c r="E20825" s="3">
        <v>11</v>
      </c>
      <c r="F20825" s="3">
        <v>11</v>
      </c>
      <c r="G20825" t="s">
        <v>514</v>
      </c>
    </row>
    <row r="20826" spans="1:7" x14ac:dyDescent="0.25">
      <c r="A20826" s="1" t="str">
        <f>"525412"</f>
        <v>525412</v>
      </c>
      <c r="B20826" s="2" t="str">
        <f>"ROLAMENTO SKF Nº 2305 M"</f>
        <v>ROLAMENTO SKF Nº 2305 M</v>
      </c>
      <c r="C20826" s="2" t="str">
        <f>"UN"</f>
        <v>UN</v>
      </c>
      <c r="D20826" s="7">
        <v>402</v>
      </c>
      <c r="E20826" s="3">
        <v>4</v>
      </c>
      <c r="F20826" s="3">
        <v>4</v>
      </c>
      <c r="G20826" t="s">
        <v>514</v>
      </c>
    </row>
    <row r="20827" spans="1:7" x14ac:dyDescent="0.25">
      <c r="A20827" s="1" t="str">
        <f>"519667"</f>
        <v>519667</v>
      </c>
      <c r="B20827" s="2" t="str">
        <f>"ROLAMENTO SKF Nº 29322 E AXIAL/ENCOSTO"</f>
        <v>ROLAMENTO SKF Nº 29322 E AXIAL/ENCOSTO</v>
      </c>
      <c r="C20827" s="2" t="str">
        <f>"UN"</f>
        <v>UN</v>
      </c>
      <c r="D20827" s="7">
        <v>918</v>
      </c>
      <c r="E20827" s="3">
        <v>11</v>
      </c>
      <c r="F20827" s="3">
        <v>11</v>
      </c>
      <c r="G20827" t="s">
        <v>513</v>
      </c>
    </row>
    <row r="20828" spans="1:7" x14ac:dyDescent="0.25">
      <c r="A20828" s="1" t="str">
        <f>"500810"</f>
        <v>500810</v>
      </c>
      <c r="B20828" s="2" t="str">
        <f>"ROLAMENTO SKF Nº 3.207 B"</f>
        <v>ROLAMENTO SKF Nº 3.207 B</v>
      </c>
      <c r="C20828" s="2" t="str">
        <f>"UN"</f>
        <v>UN</v>
      </c>
      <c r="D20828" s="7">
        <v>402</v>
      </c>
      <c r="E20828" s="3">
        <v>4</v>
      </c>
      <c r="F20828" s="3">
        <v>4</v>
      </c>
      <c r="G20828" t="s">
        <v>512</v>
      </c>
    </row>
    <row r="20829" spans="1:7" x14ac:dyDescent="0.25">
      <c r="A20829" s="1" t="str">
        <f>"520148"</f>
        <v>520148</v>
      </c>
      <c r="B20829" s="2" t="str">
        <f>"ROLAMENTO SKF Nº 30204"</f>
        <v>ROLAMENTO SKF Nº 30204</v>
      </c>
      <c r="C20829" s="2" t="str">
        <f>"UN"</f>
        <v>UN</v>
      </c>
      <c r="D20829" s="7">
        <v>918</v>
      </c>
      <c r="E20829" s="3">
        <v>11</v>
      </c>
      <c r="F20829" s="3">
        <v>11</v>
      </c>
      <c r="G20829" t="s">
        <v>513</v>
      </c>
    </row>
    <row r="20830" spans="1:7" x14ac:dyDescent="0.25">
      <c r="A20830" s="1" t="str">
        <f>"511969"</f>
        <v>511969</v>
      </c>
      <c r="B20830" s="2" t="str">
        <f>"ROLAMENTO SKF Nº 30205 9X048 CONICO"</f>
        <v>ROLAMENTO SKF Nº 30205 9X048 CONICO</v>
      </c>
      <c r="C20830" s="2" t="str">
        <f>"PC"</f>
        <v>PC</v>
      </c>
      <c r="D20830" s="7">
        <v>918</v>
      </c>
      <c r="E20830" s="3">
        <v>11</v>
      </c>
      <c r="F20830" s="3">
        <v>11</v>
      </c>
      <c r="G20830" t="s">
        <v>514</v>
      </c>
    </row>
    <row r="20831" spans="1:7" x14ac:dyDescent="0.25">
      <c r="A20831" s="1" t="str">
        <f>"519745"</f>
        <v>519745</v>
      </c>
      <c r="B20831" s="2" t="str">
        <f>"ROLAMENTO SKF Nº 30205 HRJ"</f>
        <v>ROLAMENTO SKF Nº 30205 HRJ</v>
      </c>
      <c r="C20831" s="2" t="str">
        <f>"PC"</f>
        <v>PC</v>
      </c>
      <c r="D20831" s="7">
        <v>918</v>
      </c>
      <c r="E20831" s="3">
        <v>11</v>
      </c>
      <c r="F20831" s="3">
        <v>11</v>
      </c>
      <c r="G20831" t="s">
        <v>514</v>
      </c>
    </row>
    <row r="20832" spans="1:7" x14ac:dyDescent="0.25">
      <c r="A20832" s="1" t="str">
        <f>"508926"</f>
        <v>508926</v>
      </c>
      <c r="B20832" s="2" t="str">
        <f>"ROLAMENTO SKF Nº 30206"</f>
        <v>ROLAMENTO SKF Nº 30206</v>
      </c>
      <c r="C20832" s="2" t="str">
        <f t="shared" ref="C20832:C20851" si="829">"UN"</f>
        <v>UN</v>
      </c>
      <c r="D20832" s="7">
        <v>918</v>
      </c>
      <c r="E20832" s="3">
        <v>11</v>
      </c>
      <c r="F20832" s="3">
        <v>11</v>
      </c>
      <c r="G20832" t="s">
        <v>514</v>
      </c>
    </row>
    <row r="20833" spans="1:7" x14ac:dyDescent="0.25">
      <c r="A20833" s="1" t="str">
        <f>"512752"</f>
        <v>512752</v>
      </c>
      <c r="B20833" s="2" t="str">
        <f>"ROLAMENTO SKF Nº 30207J"</f>
        <v>ROLAMENTO SKF Nº 30207J</v>
      </c>
      <c r="C20833" s="2" t="str">
        <f t="shared" si="829"/>
        <v>UN</v>
      </c>
      <c r="D20833" s="7">
        <v>918</v>
      </c>
      <c r="E20833" s="3">
        <v>11</v>
      </c>
      <c r="F20833" s="3">
        <v>11</v>
      </c>
      <c r="G20833" t="s">
        <v>513</v>
      </c>
    </row>
    <row r="20834" spans="1:7" x14ac:dyDescent="0.25">
      <c r="A20834" s="1" t="str">
        <f>"508929"</f>
        <v>508929</v>
      </c>
      <c r="B20834" s="2" t="str">
        <f>"ROLAMENTO SKF Nº 30208"</f>
        <v>ROLAMENTO SKF Nº 30208</v>
      </c>
      <c r="C20834" s="2" t="str">
        <f t="shared" si="829"/>
        <v>UN</v>
      </c>
      <c r="D20834" s="7">
        <v>918</v>
      </c>
      <c r="E20834" s="3">
        <v>11</v>
      </c>
      <c r="F20834" s="3">
        <v>11</v>
      </c>
      <c r="G20834" t="s">
        <v>513</v>
      </c>
    </row>
    <row r="20835" spans="1:7" x14ac:dyDescent="0.25">
      <c r="A20835" s="1" t="str">
        <f>"508928"</f>
        <v>508928</v>
      </c>
      <c r="B20835" s="2" t="str">
        <f>"ROLAMENTO SKF Nº 30209"</f>
        <v>ROLAMENTO SKF Nº 30209</v>
      </c>
      <c r="C20835" s="2" t="str">
        <f t="shared" si="829"/>
        <v>UN</v>
      </c>
      <c r="D20835" s="7">
        <v>918</v>
      </c>
      <c r="E20835" s="3">
        <v>11</v>
      </c>
      <c r="F20835" s="3">
        <v>11</v>
      </c>
      <c r="G20835" t="s">
        <v>513</v>
      </c>
    </row>
    <row r="20836" spans="1:7" x14ac:dyDescent="0.25">
      <c r="A20836" s="1" t="str">
        <f>"519239"</f>
        <v>519239</v>
      </c>
      <c r="B20836" s="2" t="str">
        <f>"ROLAMENTO SKF Nº 30305"</f>
        <v>ROLAMENTO SKF Nº 30305</v>
      </c>
      <c r="C20836" s="2" t="str">
        <f t="shared" si="829"/>
        <v>UN</v>
      </c>
      <c r="D20836" s="7">
        <v>918</v>
      </c>
      <c r="E20836" s="3">
        <v>11</v>
      </c>
      <c r="F20836" s="3">
        <v>11</v>
      </c>
      <c r="G20836" t="s">
        <v>512</v>
      </c>
    </row>
    <row r="20837" spans="1:7" x14ac:dyDescent="0.25">
      <c r="A20837" s="1" t="str">
        <f>"519298"</f>
        <v>519298</v>
      </c>
      <c r="B20837" s="2" t="str">
        <f>"ROLAMENTO SKF Nº 30310 CONICO"</f>
        <v>ROLAMENTO SKF Nº 30310 CONICO</v>
      </c>
      <c r="C20837" s="2" t="str">
        <f t="shared" si="829"/>
        <v>UN</v>
      </c>
      <c r="D20837" s="7">
        <v>918</v>
      </c>
      <c r="E20837" s="3">
        <v>11</v>
      </c>
      <c r="F20837" s="3">
        <v>11</v>
      </c>
      <c r="G20837" t="s">
        <v>513</v>
      </c>
    </row>
    <row r="20838" spans="1:7" x14ac:dyDescent="0.25">
      <c r="A20838" s="1" t="str">
        <f>"518846"</f>
        <v>518846</v>
      </c>
      <c r="B20838" s="2" t="str">
        <f>"ROLAMENTO SKF Nº 32006"</f>
        <v>ROLAMENTO SKF Nº 32006</v>
      </c>
      <c r="C20838" s="2" t="str">
        <f t="shared" si="829"/>
        <v>UN</v>
      </c>
      <c r="D20838" s="7">
        <v>918</v>
      </c>
      <c r="E20838" s="3">
        <v>11</v>
      </c>
      <c r="F20838" s="3">
        <v>11</v>
      </c>
      <c r="G20838" t="s">
        <v>514</v>
      </c>
    </row>
    <row r="20839" spans="1:7" x14ac:dyDescent="0.25">
      <c r="A20839" s="1" t="str">
        <f>"513074"</f>
        <v>513074</v>
      </c>
      <c r="B20839" s="2" t="str">
        <f>"ROLAMENTO SKF Nº 32007"</f>
        <v>ROLAMENTO SKF Nº 32007</v>
      </c>
      <c r="C20839" s="2" t="str">
        <f t="shared" si="829"/>
        <v>UN</v>
      </c>
      <c r="D20839" s="7">
        <v>918</v>
      </c>
      <c r="E20839" s="3">
        <v>11</v>
      </c>
      <c r="F20839" s="3">
        <v>11</v>
      </c>
      <c r="G20839" t="s">
        <v>515</v>
      </c>
    </row>
    <row r="20840" spans="1:7" x14ac:dyDescent="0.25">
      <c r="A20840" s="1" t="str">
        <f>"513075"</f>
        <v>513075</v>
      </c>
      <c r="B20840" s="2" t="str">
        <f>"ROLAMENTO SKF Nº 32008"</f>
        <v>ROLAMENTO SKF Nº 32008</v>
      </c>
      <c r="C20840" s="2" t="str">
        <f t="shared" si="829"/>
        <v>UN</v>
      </c>
      <c r="D20840" s="7">
        <v>918</v>
      </c>
      <c r="E20840" s="3">
        <v>11</v>
      </c>
      <c r="F20840" s="3">
        <v>11</v>
      </c>
      <c r="G20840" t="s">
        <v>512</v>
      </c>
    </row>
    <row r="20841" spans="1:7" x14ac:dyDescent="0.25">
      <c r="A20841" s="1" t="str">
        <f>"519751"</f>
        <v>519751</v>
      </c>
      <c r="B20841" s="2" t="str">
        <f>"ROLAMENTO SKF Nº 3201"</f>
        <v>ROLAMENTO SKF Nº 3201</v>
      </c>
      <c r="C20841" s="2" t="str">
        <f t="shared" si="829"/>
        <v>UN</v>
      </c>
      <c r="D20841" s="7">
        <v>402</v>
      </c>
      <c r="E20841" s="3">
        <v>4</v>
      </c>
      <c r="F20841" s="3">
        <v>4</v>
      </c>
      <c r="G20841" t="s">
        <v>516</v>
      </c>
    </row>
    <row r="20842" spans="1:7" x14ac:dyDescent="0.25">
      <c r="A20842" s="1" t="str">
        <f>"519744"</f>
        <v>519744</v>
      </c>
      <c r="B20842" s="2" t="str">
        <f>"ROLAMENTO SKF Nº 32026 J"</f>
        <v>ROLAMENTO SKF Nº 32026 J</v>
      </c>
      <c r="C20842" s="2" t="str">
        <f t="shared" si="829"/>
        <v>UN</v>
      </c>
      <c r="D20842" s="7">
        <v>918</v>
      </c>
      <c r="E20842" s="3">
        <v>11</v>
      </c>
      <c r="F20842" s="3">
        <v>11</v>
      </c>
      <c r="G20842" t="s">
        <v>515</v>
      </c>
    </row>
    <row r="20843" spans="1:7" x14ac:dyDescent="0.25">
      <c r="A20843" s="1" t="str">
        <f>"501001"</f>
        <v>501001</v>
      </c>
      <c r="B20843" s="2" t="str">
        <f>"ROLAMENTO SKF Nº 3205"</f>
        <v>ROLAMENTO SKF Nº 3205</v>
      </c>
      <c r="C20843" s="2" t="str">
        <f t="shared" si="829"/>
        <v>UN</v>
      </c>
      <c r="D20843" s="7">
        <v>906</v>
      </c>
      <c r="E20843" s="3">
        <v>11</v>
      </c>
      <c r="F20843" s="3">
        <v>11</v>
      </c>
      <c r="G20843" t="s">
        <v>514</v>
      </c>
    </row>
    <row r="20844" spans="1:7" x14ac:dyDescent="0.25">
      <c r="A20844" s="1" t="str">
        <f>"500806"</f>
        <v>500806</v>
      </c>
      <c r="B20844" s="2" t="str">
        <f>"ROLAMENTO SKF Nº 3208"</f>
        <v>ROLAMENTO SKF Nº 3208</v>
      </c>
      <c r="C20844" s="2" t="str">
        <f t="shared" si="829"/>
        <v>UN</v>
      </c>
      <c r="D20844" s="7">
        <v>402</v>
      </c>
      <c r="E20844" s="3">
        <v>4</v>
      </c>
      <c r="F20844" s="3">
        <v>4</v>
      </c>
      <c r="G20844" t="s">
        <v>512</v>
      </c>
    </row>
    <row r="20845" spans="1:7" x14ac:dyDescent="0.25">
      <c r="A20845" s="1" t="str">
        <f>"519854"</f>
        <v>519854</v>
      </c>
      <c r="B20845" s="2" t="str">
        <f>"ROLAMENTO SKF Nº 3213"</f>
        <v>ROLAMENTO SKF Nº 3213</v>
      </c>
      <c r="C20845" s="2" t="str">
        <f t="shared" si="829"/>
        <v>UN</v>
      </c>
      <c r="D20845" s="7">
        <v>402</v>
      </c>
      <c r="E20845" s="3">
        <v>4</v>
      </c>
      <c r="F20845" s="3">
        <v>4</v>
      </c>
      <c r="G20845" t="s">
        <v>513</v>
      </c>
    </row>
    <row r="20846" spans="1:7" x14ac:dyDescent="0.25">
      <c r="A20846" s="1" t="str">
        <f>"519277"</f>
        <v>519277</v>
      </c>
      <c r="B20846" s="2" t="str">
        <f>"ROLAMENTO SKF Nº 32213"</f>
        <v>ROLAMENTO SKF Nº 32213</v>
      </c>
      <c r="C20846" s="2" t="str">
        <f t="shared" si="829"/>
        <v>UN</v>
      </c>
      <c r="D20846" s="7">
        <v>918</v>
      </c>
      <c r="E20846" s="3">
        <v>11</v>
      </c>
      <c r="F20846" s="3">
        <v>11</v>
      </c>
      <c r="G20846" t="s">
        <v>514</v>
      </c>
    </row>
    <row r="20847" spans="1:7" x14ac:dyDescent="0.25">
      <c r="A20847" s="1" t="str">
        <f>"519998"</f>
        <v>519998</v>
      </c>
      <c r="B20847" s="2" t="str">
        <f>"ROLAMENTO SKF Nº 33016/Q"</f>
        <v>ROLAMENTO SKF Nº 33016/Q</v>
      </c>
      <c r="C20847" s="2" t="str">
        <f t="shared" si="829"/>
        <v>UN</v>
      </c>
      <c r="D20847" s="7">
        <v>906</v>
      </c>
      <c r="E20847" s="3">
        <v>11</v>
      </c>
      <c r="F20847" s="3">
        <v>11</v>
      </c>
      <c r="G20847" t="s">
        <v>514</v>
      </c>
    </row>
    <row r="20848" spans="1:7" x14ac:dyDescent="0.25">
      <c r="A20848" s="1" t="str">
        <f>"500752"</f>
        <v>500752</v>
      </c>
      <c r="B20848" s="2" t="str">
        <f>"ROLAMENTO SKF Nº 51.104"</f>
        <v>ROLAMENTO SKF Nº 51.104</v>
      </c>
      <c r="C20848" s="2" t="str">
        <f t="shared" si="829"/>
        <v>UN</v>
      </c>
      <c r="D20848" s="7">
        <v>402</v>
      </c>
      <c r="E20848" s="3">
        <v>4</v>
      </c>
      <c r="F20848" s="3">
        <v>4</v>
      </c>
      <c r="G20848" t="s">
        <v>512</v>
      </c>
    </row>
    <row r="20849" spans="1:7" x14ac:dyDescent="0.25">
      <c r="A20849" s="1" t="str">
        <f>"505389"</f>
        <v>505389</v>
      </c>
      <c r="B20849" s="2" t="str">
        <f>"ROLAMENTO SKF Nº 51.105"</f>
        <v>ROLAMENTO SKF Nº 51.105</v>
      </c>
      <c r="C20849" s="2" t="str">
        <f t="shared" si="829"/>
        <v>UN</v>
      </c>
      <c r="D20849" s="7">
        <v>918</v>
      </c>
      <c r="E20849" s="3">
        <v>11</v>
      </c>
      <c r="F20849" s="3">
        <v>11</v>
      </c>
      <c r="G20849" t="s">
        <v>513</v>
      </c>
    </row>
    <row r="20850" spans="1:7" x14ac:dyDescent="0.25">
      <c r="A20850" s="1" t="str">
        <f>"512816"</f>
        <v>512816</v>
      </c>
      <c r="B20850" s="2" t="str">
        <f>"ROLAMENTO SKF Nº 51.106"</f>
        <v>ROLAMENTO SKF Nº 51.106</v>
      </c>
      <c r="C20850" s="2" t="str">
        <f t="shared" si="829"/>
        <v>UN</v>
      </c>
      <c r="D20850" s="7">
        <v>402</v>
      </c>
      <c r="E20850" s="3">
        <v>4</v>
      </c>
      <c r="F20850" s="3">
        <v>4</v>
      </c>
      <c r="G20850" t="s">
        <v>514</v>
      </c>
    </row>
    <row r="20851" spans="1:7" x14ac:dyDescent="0.25">
      <c r="A20851" s="1" t="str">
        <f>"500753"</f>
        <v>500753</v>
      </c>
      <c r="B20851" s="2" t="str">
        <f>"ROLAMENTO SKF Nº 51.111"</f>
        <v>ROLAMENTO SKF Nº 51.111</v>
      </c>
      <c r="C20851" s="2" t="str">
        <f t="shared" si="829"/>
        <v>UN</v>
      </c>
      <c r="D20851" s="7">
        <v>402</v>
      </c>
      <c r="E20851" s="3">
        <v>4</v>
      </c>
      <c r="F20851" s="3">
        <v>4</v>
      </c>
      <c r="G20851" t="s">
        <v>514</v>
      </c>
    </row>
    <row r="20852" spans="1:7" x14ac:dyDescent="0.25">
      <c r="A20852" s="1" t="str">
        <f>"519748"</f>
        <v>519748</v>
      </c>
      <c r="B20852" s="2" t="str">
        <f>"ROLAMENTO SKF Nº 51120"</f>
        <v>ROLAMENTO SKF Nº 51120</v>
      </c>
      <c r="C20852" s="2" t="str">
        <f>"PC"</f>
        <v>PC</v>
      </c>
      <c r="D20852" s="7">
        <v>918</v>
      </c>
      <c r="E20852" s="3">
        <v>11</v>
      </c>
      <c r="F20852" s="3">
        <v>11</v>
      </c>
      <c r="G20852" t="s">
        <v>514</v>
      </c>
    </row>
    <row r="20853" spans="1:7" x14ac:dyDescent="0.25">
      <c r="A20853" s="1" t="str">
        <f>"519747"</f>
        <v>519747</v>
      </c>
      <c r="B20853" s="2" t="str">
        <f>"ROLAMENTO SKF Nº 51205 J"</f>
        <v>ROLAMENTO SKF Nº 51205 J</v>
      </c>
      <c r="C20853" s="2" t="str">
        <f>"PC"</f>
        <v>PC</v>
      </c>
      <c r="D20853" s="7">
        <v>918</v>
      </c>
      <c r="E20853" s="3">
        <v>11</v>
      </c>
      <c r="F20853" s="3">
        <v>11</v>
      </c>
      <c r="G20853" t="s">
        <v>513</v>
      </c>
    </row>
    <row r="20854" spans="1:7" x14ac:dyDescent="0.25">
      <c r="A20854" s="1" t="str">
        <f>"519746"</f>
        <v>519746</v>
      </c>
      <c r="B20854" s="2" t="str">
        <f>"ROLAMENTO SKF Nº 51206"</f>
        <v>ROLAMENTO SKF Nº 51206</v>
      </c>
      <c r="C20854" s="2" t="str">
        <f>"PC"</f>
        <v>PC</v>
      </c>
      <c r="D20854" s="7">
        <v>918</v>
      </c>
      <c r="E20854" s="3">
        <v>11</v>
      </c>
      <c r="F20854" s="3">
        <v>11</v>
      </c>
      <c r="G20854" t="s">
        <v>512</v>
      </c>
    </row>
    <row r="20855" spans="1:7" x14ac:dyDescent="0.25">
      <c r="A20855" s="1" t="str">
        <f>"501134"</f>
        <v>501134</v>
      </c>
      <c r="B20855" s="2" t="str">
        <f>"ROLAMENTO SKF Nº 6.000 2RS"</f>
        <v>ROLAMENTO SKF Nº 6.000 2RS</v>
      </c>
      <c r="C20855" s="2" t="str">
        <f>"UN"</f>
        <v>UN</v>
      </c>
      <c r="D20855" s="7">
        <v>402</v>
      </c>
      <c r="E20855" s="3">
        <v>4</v>
      </c>
      <c r="F20855" s="3">
        <v>4</v>
      </c>
      <c r="G20855" t="s">
        <v>513</v>
      </c>
    </row>
    <row r="20856" spans="1:7" x14ac:dyDescent="0.25">
      <c r="A20856" s="1" t="str">
        <f>"508071"</f>
        <v>508071</v>
      </c>
      <c r="B20856" s="2" t="str">
        <f>"ROLAMENTO SKF Nº 6.001 DDU"</f>
        <v>ROLAMENTO SKF Nº 6.001 DDU</v>
      </c>
      <c r="C20856" s="2" t="str">
        <f>"PC"</f>
        <v>PC</v>
      </c>
      <c r="D20856" s="7">
        <v>402</v>
      </c>
      <c r="E20856" s="3">
        <v>4</v>
      </c>
      <c r="F20856" s="3">
        <v>4</v>
      </c>
      <c r="G20856" t="s">
        <v>514</v>
      </c>
    </row>
    <row r="20857" spans="1:7" x14ac:dyDescent="0.25">
      <c r="A20857" s="1" t="str">
        <f>"502829"</f>
        <v>502829</v>
      </c>
      <c r="B20857" s="2" t="str">
        <f>"ROLAMENTO SKF Nº 6.002 DDU"</f>
        <v>ROLAMENTO SKF Nº 6.002 DDU</v>
      </c>
      <c r="C20857" s="2" t="str">
        <f t="shared" ref="C20857:C20862" si="830">"UN"</f>
        <v>UN</v>
      </c>
      <c r="D20857" s="7">
        <v>402</v>
      </c>
      <c r="E20857" s="3">
        <v>4</v>
      </c>
      <c r="F20857" s="3">
        <v>4</v>
      </c>
      <c r="G20857" t="s">
        <v>514</v>
      </c>
    </row>
    <row r="20858" spans="1:7" x14ac:dyDescent="0.25">
      <c r="A20858" s="1" t="str">
        <f>"501011"</f>
        <v>501011</v>
      </c>
      <c r="B20858" s="2" t="str">
        <f>"ROLAMENTO SKF Nº 6.003  2RS"</f>
        <v>ROLAMENTO SKF Nº 6.003  2RS</v>
      </c>
      <c r="C20858" s="2" t="str">
        <f t="shared" si="830"/>
        <v>UN</v>
      </c>
      <c r="D20858" s="7">
        <v>402</v>
      </c>
      <c r="E20858" s="3">
        <v>4</v>
      </c>
      <c r="F20858" s="3">
        <v>4</v>
      </c>
      <c r="G20858" t="s">
        <v>514</v>
      </c>
    </row>
    <row r="20859" spans="1:7" x14ac:dyDescent="0.25">
      <c r="A20859" s="1" t="str">
        <f>"500965"</f>
        <v>500965</v>
      </c>
      <c r="B20859" s="2" t="str">
        <f>"ROLAMENTO SKF Nº 6.004  2RS"</f>
        <v>ROLAMENTO SKF Nº 6.004  2RS</v>
      </c>
      <c r="C20859" s="2" t="str">
        <f t="shared" si="830"/>
        <v>UN</v>
      </c>
      <c r="D20859" s="7">
        <v>402</v>
      </c>
      <c r="E20859" s="3">
        <v>4</v>
      </c>
      <c r="F20859" s="3">
        <v>4</v>
      </c>
      <c r="G20859" t="s">
        <v>513</v>
      </c>
    </row>
    <row r="20860" spans="1:7" x14ac:dyDescent="0.25">
      <c r="A20860" s="1" t="str">
        <f>"501136"</f>
        <v>501136</v>
      </c>
      <c r="B20860" s="2" t="str">
        <f>"ROLAMENTO SKF Nº 6.005 2RSH"</f>
        <v>ROLAMENTO SKF Nº 6.005 2RSH</v>
      </c>
      <c r="C20860" s="2" t="str">
        <f t="shared" si="830"/>
        <v>UN</v>
      </c>
      <c r="D20860" s="7">
        <v>402</v>
      </c>
      <c r="E20860" s="3">
        <v>4</v>
      </c>
      <c r="F20860" s="3">
        <v>4</v>
      </c>
      <c r="G20860" t="s">
        <v>513</v>
      </c>
    </row>
    <row r="20861" spans="1:7" x14ac:dyDescent="0.25">
      <c r="A20861" s="1" t="str">
        <f>"501127"</f>
        <v>501127</v>
      </c>
      <c r="B20861" s="2" t="str">
        <f>"ROLAMENTO SKF Nº 6.006 2RS"</f>
        <v>ROLAMENTO SKF Nº 6.006 2RS</v>
      </c>
      <c r="C20861" s="2" t="str">
        <f t="shared" si="830"/>
        <v>UN</v>
      </c>
      <c r="D20861" s="7">
        <v>402</v>
      </c>
      <c r="E20861" s="3">
        <v>4</v>
      </c>
      <c r="F20861" s="3">
        <v>4</v>
      </c>
      <c r="G20861" t="s">
        <v>513</v>
      </c>
    </row>
    <row r="20862" spans="1:7" x14ac:dyDescent="0.25">
      <c r="A20862" s="1" t="str">
        <f>"500852"</f>
        <v>500852</v>
      </c>
      <c r="B20862" s="2" t="str">
        <f>"ROLAMENTO SKF Nº 6.007 DDU"</f>
        <v>ROLAMENTO SKF Nº 6.007 DDU</v>
      </c>
      <c r="C20862" s="2" t="str">
        <f t="shared" si="830"/>
        <v>UN</v>
      </c>
      <c r="D20862" s="7">
        <v>402</v>
      </c>
      <c r="E20862" s="3">
        <v>4</v>
      </c>
      <c r="F20862" s="3">
        <v>4</v>
      </c>
      <c r="G20862" t="s">
        <v>512</v>
      </c>
    </row>
    <row r="20863" spans="1:7" x14ac:dyDescent="0.25">
      <c r="A20863" s="1" t="str">
        <f>"512156"</f>
        <v>512156</v>
      </c>
      <c r="B20863" s="2" t="str">
        <f>"ROLAMENTO SKF Nº 6.008 2RS HT ALTA TEMP."</f>
        <v>ROLAMENTO SKF Nº 6.008 2RS HT ALTA TEMP.</v>
      </c>
      <c r="C20863" s="2" t="str">
        <f>"PC"</f>
        <v>PC</v>
      </c>
      <c r="D20863" s="7">
        <v>918</v>
      </c>
      <c r="E20863" s="3">
        <v>11</v>
      </c>
      <c r="F20863" s="3">
        <v>11</v>
      </c>
      <c r="G20863" t="s">
        <v>513</v>
      </c>
    </row>
    <row r="20864" spans="1:7" x14ac:dyDescent="0.25">
      <c r="A20864" s="1" t="str">
        <f>"512155"</f>
        <v>512155</v>
      </c>
      <c r="B20864" s="2" t="str">
        <f>"ROLAMENTO SKF Nº 6.008 2RS1 C3 GJN"</f>
        <v>ROLAMENTO SKF Nº 6.008 2RS1 C3 GJN</v>
      </c>
      <c r="C20864" s="2" t="str">
        <f>"PC"</f>
        <v>PC</v>
      </c>
      <c r="D20864" s="7">
        <v>918</v>
      </c>
      <c r="E20864" s="3">
        <v>11</v>
      </c>
      <c r="F20864" s="3">
        <v>11</v>
      </c>
      <c r="G20864" t="s">
        <v>514</v>
      </c>
    </row>
    <row r="20865" spans="1:7" x14ac:dyDescent="0.25">
      <c r="A20865" s="1" t="str">
        <f>"510420"</f>
        <v>510420</v>
      </c>
      <c r="B20865" s="2" t="str">
        <f>"ROLAMENTO SKF Nº 6.008 RS"</f>
        <v>ROLAMENTO SKF Nº 6.008 RS</v>
      </c>
      <c r="C20865" s="2" t="str">
        <f>"UN"</f>
        <v>UN</v>
      </c>
      <c r="D20865" s="7">
        <v>918</v>
      </c>
      <c r="E20865" s="3">
        <v>11</v>
      </c>
      <c r="F20865" s="3">
        <v>11</v>
      </c>
      <c r="G20865" t="s">
        <v>515</v>
      </c>
    </row>
    <row r="20866" spans="1:7" x14ac:dyDescent="0.25">
      <c r="A20866" s="1" t="str">
        <f>"512157"</f>
        <v>512157</v>
      </c>
      <c r="B20866" s="2" t="str">
        <f>"ROLAMENTO SKF Nº 6.009 2RS HT"</f>
        <v>ROLAMENTO SKF Nº 6.009 2RS HT</v>
      </c>
      <c r="C20866" s="2" t="str">
        <f>"PC"</f>
        <v>PC</v>
      </c>
      <c r="D20866" s="7">
        <v>918</v>
      </c>
      <c r="E20866" s="3">
        <v>11</v>
      </c>
      <c r="F20866" s="3">
        <v>11</v>
      </c>
      <c r="G20866" t="s">
        <v>512</v>
      </c>
    </row>
    <row r="20867" spans="1:7" x14ac:dyDescent="0.25">
      <c r="A20867" s="1" t="str">
        <f>"504048"</f>
        <v>504048</v>
      </c>
      <c r="B20867" s="2" t="str">
        <f>"ROLAMENTO SKF Nº 6.009 DDU"</f>
        <v>ROLAMENTO SKF Nº 6.009 DDU</v>
      </c>
      <c r="C20867" s="2" t="str">
        <f>"PC"</f>
        <v>PC</v>
      </c>
      <c r="D20867" s="7">
        <v>402</v>
      </c>
      <c r="E20867" s="3">
        <v>4</v>
      </c>
      <c r="F20867" s="3">
        <v>4</v>
      </c>
      <c r="G20867" t="s">
        <v>516</v>
      </c>
    </row>
    <row r="20868" spans="1:7" x14ac:dyDescent="0.25">
      <c r="A20868" s="1" t="str">
        <f>"501125"</f>
        <v>501125</v>
      </c>
      <c r="B20868" s="2" t="str">
        <f>"ROLAMENTO SKF Nº 6.010 DDU"</f>
        <v>ROLAMENTO SKF Nº 6.010 DDU</v>
      </c>
      <c r="C20868" s="2" t="str">
        <f t="shared" ref="C20868:C20884" si="831">"UN"</f>
        <v>UN</v>
      </c>
      <c r="D20868" s="7">
        <v>402</v>
      </c>
      <c r="E20868" s="3">
        <v>4</v>
      </c>
      <c r="F20868" s="3">
        <v>4</v>
      </c>
      <c r="G20868" t="s">
        <v>515</v>
      </c>
    </row>
    <row r="20869" spans="1:7" x14ac:dyDescent="0.25">
      <c r="A20869" s="1" t="str">
        <f>"501012"</f>
        <v>501012</v>
      </c>
      <c r="B20869" s="2" t="str">
        <f>"ROLAMENTO SKF Nº 6.011 ZZ C3"</f>
        <v>ROLAMENTO SKF Nº 6.011 ZZ C3</v>
      </c>
      <c r="C20869" s="2" t="str">
        <f t="shared" si="831"/>
        <v>UN</v>
      </c>
      <c r="D20869" s="7">
        <v>906</v>
      </c>
      <c r="E20869" s="3">
        <v>11</v>
      </c>
      <c r="F20869" s="3">
        <v>11</v>
      </c>
      <c r="G20869" t="s">
        <v>514</v>
      </c>
    </row>
    <row r="20870" spans="1:7" x14ac:dyDescent="0.25">
      <c r="A20870" s="1" t="str">
        <f>"501876"</f>
        <v>501876</v>
      </c>
      <c r="B20870" s="2" t="str">
        <f>"ROLAMENTO SKF Nº 6.012 2RS"</f>
        <v>ROLAMENTO SKF Nº 6.012 2RS</v>
      </c>
      <c r="C20870" s="2" t="str">
        <f t="shared" si="831"/>
        <v>UN</v>
      </c>
      <c r="D20870" s="7">
        <v>402</v>
      </c>
      <c r="E20870" s="3">
        <v>4</v>
      </c>
      <c r="F20870" s="3">
        <v>4</v>
      </c>
      <c r="G20870" t="s">
        <v>512</v>
      </c>
    </row>
    <row r="20871" spans="1:7" x14ac:dyDescent="0.25">
      <c r="A20871" s="1" t="str">
        <f>"517212"</f>
        <v>517212</v>
      </c>
      <c r="B20871" s="2" t="str">
        <f>"ROLAMENTO SKF Nº 6.013 DDU"</f>
        <v>ROLAMENTO SKF Nº 6.013 DDU</v>
      </c>
      <c r="C20871" s="2" t="str">
        <f t="shared" si="831"/>
        <v>UN</v>
      </c>
      <c r="D20871" s="7">
        <v>906</v>
      </c>
      <c r="E20871" s="3">
        <v>11</v>
      </c>
      <c r="F20871" s="3">
        <v>11</v>
      </c>
      <c r="G20871" t="s">
        <v>513</v>
      </c>
    </row>
    <row r="20872" spans="1:7" x14ac:dyDescent="0.25">
      <c r="A20872" s="1" t="str">
        <f>"521312"</f>
        <v>521312</v>
      </c>
      <c r="B20872" s="2" t="str">
        <f>"ROLAMENTO SKF Nº 6.014 Z"</f>
        <v>ROLAMENTO SKF Nº 6.014 Z</v>
      </c>
      <c r="C20872" s="2" t="str">
        <f t="shared" si="831"/>
        <v>UN</v>
      </c>
      <c r="D20872" s="7">
        <v>402</v>
      </c>
      <c r="E20872" s="3">
        <v>4</v>
      </c>
      <c r="F20872" s="3">
        <v>4</v>
      </c>
      <c r="G20872" t="s">
        <v>514</v>
      </c>
    </row>
    <row r="20873" spans="1:7" x14ac:dyDescent="0.25">
      <c r="A20873" s="1" t="str">
        <f>"503552"</f>
        <v>503552</v>
      </c>
      <c r="B20873" s="2" t="str">
        <f>"ROLAMENTO SKF Nº 6.015 ZZ"</f>
        <v>ROLAMENTO SKF Nº 6.015 ZZ</v>
      </c>
      <c r="C20873" s="2" t="str">
        <f t="shared" si="831"/>
        <v>UN</v>
      </c>
      <c r="D20873" s="7">
        <v>402</v>
      </c>
      <c r="E20873" s="3">
        <v>4</v>
      </c>
      <c r="F20873" s="3">
        <v>4</v>
      </c>
      <c r="G20873" t="s">
        <v>514</v>
      </c>
    </row>
    <row r="20874" spans="1:7" x14ac:dyDescent="0.25">
      <c r="A20874" s="1" t="str">
        <f>"503562"</f>
        <v>503562</v>
      </c>
      <c r="B20874" s="2" t="str">
        <f>"ROLAMENTO SKF Nº 6.015-DDU ESFERA"</f>
        <v>ROLAMENTO SKF Nº 6.015-DDU ESFERA</v>
      </c>
      <c r="C20874" s="2" t="str">
        <f t="shared" si="831"/>
        <v>UN</v>
      </c>
      <c r="D20874" s="7">
        <v>402</v>
      </c>
      <c r="E20874" s="3">
        <v>4</v>
      </c>
      <c r="F20874" s="3">
        <v>4</v>
      </c>
      <c r="G20874" t="s">
        <v>512</v>
      </c>
    </row>
    <row r="20875" spans="1:7" x14ac:dyDescent="0.25">
      <c r="A20875" s="1" t="str">
        <f>"519278"</f>
        <v>519278</v>
      </c>
      <c r="B20875" s="2" t="str">
        <f>"ROLAMENTO SKF Nº 6.022 2RS"</f>
        <v>ROLAMENTO SKF Nº 6.022 2RS</v>
      </c>
      <c r="C20875" s="2" t="str">
        <f t="shared" si="831"/>
        <v>UN</v>
      </c>
      <c r="D20875" s="7">
        <v>402</v>
      </c>
      <c r="E20875" s="3">
        <v>4</v>
      </c>
      <c r="F20875" s="3">
        <v>4</v>
      </c>
      <c r="G20875" t="s">
        <v>513</v>
      </c>
    </row>
    <row r="20876" spans="1:7" x14ac:dyDescent="0.25">
      <c r="A20876" s="1" t="str">
        <f>"506015"</f>
        <v>506015</v>
      </c>
      <c r="B20876" s="2" t="str">
        <f>"ROLAMENTO SKF Nº 6.024 2RS"</f>
        <v>ROLAMENTO SKF Nº 6.024 2RS</v>
      </c>
      <c r="C20876" s="2" t="str">
        <f t="shared" si="831"/>
        <v>UN</v>
      </c>
      <c r="D20876" s="7">
        <v>402</v>
      </c>
      <c r="E20876" s="3">
        <v>4</v>
      </c>
      <c r="F20876" s="3">
        <v>4</v>
      </c>
      <c r="G20876" t="s">
        <v>514</v>
      </c>
    </row>
    <row r="20877" spans="1:7" x14ac:dyDescent="0.25">
      <c r="A20877" s="1" t="str">
        <f>"503690"</f>
        <v>503690</v>
      </c>
      <c r="B20877" s="2" t="str">
        <f>"ROLAMENTO SKF Nº 6.200 DDU"</f>
        <v>ROLAMENTO SKF Nº 6.200 DDU</v>
      </c>
      <c r="C20877" s="2" t="str">
        <f t="shared" si="831"/>
        <v>UN</v>
      </c>
      <c r="D20877" s="7">
        <v>402</v>
      </c>
      <c r="E20877" s="3">
        <v>4</v>
      </c>
      <c r="F20877" s="3">
        <v>4</v>
      </c>
      <c r="G20877" t="s">
        <v>514</v>
      </c>
    </row>
    <row r="20878" spans="1:7" x14ac:dyDescent="0.25">
      <c r="A20878" s="1" t="str">
        <f>"500823"</f>
        <v>500823</v>
      </c>
      <c r="B20878" s="2" t="str">
        <f>"ROLAMENTO SKF Nº 6.201 DDU"</f>
        <v>ROLAMENTO SKF Nº 6.201 DDU</v>
      </c>
      <c r="C20878" s="2" t="str">
        <f t="shared" si="831"/>
        <v>UN</v>
      </c>
      <c r="D20878" s="7">
        <v>402</v>
      </c>
      <c r="E20878" s="3">
        <v>4</v>
      </c>
      <c r="F20878" s="3">
        <v>4</v>
      </c>
      <c r="G20878" t="s">
        <v>514</v>
      </c>
    </row>
    <row r="20879" spans="1:7" x14ac:dyDescent="0.25">
      <c r="A20879" s="1" t="str">
        <f>"501133"</f>
        <v>501133</v>
      </c>
      <c r="B20879" s="2" t="str">
        <f>"ROLAMENTO SKF Nº 6.202  2RS"</f>
        <v>ROLAMENTO SKF Nº 6.202  2RS</v>
      </c>
      <c r="C20879" s="2" t="str">
        <f t="shared" si="831"/>
        <v>UN</v>
      </c>
      <c r="D20879" s="7">
        <v>402</v>
      </c>
      <c r="E20879" s="3">
        <v>4</v>
      </c>
      <c r="F20879" s="3">
        <v>4</v>
      </c>
      <c r="G20879" t="s">
        <v>513</v>
      </c>
    </row>
    <row r="20880" spans="1:7" x14ac:dyDescent="0.25">
      <c r="A20880" s="1" t="str">
        <f>"501144"</f>
        <v>501144</v>
      </c>
      <c r="B20880" s="2" t="str">
        <f>"ROLAMENTO SKF Nº 6.203 DDU"</f>
        <v>ROLAMENTO SKF Nº 6.203 DDU</v>
      </c>
      <c r="C20880" s="2" t="str">
        <f t="shared" si="831"/>
        <v>UN</v>
      </c>
      <c r="D20880" s="7">
        <v>402</v>
      </c>
      <c r="E20880" s="3">
        <v>4</v>
      </c>
      <c r="F20880" s="3">
        <v>4</v>
      </c>
      <c r="G20880" t="s">
        <v>512</v>
      </c>
    </row>
    <row r="20881" spans="1:7" x14ac:dyDescent="0.25">
      <c r="A20881" s="1" t="str">
        <f>"501132"</f>
        <v>501132</v>
      </c>
      <c r="B20881" s="2" t="str">
        <f>"ROLAMENTO SKF Nº 6.204 DDU"</f>
        <v>ROLAMENTO SKF Nº 6.204 DDU</v>
      </c>
      <c r="C20881" s="2" t="str">
        <f t="shared" si="831"/>
        <v>UN</v>
      </c>
      <c r="D20881" s="7">
        <v>402</v>
      </c>
      <c r="E20881" s="3">
        <v>4</v>
      </c>
      <c r="F20881" s="3">
        <v>4</v>
      </c>
      <c r="G20881" t="s">
        <v>513</v>
      </c>
    </row>
    <row r="20882" spans="1:7" x14ac:dyDescent="0.25">
      <c r="A20882" s="1" t="str">
        <f>"501131"</f>
        <v>501131</v>
      </c>
      <c r="B20882" s="2" t="str">
        <f>"ROLAMENTO SKF Nº 6.205 DDU"</f>
        <v>ROLAMENTO SKF Nº 6.205 DDU</v>
      </c>
      <c r="C20882" s="2" t="str">
        <f t="shared" si="831"/>
        <v>UN</v>
      </c>
      <c r="D20882" s="7">
        <v>402</v>
      </c>
      <c r="E20882" s="3">
        <v>4</v>
      </c>
      <c r="F20882" s="3">
        <v>4</v>
      </c>
      <c r="G20882" t="s">
        <v>514</v>
      </c>
    </row>
    <row r="20883" spans="1:7" x14ac:dyDescent="0.25">
      <c r="A20883" s="1" t="str">
        <f>"501128"</f>
        <v>501128</v>
      </c>
      <c r="B20883" s="2" t="str">
        <f>"ROLAMENTO SKF Nº 6.206 DDU"</f>
        <v>ROLAMENTO SKF Nº 6.206 DDU</v>
      </c>
      <c r="C20883" s="2" t="str">
        <f t="shared" si="831"/>
        <v>UN</v>
      </c>
      <c r="D20883" s="7">
        <v>402</v>
      </c>
      <c r="E20883" s="3">
        <v>4</v>
      </c>
      <c r="F20883" s="3">
        <v>4</v>
      </c>
      <c r="G20883" t="s">
        <v>514</v>
      </c>
    </row>
    <row r="20884" spans="1:7" x14ac:dyDescent="0.25">
      <c r="A20884" s="1" t="str">
        <f>"501130"</f>
        <v>501130</v>
      </c>
      <c r="B20884" s="2" t="str">
        <f>"ROLAMENTO SKF Nº 6.207 C3 ZZ"</f>
        <v>ROLAMENTO SKF Nº 6.207 C3 ZZ</v>
      </c>
      <c r="C20884" s="2" t="str">
        <f t="shared" si="831"/>
        <v>UN</v>
      </c>
      <c r="D20884" s="7">
        <v>402</v>
      </c>
      <c r="E20884" s="3">
        <v>4</v>
      </c>
      <c r="F20884" s="3">
        <v>4</v>
      </c>
      <c r="G20884" t="s">
        <v>514</v>
      </c>
    </row>
    <row r="20885" spans="1:7" x14ac:dyDescent="0.25">
      <c r="A20885" s="1" t="str">
        <f>"511185"</f>
        <v>511185</v>
      </c>
      <c r="B20885" s="2" t="str">
        <f>"ROLAMENTO SKF Nº 6.208 2RS"</f>
        <v>ROLAMENTO SKF Nº 6.208 2RS</v>
      </c>
      <c r="C20885" s="2" t="str">
        <f>"PC"</f>
        <v>PC</v>
      </c>
      <c r="D20885" s="7">
        <v>918</v>
      </c>
      <c r="E20885" s="3">
        <v>11</v>
      </c>
      <c r="F20885" s="3">
        <v>11</v>
      </c>
      <c r="G20885" t="s">
        <v>513</v>
      </c>
    </row>
    <row r="20886" spans="1:7" x14ac:dyDescent="0.25">
      <c r="A20886" s="1" t="str">
        <f>"502181"</f>
        <v>502181</v>
      </c>
      <c r="B20886" s="2" t="str">
        <f>"ROLAMENTO SKF Nº 6.209 DDU"</f>
        <v>ROLAMENTO SKF Nº 6.209 DDU</v>
      </c>
      <c r="C20886" s="2" t="str">
        <f t="shared" ref="C20886:C20896" si="832">"UN"</f>
        <v>UN</v>
      </c>
      <c r="D20886" s="7">
        <v>402</v>
      </c>
      <c r="E20886" s="3">
        <v>4</v>
      </c>
      <c r="F20886" s="3">
        <v>4</v>
      </c>
      <c r="G20886" t="s">
        <v>513</v>
      </c>
    </row>
    <row r="20887" spans="1:7" x14ac:dyDescent="0.25">
      <c r="A20887" s="1" t="str">
        <f>"501570"</f>
        <v>501570</v>
      </c>
      <c r="B20887" s="2" t="str">
        <f>"ROLAMENTO SKF Nº 6.210 2RS"</f>
        <v>ROLAMENTO SKF Nº 6.210 2RS</v>
      </c>
      <c r="C20887" s="2" t="str">
        <f t="shared" si="832"/>
        <v>UN</v>
      </c>
      <c r="D20887" s="7">
        <v>402</v>
      </c>
      <c r="E20887" s="3">
        <v>4</v>
      </c>
      <c r="F20887" s="3">
        <v>4</v>
      </c>
      <c r="G20887" t="s">
        <v>513</v>
      </c>
    </row>
    <row r="20888" spans="1:7" x14ac:dyDescent="0.25">
      <c r="A20888" s="1" t="str">
        <f>"505607"</f>
        <v>505607</v>
      </c>
      <c r="B20888" s="2" t="str">
        <f>"ROLAMENTO SKF Nº 6.211 C3 ZZ"</f>
        <v>ROLAMENTO SKF Nº 6.211 C3 ZZ</v>
      </c>
      <c r="C20888" s="2" t="str">
        <f t="shared" si="832"/>
        <v>UN</v>
      </c>
      <c r="D20888" s="7">
        <v>812</v>
      </c>
      <c r="E20888" s="3">
        <v>10</v>
      </c>
      <c r="F20888" s="3">
        <v>10</v>
      </c>
      <c r="G20888" t="s">
        <v>512</v>
      </c>
    </row>
    <row r="20889" spans="1:7" x14ac:dyDescent="0.25">
      <c r="A20889" s="1" t="str">
        <f>"502528"</f>
        <v>502528</v>
      </c>
      <c r="B20889" s="2" t="str">
        <f>"ROLAMENTO SKF Nº 6.212 2RS"</f>
        <v>ROLAMENTO SKF Nº 6.212 2RS</v>
      </c>
      <c r="C20889" s="2" t="str">
        <f t="shared" si="832"/>
        <v>UN</v>
      </c>
      <c r="D20889" s="7">
        <v>402</v>
      </c>
      <c r="E20889" s="3">
        <v>4</v>
      </c>
      <c r="F20889" s="3">
        <v>4</v>
      </c>
      <c r="G20889" t="s">
        <v>513</v>
      </c>
    </row>
    <row r="20890" spans="1:7" x14ac:dyDescent="0.25">
      <c r="A20890" s="1" t="str">
        <f>"518813"</f>
        <v>518813</v>
      </c>
      <c r="B20890" s="2" t="str">
        <f>"ROLAMENTO SKF Nº 6.213 2RS"</f>
        <v>ROLAMENTO SKF Nº 6.213 2RS</v>
      </c>
      <c r="C20890" s="2" t="str">
        <f t="shared" si="832"/>
        <v>UN</v>
      </c>
      <c r="D20890" s="7">
        <v>402</v>
      </c>
      <c r="E20890" s="3">
        <v>4</v>
      </c>
      <c r="F20890" s="3">
        <v>4</v>
      </c>
      <c r="G20890" t="s">
        <v>514</v>
      </c>
    </row>
    <row r="20891" spans="1:7" x14ac:dyDescent="0.25">
      <c r="A20891" s="1" t="str">
        <f>"518814"</f>
        <v>518814</v>
      </c>
      <c r="B20891" s="2" t="str">
        <f>"ROLAMENTO SKF Nº 6.214 2RS"</f>
        <v>ROLAMENTO SKF Nº 6.214 2RS</v>
      </c>
      <c r="C20891" s="2" t="str">
        <f t="shared" si="832"/>
        <v>UN</v>
      </c>
      <c r="D20891" s="7">
        <v>402</v>
      </c>
      <c r="E20891" s="3">
        <v>4</v>
      </c>
      <c r="F20891" s="3">
        <v>4</v>
      </c>
      <c r="G20891" t="s">
        <v>515</v>
      </c>
    </row>
    <row r="20892" spans="1:7" x14ac:dyDescent="0.25">
      <c r="A20892" s="1" t="str">
        <f>"510004"</f>
        <v>510004</v>
      </c>
      <c r="B20892" s="2" t="str">
        <f>"ROLAMENTO SKF Nº 6.218 DDU"</f>
        <v>ROLAMENTO SKF Nº 6.218 DDU</v>
      </c>
      <c r="C20892" s="2" t="str">
        <f t="shared" si="832"/>
        <v>UN</v>
      </c>
      <c r="D20892" s="7">
        <v>918</v>
      </c>
      <c r="E20892" s="3">
        <v>11</v>
      </c>
      <c r="F20892" s="3">
        <v>11</v>
      </c>
      <c r="G20892" t="s">
        <v>512</v>
      </c>
    </row>
    <row r="20893" spans="1:7" x14ac:dyDescent="0.25">
      <c r="A20893" s="1" t="str">
        <f>"503984"</f>
        <v>503984</v>
      </c>
      <c r="B20893" s="2" t="str">
        <f>"ROLAMENTO SKF Nº 6.300 DDU"</f>
        <v>ROLAMENTO SKF Nº 6.300 DDU</v>
      </c>
      <c r="C20893" s="2" t="str">
        <f t="shared" si="832"/>
        <v>UN</v>
      </c>
      <c r="D20893" s="7">
        <v>402</v>
      </c>
      <c r="E20893" s="3">
        <v>4</v>
      </c>
      <c r="F20893" s="3">
        <v>4</v>
      </c>
      <c r="G20893" t="s">
        <v>516</v>
      </c>
    </row>
    <row r="20894" spans="1:7" x14ac:dyDescent="0.25">
      <c r="A20894" s="1" t="str">
        <f>"503937"</f>
        <v>503937</v>
      </c>
      <c r="B20894" s="2" t="str">
        <f>"ROLAMENTO SKF Nº 6.301 DDU"</f>
        <v>ROLAMENTO SKF Nº 6.301 DDU</v>
      </c>
      <c r="C20894" s="2" t="str">
        <f t="shared" si="832"/>
        <v>UN</v>
      </c>
      <c r="D20894" s="7">
        <v>402</v>
      </c>
      <c r="E20894" s="3">
        <v>4</v>
      </c>
      <c r="F20894" s="3">
        <v>4</v>
      </c>
      <c r="G20894" t="s">
        <v>515</v>
      </c>
    </row>
    <row r="20895" spans="1:7" x14ac:dyDescent="0.25">
      <c r="A20895" s="1" t="str">
        <f>"503065"</f>
        <v>503065</v>
      </c>
      <c r="B20895" s="2" t="str">
        <f>"ROLAMENTO SKF Nº 6.302 DDU"</f>
        <v>ROLAMENTO SKF Nº 6.302 DDU</v>
      </c>
      <c r="C20895" s="2" t="str">
        <f t="shared" si="832"/>
        <v>UN</v>
      </c>
      <c r="D20895" s="7">
        <v>402</v>
      </c>
      <c r="E20895" s="3">
        <v>4</v>
      </c>
      <c r="F20895" s="3">
        <v>4</v>
      </c>
      <c r="G20895" t="s">
        <v>514</v>
      </c>
    </row>
    <row r="20896" spans="1:7" x14ac:dyDescent="0.25">
      <c r="A20896" s="1" t="str">
        <f>"503064"</f>
        <v>503064</v>
      </c>
      <c r="B20896" s="2" t="str">
        <f>"ROLAMENTO SKF Nº 6.303 DDU"</f>
        <v>ROLAMENTO SKF Nº 6.303 DDU</v>
      </c>
      <c r="C20896" s="2" t="str">
        <f t="shared" si="832"/>
        <v>UN</v>
      </c>
      <c r="D20896" s="7">
        <v>402</v>
      </c>
      <c r="E20896" s="3">
        <v>4</v>
      </c>
      <c r="F20896" s="3">
        <v>4</v>
      </c>
      <c r="G20896" t="s">
        <v>512</v>
      </c>
    </row>
    <row r="20897" spans="1:7" x14ac:dyDescent="0.25">
      <c r="A20897" s="1" t="str">
        <f>"500842"</f>
        <v>500842</v>
      </c>
      <c r="B20897" s="2" t="str">
        <f>"ROLAMENTO SKF Nº 6.304 DDU"</f>
        <v>ROLAMENTO SKF Nº 6.304 DDU</v>
      </c>
      <c r="C20897" s="2" t="str">
        <f>"PC"</f>
        <v>PC</v>
      </c>
      <c r="D20897" s="7">
        <v>402</v>
      </c>
      <c r="E20897" s="3">
        <v>4</v>
      </c>
      <c r="F20897" s="3">
        <v>4</v>
      </c>
      <c r="G20897" t="s">
        <v>513</v>
      </c>
    </row>
    <row r="20898" spans="1:7" x14ac:dyDescent="0.25">
      <c r="A20898" s="1" t="str">
        <f>"500864"</f>
        <v>500864</v>
      </c>
      <c r="B20898" s="2" t="str">
        <f>"ROLAMENTO SKF Nº 6.305 DDU"</f>
        <v>ROLAMENTO SKF Nº 6.305 DDU</v>
      </c>
      <c r="C20898" s="2" t="str">
        <f>"UN"</f>
        <v>UN</v>
      </c>
      <c r="D20898" s="7">
        <v>402</v>
      </c>
      <c r="E20898" s="3">
        <v>4</v>
      </c>
      <c r="F20898" s="3">
        <v>4</v>
      </c>
      <c r="G20898" t="s">
        <v>514</v>
      </c>
    </row>
    <row r="20899" spans="1:7" x14ac:dyDescent="0.25">
      <c r="A20899" s="1" t="str">
        <f>"502220"</f>
        <v>502220</v>
      </c>
      <c r="B20899" s="2" t="str">
        <f>"ROLAMENTO SKF Nº 6.306 DDU"</f>
        <v>ROLAMENTO SKF Nº 6.306 DDU</v>
      </c>
      <c r="C20899" s="2" t="str">
        <f>"UN"</f>
        <v>UN</v>
      </c>
      <c r="D20899" s="7">
        <v>402</v>
      </c>
      <c r="E20899" s="3">
        <v>4</v>
      </c>
      <c r="F20899" s="3">
        <v>4</v>
      </c>
      <c r="G20899" t="s">
        <v>514</v>
      </c>
    </row>
    <row r="20900" spans="1:7" x14ac:dyDescent="0.25">
      <c r="A20900" s="1" t="str">
        <f>"501124"</f>
        <v>501124</v>
      </c>
      <c r="B20900" s="2" t="str">
        <f>"ROLAMENTO SKF Nº 6.307 DDU"</f>
        <v>ROLAMENTO SKF Nº 6.307 DDU</v>
      </c>
      <c r="C20900" s="2" t="str">
        <f>"UN"</f>
        <v>UN</v>
      </c>
      <c r="D20900" s="7">
        <v>402</v>
      </c>
      <c r="E20900" s="3">
        <v>4</v>
      </c>
      <c r="F20900" s="3">
        <v>4</v>
      </c>
      <c r="G20900" t="s">
        <v>512</v>
      </c>
    </row>
    <row r="20901" spans="1:7" x14ac:dyDescent="0.25">
      <c r="A20901" s="1" t="str">
        <f>"502783"</f>
        <v>502783</v>
      </c>
      <c r="B20901" s="2" t="str">
        <f>"ROLAMENTO SKF Nº 6.308 C3 2RS"</f>
        <v>ROLAMENTO SKF Nº 6.308 C3 2RS</v>
      </c>
      <c r="C20901" s="2" t="str">
        <f>"UN"</f>
        <v>UN</v>
      </c>
      <c r="D20901" s="7">
        <v>402</v>
      </c>
      <c r="E20901" s="3">
        <v>4</v>
      </c>
      <c r="F20901" s="3">
        <v>4</v>
      </c>
      <c r="G20901" t="s">
        <v>513</v>
      </c>
    </row>
    <row r="20902" spans="1:7" x14ac:dyDescent="0.25">
      <c r="A20902" s="1" t="str">
        <f>"512166"</f>
        <v>512166</v>
      </c>
      <c r="B20902" s="2" t="str">
        <f>"ROLAMENTO SKF Nº 6.308 ZZ C3"</f>
        <v>ROLAMENTO SKF Nº 6.308 ZZ C3</v>
      </c>
      <c r="C20902" s="2" t="str">
        <f>"PC"</f>
        <v>PC</v>
      </c>
      <c r="D20902" s="7">
        <v>918</v>
      </c>
      <c r="E20902" s="3">
        <v>11</v>
      </c>
      <c r="F20902" s="3">
        <v>11</v>
      </c>
      <c r="G20902" t="s">
        <v>514</v>
      </c>
    </row>
    <row r="20903" spans="1:7" x14ac:dyDescent="0.25">
      <c r="A20903" s="1" t="str">
        <f>"501123"</f>
        <v>501123</v>
      </c>
      <c r="B20903" s="2" t="str">
        <f>"ROLAMENTO SKF Nº 6.309 DDU"</f>
        <v>ROLAMENTO SKF Nº 6.309 DDU</v>
      </c>
      <c r="C20903" s="2" t="str">
        <f t="shared" ref="C20903:C20909" si="833">"UN"</f>
        <v>UN</v>
      </c>
      <c r="D20903" s="7">
        <v>402</v>
      </c>
      <c r="E20903" s="3">
        <v>4</v>
      </c>
      <c r="F20903" s="3">
        <v>4</v>
      </c>
      <c r="G20903" t="s">
        <v>514</v>
      </c>
    </row>
    <row r="20904" spans="1:7" x14ac:dyDescent="0.25">
      <c r="A20904" s="1" t="str">
        <f>"500811"</f>
        <v>500811</v>
      </c>
      <c r="B20904" s="2" t="str">
        <f>"ROLAMENTO SKF Nº 6.310 DDU REQUEIJAO"</f>
        <v>ROLAMENTO SKF Nº 6.310 DDU REQUEIJAO</v>
      </c>
      <c r="C20904" s="2" t="str">
        <f t="shared" si="833"/>
        <v>UN</v>
      </c>
      <c r="D20904" s="7">
        <v>402</v>
      </c>
      <c r="E20904" s="3">
        <v>4</v>
      </c>
      <c r="F20904" s="3">
        <v>4</v>
      </c>
      <c r="G20904" t="s">
        <v>514</v>
      </c>
    </row>
    <row r="20905" spans="1:7" x14ac:dyDescent="0.25">
      <c r="A20905" s="1" t="str">
        <f>"511995"</f>
        <v>511995</v>
      </c>
      <c r="B20905" s="2" t="str">
        <f>"ROLAMENTO SKF Nº 6.311 2RSR C3"</f>
        <v>ROLAMENTO SKF Nº 6.311 2RSR C3</v>
      </c>
      <c r="C20905" s="2" t="str">
        <f t="shared" si="833"/>
        <v>UN</v>
      </c>
      <c r="D20905" s="7">
        <v>918</v>
      </c>
      <c r="E20905" s="3">
        <v>11</v>
      </c>
      <c r="F20905" s="3">
        <v>11</v>
      </c>
      <c r="G20905" t="s">
        <v>513</v>
      </c>
    </row>
    <row r="20906" spans="1:7" x14ac:dyDescent="0.25">
      <c r="A20906" s="1" t="str">
        <f>"502489"</f>
        <v>502489</v>
      </c>
      <c r="B20906" s="2" t="str">
        <f>"ROLAMENTO SKF Nº 6.311 DDU REQUEIJAO"</f>
        <v>ROLAMENTO SKF Nº 6.311 DDU REQUEIJAO</v>
      </c>
      <c r="C20906" s="2" t="str">
        <f t="shared" si="833"/>
        <v>UN</v>
      </c>
      <c r="D20906" s="7">
        <v>402</v>
      </c>
      <c r="E20906" s="3">
        <v>4</v>
      </c>
      <c r="F20906" s="3">
        <v>4</v>
      </c>
      <c r="G20906" t="s">
        <v>512</v>
      </c>
    </row>
    <row r="20907" spans="1:7" x14ac:dyDescent="0.25">
      <c r="A20907" s="1" t="str">
        <f>"502529"</f>
        <v>502529</v>
      </c>
      <c r="B20907" s="2" t="str">
        <f>"ROLAMENTO SKF Nº 6.312 DDU"</f>
        <v>ROLAMENTO SKF Nº 6.312 DDU</v>
      </c>
      <c r="C20907" s="2" t="str">
        <f t="shared" si="833"/>
        <v>UN</v>
      </c>
      <c r="D20907" s="7">
        <v>402</v>
      </c>
      <c r="E20907" s="3">
        <v>4</v>
      </c>
      <c r="F20907" s="3">
        <v>4</v>
      </c>
      <c r="G20907" t="s">
        <v>513</v>
      </c>
    </row>
    <row r="20908" spans="1:7" x14ac:dyDescent="0.25">
      <c r="A20908" s="1" t="str">
        <f>"524377"</f>
        <v>524377</v>
      </c>
      <c r="B20908" s="2" t="str">
        <f>"ROLAMENTO SKF Nº 6.313 2RS"</f>
        <v>ROLAMENTO SKF Nº 6.313 2RS</v>
      </c>
      <c r="C20908" s="2" t="str">
        <f t="shared" si="833"/>
        <v>UN</v>
      </c>
      <c r="D20908" s="7">
        <v>402</v>
      </c>
      <c r="E20908" s="3">
        <v>4</v>
      </c>
      <c r="F20908" s="3">
        <v>4</v>
      </c>
      <c r="G20908" t="s">
        <v>514</v>
      </c>
    </row>
    <row r="20909" spans="1:7" x14ac:dyDescent="0.25">
      <c r="A20909" s="1" t="str">
        <f>"502530"</f>
        <v>502530</v>
      </c>
      <c r="B20909" s="2" t="str">
        <f>"ROLAMENTO SKF Nº 6.314 2RS"</f>
        <v>ROLAMENTO SKF Nº 6.314 2RS</v>
      </c>
      <c r="C20909" s="2" t="str">
        <f t="shared" si="833"/>
        <v>UN</v>
      </c>
      <c r="D20909" s="7">
        <v>402</v>
      </c>
      <c r="E20909" s="3">
        <v>4</v>
      </c>
      <c r="F20909" s="3">
        <v>4</v>
      </c>
      <c r="G20909" t="s">
        <v>514</v>
      </c>
    </row>
    <row r="20910" spans="1:7" x14ac:dyDescent="0.25">
      <c r="A20910" s="1" t="str">
        <f>"512004"</f>
        <v>512004</v>
      </c>
      <c r="B20910" s="2" t="str">
        <f>"ROLAMENTO SKF Nº 6.316 C3"</f>
        <v>ROLAMENTO SKF Nº 6.316 C3</v>
      </c>
      <c r="C20910" s="2" t="str">
        <f>"PC"</f>
        <v>PC</v>
      </c>
      <c r="D20910" s="7">
        <v>918</v>
      </c>
      <c r="E20910" s="3">
        <v>11</v>
      </c>
      <c r="F20910" s="3">
        <v>11</v>
      </c>
      <c r="G20910" t="s">
        <v>514</v>
      </c>
    </row>
    <row r="20911" spans="1:7" x14ac:dyDescent="0.25">
      <c r="A20911" s="1" t="str">
        <f>"518488"</f>
        <v>518488</v>
      </c>
      <c r="B20911" s="2" t="str">
        <f>"ROLAMENTO SKF Nº 6.319 ZZ"</f>
        <v>ROLAMENTO SKF Nº 6.319 ZZ</v>
      </c>
      <c r="C20911" s="2" t="str">
        <f>"UN"</f>
        <v>UN</v>
      </c>
      <c r="D20911" s="7">
        <v>906</v>
      </c>
      <c r="E20911" s="3">
        <v>11</v>
      </c>
      <c r="F20911" s="3">
        <v>11</v>
      </c>
      <c r="G20911" t="s">
        <v>513</v>
      </c>
    </row>
    <row r="20912" spans="1:7" x14ac:dyDescent="0.25">
      <c r="A20912" s="1" t="str">
        <f>"501129"</f>
        <v>501129</v>
      </c>
      <c r="B20912" s="2" t="str">
        <f>"ROLAMENTO SKF Nº 6.403 DDU"</f>
        <v>ROLAMENTO SKF Nº 6.403 DDU</v>
      </c>
      <c r="C20912" s="2" t="str">
        <f>"UN"</f>
        <v>UN</v>
      </c>
      <c r="D20912" s="7">
        <v>402</v>
      </c>
      <c r="E20912" s="3">
        <v>4</v>
      </c>
      <c r="F20912" s="3">
        <v>4</v>
      </c>
      <c r="G20912" t="s">
        <v>513</v>
      </c>
    </row>
    <row r="20913" spans="1:7" x14ac:dyDescent="0.25">
      <c r="A20913" s="1" t="str">
        <f>"519299"</f>
        <v>519299</v>
      </c>
      <c r="B20913" s="2" t="str">
        <f>"ROLAMENTO SKF Nº 6.900 2RS"</f>
        <v>ROLAMENTO SKF Nº 6.900 2RS</v>
      </c>
      <c r="C20913" s="2" t="str">
        <f>"PC"</f>
        <v>PC</v>
      </c>
      <c r="D20913" s="7">
        <v>918</v>
      </c>
      <c r="E20913" s="3">
        <v>11</v>
      </c>
      <c r="F20913" s="3">
        <v>11</v>
      </c>
      <c r="G20913" t="s">
        <v>513</v>
      </c>
    </row>
    <row r="20914" spans="1:7" x14ac:dyDescent="0.25">
      <c r="A20914" s="1" t="str">
        <f>"513019"</f>
        <v>513019</v>
      </c>
      <c r="B20914" s="2" t="str">
        <f>"ROLAMENTO SKF Nº 6.904 2RS"</f>
        <v>ROLAMENTO SKF Nº 6.904 2RS</v>
      </c>
      <c r="C20914" s="2" t="str">
        <f>"UN"</f>
        <v>UN</v>
      </c>
      <c r="D20914" s="7">
        <v>906</v>
      </c>
      <c r="E20914" s="3">
        <v>11</v>
      </c>
      <c r="F20914" s="3">
        <v>11</v>
      </c>
      <c r="G20914" t="s">
        <v>512</v>
      </c>
    </row>
    <row r="20915" spans="1:7" x14ac:dyDescent="0.25">
      <c r="A20915" s="1" t="str">
        <f>"518216"</f>
        <v>518216</v>
      </c>
      <c r="B20915" s="2" t="str">
        <f>"ROLAMENTO SKF Nº 6.905 2RS"</f>
        <v>ROLAMENTO SKF Nº 6.905 2RS</v>
      </c>
      <c r="C20915" s="2" t="str">
        <f>"UN"</f>
        <v>UN</v>
      </c>
      <c r="D20915" s="7">
        <v>906</v>
      </c>
      <c r="E20915" s="3">
        <v>11</v>
      </c>
      <c r="F20915" s="3">
        <v>11</v>
      </c>
      <c r="G20915" t="s">
        <v>513</v>
      </c>
    </row>
    <row r="20916" spans="1:7" x14ac:dyDescent="0.25">
      <c r="A20916" s="1" t="str">
        <f>"520601"</f>
        <v>520601</v>
      </c>
      <c r="B20916" s="2" t="str">
        <f>"ROLAMENTO SKF Nº 6.909 2RS"</f>
        <v>ROLAMENTO SKF Nº 6.909 2RS</v>
      </c>
      <c r="C20916" s="2" t="str">
        <f>"UN"</f>
        <v>UN</v>
      </c>
      <c r="D20916" s="7">
        <v>906</v>
      </c>
      <c r="E20916" s="3">
        <v>11</v>
      </c>
      <c r="F20916" s="3">
        <v>11</v>
      </c>
      <c r="G20916" t="s">
        <v>514</v>
      </c>
    </row>
    <row r="20917" spans="1:7" x14ac:dyDescent="0.25">
      <c r="A20917" s="1" t="str">
        <f>"502223"</f>
        <v>502223</v>
      </c>
      <c r="B20917" s="2" t="str">
        <f>"ROLAMENTO SKF Nº 60.102"</f>
        <v>ROLAMENTO SKF Nº 60.102</v>
      </c>
      <c r="C20917" s="2" t="str">
        <f>"UN"</f>
        <v>UN</v>
      </c>
      <c r="D20917" s="7">
        <v>402</v>
      </c>
      <c r="E20917" s="3">
        <v>4</v>
      </c>
      <c r="F20917" s="3">
        <v>4</v>
      </c>
      <c r="G20917" t="s">
        <v>515</v>
      </c>
    </row>
    <row r="20918" spans="1:7" x14ac:dyDescent="0.25">
      <c r="A20918" s="1" t="str">
        <f>"519750"</f>
        <v>519750</v>
      </c>
      <c r="B20918" s="2" t="str">
        <f>"ROLAMENTO SKF Nº 6022"</f>
        <v>ROLAMENTO SKF Nº 6022</v>
      </c>
      <c r="C20918" s="2" t="str">
        <f>"PC"</f>
        <v>PC</v>
      </c>
      <c r="D20918" s="7">
        <v>918</v>
      </c>
      <c r="E20918" s="3">
        <v>11</v>
      </c>
      <c r="F20918" s="3">
        <v>11</v>
      </c>
      <c r="G20918" t="s">
        <v>512</v>
      </c>
    </row>
    <row r="20919" spans="1:7" x14ac:dyDescent="0.25">
      <c r="A20919" s="1" t="str">
        <f>"519749"</f>
        <v>519749</v>
      </c>
      <c r="B20919" s="2" t="str">
        <f>"ROLAMENTO SKF Nº 6024"</f>
        <v>ROLAMENTO SKF Nº 6024</v>
      </c>
      <c r="C20919" s="2" t="str">
        <f>"PC"</f>
        <v>PC</v>
      </c>
      <c r="D20919" s="7">
        <v>918</v>
      </c>
      <c r="E20919" s="3">
        <v>11</v>
      </c>
      <c r="F20919" s="3">
        <v>11</v>
      </c>
      <c r="G20919" t="s">
        <v>516</v>
      </c>
    </row>
    <row r="20920" spans="1:7" x14ac:dyDescent="0.25">
      <c r="A20920" s="1" t="str">
        <f>"518514"</f>
        <v>518514</v>
      </c>
      <c r="B20920" s="2" t="str">
        <f>"ROLAMENTO SKF Nº 604 ZZ"</f>
        <v>ROLAMENTO SKF Nº 604 ZZ</v>
      </c>
      <c r="C20920" s="2" t="str">
        <f t="shared" ref="C20920:C20929" si="834">"UN"</f>
        <v>UN</v>
      </c>
      <c r="D20920" s="7">
        <v>906</v>
      </c>
      <c r="E20920" s="3">
        <v>11</v>
      </c>
      <c r="F20920" s="3">
        <v>11</v>
      </c>
      <c r="G20920" t="s">
        <v>515</v>
      </c>
    </row>
    <row r="20921" spans="1:7" x14ac:dyDescent="0.25">
      <c r="A20921" s="1" t="str">
        <f>"521969"</f>
        <v>521969</v>
      </c>
      <c r="B20921" s="2" t="str">
        <f>"ROLAMENTO SKF Nº 607 DDU"</f>
        <v>ROLAMENTO SKF Nº 607 DDU</v>
      </c>
      <c r="C20921" s="2" t="str">
        <f t="shared" si="834"/>
        <v>UN</v>
      </c>
      <c r="D20921" s="7">
        <v>906</v>
      </c>
      <c r="E20921" s="3">
        <v>11</v>
      </c>
      <c r="F20921" s="3">
        <v>11</v>
      </c>
      <c r="G20921" t="s">
        <v>514</v>
      </c>
    </row>
    <row r="20922" spans="1:7" x14ac:dyDescent="0.25">
      <c r="A20922" s="1" t="str">
        <f>"519997"</f>
        <v>519997</v>
      </c>
      <c r="B20922" s="2" t="str">
        <f>"ROLAMENTO SKF Nº 608"</f>
        <v>ROLAMENTO SKF Nº 608</v>
      </c>
      <c r="C20922" s="2" t="str">
        <f t="shared" si="834"/>
        <v>UN</v>
      </c>
      <c r="D20922" s="7">
        <v>906</v>
      </c>
      <c r="E20922" s="3">
        <v>11</v>
      </c>
      <c r="F20922" s="3">
        <v>11</v>
      </c>
      <c r="G20922" t="s">
        <v>512</v>
      </c>
    </row>
    <row r="20923" spans="1:7" x14ac:dyDescent="0.25">
      <c r="A20923" s="1" t="str">
        <f>"503200"</f>
        <v>503200</v>
      </c>
      <c r="B20923" s="2" t="str">
        <f>"ROLAMENTO SKF Nº 608 DDU"</f>
        <v>ROLAMENTO SKF Nº 608 DDU</v>
      </c>
      <c r="C20923" s="2" t="str">
        <f t="shared" si="834"/>
        <v>UN</v>
      </c>
      <c r="D20923" s="7">
        <v>402</v>
      </c>
      <c r="E20923" s="3">
        <v>4</v>
      </c>
      <c r="F20923" s="3">
        <v>4</v>
      </c>
      <c r="G20923" t="s">
        <v>513</v>
      </c>
    </row>
    <row r="20924" spans="1:7" x14ac:dyDescent="0.25">
      <c r="A20924" s="1" t="str">
        <f>"503608"</f>
        <v>503608</v>
      </c>
      <c r="B20924" s="2" t="str">
        <f>"ROLAMENTO SKF Nº 61.904 - 2RS1"</f>
        <v>ROLAMENTO SKF Nº 61.904 - 2RS1</v>
      </c>
      <c r="C20924" s="2" t="str">
        <f t="shared" si="834"/>
        <v>UN</v>
      </c>
      <c r="D20924" s="7">
        <v>402</v>
      </c>
      <c r="E20924" s="3">
        <v>4</v>
      </c>
      <c r="F20924" s="3">
        <v>4</v>
      </c>
      <c r="G20924" t="s">
        <v>514</v>
      </c>
    </row>
    <row r="20925" spans="1:7" x14ac:dyDescent="0.25">
      <c r="A20925" s="1" t="str">
        <f>"501135"</f>
        <v>501135</v>
      </c>
      <c r="B20925" s="2" t="str">
        <f>"ROLAMENTO SKF Nº 62.201"</f>
        <v>ROLAMENTO SKF Nº 62.201</v>
      </c>
      <c r="C20925" s="2" t="str">
        <f t="shared" si="834"/>
        <v>UN</v>
      </c>
      <c r="D20925" s="7">
        <v>402</v>
      </c>
      <c r="E20925" s="3">
        <v>4</v>
      </c>
      <c r="F20925" s="3">
        <v>4</v>
      </c>
      <c r="G20925" t="s">
        <v>514</v>
      </c>
    </row>
    <row r="20926" spans="1:7" x14ac:dyDescent="0.25">
      <c r="A20926" s="1" t="str">
        <f>"518236"</f>
        <v>518236</v>
      </c>
      <c r="B20926" s="2" t="str">
        <f>"ROLAMENTO SKF Nº 62.201 DDU"</f>
        <v>ROLAMENTO SKF Nº 62.201 DDU</v>
      </c>
      <c r="C20926" s="2" t="str">
        <f t="shared" si="834"/>
        <v>UN</v>
      </c>
      <c r="D20926" s="7">
        <v>906</v>
      </c>
      <c r="E20926" s="3">
        <v>11</v>
      </c>
      <c r="F20926" s="3">
        <v>11</v>
      </c>
      <c r="G20926" t="s">
        <v>512</v>
      </c>
    </row>
    <row r="20927" spans="1:7" x14ac:dyDescent="0.25">
      <c r="A20927" s="1" t="str">
        <f>"501571"</f>
        <v>501571</v>
      </c>
      <c r="B20927" s="2" t="str">
        <f>"ROLAMENTO SKF Nº 62.202"</f>
        <v>ROLAMENTO SKF Nº 62.202</v>
      </c>
      <c r="C20927" s="2" t="str">
        <f t="shared" si="834"/>
        <v>UN</v>
      </c>
      <c r="D20927" s="7">
        <v>402</v>
      </c>
      <c r="E20927" s="3">
        <v>4</v>
      </c>
      <c r="F20927" s="3">
        <v>4</v>
      </c>
      <c r="G20927" t="s">
        <v>513</v>
      </c>
    </row>
    <row r="20928" spans="1:7" x14ac:dyDescent="0.25">
      <c r="A20928" s="1" t="str">
        <f>"500764"</f>
        <v>500764</v>
      </c>
      <c r="B20928" s="2" t="str">
        <f>"ROLAMENTO SKF Nº 62.207"</f>
        <v>ROLAMENTO SKF Nº 62.207</v>
      </c>
      <c r="C20928" s="2" t="str">
        <f t="shared" si="834"/>
        <v>UN</v>
      </c>
      <c r="D20928" s="7">
        <v>402</v>
      </c>
      <c r="E20928" s="3">
        <v>4</v>
      </c>
      <c r="F20928" s="3">
        <v>4</v>
      </c>
      <c r="G20928" t="s">
        <v>514</v>
      </c>
    </row>
    <row r="20929" spans="1:7" x14ac:dyDescent="0.25">
      <c r="A20929" s="1" t="str">
        <f>"525411"</f>
        <v>525411</v>
      </c>
      <c r="B20929" s="2" t="str">
        <f>"ROLAMENTO SKF Nº 6209-TB-P6 C3"</f>
        <v>ROLAMENTO SKF Nº 6209-TB-P6 C3</v>
      </c>
      <c r="C20929" s="2" t="str">
        <f t="shared" si="834"/>
        <v>UN</v>
      </c>
      <c r="D20929" s="7">
        <v>402</v>
      </c>
      <c r="E20929" s="3">
        <v>4</v>
      </c>
      <c r="F20929" s="3">
        <v>4</v>
      </c>
      <c r="G20929" t="s">
        <v>514</v>
      </c>
    </row>
    <row r="20930" spans="1:7" x14ac:dyDescent="0.25">
      <c r="A20930" s="1" t="str">
        <f>"512145"</f>
        <v>512145</v>
      </c>
      <c r="B20930" s="2" t="str">
        <f>"ROLAMENTO SKF Nº 626 2RSH"</f>
        <v>ROLAMENTO SKF Nº 626 2RSH</v>
      </c>
      <c r="C20930" s="2" t="str">
        <f>"PC"</f>
        <v>PC</v>
      </c>
      <c r="D20930" s="7">
        <v>918</v>
      </c>
      <c r="E20930" s="3">
        <v>11</v>
      </c>
      <c r="F20930" s="3">
        <v>11</v>
      </c>
      <c r="G20930" t="s">
        <v>514</v>
      </c>
    </row>
    <row r="20931" spans="1:7" x14ac:dyDescent="0.25">
      <c r="A20931" s="1" t="str">
        <f>"516193"</f>
        <v>516193</v>
      </c>
      <c r="B20931" s="2" t="str">
        <f>"ROLAMENTO SKF Nº 629 DDU"</f>
        <v>ROLAMENTO SKF Nº 629 DDU</v>
      </c>
      <c r="C20931" s="2" t="str">
        <f t="shared" ref="C20931:C20946" si="835">"UN"</f>
        <v>UN</v>
      </c>
      <c r="D20931" s="7">
        <v>906</v>
      </c>
      <c r="E20931" s="3">
        <v>11</v>
      </c>
      <c r="F20931" s="3">
        <v>11</v>
      </c>
      <c r="G20931" t="s">
        <v>513</v>
      </c>
    </row>
    <row r="20932" spans="1:7" x14ac:dyDescent="0.25">
      <c r="A20932" s="1" t="str">
        <f>"505689"</f>
        <v>505689</v>
      </c>
      <c r="B20932" s="2" t="str">
        <f>"ROLAMENTO SKF Nº 63.102"</f>
        <v>ROLAMENTO SKF Nº 63.102</v>
      </c>
      <c r="C20932" s="2" t="str">
        <f t="shared" si="835"/>
        <v>UN</v>
      </c>
      <c r="D20932" s="7">
        <v>402</v>
      </c>
      <c r="E20932" s="3">
        <v>4</v>
      </c>
      <c r="F20932" s="3">
        <v>4</v>
      </c>
      <c r="G20932" t="s">
        <v>512</v>
      </c>
    </row>
    <row r="20933" spans="1:7" x14ac:dyDescent="0.25">
      <c r="A20933" s="1" t="str">
        <f>"520897"</f>
        <v>520897</v>
      </c>
      <c r="B20933" s="2" t="str">
        <f>"ROLAMENTO SKF Nº 633313"</f>
        <v>ROLAMENTO SKF Nº 633313</v>
      </c>
      <c r="C20933" s="2" t="str">
        <f t="shared" si="835"/>
        <v>UN</v>
      </c>
      <c r="D20933" s="7">
        <v>402</v>
      </c>
      <c r="E20933" s="3">
        <v>4</v>
      </c>
      <c r="F20933" s="3">
        <v>4</v>
      </c>
      <c r="G20933" t="s">
        <v>513</v>
      </c>
    </row>
    <row r="20934" spans="1:7" x14ac:dyDescent="0.25">
      <c r="A20934" s="1" t="str">
        <f>"505636"</f>
        <v>505636</v>
      </c>
      <c r="B20934" s="2" t="str">
        <f>"ROLAMENTO SKF Nº 634 DDU"</f>
        <v>ROLAMENTO SKF Nº 634 DDU</v>
      </c>
      <c r="C20934" s="2" t="str">
        <f t="shared" si="835"/>
        <v>UN</v>
      </c>
      <c r="D20934" s="7">
        <v>918</v>
      </c>
      <c r="E20934" s="3">
        <v>11</v>
      </c>
      <c r="F20934" s="3">
        <v>11</v>
      </c>
      <c r="G20934" t="s">
        <v>514</v>
      </c>
    </row>
    <row r="20935" spans="1:7" x14ac:dyDescent="0.25">
      <c r="A20935" s="1" t="str">
        <f>"525414"</f>
        <v>525414</v>
      </c>
      <c r="B20935" s="2" t="str">
        <f>"ROLAMENTO SKF Nº 7304 BECBP"</f>
        <v>ROLAMENTO SKF Nº 7304 BECBP</v>
      </c>
      <c r="C20935" s="2" t="str">
        <f t="shared" si="835"/>
        <v>UN</v>
      </c>
      <c r="D20935" s="7">
        <v>402</v>
      </c>
      <c r="E20935" s="3">
        <v>4</v>
      </c>
      <c r="F20935" s="3">
        <v>4</v>
      </c>
      <c r="G20935" t="s">
        <v>514</v>
      </c>
    </row>
    <row r="20936" spans="1:7" x14ac:dyDescent="0.25">
      <c r="A20936" s="1" t="str">
        <f>"524688"</f>
        <v>524688</v>
      </c>
      <c r="B20936" s="2" t="str">
        <f>"ROLAMENTO SKF NUP2205"</f>
        <v>ROLAMENTO SKF NUP2205</v>
      </c>
      <c r="C20936" s="2" t="str">
        <f t="shared" si="835"/>
        <v>UN</v>
      </c>
      <c r="D20936" s="7">
        <v>906</v>
      </c>
      <c r="E20936" s="3">
        <v>10</v>
      </c>
      <c r="F20936" s="3">
        <v>10</v>
      </c>
      <c r="G20936" t="s">
        <v>514</v>
      </c>
    </row>
    <row r="20937" spans="1:7" x14ac:dyDescent="0.25">
      <c r="A20937" s="1" t="str">
        <f>"503397"</f>
        <v>503397</v>
      </c>
      <c r="B20937" s="2" t="str">
        <f>"ROLAMENTO SKF ROLETE 215EC"</f>
        <v>ROLAMENTO SKF ROLETE 215EC</v>
      </c>
      <c r="C20937" s="2" t="str">
        <f t="shared" si="835"/>
        <v>UN</v>
      </c>
      <c r="D20937" s="7">
        <v>918</v>
      </c>
      <c r="E20937" s="3">
        <v>11</v>
      </c>
      <c r="F20937" s="3">
        <v>11</v>
      </c>
      <c r="G20937" t="s">
        <v>513</v>
      </c>
    </row>
    <row r="20938" spans="1:7" x14ac:dyDescent="0.25">
      <c r="A20938" s="1" t="str">
        <f>"501822"</f>
        <v>501822</v>
      </c>
      <c r="B20938" s="2" t="str">
        <f>"ROLAMENTO TRASEIRO ROTOR ARRANQUE"</f>
        <v>ROLAMENTO TRASEIRO ROTOR ARRANQUE</v>
      </c>
      <c r="C20938" s="2" t="str">
        <f t="shared" si="835"/>
        <v>UN</v>
      </c>
      <c r="D20938" s="7">
        <v>918</v>
      </c>
      <c r="E20938" s="3">
        <v>9</v>
      </c>
      <c r="F20938" s="3">
        <v>9</v>
      </c>
      <c r="G20938" t="s">
        <v>513</v>
      </c>
    </row>
    <row r="20939" spans="1:7" x14ac:dyDescent="0.25">
      <c r="A20939" s="1" t="str">
        <f>"520509"</f>
        <v>520509</v>
      </c>
      <c r="B20939" s="2" t="str">
        <f>"ROLAMENTO UC210-50MM"</f>
        <v>ROLAMENTO UC210-50MM</v>
      </c>
      <c r="C20939" s="2" t="str">
        <f t="shared" si="835"/>
        <v>UN</v>
      </c>
      <c r="D20939" s="7">
        <v>906</v>
      </c>
      <c r="E20939" s="3">
        <v>11</v>
      </c>
      <c r="F20939" s="3">
        <v>11</v>
      </c>
      <c r="G20939" t="s">
        <v>513</v>
      </c>
    </row>
    <row r="20940" spans="1:7" x14ac:dyDescent="0.25">
      <c r="A20940" s="1" t="str">
        <f>"520178"</f>
        <v>520178</v>
      </c>
      <c r="B20940" s="2" t="str">
        <f>"ROLAMENTO Y205V22"</f>
        <v>ROLAMENTO Y205V22</v>
      </c>
      <c r="C20940" s="2" t="str">
        <f t="shared" si="835"/>
        <v>UN</v>
      </c>
      <c r="D20940" s="7">
        <v>99999</v>
      </c>
      <c r="E20940" s="3">
        <v>10</v>
      </c>
      <c r="F20940" s="3">
        <v>10</v>
      </c>
      <c r="G20940" t="s">
        <v>512</v>
      </c>
    </row>
    <row r="20941" spans="1:7" x14ac:dyDescent="0.25">
      <c r="A20941" s="1" t="str">
        <f>"526991"</f>
        <v>526991</v>
      </c>
      <c r="B20941" s="2" t="str">
        <f>"ROLDANA"</f>
        <v>ROLDANA</v>
      </c>
      <c r="C20941" s="2" t="str">
        <f t="shared" si="835"/>
        <v>UN</v>
      </c>
      <c r="D20941" s="7">
        <v>920</v>
      </c>
      <c r="E20941" s="3">
        <v>11</v>
      </c>
      <c r="F20941" s="3">
        <v>11</v>
      </c>
      <c r="G20941" t="s">
        <v>513</v>
      </c>
    </row>
    <row r="20942" spans="1:7" x14ac:dyDescent="0.25">
      <c r="A20942" s="1" t="str">
        <f>"525331"</f>
        <v>525331</v>
      </c>
      <c r="B20942" s="2" t="str">
        <f>"ROLDANA 1125"</f>
        <v>ROLDANA 1125</v>
      </c>
      <c r="C20942" s="2" t="str">
        <f t="shared" si="835"/>
        <v>UN</v>
      </c>
      <c r="D20942" s="7">
        <v>99999</v>
      </c>
      <c r="E20942" s="3">
        <v>99</v>
      </c>
      <c r="F20942" s="3">
        <v>99</v>
      </c>
      <c r="G20942" t="s">
        <v>514</v>
      </c>
    </row>
    <row r="20943" spans="1:7" x14ac:dyDescent="0.25">
      <c r="A20943" s="1" t="str">
        <f>"519185"</f>
        <v>519185</v>
      </c>
      <c r="B20943" s="2" t="str">
        <f>"ROLDANA 2 1/2"" EIXO FURADO"</f>
        <v>ROLDANA 2 1/2" EIXO FURADO</v>
      </c>
      <c r="C20943" s="2" t="str">
        <f t="shared" si="835"/>
        <v>UN</v>
      </c>
      <c r="D20943" s="7">
        <v>402</v>
      </c>
      <c r="E20943" s="3">
        <v>4</v>
      </c>
      <c r="F20943" s="3">
        <v>4</v>
      </c>
      <c r="G20943" t="s">
        <v>515</v>
      </c>
    </row>
    <row r="20944" spans="1:7" x14ac:dyDescent="0.25">
      <c r="A20944" s="1" t="str">
        <f>"507771"</f>
        <v>507771</v>
      </c>
      <c r="B20944" s="2" t="str">
        <f>"ROLDANA 2"""</f>
        <v>ROLDANA 2"</v>
      </c>
      <c r="C20944" s="2" t="str">
        <f t="shared" si="835"/>
        <v>UN</v>
      </c>
      <c r="D20944" s="7">
        <v>402</v>
      </c>
      <c r="E20944" s="3">
        <v>4</v>
      </c>
      <c r="F20944" s="3">
        <v>4</v>
      </c>
      <c r="G20944" t="s">
        <v>512</v>
      </c>
    </row>
    <row r="20945" spans="1:7" x14ac:dyDescent="0.25">
      <c r="A20945" s="1" t="str">
        <f>"519184"</f>
        <v>519184</v>
      </c>
      <c r="B20945" s="2" t="str">
        <f>"ROLDANA 3"" EIXO FURADO"</f>
        <v>ROLDANA 3" EIXO FURADO</v>
      </c>
      <c r="C20945" s="2" t="str">
        <f t="shared" si="835"/>
        <v>UN</v>
      </c>
      <c r="D20945" s="7">
        <v>402</v>
      </c>
      <c r="E20945" s="3">
        <v>4</v>
      </c>
      <c r="F20945" s="3">
        <v>4</v>
      </c>
      <c r="G20945" t="s">
        <v>516</v>
      </c>
    </row>
    <row r="20946" spans="1:7" x14ac:dyDescent="0.25">
      <c r="A20946" s="1" t="str">
        <f>"501449"</f>
        <v>501449</v>
      </c>
      <c r="B20946" s="2" t="str">
        <f>"ROLDANA 3""X20MM C/PARAFUSO"</f>
        <v>ROLDANA 3"X20MM C/PARAFUSO</v>
      </c>
      <c r="C20946" s="2" t="str">
        <f t="shared" si="835"/>
        <v>UN</v>
      </c>
      <c r="D20946" s="7">
        <v>402</v>
      </c>
      <c r="E20946" s="3">
        <v>4</v>
      </c>
      <c r="F20946" s="3">
        <v>4</v>
      </c>
      <c r="G20946" t="s">
        <v>515</v>
      </c>
    </row>
    <row r="20947" spans="1:7" x14ac:dyDescent="0.25">
      <c r="A20947" s="1" t="str">
        <f>"505591"</f>
        <v>505591</v>
      </c>
      <c r="B20947" s="2" t="str">
        <f>"ROLDANA 4"""</f>
        <v>ROLDANA 4"</v>
      </c>
      <c r="C20947" s="2" t="str">
        <f>"PC"</f>
        <v>PC</v>
      </c>
      <c r="D20947" s="7">
        <v>806</v>
      </c>
      <c r="E20947" s="3">
        <v>10</v>
      </c>
      <c r="F20947" s="3">
        <v>10</v>
      </c>
      <c r="G20947" t="s">
        <v>514</v>
      </c>
    </row>
    <row r="20948" spans="1:7" x14ac:dyDescent="0.25">
      <c r="A20948" s="1" t="str">
        <f>"527850"</f>
        <v>527850</v>
      </c>
      <c r="B20948" s="2" t="str">
        <f>"ROLDANA 5 LADOS MOITAL/TALHA BSENW 2E4T - 70720290"</f>
        <v>ROLDANA 5 LADOS MOITAL/TALHA BSENW 2E4T - 70720290</v>
      </c>
      <c r="C20948" s="2" t="str">
        <f t="shared" ref="C20948:C20979" si="836">"UN"</f>
        <v>UN</v>
      </c>
      <c r="D20948" s="7">
        <v>918</v>
      </c>
      <c r="E20948" s="3">
        <v>11</v>
      </c>
      <c r="F20948" s="3">
        <v>11</v>
      </c>
      <c r="G20948" t="s">
        <v>512</v>
      </c>
    </row>
    <row r="20949" spans="1:7" x14ac:dyDescent="0.25">
      <c r="A20949" s="1" t="str">
        <f>"513412"</f>
        <v>513412</v>
      </c>
      <c r="B20949" s="2" t="str">
        <f>"ROLDANA C/ BORRACHA VULCANIZADA GLOBAL"</f>
        <v>ROLDANA C/ BORRACHA VULCANIZADA GLOBAL</v>
      </c>
      <c r="C20949" s="2" t="str">
        <f t="shared" si="836"/>
        <v>UN</v>
      </c>
      <c r="D20949" s="7">
        <v>803</v>
      </c>
      <c r="E20949" s="3">
        <v>4</v>
      </c>
      <c r="F20949" s="3">
        <v>4</v>
      </c>
      <c r="G20949" t="s">
        <v>513</v>
      </c>
    </row>
    <row r="20950" spans="1:7" x14ac:dyDescent="0.25">
      <c r="A20950" s="1" t="str">
        <f>"524857"</f>
        <v>524857</v>
      </c>
      <c r="B20950" s="2" t="str">
        <f>"ROLDANA CHAPEU NAPOLEAO CARGO"</f>
        <v>ROLDANA CHAPEU NAPOLEAO CARGO</v>
      </c>
      <c r="C20950" s="2" t="str">
        <f t="shared" si="836"/>
        <v>UN</v>
      </c>
      <c r="D20950" s="7">
        <v>704</v>
      </c>
      <c r="E20950" s="3">
        <v>9</v>
      </c>
      <c r="F20950" s="3">
        <v>9</v>
      </c>
      <c r="G20950" t="s">
        <v>514</v>
      </c>
    </row>
    <row r="20951" spans="1:7" x14ac:dyDescent="0.25">
      <c r="A20951" s="1" t="str">
        <f>"517375"</f>
        <v>517375</v>
      </c>
      <c r="B20951" s="2" t="str">
        <f>"ROLDANA DUPLA STANLEY 1 1/2"""</f>
        <v>ROLDANA DUPLA STANLEY 1 1/2"</v>
      </c>
      <c r="C20951" s="2" t="str">
        <f t="shared" si="836"/>
        <v>UN</v>
      </c>
      <c r="D20951" s="7">
        <v>918</v>
      </c>
      <c r="E20951" s="3">
        <v>11</v>
      </c>
      <c r="F20951" s="3">
        <v>11</v>
      </c>
      <c r="G20951" t="s">
        <v>514</v>
      </c>
    </row>
    <row r="20952" spans="1:7" x14ac:dyDescent="0.25">
      <c r="A20952" s="1" t="str">
        <f>"522050"</f>
        <v>522050</v>
      </c>
      <c r="B20952" s="2" t="str">
        <f>"ROLDANA ESTANLEY 1"""</f>
        <v>ROLDANA ESTANLEY 1"</v>
      </c>
      <c r="C20952" s="2" t="str">
        <f t="shared" si="836"/>
        <v>UN</v>
      </c>
      <c r="D20952" s="7">
        <v>402</v>
      </c>
      <c r="E20952" s="3">
        <v>4</v>
      </c>
      <c r="F20952" s="3">
        <v>4</v>
      </c>
      <c r="G20952" t="s">
        <v>512</v>
      </c>
    </row>
    <row r="20953" spans="1:7" x14ac:dyDescent="0.25">
      <c r="A20953" s="1" t="str">
        <f>"525046"</f>
        <v>525046</v>
      </c>
      <c r="B20953" s="2" t="str">
        <f>"ROLDANA GUIA 17 X 44"</f>
        <v>ROLDANA GUIA 17 X 44</v>
      </c>
      <c r="C20953" s="2" t="str">
        <f t="shared" si="836"/>
        <v>UN</v>
      </c>
      <c r="D20953" s="7">
        <v>918</v>
      </c>
      <c r="E20953" s="3">
        <v>11</v>
      </c>
      <c r="F20953" s="3">
        <v>11</v>
      </c>
      <c r="G20953" t="s">
        <v>513</v>
      </c>
    </row>
    <row r="20954" spans="1:7" x14ac:dyDescent="0.25">
      <c r="A20954" s="1" t="str">
        <f>"509647"</f>
        <v>509647</v>
      </c>
      <c r="B20954" s="2" t="str">
        <f>"ROLETE"</f>
        <v>ROLETE</v>
      </c>
      <c r="C20954" s="2" t="str">
        <f t="shared" si="836"/>
        <v>UN</v>
      </c>
      <c r="D20954" s="7">
        <v>704</v>
      </c>
      <c r="E20954" s="3">
        <v>9</v>
      </c>
      <c r="F20954" s="3">
        <v>9</v>
      </c>
      <c r="G20954" t="s">
        <v>514</v>
      </c>
    </row>
    <row r="20955" spans="1:7" x14ac:dyDescent="0.25">
      <c r="A20955" s="1" t="str">
        <f>"510540"</f>
        <v>510540</v>
      </c>
      <c r="B20955" s="2" t="str">
        <f>"ROLETE 05.3121.066.00"</f>
        <v>ROLETE 05.3121.066.00</v>
      </c>
      <c r="C20955" s="2" t="str">
        <f t="shared" si="836"/>
        <v>UN</v>
      </c>
      <c r="D20955" s="7">
        <v>918</v>
      </c>
      <c r="E20955" s="3">
        <v>11</v>
      </c>
      <c r="F20955" s="3">
        <v>11</v>
      </c>
      <c r="G20955" t="s">
        <v>514</v>
      </c>
    </row>
    <row r="20956" spans="1:7" x14ac:dyDescent="0.25">
      <c r="A20956" s="1" t="str">
        <f>"509024"</f>
        <v>509024</v>
      </c>
      <c r="B20956" s="2" t="str">
        <f>"ROLETE 05.3321.066.01"</f>
        <v>ROLETE 05.3321.066.01</v>
      </c>
      <c r="C20956" s="2" t="str">
        <f t="shared" si="836"/>
        <v>UN</v>
      </c>
      <c r="D20956" s="7">
        <v>918</v>
      </c>
      <c r="E20956" s="3">
        <v>11</v>
      </c>
      <c r="F20956" s="3">
        <v>11</v>
      </c>
      <c r="G20956" t="s">
        <v>514</v>
      </c>
    </row>
    <row r="20957" spans="1:7" x14ac:dyDescent="0.25">
      <c r="A20957" s="1" t="str">
        <f>"511591"</f>
        <v>511591</v>
      </c>
      <c r="B20957" s="2" t="str">
        <f>"ROLETE DE BORRACHA MAQ. SAQUINHO"</f>
        <v>ROLETE DE BORRACHA MAQ. SAQUINHO</v>
      </c>
      <c r="C20957" s="2" t="str">
        <f t="shared" si="836"/>
        <v>UN</v>
      </c>
      <c r="D20957" s="7">
        <v>918</v>
      </c>
      <c r="E20957" s="3">
        <v>11</v>
      </c>
      <c r="F20957" s="3">
        <v>11</v>
      </c>
      <c r="G20957" t="s">
        <v>513</v>
      </c>
    </row>
    <row r="20958" spans="1:7" x14ac:dyDescent="0.25">
      <c r="A20958" s="1" t="str">
        <f>"517813"</f>
        <v>517813</v>
      </c>
      <c r="B20958" s="2" t="str">
        <f>"ROLETE DE RETORNO DF13MM 80X40 COD2701 ASTERBELT"</f>
        <v>ROLETE DE RETORNO DF13MM 80X40 COD2701 ASTERBELT</v>
      </c>
      <c r="C20958" s="2" t="str">
        <f t="shared" si="836"/>
        <v>UN</v>
      </c>
      <c r="D20958" s="7">
        <v>918</v>
      </c>
      <c r="E20958" s="3">
        <v>11</v>
      </c>
      <c r="F20958" s="3">
        <v>11</v>
      </c>
      <c r="G20958" t="s">
        <v>512</v>
      </c>
    </row>
    <row r="20959" spans="1:7" x14ac:dyDescent="0.25">
      <c r="A20959" s="1" t="str">
        <f>"509086"</f>
        <v>509086</v>
      </c>
      <c r="B20959" s="2" t="str">
        <f>"ROLETE DO BRAÇO 009740301"</f>
        <v>ROLETE DO BRAÇO 009740301</v>
      </c>
      <c r="C20959" s="2" t="str">
        <f t="shared" si="836"/>
        <v>UN</v>
      </c>
      <c r="D20959" s="7">
        <v>918</v>
      </c>
      <c r="E20959" s="3">
        <v>11</v>
      </c>
      <c r="F20959" s="3">
        <v>11</v>
      </c>
      <c r="G20959" t="s">
        <v>513</v>
      </c>
    </row>
    <row r="20960" spans="1:7" x14ac:dyDescent="0.25">
      <c r="A20960" s="1" t="str">
        <f>"505490"</f>
        <v>505490</v>
      </c>
      <c r="B20960" s="2" t="str">
        <f>"ROLETE MASTER STD"</f>
        <v>ROLETE MASTER STD</v>
      </c>
      <c r="C20960" s="2" t="str">
        <f t="shared" si="836"/>
        <v>UN</v>
      </c>
      <c r="D20960" s="7">
        <v>704</v>
      </c>
      <c r="E20960" s="3">
        <v>9</v>
      </c>
      <c r="F20960" s="3">
        <v>9</v>
      </c>
      <c r="G20960" t="s">
        <v>514</v>
      </c>
    </row>
    <row r="20961" spans="1:7" x14ac:dyDescent="0.25">
      <c r="A20961" s="1" t="str">
        <f>"505645"</f>
        <v>505645</v>
      </c>
      <c r="B20961" s="2" t="str">
        <f>"ROLETE PATIM 9"" GUERRA"</f>
        <v>ROLETE PATIM 9" GUERRA</v>
      </c>
      <c r="C20961" s="2" t="str">
        <f t="shared" si="836"/>
        <v>UN</v>
      </c>
      <c r="D20961" s="7">
        <v>704</v>
      </c>
      <c r="E20961" s="3">
        <v>9</v>
      </c>
      <c r="F20961" s="3">
        <v>9</v>
      </c>
      <c r="G20961" t="s">
        <v>514</v>
      </c>
    </row>
    <row r="20962" spans="1:7" x14ac:dyDescent="0.25">
      <c r="A20962" s="1" t="str">
        <f>"527265"</f>
        <v>527265</v>
      </c>
      <c r="B20962" s="2" t="str">
        <f>"ROLETE PLASTICO LATERAL P/CX PLAST 3SE50000AF10"</f>
        <v>ROLETE PLASTICO LATERAL P/CX PLAST 3SE50000AF10</v>
      </c>
      <c r="C20962" s="2" t="str">
        <f t="shared" si="836"/>
        <v>UN</v>
      </c>
      <c r="D20962" s="7">
        <v>811</v>
      </c>
      <c r="E20962" s="3">
        <v>8</v>
      </c>
      <c r="F20962" s="3">
        <v>8</v>
      </c>
      <c r="G20962" t="s">
        <v>514</v>
      </c>
    </row>
    <row r="20963" spans="1:7" x14ac:dyDescent="0.25">
      <c r="A20963" s="1" t="str">
        <f>"503375"</f>
        <v>503375</v>
      </c>
      <c r="B20963" s="2" t="str">
        <f>"ROLETE RETORNO DF 20MM 40X80"</f>
        <v>ROLETE RETORNO DF 20MM 40X80</v>
      </c>
      <c r="C20963" s="2" t="str">
        <f t="shared" si="836"/>
        <v>UN</v>
      </c>
      <c r="D20963" s="7">
        <v>918</v>
      </c>
      <c r="E20963" s="3">
        <v>11</v>
      </c>
      <c r="F20963" s="3">
        <v>11</v>
      </c>
      <c r="G20963" t="s">
        <v>513</v>
      </c>
    </row>
    <row r="20964" spans="1:7" x14ac:dyDescent="0.25">
      <c r="A20964" s="1" t="str">
        <f>"502005"</f>
        <v>502005</v>
      </c>
      <c r="B20964" s="2" t="str">
        <f>"ROLETE SAPATA FREIO"</f>
        <v>ROLETE SAPATA FREIO</v>
      </c>
      <c r="C20964" s="2" t="str">
        <f t="shared" si="836"/>
        <v>UN</v>
      </c>
      <c r="D20964" s="7">
        <v>704</v>
      </c>
      <c r="E20964" s="3">
        <v>9</v>
      </c>
      <c r="F20964" s="3">
        <v>9</v>
      </c>
      <c r="G20964" t="s">
        <v>513</v>
      </c>
    </row>
    <row r="20965" spans="1:7" x14ac:dyDescent="0.25">
      <c r="A20965" s="1" t="str">
        <f>"522548"</f>
        <v>522548</v>
      </c>
      <c r="B20965" s="2" t="str">
        <f>"ROLETE TRAÇÃO PAPEL HP 1120"</f>
        <v>ROLETE TRAÇÃO PAPEL HP 1120</v>
      </c>
      <c r="C20965" s="2" t="str">
        <f t="shared" si="836"/>
        <v>UN</v>
      </c>
      <c r="D20965" s="7">
        <v>401</v>
      </c>
      <c r="E20965" s="3">
        <v>4</v>
      </c>
      <c r="F20965" s="3">
        <v>4</v>
      </c>
      <c r="G20965" t="s">
        <v>513</v>
      </c>
    </row>
    <row r="20966" spans="1:7" x14ac:dyDescent="0.25">
      <c r="A20966" s="1" t="str">
        <f>"501698"</f>
        <v>501698</v>
      </c>
      <c r="B20966" s="2" t="str">
        <f>"ROLETES DE BORRACHA MAQ SAQUINHO"</f>
        <v>ROLETES DE BORRACHA MAQ SAQUINHO</v>
      </c>
      <c r="C20966" s="2" t="str">
        <f t="shared" si="836"/>
        <v>UN</v>
      </c>
      <c r="D20966" s="7">
        <v>918</v>
      </c>
      <c r="E20966" s="3">
        <v>11</v>
      </c>
      <c r="F20966" s="3">
        <v>11</v>
      </c>
      <c r="G20966" t="s">
        <v>512</v>
      </c>
    </row>
    <row r="20967" spans="1:7" x14ac:dyDescent="0.25">
      <c r="A20967" s="1" t="str">
        <f>"513112"</f>
        <v>513112</v>
      </c>
      <c r="B20967" s="2" t="str">
        <f>"ROLHA CILINDRO MESTRE"</f>
        <v>ROLHA CILINDRO MESTRE</v>
      </c>
      <c r="C20967" s="2" t="str">
        <f t="shared" si="836"/>
        <v>UN</v>
      </c>
      <c r="D20967" s="7">
        <v>918</v>
      </c>
      <c r="E20967" s="3">
        <v>11</v>
      </c>
      <c r="F20967" s="3">
        <v>11</v>
      </c>
      <c r="G20967" t="s">
        <v>513</v>
      </c>
    </row>
    <row r="20968" spans="1:7" x14ac:dyDescent="0.25">
      <c r="A20968" s="1" t="str">
        <f>"513881"</f>
        <v>513881</v>
      </c>
      <c r="B20968" s="2" t="str">
        <f>"ROLHA CONICA PARA BUTIROMETRO"</f>
        <v>ROLHA CONICA PARA BUTIROMETRO</v>
      </c>
      <c r="C20968" s="2" t="str">
        <f t="shared" si="836"/>
        <v>UN</v>
      </c>
      <c r="D20968" s="7">
        <v>406</v>
      </c>
      <c r="E20968" s="3">
        <v>4</v>
      </c>
      <c r="F20968" s="3">
        <v>4</v>
      </c>
      <c r="G20968" t="s">
        <v>514</v>
      </c>
    </row>
    <row r="20969" spans="1:7" x14ac:dyDescent="0.25">
      <c r="A20969" s="1" t="str">
        <f>"502322"</f>
        <v>502322</v>
      </c>
      <c r="B20969" s="2" t="str">
        <f>"ROLINHO DATADOR 40 X 10MM (BANDEJA)"</f>
        <v>ROLINHO DATADOR 40 X 10MM (BANDEJA)</v>
      </c>
      <c r="C20969" s="2" t="str">
        <f t="shared" si="836"/>
        <v>UN</v>
      </c>
      <c r="D20969" s="7">
        <v>907</v>
      </c>
      <c r="E20969" s="3">
        <v>11</v>
      </c>
      <c r="F20969" s="3">
        <v>11</v>
      </c>
      <c r="G20969" t="s">
        <v>515</v>
      </c>
    </row>
    <row r="20970" spans="1:7" x14ac:dyDescent="0.25">
      <c r="A20970" s="1" t="str">
        <f>"502887"</f>
        <v>502887</v>
      </c>
      <c r="B20970" s="2" t="str">
        <f>"ROLLER-APPLYING          COD.78805761794"</f>
        <v>ROLLER-APPLYING          COD.78805761794</v>
      </c>
      <c r="C20970" s="2" t="str">
        <f t="shared" si="836"/>
        <v>UN</v>
      </c>
      <c r="D20970" s="7">
        <v>918</v>
      </c>
      <c r="E20970" s="3">
        <v>11</v>
      </c>
      <c r="F20970" s="3">
        <v>11</v>
      </c>
      <c r="G20970" t="s">
        <v>512</v>
      </c>
    </row>
    <row r="20971" spans="1:7" x14ac:dyDescent="0.25">
      <c r="A20971" s="1" t="str">
        <f>"502885"</f>
        <v>502885</v>
      </c>
      <c r="B20971" s="2" t="str">
        <f>"ROLLER-BUFFING NM        COD.78805265861"</f>
        <v>ROLLER-BUFFING NM        COD.78805265861</v>
      </c>
      <c r="C20971" s="2" t="str">
        <f t="shared" si="836"/>
        <v>UN</v>
      </c>
      <c r="D20971" s="7">
        <v>918</v>
      </c>
      <c r="E20971" s="3">
        <v>11</v>
      </c>
      <c r="F20971" s="3">
        <v>11</v>
      </c>
      <c r="G20971" t="s">
        <v>516</v>
      </c>
    </row>
    <row r="20972" spans="1:7" x14ac:dyDescent="0.25">
      <c r="A20972" s="1" t="str">
        <f>"503382"</f>
        <v>503382</v>
      </c>
      <c r="B20972" s="2" t="str">
        <f>"ROLLER-BUFFING NM        COD.78805761786"</f>
        <v>ROLLER-BUFFING NM        COD.78805761786</v>
      </c>
      <c r="C20972" s="2" t="str">
        <f t="shared" si="836"/>
        <v>UN</v>
      </c>
      <c r="D20972" s="7">
        <v>918</v>
      </c>
      <c r="E20972" s="3">
        <v>11</v>
      </c>
      <c r="F20972" s="3">
        <v>11</v>
      </c>
      <c r="G20972" t="s">
        <v>515</v>
      </c>
    </row>
    <row r="20973" spans="1:7" x14ac:dyDescent="0.25">
      <c r="A20973" s="1" t="str">
        <f>"503381"</f>
        <v>503381</v>
      </c>
      <c r="B20973" s="2" t="str">
        <f>"ROLLER-WRAP              COD.78805265697"</f>
        <v>ROLLER-WRAP              COD.78805265697</v>
      </c>
      <c r="C20973" s="2" t="str">
        <f t="shared" si="836"/>
        <v>UN</v>
      </c>
      <c r="D20973" s="7">
        <v>918</v>
      </c>
      <c r="E20973" s="3">
        <v>11</v>
      </c>
      <c r="F20973" s="3">
        <v>11</v>
      </c>
      <c r="G20973" t="s">
        <v>514</v>
      </c>
    </row>
    <row r="20974" spans="1:7" x14ac:dyDescent="0.25">
      <c r="A20974" s="1" t="str">
        <f>"515479"</f>
        <v>515479</v>
      </c>
      <c r="B20974" s="2" t="str">
        <f>"ROLO"</f>
        <v>ROLO</v>
      </c>
      <c r="C20974" s="2" t="str">
        <f t="shared" si="836"/>
        <v>UN</v>
      </c>
      <c r="D20974" s="7">
        <v>704</v>
      </c>
      <c r="E20974" s="3">
        <v>9</v>
      </c>
      <c r="F20974" s="3">
        <v>9</v>
      </c>
      <c r="G20974" t="s">
        <v>512</v>
      </c>
    </row>
    <row r="20975" spans="1:7" x14ac:dyDescent="0.25">
      <c r="A20975" s="1" t="str">
        <f>"509038"</f>
        <v>509038</v>
      </c>
      <c r="B20975" s="2" t="str">
        <f>"ROLO 05.3120.079.51"</f>
        <v>ROLO 05.3120.079.51</v>
      </c>
      <c r="C20975" s="2" t="str">
        <f t="shared" si="836"/>
        <v>UN</v>
      </c>
      <c r="D20975" s="7">
        <v>918</v>
      </c>
      <c r="E20975" s="3">
        <v>11</v>
      </c>
      <c r="F20975" s="3">
        <v>11</v>
      </c>
      <c r="G20975" t="s">
        <v>513</v>
      </c>
    </row>
    <row r="20976" spans="1:7" x14ac:dyDescent="0.25">
      <c r="A20976" s="1" t="str">
        <f>"518445"</f>
        <v>518445</v>
      </c>
      <c r="B20976" s="2" t="str">
        <f>"ROLO BORRACHA TRAÇÃO ENTRADA DO TUNEL"</f>
        <v>ROLO BORRACHA TRAÇÃO ENTRADA DO TUNEL</v>
      </c>
      <c r="C20976" s="2" t="str">
        <f t="shared" si="836"/>
        <v>UN</v>
      </c>
      <c r="D20976" s="7">
        <v>918</v>
      </c>
      <c r="E20976" s="3">
        <v>11</v>
      </c>
      <c r="F20976" s="3">
        <v>11</v>
      </c>
      <c r="G20976" t="s">
        <v>514</v>
      </c>
    </row>
    <row r="20977" spans="1:7" x14ac:dyDescent="0.25">
      <c r="A20977" s="1" t="str">
        <f>"518076"</f>
        <v>518076</v>
      </c>
      <c r="B20977" s="2" t="str">
        <f>"ROLO BORRACHA TRAÇÃO ENVOLVIMENTO"</f>
        <v>ROLO BORRACHA TRAÇÃO ENVOLVIMENTO</v>
      </c>
      <c r="C20977" s="2" t="str">
        <f t="shared" si="836"/>
        <v>UN</v>
      </c>
      <c r="D20977" s="7">
        <v>918</v>
      </c>
      <c r="E20977" s="3">
        <v>11</v>
      </c>
      <c r="F20977" s="3">
        <v>11</v>
      </c>
      <c r="G20977" t="s">
        <v>514</v>
      </c>
    </row>
    <row r="20978" spans="1:7" x14ac:dyDescent="0.25">
      <c r="A20978" s="1" t="str">
        <f>"517301"</f>
        <v>517301</v>
      </c>
      <c r="B20978" s="2" t="str">
        <f>"ROLO COMANDO KRV-19PPIKO"</f>
        <v>ROLO COMANDO KRV-19PPIKO</v>
      </c>
      <c r="C20978" s="2" t="str">
        <f t="shared" si="836"/>
        <v>UN</v>
      </c>
      <c r="D20978" s="7">
        <v>906</v>
      </c>
      <c r="E20978" s="3">
        <v>11</v>
      </c>
      <c r="F20978" s="3">
        <v>11</v>
      </c>
      <c r="G20978" t="s">
        <v>512</v>
      </c>
    </row>
    <row r="20979" spans="1:7" x14ac:dyDescent="0.25">
      <c r="A20979" s="1" t="str">
        <f>"507127"</f>
        <v>507127</v>
      </c>
      <c r="B20979" s="2" t="str">
        <f>"ROLO CONTRA-RECUO COD. 05.3120.034.50"</f>
        <v>ROLO CONTRA-RECUO COD. 05.3120.034.50</v>
      </c>
      <c r="C20979" s="2" t="str">
        <f t="shared" si="836"/>
        <v>UN</v>
      </c>
      <c r="D20979" s="7">
        <v>918</v>
      </c>
      <c r="E20979" s="3">
        <v>11</v>
      </c>
      <c r="F20979" s="3">
        <v>11</v>
      </c>
      <c r="G20979" t="s">
        <v>513</v>
      </c>
    </row>
    <row r="20980" spans="1:7" x14ac:dyDescent="0.25">
      <c r="A20980" s="1" t="str">
        <f>"513338"</f>
        <v>513338</v>
      </c>
      <c r="B20980" s="2" t="str">
        <f>"ROLO DATADOR 05PS40NK RE PS 40 X 10 NOIR"</f>
        <v>ROLO DATADOR 05PS40NK RE PS 40 X 10 NOIR</v>
      </c>
      <c r="C20980" s="2" t="str">
        <f>"PC"</f>
        <v>PC</v>
      </c>
      <c r="D20980" s="7">
        <v>907</v>
      </c>
      <c r="E20980" s="3">
        <v>11</v>
      </c>
      <c r="F20980" s="3">
        <v>11</v>
      </c>
      <c r="G20980" t="s">
        <v>514</v>
      </c>
    </row>
    <row r="20981" spans="1:7" x14ac:dyDescent="0.25">
      <c r="A20981" s="1" t="str">
        <f>"513351"</f>
        <v>513351</v>
      </c>
      <c r="B20981" s="2" t="str">
        <f>"ROLO DATADOR 05PS40NK RE PS 40 X 10 NOIR"</f>
        <v>ROLO DATADOR 05PS40NK RE PS 40 X 10 NOIR</v>
      </c>
      <c r="C20981" s="2" t="str">
        <f>"PC"</f>
        <v>PC</v>
      </c>
      <c r="D20981" s="7">
        <v>907</v>
      </c>
      <c r="E20981" s="3">
        <v>11</v>
      </c>
      <c r="F20981" s="3">
        <v>11</v>
      </c>
      <c r="G20981" t="s">
        <v>514</v>
      </c>
    </row>
    <row r="20982" spans="1:7" x14ac:dyDescent="0.25">
      <c r="A20982" s="1" t="str">
        <f>"509043"</f>
        <v>509043</v>
      </c>
      <c r="B20982" s="2" t="str">
        <f>"ROLO DE BORRACHA 05.3120.079.51"</f>
        <v>ROLO DE BORRACHA 05.3120.079.51</v>
      </c>
      <c r="C20982" s="2" t="str">
        <f t="shared" ref="C20982:C21003" si="837">"UN"</f>
        <v>UN</v>
      </c>
      <c r="D20982" s="7">
        <v>918</v>
      </c>
      <c r="E20982" s="3">
        <v>11</v>
      </c>
      <c r="F20982" s="3">
        <v>11</v>
      </c>
      <c r="G20982" t="s">
        <v>514</v>
      </c>
    </row>
    <row r="20983" spans="1:7" x14ac:dyDescent="0.25">
      <c r="A20983" s="1" t="str">
        <f>"525151"</f>
        <v>525151</v>
      </c>
      <c r="B20983" s="2" t="str">
        <f>"ROLO DE BORRACHA ROTULADEIRA REQUEIJÃO"</f>
        <v>ROLO DE BORRACHA ROTULADEIRA REQUEIJÃO</v>
      </c>
      <c r="C20983" s="2" t="str">
        <f t="shared" si="837"/>
        <v>UN</v>
      </c>
      <c r="D20983" s="7">
        <v>918</v>
      </c>
      <c r="E20983" s="3">
        <v>10</v>
      </c>
      <c r="F20983" s="3">
        <v>10</v>
      </c>
      <c r="G20983" t="s">
        <v>513</v>
      </c>
    </row>
    <row r="20984" spans="1:7" x14ac:dyDescent="0.25">
      <c r="A20984" s="1" t="str">
        <f>"524784"</f>
        <v>524784</v>
      </c>
      <c r="B20984" s="2" t="str">
        <f>"ROLO DE CERDAS VERMELHAS / R75"</f>
        <v>ROLO DE CERDAS VERMELHAS / R75</v>
      </c>
      <c r="C20984" s="2" t="str">
        <f t="shared" si="837"/>
        <v>UN</v>
      </c>
      <c r="D20984" s="7">
        <v>99999</v>
      </c>
      <c r="E20984" s="3">
        <v>99</v>
      </c>
      <c r="F20984" s="3">
        <v>99</v>
      </c>
      <c r="G20984" t="s">
        <v>512</v>
      </c>
    </row>
    <row r="20985" spans="1:7" x14ac:dyDescent="0.25">
      <c r="A20985" s="1" t="str">
        <f>"510438"</f>
        <v>510438</v>
      </c>
      <c r="B20985" s="2" t="str">
        <f>"ROLO DE COMANDO KR PP 22 INA"</f>
        <v>ROLO DE COMANDO KR PP 22 INA</v>
      </c>
      <c r="C20985" s="2" t="str">
        <f t="shared" si="837"/>
        <v>UN</v>
      </c>
      <c r="D20985" s="7">
        <v>918</v>
      </c>
      <c r="E20985" s="3">
        <v>11</v>
      </c>
      <c r="F20985" s="3">
        <v>11</v>
      </c>
      <c r="G20985" t="s">
        <v>513</v>
      </c>
    </row>
    <row r="20986" spans="1:7" x14ac:dyDescent="0.25">
      <c r="A20986" s="1" t="str">
        <f>"509044"</f>
        <v>509044</v>
      </c>
      <c r="B20986" s="2" t="str">
        <f>"ROLO DE ENTRADA 05.3120.009.51"</f>
        <v>ROLO DE ENTRADA 05.3120.009.51</v>
      </c>
      <c r="C20986" s="2" t="str">
        <f t="shared" si="837"/>
        <v>UN</v>
      </c>
      <c r="D20986" s="7">
        <v>918</v>
      </c>
      <c r="E20986" s="3">
        <v>11</v>
      </c>
      <c r="F20986" s="3">
        <v>11</v>
      </c>
      <c r="G20986" t="s">
        <v>514</v>
      </c>
    </row>
    <row r="20987" spans="1:7" x14ac:dyDescent="0.25">
      <c r="A20987" s="1" t="str">
        <f>"500460"</f>
        <v>500460</v>
      </c>
      <c r="B20987" s="2" t="str">
        <f>"ROLO DE ESPUMA -  5 CM"</f>
        <v>ROLO DE ESPUMA -  5 CM</v>
      </c>
      <c r="C20987" s="2" t="str">
        <f t="shared" si="837"/>
        <v>UN</v>
      </c>
      <c r="D20987" s="7">
        <v>403</v>
      </c>
      <c r="E20987" s="3">
        <v>4</v>
      </c>
      <c r="F20987" s="3">
        <v>4</v>
      </c>
      <c r="G20987" t="s">
        <v>514</v>
      </c>
    </row>
    <row r="20988" spans="1:7" x14ac:dyDescent="0.25">
      <c r="A20988" s="1" t="str">
        <f>"500293"</f>
        <v>500293</v>
      </c>
      <c r="B20988" s="2" t="str">
        <f>"ROLO DE ESPUMA -  9 CM"</f>
        <v>ROLO DE ESPUMA -  9 CM</v>
      </c>
      <c r="C20988" s="2" t="str">
        <f t="shared" si="837"/>
        <v>UN</v>
      </c>
      <c r="D20988" s="7">
        <v>403</v>
      </c>
      <c r="E20988" s="3">
        <v>4</v>
      </c>
      <c r="F20988" s="3">
        <v>4</v>
      </c>
      <c r="G20988" t="s">
        <v>514</v>
      </c>
    </row>
    <row r="20989" spans="1:7" x14ac:dyDescent="0.25">
      <c r="A20989" s="1" t="str">
        <f>"500224"</f>
        <v>500224</v>
      </c>
      <c r="B20989" s="2" t="str">
        <f>"ROLO DE ESPUMA - 15 CM"</f>
        <v>ROLO DE ESPUMA - 15 CM</v>
      </c>
      <c r="C20989" s="2" t="str">
        <f t="shared" si="837"/>
        <v>UN</v>
      </c>
      <c r="D20989" s="7">
        <v>403</v>
      </c>
      <c r="E20989" s="3">
        <v>4</v>
      </c>
      <c r="F20989" s="3">
        <v>4</v>
      </c>
      <c r="G20989" t="s">
        <v>513</v>
      </c>
    </row>
    <row r="20990" spans="1:7" x14ac:dyDescent="0.25">
      <c r="A20990" s="1" t="str">
        <f>"500345"</f>
        <v>500345</v>
      </c>
      <c r="B20990" s="2" t="str">
        <f>"ROLO DE ESPUMA - 23 CM"</f>
        <v>ROLO DE ESPUMA - 23 CM</v>
      </c>
      <c r="C20990" s="2" t="str">
        <f t="shared" si="837"/>
        <v>UN</v>
      </c>
      <c r="D20990" s="7">
        <v>403</v>
      </c>
      <c r="E20990" s="3">
        <v>4</v>
      </c>
      <c r="F20990" s="3">
        <v>4</v>
      </c>
      <c r="G20990" t="s">
        <v>513</v>
      </c>
    </row>
    <row r="20991" spans="1:7" x14ac:dyDescent="0.25">
      <c r="A20991" s="1" t="str">
        <f>"504146"</f>
        <v>504146</v>
      </c>
      <c r="B20991" s="2" t="str">
        <f>"ROLO DE ESTANHO P/ SOLDA"</f>
        <v>ROLO DE ESTANHO P/ SOLDA</v>
      </c>
      <c r="C20991" s="2" t="str">
        <f t="shared" si="837"/>
        <v>UN</v>
      </c>
      <c r="D20991" s="7">
        <v>402</v>
      </c>
      <c r="E20991" s="3">
        <v>4</v>
      </c>
      <c r="F20991" s="3">
        <v>4</v>
      </c>
      <c r="G20991" t="s">
        <v>513</v>
      </c>
    </row>
    <row r="20992" spans="1:7" x14ac:dyDescent="0.25">
      <c r="A20992" s="1" t="str">
        <f>"519132"</f>
        <v>519132</v>
      </c>
      <c r="B20992" s="2" t="str">
        <f>"ROLO DE LA - 05CM"</f>
        <v>ROLO DE LA - 05CM</v>
      </c>
      <c r="C20992" s="2" t="str">
        <f t="shared" si="837"/>
        <v>UN</v>
      </c>
      <c r="D20992" s="7">
        <v>403</v>
      </c>
      <c r="E20992" s="3">
        <v>4</v>
      </c>
      <c r="F20992" s="3">
        <v>4</v>
      </c>
      <c r="G20992" t="s">
        <v>512</v>
      </c>
    </row>
    <row r="20993" spans="1:7" x14ac:dyDescent="0.25">
      <c r="A20993" s="1" t="str">
        <f>"500256"</f>
        <v>500256</v>
      </c>
      <c r="B20993" s="2" t="str">
        <f>"ROLO DE LA - 09CM"</f>
        <v>ROLO DE LA - 09CM</v>
      </c>
      <c r="C20993" s="2" t="str">
        <f t="shared" si="837"/>
        <v>UN</v>
      </c>
      <c r="D20993" s="7">
        <v>403</v>
      </c>
      <c r="E20993" s="3">
        <v>4</v>
      </c>
      <c r="F20993" s="3">
        <v>4</v>
      </c>
      <c r="G20993" t="s">
        <v>513</v>
      </c>
    </row>
    <row r="20994" spans="1:7" x14ac:dyDescent="0.25">
      <c r="A20994" s="1" t="str">
        <f>"517900"</f>
        <v>517900</v>
      </c>
      <c r="B20994" s="2" t="str">
        <f>"ROLO DE LA - 15CM"</f>
        <v>ROLO DE LA - 15CM</v>
      </c>
      <c r="C20994" s="2" t="str">
        <f t="shared" si="837"/>
        <v>UN</v>
      </c>
      <c r="D20994" s="7">
        <v>403</v>
      </c>
      <c r="E20994" s="3">
        <v>4</v>
      </c>
      <c r="F20994" s="3">
        <v>4</v>
      </c>
      <c r="G20994" t="s">
        <v>514</v>
      </c>
    </row>
    <row r="20995" spans="1:7" x14ac:dyDescent="0.25">
      <c r="A20995" s="1" t="str">
        <f>"502593"</f>
        <v>502593</v>
      </c>
      <c r="B20995" s="2" t="str">
        <f>"ROLO DE LA - 23CM (C/ CABO)"</f>
        <v>ROLO DE LA - 23CM (C/ CABO)</v>
      </c>
      <c r="C20995" s="2" t="str">
        <f t="shared" si="837"/>
        <v>UN</v>
      </c>
      <c r="D20995" s="7">
        <v>403</v>
      </c>
      <c r="E20995" s="3">
        <v>4</v>
      </c>
      <c r="F20995" s="3">
        <v>4</v>
      </c>
      <c r="G20995" t="s">
        <v>515</v>
      </c>
    </row>
    <row r="20996" spans="1:7" x14ac:dyDescent="0.25">
      <c r="A20996" s="1" t="str">
        <f>"524535"</f>
        <v>524535</v>
      </c>
      <c r="B20996" s="2" t="str">
        <f>"ROLO DE LA 23 CM PARA EPOXI"</f>
        <v>ROLO DE LA 23 CM PARA EPOXI</v>
      </c>
      <c r="C20996" s="2" t="str">
        <f t="shared" si="837"/>
        <v>UN</v>
      </c>
      <c r="D20996" s="7">
        <v>917</v>
      </c>
      <c r="E20996" s="3">
        <v>4</v>
      </c>
      <c r="F20996" s="3">
        <v>4</v>
      </c>
      <c r="G20996" t="s">
        <v>512</v>
      </c>
    </row>
    <row r="20997" spans="1:7" x14ac:dyDescent="0.25">
      <c r="A20997" s="1" t="str">
        <f>"510476"</f>
        <v>510476</v>
      </c>
      <c r="B20997" s="2" t="str">
        <f>"ROLO DE LA ANTI RESPINGO 23 CM"</f>
        <v>ROLO DE LA ANTI RESPINGO 23 CM</v>
      </c>
      <c r="C20997" s="2" t="str">
        <f t="shared" si="837"/>
        <v>UN</v>
      </c>
      <c r="D20997" s="7">
        <v>403</v>
      </c>
      <c r="E20997" s="3">
        <v>4</v>
      </c>
      <c r="F20997" s="3">
        <v>4</v>
      </c>
      <c r="G20997" t="s">
        <v>516</v>
      </c>
    </row>
    <row r="20998" spans="1:7" x14ac:dyDescent="0.25">
      <c r="A20998" s="1" t="str">
        <f>"523371"</f>
        <v>523371</v>
      </c>
      <c r="B20998" s="2" t="str">
        <f>"ROLO DE LÃ BAIXA (VELUDO) 23CM"</f>
        <v>ROLO DE LÃ BAIXA (VELUDO) 23CM</v>
      </c>
      <c r="C20998" s="2" t="str">
        <f t="shared" si="837"/>
        <v>UN</v>
      </c>
      <c r="D20998" s="7">
        <v>403</v>
      </c>
      <c r="E20998" s="3">
        <v>10</v>
      </c>
      <c r="F20998" s="3">
        <v>10</v>
      </c>
      <c r="G20998" t="s">
        <v>515</v>
      </c>
    </row>
    <row r="20999" spans="1:7" x14ac:dyDescent="0.25">
      <c r="A20999" s="1" t="str">
        <f>"509029"</f>
        <v>509029</v>
      </c>
      <c r="B20999" s="2" t="str">
        <f>"ROLO DE SAIDA 05.3120.010.52"</f>
        <v>ROLO DE SAIDA 05.3120.010.52</v>
      </c>
      <c r="C20999" s="2" t="str">
        <f t="shared" si="837"/>
        <v>UN</v>
      </c>
      <c r="D20999" s="7">
        <v>918</v>
      </c>
      <c r="E20999" s="3">
        <v>11</v>
      </c>
      <c r="F20999" s="3">
        <v>11</v>
      </c>
      <c r="G20999" t="s">
        <v>514</v>
      </c>
    </row>
    <row r="21000" spans="1:7" x14ac:dyDescent="0.25">
      <c r="A21000" s="1" t="str">
        <f>"507121"</f>
        <v>507121</v>
      </c>
      <c r="B21000" s="2" t="str">
        <f>"ROLO DE SAIDA COD. 05.3120.010.52"</f>
        <v>ROLO DE SAIDA COD. 05.3120.010.52</v>
      </c>
      <c r="C21000" s="2" t="str">
        <f t="shared" si="837"/>
        <v>UN</v>
      </c>
      <c r="D21000" s="7">
        <v>918</v>
      </c>
      <c r="E21000" s="3">
        <v>11</v>
      </c>
      <c r="F21000" s="3">
        <v>11</v>
      </c>
      <c r="G21000" t="s">
        <v>512</v>
      </c>
    </row>
    <row r="21001" spans="1:7" x14ac:dyDescent="0.25">
      <c r="A21001" s="1" t="str">
        <f>"523330"</f>
        <v>523330</v>
      </c>
      <c r="B21001" s="2" t="str">
        <f>"ROLO DE VELUDO 23CM"</f>
        <v>ROLO DE VELUDO 23CM</v>
      </c>
      <c r="C21001" s="2" t="str">
        <f t="shared" si="837"/>
        <v>UN</v>
      </c>
      <c r="D21001" s="7">
        <v>403</v>
      </c>
      <c r="E21001" s="3">
        <v>4</v>
      </c>
      <c r="F21001" s="3">
        <v>4</v>
      </c>
      <c r="G21001" t="s">
        <v>513</v>
      </c>
    </row>
    <row r="21002" spans="1:7" x14ac:dyDescent="0.25">
      <c r="A21002" s="1" t="str">
        <f>"527060"</f>
        <v>527060</v>
      </c>
      <c r="B21002" s="2" t="str">
        <f>"ROLO EM INOX EMBORRACHADO"</f>
        <v>ROLO EM INOX EMBORRACHADO</v>
      </c>
      <c r="C21002" s="2" t="str">
        <f t="shared" si="837"/>
        <v>UN</v>
      </c>
      <c r="D21002" s="7">
        <v>811</v>
      </c>
      <c r="E21002" s="3">
        <v>8</v>
      </c>
      <c r="F21002" s="3">
        <v>8</v>
      </c>
      <c r="G21002" t="s">
        <v>514</v>
      </c>
    </row>
    <row r="21003" spans="1:7" x14ac:dyDescent="0.25">
      <c r="A21003" s="1" t="str">
        <f>"508507"</f>
        <v>508507</v>
      </c>
      <c r="B21003" s="2" t="str">
        <f>"ROLO EMBORRACHADO ROTEC 150 ROTULADEIRA"</f>
        <v>ROLO EMBORRACHADO ROTEC 150 ROTULADEIRA</v>
      </c>
      <c r="C21003" s="2" t="str">
        <f t="shared" si="837"/>
        <v>UN</v>
      </c>
      <c r="D21003" s="7">
        <v>918</v>
      </c>
      <c r="E21003" s="3">
        <v>11</v>
      </c>
      <c r="F21003" s="3">
        <v>11</v>
      </c>
      <c r="G21003" t="s">
        <v>514</v>
      </c>
    </row>
    <row r="21004" spans="1:7" x14ac:dyDescent="0.25">
      <c r="A21004" s="1" t="str">
        <f>"507883"</f>
        <v>507883</v>
      </c>
      <c r="B21004" s="2" t="str">
        <f>"ROLO FILTRO 2400X25000MM 5FAJ8002 - ROLO FECHADO"</f>
        <v>ROLO FILTRO 2400X25000MM 5FAJ8002 - ROLO FECHADO</v>
      </c>
      <c r="C21004" s="2" t="str">
        <f>"PC"</f>
        <v>PC</v>
      </c>
      <c r="D21004" s="7">
        <v>902</v>
      </c>
      <c r="E21004" s="3">
        <v>11</v>
      </c>
      <c r="F21004" s="3">
        <v>11</v>
      </c>
      <c r="G21004" t="s">
        <v>512</v>
      </c>
    </row>
    <row r="21005" spans="1:7" x14ac:dyDescent="0.25">
      <c r="A21005" s="1" t="str">
        <f>"523403"</f>
        <v>523403</v>
      </c>
      <c r="B21005" s="2" t="str">
        <f>"ROLO FURA BOLHA CIMENTICIO FBC-30"</f>
        <v>ROLO FURA BOLHA CIMENTICIO FBC-30</v>
      </c>
      <c r="C21005" s="2" t="str">
        <f t="shared" ref="C21005:C21010" si="838">"UN"</f>
        <v>UN</v>
      </c>
      <c r="D21005" s="7">
        <v>403</v>
      </c>
      <c r="E21005" s="3">
        <v>10</v>
      </c>
      <c r="F21005" s="3">
        <v>10</v>
      </c>
      <c r="G21005" t="s">
        <v>513</v>
      </c>
    </row>
    <row r="21006" spans="1:7" x14ac:dyDescent="0.25">
      <c r="A21006" s="1" t="str">
        <f>"523404"</f>
        <v>523404</v>
      </c>
      <c r="B21006" s="2" t="str">
        <f>"ROLO FURA BOLHA EPOXI/PORC. LIQ  FB-30"</f>
        <v>ROLO FURA BOLHA EPOXI/PORC. LIQ  FB-30</v>
      </c>
      <c r="C21006" s="2" t="str">
        <f t="shared" si="838"/>
        <v>UN</v>
      </c>
      <c r="D21006" s="7">
        <v>403</v>
      </c>
      <c r="E21006" s="3">
        <v>10</v>
      </c>
      <c r="F21006" s="3">
        <v>10</v>
      </c>
      <c r="G21006" t="s">
        <v>514</v>
      </c>
    </row>
    <row r="21007" spans="1:7" x14ac:dyDescent="0.25">
      <c r="A21007" s="1" t="str">
        <f>"523370"</f>
        <v>523370</v>
      </c>
      <c r="B21007" s="2" t="str">
        <f>"ROLO FURA BOLHA EPOXI/PORC. LIQ FBA-30"</f>
        <v>ROLO FURA BOLHA EPOXI/PORC. LIQ FBA-30</v>
      </c>
      <c r="C21007" s="2" t="str">
        <f t="shared" si="838"/>
        <v>UN</v>
      </c>
      <c r="D21007" s="7">
        <v>403</v>
      </c>
      <c r="E21007" s="3">
        <v>10</v>
      </c>
      <c r="F21007" s="3">
        <v>10</v>
      </c>
      <c r="G21007" t="s">
        <v>514</v>
      </c>
    </row>
    <row r="21008" spans="1:7" x14ac:dyDescent="0.25">
      <c r="A21008" s="1" t="str">
        <f>"516908"</f>
        <v>516908</v>
      </c>
      <c r="B21008" s="2" t="str">
        <f>"ROLO FUSOR"</f>
        <v>ROLO FUSOR</v>
      </c>
      <c r="C21008" s="2" t="str">
        <f t="shared" si="838"/>
        <v>UN</v>
      </c>
      <c r="D21008" s="7">
        <v>918</v>
      </c>
      <c r="E21008" s="3">
        <v>11</v>
      </c>
      <c r="F21008" s="3">
        <v>11</v>
      </c>
      <c r="G21008" t="s">
        <v>514</v>
      </c>
    </row>
    <row r="21009" spans="1:7" x14ac:dyDescent="0.25">
      <c r="A21009" s="1" t="str">
        <f>"501226"</f>
        <v>501226</v>
      </c>
      <c r="B21009" s="2" t="str">
        <f>"ROLO MOVIDO COD 191319-3"</f>
        <v>ROLO MOVIDO COD 191319-3</v>
      </c>
      <c r="C21009" s="2" t="str">
        <f t="shared" si="838"/>
        <v>UN</v>
      </c>
      <c r="D21009" s="7">
        <v>918</v>
      </c>
      <c r="E21009" s="3">
        <v>11</v>
      </c>
      <c r="F21009" s="3">
        <v>11</v>
      </c>
      <c r="G21009" t="s">
        <v>513</v>
      </c>
    </row>
    <row r="21010" spans="1:7" x14ac:dyDescent="0.25">
      <c r="A21010" s="1" t="str">
        <f>"523620"</f>
        <v>523620</v>
      </c>
      <c r="B21010" s="2" t="str">
        <f>"ROLO PRESSÃO FUSOR HP 1120"</f>
        <v>ROLO PRESSÃO FUSOR HP 1120</v>
      </c>
      <c r="C21010" s="2" t="str">
        <f t="shared" si="838"/>
        <v>UN</v>
      </c>
      <c r="D21010" s="7">
        <v>401</v>
      </c>
      <c r="E21010" s="3">
        <v>4</v>
      </c>
      <c r="F21010" s="3">
        <v>4</v>
      </c>
      <c r="G21010" t="s">
        <v>512</v>
      </c>
    </row>
    <row r="21011" spans="1:7" x14ac:dyDescent="0.25">
      <c r="A21011" s="1" t="str">
        <f>"500054"</f>
        <v>500054</v>
      </c>
      <c r="B21011" s="2" t="str">
        <f>"ROLO PRESSOR BORRACHA FILME MAQ SAQUINHO"</f>
        <v>ROLO PRESSOR BORRACHA FILME MAQ SAQUINHO</v>
      </c>
      <c r="C21011" s="2" t="str">
        <f>"PC"</f>
        <v>PC</v>
      </c>
      <c r="D21011" s="7">
        <v>918</v>
      </c>
      <c r="E21011" s="3">
        <v>11</v>
      </c>
      <c r="F21011" s="3">
        <v>11</v>
      </c>
      <c r="G21011" t="s">
        <v>513</v>
      </c>
    </row>
    <row r="21012" spans="1:7" x14ac:dyDescent="0.25">
      <c r="A21012" s="1" t="str">
        <f>"519454"</f>
        <v>519454</v>
      </c>
      <c r="B21012" s="2" t="str">
        <f>"ROLO REGUA GONDOLA 40 METROS"</f>
        <v>ROLO REGUA GONDOLA 40 METROS</v>
      </c>
      <c r="C21012" s="2" t="str">
        <f t="shared" ref="C21012:C21035" si="839">"UN"</f>
        <v>UN</v>
      </c>
      <c r="D21012" s="7">
        <v>401</v>
      </c>
      <c r="E21012" s="3">
        <v>4</v>
      </c>
      <c r="F21012" s="3">
        <v>4</v>
      </c>
      <c r="G21012" t="s">
        <v>514</v>
      </c>
    </row>
    <row r="21013" spans="1:7" x14ac:dyDescent="0.25">
      <c r="A21013" s="1" t="str">
        <f>"520910"</f>
        <v>520910</v>
      </c>
      <c r="B21013" s="2" t="str">
        <f>"ROLO TRAÇÃO PAPEL HP1120"</f>
        <v>ROLO TRAÇÃO PAPEL HP1120</v>
      </c>
      <c r="C21013" s="2" t="str">
        <f t="shared" si="839"/>
        <v>UN</v>
      </c>
      <c r="D21013" s="7">
        <v>401</v>
      </c>
      <c r="E21013" s="3">
        <v>4</v>
      </c>
      <c r="F21013" s="3">
        <v>4</v>
      </c>
      <c r="G21013" t="s">
        <v>514</v>
      </c>
    </row>
    <row r="21014" spans="1:7" x14ac:dyDescent="0.25">
      <c r="A21014" s="1" t="str">
        <f>"509412"</f>
        <v>509412</v>
      </c>
      <c r="B21014" s="2" t="str">
        <f>"ROLO TRACIONADOR 190669-3"</f>
        <v>ROLO TRACIONADOR 190669-3</v>
      </c>
      <c r="C21014" s="2" t="str">
        <f t="shared" si="839"/>
        <v>UN</v>
      </c>
      <c r="D21014" s="7">
        <v>918</v>
      </c>
      <c r="E21014" s="3">
        <v>11</v>
      </c>
      <c r="F21014" s="3">
        <v>11</v>
      </c>
      <c r="G21014" t="s">
        <v>514</v>
      </c>
    </row>
    <row r="21015" spans="1:7" x14ac:dyDescent="0.25">
      <c r="A21015" s="1" t="str">
        <f>"521743"</f>
        <v>521743</v>
      </c>
      <c r="B21015" s="2" t="str">
        <f>"ROLOS DE FAIXA DE GONDOLA MEDINDO 40MX3CM CAROLINA"</f>
        <v>ROLOS DE FAIXA DE GONDOLA MEDINDO 40MX3CM CAROLINA</v>
      </c>
      <c r="C21015" s="2" t="str">
        <f t="shared" si="839"/>
        <v>UN</v>
      </c>
      <c r="D21015" s="7">
        <v>99999</v>
      </c>
      <c r="E21015" s="3">
        <v>99</v>
      </c>
      <c r="F21015" s="3">
        <v>99</v>
      </c>
      <c r="G21015" t="s">
        <v>513</v>
      </c>
    </row>
    <row r="21016" spans="1:7" x14ac:dyDescent="0.25">
      <c r="A21016" s="1" t="str">
        <f>"523670"</f>
        <v>523670</v>
      </c>
      <c r="B21016" s="2" t="str">
        <f>"ROLOS DE FAIXA DE GONDOLA MEDINDO 40MX3CM GREGO"</f>
        <v>ROLOS DE FAIXA DE GONDOLA MEDINDO 40MX3CM GREGO</v>
      </c>
      <c r="C21016" s="2" t="str">
        <f t="shared" si="839"/>
        <v>UN</v>
      </c>
      <c r="D21016" s="7">
        <v>401</v>
      </c>
      <c r="E21016" s="3">
        <v>4</v>
      </c>
      <c r="F21016" s="3">
        <v>4</v>
      </c>
      <c r="G21016" t="s">
        <v>513</v>
      </c>
    </row>
    <row r="21017" spans="1:7" x14ac:dyDescent="0.25">
      <c r="A21017" s="1" t="str">
        <f>"515445"</f>
        <v>515445</v>
      </c>
      <c r="B21017" s="2" t="str">
        <f>"ROSCA"</f>
        <v>ROSCA</v>
      </c>
      <c r="C21017" s="2" t="str">
        <f t="shared" si="839"/>
        <v>UN</v>
      </c>
      <c r="D21017" s="7">
        <v>401</v>
      </c>
      <c r="E21017" s="3">
        <v>4</v>
      </c>
      <c r="F21017" s="3">
        <v>4</v>
      </c>
      <c r="G21017" t="s">
        <v>513</v>
      </c>
    </row>
    <row r="21018" spans="1:7" x14ac:dyDescent="0.25">
      <c r="A21018" s="1" t="str">
        <f>"508422"</f>
        <v>508422</v>
      </c>
      <c r="B21018" s="2" t="str">
        <f>"ROSCA CARACOL 45X128MM"</f>
        <v>ROSCA CARACOL 45X128MM</v>
      </c>
      <c r="C21018" s="2" t="str">
        <f t="shared" si="839"/>
        <v>UN</v>
      </c>
      <c r="D21018" s="7">
        <v>918</v>
      </c>
      <c r="E21018" s="3">
        <v>11</v>
      </c>
      <c r="F21018" s="3">
        <v>11</v>
      </c>
      <c r="G21018" t="s">
        <v>512</v>
      </c>
    </row>
    <row r="21019" spans="1:7" x14ac:dyDescent="0.25">
      <c r="A21019" s="1" t="str">
        <f>"507272"</f>
        <v>507272</v>
      </c>
      <c r="B21019" s="2" t="str">
        <f>"ROSCA INDEXADORA"</f>
        <v>ROSCA INDEXADORA</v>
      </c>
      <c r="C21019" s="2" t="str">
        <f t="shared" si="839"/>
        <v>UN</v>
      </c>
      <c r="D21019" s="7">
        <v>1300</v>
      </c>
      <c r="E21019" s="3">
        <v>13</v>
      </c>
      <c r="F21019" s="3">
        <v>13</v>
      </c>
      <c r="G21019" t="s">
        <v>513</v>
      </c>
    </row>
    <row r="21020" spans="1:7" x14ac:dyDescent="0.25">
      <c r="A21020" s="1" t="str">
        <f>"518207"</f>
        <v>518207</v>
      </c>
      <c r="B21020" s="2" t="str">
        <f>"ROSCA MAQ. PACK 1"</f>
        <v>ROSCA MAQ. PACK 1</v>
      </c>
      <c r="C21020" s="2" t="str">
        <f t="shared" si="839"/>
        <v>UN</v>
      </c>
      <c r="D21020" s="7">
        <v>918</v>
      </c>
      <c r="E21020" s="3">
        <v>11</v>
      </c>
      <c r="F21020" s="3">
        <v>11</v>
      </c>
      <c r="G21020" t="s">
        <v>514</v>
      </c>
    </row>
    <row r="21021" spans="1:7" x14ac:dyDescent="0.25">
      <c r="A21021" s="1" t="str">
        <f>"520250"</f>
        <v>520250</v>
      </c>
      <c r="B21021" s="2" t="str">
        <f>"ROSCA POSTICA 1/4"</f>
        <v>ROSCA POSTICA 1/4</v>
      </c>
      <c r="C21021" s="2" t="str">
        <f t="shared" si="839"/>
        <v>UN</v>
      </c>
      <c r="D21021" s="7">
        <v>402</v>
      </c>
      <c r="E21021" s="3">
        <v>4</v>
      </c>
      <c r="F21021" s="3">
        <v>4</v>
      </c>
      <c r="G21021" t="s">
        <v>515</v>
      </c>
    </row>
    <row r="21022" spans="1:7" x14ac:dyDescent="0.25">
      <c r="A21022" s="1" t="str">
        <f>"502576"</f>
        <v>502576</v>
      </c>
      <c r="B21022" s="2" t="str">
        <f>"ROSCA POSTICA M05"</f>
        <v>ROSCA POSTICA M05</v>
      </c>
      <c r="C21022" s="2" t="str">
        <f t="shared" si="839"/>
        <v>UN</v>
      </c>
      <c r="D21022" s="7">
        <v>402</v>
      </c>
      <c r="E21022" s="3">
        <v>4</v>
      </c>
      <c r="F21022" s="3">
        <v>4</v>
      </c>
      <c r="G21022" t="s">
        <v>512</v>
      </c>
    </row>
    <row r="21023" spans="1:7" x14ac:dyDescent="0.25">
      <c r="A21023" s="1" t="str">
        <f>"503747"</f>
        <v>503747</v>
      </c>
      <c r="B21023" s="2" t="str">
        <f>"ROSCA POSTICA M06"</f>
        <v>ROSCA POSTICA M06</v>
      </c>
      <c r="C21023" s="2" t="str">
        <f t="shared" si="839"/>
        <v>UN</v>
      </c>
      <c r="D21023" s="7">
        <v>402</v>
      </c>
      <c r="E21023" s="3">
        <v>4</v>
      </c>
      <c r="F21023" s="3">
        <v>4</v>
      </c>
      <c r="G21023" t="s">
        <v>516</v>
      </c>
    </row>
    <row r="21024" spans="1:7" x14ac:dyDescent="0.25">
      <c r="A21024" s="1" t="str">
        <f>"503748"</f>
        <v>503748</v>
      </c>
      <c r="B21024" s="2" t="str">
        <f>"ROSCA POSTICA M08"</f>
        <v>ROSCA POSTICA M08</v>
      </c>
      <c r="C21024" s="2" t="str">
        <f t="shared" si="839"/>
        <v>UN</v>
      </c>
      <c r="D21024" s="7">
        <v>402</v>
      </c>
      <c r="E21024" s="3">
        <v>4</v>
      </c>
      <c r="F21024" s="3">
        <v>4</v>
      </c>
      <c r="G21024" t="s">
        <v>515</v>
      </c>
    </row>
    <row r="21025" spans="1:7" x14ac:dyDescent="0.25">
      <c r="A21025" s="1" t="str">
        <f>"503749"</f>
        <v>503749</v>
      </c>
      <c r="B21025" s="2" t="str">
        <f>"ROSCA POSTICA M10"</f>
        <v>ROSCA POSTICA M10</v>
      </c>
      <c r="C21025" s="2" t="str">
        <f t="shared" si="839"/>
        <v>UN</v>
      </c>
      <c r="D21025" s="7">
        <v>402</v>
      </c>
      <c r="E21025" s="3">
        <v>4</v>
      </c>
      <c r="F21025" s="3">
        <v>4</v>
      </c>
      <c r="G21025" t="s">
        <v>514</v>
      </c>
    </row>
    <row r="21026" spans="1:7" x14ac:dyDescent="0.25">
      <c r="A21026" s="1" t="str">
        <f>"520479"</f>
        <v>520479</v>
      </c>
      <c r="B21026" s="2" t="str">
        <f>"ROSCA POSTICA M12"</f>
        <v>ROSCA POSTICA M12</v>
      </c>
      <c r="C21026" s="2" t="str">
        <f t="shared" si="839"/>
        <v>UN</v>
      </c>
      <c r="D21026" s="7">
        <v>402</v>
      </c>
      <c r="E21026" s="3">
        <v>4</v>
      </c>
      <c r="F21026" s="3">
        <v>4</v>
      </c>
      <c r="G21026" t="s">
        <v>512</v>
      </c>
    </row>
    <row r="21027" spans="1:7" x14ac:dyDescent="0.25">
      <c r="A21027" s="1" t="str">
        <f>"518779"</f>
        <v>518779</v>
      </c>
      <c r="B21027" s="2" t="str">
        <f>"ROSCA S/ FIM AMARELO 160GR"</f>
        <v>ROSCA S/ FIM AMARELO 160GR</v>
      </c>
      <c r="C21027" s="2" t="str">
        <f t="shared" si="839"/>
        <v>UN</v>
      </c>
      <c r="D21027" s="7">
        <v>918</v>
      </c>
      <c r="E21027" s="3">
        <v>11</v>
      </c>
      <c r="F21027" s="3">
        <v>11</v>
      </c>
      <c r="G21027" t="s">
        <v>513</v>
      </c>
    </row>
    <row r="21028" spans="1:7" x14ac:dyDescent="0.25">
      <c r="A21028" s="1" t="str">
        <f>"518766"</f>
        <v>518766</v>
      </c>
      <c r="B21028" s="2" t="str">
        <f>"ROSCA S/ FIM AZUL 180GR"</f>
        <v>ROSCA S/ FIM AZUL 180GR</v>
      </c>
      <c r="C21028" s="2" t="str">
        <f t="shared" si="839"/>
        <v>UN</v>
      </c>
      <c r="D21028" s="7">
        <v>918</v>
      </c>
      <c r="E21028" s="3">
        <v>11</v>
      </c>
      <c r="F21028" s="3">
        <v>11</v>
      </c>
      <c r="G21028" t="s">
        <v>514</v>
      </c>
    </row>
    <row r="21029" spans="1:7" x14ac:dyDescent="0.25">
      <c r="A21029" s="1" t="str">
        <f>"521185"</f>
        <v>521185</v>
      </c>
      <c r="B21029" s="8" t="s">
        <v>195</v>
      </c>
      <c r="C21029" s="2" t="str">
        <f t="shared" si="839"/>
        <v>UN</v>
      </c>
      <c r="D21029" s="7">
        <v>918</v>
      </c>
      <c r="E21029" s="3">
        <v>11</v>
      </c>
      <c r="F21029" s="3">
        <v>11</v>
      </c>
      <c r="G21029" t="s">
        <v>514</v>
      </c>
    </row>
    <row r="21030" spans="1:7" x14ac:dyDescent="0.25">
      <c r="A21030" s="1" t="str">
        <f>"513183"</f>
        <v>513183</v>
      </c>
      <c r="B21030" s="2" t="str">
        <f>"ROSCA SEM FIM K60 15060606006020"</f>
        <v>ROSCA SEM FIM K60 15060606006020</v>
      </c>
      <c r="C21030" s="2" t="str">
        <f t="shared" si="839"/>
        <v>UN</v>
      </c>
      <c r="D21030" s="7">
        <v>918</v>
      </c>
      <c r="E21030" s="3">
        <v>11</v>
      </c>
      <c r="F21030" s="3">
        <v>11</v>
      </c>
      <c r="G21030" t="s">
        <v>512</v>
      </c>
    </row>
    <row r="21031" spans="1:7" x14ac:dyDescent="0.25">
      <c r="A21031" s="1" t="str">
        <f>"514616"</f>
        <v>514616</v>
      </c>
      <c r="B21031" s="2" t="str">
        <f>"ROSCA TRASP. CALHA"</f>
        <v>ROSCA TRASP. CALHA</v>
      </c>
      <c r="C21031" s="2" t="str">
        <f t="shared" si="839"/>
        <v>UN</v>
      </c>
      <c r="D21031" s="7">
        <v>1300</v>
      </c>
      <c r="E21031" s="3">
        <v>13</v>
      </c>
      <c r="F21031" s="3">
        <v>13</v>
      </c>
      <c r="G21031" t="s">
        <v>513</v>
      </c>
    </row>
    <row r="21032" spans="1:7" x14ac:dyDescent="0.25">
      <c r="A21032" s="1" t="str">
        <f>"502976"</f>
        <v>502976</v>
      </c>
      <c r="B21032" s="2" t="str">
        <f>"ROSETA CABO PARADA"</f>
        <v>ROSETA CABO PARADA</v>
      </c>
      <c r="C21032" s="2" t="str">
        <f t="shared" si="839"/>
        <v>UN</v>
      </c>
      <c r="D21032" s="7">
        <v>704</v>
      </c>
      <c r="E21032" s="3">
        <v>9</v>
      </c>
      <c r="F21032" s="3">
        <v>9</v>
      </c>
      <c r="G21032" t="s">
        <v>514</v>
      </c>
    </row>
    <row r="21033" spans="1:7" x14ac:dyDescent="0.25">
      <c r="A21033" s="1" t="str">
        <f>"523420"</f>
        <v>523420</v>
      </c>
      <c r="B21033" s="2" t="str">
        <f>"ROSQUINHA"</f>
        <v>ROSQUINHA</v>
      </c>
      <c r="C21033" s="2" t="str">
        <f t="shared" si="839"/>
        <v>UN</v>
      </c>
      <c r="D21033" s="7">
        <v>402</v>
      </c>
      <c r="E21033" s="3">
        <v>4</v>
      </c>
      <c r="F21033" s="3">
        <v>4</v>
      </c>
      <c r="G21033" t="s">
        <v>514</v>
      </c>
    </row>
    <row r="21034" spans="1:7" x14ac:dyDescent="0.25">
      <c r="A21034" s="1" t="str">
        <f>"501273"</f>
        <v>501273</v>
      </c>
      <c r="B21034" s="2" t="str">
        <f>"ROST OFF WURTH 300 ML"</f>
        <v>ROST OFF WURTH 300 ML</v>
      </c>
      <c r="C21034" s="2" t="str">
        <f t="shared" si="839"/>
        <v>UN</v>
      </c>
      <c r="D21034" s="7">
        <v>99999</v>
      </c>
      <c r="E21034" s="3">
        <v>10</v>
      </c>
      <c r="F21034" s="3">
        <v>10</v>
      </c>
      <c r="G21034" t="s">
        <v>514</v>
      </c>
    </row>
    <row r="21035" spans="1:7" x14ac:dyDescent="0.25">
      <c r="A21035" s="1" t="str">
        <f>"510990"</f>
        <v>510990</v>
      </c>
      <c r="B21035" s="2" t="str">
        <f>"ROST OFF WURTH 300 ML ALIMENTICIO"</f>
        <v>ROST OFF WURTH 300 ML ALIMENTICIO</v>
      </c>
      <c r="C21035" s="2" t="str">
        <f t="shared" si="839"/>
        <v>UN</v>
      </c>
      <c r="D21035" s="7">
        <v>402</v>
      </c>
      <c r="E21035" s="3">
        <v>4</v>
      </c>
      <c r="F21035" s="3">
        <v>4</v>
      </c>
      <c r="G21035" t="s">
        <v>513</v>
      </c>
    </row>
    <row r="21036" spans="1:7" x14ac:dyDescent="0.25">
      <c r="A21036" s="1" t="str">
        <f>"511729"</f>
        <v>511729</v>
      </c>
      <c r="B21036" s="2" t="str">
        <f>"ROT B NM063-H01L06H 304 REF NDB 4960808"</f>
        <v>ROT B NM063-H01L06H 304 REF NDB 4960808</v>
      </c>
      <c r="C21036" s="2" t="str">
        <f>"PC"</f>
        <v>PC</v>
      </c>
      <c r="D21036" s="7">
        <v>918</v>
      </c>
      <c r="E21036" s="3">
        <v>11</v>
      </c>
      <c r="F21036" s="3">
        <v>11</v>
      </c>
      <c r="G21036" t="s">
        <v>512</v>
      </c>
    </row>
    <row r="21037" spans="1:7" x14ac:dyDescent="0.25">
      <c r="A21037" s="1" t="str">
        <f>"994"</f>
        <v>994</v>
      </c>
      <c r="B21037" s="2" t="str">
        <f>"ROT. IOG.122GR MOR/CONF. COLOR/CHOC. (BIBI BITS) VERMELHO"</f>
        <v>ROT. IOG.122GR MOR/CONF. COLOR/CHOC. (BIBI BITS) VERMELHO</v>
      </c>
      <c r="C21037" s="2" t="str">
        <f t="shared" ref="C21037:C21082" si="840">"UN"</f>
        <v>UN</v>
      </c>
      <c r="D21037" s="7">
        <v>112</v>
      </c>
      <c r="E21037" s="3">
        <v>1</v>
      </c>
      <c r="F21037" s="3">
        <v>1</v>
      </c>
      <c r="G21037" t="s">
        <v>513</v>
      </c>
    </row>
    <row r="21038" spans="1:7" x14ac:dyDescent="0.25">
      <c r="A21038" s="1" t="str">
        <f>"998"</f>
        <v>998</v>
      </c>
      <c r="B21038" s="2" t="str">
        <f>"ROT. IOG.122GR MOR/FL. ARROZ C/ CHOC. (BIBI BITS) MARROM"</f>
        <v>ROT. IOG.122GR MOR/FL. ARROZ C/ CHOC. (BIBI BITS) MARROM</v>
      </c>
      <c r="C21038" s="2" t="str">
        <f t="shared" si="840"/>
        <v>UN</v>
      </c>
      <c r="D21038" s="7">
        <v>112</v>
      </c>
      <c r="E21038" s="3">
        <v>1</v>
      </c>
      <c r="F21038" s="3">
        <v>1</v>
      </c>
      <c r="G21038" t="s">
        <v>514</v>
      </c>
    </row>
    <row r="21039" spans="1:7" x14ac:dyDescent="0.25">
      <c r="A21039" s="1" t="str">
        <f>"997"</f>
        <v>997</v>
      </c>
      <c r="B21039" s="2" t="str">
        <f>"ROT. IOG.122GR MOR/FL/ ARROZ COLOR (BIBI BITS) ROSA"</f>
        <v>ROT. IOG.122GR MOR/FL/ ARROZ COLOR (BIBI BITS) ROSA</v>
      </c>
      <c r="C21039" s="2" t="str">
        <f t="shared" si="840"/>
        <v>UN</v>
      </c>
      <c r="D21039" s="7">
        <v>112</v>
      </c>
      <c r="E21039" s="3">
        <v>1</v>
      </c>
      <c r="F21039" s="3">
        <v>1</v>
      </c>
      <c r="G21039" t="s">
        <v>514</v>
      </c>
    </row>
    <row r="21040" spans="1:7" x14ac:dyDescent="0.25">
      <c r="A21040" s="1" t="str">
        <f>"993"</f>
        <v>993</v>
      </c>
      <c r="B21040" s="2" t="str">
        <f>"ROT. IOG.122GR MOR/FL/ MILHO (BIBI BITS) AMARELO"</f>
        <v>ROT. IOG.122GR MOR/FL/ MILHO (BIBI BITS) AMARELO</v>
      </c>
      <c r="C21040" s="2" t="str">
        <f t="shared" si="840"/>
        <v>UN</v>
      </c>
      <c r="D21040" s="7">
        <v>112</v>
      </c>
      <c r="E21040" s="3">
        <v>1</v>
      </c>
      <c r="F21040" s="3">
        <v>1</v>
      </c>
      <c r="G21040" t="s">
        <v>514</v>
      </c>
    </row>
    <row r="21041" spans="1:7" x14ac:dyDescent="0.25">
      <c r="A21041" s="1" t="str">
        <f>"950"</f>
        <v>950</v>
      </c>
      <c r="B21041" s="2" t="str">
        <f>"ROT. IOG.122GR MOR/FL/ARROZ C/COB. COLOR (BIBI BITS) AZUL"</f>
        <v>ROT. IOG.122GR MOR/FL/ARROZ C/COB. COLOR (BIBI BITS) AZUL</v>
      </c>
      <c r="C21041" s="2" t="str">
        <f t="shared" si="840"/>
        <v>UN</v>
      </c>
      <c r="D21041" s="7">
        <v>112</v>
      </c>
      <c r="E21041" s="3">
        <v>1</v>
      </c>
      <c r="F21041" s="3">
        <v>1</v>
      </c>
      <c r="G21041" t="s">
        <v>513</v>
      </c>
    </row>
    <row r="21042" spans="1:7" x14ac:dyDescent="0.25">
      <c r="A21042" s="1" t="str">
        <f>"704"</f>
        <v>704</v>
      </c>
      <c r="B21042" s="2" t="str">
        <f>"ROT. SL IOG. VIGOR MORANGO 1L - 303025 VIGOR"</f>
        <v>ROT. SL IOG. VIGOR MORANGO 1L - 303025 VIGOR</v>
      </c>
      <c r="C21042" s="2" t="str">
        <f t="shared" si="840"/>
        <v>UN</v>
      </c>
      <c r="D21042" s="7">
        <v>112</v>
      </c>
      <c r="E21042" s="3">
        <v>1</v>
      </c>
      <c r="F21042" s="3">
        <v>1</v>
      </c>
      <c r="G21042" t="s">
        <v>513</v>
      </c>
    </row>
    <row r="21043" spans="1:7" x14ac:dyDescent="0.25">
      <c r="A21043" s="1" t="str">
        <f>"711"</f>
        <v>711</v>
      </c>
      <c r="B21043" s="2" t="str">
        <f>"ROT. SLEEVE IOG.  MORANGO VIGOR 200G"</f>
        <v>ROT. SLEEVE IOG.  MORANGO VIGOR 200G</v>
      </c>
      <c r="C21043" s="2" t="str">
        <f t="shared" si="840"/>
        <v>UN</v>
      </c>
      <c r="D21043" s="7">
        <v>112</v>
      </c>
      <c r="E21043" s="3">
        <v>1</v>
      </c>
      <c r="F21043" s="3">
        <v>1</v>
      </c>
      <c r="G21043" t="s">
        <v>513</v>
      </c>
    </row>
    <row r="21044" spans="1:7" x14ac:dyDescent="0.25">
      <c r="A21044" s="1" t="str">
        <f>"706"</f>
        <v>706</v>
      </c>
      <c r="B21044" s="2" t="str">
        <f>"ROT. SLEEVE IOG. BATIDO REGULAR - 308743 VIGOR"</f>
        <v>ROT. SLEEVE IOG. BATIDO REGULAR - 308743 VIGOR</v>
      </c>
      <c r="C21044" s="2" t="str">
        <f t="shared" si="840"/>
        <v>UN</v>
      </c>
      <c r="D21044" s="7">
        <v>112</v>
      </c>
      <c r="E21044" s="3">
        <v>1</v>
      </c>
      <c r="F21044" s="3">
        <v>1</v>
      </c>
      <c r="G21044" t="s">
        <v>512</v>
      </c>
    </row>
    <row r="21045" spans="1:7" x14ac:dyDescent="0.25">
      <c r="A21045" s="1" t="str">
        <f>"712"</f>
        <v>712</v>
      </c>
      <c r="B21045" s="2" t="str">
        <f>"ROT. SLEEVE IOG. FR. VERMELHAS VIGOR 200G"</f>
        <v>ROT. SLEEVE IOG. FR. VERMELHAS VIGOR 200G</v>
      </c>
      <c r="C21045" s="2" t="str">
        <f t="shared" si="840"/>
        <v>UN</v>
      </c>
      <c r="D21045" s="7">
        <v>112</v>
      </c>
      <c r="E21045" s="3">
        <v>1</v>
      </c>
      <c r="F21045" s="3">
        <v>1</v>
      </c>
      <c r="G21045" t="s">
        <v>513</v>
      </c>
    </row>
    <row r="21046" spans="1:7" x14ac:dyDescent="0.25">
      <c r="A21046" s="1" t="str">
        <f>"713"</f>
        <v>713</v>
      </c>
      <c r="B21046" s="2" t="str">
        <f>"ROT. SLEEVE IOG. MARACUJA VIGOR 200G"</f>
        <v>ROT. SLEEVE IOG. MARACUJA VIGOR 200G</v>
      </c>
      <c r="C21046" s="2" t="str">
        <f t="shared" si="840"/>
        <v>UN</v>
      </c>
      <c r="D21046" s="7">
        <v>112</v>
      </c>
      <c r="E21046" s="3">
        <v>1</v>
      </c>
      <c r="F21046" s="3">
        <v>1</v>
      </c>
      <c r="G21046" t="s">
        <v>514</v>
      </c>
    </row>
    <row r="21047" spans="1:7" x14ac:dyDescent="0.25">
      <c r="A21047" s="1" t="str">
        <f>"705"</f>
        <v>705</v>
      </c>
      <c r="B21047" s="2" t="str">
        <f>"ROT. SLEEVE IOG. VITAMINADO DE FRUTAS 1000G - 308743 VIGOR"</f>
        <v>ROT. SLEEVE IOG. VITAMINADO DE FRUTAS 1000G - 308743 VIGOR</v>
      </c>
      <c r="C21047" s="2" t="str">
        <f t="shared" si="840"/>
        <v>UN</v>
      </c>
      <c r="D21047" s="7">
        <v>112</v>
      </c>
      <c r="E21047" s="3">
        <v>1</v>
      </c>
      <c r="F21047" s="3">
        <v>1</v>
      </c>
      <c r="G21047" t="s">
        <v>515</v>
      </c>
    </row>
    <row r="21048" spans="1:7" x14ac:dyDescent="0.25">
      <c r="A21048" s="1" t="str">
        <f>"703"</f>
        <v>703</v>
      </c>
      <c r="B21048" s="2" t="str">
        <f>"ROT. SLEEVE IOG.VIT VG 200G - 302721 VIGOR"</f>
        <v>ROT. SLEEVE IOG.VIT VG 200G - 302721 VIGOR</v>
      </c>
      <c r="C21048" s="2" t="str">
        <f t="shared" si="840"/>
        <v>UN</v>
      </c>
      <c r="D21048" s="7">
        <v>112</v>
      </c>
      <c r="E21048" s="3">
        <v>1</v>
      </c>
      <c r="F21048" s="3">
        <v>1</v>
      </c>
      <c r="G21048" t="s">
        <v>512</v>
      </c>
    </row>
    <row r="21049" spans="1:7" x14ac:dyDescent="0.25">
      <c r="A21049" s="1" t="str">
        <f>"996"</f>
        <v>996</v>
      </c>
      <c r="B21049" s="2" t="str">
        <f>"ROT.IOG.120GR FLOCOS DE MILHO (MIX LA VITA)"</f>
        <v>ROT.IOG.120GR FLOCOS DE MILHO (MIX LA VITA)</v>
      </c>
      <c r="C21049" s="2" t="str">
        <f t="shared" si="840"/>
        <v>UN</v>
      </c>
      <c r="D21049" s="7">
        <v>112</v>
      </c>
      <c r="E21049" s="3">
        <v>1</v>
      </c>
      <c r="F21049" s="3">
        <v>1</v>
      </c>
      <c r="G21049" t="s">
        <v>516</v>
      </c>
    </row>
    <row r="21050" spans="1:7" x14ac:dyDescent="0.25">
      <c r="A21050" s="1" t="str">
        <f>"995"</f>
        <v>995</v>
      </c>
      <c r="B21050" s="2" t="str">
        <f>"ROT.IOG.125GR GRANOLA (MIX LA VITA)"</f>
        <v>ROT.IOG.125GR GRANOLA (MIX LA VITA)</v>
      </c>
      <c r="C21050" s="2" t="str">
        <f t="shared" si="840"/>
        <v>UN</v>
      </c>
      <c r="D21050" s="7">
        <v>112</v>
      </c>
      <c r="E21050" s="3">
        <v>1</v>
      </c>
      <c r="F21050" s="3">
        <v>1</v>
      </c>
      <c r="G21050" t="s">
        <v>515</v>
      </c>
    </row>
    <row r="21051" spans="1:7" x14ac:dyDescent="0.25">
      <c r="A21051" s="1" t="str">
        <f>"809"</f>
        <v>809</v>
      </c>
      <c r="B21051" s="2" t="str">
        <f>"ROT.IOG.135GR POLPA MORANGO (MIX LA VITA)"</f>
        <v>ROT.IOG.135GR POLPA MORANGO (MIX LA VITA)</v>
      </c>
      <c r="C21051" s="2" t="str">
        <f t="shared" si="840"/>
        <v>UN</v>
      </c>
      <c r="D21051" s="7">
        <v>112</v>
      </c>
      <c r="E21051" s="3">
        <v>1</v>
      </c>
      <c r="F21051" s="3">
        <v>1</v>
      </c>
      <c r="G21051" t="s">
        <v>514</v>
      </c>
    </row>
    <row r="21052" spans="1:7" x14ac:dyDescent="0.25">
      <c r="A21052" s="1" t="str">
        <f>"810"</f>
        <v>810</v>
      </c>
      <c r="B21052" s="2" t="str">
        <f>"ROT.IOG.135GR POLPA PESSEGO (MIX LA VITA)"</f>
        <v>ROT.IOG.135GR POLPA PESSEGO (MIX LA VITA)</v>
      </c>
      <c r="C21052" s="2" t="str">
        <f t="shared" si="840"/>
        <v>UN</v>
      </c>
      <c r="D21052" s="7">
        <v>112</v>
      </c>
      <c r="E21052" s="3">
        <v>1</v>
      </c>
      <c r="F21052" s="3">
        <v>1</v>
      </c>
      <c r="G21052" t="s">
        <v>512</v>
      </c>
    </row>
    <row r="21053" spans="1:7" x14ac:dyDescent="0.25">
      <c r="A21053" s="1" t="str">
        <f>"811"</f>
        <v>811</v>
      </c>
      <c r="B21053" s="2" t="str">
        <f>"ROT.IOG.135GR POLPA SALADA DE FRUTAS (MIX LA VITA)"</f>
        <v>ROT.IOG.135GR POLPA SALADA DE FRUTAS (MIX LA VITA)</v>
      </c>
      <c r="C21053" s="2" t="str">
        <f t="shared" si="840"/>
        <v>UN</v>
      </c>
      <c r="D21053" s="7">
        <v>112</v>
      </c>
      <c r="E21053" s="3">
        <v>1</v>
      </c>
      <c r="F21053" s="3">
        <v>1</v>
      </c>
      <c r="G21053" t="s">
        <v>513</v>
      </c>
    </row>
    <row r="21054" spans="1:7" x14ac:dyDescent="0.25">
      <c r="A21054" s="1" t="str">
        <f>"514456"</f>
        <v>514456</v>
      </c>
      <c r="B21054" s="2" t="str">
        <f>"ROTEADOR"</f>
        <v>ROTEADOR</v>
      </c>
      <c r="C21054" s="2" t="str">
        <f t="shared" si="840"/>
        <v>UN</v>
      </c>
      <c r="D21054" s="7">
        <v>401</v>
      </c>
      <c r="E21054" s="3">
        <v>4</v>
      </c>
      <c r="F21054" s="3">
        <v>4</v>
      </c>
      <c r="G21054" t="s">
        <v>514</v>
      </c>
    </row>
    <row r="21055" spans="1:7" x14ac:dyDescent="0.25">
      <c r="A21055" s="1" t="str">
        <f>"527761"</f>
        <v>527761</v>
      </c>
      <c r="B21055" s="2" t="str">
        <f>"ROTEADOR TP LINK ARCHER C 50 4 ANTENAS"</f>
        <v>ROTEADOR TP LINK ARCHER C 50 4 ANTENAS</v>
      </c>
      <c r="C21055" s="2" t="str">
        <f t="shared" si="840"/>
        <v>UN</v>
      </c>
      <c r="D21055" s="7">
        <v>811</v>
      </c>
      <c r="E21055" s="3">
        <v>8</v>
      </c>
      <c r="F21055" s="3">
        <v>8</v>
      </c>
      <c r="G21055" t="s">
        <v>514</v>
      </c>
    </row>
    <row r="21056" spans="1:7" x14ac:dyDescent="0.25">
      <c r="A21056" s="1" t="str">
        <f>"527595"</f>
        <v>527595</v>
      </c>
      <c r="B21056" s="2" t="str">
        <f>"ROTEADOR TP LINK TL - WR849N"</f>
        <v>ROTEADOR TP LINK TL - WR849N</v>
      </c>
      <c r="C21056" s="2" t="str">
        <f t="shared" si="840"/>
        <v>UN</v>
      </c>
      <c r="D21056" s="7">
        <v>811</v>
      </c>
      <c r="E21056" s="3">
        <v>8</v>
      </c>
      <c r="F21056" s="3">
        <v>8</v>
      </c>
      <c r="G21056" t="s">
        <v>512</v>
      </c>
    </row>
    <row r="21057" spans="1:7" x14ac:dyDescent="0.25">
      <c r="A21057" s="1" t="str">
        <f>"526258"</f>
        <v>526258</v>
      </c>
      <c r="B21057" s="2" t="str">
        <f>"ROTEADOR TP-LINK AC-3150"</f>
        <v>ROTEADOR TP-LINK AC-3150</v>
      </c>
      <c r="C21057" s="2" t="str">
        <f t="shared" si="840"/>
        <v>UN</v>
      </c>
      <c r="D21057" s="7">
        <v>99999</v>
      </c>
      <c r="E21057" s="3">
        <v>99</v>
      </c>
      <c r="F21057" s="3">
        <v>99</v>
      </c>
      <c r="G21057" t="s">
        <v>513</v>
      </c>
    </row>
    <row r="21058" spans="1:7" x14ac:dyDescent="0.25">
      <c r="A21058" s="1" t="str">
        <f>"519246"</f>
        <v>519246</v>
      </c>
      <c r="B21058" s="2" t="str">
        <f>"ROTEADOR VPN 4 PORTAS LAN 10-100 RV042"</f>
        <v>ROTEADOR VPN 4 PORTAS LAN 10-100 RV042</v>
      </c>
      <c r="C21058" s="2" t="str">
        <f t="shared" si="840"/>
        <v>UN</v>
      </c>
      <c r="D21058" s="7">
        <v>811</v>
      </c>
      <c r="E21058" s="3">
        <v>10</v>
      </c>
      <c r="F21058" s="3">
        <v>10</v>
      </c>
      <c r="G21058" t="s">
        <v>514</v>
      </c>
    </row>
    <row r="21059" spans="1:7" x14ac:dyDescent="0.25">
      <c r="A21059" s="1" t="str">
        <f>"514524"</f>
        <v>514524</v>
      </c>
      <c r="B21059" s="2" t="str">
        <f>"ROTOR"</f>
        <v>ROTOR</v>
      </c>
      <c r="C21059" s="2" t="str">
        <f t="shared" si="840"/>
        <v>UN</v>
      </c>
      <c r="D21059" s="7">
        <v>403</v>
      </c>
      <c r="E21059" s="3">
        <v>8</v>
      </c>
      <c r="F21059" s="3">
        <v>8</v>
      </c>
      <c r="G21059" t="s">
        <v>514</v>
      </c>
    </row>
    <row r="21060" spans="1:7" x14ac:dyDescent="0.25">
      <c r="A21060" s="1" t="str">
        <f>"508347"</f>
        <v>508347</v>
      </c>
      <c r="B21060" s="2" t="str">
        <f>"ROTOR 128 - 057495-02"</f>
        <v>ROTOR 128 - 057495-02</v>
      </c>
      <c r="C21060" s="2" t="str">
        <f t="shared" si="840"/>
        <v>UN</v>
      </c>
      <c r="D21060" s="7">
        <v>918</v>
      </c>
      <c r="E21060" s="3">
        <v>11</v>
      </c>
      <c r="F21060" s="3">
        <v>11</v>
      </c>
      <c r="G21060" t="s">
        <v>514</v>
      </c>
    </row>
    <row r="21061" spans="1:7" x14ac:dyDescent="0.25">
      <c r="A21061" s="1" t="str">
        <f>"502951"</f>
        <v>502951</v>
      </c>
      <c r="B21061" s="2" t="str">
        <f>"ROTOR 152MM BOMBA SCHNEIDER BC-92 GA 3CV"</f>
        <v>ROTOR 152MM BOMBA SCHNEIDER BC-92 GA 3CV</v>
      </c>
      <c r="C21061" s="2" t="str">
        <f t="shared" si="840"/>
        <v>UN</v>
      </c>
      <c r="D21061" s="7">
        <v>918</v>
      </c>
      <c r="E21061" s="3">
        <v>11</v>
      </c>
      <c r="F21061" s="3">
        <v>11</v>
      </c>
      <c r="G21061" t="s">
        <v>513</v>
      </c>
    </row>
    <row r="21062" spans="1:7" x14ac:dyDescent="0.25">
      <c r="A21062" s="1" t="str">
        <f>"514255"</f>
        <v>514255</v>
      </c>
      <c r="B21062" s="2" t="str">
        <f>"ROTOR 4100NH"</f>
        <v>ROTOR 4100NH</v>
      </c>
      <c r="C21062" s="2" t="str">
        <f t="shared" si="840"/>
        <v>UN</v>
      </c>
      <c r="D21062" s="7">
        <v>402</v>
      </c>
      <c r="E21062" s="3">
        <v>8</v>
      </c>
      <c r="F21062" s="3">
        <v>8</v>
      </c>
      <c r="G21062" t="s">
        <v>512</v>
      </c>
    </row>
    <row r="21063" spans="1:7" x14ac:dyDescent="0.25">
      <c r="A21063" s="1" t="str">
        <f>"513035"</f>
        <v>513035</v>
      </c>
      <c r="B21063" s="2" t="str">
        <f>"ROTOR AÇO CARBONO 290X100X19MM"</f>
        <v>ROTOR AÇO CARBONO 290X100X19MM</v>
      </c>
      <c r="C21063" s="2" t="str">
        <f t="shared" si="840"/>
        <v>UN</v>
      </c>
      <c r="D21063" s="7">
        <v>918</v>
      </c>
      <c r="E21063" s="3">
        <v>11</v>
      </c>
      <c r="F21063" s="3">
        <v>11</v>
      </c>
      <c r="G21063" t="s">
        <v>513</v>
      </c>
    </row>
    <row r="21064" spans="1:7" x14ac:dyDescent="0.25">
      <c r="A21064" s="1" t="str">
        <f>"517789"</f>
        <v>517789</v>
      </c>
      <c r="B21064" s="2" t="str">
        <f>"ROTOR ALETADO A/I 167X74X14MM"</f>
        <v>ROTOR ALETADO A/I 167X74X14MM</v>
      </c>
      <c r="C21064" s="2" t="str">
        <f t="shared" si="840"/>
        <v>UN</v>
      </c>
      <c r="D21064" s="7">
        <v>811</v>
      </c>
      <c r="E21064" s="3">
        <v>8</v>
      </c>
      <c r="F21064" s="3">
        <v>8</v>
      </c>
      <c r="G21064" t="s">
        <v>514</v>
      </c>
    </row>
    <row r="21065" spans="1:7" x14ac:dyDescent="0.25">
      <c r="A21065" s="1" t="str">
        <f>"512924"</f>
        <v>512924</v>
      </c>
      <c r="B21065" s="2" t="str">
        <f>"ROTOR ALTERNADOR GOL"</f>
        <v>ROTOR ALTERNADOR GOL</v>
      </c>
      <c r="C21065" s="2" t="str">
        <f t="shared" si="840"/>
        <v>UN</v>
      </c>
      <c r="D21065" s="7">
        <v>704</v>
      </c>
      <c r="E21065" s="3">
        <v>9</v>
      </c>
      <c r="F21065" s="3">
        <v>9</v>
      </c>
      <c r="G21065" t="s">
        <v>514</v>
      </c>
    </row>
    <row r="21066" spans="1:7" x14ac:dyDescent="0.25">
      <c r="A21066" s="1" t="str">
        <f>"524449"</f>
        <v>524449</v>
      </c>
      <c r="B21066" s="2" t="str">
        <f>"ROTOR B NM015 - H02S12H UM20 NDB4964801"</f>
        <v>ROTOR B NM015 - H02S12H UM20 NDB4964801</v>
      </c>
      <c r="C21066" s="2" t="str">
        <f t="shared" si="840"/>
        <v>UN</v>
      </c>
      <c r="D21066" s="7">
        <v>813</v>
      </c>
      <c r="E21066" s="3">
        <v>11</v>
      </c>
      <c r="F21066" s="3">
        <v>11</v>
      </c>
      <c r="G21066" t="s">
        <v>514</v>
      </c>
    </row>
    <row r="21067" spans="1:7" x14ac:dyDescent="0.25">
      <c r="A21067" s="1" t="str">
        <f>"510917"</f>
        <v>510917</v>
      </c>
      <c r="B21067" s="2" t="str">
        <f>"ROTOR B NM021 01L06 AISI 316 UM60 MACIÇO"</f>
        <v>ROTOR B NM021 01L06 AISI 316 UM60 MACIÇO</v>
      </c>
      <c r="C21067" s="2" t="str">
        <f t="shared" si="840"/>
        <v>UN</v>
      </c>
      <c r="D21067" s="7">
        <v>918</v>
      </c>
      <c r="E21067" s="3">
        <v>11</v>
      </c>
      <c r="F21067" s="3">
        <v>11</v>
      </c>
      <c r="G21067" t="s">
        <v>513</v>
      </c>
    </row>
    <row r="21068" spans="1:7" x14ac:dyDescent="0.25">
      <c r="A21068" s="1" t="str">
        <f>"511459"</f>
        <v>511459</v>
      </c>
      <c r="B21068" s="8" t="s">
        <v>31</v>
      </c>
      <c r="C21068" s="2" t="str">
        <f t="shared" si="840"/>
        <v>UN</v>
      </c>
      <c r="D21068" s="7">
        <v>918</v>
      </c>
      <c r="E21068" s="3">
        <v>11</v>
      </c>
      <c r="F21068" s="3">
        <v>11</v>
      </c>
      <c r="G21068" t="s">
        <v>513</v>
      </c>
    </row>
    <row r="21069" spans="1:7" x14ac:dyDescent="0.25">
      <c r="A21069" s="1" t="str">
        <f>"508395"</f>
        <v>508395</v>
      </c>
      <c r="B21069" s="2" t="str">
        <f>"ROTOR BBA NM038 REF. NDB4958795"</f>
        <v>ROTOR BBA NM038 REF. NDB4958795</v>
      </c>
      <c r="C21069" s="2" t="str">
        <f t="shared" si="840"/>
        <v>UN</v>
      </c>
      <c r="D21069" s="7">
        <v>918</v>
      </c>
      <c r="E21069" s="3">
        <v>11</v>
      </c>
      <c r="F21069" s="3">
        <v>11</v>
      </c>
      <c r="G21069" t="s">
        <v>513</v>
      </c>
    </row>
    <row r="21070" spans="1:7" x14ac:dyDescent="0.25">
      <c r="A21070" s="1" t="str">
        <f>"509235"</f>
        <v>509235</v>
      </c>
      <c r="B21070" s="2" t="str">
        <f>"ROTOR BOMBA KSB MEGANORM 40-200"</f>
        <v>ROTOR BOMBA KSB MEGANORM 40-200</v>
      </c>
      <c r="C21070" s="2" t="str">
        <f t="shared" si="840"/>
        <v>UN</v>
      </c>
      <c r="D21070" s="7">
        <v>813</v>
      </c>
      <c r="E21070" s="3">
        <v>10</v>
      </c>
      <c r="F21070" s="3">
        <v>10</v>
      </c>
      <c r="G21070" t="s">
        <v>512</v>
      </c>
    </row>
    <row r="21071" spans="1:7" x14ac:dyDescent="0.25">
      <c r="A21071" s="1" t="str">
        <f>"501250"</f>
        <v>501250</v>
      </c>
      <c r="B21071" s="2" t="str">
        <f>"ROTOR BOMBA SCHNEIDER BC-91 3/4CV 2038-2"</f>
        <v>ROTOR BOMBA SCHNEIDER BC-91 3/4CV 2038-2</v>
      </c>
      <c r="C21071" s="2" t="str">
        <f t="shared" si="840"/>
        <v>UN</v>
      </c>
      <c r="D21071" s="7">
        <v>918</v>
      </c>
      <c r="E21071" s="3">
        <v>11</v>
      </c>
      <c r="F21071" s="3">
        <v>11</v>
      </c>
      <c r="G21071" t="s">
        <v>513</v>
      </c>
    </row>
    <row r="21072" spans="1:7" x14ac:dyDescent="0.25">
      <c r="A21072" s="1" t="str">
        <f>"518276"</f>
        <v>518276</v>
      </c>
      <c r="B21072" s="2" t="str">
        <f>"ROTOR BOMBA THEBE P-11 108MM BRONZE"</f>
        <v>ROTOR BOMBA THEBE P-11 108MM BRONZE</v>
      </c>
      <c r="C21072" s="2" t="str">
        <f t="shared" si="840"/>
        <v>UN</v>
      </c>
      <c r="D21072" s="7">
        <v>918</v>
      </c>
      <c r="E21072" s="3">
        <v>11</v>
      </c>
      <c r="F21072" s="3">
        <v>11</v>
      </c>
      <c r="G21072" t="s">
        <v>514</v>
      </c>
    </row>
    <row r="21073" spans="1:7" x14ac:dyDescent="0.25">
      <c r="A21073" s="1" t="str">
        <f>"502339"</f>
        <v>502339</v>
      </c>
      <c r="B21073" s="2" t="str">
        <f>"ROTOR BORRACHA MOD.GI - 127MM DIAMETRO"</f>
        <v>ROTOR BORRACHA MOD.GI - 127MM DIAMETRO</v>
      </c>
      <c r="C21073" s="2" t="str">
        <f t="shared" si="840"/>
        <v>UN</v>
      </c>
      <c r="D21073" s="7">
        <v>918</v>
      </c>
      <c r="E21073" s="3">
        <v>11</v>
      </c>
      <c r="F21073" s="3">
        <v>11</v>
      </c>
      <c r="G21073" t="s">
        <v>515</v>
      </c>
    </row>
    <row r="21074" spans="1:7" x14ac:dyDescent="0.25">
      <c r="A21074" s="1" t="str">
        <f>"527664"</f>
        <v>527664</v>
      </c>
      <c r="B21074" s="2" t="str">
        <f>"ROTOR CM71M BR1 RZ14 COD 1992643"</f>
        <v>ROTOR CM71M BR1 RZ14 COD 1992643</v>
      </c>
      <c r="C21074" s="2" t="str">
        <f t="shared" si="840"/>
        <v>UN</v>
      </c>
      <c r="D21074" s="7">
        <v>811</v>
      </c>
      <c r="E21074" s="3">
        <v>11</v>
      </c>
      <c r="F21074" s="3">
        <v>11</v>
      </c>
      <c r="G21074" t="s">
        <v>512</v>
      </c>
    </row>
    <row r="21075" spans="1:7" x14ac:dyDescent="0.25">
      <c r="A21075" s="1" t="str">
        <f>"504441"</f>
        <v>504441</v>
      </c>
      <c r="B21075" s="2" t="str">
        <f>"ROTOR DE BOR. P/BOMBA (LIVENZA)110091"</f>
        <v>ROTOR DE BOR. P/BOMBA (LIVENZA)110091</v>
      </c>
      <c r="C21075" s="2" t="str">
        <f t="shared" si="840"/>
        <v>UN</v>
      </c>
      <c r="D21075" s="7">
        <v>918</v>
      </c>
      <c r="E21075" s="3">
        <v>11</v>
      </c>
      <c r="F21075" s="3">
        <v>11</v>
      </c>
      <c r="G21075" t="s">
        <v>516</v>
      </c>
    </row>
    <row r="21076" spans="1:7" x14ac:dyDescent="0.25">
      <c r="A21076" s="1" t="str">
        <f>"517221"</f>
        <v>517221</v>
      </c>
      <c r="B21076" s="2" t="str">
        <f>"ROTOR DIAMETRO 195MM - BBA FRIGOESTRELA ZM1"</f>
        <v>ROTOR DIAMETRO 195MM - BBA FRIGOESTRELA ZM1</v>
      </c>
      <c r="C21076" s="2" t="str">
        <f t="shared" si="840"/>
        <v>UN</v>
      </c>
      <c r="D21076" s="7">
        <v>918</v>
      </c>
      <c r="E21076" s="3">
        <v>11</v>
      </c>
      <c r="F21076" s="3">
        <v>11</v>
      </c>
      <c r="G21076" t="s">
        <v>515</v>
      </c>
    </row>
    <row r="21077" spans="1:7" x14ac:dyDescent="0.25">
      <c r="A21077" s="1" t="str">
        <f>"516359"</f>
        <v>516359</v>
      </c>
      <c r="B21077" s="2" t="str">
        <f>"ROTOR FAMAC 105 MB FES6 M3,0CV 110/220V 60HZ W STD 4081.3094"</f>
        <v>ROTOR FAMAC 105 MB FES6 M3,0CV 110/220V 60HZ W STD 4081.3094</v>
      </c>
      <c r="C21077" s="2" t="str">
        <f t="shared" si="840"/>
        <v>UN</v>
      </c>
      <c r="D21077" s="7">
        <v>918</v>
      </c>
      <c r="E21077" s="3">
        <v>10</v>
      </c>
      <c r="F21077" s="3">
        <v>10</v>
      </c>
      <c r="G21077" t="s">
        <v>514</v>
      </c>
    </row>
    <row r="21078" spans="1:7" x14ac:dyDescent="0.25">
      <c r="A21078" s="1" t="str">
        <f>"527346"</f>
        <v>527346</v>
      </c>
      <c r="B21078" s="2" t="str">
        <f>"ROTOR FE 8701212151A"</f>
        <v>ROTOR FE 8701212151A</v>
      </c>
      <c r="C21078" s="2" t="str">
        <f t="shared" si="840"/>
        <v>UN</v>
      </c>
      <c r="D21078" s="7">
        <v>812</v>
      </c>
      <c r="E21078" s="3">
        <v>11</v>
      </c>
      <c r="F21078" s="3">
        <v>11</v>
      </c>
      <c r="G21078" t="s">
        <v>512</v>
      </c>
    </row>
    <row r="21079" spans="1:7" x14ac:dyDescent="0.25">
      <c r="A21079" s="1" t="str">
        <f>"527117"</f>
        <v>527117</v>
      </c>
      <c r="B21079" s="2" t="str">
        <f>"ROTOR FERRO FUNDIDO P/ BOMBA KSB MODELO MEGANORM 080-050-315"</f>
        <v>ROTOR FERRO FUNDIDO P/ BOMBA KSB MODELO MEGANORM 080-050-315</v>
      </c>
      <c r="C21079" s="2" t="str">
        <f t="shared" si="840"/>
        <v>UN</v>
      </c>
      <c r="D21079" s="7">
        <v>918</v>
      </c>
      <c r="E21079" s="3">
        <v>11</v>
      </c>
      <c r="F21079" s="3">
        <v>11</v>
      </c>
      <c r="G21079" t="s">
        <v>513</v>
      </c>
    </row>
    <row r="21080" spans="1:7" x14ac:dyDescent="0.25">
      <c r="A21080" s="1" t="str">
        <f>"526525"</f>
        <v>526525</v>
      </c>
      <c r="B21080" s="2" t="str">
        <f>"ROTOR INI B 65125 G A48CL30"</f>
        <v>ROTOR INI B 65125 G A48CL30</v>
      </c>
      <c r="C21080" s="2" t="str">
        <f t="shared" si="840"/>
        <v>UN</v>
      </c>
      <c r="D21080" s="7">
        <v>918</v>
      </c>
      <c r="E21080" s="3">
        <v>11</v>
      </c>
      <c r="F21080" s="3">
        <v>11</v>
      </c>
      <c r="G21080" t="s">
        <v>514</v>
      </c>
    </row>
    <row r="21081" spans="1:7" x14ac:dyDescent="0.25">
      <c r="A21081" s="1" t="str">
        <f>"524544"</f>
        <v>524544</v>
      </c>
      <c r="B21081" s="2" t="str">
        <f>"ROTOR KSB MEGABLOC 32-200 FOFO &amp; IT 15CV 137500612 02212160"</f>
        <v>ROTOR KSB MEGABLOC 32-200 FOFO &amp; IT 15CV 137500612 02212160</v>
      </c>
      <c r="C21081" s="2" t="str">
        <f t="shared" si="840"/>
        <v>UN</v>
      </c>
      <c r="D21081" s="7">
        <v>813</v>
      </c>
      <c r="E21081" s="3">
        <v>10</v>
      </c>
      <c r="F21081" s="3">
        <v>10</v>
      </c>
      <c r="G21081" t="s">
        <v>514</v>
      </c>
    </row>
    <row r="21082" spans="1:7" x14ac:dyDescent="0.25">
      <c r="A21082" s="1" t="str">
        <f>"518018"</f>
        <v>518018</v>
      </c>
      <c r="B21082" s="2" t="str">
        <f>"ROTOR KSB MEGANORM 65-315 FOFO A50137800633"</f>
        <v>ROTOR KSB MEGANORM 65-315 FOFO A50137800633</v>
      </c>
      <c r="C21082" s="2" t="str">
        <f t="shared" si="840"/>
        <v>UN</v>
      </c>
      <c r="D21082" s="7">
        <v>1400</v>
      </c>
      <c r="E21082" s="3">
        <v>11</v>
      </c>
      <c r="F21082" s="3">
        <v>11</v>
      </c>
      <c r="G21082" t="s">
        <v>512</v>
      </c>
    </row>
    <row r="21083" spans="1:7" x14ac:dyDescent="0.25">
      <c r="A21083" s="1" t="str">
        <f>"512509"</f>
        <v>512509</v>
      </c>
      <c r="B21083" s="2" t="str">
        <f>"ROTOR NM021 NMP5025995"</f>
        <v>ROTOR NM021 NMP5025995</v>
      </c>
      <c r="C21083" s="2" t="str">
        <f>"PC"</f>
        <v>PC</v>
      </c>
      <c r="D21083" s="7">
        <v>918</v>
      </c>
      <c r="E21083" s="3">
        <v>11</v>
      </c>
      <c r="F21083" s="3">
        <v>11</v>
      </c>
      <c r="G21083" t="s">
        <v>513</v>
      </c>
    </row>
    <row r="21084" spans="1:7" x14ac:dyDescent="0.25">
      <c r="A21084" s="1" t="str">
        <f>"512317"</f>
        <v>512317</v>
      </c>
      <c r="B21084" s="2" t="str">
        <f>"ROTOR NM038 NDB4958795"</f>
        <v>ROTOR NM038 NDB4958795</v>
      </c>
      <c r="C21084" s="2" t="str">
        <f>"UN"</f>
        <v>UN</v>
      </c>
      <c r="D21084" s="7">
        <v>918</v>
      </c>
      <c r="E21084" s="3">
        <v>11</v>
      </c>
      <c r="F21084" s="3">
        <v>11</v>
      </c>
      <c r="G21084" t="s">
        <v>514</v>
      </c>
    </row>
    <row r="21085" spans="1:7" x14ac:dyDescent="0.25">
      <c r="A21085" s="1" t="str">
        <f>"512318"</f>
        <v>512318</v>
      </c>
      <c r="B21085" s="2" t="str">
        <f>"ROTOR NM045 NDB4961201"</f>
        <v>ROTOR NM045 NDB4961201</v>
      </c>
      <c r="C21085" s="2" t="str">
        <f>"PC"</f>
        <v>PC</v>
      </c>
      <c r="D21085" s="7">
        <v>918</v>
      </c>
      <c r="E21085" s="3">
        <v>11</v>
      </c>
      <c r="F21085" s="3">
        <v>11</v>
      </c>
      <c r="G21085" t="s">
        <v>514</v>
      </c>
    </row>
    <row r="21086" spans="1:7" x14ac:dyDescent="0.25">
      <c r="A21086" s="1" t="str">
        <f>"510979"</f>
        <v>510979</v>
      </c>
      <c r="B21086" s="2" t="str">
        <f>"ROTOR NM053 NDB4960496 CP.2502519"</f>
        <v>ROTOR NM053 NDB4960496 CP.2502519</v>
      </c>
      <c r="C21086" s="2" t="str">
        <f>"PC"</f>
        <v>PC</v>
      </c>
      <c r="D21086" s="7">
        <v>918</v>
      </c>
      <c r="E21086" s="3">
        <v>11</v>
      </c>
      <c r="F21086" s="3">
        <v>11</v>
      </c>
      <c r="G21086" t="s">
        <v>514</v>
      </c>
    </row>
    <row r="21087" spans="1:7" x14ac:dyDescent="0.25">
      <c r="A21087" s="1" t="str">
        <f>"512316"</f>
        <v>512316</v>
      </c>
      <c r="B21087" s="2" t="str">
        <f>"ROTOR NM053 NMP5025995"</f>
        <v>ROTOR NM053 NMP5025995</v>
      </c>
      <c r="C21087" s="2" t="str">
        <f t="shared" ref="C21087:C21098" si="841">"UN"</f>
        <v>UN</v>
      </c>
      <c r="D21087" s="7">
        <v>918</v>
      </c>
      <c r="E21087" s="3">
        <v>11</v>
      </c>
      <c r="F21087" s="3">
        <v>11</v>
      </c>
      <c r="G21087" t="s">
        <v>513</v>
      </c>
    </row>
    <row r="21088" spans="1:7" x14ac:dyDescent="0.25">
      <c r="A21088" s="1" t="str">
        <f>"521860"</f>
        <v>521860</v>
      </c>
      <c r="B21088" s="2" t="str">
        <f>"ROTOR NM090 BH01L06N 304 CROMADO NDB4966904"</f>
        <v>ROTOR NM090 BH01L06N 304 CROMADO NDB4966904</v>
      </c>
      <c r="C21088" s="2" t="str">
        <f t="shared" si="841"/>
        <v>UN</v>
      </c>
      <c r="D21088" s="7">
        <v>918</v>
      </c>
      <c r="E21088" s="3">
        <v>11</v>
      </c>
      <c r="F21088" s="3">
        <v>11</v>
      </c>
      <c r="G21088" t="s">
        <v>512</v>
      </c>
    </row>
    <row r="21089" spans="1:7" x14ac:dyDescent="0.25">
      <c r="A21089" s="1" t="str">
        <f>"515977"</f>
        <v>515977</v>
      </c>
      <c r="B21089" s="2" t="str">
        <f>"ROTOR P/ BOMBA P11/6 AL 3CV 90X16MM"</f>
        <v>ROTOR P/ BOMBA P11/6 AL 3CV 90X16MM</v>
      </c>
      <c r="C21089" s="2" t="str">
        <f t="shared" si="841"/>
        <v>UN</v>
      </c>
      <c r="D21089" s="7">
        <v>99999</v>
      </c>
      <c r="E21089" s="3">
        <v>99</v>
      </c>
      <c r="F21089" s="3">
        <v>99</v>
      </c>
      <c r="G21089" t="s">
        <v>513</v>
      </c>
    </row>
    <row r="21090" spans="1:7" x14ac:dyDescent="0.25">
      <c r="A21090" s="1" t="str">
        <f>"516562"</f>
        <v>516562</v>
      </c>
      <c r="B21090" s="2" t="str">
        <f>"ROTOR P/BOMBA SUCCAO - 13 DENTES 143 X 101MM (EIXO QUADRADO)"</f>
        <v>ROTOR P/BOMBA SUCCAO - 13 DENTES 143 X 101MM (EIXO QUADRADO)</v>
      </c>
      <c r="C21090" s="2" t="str">
        <f t="shared" si="841"/>
        <v>UN</v>
      </c>
      <c r="D21090" s="7">
        <v>918</v>
      </c>
      <c r="E21090" s="3">
        <v>11</v>
      </c>
      <c r="F21090" s="3">
        <v>11</v>
      </c>
      <c r="G21090" t="s">
        <v>514</v>
      </c>
    </row>
    <row r="21091" spans="1:7" x14ac:dyDescent="0.25">
      <c r="A21091" s="1" t="str">
        <f>"504440"</f>
        <v>504440</v>
      </c>
      <c r="B21091" s="2" t="str">
        <f>"ROTOR P/BOMBA SUCCAO 047 - 09 DENTES 118 X 90MM"</f>
        <v>ROTOR P/BOMBA SUCCAO 047 - 09 DENTES 118 X 90MM</v>
      </c>
      <c r="C21091" s="2" t="str">
        <f t="shared" si="841"/>
        <v>UN</v>
      </c>
      <c r="D21091" s="7">
        <v>918</v>
      </c>
      <c r="E21091" s="3">
        <v>11</v>
      </c>
      <c r="F21091" s="3">
        <v>11</v>
      </c>
      <c r="G21091" t="s">
        <v>514</v>
      </c>
    </row>
    <row r="21092" spans="1:7" x14ac:dyDescent="0.25">
      <c r="A21092" s="1" t="str">
        <f>"504480"</f>
        <v>504480</v>
      </c>
      <c r="B21092" s="2" t="str">
        <f>"ROTOR P/BOMBA SUCCAO 047 - 10 DENTES 118 X 90 MM"</f>
        <v>ROTOR P/BOMBA SUCCAO 047 - 10 DENTES 118 X 90 MM</v>
      </c>
      <c r="C21092" s="2" t="str">
        <f t="shared" si="841"/>
        <v>UN</v>
      </c>
      <c r="D21092" s="7">
        <v>918</v>
      </c>
      <c r="E21092" s="3">
        <v>11</v>
      </c>
      <c r="F21092" s="3">
        <v>11</v>
      </c>
      <c r="G21092" t="s">
        <v>514</v>
      </c>
    </row>
    <row r="21093" spans="1:7" x14ac:dyDescent="0.25">
      <c r="A21093" s="1" t="str">
        <f>"504435"</f>
        <v>504435</v>
      </c>
      <c r="B21093" s="2" t="str">
        <f>"ROTOR P/BOMBA SUCCAO 047 - 13 DENTES 127 x 102MM"</f>
        <v>ROTOR P/BOMBA SUCCAO 047 - 13 DENTES 127 x 102MM</v>
      </c>
      <c r="C21093" s="2" t="str">
        <f t="shared" si="841"/>
        <v>UN</v>
      </c>
      <c r="D21093" s="7">
        <v>918</v>
      </c>
      <c r="E21093" s="3">
        <v>11</v>
      </c>
      <c r="F21093" s="3">
        <v>11</v>
      </c>
      <c r="G21093" t="s">
        <v>513</v>
      </c>
    </row>
    <row r="21094" spans="1:7" x14ac:dyDescent="0.25">
      <c r="A21094" s="1" t="str">
        <f>"516567"</f>
        <v>516567</v>
      </c>
      <c r="B21094" s="2" t="str">
        <f>"ROTOR SCHNEIDER BC-21R 1 1/2 CV DIAMETRO 104MM"</f>
        <v>ROTOR SCHNEIDER BC-21R 1 1/2 CV DIAMETRO 104MM</v>
      </c>
      <c r="C21094" s="2" t="str">
        <f t="shared" si="841"/>
        <v>UN</v>
      </c>
      <c r="D21094" s="7">
        <v>1400</v>
      </c>
      <c r="E21094" s="3">
        <v>11</v>
      </c>
      <c r="F21094" s="3">
        <v>11</v>
      </c>
      <c r="G21094" t="s">
        <v>513</v>
      </c>
    </row>
    <row r="21095" spans="1:7" x14ac:dyDescent="0.25">
      <c r="A21095" s="1" t="str">
        <f>"519055"</f>
        <v>519055</v>
      </c>
      <c r="B21095" s="2" t="str">
        <f>"ROTOR TOYOTA 8FGU25"</f>
        <v>ROTOR TOYOTA 8FGU25</v>
      </c>
      <c r="C21095" s="2" t="str">
        <f t="shared" si="841"/>
        <v>UN</v>
      </c>
      <c r="D21095" s="7">
        <v>918</v>
      </c>
      <c r="E21095" s="3">
        <v>11</v>
      </c>
      <c r="F21095" s="3">
        <v>11</v>
      </c>
      <c r="G21095" t="s">
        <v>513</v>
      </c>
    </row>
    <row r="21096" spans="1:7" x14ac:dyDescent="0.25">
      <c r="A21096" s="1" t="str">
        <f>"525030"</f>
        <v>525030</v>
      </c>
      <c r="B21096" s="8" t="s">
        <v>431</v>
      </c>
      <c r="C21096" s="2" t="str">
        <f t="shared" si="841"/>
        <v>UN</v>
      </c>
      <c r="D21096" s="7">
        <v>911</v>
      </c>
      <c r="E21096" s="3">
        <v>11</v>
      </c>
      <c r="F21096" s="3">
        <v>11</v>
      </c>
      <c r="G21096" t="s">
        <v>512</v>
      </c>
    </row>
    <row r="21097" spans="1:7" x14ac:dyDescent="0.25">
      <c r="A21097" s="1" t="str">
        <f>"525029"</f>
        <v>525029</v>
      </c>
      <c r="B21097" s="8" t="s">
        <v>430</v>
      </c>
      <c r="C21097" s="2" t="str">
        <f t="shared" si="841"/>
        <v>UN</v>
      </c>
      <c r="D21097" s="7">
        <v>911</v>
      </c>
      <c r="E21097" s="3">
        <v>11</v>
      </c>
      <c r="F21097" s="3">
        <v>11</v>
      </c>
      <c r="G21097" t="s">
        <v>513</v>
      </c>
    </row>
    <row r="21098" spans="1:7" x14ac:dyDescent="0.25">
      <c r="A21098" s="1" t="str">
        <f>"512014"</f>
        <v>512014</v>
      </c>
      <c r="B21098" s="2" t="str">
        <f>"ROTOR ZM-2 194MM FRIGOSTRELLA"</f>
        <v>ROTOR ZM-2 194MM FRIGOSTRELLA</v>
      </c>
      <c r="C21098" s="2" t="str">
        <f t="shared" si="841"/>
        <v>UN</v>
      </c>
      <c r="D21098" s="7">
        <v>918</v>
      </c>
      <c r="E21098" s="3">
        <v>11</v>
      </c>
      <c r="F21098" s="3">
        <v>11</v>
      </c>
      <c r="G21098" t="s">
        <v>514</v>
      </c>
    </row>
    <row r="21099" spans="1:7" x14ac:dyDescent="0.25">
      <c r="A21099" s="1" t="str">
        <f>"521196"</f>
        <v>521196</v>
      </c>
      <c r="B21099" s="2" t="str">
        <f>"ROTO-SYNTHETIC XTEND DUTY 20L"</f>
        <v>ROTO-SYNTHETIC XTEND DUTY 20L</v>
      </c>
      <c r="C21099" s="2" t="str">
        <f>"BR"</f>
        <v>BR</v>
      </c>
      <c r="D21099" s="7">
        <v>808</v>
      </c>
      <c r="E21099" s="3">
        <v>10</v>
      </c>
      <c r="F21099" s="3">
        <v>10</v>
      </c>
      <c r="G21099" t="s">
        <v>515</v>
      </c>
    </row>
    <row r="21100" spans="1:7" x14ac:dyDescent="0.25">
      <c r="A21100" s="1" t="str">
        <f>"521195"</f>
        <v>521195</v>
      </c>
      <c r="B21100" s="2" t="str">
        <f>"ROTO-SYNTHETIC XTEND DUTY 5L"</f>
        <v>ROTO-SYNTHETIC XTEND DUTY 5L</v>
      </c>
      <c r="C21100" s="2" t="str">
        <f>"BR"</f>
        <v>BR</v>
      </c>
      <c r="D21100" s="7">
        <v>808</v>
      </c>
      <c r="E21100" s="3">
        <v>10</v>
      </c>
      <c r="F21100" s="3">
        <v>10</v>
      </c>
      <c r="G21100" t="s">
        <v>512</v>
      </c>
    </row>
    <row r="21101" spans="1:7" x14ac:dyDescent="0.25">
      <c r="A21101" s="1" t="str">
        <f>"522382"</f>
        <v>522382</v>
      </c>
      <c r="B21101" s="2" t="str">
        <f>"ROTULA"</f>
        <v>ROTULA</v>
      </c>
      <c r="C21101" s="2" t="str">
        <f t="shared" ref="C21101:C21164" si="842">"UN"</f>
        <v>UN</v>
      </c>
      <c r="D21101" s="7">
        <v>99999</v>
      </c>
      <c r="E21101" s="3">
        <v>99</v>
      </c>
      <c r="F21101" s="3">
        <v>99</v>
      </c>
      <c r="G21101" t="s">
        <v>516</v>
      </c>
    </row>
    <row r="21102" spans="1:7" x14ac:dyDescent="0.25">
      <c r="A21102" s="1" t="str">
        <f>"517033"</f>
        <v>517033</v>
      </c>
      <c r="B21102" s="2" t="str">
        <f>"ROTULADEIRA"</f>
        <v>ROTULADEIRA</v>
      </c>
      <c r="C21102" s="2" t="str">
        <f t="shared" si="842"/>
        <v>UN</v>
      </c>
      <c r="D21102" s="7">
        <v>1300</v>
      </c>
      <c r="E21102" s="3">
        <v>13</v>
      </c>
      <c r="F21102" s="3">
        <v>13</v>
      </c>
      <c r="G21102" t="s">
        <v>515</v>
      </c>
    </row>
    <row r="21103" spans="1:7" x14ac:dyDescent="0.25">
      <c r="A21103" s="1" t="str">
        <f>"519008"</f>
        <v>519008</v>
      </c>
      <c r="B21103" s="2" t="str">
        <f>"ROTULADEIRA AUT. LINEAR AUTOADES ESSENCIAL PLUS CP-FW-40-OF"</f>
        <v>ROTULADEIRA AUT. LINEAR AUTOADES ESSENCIAL PLUS CP-FW-40-OF</v>
      </c>
      <c r="C21103" s="2" t="str">
        <f t="shared" si="842"/>
        <v>UN</v>
      </c>
      <c r="D21103" s="7">
        <v>1300</v>
      </c>
      <c r="E21103" s="3">
        <v>13</v>
      </c>
      <c r="F21103" s="3">
        <v>13</v>
      </c>
      <c r="G21103" t="s">
        <v>514</v>
      </c>
    </row>
    <row r="21104" spans="1:7" x14ac:dyDescent="0.25">
      <c r="A21104" s="1" t="str">
        <f>"503995"</f>
        <v>503995</v>
      </c>
      <c r="B21104" s="2" t="str">
        <f>"ROTULADEIRA SLEEVE 350 180/160GR"</f>
        <v>ROTULADEIRA SLEEVE 350 180/160GR</v>
      </c>
      <c r="C21104" s="2" t="str">
        <f t="shared" si="842"/>
        <v>UN</v>
      </c>
      <c r="D21104" s="7">
        <v>1300</v>
      </c>
      <c r="E21104" s="3">
        <v>13</v>
      </c>
      <c r="F21104" s="3">
        <v>13</v>
      </c>
      <c r="G21104" t="s">
        <v>512</v>
      </c>
    </row>
    <row r="21105" spans="1:7" x14ac:dyDescent="0.25">
      <c r="A21105" s="1" t="str">
        <f>"521894"</f>
        <v>521894</v>
      </c>
      <c r="B21105" s="2" t="str">
        <f>"ROTULADOR MANUAL TERMICO"</f>
        <v>ROTULADOR MANUAL TERMICO</v>
      </c>
      <c r="C21105" s="2" t="str">
        <f t="shared" si="842"/>
        <v>UN</v>
      </c>
      <c r="D21105" s="7">
        <v>99999</v>
      </c>
      <c r="E21105" s="3">
        <v>99</v>
      </c>
      <c r="F21105" s="3">
        <v>99</v>
      </c>
      <c r="G21105" t="s">
        <v>513</v>
      </c>
    </row>
    <row r="21106" spans="1:7" x14ac:dyDescent="0.25">
      <c r="A21106" s="1" t="str">
        <f>"516599"</f>
        <v>516599</v>
      </c>
      <c r="B21106" s="2" t="str">
        <f>"ROTULADORA SLEEVE - CAPACIDADE ATÉ 7000/HORA"</f>
        <v>ROTULADORA SLEEVE - CAPACIDADE ATÉ 7000/HORA</v>
      </c>
      <c r="C21106" s="2" t="str">
        <f t="shared" si="842"/>
        <v>UN</v>
      </c>
      <c r="D21106" s="7">
        <v>1300</v>
      </c>
      <c r="E21106" s="3">
        <v>13</v>
      </c>
      <c r="F21106" s="3">
        <v>13</v>
      </c>
      <c r="G21106" t="s">
        <v>514</v>
      </c>
    </row>
    <row r="21107" spans="1:7" x14ac:dyDescent="0.25">
      <c r="A21107" s="1" t="str">
        <f>"4179"</f>
        <v>4179</v>
      </c>
      <c r="B21107" s="2" t="str">
        <f>"ROTULO BEB. LACTEA ACAI C/ BANANA 1250G"</f>
        <v>ROTULO BEB. LACTEA ACAI C/ BANANA 1250G</v>
      </c>
      <c r="C21107" s="2" t="str">
        <f t="shared" si="842"/>
        <v>UN</v>
      </c>
      <c r="D21107" s="7">
        <v>112</v>
      </c>
      <c r="E21107" s="3">
        <v>1</v>
      </c>
      <c r="F21107" s="3">
        <v>1</v>
      </c>
      <c r="G21107" t="s">
        <v>514</v>
      </c>
    </row>
    <row r="21108" spans="1:7" x14ac:dyDescent="0.25">
      <c r="A21108" s="1" t="str">
        <f>"4188"</f>
        <v>4188</v>
      </c>
      <c r="B21108" s="2" t="str">
        <f>"ROTULO BEB. LACTEA ACAI C/ BANANA UNIBABY 1250G"</f>
        <v>ROTULO BEB. LACTEA ACAI C/ BANANA UNIBABY 1250G</v>
      </c>
      <c r="C21108" s="2" t="str">
        <f t="shared" si="842"/>
        <v>UN</v>
      </c>
      <c r="D21108" s="7">
        <v>112</v>
      </c>
      <c r="E21108" s="3">
        <v>1</v>
      </c>
      <c r="F21108" s="3">
        <v>1</v>
      </c>
      <c r="G21108" t="s">
        <v>512</v>
      </c>
    </row>
    <row r="21109" spans="1:7" x14ac:dyDescent="0.25">
      <c r="A21109" s="1" t="str">
        <f>"4178"</f>
        <v>4178</v>
      </c>
      <c r="B21109" s="2" t="str">
        <f>"ROTULO BEB. LACTEA ACAI C/ MORANGO 1250G"</f>
        <v>ROTULO BEB. LACTEA ACAI C/ MORANGO 1250G</v>
      </c>
      <c r="C21109" s="2" t="str">
        <f t="shared" si="842"/>
        <v>UN</v>
      </c>
      <c r="D21109" s="7">
        <v>112</v>
      </c>
      <c r="E21109" s="3">
        <v>1</v>
      </c>
      <c r="F21109" s="3">
        <v>1</v>
      </c>
      <c r="G21109" t="s">
        <v>513</v>
      </c>
    </row>
    <row r="21110" spans="1:7" x14ac:dyDescent="0.25">
      <c r="A21110" s="1" t="str">
        <f>"4189"</f>
        <v>4189</v>
      </c>
      <c r="B21110" s="2" t="str">
        <f>"ROTULO BEB. LACTEA ACAI C/ MORANGO UNIBABY 1250G"</f>
        <v>ROTULO BEB. LACTEA ACAI C/ MORANGO UNIBABY 1250G</v>
      </c>
      <c r="C21110" s="2" t="str">
        <f t="shared" si="842"/>
        <v>UN</v>
      </c>
      <c r="D21110" s="7">
        <v>112</v>
      </c>
      <c r="E21110" s="3">
        <v>1</v>
      </c>
      <c r="F21110" s="3">
        <v>1</v>
      </c>
      <c r="G21110" t="s">
        <v>514</v>
      </c>
    </row>
    <row r="21111" spans="1:7" x14ac:dyDescent="0.25">
      <c r="A21111" s="1" t="str">
        <f>"4065"</f>
        <v>4065</v>
      </c>
      <c r="B21111" s="2" t="str">
        <f>"ROTULO BEB. LACTEA C/ ACAI E BANANA 150G"</f>
        <v>ROTULO BEB. LACTEA C/ ACAI E BANANA 150G</v>
      </c>
      <c r="C21111" s="2" t="str">
        <f t="shared" si="842"/>
        <v>UN</v>
      </c>
      <c r="D21111" s="7">
        <v>112</v>
      </c>
      <c r="E21111" s="3">
        <v>1</v>
      </c>
      <c r="F21111" s="3">
        <v>1</v>
      </c>
      <c r="G21111" t="s">
        <v>514</v>
      </c>
    </row>
    <row r="21112" spans="1:7" x14ac:dyDescent="0.25">
      <c r="A21112" s="1" t="str">
        <f>"4064"</f>
        <v>4064</v>
      </c>
      <c r="B21112" s="2" t="str">
        <f>"ROTULO BEB. LACTEA C/ ACAI E BANANA 800G"</f>
        <v>ROTULO BEB. LACTEA C/ ACAI E BANANA 800G</v>
      </c>
      <c r="C21112" s="2" t="str">
        <f t="shared" si="842"/>
        <v>UN</v>
      </c>
      <c r="D21112" s="7">
        <v>112</v>
      </c>
      <c r="E21112" s="3">
        <v>1</v>
      </c>
      <c r="F21112" s="3">
        <v>1</v>
      </c>
      <c r="G21112" t="s">
        <v>514</v>
      </c>
    </row>
    <row r="21113" spans="1:7" x14ac:dyDescent="0.25">
      <c r="A21113" s="1" t="str">
        <f>"4063"</f>
        <v>4063</v>
      </c>
      <c r="B21113" s="2" t="str">
        <f>"ROTULO BEB. LACTEA C/ ACAI E GUARANA 150G"</f>
        <v>ROTULO BEB. LACTEA C/ ACAI E GUARANA 150G</v>
      </c>
      <c r="C21113" s="2" t="str">
        <f t="shared" si="842"/>
        <v>UN</v>
      </c>
      <c r="D21113" s="7">
        <v>112</v>
      </c>
      <c r="E21113" s="3">
        <v>1</v>
      </c>
      <c r="F21113" s="3">
        <v>1</v>
      </c>
      <c r="G21113" t="s">
        <v>513</v>
      </c>
    </row>
    <row r="21114" spans="1:7" x14ac:dyDescent="0.25">
      <c r="A21114" s="1" t="str">
        <f>"4062"</f>
        <v>4062</v>
      </c>
      <c r="B21114" s="2" t="str">
        <f>"ROTULO BEB. LACTEA C/ ACAI E GUARANA 800G"</f>
        <v>ROTULO BEB. LACTEA C/ ACAI E GUARANA 800G</v>
      </c>
      <c r="C21114" s="2" t="str">
        <f t="shared" si="842"/>
        <v>UN</v>
      </c>
      <c r="D21114" s="7">
        <v>112</v>
      </c>
      <c r="E21114" s="3">
        <v>1</v>
      </c>
      <c r="F21114" s="3">
        <v>1</v>
      </c>
      <c r="G21114" t="s">
        <v>512</v>
      </c>
    </row>
    <row r="21115" spans="1:7" x14ac:dyDescent="0.25">
      <c r="A21115" s="1" t="str">
        <f>"4067"</f>
        <v>4067</v>
      </c>
      <c r="B21115" s="2" t="str">
        <f>"ROTULO BEB. LACTEA C/ ACAI E MORANGO 150G"</f>
        <v>ROTULO BEB. LACTEA C/ ACAI E MORANGO 150G</v>
      </c>
      <c r="C21115" s="2" t="str">
        <f t="shared" si="842"/>
        <v>UN</v>
      </c>
      <c r="D21115" s="7">
        <v>112</v>
      </c>
      <c r="E21115" s="3">
        <v>1</v>
      </c>
      <c r="F21115" s="3">
        <v>1</v>
      </c>
      <c r="G21115" t="s">
        <v>513</v>
      </c>
    </row>
    <row r="21116" spans="1:7" x14ac:dyDescent="0.25">
      <c r="A21116" s="1" t="str">
        <f>"4066"</f>
        <v>4066</v>
      </c>
      <c r="B21116" s="2" t="str">
        <f>"ROTULO BEB. LACTEA C/ ACAI E MORANGO 800G"</f>
        <v>ROTULO BEB. LACTEA C/ ACAI E MORANGO 800G</v>
      </c>
      <c r="C21116" s="2" t="str">
        <f t="shared" si="842"/>
        <v>UN</v>
      </c>
      <c r="D21116" s="7">
        <v>112</v>
      </c>
      <c r="E21116" s="3">
        <v>1</v>
      </c>
      <c r="F21116" s="3">
        <v>1</v>
      </c>
      <c r="G21116" t="s">
        <v>514</v>
      </c>
    </row>
    <row r="21117" spans="1:7" x14ac:dyDescent="0.25">
      <c r="A21117" s="1" t="str">
        <f>"4049"</f>
        <v>4049</v>
      </c>
      <c r="B21117" s="2" t="str">
        <f>"ROTULO BEB. LACTEA COCO 150G (CAROLINA TRADICIONAL)"</f>
        <v>ROTULO BEB. LACTEA COCO 150G (CAROLINA TRADICIONAL)</v>
      </c>
      <c r="C21117" s="2" t="str">
        <f t="shared" si="842"/>
        <v>UN</v>
      </c>
      <c r="D21117" s="7">
        <v>112</v>
      </c>
      <c r="E21117" s="3">
        <v>1</v>
      </c>
      <c r="F21117" s="3">
        <v>1</v>
      </c>
      <c r="G21117" t="s">
        <v>514</v>
      </c>
    </row>
    <row r="21118" spans="1:7" x14ac:dyDescent="0.25">
      <c r="A21118" s="1" t="str">
        <f>"4042"</f>
        <v>4042</v>
      </c>
      <c r="B21118" s="2" t="str">
        <f>"ROTULO BEB. LACTEA COCO 800G (CAROLINA TRADICIONAL)"</f>
        <v>ROTULO BEB. LACTEA COCO 800G (CAROLINA TRADICIONAL)</v>
      </c>
      <c r="C21118" s="2" t="str">
        <f t="shared" si="842"/>
        <v>UN</v>
      </c>
      <c r="D21118" s="7">
        <v>112</v>
      </c>
      <c r="E21118" s="3">
        <v>1</v>
      </c>
      <c r="F21118" s="3">
        <v>1</v>
      </c>
      <c r="G21118" t="s">
        <v>514</v>
      </c>
    </row>
    <row r="21119" spans="1:7" x14ac:dyDescent="0.25">
      <c r="A21119" s="1" t="str">
        <f>"4051"</f>
        <v>4051</v>
      </c>
      <c r="B21119" s="2" t="str">
        <f>"ROTULO BEB. LACTEA F. VERMELHAS 150G (CAROLINA TRADICIONAL)"</f>
        <v>ROTULO BEB. LACTEA F. VERMELHAS 150G (CAROLINA TRADICIONAL)</v>
      </c>
      <c r="C21119" s="2" t="str">
        <f t="shared" si="842"/>
        <v>UN</v>
      </c>
      <c r="D21119" s="7">
        <v>112</v>
      </c>
      <c r="E21119" s="3">
        <v>1</v>
      </c>
      <c r="F21119" s="3">
        <v>1</v>
      </c>
      <c r="G21119" t="s">
        <v>513</v>
      </c>
    </row>
    <row r="21120" spans="1:7" x14ac:dyDescent="0.25">
      <c r="A21120" s="1" t="str">
        <f>"4044"</f>
        <v>4044</v>
      </c>
      <c r="B21120" s="2" t="str">
        <f>"ROTULO BEB. LACTEA F. VERMELHAS 800G (CAROLINA TRADICIONAL)"</f>
        <v>ROTULO BEB. LACTEA F. VERMELHAS 800G (CAROLINA TRADICIONAL)</v>
      </c>
      <c r="C21120" s="2" t="str">
        <f t="shared" si="842"/>
        <v>UN</v>
      </c>
      <c r="D21120" s="7">
        <v>112</v>
      </c>
      <c r="E21120" s="3">
        <v>1</v>
      </c>
      <c r="F21120" s="3">
        <v>1</v>
      </c>
      <c r="G21120" t="s">
        <v>513</v>
      </c>
    </row>
    <row r="21121" spans="1:7" x14ac:dyDescent="0.25">
      <c r="A21121" s="1" t="str">
        <f>"4190"</f>
        <v>4190</v>
      </c>
      <c r="B21121" s="2" t="str">
        <f>"ROTULO BEB. LACTEA FRUTAS VERMELHAS UNIBABY 1250G"</f>
        <v>ROTULO BEB. LACTEA FRUTAS VERMELHAS UNIBABY 1250G</v>
      </c>
      <c r="C21121" s="2" t="str">
        <f t="shared" si="842"/>
        <v>UN</v>
      </c>
      <c r="D21121" s="7">
        <v>112</v>
      </c>
      <c r="E21121" s="3">
        <v>1</v>
      </c>
      <c r="F21121" s="3">
        <v>1</v>
      </c>
      <c r="G21121" t="s">
        <v>513</v>
      </c>
    </row>
    <row r="21122" spans="1:7" x14ac:dyDescent="0.25">
      <c r="A21122" s="1" t="str">
        <f>"4180"</f>
        <v>4180</v>
      </c>
      <c r="B21122" s="2" t="str">
        <f>"ROTULO BEB. LACTEA FRUTAS VERMERLHAS 1250G (CAROLINA TRAD)"</f>
        <v>ROTULO BEB. LACTEA FRUTAS VERMERLHAS 1250G (CAROLINA TRAD)</v>
      </c>
      <c r="C21122" s="2" t="str">
        <f t="shared" si="842"/>
        <v>UN</v>
      </c>
      <c r="D21122" s="7">
        <v>112</v>
      </c>
      <c r="E21122" s="3">
        <v>1</v>
      </c>
      <c r="F21122" s="3">
        <v>1</v>
      </c>
      <c r="G21122" t="s">
        <v>512</v>
      </c>
    </row>
    <row r="21123" spans="1:7" x14ac:dyDescent="0.25">
      <c r="A21123" s="1" t="str">
        <f>"4050"</f>
        <v>4050</v>
      </c>
      <c r="B21123" s="2" t="str">
        <f>"ROTULO BEB. LACTEA GRAVIOLA 150G (CAROLINA TRADICIONAL)"</f>
        <v>ROTULO BEB. LACTEA GRAVIOLA 150G (CAROLINA TRADICIONAL)</v>
      </c>
      <c r="C21123" s="2" t="str">
        <f t="shared" si="842"/>
        <v>UN</v>
      </c>
      <c r="D21123" s="7">
        <v>112</v>
      </c>
      <c r="E21123" s="3">
        <v>1</v>
      </c>
      <c r="F21123" s="3">
        <v>1</v>
      </c>
      <c r="G21123" t="s">
        <v>513</v>
      </c>
    </row>
    <row r="21124" spans="1:7" x14ac:dyDescent="0.25">
      <c r="A21124" s="1" t="str">
        <f>"4043"</f>
        <v>4043</v>
      </c>
      <c r="B21124" s="2" t="str">
        <f>"ROTULO BEB. LACTEA GRAVIOLA 800G (CAROLINA TRADICIONAL)"</f>
        <v>ROTULO BEB. LACTEA GRAVIOLA 800G (CAROLINA TRADICIONAL)</v>
      </c>
      <c r="C21124" s="2" t="str">
        <f t="shared" si="842"/>
        <v>UN</v>
      </c>
      <c r="D21124" s="7">
        <v>112</v>
      </c>
      <c r="E21124" s="3">
        <v>1</v>
      </c>
      <c r="F21124" s="3">
        <v>1</v>
      </c>
      <c r="G21124" t="s">
        <v>514</v>
      </c>
    </row>
    <row r="21125" spans="1:7" x14ac:dyDescent="0.25">
      <c r="A21125" s="1" t="str">
        <f>"4045"</f>
        <v>4045</v>
      </c>
      <c r="B21125" s="2" t="str">
        <f>"ROTULO BEB. LACTEA MORANGO 1250G (CAROLINA TRADICIONAL)"</f>
        <v>ROTULO BEB. LACTEA MORANGO 1250G (CAROLINA TRADICIONAL)</v>
      </c>
      <c r="C21125" s="2" t="str">
        <f t="shared" si="842"/>
        <v>UN</v>
      </c>
      <c r="D21125" s="7">
        <v>112</v>
      </c>
      <c r="E21125" s="3">
        <v>1</v>
      </c>
      <c r="F21125" s="3">
        <v>1</v>
      </c>
      <c r="G21125" t="s">
        <v>515</v>
      </c>
    </row>
    <row r="21126" spans="1:7" x14ac:dyDescent="0.25">
      <c r="A21126" s="1" t="str">
        <f>"4047"</f>
        <v>4047</v>
      </c>
      <c r="B21126" s="2" t="str">
        <f>"ROTULO BEB. LACTEA MORANGO 150G (CAROLINA TRADICIONAL)"</f>
        <v>ROTULO BEB. LACTEA MORANGO 150G (CAROLINA TRADICIONAL)</v>
      </c>
      <c r="C21126" s="2" t="str">
        <f t="shared" si="842"/>
        <v>UN</v>
      </c>
      <c r="D21126" s="7">
        <v>112</v>
      </c>
      <c r="E21126" s="3">
        <v>1</v>
      </c>
      <c r="F21126" s="3">
        <v>1</v>
      </c>
      <c r="G21126" t="s">
        <v>512</v>
      </c>
    </row>
    <row r="21127" spans="1:7" x14ac:dyDescent="0.25">
      <c r="A21127" s="1" t="str">
        <f>"4040"</f>
        <v>4040</v>
      </c>
      <c r="B21127" s="2" t="str">
        <f>"ROTULO BEB. LACTEA MORANGO 800G (CAROLINA TRADICIONAL)"</f>
        <v>ROTULO BEB. LACTEA MORANGO 800G (CAROLINA TRADICIONAL)</v>
      </c>
      <c r="C21127" s="2" t="str">
        <f t="shared" si="842"/>
        <v>UN</v>
      </c>
      <c r="D21127" s="7">
        <v>112</v>
      </c>
      <c r="E21127" s="3">
        <v>1</v>
      </c>
      <c r="F21127" s="3">
        <v>1</v>
      </c>
      <c r="G21127" t="s">
        <v>516</v>
      </c>
    </row>
    <row r="21128" spans="1:7" x14ac:dyDescent="0.25">
      <c r="A21128" s="1" t="str">
        <f>"4191"</f>
        <v>4191</v>
      </c>
      <c r="B21128" s="2" t="str">
        <f>"ROTULO BEB. LACTEA MORANGO UNIBABY 1250G"</f>
        <v>ROTULO BEB. LACTEA MORANGO UNIBABY 1250G</v>
      </c>
      <c r="C21128" s="2" t="str">
        <f t="shared" si="842"/>
        <v>UN</v>
      </c>
      <c r="D21128" s="7">
        <v>112</v>
      </c>
      <c r="E21128" s="3">
        <v>1</v>
      </c>
      <c r="F21128" s="3">
        <v>1</v>
      </c>
      <c r="G21128" t="s">
        <v>515</v>
      </c>
    </row>
    <row r="21129" spans="1:7" x14ac:dyDescent="0.25">
      <c r="A21129" s="1" t="str">
        <f>"4046"</f>
        <v>4046</v>
      </c>
      <c r="B21129" s="2" t="str">
        <f>"ROTULO BEB. LACTEA SALADA FRUTAS 1250G -CAROLINA TRADICIONAL"</f>
        <v>ROTULO BEB. LACTEA SALADA FRUTAS 1250G -CAROLINA TRADICIONAL</v>
      </c>
      <c r="C21129" s="2" t="str">
        <f t="shared" si="842"/>
        <v>UN</v>
      </c>
      <c r="D21129" s="7">
        <v>112</v>
      </c>
      <c r="E21129" s="3">
        <v>1</v>
      </c>
      <c r="F21129" s="3">
        <v>1</v>
      </c>
      <c r="G21129" t="s">
        <v>514</v>
      </c>
    </row>
    <row r="21130" spans="1:7" x14ac:dyDescent="0.25">
      <c r="A21130" s="1" t="str">
        <f>"4048"</f>
        <v>4048</v>
      </c>
      <c r="B21130" s="2" t="str">
        <f>"ROTULO BEB. LACTEA SALADA FRUTAS 150G (CAROLINA TRADICIONAL)"</f>
        <v>ROTULO BEB. LACTEA SALADA FRUTAS 150G (CAROLINA TRADICIONAL)</v>
      </c>
      <c r="C21130" s="2" t="str">
        <f t="shared" si="842"/>
        <v>UN</v>
      </c>
      <c r="D21130" s="7">
        <v>112</v>
      </c>
      <c r="E21130" s="3">
        <v>1</v>
      </c>
      <c r="F21130" s="3">
        <v>1</v>
      </c>
      <c r="G21130" t="s">
        <v>512</v>
      </c>
    </row>
    <row r="21131" spans="1:7" x14ac:dyDescent="0.25">
      <c r="A21131" s="1" t="str">
        <f>"4041"</f>
        <v>4041</v>
      </c>
      <c r="B21131" s="2" t="str">
        <f>"ROTULO BEB. LACTEA SALADA FRUTAS 800G (CAROLINA TRADICIONAL)"</f>
        <v>ROTULO BEB. LACTEA SALADA FRUTAS 800G (CAROLINA TRADICIONAL)</v>
      </c>
      <c r="C21131" s="2" t="str">
        <f t="shared" si="842"/>
        <v>UN</v>
      </c>
      <c r="D21131" s="7">
        <v>112</v>
      </c>
      <c r="E21131" s="3">
        <v>1</v>
      </c>
      <c r="F21131" s="3">
        <v>1</v>
      </c>
      <c r="G21131" t="s">
        <v>513</v>
      </c>
    </row>
    <row r="21132" spans="1:7" x14ac:dyDescent="0.25">
      <c r="A21132" s="1" t="str">
        <f>"4192"</f>
        <v>4192</v>
      </c>
      <c r="B21132" s="2" t="str">
        <f>"ROTULO BEB. LACTEA SALADA UNIBABY 1250G"</f>
        <v>ROTULO BEB. LACTEA SALADA UNIBABY 1250G</v>
      </c>
      <c r="C21132" s="2" t="str">
        <f t="shared" si="842"/>
        <v>UN</v>
      </c>
      <c r="D21132" s="7">
        <v>112</v>
      </c>
      <c r="E21132" s="3">
        <v>1</v>
      </c>
      <c r="F21132" s="3">
        <v>1</v>
      </c>
      <c r="G21132" t="s">
        <v>514</v>
      </c>
    </row>
    <row r="21133" spans="1:7" x14ac:dyDescent="0.25">
      <c r="A21133" s="1" t="str">
        <f>"4068"</f>
        <v>4068</v>
      </c>
      <c r="B21133" s="2" t="str">
        <f>"ROTULO IOGURTE PEDACOS PESSEGO 100G"</f>
        <v>ROTULO IOGURTE PEDACOS PESSEGO 100G</v>
      </c>
      <c r="C21133" s="2" t="str">
        <f t="shared" si="842"/>
        <v>UN</v>
      </c>
      <c r="D21133" s="7">
        <v>112</v>
      </c>
      <c r="E21133" s="3">
        <v>1</v>
      </c>
      <c r="F21133" s="3">
        <v>1</v>
      </c>
      <c r="G21133" t="s">
        <v>514</v>
      </c>
    </row>
    <row r="21134" spans="1:7" x14ac:dyDescent="0.25">
      <c r="A21134" s="1" t="str">
        <f>"4069"</f>
        <v>4069</v>
      </c>
      <c r="B21134" s="2" t="str">
        <f>"ROTULO IOGURTE PEDACOS PESSEGO 500G"</f>
        <v>ROTULO IOGURTE PEDACOS PESSEGO 500G</v>
      </c>
      <c r="C21134" s="2" t="str">
        <f t="shared" si="842"/>
        <v>UN</v>
      </c>
      <c r="D21134" s="7">
        <v>112</v>
      </c>
      <c r="E21134" s="3">
        <v>1</v>
      </c>
      <c r="F21134" s="3">
        <v>1</v>
      </c>
      <c r="G21134" t="s">
        <v>512</v>
      </c>
    </row>
    <row r="21135" spans="1:7" x14ac:dyDescent="0.25">
      <c r="A21135" s="1" t="str">
        <f>"4182"</f>
        <v>4182</v>
      </c>
      <c r="B21135" s="2" t="str">
        <f>"ROTULO LEITE FERMENTADO 115GR (UNIBABY)"</f>
        <v>ROTULO LEITE FERMENTADO 115GR (UNIBABY)</v>
      </c>
      <c r="C21135" s="2" t="str">
        <f t="shared" si="842"/>
        <v>UN</v>
      </c>
      <c r="D21135" s="7">
        <v>112</v>
      </c>
      <c r="E21135" s="3">
        <v>1</v>
      </c>
      <c r="F21135" s="3">
        <v>1</v>
      </c>
      <c r="G21135" t="s">
        <v>513</v>
      </c>
    </row>
    <row r="21136" spans="1:7" x14ac:dyDescent="0.25">
      <c r="A21136" s="1" t="str">
        <f>"524530"</f>
        <v>524530</v>
      </c>
      <c r="B21136" s="2" t="str">
        <f>"ROTULO TERMOENCOLHIVEL PROJETO ROUGE"</f>
        <v>ROTULO TERMOENCOLHIVEL PROJETO ROUGE</v>
      </c>
      <c r="C21136" s="2" t="str">
        <f t="shared" si="842"/>
        <v>UN</v>
      </c>
      <c r="D21136" s="7">
        <v>99999</v>
      </c>
      <c r="E21136" s="3">
        <v>99</v>
      </c>
      <c r="F21136" s="3">
        <v>99</v>
      </c>
      <c r="G21136" t="s">
        <v>514</v>
      </c>
    </row>
    <row r="21137" spans="1:7" x14ac:dyDescent="0.25">
      <c r="A21137" s="1" t="str">
        <f>"743"</f>
        <v>743</v>
      </c>
      <c r="B21137" s="2" t="str">
        <f>"ROTULOS ADOÇADO 100GR DESNATADO LIGHT (GREGO)"</f>
        <v>ROTULOS ADOÇADO 100GR DESNATADO LIGHT (GREGO)</v>
      </c>
      <c r="C21137" s="2" t="str">
        <f t="shared" si="842"/>
        <v>UN</v>
      </c>
      <c r="D21137" s="7">
        <v>32</v>
      </c>
      <c r="E21137" s="3">
        <v>1</v>
      </c>
      <c r="F21137" s="3">
        <v>1</v>
      </c>
      <c r="G21137" t="s">
        <v>514</v>
      </c>
    </row>
    <row r="21138" spans="1:7" x14ac:dyDescent="0.25">
      <c r="A21138" s="1" t="str">
        <f>"2437"</f>
        <v>2437</v>
      </c>
      <c r="B21138" s="2" t="str">
        <f>"ROTULOS B.L. 1,25KG GRAVIOLA (QUALITA)"</f>
        <v>ROTULOS B.L. 1,25KG GRAVIOLA (QUALITA)</v>
      </c>
      <c r="C21138" s="2" t="str">
        <f t="shared" si="842"/>
        <v>UN</v>
      </c>
      <c r="D21138" s="7">
        <v>112</v>
      </c>
      <c r="E21138" s="3">
        <v>1</v>
      </c>
      <c r="F21138" s="3">
        <v>1</v>
      </c>
      <c r="G21138" t="s">
        <v>514</v>
      </c>
    </row>
    <row r="21139" spans="1:7" x14ac:dyDescent="0.25">
      <c r="A21139" s="1" t="str">
        <f>"2439"</f>
        <v>2439</v>
      </c>
      <c r="B21139" s="2" t="str">
        <f>"ROTULOS B.L. 1.250GR MAÇÃ/MAMÃO/BANANA (DIA%)"</f>
        <v>ROTULOS B.L. 1.250GR MAÇÃ/MAMÃO/BANANA (DIA%)</v>
      </c>
      <c r="C21139" s="2" t="str">
        <f t="shared" si="842"/>
        <v>UN</v>
      </c>
      <c r="D21139" s="7">
        <v>112</v>
      </c>
      <c r="E21139" s="3">
        <v>1</v>
      </c>
      <c r="F21139" s="3">
        <v>1</v>
      </c>
      <c r="G21139" t="s">
        <v>513</v>
      </c>
    </row>
    <row r="21140" spans="1:7" x14ac:dyDescent="0.25">
      <c r="A21140" s="1" t="str">
        <f>"2440"</f>
        <v>2440</v>
      </c>
      <c r="B21140" s="2" t="str">
        <f>"ROTULOS B.L. 1.250GR MOR/AMORA/FRAMBOESA (DIA%)"</f>
        <v>ROTULOS B.L. 1.250GR MOR/AMORA/FRAMBOESA (DIA%)</v>
      </c>
      <c r="C21140" s="2" t="str">
        <f t="shared" si="842"/>
        <v>UN</v>
      </c>
      <c r="D21140" s="7">
        <v>112</v>
      </c>
      <c r="E21140" s="3">
        <v>1</v>
      </c>
      <c r="F21140" s="3">
        <v>1</v>
      </c>
      <c r="G21140" t="s">
        <v>512</v>
      </c>
    </row>
    <row r="21141" spans="1:7" x14ac:dyDescent="0.25">
      <c r="A21141" s="1" t="str">
        <f>"2441"</f>
        <v>2441</v>
      </c>
      <c r="B21141" s="2" t="str">
        <f>"ROTULOS B.L. 1.250GR MORANGO (CARREFOUR)"</f>
        <v>ROTULOS B.L. 1.250GR MORANGO (CARREFOUR)</v>
      </c>
      <c r="C21141" s="2" t="str">
        <f t="shared" si="842"/>
        <v>UN</v>
      </c>
      <c r="D21141" s="7">
        <v>112</v>
      </c>
      <c r="E21141" s="3">
        <v>1</v>
      </c>
      <c r="F21141" s="3">
        <v>1</v>
      </c>
      <c r="G21141" t="s">
        <v>513</v>
      </c>
    </row>
    <row r="21142" spans="1:7" x14ac:dyDescent="0.25">
      <c r="A21142" s="1" t="str">
        <f>"2438"</f>
        <v>2438</v>
      </c>
      <c r="B21142" s="2" t="str">
        <f>"ROTULOS B.L. 1.250GR MORANGO (DIA%)"</f>
        <v>ROTULOS B.L. 1.250GR MORANGO (DIA%)</v>
      </c>
      <c r="C21142" s="2" t="str">
        <f t="shared" si="842"/>
        <v>UN</v>
      </c>
      <c r="D21142" s="7">
        <v>112</v>
      </c>
      <c r="E21142" s="3">
        <v>1</v>
      </c>
      <c r="F21142" s="3">
        <v>1</v>
      </c>
      <c r="G21142" t="s">
        <v>514</v>
      </c>
    </row>
    <row r="21143" spans="1:7" x14ac:dyDescent="0.25">
      <c r="A21143" s="1" t="str">
        <f>"2436"</f>
        <v>2436</v>
      </c>
      <c r="B21143" s="2" t="str">
        <f>"ROTULOS B.L. 1.250GR MORANGO (QUALITA)"</f>
        <v>ROTULOS B.L. 1.250GR MORANGO (QUALITA)</v>
      </c>
      <c r="C21143" s="2" t="str">
        <f t="shared" si="842"/>
        <v>UN</v>
      </c>
      <c r="D21143" s="7">
        <v>112</v>
      </c>
      <c r="E21143" s="3">
        <v>1</v>
      </c>
      <c r="F21143" s="3">
        <v>1</v>
      </c>
      <c r="G21143" t="s">
        <v>514</v>
      </c>
    </row>
    <row r="21144" spans="1:7" x14ac:dyDescent="0.25">
      <c r="A21144" s="1" t="str">
        <f>"724"</f>
        <v>724</v>
      </c>
      <c r="B21144" s="2" t="str">
        <f>"ROTULOS B.L. 150GR MORANGO (COOP)"</f>
        <v>ROTULOS B.L. 150GR MORANGO (COOP)</v>
      </c>
      <c r="C21144" s="2" t="str">
        <f t="shared" si="842"/>
        <v>UN</v>
      </c>
      <c r="D21144" s="7">
        <v>112</v>
      </c>
      <c r="E21144" s="3">
        <v>1</v>
      </c>
      <c r="F21144" s="3">
        <v>1</v>
      </c>
      <c r="G21144" t="s">
        <v>514</v>
      </c>
    </row>
    <row r="21145" spans="1:7" x14ac:dyDescent="0.25">
      <c r="A21145" s="1" t="str">
        <f>"762"</f>
        <v>762</v>
      </c>
      <c r="B21145" s="2" t="str">
        <f>"ROTULOS B.L. 150GR SALADA DE FRUTAS (COOP)"</f>
        <v>ROTULOS B.L. 150GR SALADA DE FRUTAS (COOP)</v>
      </c>
      <c r="C21145" s="2" t="str">
        <f t="shared" si="842"/>
        <v>UN</v>
      </c>
      <c r="D21145" s="7">
        <v>112</v>
      </c>
      <c r="E21145" s="3">
        <v>1</v>
      </c>
      <c r="F21145" s="3">
        <v>1</v>
      </c>
      <c r="G21145" t="s">
        <v>513</v>
      </c>
    </row>
    <row r="21146" spans="1:7" x14ac:dyDescent="0.25">
      <c r="A21146" s="1" t="str">
        <f>"2427"</f>
        <v>2427</v>
      </c>
      <c r="B21146" s="2" t="str">
        <f>"ROTULOS B.L. 160GR COCO (DIA%)"</f>
        <v>ROTULOS B.L. 160GR COCO (DIA%)</v>
      </c>
      <c r="C21146" s="2" t="str">
        <f t="shared" si="842"/>
        <v>UN</v>
      </c>
      <c r="D21146" s="7">
        <v>112</v>
      </c>
      <c r="E21146" s="3">
        <v>1</v>
      </c>
      <c r="F21146" s="3">
        <v>1</v>
      </c>
      <c r="G21146" t="s">
        <v>513</v>
      </c>
    </row>
    <row r="21147" spans="1:7" x14ac:dyDescent="0.25">
      <c r="A21147" s="1" t="str">
        <f>"2406"</f>
        <v>2406</v>
      </c>
      <c r="B21147" s="2" t="str">
        <f>"ROTULOS B.L. 160GR COCO (QUALITA)"</f>
        <v>ROTULOS B.L. 160GR COCO (QUALITA)</v>
      </c>
      <c r="C21147" s="2" t="str">
        <f t="shared" si="842"/>
        <v>UN</v>
      </c>
      <c r="D21147" s="7">
        <v>112</v>
      </c>
      <c r="E21147" s="3">
        <v>1</v>
      </c>
      <c r="F21147" s="3">
        <v>1</v>
      </c>
      <c r="G21147" t="s">
        <v>513</v>
      </c>
    </row>
    <row r="21148" spans="1:7" x14ac:dyDescent="0.25">
      <c r="A21148" s="1" t="str">
        <f>"723"</f>
        <v>723</v>
      </c>
      <c r="B21148" s="2" t="str">
        <f>"ROTULOS B.L. 160GR FR/VERMELHAS (COOP)"</f>
        <v>ROTULOS B.L. 160GR FR/VERMELHAS (COOP)</v>
      </c>
      <c r="C21148" s="2" t="str">
        <f t="shared" si="842"/>
        <v>UN</v>
      </c>
      <c r="D21148" s="7">
        <v>112</v>
      </c>
      <c r="E21148" s="3">
        <v>1</v>
      </c>
      <c r="F21148" s="3">
        <v>1</v>
      </c>
      <c r="G21148" t="s">
        <v>512</v>
      </c>
    </row>
    <row r="21149" spans="1:7" x14ac:dyDescent="0.25">
      <c r="A21149" s="1" t="str">
        <f>"2428"</f>
        <v>2428</v>
      </c>
      <c r="B21149" s="2" t="str">
        <f>"ROTULOS B.L. 160GR FRUTAS VERMELHAS  (DIA%)"</f>
        <v>ROTULOS B.L. 160GR FRUTAS VERMELHAS  (DIA%)</v>
      </c>
      <c r="C21149" s="2" t="str">
        <f t="shared" si="842"/>
        <v>UN</v>
      </c>
      <c r="D21149" s="7">
        <v>112</v>
      </c>
      <c r="E21149" s="3">
        <v>1</v>
      </c>
      <c r="F21149" s="3">
        <v>1</v>
      </c>
      <c r="G21149" t="s">
        <v>513</v>
      </c>
    </row>
    <row r="21150" spans="1:7" x14ac:dyDescent="0.25">
      <c r="A21150" s="1" t="str">
        <f>"2407"</f>
        <v>2407</v>
      </c>
      <c r="B21150" s="2" t="str">
        <f>"ROTULOS B.L. 160GR GRAVIOLA (QUALITA)"</f>
        <v>ROTULOS B.L. 160GR GRAVIOLA (QUALITA)</v>
      </c>
      <c r="C21150" s="2" t="str">
        <f t="shared" si="842"/>
        <v>UN</v>
      </c>
      <c r="D21150" s="7">
        <v>112</v>
      </c>
      <c r="E21150" s="3">
        <v>1</v>
      </c>
      <c r="F21150" s="3">
        <v>1</v>
      </c>
      <c r="G21150" t="s">
        <v>514</v>
      </c>
    </row>
    <row r="21151" spans="1:7" x14ac:dyDescent="0.25">
      <c r="A21151" s="1" t="str">
        <f>"2410"</f>
        <v>2410</v>
      </c>
      <c r="B21151" s="2" t="str">
        <f>"ROTULOS B.L. 160GR MAÇÃ/MAMÃO/BANANA (QUALITA)"</f>
        <v>ROTULOS B.L. 160GR MAÇÃ/MAMÃO/BANANA (QUALITA)</v>
      </c>
      <c r="C21151" s="2" t="str">
        <f t="shared" si="842"/>
        <v>UN</v>
      </c>
      <c r="D21151" s="7">
        <v>112</v>
      </c>
      <c r="E21151" s="3">
        <v>1</v>
      </c>
      <c r="F21151" s="3">
        <v>1</v>
      </c>
      <c r="G21151" t="s">
        <v>515</v>
      </c>
    </row>
    <row r="21152" spans="1:7" x14ac:dyDescent="0.25">
      <c r="A21152" s="1" t="str">
        <f>"2409"</f>
        <v>2409</v>
      </c>
      <c r="B21152" s="2" t="str">
        <f>"ROTULOS B.L. 160GR MOR/AMORA/FRAMBOESA (QUALITA)"</f>
        <v>ROTULOS B.L. 160GR MOR/AMORA/FRAMBOESA (QUALITA)</v>
      </c>
      <c r="C21152" s="2" t="str">
        <f t="shared" si="842"/>
        <v>UN</v>
      </c>
      <c r="D21152" s="7">
        <v>112</v>
      </c>
      <c r="E21152" s="3">
        <v>1</v>
      </c>
      <c r="F21152" s="3">
        <v>1</v>
      </c>
      <c r="G21152" t="s">
        <v>512</v>
      </c>
    </row>
    <row r="21153" spans="1:7" x14ac:dyDescent="0.25">
      <c r="A21153" s="1" t="str">
        <f>"2426"</f>
        <v>2426</v>
      </c>
      <c r="B21153" s="2" t="str">
        <f>"ROTULOS B.L. 160GR MORANGO (DIA%)"</f>
        <v>ROTULOS B.L. 160GR MORANGO (DIA%)</v>
      </c>
      <c r="C21153" s="2" t="str">
        <f t="shared" si="842"/>
        <v>UN</v>
      </c>
      <c r="D21153" s="7">
        <v>112</v>
      </c>
      <c r="E21153" s="3">
        <v>1</v>
      </c>
      <c r="F21153" s="3">
        <v>1</v>
      </c>
      <c r="G21153" t="s">
        <v>516</v>
      </c>
    </row>
    <row r="21154" spans="1:7" x14ac:dyDescent="0.25">
      <c r="A21154" s="1" t="str">
        <f>"2405"</f>
        <v>2405</v>
      </c>
      <c r="B21154" s="2" t="str">
        <f>"RÓTULOS B.L. 160GR MORANGO (QUALITA)"</f>
        <v>RÓTULOS B.L. 160GR MORANGO (QUALITA)</v>
      </c>
      <c r="C21154" s="2" t="str">
        <f t="shared" si="842"/>
        <v>UN</v>
      </c>
      <c r="D21154" s="7">
        <v>112</v>
      </c>
      <c r="E21154" s="3">
        <v>1</v>
      </c>
      <c r="F21154" s="3">
        <v>1</v>
      </c>
      <c r="G21154" t="s">
        <v>515</v>
      </c>
    </row>
    <row r="21155" spans="1:7" x14ac:dyDescent="0.25">
      <c r="A21155" s="1" t="str">
        <f>"2429"</f>
        <v>2429</v>
      </c>
      <c r="B21155" s="2" t="str">
        <f>"ROTULOS B.L. 160GR SALADA DE FRUTAS  (DIA%)"</f>
        <v>ROTULOS B.L. 160GR SALADA DE FRUTAS  (DIA%)</v>
      </c>
      <c r="C21155" s="2" t="str">
        <f t="shared" si="842"/>
        <v>UN</v>
      </c>
      <c r="D21155" s="7">
        <v>112</v>
      </c>
      <c r="E21155" s="3">
        <v>1</v>
      </c>
      <c r="F21155" s="3">
        <v>1</v>
      </c>
      <c r="G21155" t="s">
        <v>514</v>
      </c>
    </row>
    <row r="21156" spans="1:7" x14ac:dyDescent="0.25">
      <c r="A21156" s="1" t="str">
        <f>"2430"</f>
        <v>2430</v>
      </c>
      <c r="B21156" s="2" t="str">
        <f>"ROTULOS B.L. 170GR GRAVIOLA (DIA%)"</f>
        <v>ROTULOS B.L. 170GR GRAVIOLA (DIA%)</v>
      </c>
      <c r="C21156" s="2" t="str">
        <f t="shared" si="842"/>
        <v>UN</v>
      </c>
      <c r="D21156" s="7">
        <v>112</v>
      </c>
      <c r="E21156" s="3">
        <v>1</v>
      </c>
      <c r="F21156" s="3">
        <v>1</v>
      </c>
      <c r="G21156" t="s">
        <v>512</v>
      </c>
    </row>
    <row r="21157" spans="1:7" x14ac:dyDescent="0.25">
      <c r="A21157" s="1" t="str">
        <f>"2431"</f>
        <v>2431</v>
      </c>
      <c r="B21157" s="2" t="str">
        <f>"ROTULOS B.L. 850GR COCO (DIA%)"</f>
        <v>ROTULOS B.L. 850GR COCO (DIA%)</v>
      </c>
      <c r="C21157" s="2" t="str">
        <f t="shared" si="842"/>
        <v>UN</v>
      </c>
      <c r="D21157" s="7">
        <v>112</v>
      </c>
      <c r="E21157" s="3">
        <v>1</v>
      </c>
      <c r="F21157" s="3">
        <v>1</v>
      </c>
      <c r="G21157" t="s">
        <v>513</v>
      </c>
    </row>
    <row r="21158" spans="1:7" x14ac:dyDescent="0.25">
      <c r="A21158" s="1" t="str">
        <f>"2435"</f>
        <v>2435</v>
      </c>
      <c r="B21158" s="2" t="str">
        <f>"ROTULOS B.L. 850GR GRAVIOLA (DIA%)"</f>
        <v>ROTULOS B.L. 850GR GRAVIOLA (DIA%)</v>
      </c>
      <c r="C21158" s="2" t="str">
        <f t="shared" si="842"/>
        <v>UN</v>
      </c>
      <c r="D21158" s="7">
        <v>112</v>
      </c>
      <c r="E21158" s="3">
        <v>1</v>
      </c>
      <c r="F21158" s="3">
        <v>1</v>
      </c>
      <c r="G21158" t="s">
        <v>514</v>
      </c>
    </row>
    <row r="21159" spans="1:7" x14ac:dyDescent="0.25">
      <c r="A21159" s="1" t="str">
        <f>"2413"</f>
        <v>2413</v>
      </c>
      <c r="B21159" s="2" t="str">
        <f>"ROTULOS B.L. 850GR GRAVIOLA (QUALITA)"</f>
        <v>ROTULOS B.L. 850GR GRAVIOLA (QUALITA)</v>
      </c>
      <c r="C21159" s="2" t="str">
        <f t="shared" si="842"/>
        <v>UN</v>
      </c>
      <c r="D21159" s="7">
        <v>112</v>
      </c>
      <c r="E21159" s="3">
        <v>1</v>
      </c>
      <c r="F21159" s="3">
        <v>1</v>
      </c>
      <c r="G21159" t="s">
        <v>514</v>
      </c>
    </row>
    <row r="21160" spans="1:7" x14ac:dyDescent="0.25">
      <c r="A21160" s="1" t="str">
        <f>"2415"</f>
        <v>2415</v>
      </c>
      <c r="B21160" s="2" t="str">
        <f>"ROTULOS B.L. 850GR MAÇÃ/MAMÃO/BANANA (QUALITA)"</f>
        <v>ROTULOS B.L. 850GR MAÇÃ/MAMÃO/BANANA (QUALITA)</v>
      </c>
      <c r="C21160" s="2" t="str">
        <f t="shared" si="842"/>
        <v>UN</v>
      </c>
      <c r="D21160" s="7">
        <v>112</v>
      </c>
      <c r="E21160" s="3">
        <v>1</v>
      </c>
      <c r="F21160" s="3">
        <v>1</v>
      </c>
      <c r="G21160" t="s">
        <v>512</v>
      </c>
    </row>
    <row r="21161" spans="1:7" x14ac:dyDescent="0.25">
      <c r="A21161" s="1" t="str">
        <f>"2414"</f>
        <v>2414</v>
      </c>
      <c r="B21161" s="2" t="str">
        <f>"ROTULOS B.L. 850GR MOR/AMORA/FRAMBOESA (QUALITA)"</f>
        <v>ROTULOS B.L. 850GR MOR/AMORA/FRAMBOESA (QUALITA)</v>
      </c>
      <c r="C21161" s="2" t="str">
        <f t="shared" si="842"/>
        <v>UN</v>
      </c>
      <c r="D21161" s="7">
        <v>112</v>
      </c>
      <c r="E21161" s="3">
        <v>1</v>
      </c>
      <c r="F21161" s="3">
        <v>1</v>
      </c>
      <c r="G21161" t="s">
        <v>513</v>
      </c>
    </row>
    <row r="21162" spans="1:7" x14ac:dyDescent="0.25">
      <c r="A21162" s="1" t="str">
        <f>"726"</f>
        <v>726</v>
      </c>
      <c r="B21162" s="2" t="str">
        <f>"ROTULOS B.L. 850GR MORANGO (COOP)"</f>
        <v>ROTULOS B.L. 850GR MORANGO (COOP)</v>
      </c>
      <c r="C21162" s="2" t="str">
        <f t="shared" si="842"/>
        <v>UN</v>
      </c>
      <c r="D21162" s="7">
        <v>112</v>
      </c>
      <c r="E21162" s="3">
        <v>1</v>
      </c>
      <c r="F21162" s="3">
        <v>1</v>
      </c>
      <c r="G21162" t="s">
        <v>514</v>
      </c>
    </row>
    <row r="21163" spans="1:7" x14ac:dyDescent="0.25">
      <c r="A21163" s="1" t="str">
        <f>"2432"</f>
        <v>2432</v>
      </c>
      <c r="B21163" s="2" t="str">
        <f>"ROTULOS B.L. 850GR MORANGO (DIA%)"</f>
        <v>ROTULOS B.L. 850GR MORANGO (DIA%)</v>
      </c>
      <c r="C21163" s="2" t="str">
        <f t="shared" si="842"/>
        <v>UN</v>
      </c>
      <c r="D21163" s="7">
        <v>112</v>
      </c>
      <c r="E21163" s="3">
        <v>1</v>
      </c>
      <c r="F21163" s="3">
        <v>1</v>
      </c>
      <c r="G21163" t="s">
        <v>514</v>
      </c>
    </row>
    <row r="21164" spans="1:7" x14ac:dyDescent="0.25">
      <c r="A21164" s="1" t="str">
        <f>"2434"</f>
        <v>2434</v>
      </c>
      <c r="B21164" s="2" t="str">
        <f>"ROTULOS B.L. 850GR SALADA DE FRUTAS  (DIA%)"</f>
        <v>ROTULOS B.L. 850GR SALADA DE FRUTAS  (DIA%)</v>
      </c>
      <c r="C21164" s="2" t="str">
        <f t="shared" si="842"/>
        <v>UN</v>
      </c>
      <c r="D21164" s="7">
        <v>112</v>
      </c>
      <c r="E21164" s="3">
        <v>1</v>
      </c>
      <c r="F21164" s="3">
        <v>1</v>
      </c>
      <c r="G21164" t="s">
        <v>514</v>
      </c>
    </row>
    <row r="21165" spans="1:7" x14ac:dyDescent="0.25">
      <c r="A21165" s="1" t="str">
        <f>"2412"</f>
        <v>2412</v>
      </c>
      <c r="B21165" s="2" t="str">
        <f>"ROTULOS B.L. 900GR COCO (QUALITA)"</f>
        <v>ROTULOS B.L. 900GR COCO (QUALITA)</v>
      </c>
      <c r="C21165" s="2" t="str">
        <f t="shared" ref="C21165:C21228" si="843">"UN"</f>
        <v>UN</v>
      </c>
      <c r="D21165" s="7">
        <v>112</v>
      </c>
      <c r="E21165" s="3">
        <v>1</v>
      </c>
      <c r="F21165" s="3">
        <v>1</v>
      </c>
      <c r="G21165" t="s">
        <v>513</v>
      </c>
    </row>
    <row r="21166" spans="1:7" x14ac:dyDescent="0.25">
      <c r="A21166" s="1" t="str">
        <f>"725"</f>
        <v>725</v>
      </c>
      <c r="B21166" s="2" t="str">
        <f>"ROTULOS B.L. 900GR FR/VERMELHAS (COOP)"</f>
        <v>ROTULOS B.L. 900GR FR/VERMELHAS (COOP)</v>
      </c>
      <c r="C21166" s="2" t="str">
        <f t="shared" si="843"/>
        <v>UN</v>
      </c>
      <c r="D21166" s="7">
        <v>112</v>
      </c>
      <c r="E21166" s="3">
        <v>1</v>
      </c>
      <c r="F21166" s="3">
        <v>1</v>
      </c>
      <c r="G21166" t="s">
        <v>512</v>
      </c>
    </row>
    <row r="21167" spans="1:7" x14ac:dyDescent="0.25">
      <c r="A21167" s="1" t="str">
        <f>"2433"</f>
        <v>2433</v>
      </c>
      <c r="B21167" s="2" t="str">
        <f>"ROTULOS B.L. 900GR FRUTAS VERMELHAS  (DIA%)"</f>
        <v>ROTULOS B.L. 900GR FRUTAS VERMELHAS  (DIA%)</v>
      </c>
      <c r="C21167" s="2" t="str">
        <f t="shared" si="843"/>
        <v>UN</v>
      </c>
      <c r="D21167" s="7">
        <v>112</v>
      </c>
      <c r="E21167" s="3">
        <v>1</v>
      </c>
      <c r="F21167" s="3">
        <v>1</v>
      </c>
      <c r="G21167" t="s">
        <v>513</v>
      </c>
    </row>
    <row r="21168" spans="1:7" x14ac:dyDescent="0.25">
      <c r="A21168" s="1" t="str">
        <f>"731"</f>
        <v>731</v>
      </c>
      <c r="B21168" s="2" t="str">
        <f>"ROTULOS B.L. 900GR MEL (COOP)"</f>
        <v>ROTULOS B.L. 900GR MEL (COOP)</v>
      </c>
      <c r="C21168" s="2" t="str">
        <f t="shared" si="843"/>
        <v>UN</v>
      </c>
      <c r="D21168" s="7">
        <v>112</v>
      </c>
      <c r="E21168" s="3">
        <v>1</v>
      </c>
      <c r="F21168" s="3">
        <v>1</v>
      </c>
      <c r="G21168" t="s">
        <v>514</v>
      </c>
    </row>
    <row r="21169" spans="1:7" x14ac:dyDescent="0.25">
      <c r="A21169" s="1" t="str">
        <f>"2411"</f>
        <v>2411</v>
      </c>
      <c r="B21169" s="2" t="str">
        <f>"ROTULOS B.L. 900GR MORANGO (QUALITA)"</f>
        <v>ROTULOS B.L. 900GR MORANGO (QUALITA)</v>
      </c>
      <c r="C21169" s="2" t="str">
        <f t="shared" si="843"/>
        <v>UN</v>
      </c>
      <c r="D21169" s="7">
        <v>112</v>
      </c>
      <c r="E21169" s="3">
        <v>1</v>
      </c>
      <c r="F21169" s="3">
        <v>1</v>
      </c>
      <c r="G21169" t="s">
        <v>514</v>
      </c>
    </row>
    <row r="21170" spans="1:7" x14ac:dyDescent="0.25">
      <c r="A21170" s="1" t="str">
        <f>"3432"</f>
        <v>3432</v>
      </c>
      <c r="B21170" s="2" t="str">
        <f>"ROTULOS B.L..100GR MORANGO  (CAROLINA INFANTIL)"</f>
        <v>ROTULOS B.L..100GR MORANGO  (CAROLINA INFANTIL)</v>
      </c>
      <c r="C21170" s="2" t="str">
        <f t="shared" si="843"/>
        <v>UN</v>
      </c>
      <c r="D21170" s="7">
        <v>112</v>
      </c>
      <c r="E21170" s="3">
        <v>1</v>
      </c>
      <c r="F21170" s="3">
        <v>1</v>
      </c>
      <c r="G21170" t="s">
        <v>514</v>
      </c>
    </row>
    <row r="21171" spans="1:7" x14ac:dyDescent="0.25">
      <c r="A21171" s="1" t="str">
        <f>"515825"</f>
        <v>515825</v>
      </c>
      <c r="B21171" s="2" t="str">
        <f>"ROTULOS B.L.180GR MAC/MAM/BANAN (BOM PREÇO)"</f>
        <v>ROTULOS B.L.180GR MAC/MAM/BANAN (BOM PREÇO)</v>
      </c>
      <c r="C21171" s="2" t="str">
        <f t="shared" si="843"/>
        <v>UN</v>
      </c>
      <c r="D21171" s="7">
        <v>112</v>
      </c>
      <c r="E21171" s="3">
        <v>1</v>
      </c>
      <c r="F21171" s="3">
        <v>1</v>
      </c>
      <c r="G21171" t="s">
        <v>513</v>
      </c>
    </row>
    <row r="21172" spans="1:7" x14ac:dyDescent="0.25">
      <c r="A21172" s="1" t="str">
        <f>"515824"</f>
        <v>515824</v>
      </c>
      <c r="B21172" s="2" t="str">
        <f>"ROTULOS B.L.180GR MOR/AMOR/FRAMB (BOM PREÇO)"</f>
        <v>ROTULOS B.L.180GR MOR/AMOR/FRAMB (BOM PREÇO)</v>
      </c>
      <c r="C21172" s="2" t="str">
        <f t="shared" si="843"/>
        <v>UN</v>
      </c>
      <c r="D21172" s="7">
        <v>112</v>
      </c>
      <c r="E21172" s="3">
        <v>1</v>
      </c>
      <c r="F21172" s="3">
        <v>1</v>
      </c>
      <c r="G21172" t="s">
        <v>513</v>
      </c>
    </row>
    <row r="21173" spans="1:7" x14ac:dyDescent="0.25">
      <c r="A21173" s="1" t="str">
        <f>"515822"</f>
        <v>515822</v>
      </c>
      <c r="B21173" s="2" t="str">
        <f>"ROTULOS B.L.180GR MORANGO (BOM PREÇO)"</f>
        <v>ROTULOS B.L.180GR MORANGO (BOM PREÇO)</v>
      </c>
      <c r="C21173" s="2" t="str">
        <f t="shared" si="843"/>
        <v>UN</v>
      </c>
      <c r="D21173" s="7">
        <v>112</v>
      </c>
      <c r="E21173" s="3">
        <v>1</v>
      </c>
      <c r="F21173" s="3">
        <v>1</v>
      </c>
      <c r="G21173" t="s">
        <v>513</v>
      </c>
    </row>
    <row r="21174" spans="1:7" x14ac:dyDescent="0.25">
      <c r="A21174" s="1" t="str">
        <f>"515823"</f>
        <v>515823</v>
      </c>
      <c r="B21174" s="2" t="str">
        <f>"ROTULOS B.L.180GR PESSEGO (BOM PREÇO)"</f>
        <v>ROTULOS B.L.180GR PESSEGO (BOM PREÇO)</v>
      </c>
      <c r="C21174" s="2" t="str">
        <f t="shared" si="843"/>
        <v>UN</v>
      </c>
      <c r="D21174" s="7">
        <v>112</v>
      </c>
      <c r="E21174" s="3">
        <v>1</v>
      </c>
      <c r="F21174" s="3">
        <v>1</v>
      </c>
      <c r="G21174" t="s">
        <v>512</v>
      </c>
    </row>
    <row r="21175" spans="1:7" x14ac:dyDescent="0.25">
      <c r="A21175" s="1" t="str">
        <f>"6811"</f>
        <v>6811</v>
      </c>
      <c r="B21175" s="2" t="str">
        <f>"ROTULOS B.L.900GR COCO (CARREFOUR DISCOUT)"</f>
        <v>ROTULOS B.L.900GR COCO (CARREFOUR DISCOUT)</v>
      </c>
      <c r="C21175" s="2" t="str">
        <f t="shared" si="843"/>
        <v>UN</v>
      </c>
      <c r="D21175" s="7">
        <v>112</v>
      </c>
      <c r="E21175" s="3">
        <v>1</v>
      </c>
      <c r="F21175" s="3">
        <v>1</v>
      </c>
      <c r="G21175" t="s">
        <v>513</v>
      </c>
    </row>
    <row r="21176" spans="1:7" x14ac:dyDescent="0.25">
      <c r="A21176" s="1" t="str">
        <f>"515829"</f>
        <v>515829</v>
      </c>
      <c r="B21176" s="2" t="str">
        <f>"ROTULOS B.L.900GR MAC/MAM/BANAN (BOM PREÇO)"</f>
        <v>ROTULOS B.L.900GR MAC/MAM/BANAN (BOM PREÇO)</v>
      </c>
      <c r="C21176" s="2" t="str">
        <f t="shared" si="843"/>
        <v>UN</v>
      </c>
      <c r="D21176" s="7">
        <v>112</v>
      </c>
      <c r="E21176" s="3">
        <v>1</v>
      </c>
      <c r="F21176" s="3">
        <v>1</v>
      </c>
      <c r="G21176" t="s">
        <v>514</v>
      </c>
    </row>
    <row r="21177" spans="1:7" x14ac:dyDescent="0.25">
      <c r="A21177" s="1" t="str">
        <f>"515828"</f>
        <v>515828</v>
      </c>
      <c r="B21177" s="2" t="str">
        <f>"ROTULOS B.L.900GR MOR/AMOR/FRAMB (BOM PREÇO)"</f>
        <v>ROTULOS B.L.900GR MOR/AMOR/FRAMB (BOM PREÇO)</v>
      </c>
      <c r="C21177" s="2" t="str">
        <f t="shared" si="843"/>
        <v>UN</v>
      </c>
      <c r="D21177" s="7">
        <v>112</v>
      </c>
      <c r="E21177" s="3">
        <v>1</v>
      </c>
      <c r="F21177" s="3">
        <v>1</v>
      </c>
      <c r="G21177" t="s">
        <v>515</v>
      </c>
    </row>
    <row r="21178" spans="1:7" x14ac:dyDescent="0.25">
      <c r="A21178" s="1" t="str">
        <f>"515826"</f>
        <v>515826</v>
      </c>
      <c r="B21178" s="2" t="str">
        <f>"ROTULOS B.L.900GR MORANGO (BOM PREÇO)"</f>
        <v>ROTULOS B.L.900GR MORANGO (BOM PREÇO)</v>
      </c>
      <c r="C21178" s="2" t="str">
        <f t="shared" si="843"/>
        <v>UN</v>
      </c>
      <c r="D21178" s="7">
        <v>112</v>
      </c>
      <c r="E21178" s="3">
        <v>1</v>
      </c>
      <c r="F21178" s="3">
        <v>1</v>
      </c>
      <c r="G21178" t="s">
        <v>512</v>
      </c>
    </row>
    <row r="21179" spans="1:7" x14ac:dyDescent="0.25">
      <c r="A21179" s="1" t="str">
        <f>"6812"</f>
        <v>6812</v>
      </c>
      <c r="B21179" s="2" t="str">
        <f>"ROTULOS B.L.900GR MORANGO (CARREFOUR DISCOUT)"</f>
        <v>ROTULOS B.L.900GR MORANGO (CARREFOUR DISCOUT)</v>
      </c>
      <c r="C21179" s="2" t="str">
        <f t="shared" si="843"/>
        <v>UN</v>
      </c>
      <c r="D21179" s="7">
        <v>112</v>
      </c>
      <c r="E21179" s="3">
        <v>1</v>
      </c>
      <c r="F21179" s="3">
        <v>1</v>
      </c>
      <c r="G21179" t="s">
        <v>516</v>
      </c>
    </row>
    <row r="21180" spans="1:7" x14ac:dyDescent="0.25">
      <c r="A21180" s="1" t="str">
        <f>"515827"</f>
        <v>515827</v>
      </c>
      <c r="B21180" s="2" t="str">
        <f>"ROTULOS B.L.900GR PESSEGO (BOM PREÇO)"</f>
        <v>ROTULOS B.L.900GR PESSEGO (BOM PREÇO)</v>
      </c>
      <c r="C21180" s="2" t="str">
        <f t="shared" si="843"/>
        <v>UN</v>
      </c>
      <c r="D21180" s="7">
        <v>112</v>
      </c>
      <c r="E21180" s="3">
        <v>1</v>
      </c>
      <c r="F21180" s="3">
        <v>1</v>
      </c>
      <c r="G21180" t="s">
        <v>515</v>
      </c>
    </row>
    <row r="21181" spans="1:7" x14ac:dyDescent="0.25">
      <c r="A21181" s="1" t="str">
        <f>"6813"</f>
        <v>6813</v>
      </c>
      <c r="B21181" s="2" t="str">
        <f>"ROTULOS B.L.900GR SALADA FRUTAS (CARREFOUR DISCOUT)"</f>
        <v>ROTULOS B.L.900GR SALADA FRUTAS (CARREFOUR DISCOUT)</v>
      </c>
      <c r="C21181" s="2" t="str">
        <f t="shared" si="843"/>
        <v>UN</v>
      </c>
      <c r="D21181" s="7">
        <v>112</v>
      </c>
      <c r="E21181" s="3">
        <v>1</v>
      </c>
      <c r="F21181" s="3">
        <v>1</v>
      </c>
      <c r="G21181" t="s">
        <v>514</v>
      </c>
    </row>
    <row r="21182" spans="1:7" x14ac:dyDescent="0.25">
      <c r="A21182" s="1" t="str">
        <f>"513996"</f>
        <v>513996</v>
      </c>
      <c r="B21182" s="2" t="str">
        <f>"ROTULOS DESN. 170GR AVEIA (BIOBALANCE)"</f>
        <v>ROTULOS DESN. 170GR AVEIA (BIOBALANCE)</v>
      </c>
      <c r="C21182" s="2" t="str">
        <f t="shared" si="843"/>
        <v>UN</v>
      </c>
      <c r="D21182" s="7">
        <v>112</v>
      </c>
      <c r="E21182" s="3">
        <v>1</v>
      </c>
      <c r="F21182" s="3">
        <v>1</v>
      </c>
      <c r="G21182" t="s">
        <v>512</v>
      </c>
    </row>
    <row r="21183" spans="1:7" x14ac:dyDescent="0.25">
      <c r="A21183" s="1" t="str">
        <f>"513997"</f>
        <v>513997</v>
      </c>
      <c r="B21183" s="2" t="str">
        <f>"ROTULOS DESN. 900GR AVEIA (BIOBALANCE)"</f>
        <v>ROTULOS DESN. 900GR AVEIA (BIOBALANCE)</v>
      </c>
      <c r="C21183" s="2" t="str">
        <f t="shared" si="843"/>
        <v>UN</v>
      </c>
      <c r="D21183" s="7">
        <v>112</v>
      </c>
      <c r="E21183" s="3">
        <v>1</v>
      </c>
      <c r="F21183" s="3">
        <v>1</v>
      </c>
      <c r="G21183" t="s">
        <v>513</v>
      </c>
    </row>
    <row r="21184" spans="1:7" x14ac:dyDescent="0.25">
      <c r="A21184" s="1" t="str">
        <f>"515838"</f>
        <v>515838</v>
      </c>
      <c r="B21184" s="2" t="str">
        <f>"ROTULOS DESN.170GR AMEIXA (GLUCK ZERO%)"</f>
        <v>ROTULOS DESN.170GR AMEIXA (GLUCK ZERO%)</v>
      </c>
      <c r="C21184" s="2" t="str">
        <f t="shared" si="843"/>
        <v>UN</v>
      </c>
      <c r="D21184" s="7">
        <v>112</v>
      </c>
      <c r="E21184" s="3">
        <v>1</v>
      </c>
      <c r="F21184" s="3">
        <v>1</v>
      </c>
      <c r="G21184" t="s">
        <v>514</v>
      </c>
    </row>
    <row r="21185" spans="1:7" x14ac:dyDescent="0.25">
      <c r="A21185" s="1" t="str">
        <f>"515837"</f>
        <v>515837</v>
      </c>
      <c r="B21185" s="2" t="str">
        <f>"ROTULOS DESN.170GR BAN/MAC/MAM (GLUCK ZERO%)"</f>
        <v>ROTULOS DESN.170GR BAN/MAC/MAM (GLUCK ZERO%)</v>
      </c>
      <c r="C21185" s="2" t="str">
        <f t="shared" si="843"/>
        <v>UN</v>
      </c>
      <c r="D21185" s="7">
        <v>112</v>
      </c>
      <c r="E21185" s="3">
        <v>1</v>
      </c>
      <c r="F21185" s="3">
        <v>1</v>
      </c>
      <c r="G21185" t="s">
        <v>514</v>
      </c>
    </row>
    <row r="21186" spans="1:7" x14ac:dyDescent="0.25">
      <c r="A21186" s="1" t="str">
        <f>"5972"</f>
        <v>5972</v>
      </c>
      <c r="B21186" s="2" t="str">
        <f>"ROTULOS DESN.170GR FRUTAS VERMELHAS (GLUCK ZERO%)"</f>
        <v>ROTULOS DESN.170GR FRUTAS VERMELHAS (GLUCK ZERO%)</v>
      </c>
      <c r="C21186" s="2" t="str">
        <f t="shared" si="843"/>
        <v>UN</v>
      </c>
      <c r="D21186" s="7">
        <v>112</v>
      </c>
      <c r="E21186" s="3">
        <v>1</v>
      </c>
      <c r="F21186" s="3">
        <v>1</v>
      </c>
      <c r="G21186" t="s">
        <v>512</v>
      </c>
    </row>
    <row r="21187" spans="1:7" x14ac:dyDescent="0.25">
      <c r="A21187" s="1" t="str">
        <f>"515835"</f>
        <v>515835</v>
      </c>
      <c r="B21187" s="2" t="str">
        <f>"ROTULOS DESN.170GR MIRTILO (GLUCK ZERO%)"</f>
        <v>ROTULOS DESN.170GR MIRTILO (GLUCK ZERO%)</v>
      </c>
      <c r="C21187" s="2" t="str">
        <f t="shared" si="843"/>
        <v>UN</v>
      </c>
      <c r="D21187" s="7">
        <v>112</v>
      </c>
      <c r="E21187" s="3">
        <v>1</v>
      </c>
      <c r="F21187" s="3">
        <v>1</v>
      </c>
      <c r="G21187" t="s">
        <v>513</v>
      </c>
    </row>
    <row r="21188" spans="1:7" x14ac:dyDescent="0.25">
      <c r="A21188" s="1" t="str">
        <f>"515836"</f>
        <v>515836</v>
      </c>
      <c r="B21188" s="2" t="str">
        <f>"ROTULOS DESN.170GR MORANGO (GLUCK ZERO%)"</f>
        <v>ROTULOS DESN.170GR MORANGO (GLUCK ZERO%)</v>
      </c>
      <c r="C21188" s="2" t="str">
        <f t="shared" si="843"/>
        <v>UN</v>
      </c>
      <c r="D21188" s="7">
        <v>112</v>
      </c>
      <c r="E21188" s="3">
        <v>1</v>
      </c>
      <c r="F21188" s="3">
        <v>1</v>
      </c>
      <c r="G21188" t="s">
        <v>514</v>
      </c>
    </row>
    <row r="21189" spans="1:7" x14ac:dyDescent="0.25">
      <c r="A21189" s="1" t="str">
        <f>"515842"</f>
        <v>515842</v>
      </c>
      <c r="B21189" s="2" t="str">
        <f>"ROTULOS DESN.850GR AMEIXA (GLUCK ZERO%)"</f>
        <v>ROTULOS DESN.850GR AMEIXA (GLUCK ZERO%)</v>
      </c>
      <c r="C21189" s="2" t="str">
        <f t="shared" si="843"/>
        <v>UN</v>
      </c>
      <c r="D21189" s="7">
        <v>112</v>
      </c>
      <c r="E21189" s="3">
        <v>1</v>
      </c>
      <c r="F21189" s="3">
        <v>1</v>
      </c>
      <c r="G21189" t="s">
        <v>514</v>
      </c>
    </row>
    <row r="21190" spans="1:7" x14ac:dyDescent="0.25">
      <c r="A21190" s="1" t="str">
        <f>"515841"</f>
        <v>515841</v>
      </c>
      <c r="B21190" s="2" t="str">
        <f>"ROTULOS DESN.850GR BAN/MAC/MAM (GLUCK ZERO%)"</f>
        <v>ROTULOS DESN.850GR BAN/MAC/MAM (GLUCK ZERO%)</v>
      </c>
      <c r="C21190" s="2" t="str">
        <f t="shared" si="843"/>
        <v>UN</v>
      </c>
      <c r="D21190" s="7">
        <v>112</v>
      </c>
      <c r="E21190" s="3">
        <v>1</v>
      </c>
      <c r="F21190" s="3">
        <v>1</v>
      </c>
      <c r="G21190" t="s">
        <v>514</v>
      </c>
    </row>
    <row r="21191" spans="1:7" x14ac:dyDescent="0.25">
      <c r="A21191" s="1" t="str">
        <f>"5973"</f>
        <v>5973</v>
      </c>
      <c r="B21191" s="2" t="str">
        <f>"ROTULOS DESN.850GR FRUTAS VERMELHAS (GLUCK ZERO%)"</f>
        <v>ROTULOS DESN.850GR FRUTAS VERMELHAS (GLUCK ZERO%)</v>
      </c>
      <c r="C21191" s="2" t="str">
        <f t="shared" si="843"/>
        <v>UN</v>
      </c>
      <c r="D21191" s="7">
        <v>112</v>
      </c>
      <c r="E21191" s="3">
        <v>1</v>
      </c>
      <c r="F21191" s="3">
        <v>1</v>
      </c>
      <c r="G21191" t="s">
        <v>513</v>
      </c>
    </row>
    <row r="21192" spans="1:7" x14ac:dyDescent="0.25">
      <c r="A21192" s="1" t="str">
        <f>"515839"</f>
        <v>515839</v>
      </c>
      <c r="B21192" s="2" t="str">
        <f>"ROTULOS DESN.850GR MIRTILO (GLUCK ZERO%)"</f>
        <v>ROTULOS DESN.850GR MIRTILO (GLUCK ZERO%)</v>
      </c>
      <c r="C21192" s="2" t="str">
        <f t="shared" si="843"/>
        <v>UN</v>
      </c>
      <c r="D21192" s="7">
        <v>112</v>
      </c>
      <c r="E21192" s="3">
        <v>1</v>
      </c>
      <c r="F21192" s="3">
        <v>1</v>
      </c>
      <c r="G21192" t="s">
        <v>512</v>
      </c>
    </row>
    <row r="21193" spans="1:7" x14ac:dyDescent="0.25">
      <c r="A21193" s="1" t="str">
        <f>"515840"</f>
        <v>515840</v>
      </c>
      <c r="B21193" s="2" t="str">
        <f>"ROTULOS DESN.850GR MORANGO (GLUCK ZERO%)"</f>
        <v>ROTULOS DESN.850GR MORANGO (GLUCK ZERO%)</v>
      </c>
      <c r="C21193" s="2" t="str">
        <f t="shared" si="843"/>
        <v>UN</v>
      </c>
      <c r="D21193" s="7">
        <v>112</v>
      </c>
      <c r="E21193" s="3">
        <v>1</v>
      </c>
      <c r="F21193" s="3">
        <v>1</v>
      </c>
      <c r="G21193" t="s">
        <v>513</v>
      </c>
    </row>
    <row r="21194" spans="1:7" x14ac:dyDescent="0.25">
      <c r="A21194" s="1" t="str">
        <f>"727"</f>
        <v>727</v>
      </c>
      <c r="B21194" s="2" t="str">
        <f>"ROTULOS INT. ADOÇADO 100GR  (GREGO)"</f>
        <v>ROTULOS INT. ADOÇADO 100GR  (GREGO)</v>
      </c>
      <c r="C21194" s="2" t="str">
        <f t="shared" si="843"/>
        <v>UN</v>
      </c>
      <c r="D21194" s="7">
        <v>32</v>
      </c>
      <c r="E21194" s="3">
        <v>1</v>
      </c>
      <c r="F21194" s="3">
        <v>1</v>
      </c>
      <c r="G21194" t="s">
        <v>514</v>
      </c>
    </row>
    <row r="21195" spans="1:7" x14ac:dyDescent="0.25">
      <c r="A21195" s="1" t="str">
        <f>"729"</f>
        <v>729</v>
      </c>
      <c r="B21195" s="2" t="str">
        <f>"ROTULOS INT. ADOÇADO 100GR FR/VERMELHAS (GREGO)"</f>
        <v>ROTULOS INT. ADOÇADO 100GR FR/VERMELHAS (GREGO)</v>
      </c>
      <c r="C21195" s="2" t="str">
        <f t="shared" si="843"/>
        <v>UN</v>
      </c>
      <c r="D21195" s="7">
        <v>32</v>
      </c>
      <c r="E21195" s="3">
        <v>1</v>
      </c>
      <c r="F21195" s="3">
        <v>1</v>
      </c>
      <c r="G21195" t="s">
        <v>514</v>
      </c>
    </row>
    <row r="21196" spans="1:7" x14ac:dyDescent="0.25">
      <c r="A21196" s="1" t="str">
        <f>"730"</f>
        <v>730</v>
      </c>
      <c r="B21196" s="2" t="str">
        <f>"ROTULOS INT. ADOÇADO 100GR MARACUJÁ (GREGO)"</f>
        <v>ROTULOS INT. ADOÇADO 100GR MARACUJÁ (GREGO)</v>
      </c>
      <c r="C21196" s="2" t="str">
        <f t="shared" si="843"/>
        <v>UN</v>
      </c>
      <c r="D21196" s="7">
        <v>32</v>
      </c>
      <c r="E21196" s="3">
        <v>1</v>
      </c>
      <c r="F21196" s="3">
        <v>1</v>
      </c>
      <c r="G21196" t="s">
        <v>514</v>
      </c>
    </row>
    <row r="21197" spans="1:7" x14ac:dyDescent="0.25">
      <c r="A21197" s="1" t="str">
        <f>"728"</f>
        <v>728</v>
      </c>
      <c r="B21197" s="2" t="str">
        <f>"ROTULOS INT. ADOÇADO 100GR MORANGO (GREGO)"</f>
        <v>ROTULOS INT. ADOÇADO 100GR MORANGO (GREGO)</v>
      </c>
      <c r="C21197" s="2" t="str">
        <f t="shared" si="843"/>
        <v>UN</v>
      </c>
      <c r="D21197" s="7">
        <v>32</v>
      </c>
      <c r="E21197" s="3">
        <v>1</v>
      </c>
      <c r="F21197" s="3">
        <v>1</v>
      </c>
      <c r="G21197" t="s">
        <v>513</v>
      </c>
    </row>
    <row r="21198" spans="1:7" x14ac:dyDescent="0.25">
      <c r="A21198" s="1" t="str">
        <f>"652"</f>
        <v>652</v>
      </c>
      <c r="B21198" s="2" t="str">
        <f>"ROTULOS IOG. 500GR COCO - FRUTAS"</f>
        <v>ROTULOS IOG. 500GR COCO - FRUTAS</v>
      </c>
      <c r="C21198" s="2" t="str">
        <f t="shared" si="843"/>
        <v>UN</v>
      </c>
      <c r="D21198" s="7">
        <v>112</v>
      </c>
      <c r="E21198" s="3">
        <v>1</v>
      </c>
      <c r="F21198" s="3">
        <v>1</v>
      </c>
      <c r="G21198" t="s">
        <v>513</v>
      </c>
    </row>
    <row r="21199" spans="1:7" x14ac:dyDescent="0.25">
      <c r="A21199" s="1" t="str">
        <f>"651"</f>
        <v>651</v>
      </c>
      <c r="B21199" s="2" t="str">
        <f>"ROTULOS IOG. 500GR MOR/AMORA/FRAMBOESA - FRUTAS"</f>
        <v>ROTULOS IOG. 500GR MOR/AMORA/FRAMBOESA - FRUTAS</v>
      </c>
      <c r="C21199" s="2" t="str">
        <f t="shared" si="843"/>
        <v>UN</v>
      </c>
      <c r="D21199" s="7">
        <v>112</v>
      </c>
      <c r="E21199" s="3">
        <v>1</v>
      </c>
      <c r="F21199" s="3">
        <v>1</v>
      </c>
      <c r="G21199" t="s">
        <v>513</v>
      </c>
    </row>
    <row r="21200" spans="1:7" x14ac:dyDescent="0.25">
      <c r="A21200" s="1" t="str">
        <f>"650"</f>
        <v>650</v>
      </c>
      <c r="B21200" s="2" t="str">
        <f>"ROTULOS IOG. 500GR MORANGO - FRUTAS"</f>
        <v>ROTULOS IOG. 500GR MORANGO - FRUTAS</v>
      </c>
      <c r="C21200" s="2" t="str">
        <f t="shared" si="843"/>
        <v>UN</v>
      </c>
      <c r="D21200" s="7">
        <v>112</v>
      </c>
      <c r="E21200" s="3">
        <v>1</v>
      </c>
      <c r="F21200" s="3">
        <v>1</v>
      </c>
      <c r="G21200" t="s">
        <v>512</v>
      </c>
    </row>
    <row r="21201" spans="1:7" x14ac:dyDescent="0.25">
      <c r="A21201" s="1" t="str">
        <f>"6711"</f>
        <v>6711</v>
      </c>
      <c r="B21201" s="2" t="str">
        <f>"ROTULOS IOG.1.250GR MORANGO (VERY GURT)"</f>
        <v>ROTULOS IOG.1.250GR MORANGO (VERY GURT)</v>
      </c>
      <c r="C21201" s="2" t="str">
        <f t="shared" si="843"/>
        <v>UN</v>
      </c>
      <c r="D21201" s="7">
        <v>112</v>
      </c>
      <c r="E21201" s="3">
        <v>1</v>
      </c>
      <c r="F21201" s="3">
        <v>1</v>
      </c>
      <c r="G21201" t="s">
        <v>513</v>
      </c>
    </row>
    <row r="21202" spans="1:7" x14ac:dyDescent="0.25">
      <c r="A21202" s="1" t="str">
        <f>"6712"</f>
        <v>6712</v>
      </c>
      <c r="B21202" s="2" t="str">
        <f>"ROTULOS IOG.1.250GR SALADA DE FRUTAS (VERY GURT)"</f>
        <v>ROTULOS IOG.1.250GR SALADA DE FRUTAS (VERY GURT)</v>
      </c>
      <c r="C21202" s="2" t="str">
        <f t="shared" si="843"/>
        <v>UN</v>
      </c>
      <c r="D21202" s="7">
        <v>112</v>
      </c>
      <c r="E21202" s="3">
        <v>1</v>
      </c>
      <c r="F21202" s="3">
        <v>1</v>
      </c>
      <c r="G21202" t="s">
        <v>514</v>
      </c>
    </row>
    <row r="21203" spans="1:7" x14ac:dyDescent="0.25">
      <c r="A21203" s="1" t="str">
        <f>"2850"</f>
        <v>2850</v>
      </c>
      <c r="B21203" s="2" t="str">
        <f>"ROTULOS IOG.1000GR BAT/ACUCAR (CARREFOUR"</f>
        <v>ROTULOS IOG.1000GR BAT/ACUCAR (CARREFOUR</v>
      </c>
      <c r="C21203" s="2" t="str">
        <f t="shared" si="843"/>
        <v>UN</v>
      </c>
      <c r="D21203" s="7">
        <v>112</v>
      </c>
      <c r="E21203" s="3">
        <v>1</v>
      </c>
      <c r="F21203" s="3">
        <v>1</v>
      </c>
      <c r="G21203" t="s">
        <v>515</v>
      </c>
    </row>
    <row r="21204" spans="1:7" x14ac:dyDescent="0.25">
      <c r="A21204" s="1" t="str">
        <f>"2851"</f>
        <v>2851</v>
      </c>
      <c r="B21204" s="2" t="str">
        <f>"ROTULOS IOG.1000GR BAT/MEL (CARREFOUR)"</f>
        <v>ROTULOS IOG.1000GR BAT/MEL (CARREFOUR)</v>
      </c>
      <c r="C21204" s="2" t="str">
        <f t="shared" si="843"/>
        <v>UN</v>
      </c>
      <c r="D21204" s="7">
        <v>112</v>
      </c>
      <c r="E21204" s="3">
        <v>1</v>
      </c>
      <c r="F21204" s="3">
        <v>1</v>
      </c>
      <c r="G21204" t="s">
        <v>512</v>
      </c>
    </row>
    <row r="21205" spans="1:7" x14ac:dyDescent="0.25">
      <c r="A21205" s="1" t="str">
        <f>"362"</f>
        <v>362</v>
      </c>
      <c r="B21205" s="2" t="str">
        <f>"ROTULOS IOG.1000GR COCO (VERY GURT)"</f>
        <v>ROTULOS IOG.1000GR COCO (VERY GURT)</v>
      </c>
      <c r="C21205" s="2" t="str">
        <f t="shared" si="843"/>
        <v>UN</v>
      </c>
      <c r="D21205" s="7">
        <v>112</v>
      </c>
      <c r="E21205" s="3">
        <v>1</v>
      </c>
      <c r="F21205" s="3">
        <v>1</v>
      </c>
      <c r="G21205" t="s">
        <v>516</v>
      </c>
    </row>
    <row r="21206" spans="1:7" x14ac:dyDescent="0.25">
      <c r="A21206" s="1" t="str">
        <f>"98"</f>
        <v>98</v>
      </c>
      <c r="B21206" s="2" t="str">
        <f>"ROTULOS IOG.1000GR MORANGO (VERY GURT)"</f>
        <v>ROTULOS IOG.1000GR MORANGO (VERY GURT)</v>
      </c>
      <c r="C21206" s="2" t="str">
        <f t="shared" si="843"/>
        <v>UN</v>
      </c>
      <c r="D21206" s="7">
        <v>112</v>
      </c>
      <c r="E21206" s="3">
        <v>1</v>
      </c>
      <c r="F21206" s="3">
        <v>1</v>
      </c>
      <c r="G21206" t="s">
        <v>515</v>
      </c>
    </row>
    <row r="21207" spans="1:7" x14ac:dyDescent="0.25">
      <c r="A21207" s="1" t="str">
        <f>"363"</f>
        <v>363</v>
      </c>
      <c r="B21207" s="2" t="str">
        <f>"ROTULOS IOG.1000GR PESSEGO (VERY GURT)"</f>
        <v>ROTULOS IOG.1000GR PESSEGO (VERY GURT)</v>
      </c>
      <c r="C21207" s="2" t="str">
        <f t="shared" si="843"/>
        <v>UN</v>
      </c>
      <c r="D21207" s="7">
        <v>112</v>
      </c>
      <c r="E21207" s="3">
        <v>1</v>
      </c>
      <c r="F21207" s="3">
        <v>1</v>
      </c>
      <c r="G21207" t="s">
        <v>514</v>
      </c>
    </row>
    <row r="21208" spans="1:7" x14ac:dyDescent="0.25">
      <c r="A21208" s="1" t="str">
        <f>"5953"</f>
        <v>5953</v>
      </c>
      <c r="B21208" s="2" t="str">
        <f>"ROTULOS IOG.100GR AMEIXA - FLAN GOURMET"</f>
        <v>ROTULOS IOG.100GR AMEIXA - FLAN GOURMET</v>
      </c>
      <c r="C21208" s="2" t="str">
        <f t="shared" si="843"/>
        <v>UN</v>
      </c>
      <c r="D21208" s="7">
        <v>112</v>
      </c>
      <c r="E21208" s="3">
        <v>1</v>
      </c>
      <c r="F21208" s="3">
        <v>1</v>
      </c>
      <c r="G21208" t="s">
        <v>512</v>
      </c>
    </row>
    <row r="21209" spans="1:7" x14ac:dyDescent="0.25">
      <c r="A21209" s="1" t="str">
        <f>"5949"</f>
        <v>5949</v>
      </c>
      <c r="B21209" s="2" t="str">
        <f>"ROTULOS IOG.100GR CARAMELO - FLAN GOURMET"</f>
        <v>ROTULOS IOG.100GR CARAMELO - FLAN GOURMET</v>
      </c>
      <c r="C21209" s="2" t="str">
        <f t="shared" si="843"/>
        <v>UN</v>
      </c>
      <c r="D21209" s="7">
        <v>112</v>
      </c>
      <c r="E21209" s="3">
        <v>1</v>
      </c>
      <c r="F21209" s="3">
        <v>1</v>
      </c>
      <c r="G21209" t="s">
        <v>513</v>
      </c>
    </row>
    <row r="21210" spans="1:7" x14ac:dyDescent="0.25">
      <c r="A21210" s="1" t="str">
        <f>"5950"</f>
        <v>5950</v>
      </c>
      <c r="B21210" s="2" t="str">
        <f>"ROTULOS IOG.100GR GOIABA - FLAN GOURMET"</f>
        <v>ROTULOS IOG.100GR GOIABA - FLAN GOURMET</v>
      </c>
      <c r="C21210" s="2" t="str">
        <f t="shared" si="843"/>
        <v>UN</v>
      </c>
      <c r="D21210" s="7">
        <v>112</v>
      </c>
      <c r="E21210" s="3">
        <v>1</v>
      </c>
      <c r="F21210" s="3">
        <v>1</v>
      </c>
      <c r="G21210" t="s">
        <v>514</v>
      </c>
    </row>
    <row r="21211" spans="1:7" x14ac:dyDescent="0.25">
      <c r="A21211" s="1" t="str">
        <f>"6809"</f>
        <v>6809</v>
      </c>
      <c r="B21211" s="2" t="str">
        <f>"ROTULOS IOG.1350GR MORANGO (CARREFOUR)"</f>
        <v>ROTULOS IOG.1350GR MORANGO (CARREFOUR)</v>
      </c>
      <c r="C21211" s="2" t="str">
        <f t="shared" si="843"/>
        <v>UN</v>
      </c>
      <c r="D21211" s="7">
        <v>112</v>
      </c>
      <c r="E21211" s="3">
        <v>1</v>
      </c>
      <c r="F21211" s="3">
        <v>1</v>
      </c>
      <c r="G21211" t="s">
        <v>514</v>
      </c>
    </row>
    <row r="21212" spans="1:7" x14ac:dyDescent="0.25">
      <c r="A21212" s="1" t="str">
        <f>"645"</f>
        <v>645</v>
      </c>
      <c r="B21212" s="2" t="str">
        <f>"ROTULOS IOG.140GR FRUTAS VERMELHAS E CHIA (BIO BALANCE)"</f>
        <v>ROTULOS IOG.140GR FRUTAS VERMELHAS E CHIA (BIO BALANCE)</v>
      </c>
      <c r="C21212" s="2" t="str">
        <f t="shared" si="843"/>
        <v>UN</v>
      </c>
      <c r="D21212" s="7">
        <v>2</v>
      </c>
      <c r="E21212" s="3">
        <v>1</v>
      </c>
      <c r="F21212" s="3">
        <v>1</v>
      </c>
      <c r="G21212" t="s">
        <v>512</v>
      </c>
    </row>
    <row r="21213" spans="1:7" x14ac:dyDescent="0.25">
      <c r="A21213" s="1" t="str">
        <f>"644"</f>
        <v>644</v>
      </c>
      <c r="B21213" s="2" t="str">
        <f>"ROTULOS IOG.140GR MORANGO E CHIA (BIO BALANCE)"</f>
        <v>ROTULOS IOG.140GR MORANGO E CHIA (BIO BALANCE)</v>
      </c>
      <c r="C21213" s="2" t="str">
        <f t="shared" si="843"/>
        <v>UN</v>
      </c>
      <c r="D21213" s="7">
        <v>2</v>
      </c>
      <c r="E21213" s="3">
        <v>1</v>
      </c>
      <c r="F21213" s="3">
        <v>1</v>
      </c>
      <c r="G21213" t="s">
        <v>513</v>
      </c>
    </row>
    <row r="21214" spans="1:7" x14ac:dyDescent="0.25">
      <c r="A21214" s="1" t="str">
        <f>"639"</f>
        <v>639</v>
      </c>
      <c r="B21214" s="2" t="str">
        <f>"ROTULOS IOG.140GR SEM LACTOSE FRUTAS VERMELHAS (GLUCK)"</f>
        <v>ROTULOS IOG.140GR SEM LACTOSE FRUTAS VERMELHAS (GLUCK)</v>
      </c>
      <c r="C21214" s="2" t="str">
        <f t="shared" si="843"/>
        <v>UN</v>
      </c>
      <c r="D21214" s="7">
        <v>2</v>
      </c>
      <c r="E21214" s="3">
        <v>1</v>
      </c>
      <c r="F21214" s="3">
        <v>1</v>
      </c>
      <c r="G21214" t="s">
        <v>514</v>
      </c>
    </row>
    <row r="21215" spans="1:7" x14ac:dyDescent="0.25">
      <c r="A21215" s="1" t="str">
        <f>"636"</f>
        <v>636</v>
      </c>
      <c r="B21215" s="2" t="str">
        <f>"ROTULOS IOG.140GR SEM LACTOSE MORANGO (GLUCK)"</f>
        <v>ROTULOS IOG.140GR SEM LACTOSE MORANGO (GLUCK)</v>
      </c>
      <c r="C21215" s="2" t="str">
        <f t="shared" si="843"/>
        <v>UN</v>
      </c>
      <c r="D21215" s="7">
        <v>2</v>
      </c>
      <c r="E21215" s="3">
        <v>1</v>
      </c>
      <c r="F21215" s="3">
        <v>1</v>
      </c>
      <c r="G21215" t="s">
        <v>514</v>
      </c>
    </row>
    <row r="21216" spans="1:7" x14ac:dyDescent="0.25">
      <c r="A21216" s="1" t="str">
        <f>"638"</f>
        <v>638</v>
      </c>
      <c r="B21216" s="2" t="str">
        <f>"ROTULOS IOG.140GR SEM LACTOSE NATUAL DESNATADO (GLUCK)"</f>
        <v>ROTULOS IOG.140GR SEM LACTOSE NATUAL DESNATADO (GLUCK)</v>
      </c>
      <c r="C21216" s="2" t="str">
        <f t="shared" si="843"/>
        <v>UN</v>
      </c>
      <c r="D21216" s="7">
        <v>2</v>
      </c>
      <c r="E21216" s="3">
        <v>1</v>
      </c>
      <c r="F21216" s="3">
        <v>1</v>
      </c>
      <c r="G21216" t="s">
        <v>514</v>
      </c>
    </row>
    <row r="21217" spans="1:7" x14ac:dyDescent="0.25">
      <c r="A21217" s="1" t="str">
        <f>"637"</f>
        <v>637</v>
      </c>
      <c r="B21217" s="2" t="str">
        <f>"ROTULOS IOG.140GR SEM LACTOSE NATURAL INTEGRAL (GLUCK)"</f>
        <v>ROTULOS IOG.140GR SEM LACTOSE NATURAL INTEGRAL (GLUCK)</v>
      </c>
      <c r="C21217" s="2" t="str">
        <f t="shared" si="843"/>
        <v>UN</v>
      </c>
      <c r="D21217" s="7">
        <v>2</v>
      </c>
      <c r="E21217" s="3">
        <v>1</v>
      </c>
      <c r="F21217" s="3">
        <v>1</v>
      </c>
      <c r="G21217" t="s">
        <v>513</v>
      </c>
    </row>
    <row r="21218" spans="1:7" x14ac:dyDescent="0.25">
      <c r="A21218" s="1" t="str">
        <f>"6077"</f>
        <v>6077</v>
      </c>
      <c r="B21218" s="2" t="str">
        <f>"ROTULOS IOG.150GR BATIDO C/MEL (GLUCK)"</f>
        <v>ROTULOS IOG.150GR BATIDO C/MEL (GLUCK)</v>
      </c>
      <c r="C21218" s="2" t="str">
        <f t="shared" si="843"/>
        <v>UN</v>
      </c>
      <c r="D21218" s="7">
        <v>112</v>
      </c>
      <c r="E21218" s="3">
        <v>1</v>
      </c>
      <c r="F21218" s="3">
        <v>1</v>
      </c>
      <c r="G21218" t="s">
        <v>512</v>
      </c>
    </row>
    <row r="21219" spans="1:7" x14ac:dyDescent="0.25">
      <c r="A21219" s="1" t="str">
        <f>"5902"</f>
        <v>5902</v>
      </c>
      <c r="B21219" s="2" t="str">
        <f>"ROTULOS IOG.150GR COCO (GLUCK)"</f>
        <v>ROTULOS IOG.150GR COCO (GLUCK)</v>
      </c>
      <c r="C21219" s="2" t="str">
        <f t="shared" si="843"/>
        <v>UN</v>
      </c>
      <c r="D21219" s="7">
        <v>112</v>
      </c>
      <c r="E21219" s="3">
        <v>1</v>
      </c>
      <c r="F21219" s="3">
        <v>1</v>
      </c>
      <c r="G21219" t="s">
        <v>513</v>
      </c>
    </row>
    <row r="21220" spans="1:7" x14ac:dyDescent="0.25">
      <c r="A21220" s="1" t="str">
        <f>"6663"</f>
        <v>6663</v>
      </c>
      <c r="B21220" s="2" t="str">
        <f>"ROTULOS IOG.150GR COCO (VERY GURT)"</f>
        <v>ROTULOS IOG.150GR COCO (VERY GURT)</v>
      </c>
      <c r="C21220" s="2" t="str">
        <f t="shared" si="843"/>
        <v>UN</v>
      </c>
      <c r="D21220" s="7">
        <v>112</v>
      </c>
      <c r="E21220" s="3">
        <v>1</v>
      </c>
      <c r="F21220" s="3">
        <v>1</v>
      </c>
      <c r="G21220" t="s">
        <v>514</v>
      </c>
    </row>
    <row r="21221" spans="1:7" x14ac:dyDescent="0.25">
      <c r="A21221" s="1" t="str">
        <f>"6664"</f>
        <v>6664</v>
      </c>
      <c r="B21221" s="2" t="str">
        <f>"ROTULOS IOG.150GR F.VERMELHAS (VERY GURT"</f>
        <v>ROTULOS IOG.150GR F.VERMELHAS (VERY GURT</v>
      </c>
      <c r="C21221" s="2" t="str">
        <f t="shared" si="843"/>
        <v>UN</v>
      </c>
      <c r="D21221" s="7">
        <v>112</v>
      </c>
      <c r="E21221" s="3">
        <v>1</v>
      </c>
      <c r="F21221" s="3">
        <v>1</v>
      </c>
      <c r="G21221" t="s">
        <v>514</v>
      </c>
    </row>
    <row r="21222" spans="1:7" x14ac:dyDescent="0.25">
      <c r="A21222" s="1" t="str">
        <f>"5903"</f>
        <v>5903</v>
      </c>
      <c r="B21222" s="2" t="str">
        <f>"ROTULOS IOG.150GR FRUTAS VERMELHAS (GLUC"</f>
        <v>ROTULOS IOG.150GR FRUTAS VERMELHAS (GLUC</v>
      </c>
      <c r="C21222" s="2" t="str">
        <f t="shared" si="843"/>
        <v>UN</v>
      </c>
      <c r="D21222" s="7">
        <v>112</v>
      </c>
      <c r="E21222" s="3">
        <v>1</v>
      </c>
      <c r="F21222" s="3">
        <v>1</v>
      </c>
      <c r="G21222" t="s">
        <v>514</v>
      </c>
    </row>
    <row r="21223" spans="1:7" x14ac:dyDescent="0.25">
      <c r="A21223" s="1" t="str">
        <f>"6666"</f>
        <v>6666</v>
      </c>
      <c r="B21223" s="2" t="str">
        <f>"ROTULOS IOG.150GR GRAVIOLA (VERY GURT)"</f>
        <v>ROTULOS IOG.150GR GRAVIOLA (VERY GURT)</v>
      </c>
      <c r="C21223" s="2" t="str">
        <f t="shared" si="843"/>
        <v>UN</v>
      </c>
      <c r="D21223" s="7">
        <v>112</v>
      </c>
      <c r="E21223" s="3">
        <v>1</v>
      </c>
      <c r="F21223" s="3">
        <v>1</v>
      </c>
      <c r="G21223" t="s">
        <v>513</v>
      </c>
    </row>
    <row r="21224" spans="1:7" x14ac:dyDescent="0.25">
      <c r="A21224" s="1" t="str">
        <f>"5815"</f>
        <v>5815</v>
      </c>
      <c r="B21224" s="2" t="str">
        <f>"ROTULOS IOG.150GR LIGHT  AMEIXA(VIVER)"</f>
        <v>ROTULOS IOG.150GR LIGHT  AMEIXA(VIVER)</v>
      </c>
      <c r="C21224" s="2" t="str">
        <f t="shared" si="843"/>
        <v>UN</v>
      </c>
      <c r="D21224" s="7">
        <v>112</v>
      </c>
      <c r="E21224" s="3">
        <v>1</v>
      </c>
      <c r="F21224" s="3">
        <v>1</v>
      </c>
      <c r="G21224" t="s">
        <v>513</v>
      </c>
    </row>
    <row r="21225" spans="1:7" x14ac:dyDescent="0.25">
      <c r="A21225" s="1" t="str">
        <f>"5817"</f>
        <v>5817</v>
      </c>
      <c r="B21225" s="2" t="str">
        <f>"ROTULOS IOG.150GR LIGHT  MORANG.(VIVER)"</f>
        <v>ROTULOS IOG.150GR LIGHT  MORANG.(VIVER)</v>
      </c>
      <c r="C21225" s="2" t="str">
        <f t="shared" si="843"/>
        <v>UN</v>
      </c>
      <c r="D21225" s="7">
        <v>112</v>
      </c>
      <c r="E21225" s="3">
        <v>1</v>
      </c>
      <c r="F21225" s="3">
        <v>1</v>
      </c>
      <c r="G21225" t="s">
        <v>513</v>
      </c>
    </row>
    <row r="21226" spans="1:7" x14ac:dyDescent="0.25">
      <c r="A21226" s="1" t="str">
        <f>"5819"</f>
        <v>5819</v>
      </c>
      <c r="B21226" s="2" t="str">
        <f>"ROTULOS IOG.150GR LIGHT  SALAD.(VIVER)"</f>
        <v>ROTULOS IOG.150GR LIGHT  SALAD.(VIVER)</v>
      </c>
      <c r="C21226" s="2" t="str">
        <f t="shared" si="843"/>
        <v>UN</v>
      </c>
      <c r="D21226" s="7">
        <v>112</v>
      </c>
      <c r="E21226" s="3">
        <v>1</v>
      </c>
      <c r="F21226" s="3">
        <v>1</v>
      </c>
      <c r="G21226" t="s">
        <v>512</v>
      </c>
    </row>
    <row r="21227" spans="1:7" x14ac:dyDescent="0.25">
      <c r="A21227" s="1" t="str">
        <f>"3144"</f>
        <v>3144</v>
      </c>
      <c r="B21227" s="2" t="str">
        <f>"ROTULOS IOG.150GR LIGHT AMEIXA (COOP)"</f>
        <v>ROTULOS IOG.150GR LIGHT AMEIXA (COOP)</v>
      </c>
      <c r="C21227" s="2" t="str">
        <f t="shared" si="843"/>
        <v>UN</v>
      </c>
      <c r="D21227" s="7">
        <v>112</v>
      </c>
      <c r="E21227" s="3">
        <v>1</v>
      </c>
      <c r="F21227" s="3">
        <v>1</v>
      </c>
      <c r="G21227" t="s">
        <v>513</v>
      </c>
    </row>
    <row r="21228" spans="1:7" x14ac:dyDescent="0.25">
      <c r="A21228" s="1" t="str">
        <f>"3145"</f>
        <v>3145</v>
      </c>
      <c r="B21228" s="2" t="str">
        <f>"ROTULOS IOG.150GR LIGHT MORANGO (COOP)"</f>
        <v>ROTULOS IOG.150GR LIGHT MORANGO (COOP)</v>
      </c>
      <c r="C21228" s="2" t="str">
        <f t="shared" si="843"/>
        <v>UN</v>
      </c>
      <c r="D21228" s="7">
        <v>112</v>
      </c>
      <c r="E21228" s="3">
        <v>1</v>
      </c>
      <c r="F21228" s="3">
        <v>1</v>
      </c>
      <c r="G21228" t="s">
        <v>514</v>
      </c>
    </row>
    <row r="21229" spans="1:7" x14ac:dyDescent="0.25">
      <c r="A21229" s="1" t="str">
        <f>"6132"</f>
        <v>6132</v>
      </c>
      <c r="B21229" s="2" t="str">
        <f>"ROTULOS IOG.150GR MORANGO (AMARELINHAS)"</f>
        <v>ROTULOS IOG.150GR MORANGO (AMARELINHAS)</v>
      </c>
      <c r="C21229" s="2" t="str">
        <f t="shared" ref="C21229:C21292" si="844">"UN"</f>
        <v>UN</v>
      </c>
      <c r="D21229" s="7">
        <v>112</v>
      </c>
      <c r="E21229" s="3">
        <v>1</v>
      </c>
      <c r="F21229" s="3">
        <v>1</v>
      </c>
      <c r="G21229" t="s">
        <v>515</v>
      </c>
    </row>
    <row r="21230" spans="1:7" x14ac:dyDescent="0.25">
      <c r="A21230" s="1" t="str">
        <f>"5904"</f>
        <v>5904</v>
      </c>
      <c r="B21230" s="2" t="str">
        <f>"ROTULOS IOG.150GR MORANGO (GLUCK)"</f>
        <v>ROTULOS IOG.150GR MORANGO (GLUCK)</v>
      </c>
      <c r="C21230" s="2" t="str">
        <f t="shared" si="844"/>
        <v>UN</v>
      </c>
      <c r="D21230" s="7">
        <v>112</v>
      </c>
      <c r="E21230" s="3">
        <v>1</v>
      </c>
      <c r="F21230" s="3">
        <v>1</v>
      </c>
      <c r="G21230" t="s">
        <v>512</v>
      </c>
    </row>
    <row r="21231" spans="1:7" x14ac:dyDescent="0.25">
      <c r="A21231" s="1" t="str">
        <f>"6662"</f>
        <v>6662</v>
      </c>
      <c r="B21231" s="2" t="str">
        <f>"ROTULOS IOG.150GR MORANGO (VERY GURT)"</f>
        <v>ROTULOS IOG.150GR MORANGO (VERY GURT)</v>
      </c>
      <c r="C21231" s="2" t="str">
        <f t="shared" si="844"/>
        <v>UN</v>
      </c>
      <c r="D21231" s="7">
        <v>112</v>
      </c>
      <c r="E21231" s="3">
        <v>1</v>
      </c>
      <c r="F21231" s="3">
        <v>1</v>
      </c>
      <c r="G21231" t="s">
        <v>516</v>
      </c>
    </row>
    <row r="21232" spans="1:7" x14ac:dyDescent="0.25">
      <c r="A21232" s="1" t="str">
        <f>"6665"</f>
        <v>6665</v>
      </c>
      <c r="B21232" s="2" t="str">
        <f>"ROTULOS IOG.150GR SAL/FRUTAS (VERY GURT)"</f>
        <v>ROTULOS IOG.150GR SAL/FRUTAS (VERY GURT)</v>
      </c>
      <c r="C21232" s="2" t="str">
        <f t="shared" si="844"/>
        <v>UN</v>
      </c>
      <c r="D21232" s="7">
        <v>112</v>
      </c>
      <c r="E21232" s="3">
        <v>1</v>
      </c>
      <c r="F21232" s="3">
        <v>1</v>
      </c>
      <c r="G21232" t="s">
        <v>515</v>
      </c>
    </row>
    <row r="21233" spans="1:7" x14ac:dyDescent="0.25">
      <c r="A21233" s="1" t="str">
        <f>"6133"</f>
        <v>6133</v>
      </c>
      <c r="B21233" s="2" t="str">
        <f>"ROTULOS IOG.150GR SALADA DE FRUTAS (AMARELINHAS)"</f>
        <v>ROTULOS IOG.150GR SALADA DE FRUTAS (AMARELINHAS)</v>
      </c>
      <c r="C21233" s="2" t="str">
        <f t="shared" si="844"/>
        <v>UN</v>
      </c>
      <c r="D21233" s="7">
        <v>112</v>
      </c>
      <c r="E21233" s="3">
        <v>1</v>
      </c>
      <c r="F21233" s="3">
        <v>1</v>
      </c>
      <c r="G21233" t="s">
        <v>514</v>
      </c>
    </row>
    <row r="21234" spans="1:7" x14ac:dyDescent="0.25">
      <c r="A21234" s="1" t="str">
        <f>"5901"</f>
        <v>5901</v>
      </c>
      <c r="B21234" s="2" t="str">
        <f>"ROTULOS IOG.150GR SALADA FRUTAS (GLUCK)"</f>
        <v>ROTULOS IOG.150GR SALADA FRUTAS (GLUCK)</v>
      </c>
      <c r="C21234" s="2" t="str">
        <f t="shared" si="844"/>
        <v>UN</v>
      </c>
      <c r="D21234" s="7">
        <v>112</v>
      </c>
      <c r="E21234" s="3">
        <v>1</v>
      </c>
      <c r="F21234" s="3">
        <v>1</v>
      </c>
      <c r="G21234" t="s">
        <v>512</v>
      </c>
    </row>
    <row r="21235" spans="1:7" x14ac:dyDescent="0.25">
      <c r="A21235" s="1" t="str">
        <f>"6180"</f>
        <v>6180</v>
      </c>
      <c r="B21235" s="2" t="str">
        <f>"ROTULOS IOG.160G AMEIXA FIBRAS (VIVER)"</f>
        <v>ROTULOS IOG.160G AMEIXA FIBRAS (VIVER)</v>
      </c>
      <c r="C21235" s="2" t="str">
        <f t="shared" si="844"/>
        <v>UN</v>
      </c>
      <c r="D21235" s="7">
        <v>112</v>
      </c>
      <c r="E21235" s="3">
        <v>1</v>
      </c>
      <c r="F21235" s="3">
        <v>1</v>
      </c>
      <c r="G21235" t="s">
        <v>513</v>
      </c>
    </row>
    <row r="21236" spans="1:7" x14ac:dyDescent="0.25">
      <c r="A21236" s="1" t="str">
        <f>"6179"</f>
        <v>6179</v>
      </c>
      <c r="B21236" s="2" t="str">
        <f>"ROTULOS IOG.160G MORANGO FIBRAS (VIVER)"</f>
        <v>ROTULOS IOG.160G MORANGO FIBRAS (VIVER)</v>
      </c>
      <c r="C21236" s="2" t="str">
        <f t="shared" si="844"/>
        <v>UN</v>
      </c>
      <c r="D21236" s="7">
        <v>112</v>
      </c>
      <c r="E21236" s="3">
        <v>1</v>
      </c>
      <c r="F21236" s="3">
        <v>1</v>
      </c>
      <c r="G21236" t="s">
        <v>514</v>
      </c>
    </row>
    <row r="21237" spans="1:7" x14ac:dyDescent="0.25">
      <c r="A21237" s="1" t="str">
        <f>"5946"</f>
        <v>5946</v>
      </c>
      <c r="B21237" s="2" t="str">
        <f>"ROTULOS IOG.160GR COCO - FRUTAS"</f>
        <v>ROTULOS IOG.160GR COCO - FRUTAS</v>
      </c>
      <c r="C21237" s="2" t="str">
        <f t="shared" si="844"/>
        <v>UN</v>
      </c>
      <c r="D21237" s="7">
        <v>112</v>
      </c>
      <c r="E21237" s="3">
        <v>1</v>
      </c>
      <c r="F21237" s="3">
        <v>1</v>
      </c>
      <c r="G21237" t="s">
        <v>514</v>
      </c>
    </row>
    <row r="21238" spans="1:7" x14ac:dyDescent="0.25">
      <c r="A21238" s="1" t="str">
        <f>"6755"</f>
        <v>6755</v>
      </c>
      <c r="B21238" s="2" t="str">
        <f>"ROTULOS IOG.160GR COCO (CARREFOUR)"</f>
        <v>ROTULOS IOG.160GR COCO (CARREFOUR)</v>
      </c>
      <c r="C21238" s="2" t="str">
        <f t="shared" si="844"/>
        <v>UN</v>
      </c>
      <c r="D21238" s="7">
        <v>112</v>
      </c>
      <c r="E21238" s="3">
        <v>1</v>
      </c>
      <c r="F21238" s="3">
        <v>1</v>
      </c>
      <c r="G21238" t="s">
        <v>512</v>
      </c>
    </row>
    <row r="21239" spans="1:7" x14ac:dyDescent="0.25">
      <c r="A21239" s="1" t="str">
        <f>"3148"</f>
        <v>3148</v>
      </c>
      <c r="B21239" s="2" t="str">
        <f>"ROTULOS IOG.160GR FR/VERM. (COOP)"</f>
        <v>ROTULOS IOG.160GR FR/VERM. (COOP)</v>
      </c>
      <c r="C21239" s="2" t="str">
        <f t="shared" si="844"/>
        <v>UN</v>
      </c>
      <c r="D21239" s="7">
        <v>112</v>
      </c>
      <c r="E21239" s="3">
        <v>1</v>
      </c>
      <c r="F21239" s="3">
        <v>1</v>
      </c>
      <c r="G21239" t="s">
        <v>513</v>
      </c>
    </row>
    <row r="21240" spans="1:7" x14ac:dyDescent="0.25">
      <c r="A21240" s="1" t="str">
        <f>"5948"</f>
        <v>5948</v>
      </c>
      <c r="B21240" s="2" t="str">
        <f>"ROTULOS IOG.160GR MOR/AMORA/FRAMBOESA - FRUTAS"</f>
        <v>ROTULOS IOG.160GR MOR/AMORA/FRAMBOESA - FRUTAS</v>
      </c>
      <c r="C21240" s="2" t="str">
        <f t="shared" si="844"/>
        <v>UN</v>
      </c>
      <c r="D21240" s="7">
        <v>112</v>
      </c>
      <c r="E21240" s="3">
        <v>1</v>
      </c>
      <c r="F21240" s="3">
        <v>1</v>
      </c>
      <c r="G21240" t="s">
        <v>514</v>
      </c>
    </row>
    <row r="21241" spans="1:7" x14ac:dyDescent="0.25">
      <c r="A21241" s="1" t="str">
        <f>"6748"</f>
        <v>6748</v>
      </c>
      <c r="B21241" s="2" t="str">
        <f>"ROTULOS IOG.160GR MOR/FRAMB/AMORA. (CARREFOUR)"</f>
        <v>ROTULOS IOG.160GR MOR/FRAMB/AMORA. (CARREFOUR)</v>
      </c>
      <c r="C21241" s="2" t="str">
        <f t="shared" si="844"/>
        <v>UN</v>
      </c>
      <c r="D21241" s="7">
        <v>112</v>
      </c>
      <c r="E21241" s="3">
        <v>1</v>
      </c>
      <c r="F21241" s="3">
        <v>1</v>
      </c>
      <c r="G21241" t="s">
        <v>514</v>
      </c>
    </row>
    <row r="21242" spans="1:7" x14ac:dyDescent="0.25">
      <c r="A21242" s="1" t="str">
        <f>"5945"</f>
        <v>5945</v>
      </c>
      <c r="B21242" s="2" t="str">
        <f>"ROTULOS IOG.160GR MORANGO - FRUTAS"</f>
        <v>ROTULOS IOG.160GR MORANGO - FRUTAS</v>
      </c>
      <c r="C21242" s="2" t="str">
        <f t="shared" si="844"/>
        <v>UN</v>
      </c>
      <c r="D21242" s="7">
        <v>112</v>
      </c>
      <c r="E21242" s="3">
        <v>1</v>
      </c>
      <c r="F21242" s="3">
        <v>1</v>
      </c>
      <c r="G21242" t="s">
        <v>514</v>
      </c>
    </row>
    <row r="21243" spans="1:7" x14ac:dyDescent="0.25">
      <c r="A21243" s="1" t="str">
        <f>"2839"</f>
        <v>2839</v>
      </c>
      <c r="B21243" s="2" t="str">
        <f>"ROTULOS IOG.160GR MORANGO (CARREFOUR)"</f>
        <v>ROTULOS IOG.160GR MORANGO (CARREFOUR)</v>
      </c>
      <c r="C21243" s="2" t="str">
        <f t="shared" si="844"/>
        <v>UN</v>
      </c>
      <c r="D21243" s="7">
        <v>112</v>
      </c>
      <c r="E21243" s="3">
        <v>1</v>
      </c>
      <c r="F21243" s="3">
        <v>1</v>
      </c>
      <c r="G21243" t="s">
        <v>513</v>
      </c>
    </row>
    <row r="21244" spans="1:7" x14ac:dyDescent="0.25">
      <c r="A21244" s="1" t="str">
        <f>"6749"</f>
        <v>6749</v>
      </c>
      <c r="B21244" s="2" t="str">
        <f>"ROTULOS IOG.160GR MORANGO (CARREFOUR)"</f>
        <v>ROTULOS IOG.160GR MORANGO (CARREFOUR)</v>
      </c>
      <c r="C21244" s="2" t="str">
        <f t="shared" si="844"/>
        <v>UN</v>
      </c>
      <c r="D21244" s="7">
        <v>112</v>
      </c>
      <c r="E21244" s="3">
        <v>1</v>
      </c>
      <c r="F21244" s="3">
        <v>1</v>
      </c>
      <c r="G21244" t="s">
        <v>512</v>
      </c>
    </row>
    <row r="21245" spans="1:7" x14ac:dyDescent="0.25">
      <c r="A21245" s="1" t="str">
        <f>"3147"</f>
        <v>3147</v>
      </c>
      <c r="B21245" s="2" t="str">
        <f>"ROTULOS IOG.160GR MORANGO (COOP)"</f>
        <v>ROTULOS IOG.160GR MORANGO (COOP)</v>
      </c>
      <c r="C21245" s="2" t="str">
        <f t="shared" si="844"/>
        <v>UN</v>
      </c>
      <c r="D21245" s="7">
        <v>112</v>
      </c>
      <c r="E21245" s="3">
        <v>1</v>
      </c>
      <c r="F21245" s="3">
        <v>1</v>
      </c>
      <c r="G21245" t="s">
        <v>513</v>
      </c>
    </row>
    <row r="21246" spans="1:7" x14ac:dyDescent="0.25">
      <c r="A21246" s="1" t="str">
        <f>"3149"</f>
        <v>3149</v>
      </c>
      <c r="B21246" s="2" t="str">
        <f>"ROTULOS IOG.160GR PESSEGO (COOP)"</f>
        <v>ROTULOS IOG.160GR PESSEGO (COOP)</v>
      </c>
      <c r="C21246" s="2" t="str">
        <f t="shared" si="844"/>
        <v>UN</v>
      </c>
      <c r="D21246" s="7">
        <v>112</v>
      </c>
      <c r="E21246" s="3">
        <v>1</v>
      </c>
      <c r="F21246" s="3">
        <v>1</v>
      </c>
      <c r="G21246" t="s">
        <v>514</v>
      </c>
    </row>
    <row r="21247" spans="1:7" x14ac:dyDescent="0.25">
      <c r="A21247" s="1" t="str">
        <f>"6750"</f>
        <v>6750</v>
      </c>
      <c r="B21247" s="2" t="str">
        <f>"ROTULOS IOG.160GR PESSEGO CARREFOUR"</f>
        <v>ROTULOS IOG.160GR PESSEGO CARREFOUR</v>
      </c>
      <c r="C21247" s="2" t="str">
        <f t="shared" si="844"/>
        <v>UN</v>
      </c>
      <c r="D21247" s="7">
        <v>112</v>
      </c>
      <c r="E21247" s="3">
        <v>1</v>
      </c>
      <c r="F21247" s="3">
        <v>1</v>
      </c>
      <c r="G21247" t="s">
        <v>514</v>
      </c>
    </row>
    <row r="21248" spans="1:7" x14ac:dyDescent="0.25">
      <c r="A21248" s="1" t="str">
        <f>"5821"</f>
        <v>5821</v>
      </c>
      <c r="B21248" s="2" t="str">
        <f>"ROTULOS IOG.160GR SOJA E CALCIO PESSEG.("</f>
        <v>ROTULOS IOG.160GR SOJA E CALCIO PESSEG.(</v>
      </c>
      <c r="C21248" s="2" t="str">
        <f t="shared" si="844"/>
        <v>UN</v>
      </c>
      <c r="D21248" s="7">
        <v>112</v>
      </c>
      <c r="E21248" s="3">
        <v>1</v>
      </c>
      <c r="F21248" s="3">
        <v>1</v>
      </c>
      <c r="G21248" t="s">
        <v>514</v>
      </c>
    </row>
    <row r="21249" spans="1:7" x14ac:dyDescent="0.25">
      <c r="A21249" s="1" t="str">
        <f>"7043"</f>
        <v>7043</v>
      </c>
      <c r="B21249" s="2" t="str">
        <f>"ROTULOS IOG.165GR MORANGO (PEDAÇOS - 6%)"</f>
        <v>ROTULOS IOG.165GR MORANGO (PEDAÇOS - 6%)</v>
      </c>
      <c r="C21249" s="2" t="str">
        <f t="shared" si="844"/>
        <v>UN</v>
      </c>
      <c r="D21249" s="7">
        <v>112</v>
      </c>
      <c r="E21249" s="3">
        <v>1</v>
      </c>
      <c r="F21249" s="3">
        <v>1</v>
      </c>
      <c r="G21249" t="s">
        <v>513</v>
      </c>
    </row>
    <row r="21250" spans="1:7" x14ac:dyDescent="0.25">
      <c r="A21250" s="1" t="str">
        <f>"655"</f>
        <v>655</v>
      </c>
      <c r="B21250" s="2" t="str">
        <f>"ROTULOS IOG.165GR MORANGO PEDAÇOS  (GLUCK)"</f>
        <v>ROTULOS IOG.165GR MORANGO PEDAÇOS  (GLUCK)</v>
      </c>
      <c r="C21250" s="2" t="str">
        <f t="shared" si="844"/>
        <v>UN</v>
      </c>
      <c r="D21250" s="7">
        <v>112</v>
      </c>
      <c r="E21250" s="3">
        <v>1</v>
      </c>
      <c r="F21250" s="3">
        <v>1</v>
      </c>
      <c r="G21250" t="s">
        <v>513</v>
      </c>
    </row>
    <row r="21251" spans="1:7" x14ac:dyDescent="0.25">
      <c r="A21251" s="1" t="str">
        <f>"513783"</f>
        <v>513783</v>
      </c>
      <c r="B21251" s="2" t="str">
        <f>"ROTULOS IOG.170GR AMEIXA BIOBALANCE"</f>
        <v>ROTULOS IOG.170GR AMEIXA BIOBALANCE</v>
      </c>
      <c r="C21251" s="2" t="str">
        <f t="shared" si="844"/>
        <v>UN</v>
      </c>
      <c r="D21251" s="7">
        <v>10</v>
      </c>
      <c r="E21251" s="3">
        <v>1</v>
      </c>
      <c r="F21251" s="3">
        <v>1</v>
      </c>
      <c r="G21251" t="s">
        <v>513</v>
      </c>
    </row>
    <row r="21252" spans="1:7" x14ac:dyDescent="0.25">
      <c r="A21252" s="1" t="str">
        <f>"6074"</f>
        <v>6074</v>
      </c>
      <c r="B21252" s="2" t="str">
        <f>"ROTULOS IOG.170GR CHOCOL/BAUNILHA (GLUCK"</f>
        <v>ROTULOS IOG.170GR CHOCOL/BAUNILHA (GLUCK</v>
      </c>
      <c r="C21252" s="2" t="str">
        <f t="shared" si="844"/>
        <v>UN</v>
      </c>
      <c r="D21252" s="7">
        <v>112</v>
      </c>
      <c r="E21252" s="3">
        <v>1</v>
      </c>
      <c r="F21252" s="3">
        <v>1</v>
      </c>
      <c r="G21252" t="s">
        <v>512</v>
      </c>
    </row>
    <row r="21253" spans="1:7" x14ac:dyDescent="0.25">
      <c r="A21253" s="1" t="str">
        <f>"6073"</f>
        <v>6073</v>
      </c>
      <c r="B21253" s="2" t="str">
        <f>"ROTULOS IOG.170GR CHOCOL/CEREJA (GLUCK)"</f>
        <v>ROTULOS IOG.170GR CHOCOL/CEREJA (GLUCK)</v>
      </c>
      <c r="C21253" s="2" t="str">
        <f t="shared" si="844"/>
        <v>UN</v>
      </c>
      <c r="D21253" s="7">
        <v>112</v>
      </c>
      <c r="E21253" s="3">
        <v>1</v>
      </c>
      <c r="F21253" s="3">
        <v>1</v>
      </c>
      <c r="G21253" t="s">
        <v>513</v>
      </c>
    </row>
    <row r="21254" spans="1:7" x14ac:dyDescent="0.25">
      <c r="A21254" s="1" t="str">
        <f>"6075"</f>
        <v>6075</v>
      </c>
      <c r="B21254" s="2" t="str">
        <f>"ROTULOS IOG.170GR CHOCOL/COCO (GLUCK)"</f>
        <v>ROTULOS IOG.170GR CHOCOL/COCO (GLUCK)</v>
      </c>
      <c r="C21254" s="2" t="str">
        <f t="shared" si="844"/>
        <v>UN</v>
      </c>
      <c r="D21254" s="7">
        <v>112</v>
      </c>
      <c r="E21254" s="3">
        <v>1</v>
      </c>
      <c r="F21254" s="3">
        <v>1</v>
      </c>
      <c r="G21254" t="s">
        <v>514</v>
      </c>
    </row>
    <row r="21255" spans="1:7" x14ac:dyDescent="0.25">
      <c r="A21255" s="1" t="str">
        <f>"6072"</f>
        <v>6072</v>
      </c>
      <c r="B21255" s="2" t="str">
        <f>"ROTULOS IOG.170GR CHOCOL/MORANGO (GLUCK)"</f>
        <v>ROTULOS IOG.170GR CHOCOL/MORANGO (GLUCK)</v>
      </c>
      <c r="C21255" s="2" t="str">
        <f t="shared" si="844"/>
        <v>UN</v>
      </c>
      <c r="D21255" s="7">
        <v>112</v>
      </c>
      <c r="E21255" s="3">
        <v>1</v>
      </c>
      <c r="F21255" s="3">
        <v>1</v>
      </c>
      <c r="G21255" t="s">
        <v>515</v>
      </c>
    </row>
    <row r="21256" spans="1:7" x14ac:dyDescent="0.25">
      <c r="A21256" s="1" t="str">
        <f>"6092"</f>
        <v>6092</v>
      </c>
      <c r="B21256" s="2" t="str">
        <f>"ROTULOS IOG.170GR CHOCOLATE (GLUCK)"</f>
        <v>ROTULOS IOG.170GR CHOCOLATE (GLUCK)</v>
      </c>
      <c r="C21256" s="2" t="str">
        <f t="shared" si="844"/>
        <v>UN</v>
      </c>
      <c r="D21256" s="7">
        <v>112</v>
      </c>
      <c r="E21256" s="3">
        <v>1</v>
      </c>
      <c r="F21256" s="3">
        <v>1</v>
      </c>
      <c r="G21256" t="s">
        <v>512</v>
      </c>
    </row>
    <row r="21257" spans="1:7" x14ac:dyDescent="0.25">
      <c r="A21257" s="1" t="str">
        <f>"5922"</f>
        <v>5922</v>
      </c>
      <c r="B21257" s="2" t="str">
        <f>"ROTULOS IOG.170GR FRUTAS VERMELHAS (GLUC"</f>
        <v>ROTULOS IOG.170GR FRUTAS VERMELHAS (GLUC</v>
      </c>
      <c r="C21257" s="2" t="str">
        <f t="shared" si="844"/>
        <v>UN</v>
      </c>
      <c r="D21257" s="7">
        <v>112</v>
      </c>
      <c r="E21257" s="3">
        <v>1</v>
      </c>
      <c r="F21257" s="3">
        <v>1</v>
      </c>
      <c r="G21257" t="s">
        <v>516</v>
      </c>
    </row>
    <row r="21258" spans="1:7" x14ac:dyDescent="0.25">
      <c r="A21258" s="1" t="str">
        <f>"5938"</f>
        <v>5938</v>
      </c>
      <c r="B21258" s="2" t="str">
        <f>"ROTULOS IOG.170GR LARANJA (GLUCK GOOL)"</f>
        <v>ROTULOS IOG.170GR LARANJA (GLUCK GOOL)</v>
      </c>
      <c r="C21258" s="2" t="str">
        <f t="shared" si="844"/>
        <v>UN</v>
      </c>
      <c r="D21258" s="7">
        <v>112</v>
      </c>
      <c r="E21258" s="3">
        <v>1</v>
      </c>
      <c r="F21258" s="3">
        <v>1</v>
      </c>
      <c r="G21258" t="s">
        <v>515</v>
      </c>
    </row>
    <row r="21259" spans="1:7" x14ac:dyDescent="0.25">
      <c r="A21259" s="1" t="str">
        <f>"5928"</f>
        <v>5928</v>
      </c>
      <c r="B21259" s="2" t="str">
        <f>"ROTULOS IOG.170GR LIGHT AMEIXA (GLUCK)"</f>
        <v>ROTULOS IOG.170GR LIGHT AMEIXA (GLUCK)</v>
      </c>
      <c r="C21259" s="2" t="str">
        <f t="shared" si="844"/>
        <v>UN</v>
      </c>
      <c r="D21259" s="7">
        <v>112</v>
      </c>
      <c r="E21259" s="3">
        <v>1</v>
      </c>
      <c r="F21259" s="3">
        <v>1</v>
      </c>
      <c r="G21259" t="s">
        <v>514</v>
      </c>
    </row>
    <row r="21260" spans="1:7" x14ac:dyDescent="0.25">
      <c r="A21260" s="1" t="str">
        <f>"5927"</f>
        <v>5927</v>
      </c>
      <c r="B21260" s="2" t="str">
        <f>"ROTULOS IOG.170GR LIGHT MORANGO (GLUCK)"</f>
        <v>ROTULOS IOG.170GR LIGHT MORANGO (GLUCK)</v>
      </c>
      <c r="C21260" s="2" t="str">
        <f t="shared" si="844"/>
        <v>UN</v>
      </c>
      <c r="D21260" s="7">
        <v>112</v>
      </c>
      <c r="E21260" s="3">
        <v>1</v>
      </c>
      <c r="F21260" s="3">
        <v>1</v>
      </c>
      <c r="G21260" t="s">
        <v>512</v>
      </c>
    </row>
    <row r="21261" spans="1:7" x14ac:dyDescent="0.25">
      <c r="A21261" s="1" t="str">
        <f>"5940"</f>
        <v>5940</v>
      </c>
      <c r="B21261" s="2" t="str">
        <f>"ROTULOS IOG.170GR LIMÃO (GLUCK GOOL)"</f>
        <v>ROTULOS IOG.170GR LIMÃO (GLUCK GOOL)</v>
      </c>
      <c r="C21261" s="2" t="str">
        <f t="shared" si="844"/>
        <v>UN</v>
      </c>
      <c r="D21261" s="7">
        <v>112</v>
      </c>
      <c r="E21261" s="3">
        <v>1</v>
      </c>
      <c r="F21261" s="3">
        <v>1</v>
      </c>
      <c r="G21261" t="s">
        <v>513</v>
      </c>
    </row>
    <row r="21262" spans="1:7" x14ac:dyDescent="0.25">
      <c r="A21262" s="1" t="str">
        <f>"5954"</f>
        <v>5954</v>
      </c>
      <c r="B21262" s="2" t="str">
        <f>"ROTULOS IOG.170GR MARACUJA - GLUCK"</f>
        <v>ROTULOS IOG.170GR MARACUJA - GLUCK</v>
      </c>
      <c r="C21262" s="2" t="str">
        <f t="shared" si="844"/>
        <v>UN</v>
      </c>
      <c r="D21262" s="7">
        <v>112</v>
      </c>
      <c r="E21262" s="3">
        <v>1</v>
      </c>
      <c r="F21262" s="3">
        <v>1</v>
      </c>
      <c r="G21262" t="s">
        <v>514</v>
      </c>
    </row>
    <row r="21263" spans="1:7" x14ac:dyDescent="0.25">
      <c r="A21263" s="1" t="str">
        <f>"513793"</f>
        <v>513793</v>
      </c>
      <c r="B21263" s="2" t="str">
        <f>"ROTULOS IOG.170GR MORANGO BIOBALANCE"</f>
        <v>ROTULOS IOG.170GR MORANGO BIOBALANCE</v>
      </c>
      <c r="C21263" s="2" t="str">
        <f t="shared" si="844"/>
        <v>UN</v>
      </c>
      <c r="D21263" s="7">
        <v>10</v>
      </c>
      <c r="E21263" s="3">
        <v>1</v>
      </c>
      <c r="F21263" s="3">
        <v>1</v>
      </c>
      <c r="G21263" t="s">
        <v>514</v>
      </c>
    </row>
    <row r="21264" spans="1:7" x14ac:dyDescent="0.25">
      <c r="A21264" s="1" t="str">
        <f>"5923"</f>
        <v>5923</v>
      </c>
      <c r="B21264" s="2" t="str">
        <f>"ROTULOS IOG.170GR SALADA FRUTAS (GLUCK)"</f>
        <v>ROTULOS IOG.170GR SALADA FRUTAS (GLUCK)</v>
      </c>
      <c r="C21264" s="2" t="str">
        <f t="shared" si="844"/>
        <v>UN</v>
      </c>
      <c r="D21264" s="7">
        <v>112</v>
      </c>
      <c r="E21264" s="3">
        <v>1</v>
      </c>
      <c r="F21264" s="3">
        <v>1</v>
      </c>
      <c r="G21264" t="s">
        <v>512</v>
      </c>
    </row>
    <row r="21265" spans="1:7" x14ac:dyDescent="0.25">
      <c r="A21265" s="1" t="str">
        <f>"5929"</f>
        <v>5929</v>
      </c>
      <c r="B21265" s="2" t="str">
        <f>"ROTULOS IOG.170GR SALADA FRUTAS (GLUCK)"</f>
        <v>ROTULOS IOG.170GR SALADA FRUTAS (GLUCK)</v>
      </c>
      <c r="C21265" s="2" t="str">
        <f t="shared" si="844"/>
        <v>UN</v>
      </c>
      <c r="D21265" s="7">
        <v>112</v>
      </c>
      <c r="E21265" s="3">
        <v>1</v>
      </c>
      <c r="F21265" s="3">
        <v>1</v>
      </c>
      <c r="G21265" t="s">
        <v>513</v>
      </c>
    </row>
    <row r="21266" spans="1:7" x14ac:dyDescent="0.25">
      <c r="A21266" s="1" t="str">
        <f>"6076"</f>
        <v>6076</v>
      </c>
      <c r="B21266" s="2" t="str">
        <f>"ROTULOS IOG.180GR BATIDO C/ACUCAR(GLUCK)"</f>
        <v>ROTULOS IOG.180GR BATIDO C/ACUCAR(GLUCK)</v>
      </c>
      <c r="C21266" s="2" t="str">
        <f t="shared" si="844"/>
        <v>UN</v>
      </c>
      <c r="D21266" s="7">
        <v>112</v>
      </c>
      <c r="E21266" s="3">
        <v>1</v>
      </c>
      <c r="F21266" s="3">
        <v>1</v>
      </c>
      <c r="G21266" t="s">
        <v>514</v>
      </c>
    </row>
    <row r="21267" spans="1:7" x14ac:dyDescent="0.25">
      <c r="A21267" s="1" t="str">
        <f>"5921"</f>
        <v>5921</v>
      </c>
      <c r="B21267" s="2" t="str">
        <f>"ROTULOS IOG.180GR COCO (GLUCK)"</f>
        <v>ROTULOS IOG.180GR COCO (GLUCK)</v>
      </c>
      <c r="C21267" s="2" t="str">
        <f t="shared" si="844"/>
        <v>UN</v>
      </c>
      <c r="D21267" s="7">
        <v>112</v>
      </c>
      <c r="E21267" s="3">
        <v>1</v>
      </c>
      <c r="F21267" s="3">
        <v>1</v>
      </c>
      <c r="G21267" t="s">
        <v>514</v>
      </c>
    </row>
    <row r="21268" spans="1:7" x14ac:dyDescent="0.25">
      <c r="A21268" s="1" t="str">
        <f>"6298"</f>
        <v>6298</v>
      </c>
      <c r="B21268" s="2" t="str">
        <f>"ROTULOS IOG.180GR FR.VERMELHAS (QUALITA)"</f>
        <v>ROTULOS IOG.180GR FR.VERMELHAS (QUALITA)</v>
      </c>
      <c r="C21268" s="2" t="str">
        <f t="shared" si="844"/>
        <v>UN</v>
      </c>
      <c r="D21268" s="7">
        <v>112</v>
      </c>
      <c r="E21268" s="3">
        <v>1</v>
      </c>
      <c r="F21268" s="3">
        <v>1</v>
      </c>
      <c r="G21268" t="s">
        <v>514</v>
      </c>
    </row>
    <row r="21269" spans="1:7" x14ac:dyDescent="0.25">
      <c r="A21269" s="1" t="str">
        <f>"6300"</f>
        <v>6300</v>
      </c>
      <c r="B21269" s="2" t="str">
        <f>"ROTULOS IOG.180GR MACA C/CANELA (QUALITA"</f>
        <v>ROTULOS IOG.180GR MACA C/CANELA (QUALITA</v>
      </c>
      <c r="C21269" s="2" t="str">
        <f t="shared" si="844"/>
        <v>UN</v>
      </c>
      <c r="D21269" s="7">
        <v>112</v>
      </c>
      <c r="E21269" s="3">
        <v>1</v>
      </c>
      <c r="F21269" s="3">
        <v>1</v>
      </c>
      <c r="G21269" t="s">
        <v>513</v>
      </c>
    </row>
    <row r="21270" spans="1:7" x14ac:dyDescent="0.25">
      <c r="A21270" s="1" t="str">
        <f>"5920"</f>
        <v>5920</v>
      </c>
      <c r="B21270" s="2" t="str">
        <f>"ROTULOS IOG.180GR MORANGO (GLUCK)"</f>
        <v>ROTULOS IOG.180GR MORANGO (GLUCK)</v>
      </c>
      <c r="C21270" s="2" t="str">
        <f t="shared" si="844"/>
        <v>UN</v>
      </c>
      <c r="D21270" s="7">
        <v>112</v>
      </c>
      <c r="E21270" s="3">
        <v>1</v>
      </c>
      <c r="F21270" s="3">
        <v>1</v>
      </c>
      <c r="G21270" t="s">
        <v>512</v>
      </c>
    </row>
    <row r="21271" spans="1:7" x14ac:dyDescent="0.25">
      <c r="A21271" s="1" t="str">
        <f>"6297"</f>
        <v>6297</v>
      </c>
      <c r="B21271" s="2" t="str">
        <f>"ROTULOS IOG.180GR MORANGO (QUALITA)"</f>
        <v>ROTULOS IOG.180GR MORANGO (QUALITA)</v>
      </c>
      <c r="C21271" s="2" t="str">
        <f t="shared" si="844"/>
        <v>UN</v>
      </c>
      <c r="D21271" s="7">
        <v>112</v>
      </c>
      <c r="E21271" s="3">
        <v>1</v>
      </c>
      <c r="F21271" s="3">
        <v>1</v>
      </c>
      <c r="G21271" t="s">
        <v>513</v>
      </c>
    </row>
    <row r="21272" spans="1:7" x14ac:dyDescent="0.25">
      <c r="A21272" s="1" t="str">
        <f>"6480"</f>
        <v>6480</v>
      </c>
      <c r="B21272" s="2" t="str">
        <f>"ROTULOS IOG.180GR MORANGO C/ CHOC QUALIT"</f>
        <v>ROTULOS IOG.180GR MORANGO C/ CHOC QUALIT</v>
      </c>
      <c r="C21272" s="2" t="str">
        <f t="shared" si="844"/>
        <v>UN</v>
      </c>
      <c r="D21272" s="7">
        <v>112</v>
      </c>
      <c r="E21272" s="3">
        <v>1</v>
      </c>
      <c r="F21272" s="3">
        <v>1</v>
      </c>
      <c r="G21272" t="s">
        <v>514</v>
      </c>
    </row>
    <row r="21273" spans="1:7" x14ac:dyDescent="0.25">
      <c r="A21273" s="1" t="str">
        <f>"5919"</f>
        <v>5919</v>
      </c>
      <c r="B21273" s="2" t="str">
        <f>"ROTULOS IOG.180GR PESSEGO (GLUCK)"</f>
        <v>ROTULOS IOG.180GR PESSEGO (GLUCK)</v>
      </c>
      <c r="C21273" s="2" t="str">
        <f t="shared" si="844"/>
        <v>UN</v>
      </c>
      <c r="D21273" s="7">
        <v>112</v>
      </c>
      <c r="E21273" s="3">
        <v>1</v>
      </c>
      <c r="F21273" s="3">
        <v>1</v>
      </c>
      <c r="G21273" t="s">
        <v>514</v>
      </c>
    </row>
    <row r="21274" spans="1:7" x14ac:dyDescent="0.25">
      <c r="A21274" s="1" t="str">
        <f>"6299"</f>
        <v>6299</v>
      </c>
      <c r="B21274" s="2" t="str">
        <f>"ROTULOS IOG.180GR SAL. FRUTAS (QUALITA)"</f>
        <v>ROTULOS IOG.180GR SAL. FRUTAS (QUALITA)</v>
      </c>
      <c r="C21274" s="2" t="str">
        <f t="shared" si="844"/>
        <v>UN</v>
      </c>
      <c r="D21274" s="7">
        <v>112</v>
      </c>
      <c r="E21274" s="3">
        <v>1</v>
      </c>
      <c r="F21274" s="3">
        <v>1</v>
      </c>
      <c r="G21274" t="s">
        <v>514</v>
      </c>
    </row>
    <row r="21275" spans="1:7" x14ac:dyDescent="0.25">
      <c r="A21275" s="1" t="str">
        <f>"6182"</f>
        <v>6182</v>
      </c>
      <c r="B21275" s="2" t="str">
        <f>"ROTULOS IOG.4X100GR AMEIXA FIBRAS(VIVER)"</f>
        <v>ROTULOS IOG.4X100GR AMEIXA FIBRAS(VIVER)</v>
      </c>
      <c r="C21275" s="2" t="str">
        <f t="shared" si="844"/>
        <v>UN</v>
      </c>
      <c r="D21275" s="7">
        <v>112</v>
      </c>
      <c r="E21275" s="3">
        <v>1</v>
      </c>
      <c r="F21275" s="3">
        <v>1</v>
      </c>
      <c r="G21275" t="s">
        <v>513</v>
      </c>
    </row>
    <row r="21276" spans="1:7" x14ac:dyDescent="0.25">
      <c r="A21276" s="1" t="str">
        <f>"6026"</f>
        <v>6026</v>
      </c>
      <c r="B21276" s="2" t="str">
        <f>"ROTULOS IOG.4X100GR DELIGHT AMEIXA (CARO"</f>
        <v>ROTULOS IOG.4X100GR DELIGHT AMEIXA (CARO</v>
      </c>
      <c r="C21276" s="2" t="str">
        <f t="shared" si="844"/>
        <v>UN</v>
      </c>
      <c r="D21276" s="7">
        <v>112</v>
      </c>
      <c r="E21276" s="3">
        <v>1</v>
      </c>
      <c r="F21276" s="3">
        <v>1</v>
      </c>
      <c r="G21276" t="s">
        <v>513</v>
      </c>
    </row>
    <row r="21277" spans="1:7" x14ac:dyDescent="0.25">
      <c r="A21277" s="1" t="str">
        <f>"6025"</f>
        <v>6025</v>
      </c>
      <c r="B21277" s="2" t="str">
        <f>"ROTULOS IOG.4X100GR DELIGHT MORANGO (CAR"</f>
        <v>ROTULOS IOG.4X100GR DELIGHT MORANGO (CAR</v>
      </c>
      <c r="C21277" s="2" t="str">
        <f t="shared" si="844"/>
        <v>UN</v>
      </c>
      <c r="D21277" s="7">
        <v>112</v>
      </c>
      <c r="E21277" s="3">
        <v>1</v>
      </c>
      <c r="F21277" s="3">
        <v>1</v>
      </c>
      <c r="G21277" t="s">
        <v>513</v>
      </c>
    </row>
    <row r="21278" spans="1:7" x14ac:dyDescent="0.25">
      <c r="A21278" s="1" t="str">
        <f>"6048"</f>
        <v>6048</v>
      </c>
      <c r="B21278" s="2" t="str">
        <f>"ROTULOS IOG.4X100GR DSOY GOIA/AMOR (CARO"</f>
        <v>ROTULOS IOG.4X100GR DSOY GOIA/AMOR (CARO</v>
      </c>
      <c r="C21278" s="2" t="str">
        <f t="shared" si="844"/>
        <v>UN</v>
      </c>
      <c r="D21278" s="7">
        <v>112</v>
      </c>
      <c r="E21278" s="3">
        <v>1</v>
      </c>
      <c r="F21278" s="3">
        <v>1</v>
      </c>
      <c r="G21278" t="s">
        <v>512</v>
      </c>
    </row>
    <row r="21279" spans="1:7" x14ac:dyDescent="0.25">
      <c r="A21279" s="1" t="str">
        <f>"6049"</f>
        <v>6049</v>
      </c>
      <c r="B21279" s="2" t="str">
        <f>"ROTULOS IOG.4X100GR DSOY NATURAL (CAROLI"</f>
        <v>ROTULOS IOG.4X100GR DSOY NATURAL (CAROLI</v>
      </c>
      <c r="C21279" s="2" t="str">
        <f t="shared" si="844"/>
        <v>UN</v>
      </c>
      <c r="D21279" s="7">
        <v>112</v>
      </c>
      <c r="E21279" s="3">
        <v>1</v>
      </c>
      <c r="F21279" s="3">
        <v>1</v>
      </c>
      <c r="G21279" t="s">
        <v>513</v>
      </c>
    </row>
    <row r="21280" spans="1:7" x14ac:dyDescent="0.25">
      <c r="A21280" s="1" t="str">
        <f>"5812"</f>
        <v>5812</v>
      </c>
      <c r="B21280" s="2" t="str">
        <f>"ROTULOS IOG.4X100GR LIGHT AMEIXA (VIVER)"</f>
        <v>ROTULOS IOG.4X100GR LIGHT AMEIXA (VIVER)</v>
      </c>
      <c r="C21280" s="2" t="str">
        <f t="shared" si="844"/>
        <v>UN</v>
      </c>
      <c r="D21280" s="7">
        <v>112</v>
      </c>
      <c r="E21280" s="3">
        <v>1</v>
      </c>
      <c r="F21280" s="3">
        <v>1</v>
      </c>
      <c r="G21280" t="s">
        <v>514</v>
      </c>
    </row>
    <row r="21281" spans="1:7" x14ac:dyDescent="0.25">
      <c r="A21281" s="1" t="str">
        <f>"5811"</f>
        <v>5811</v>
      </c>
      <c r="B21281" s="2" t="str">
        <f>"ROTULOS IOG.4X100GR LIGHT MORANGO (VIVER"</f>
        <v>ROTULOS IOG.4X100GR LIGHT MORANGO (VIVER</v>
      </c>
      <c r="C21281" s="2" t="str">
        <f t="shared" si="844"/>
        <v>UN</v>
      </c>
      <c r="D21281" s="7">
        <v>112</v>
      </c>
      <c r="E21281" s="3">
        <v>1</v>
      </c>
      <c r="F21281" s="3">
        <v>1</v>
      </c>
      <c r="G21281" t="s">
        <v>515</v>
      </c>
    </row>
    <row r="21282" spans="1:7" x14ac:dyDescent="0.25">
      <c r="A21282" s="1" t="str">
        <f>"6181"</f>
        <v>6181</v>
      </c>
      <c r="B21282" s="2" t="str">
        <f>"ROTULOS IOG.4X100GR MORANGO FIBRAS(VIVER"</f>
        <v>ROTULOS IOG.4X100GR MORANGO FIBRAS(VIVER</v>
      </c>
      <c r="C21282" s="2" t="str">
        <f t="shared" si="844"/>
        <v>UN</v>
      </c>
      <c r="D21282" s="7">
        <v>112</v>
      </c>
      <c r="E21282" s="3">
        <v>1</v>
      </c>
      <c r="F21282" s="3">
        <v>1</v>
      </c>
      <c r="G21282" t="s">
        <v>512</v>
      </c>
    </row>
    <row r="21283" spans="1:7" x14ac:dyDescent="0.25">
      <c r="A21283" s="1" t="str">
        <f>"659"</f>
        <v>659</v>
      </c>
      <c r="B21283" s="2" t="str">
        <f>"ROTULOS IOG.500GR SEM LACTOSE MORANGO (CARREFOUR)"</f>
        <v>ROTULOS IOG.500GR SEM LACTOSE MORANGO (CARREFOUR)</v>
      </c>
      <c r="C21283" s="2" t="str">
        <f t="shared" si="844"/>
        <v>UN</v>
      </c>
      <c r="D21283" s="7">
        <v>112</v>
      </c>
      <c r="E21283" s="3">
        <v>1</v>
      </c>
      <c r="F21283" s="3">
        <v>1</v>
      </c>
      <c r="G21283" t="s">
        <v>516</v>
      </c>
    </row>
    <row r="21284" spans="1:7" x14ac:dyDescent="0.25">
      <c r="A21284" s="1" t="str">
        <f>"6808"</f>
        <v>6808</v>
      </c>
      <c r="B21284" s="2" t="str">
        <f>"ROTULOS IOG.500GR SEM LACTOSE MORANGO (CARREFOUR)"</f>
        <v>ROTULOS IOG.500GR SEM LACTOSE MORANGO (CARREFOUR)</v>
      </c>
      <c r="C21284" s="2" t="str">
        <f t="shared" si="844"/>
        <v>UN</v>
      </c>
      <c r="D21284" s="7">
        <v>112</v>
      </c>
      <c r="E21284" s="3">
        <v>1</v>
      </c>
      <c r="F21284" s="3">
        <v>1</v>
      </c>
      <c r="G21284" t="s">
        <v>515</v>
      </c>
    </row>
    <row r="21285" spans="1:7" x14ac:dyDescent="0.25">
      <c r="A21285" s="1" t="str">
        <f>"632"</f>
        <v>632</v>
      </c>
      <c r="B21285" s="2" t="str">
        <f>"ROTULOS IOG.500GR SEM LACTOSE MORANGO (GLUCK)"</f>
        <v>ROTULOS IOG.500GR SEM LACTOSE MORANGO (GLUCK)</v>
      </c>
      <c r="C21285" s="2" t="str">
        <f t="shared" si="844"/>
        <v>UN</v>
      </c>
      <c r="D21285" s="7">
        <v>112</v>
      </c>
      <c r="E21285" s="3">
        <v>1</v>
      </c>
      <c r="F21285" s="3">
        <v>1</v>
      </c>
      <c r="G21285" t="s">
        <v>514</v>
      </c>
    </row>
    <row r="21286" spans="1:7" x14ac:dyDescent="0.25">
      <c r="A21286" s="1" t="str">
        <f>"635"</f>
        <v>635</v>
      </c>
      <c r="B21286" s="2" t="str">
        <f>"ROTULOS IOG.500GR SEM LACTOSE SALADA DE FRUTAS (GLUCK)"</f>
        <v>ROTULOS IOG.500GR SEM LACTOSE SALADA DE FRUTAS (GLUCK)</v>
      </c>
      <c r="C21286" s="2" t="str">
        <f t="shared" si="844"/>
        <v>UN</v>
      </c>
      <c r="D21286" s="7">
        <v>112</v>
      </c>
      <c r="E21286" s="3">
        <v>1</v>
      </c>
      <c r="F21286" s="3">
        <v>1</v>
      </c>
      <c r="G21286" t="s">
        <v>512</v>
      </c>
    </row>
    <row r="21287" spans="1:7" x14ac:dyDescent="0.25">
      <c r="A21287" s="1" t="str">
        <f>"6079"</f>
        <v>6079</v>
      </c>
      <c r="B21287" s="2" t="str">
        <f>"ROTULOS IOG.550GR COCO (VERY GURT)"</f>
        <v>ROTULOS IOG.550GR COCO (VERY GURT)</v>
      </c>
      <c r="C21287" s="2" t="str">
        <f t="shared" si="844"/>
        <v>UN</v>
      </c>
      <c r="D21287" s="7">
        <v>112</v>
      </c>
      <c r="E21287" s="3">
        <v>1</v>
      </c>
      <c r="F21287" s="3">
        <v>1</v>
      </c>
      <c r="G21287" t="s">
        <v>513</v>
      </c>
    </row>
    <row r="21288" spans="1:7" x14ac:dyDescent="0.25">
      <c r="A21288" s="1" t="str">
        <f>"6078"</f>
        <v>6078</v>
      </c>
      <c r="B21288" s="2" t="str">
        <f>"ROTULOS IOG.550GR MORANGO (VERY GURT)"</f>
        <v>ROTULOS IOG.550GR MORANGO (VERY GURT)</v>
      </c>
      <c r="C21288" s="2" t="str">
        <f t="shared" si="844"/>
        <v>UN</v>
      </c>
      <c r="D21288" s="7">
        <v>112</v>
      </c>
      <c r="E21288" s="3">
        <v>1</v>
      </c>
      <c r="F21288" s="3">
        <v>1</v>
      </c>
      <c r="G21288" t="s">
        <v>514</v>
      </c>
    </row>
    <row r="21289" spans="1:7" x14ac:dyDescent="0.25">
      <c r="A21289" s="1" t="str">
        <f>"6080"</f>
        <v>6080</v>
      </c>
      <c r="B21289" s="2" t="str">
        <f>"ROTULOS IOG.550GR PESSEGO (VERY GURT)"</f>
        <v>ROTULOS IOG.550GR PESSEGO (VERY GURT)</v>
      </c>
      <c r="C21289" s="2" t="str">
        <f t="shared" si="844"/>
        <v>UN</v>
      </c>
      <c r="D21289" s="7">
        <v>112</v>
      </c>
      <c r="E21289" s="3">
        <v>1</v>
      </c>
      <c r="F21289" s="3">
        <v>1</v>
      </c>
      <c r="G21289" t="s">
        <v>514</v>
      </c>
    </row>
    <row r="21290" spans="1:7" x14ac:dyDescent="0.25">
      <c r="A21290" s="1" t="str">
        <f>"2846"</f>
        <v>2846</v>
      </c>
      <c r="B21290" s="2" t="str">
        <f>"ROTULOS IOG.600GR COCO (CARREFOUR)"</f>
        <v>ROTULOS IOG.600GR COCO (CARREFOUR)</v>
      </c>
      <c r="C21290" s="2" t="str">
        <f t="shared" si="844"/>
        <v>UN</v>
      </c>
      <c r="D21290" s="7">
        <v>112</v>
      </c>
      <c r="E21290" s="3">
        <v>1</v>
      </c>
      <c r="F21290" s="3">
        <v>1</v>
      </c>
      <c r="G21290" t="s">
        <v>512</v>
      </c>
    </row>
    <row r="21291" spans="1:7" x14ac:dyDescent="0.25">
      <c r="A21291" s="1" t="str">
        <f>"2849"</f>
        <v>2849</v>
      </c>
      <c r="B21291" s="2" t="str">
        <f>"ROTULOS IOG.600GR FR/VERM.(CARREFOUR)"</f>
        <v>ROTULOS IOG.600GR FR/VERM.(CARREFOUR)</v>
      </c>
      <c r="C21291" s="2" t="str">
        <f t="shared" si="844"/>
        <v>UN</v>
      </c>
      <c r="D21291" s="7">
        <v>112</v>
      </c>
      <c r="E21291" s="3">
        <v>1</v>
      </c>
      <c r="F21291" s="3">
        <v>1</v>
      </c>
      <c r="G21291" t="s">
        <v>513</v>
      </c>
    </row>
    <row r="21292" spans="1:7" x14ac:dyDescent="0.25">
      <c r="A21292" s="1" t="str">
        <f>"3150"</f>
        <v>3150</v>
      </c>
      <c r="B21292" s="2" t="str">
        <f>"ROTULOS IOG.600GR FR/VERMELHAS (COOP)"</f>
        <v>ROTULOS IOG.600GR FR/VERMELHAS (COOP)</v>
      </c>
      <c r="C21292" s="2" t="str">
        <f t="shared" si="844"/>
        <v>UN</v>
      </c>
      <c r="D21292" s="7">
        <v>112</v>
      </c>
      <c r="E21292" s="3">
        <v>1</v>
      </c>
      <c r="F21292" s="3">
        <v>1</v>
      </c>
      <c r="G21292" t="s">
        <v>514</v>
      </c>
    </row>
    <row r="21293" spans="1:7" x14ac:dyDescent="0.25">
      <c r="A21293" s="1" t="str">
        <f>"5816"</f>
        <v>5816</v>
      </c>
      <c r="B21293" s="2" t="str">
        <f>"ROTULOS IOG.600GR LIGHT  AMEIXA(VIVER)"</f>
        <v>ROTULOS IOG.600GR LIGHT  AMEIXA(VIVER)</v>
      </c>
      <c r="C21293" s="2" t="str">
        <f t="shared" ref="C21293:C21356" si="845">"UN"</f>
        <v>UN</v>
      </c>
      <c r="D21293" s="7">
        <v>112</v>
      </c>
      <c r="E21293" s="3">
        <v>1</v>
      </c>
      <c r="F21293" s="3">
        <v>1</v>
      </c>
      <c r="G21293" t="s">
        <v>514</v>
      </c>
    </row>
    <row r="21294" spans="1:7" x14ac:dyDescent="0.25">
      <c r="A21294" s="1" t="str">
        <f>"5818"</f>
        <v>5818</v>
      </c>
      <c r="B21294" s="2" t="str">
        <f>"ROTULOS IOG.600GR LIGHT  MORANG.(VIVER)"</f>
        <v>ROTULOS IOG.600GR LIGHT  MORANG.(VIVER)</v>
      </c>
      <c r="C21294" s="2" t="str">
        <f t="shared" si="845"/>
        <v>UN</v>
      </c>
      <c r="D21294" s="7">
        <v>112</v>
      </c>
      <c r="E21294" s="3">
        <v>1</v>
      </c>
      <c r="F21294" s="3">
        <v>1</v>
      </c>
      <c r="G21294" t="s">
        <v>514</v>
      </c>
    </row>
    <row r="21295" spans="1:7" x14ac:dyDescent="0.25">
      <c r="A21295" s="1" t="str">
        <f>"5820"</f>
        <v>5820</v>
      </c>
      <c r="B21295" s="2" t="str">
        <f>"ROTULOS IOG.600GR LIGHT  SALADA.(VIVER)"</f>
        <v>ROTULOS IOG.600GR LIGHT  SALADA.(VIVER)</v>
      </c>
      <c r="C21295" s="2" t="str">
        <f t="shared" si="845"/>
        <v>UN</v>
      </c>
      <c r="D21295" s="7">
        <v>112</v>
      </c>
      <c r="E21295" s="3">
        <v>1</v>
      </c>
      <c r="F21295" s="3">
        <v>1</v>
      </c>
      <c r="G21295" t="s">
        <v>513</v>
      </c>
    </row>
    <row r="21296" spans="1:7" x14ac:dyDescent="0.25">
      <c r="A21296" s="1" t="str">
        <f>"2845"</f>
        <v>2845</v>
      </c>
      <c r="B21296" s="2" t="str">
        <f>"ROTULOS IOG.600GR MORANGO (CARREFOUR)"</f>
        <v>ROTULOS IOG.600GR MORANGO (CARREFOUR)</v>
      </c>
      <c r="C21296" s="2" t="str">
        <f t="shared" si="845"/>
        <v>UN</v>
      </c>
      <c r="D21296" s="7">
        <v>112</v>
      </c>
      <c r="E21296" s="3">
        <v>1</v>
      </c>
      <c r="F21296" s="3">
        <v>1</v>
      </c>
      <c r="G21296" t="s">
        <v>512</v>
      </c>
    </row>
    <row r="21297" spans="1:7" x14ac:dyDescent="0.25">
      <c r="A21297" s="1" t="str">
        <f>"3146"</f>
        <v>3146</v>
      </c>
      <c r="B21297" s="2" t="str">
        <f>"ROTULOS IOG.600GR MORANGO (COOP)"</f>
        <v>ROTULOS IOG.600GR MORANGO (COOP)</v>
      </c>
      <c r="C21297" s="2" t="str">
        <f t="shared" si="845"/>
        <v>UN</v>
      </c>
      <c r="D21297" s="7">
        <v>112</v>
      </c>
      <c r="E21297" s="3">
        <v>1</v>
      </c>
      <c r="F21297" s="3">
        <v>1</v>
      </c>
      <c r="G21297" t="s">
        <v>513</v>
      </c>
    </row>
    <row r="21298" spans="1:7" x14ac:dyDescent="0.25">
      <c r="A21298" s="1" t="str">
        <f>"2848"</f>
        <v>2848</v>
      </c>
      <c r="B21298" s="2" t="str">
        <f>"ROTULOS IOG.600GR PESSEGO (CARREFOUR)"</f>
        <v>ROTULOS IOG.600GR PESSEGO (CARREFOUR)</v>
      </c>
      <c r="C21298" s="2" t="str">
        <f t="shared" si="845"/>
        <v>UN</v>
      </c>
      <c r="D21298" s="7">
        <v>112</v>
      </c>
      <c r="E21298" s="3">
        <v>1</v>
      </c>
      <c r="F21298" s="3">
        <v>1</v>
      </c>
      <c r="G21298" t="s">
        <v>514</v>
      </c>
    </row>
    <row r="21299" spans="1:7" x14ac:dyDescent="0.25">
      <c r="A21299" s="1" t="str">
        <f>"3151"</f>
        <v>3151</v>
      </c>
      <c r="B21299" s="2" t="str">
        <f>"ROTULOS IOG.600GR PESSEGO (COOP)"</f>
        <v>ROTULOS IOG.600GR PESSEGO (COOP)</v>
      </c>
      <c r="C21299" s="2" t="str">
        <f t="shared" si="845"/>
        <v>UN</v>
      </c>
      <c r="D21299" s="7">
        <v>112</v>
      </c>
      <c r="E21299" s="3">
        <v>1</v>
      </c>
      <c r="F21299" s="3">
        <v>1</v>
      </c>
      <c r="G21299" t="s">
        <v>514</v>
      </c>
    </row>
    <row r="21300" spans="1:7" x14ac:dyDescent="0.25">
      <c r="A21300" s="1" t="str">
        <f>"5914"</f>
        <v>5914</v>
      </c>
      <c r="B21300" s="2" t="str">
        <f>"ROTULOS IOG.850GR COCO (GLUCK)"</f>
        <v>ROTULOS IOG.850GR COCO (GLUCK)</v>
      </c>
      <c r="C21300" s="2" t="str">
        <f t="shared" si="845"/>
        <v>UN</v>
      </c>
      <c r="D21300" s="7">
        <v>112</v>
      </c>
      <c r="E21300" s="3">
        <v>1</v>
      </c>
      <c r="F21300" s="3">
        <v>1</v>
      </c>
      <c r="G21300" t="s">
        <v>514</v>
      </c>
    </row>
    <row r="21301" spans="1:7" x14ac:dyDescent="0.25">
      <c r="A21301" s="1" t="str">
        <f>"6668"</f>
        <v>6668</v>
      </c>
      <c r="B21301" s="2" t="str">
        <f>"ROTULOS IOG.850GR COCO (VERY GURT)"</f>
        <v>ROTULOS IOG.850GR COCO (VERY GURT)</v>
      </c>
      <c r="C21301" s="2" t="str">
        <f t="shared" si="845"/>
        <v>UN</v>
      </c>
      <c r="D21301" s="7">
        <v>112</v>
      </c>
      <c r="E21301" s="3">
        <v>1</v>
      </c>
      <c r="F21301" s="3">
        <v>1</v>
      </c>
      <c r="G21301" t="s">
        <v>513</v>
      </c>
    </row>
    <row r="21302" spans="1:7" x14ac:dyDescent="0.25">
      <c r="A21302" s="1" t="str">
        <f>"5915"</f>
        <v>5915</v>
      </c>
      <c r="B21302" s="2" t="str">
        <f>"ROTULOS IOG.850GR FRUTAS VERMELHAS (GLUC"</f>
        <v>ROTULOS IOG.850GR FRUTAS VERMELHAS (GLUC</v>
      </c>
      <c r="C21302" s="2" t="str">
        <f t="shared" si="845"/>
        <v>UN</v>
      </c>
      <c r="D21302" s="7">
        <v>112</v>
      </c>
      <c r="E21302" s="3">
        <v>1</v>
      </c>
      <c r="F21302" s="3">
        <v>1</v>
      </c>
      <c r="G21302" t="s">
        <v>513</v>
      </c>
    </row>
    <row r="21303" spans="1:7" x14ac:dyDescent="0.25">
      <c r="A21303" s="1" t="str">
        <f>"6669"</f>
        <v>6669</v>
      </c>
      <c r="B21303" s="2" t="str">
        <f>"ROTULOS IOG.850GR FRUTAS VERMELHAS (VERY GURT"</f>
        <v>ROTULOS IOG.850GR FRUTAS VERMELHAS (VERY GURT</v>
      </c>
      <c r="C21303" s="2" t="str">
        <f t="shared" si="845"/>
        <v>UN</v>
      </c>
      <c r="D21303" s="7">
        <v>112</v>
      </c>
      <c r="E21303" s="3">
        <v>1</v>
      </c>
      <c r="F21303" s="3">
        <v>1</v>
      </c>
      <c r="G21303" t="s">
        <v>513</v>
      </c>
    </row>
    <row r="21304" spans="1:7" x14ac:dyDescent="0.25">
      <c r="A21304" s="1" t="str">
        <f>"6671"</f>
        <v>6671</v>
      </c>
      <c r="B21304" s="2" t="str">
        <f>"ROTULOS IOG.850GR GRAVIOLA (VERY GURT)"</f>
        <v>ROTULOS IOG.850GR GRAVIOLA (VERY GURT)</v>
      </c>
      <c r="C21304" s="2" t="str">
        <f t="shared" si="845"/>
        <v>UN</v>
      </c>
      <c r="D21304" s="7">
        <v>112</v>
      </c>
      <c r="E21304" s="3">
        <v>1</v>
      </c>
      <c r="F21304" s="3">
        <v>1</v>
      </c>
      <c r="G21304" t="s">
        <v>512</v>
      </c>
    </row>
    <row r="21305" spans="1:7" x14ac:dyDescent="0.25">
      <c r="A21305" s="1" t="str">
        <f>"5925"</f>
        <v>5925</v>
      </c>
      <c r="B21305" s="2" t="str">
        <f>"ROTULOS IOG.850GR LIGHT AMEIXA (GLUCK)"</f>
        <v>ROTULOS IOG.850GR LIGHT AMEIXA (GLUCK)</v>
      </c>
      <c r="C21305" s="2" t="str">
        <f t="shared" si="845"/>
        <v>UN</v>
      </c>
      <c r="D21305" s="7">
        <v>112</v>
      </c>
      <c r="E21305" s="3">
        <v>1</v>
      </c>
      <c r="F21305" s="3">
        <v>1</v>
      </c>
      <c r="G21305" t="s">
        <v>513</v>
      </c>
    </row>
    <row r="21306" spans="1:7" x14ac:dyDescent="0.25">
      <c r="A21306" s="1" t="str">
        <f>"5924"</f>
        <v>5924</v>
      </c>
      <c r="B21306" s="2" t="str">
        <f>"ROTULOS IOG.850GR LIGHT MORANGO (GLUCK)"</f>
        <v>ROTULOS IOG.850GR LIGHT MORANGO (GLUCK)</v>
      </c>
      <c r="C21306" s="2" t="str">
        <f t="shared" si="845"/>
        <v>UN</v>
      </c>
      <c r="D21306" s="7">
        <v>112</v>
      </c>
      <c r="E21306" s="3">
        <v>1</v>
      </c>
      <c r="F21306" s="3">
        <v>1</v>
      </c>
      <c r="G21306" t="s">
        <v>514</v>
      </c>
    </row>
    <row r="21307" spans="1:7" x14ac:dyDescent="0.25">
      <c r="A21307" s="1" t="str">
        <f>"5926"</f>
        <v>5926</v>
      </c>
      <c r="B21307" s="2" t="str">
        <f>"ROTULOS IOG.850GR LIGHT SALADA FRUTAS (G"</f>
        <v>ROTULOS IOG.850GR LIGHT SALADA FRUTAS (G</v>
      </c>
      <c r="C21307" s="2" t="str">
        <f t="shared" si="845"/>
        <v>UN</v>
      </c>
      <c r="D21307" s="7">
        <v>112</v>
      </c>
      <c r="E21307" s="3">
        <v>1</v>
      </c>
      <c r="F21307" s="3">
        <v>1</v>
      </c>
      <c r="G21307" t="s">
        <v>515</v>
      </c>
    </row>
    <row r="21308" spans="1:7" x14ac:dyDescent="0.25">
      <c r="A21308" s="1" t="str">
        <f>"5913"</f>
        <v>5913</v>
      </c>
      <c r="B21308" s="2" t="str">
        <f>"ROTULOS IOG.850GR MORANGO (GLUCK)"</f>
        <v>ROTULOS IOG.850GR MORANGO (GLUCK)</v>
      </c>
      <c r="C21308" s="2" t="str">
        <f t="shared" si="845"/>
        <v>UN</v>
      </c>
      <c r="D21308" s="7">
        <v>112</v>
      </c>
      <c r="E21308" s="3">
        <v>1</v>
      </c>
      <c r="F21308" s="3">
        <v>1</v>
      </c>
      <c r="G21308" t="s">
        <v>512</v>
      </c>
    </row>
    <row r="21309" spans="1:7" x14ac:dyDescent="0.25">
      <c r="A21309" s="1" t="str">
        <f>"6667"</f>
        <v>6667</v>
      </c>
      <c r="B21309" s="2" t="str">
        <f>"ROTULOS IOG.850GR MORANGO (VERY GURT)"</f>
        <v>ROTULOS IOG.850GR MORANGO (VERY GURT)</v>
      </c>
      <c r="C21309" s="2" t="str">
        <f t="shared" si="845"/>
        <v>UN</v>
      </c>
      <c r="D21309" s="7">
        <v>112</v>
      </c>
      <c r="E21309" s="3">
        <v>1</v>
      </c>
      <c r="F21309" s="3">
        <v>1</v>
      </c>
      <c r="G21309" t="s">
        <v>516</v>
      </c>
    </row>
    <row r="21310" spans="1:7" x14ac:dyDescent="0.25">
      <c r="A21310" s="1" t="str">
        <f>"766"</f>
        <v>766</v>
      </c>
      <c r="B21310" s="2" t="str">
        <f>"ROTULOS IOG.850GR SALADA DE FRUTAS (COOP)"</f>
        <v>ROTULOS IOG.850GR SALADA DE FRUTAS (COOP)</v>
      </c>
      <c r="C21310" s="2" t="str">
        <f t="shared" si="845"/>
        <v>UN</v>
      </c>
      <c r="D21310" s="7">
        <v>112</v>
      </c>
      <c r="E21310" s="3">
        <v>1</v>
      </c>
      <c r="F21310" s="3">
        <v>1</v>
      </c>
      <c r="G21310" t="s">
        <v>515</v>
      </c>
    </row>
    <row r="21311" spans="1:7" x14ac:dyDescent="0.25">
      <c r="A21311" s="1" t="str">
        <f>"6670"</f>
        <v>6670</v>
      </c>
      <c r="B21311" s="2" t="str">
        <f>"ROTULOS IOG.850GR SALADA DE FRUTAS (VERY GURT)"</f>
        <v>ROTULOS IOG.850GR SALADA DE FRUTAS (VERY GURT)</v>
      </c>
      <c r="C21311" s="2" t="str">
        <f t="shared" si="845"/>
        <v>UN</v>
      </c>
      <c r="D21311" s="7">
        <v>112</v>
      </c>
      <c r="E21311" s="3">
        <v>1</v>
      </c>
      <c r="F21311" s="3">
        <v>1</v>
      </c>
      <c r="G21311" t="s">
        <v>514</v>
      </c>
    </row>
    <row r="21312" spans="1:7" x14ac:dyDescent="0.25">
      <c r="A21312" s="1" t="str">
        <f>"5916"</f>
        <v>5916</v>
      </c>
      <c r="B21312" s="2" t="str">
        <f>"ROTULOS IOG.850GR SALADA FRUTAS (GLUCK)"</f>
        <v>ROTULOS IOG.850GR SALADA FRUTAS (GLUCK)</v>
      </c>
      <c r="C21312" s="2" t="str">
        <f t="shared" si="845"/>
        <v>UN</v>
      </c>
      <c r="D21312" s="7">
        <v>112</v>
      </c>
      <c r="E21312" s="3">
        <v>1</v>
      </c>
      <c r="F21312" s="3">
        <v>1</v>
      </c>
      <c r="G21312" t="s">
        <v>512</v>
      </c>
    </row>
    <row r="21313" spans="1:7" x14ac:dyDescent="0.25">
      <c r="A21313" s="1" t="str">
        <f>"513784"</f>
        <v>513784</v>
      </c>
      <c r="B21313" s="2" t="str">
        <f>"ROTULOS IOG.900GR AMEIXA BIOBALANCE"</f>
        <v>ROTULOS IOG.900GR AMEIXA BIOBALANCE</v>
      </c>
      <c r="C21313" s="2" t="str">
        <f t="shared" si="845"/>
        <v>UN</v>
      </c>
      <c r="D21313" s="7">
        <v>16</v>
      </c>
      <c r="E21313" s="3">
        <v>1</v>
      </c>
      <c r="F21313" s="3">
        <v>1</v>
      </c>
      <c r="G21313" t="s">
        <v>513</v>
      </c>
    </row>
    <row r="21314" spans="1:7" x14ac:dyDescent="0.25">
      <c r="A21314" s="1" t="str">
        <f>"6741"</f>
        <v>6741</v>
      </c>
      <c r="B21314" s="2" t="str">
        <f>"ROTULOS IOG.900GR BAT. ACUCAR (CARREFOUR)"</f>
        <v>ROTULOS IOG.900GR BAT. ACUCAR (CARREFOUR)</v>
      </c>
      <c r="C21314" s="2" t="str">
        <f t="shared" si="845"/>
        <v>UN</v>
      </c>
      <c r="D21314" s="7">
        <v>112</v>
      </c>
      <c r="E21314" s="3">
        <v>1</v>
      </c>
      <c r="F21314" s="3">
        <v>1</v>
      </c>
      <c r="G21314" t="s">
        <v>514</v>
      </c>
    </row>
    <row r="21315" spans="1:7" x14ac:dyDescent="0.25">
      <c r="A21315" s="1" t="str">
        <f>"6742"</f>
        <v>6742</v>
      </c>
      <c r="B21315" s="2" t="str">
        <f>"ROTULOS IOG.900GR BAT. MEL (CARREFOUR)"</f>
        <v>ROTULOS IOG.900GR BAT. MEL (CARREFOUR)</v>
      </c>
      <c r="C21315" s="2" t="str">
        <f t="shared" si="845"/>
        <v>UN</v>
      </c>
      <c r="D21315" s="7">
        <v>112</v>
      </c>
      <c r="E21315" s="3">
        <v>1</v>
      </c>
      <c r="F21315" s="3">
        <v>1</v>
      </c>
      <c r="G21315" t="s">
        <v>514</v>
      </c>
    </row>
    <row r="21316" spans="1:7" x14ac:dyDescent="0.25">
      <c r="A21316" s="1" t="str">
        <f>"5917"</f>
        <v>5917</v>
      </c>
      <c r="B21316" s="2" t="str">
        <f>"ROTULOS IOG.900GR BATIDO C/ ACUCAR (GLUC"</f>
        <v>ROTULOS IOG.900GR BATIDO C/ ACUCAR (GLUC</v>
      </c>
      <c r="C21316" s="2" t="str">
        <f t="shared" si="845"/>
        <v>UN</v>
      </c>
      <c r="D21316" s="7">
        <v>112</v>
      </c>
      <c r="E21316" s="3">
        <v>1</v>
      </c>
      <c r="F21316" s="3">
        <v>1</v>
      </c>
      <c r="G21316" t="s">
        <v>512</v>
      </c>
    </row>
    <row r="21317" spans="1:7" x14ac:dyDescent="0.25">
      <c r="A21317" s="1" t="str">
        <f>"5918"</f>
        <v>5918</v>
      </c>
      <c r="B21317" s="2" t="str">
        <f>"ROTULOS IOG.900GR BATIDO C/ MEL (GLUCK)"</f>
        <v>ROTULOS IOG.900GR BATIDO C/ MEL (GLUCK)</v>
      </c>
      <c r="C21317" s="2" t="str">
        <f t="shared" si="845"/>
        <v>UN</v>
      </c>
      <c r="D21317" s="7">
        <v>112</v>
      </c>
      <c r="E21317" s="3">
        <v>1</v>
      </c>
      <c r="F21317" s="3">
        <v>1</v>
      </c>
      <c r="G21317" t="s">
        <v>513</v>
      </c>
    </row>
    <row r="21318" spans="1:7" x14ac:dyDescent="0.25">
      <c r="A21318" s="1" t="str">
        <f>"6233"</f>
        <v>6233</v>
      </c>
      <c r="B21318" s="2" t="str">
        <f>"ROTULOS IOG.900GR BATIDO COM ACUCAR COOP"</f>
        <v>ROTULOS IOG.900GR BATIDO COM ACUCAR COOP</v>
      </c>
      <c r="C21318" s="2" t="str">
        <f t="shared" si="845"/>
        <v>UN</v>
      </c>
      <c r="D21318" s="7">
        <v>112</v>
      </c>
      <c r="E21318" s="3">
        <v>1</v>
      </c>
      <c r="F21318" s="3">
        <v>1</v>
      </c>
      <c r="G21318" t="s">
        <v>514</v>
      </c>
    </row>
    <row r="21319" spans="1:7" x14ac:dyDescent="0.25">
      <c r="A21319" s="1" t="str">
        <f>"6232"</f>
        <v>6232</v>
      </c>
      <c r="B21319" s="2" t="str">
        <f>"ROTULOS IOG.900GR BATIDO COM MEL (COOP)"</f>
        <v>ROTULOS IOG.900GR BATIDO COM MEL (COOP)</v>
      </c>
      <c r="C21319" s="2" t="str">
        <f t="shared" si="845"/>
        <v>UN</v>
      </c>
      <c r="D21319" s="7">
        <v>112</v>
      </c>
      <c r="E21319" s="3">
        <v>1</v>
      </c>
      <c r="F21319" s="3">
        <v>1</v>
      </c>
      <c r="G21319" t="s">
        <v>514</v>
      </c>
    </row>
    <row r="21320" spans="1:7" x14ac:dyDescent="0.25">
      <c r="A21320" s="1" t="str">
        <f>"6754"</f>
        <v>6754</v>
      </c>
      <c r="B21320" s="2" t="str">
        <f>"ROTULOS IOG.900GR COCO (CARREFOUR)"</f>
        <v>ROTULOS IOG.900GR COCO (CARREFOUR)</v>
      </c>
      <c r="C21320" s="2" t="str">
        <f t="shared" si="845"/>
        <v>UN</v>
      </c>
      <c r="D21320" s="7">
        <v>112</v>
      </c>
      <c r="E21320" s="3">
        <v>1</v>
      </c>
      <c r="F21320" s="3">
        <v>1</v>
      </c>
      <c r="G21320" t="s">
        <v>514</v>
      </c>
    </row>
    <row r="21321" spans="1:7" x14ac:dyDescent="0.25">
      <c r="A21321" s="1" t="str">
        <f>"6303"</f>
        <v>6303</v>
      </c>
      <c r="B21321" s="2" t="str">
        <f>"ROTULOS IOG.900GR FR.VERMELHAS (QUALITA)"</f>
        <v>ROTULOS IOG.900GR FR.VERMELHAS (QUALITA)</v>
      </c>
      <c r="C21321" s="2" t="str">
        <f t="shared" si="845"/>
        <v>UN</v>
      </c>
      <c r="D21321" s="7">
        <v>112</v>
      </c>
      <c r="E21321" s="3">
        <v>1</v>
      </c>
      <c r="F21321" s="3">
        <v>1</v>
      </c>
      <c r="G21321" t="s">
        <v>513</v>
      </c>
    </row>
    <row r="21322" spans="1:7" x14ac:dyDescent="0.25">
      <c r="A21322" s="1" t="str">
        <f>"656"</f>
        <v>656</v>
      </c>
      <c r="B21322" s="2" t="str">
        <f>"ROTULOS IOG.900GR FRUT/VERMELHAS PEDAÇOS  (GLUCK)"</f>
        <v>ROTULOS IOG.900GR FRUT/VERMELHAS PEDAÇOS  (GLUCK)</v>
      </c>
      <c r="C21322" s="2" t="str">
        <f t="shared" si="845"/>
        <v>UN</v>
      </c>
      <c r="D21322" s="7">
        <v>112</v>
      </c>
      <c r="E21322" s="3">
        <v>1</v>
      </c>
      <c r="F21322" s="3">
        <v>1</v>
      </c>
      <c r="G21322" t="s">
        <v>512</v>
      </c>
    </row>
    <row r="21323" spans="1:7" x14ac:dyDescent="0.25">
      <c r="A21323" s="1" t="str">
        <f>"5939"</f>
        <v>5939</v>
      </c>
      <c r="B21323" s="2" t="str">
        <f>"ROTULOS IOG.900GR LARANJA (GLUCK GOOL)"</f>
        <v>ROTULOS IOG.900GR LARANJA (GLUCK GOOL)</v>
      </c>
      <c r="C21323" s="2" t="str">
        <f t="shared" si="845"/>
        <v>UN</v>
      </c>
      <c r="D21323" s="7">
        <v>112</v>
      </c>
      <c r="E21323" s="3">
        <v>1</v>
      </c>
      <c r="F21323" s="3">
        <v>1</v>
      </c>
      <c r="G21323" t="s">
        <v>513</v>
      </c>
    </row>
    <row r="21324" spans="1:7" x14ac:dyDescent="0.25">
      <c r="A21324" s="1" t="str">
        <f>"5941"</f>
        <v>5941</v>
      </c>
      <c r="B21324" s="2" t="str">
        <f>"ROTULOS IOG.900GR LIMÃO (GLUCK GOOL)"</f>
        <v>ROTULOS IOG.900GR LIMÃO (GLUCK GOOL)</v>
      </c>
      <c r="C21324" s="2" t="str">
        <f t="shared" si="845"/>
        <v>UN</v>
      </c>
      <c r="D21324" s="7">
        <v>112</v>
      </c>
      <c r="E21324" s="3">
        <v>1</v>
      </c>
      <c r="F21324" s="3">
        <v>1</v>
      </c>
      <c r="G21324" t="s">
        <v>514</v>
      </c>
    </row>
    <row r="21325" spans="1:7" x14ac:dyDescent="0.25">
      <c r="A21325" s="1" t="str">
        <f>"6305"</f>
        <v>6305</v>
      </c>
      <c r="B21325" s="2" t="str">
        <f>"ROTULOS IOG.900GR MACA C/CANELA (QUALITA"</f>
        <v>ROTULOS IOG.900GR MACA C/CANELA (QUALITA</v>
      </c>
      <c r="C21325" s="2" t="str">
        <f t="shared" si="845"/>
        <v>UN</v>
      </c>
      <c r="D21325" s="7">
        <v>112</v>
      </c>
      <c r="E21325" s="3">
        <v>1</v>
      </c>
      <c r="F21325" s="3">
        <v>1</v>
      </c>
      <c r="G21325" t="s">
        <v>514</v>
      </c>
    </row>
    <row r="21326" spans="1:7" x14ac:dyDescent="0.25">
      <c r="A21326" s="1" t="str">
        <f>"5963"</f>
        <v>5963</v>
      </c>
      <c r="B21326" s="2" t="str">
        <f>"ROTULOS IOG.900GR MARACUJA - GLUCK"</f>
        <v>ROTULOS IOG.900GR MARACUJA - GLUCK</v>
      </c>
      <c r="C21326" s="2" t="str">
        <f t="shared" si="845"/>
        <v>UN</v>
      </c>
      <c r="D21326" s="7">
        <v>112</v>
      </c>
      <c r="E21326" s="3">
        <v>1</v>
      </c>
      <c r="F21326" s="3">
        <v>1</v>
      </c>
      <c r="G21326" t="s">
        <v>514</v>
      </c>
    </row>
    <row r="21327" spans="1:7" x14ac:dyDescent="0.25">
      <c r="A21327" s="1" t="str">
        <f>"657"</f>
        <v>657</v>
      </c>
      <c r="B21327" s="2" t="str">
        <f>"ROTULOS IOG.900GR MOR/BANANA PEDAÇOS  (GLUCK)"</f>
        <v>ROTULOS IOG.900GR MOR/BANANA PEDAÇOS  (GLUCK)</v>
      </c>
      <c r="C21327" s="2" t="str">
        <f t="shared" si="845"/>
        <v>UN</v>
      </c>
      <c r="D21327" s="7">
        <v>112</v>
      </c>
      <c r="E21327" s="3">
        <v>1</v>
      </c>
      <c r="F21327" s="3">
        <v>1</v>
      </c>
      <c r="G21327" t="s">
        <v>513</v>
      </c>
    </row>
    <row r="21328" spans="1:7" x14ac:dyDescent="0.25">
      <c r="A21328" s="1" t="str">
        <f>"6751"</f>
        <v>6751</v>
      </c>
      <c r="B21328" s="2" t="str">
        <f>"ROTULOS IOG.900GR MOR/FRAMB/AMORA (CARREFOUR)"</f>
        <v>ROTULOS IOG.900GR MOR/FRAMB/AMORA (CARREFOUR)</v>
      </c>
      <c r="C21328" s="2" t="str">
        <f t="shared" si="845"/>
        <v>UN</v>
      </c>
      <c r="D21328" s="7">
        <v>112</v>
      </c>
      <c r="E21328" s="3">
        <v>1</v>
      </c>
      <c r="F21328" s="3">
        <v>1</v>
      </c>
      <c r="G21328" t="s">
        <v>513</v>
      </c>
    </row>
    <row r="21329" spans="1:7" x14ac:dyDescent="0.25">
      <c r="A21329" s="1" t="str">
        <f>"6752"</f>
        <v>6752</v>
      </c>
      <c r="B21329" s="2" t="str">
        <f>"ROTULOS IOG.900GR MORANGO (CARREFOUR)"</f>
        <v>ROTULOS IOG.900GR MORANGO (CARREFOUR)</v>
      </c>
      <c r="C21329" s="2" t="str">
        <f t="shared" si="845"/>
        <v>UN</v>
      </c>
      <c r="D21329" s="7">
        <v>112</v>
      </c>
      <c r="E21329" s="3">
        <v>1</v>
      </c>
      <c r="F21329" s="3">
        <v>1</v>
      </c>
      <c r="G21329" t="s">
        <v>513</v>
      </c>
    </row>
    <row r="21330" spans="1:7" x14ac:dyDescent="0.25">
      <c r="A21330" s="1" t="str">
        <f>"5935"</f>
        <v>5935</v>
      </c>
      <c r="B21330" s="2" t="str">
        <f>"ROTULOS IOG.900GR MORANGO (GLUCK NATAL)"</f>
        <v>ROTULOS IOG.900GR MORANGO (GLUCK NATAL)</v>
      </c>
      <c r="C21330" s="2" t="str">
        <f t="shared" si="845"/>
        <v>UN</v>
      </c>
      <c r="D21330" s="7">
        <v>112</v>
      </c>
      <c r="E21330" s="3">
        <v>1</v>
      </c>
      <c r="F21330" s="3">
        <v>1</v>
      </c>
      <c r="G21330" t="s">
        <v>512</v>
      </c>
    </row>
    <row r="21331" spans="1:7" x14ac:dyDescent="0.25">
      <c r="A21331" s="1" t="str">
        <f>"6302"</f>
        <v>6302</v>
      </c>
      <c r="B21331" s="2" t="str">
        <f>"ROTULOS IOG.900GR MORANGO (QUALITA)"</f>
        <v>ROTULOS IOG.900GR MORANGO (QUALITA)</v>
      </c>
      <c r="C21331" s="2" t="str">
        <f t="shared" si="845"/>
        <v>UN</v>
      </c>
      <c r="D21331" s="7">
        <v>112</v>
      </c>
      <c r="E21331" s="3">
        <v>1</v>
      </c>
      <c r="F21331" s="3">
        <v>1</v>
      </c>
      <c r="G21331" t="s">
        <v>513</v>
      </c>
    </row>
    <row r="21332" spans="1:7" x14ac:dyDescent="0.25">
      <c r="A21332" s="1" t="str">
        <f>"6764"</f>
        <v>6764</v>
      </c>
      <c r="B21332" s="2" t="str">
        <f>"ROTULOS IOG.900GR MORANGO BIOBALANCE"</f>
        <v>ROTULOS IOG.900GR MORANGO BIOBALANCE</v>
      </c>
      <c r="C21332" s="2" t="str">
        <f t="shared" si="845"/>
        <v>UN</v>
      </c>
      <c r="D21332" s="7">
        <v>112</v>
      </c>
      <c r="E21332" s="3">
        <v>1</v>
      </c>
      <c r="F21332" s="3">
        <v>1</v>
      </c>
      <c r="G21332" t="s">
        <v>514</v>
      </c>
    </row>
    <row r="21333" spans="1:7" x14ac:dyDescent="0.25">
      <c r="A21333" s="1" t="str">
        <f>"6481"</f>
        <v>6481</v>
      </c>
      <c r="B21333" s="2" t="str">
        <f>"ROTULOS IOG.900GR MORANGO C/ CHOC QUALIT"</f>
        <v>ROTULOS IOG.900GR MORANGO C/ CHOC QUALIT</v>
      </c>
      <c r="C21333" s="2" t="str">
        <f t="shared" si="845"/>
        <v>UN</v>
      </c>
      <c r="D21333" s="7">
        <v>112</v>
      </c>
      <c r="E21333" s="3">
        <v>1</v>
      </c>
      <c r="F21333" s="3">
        <v>1</v>
      </c>
      <c r="G21333" t="s">
        <v>515</v>
      </c>
    </row>
    <row r="21334" spans="1:7" x14ac:dyDescent="0.25">
      <c r="A21334" s="1" t="str">
        <f>"5912"</f>
        <v>5912</v>
      </c>
      <c r="B21334" s="2" t="str">
        <f>"ROTULOS IOG.900GR PESSEGO (GLUCK)"</f>
        <v>ROTULOS IOG.900GR PESSEGO (GLUCK)</v>
      </c>
      <c r="C21334" s="2" t="str">
        <f t="shared" si="845"/>
        <v>UN</v>
      </c>
      <c r="D21334" s="7">
        <v>112</v>
      </c>
      <c r="E21334" s="3">
        <v>1</v>
      </c>
      <c r="F21334" s="3">
        <v>1</v>
      </c>
      <c r="G21334" t="s">
        <v>512</v>
      </c>
    </row>
    <row r="21335" spans="1:7" x14ac:dyDescent="0.25">
      <c r="A21335" s="1" t="str">
        <f>"6753"</f>
        <v>6753</v>
      </c>
      <c r="B21335" s="2" t="str">
        <f>"ROTULOS IOG.900GR PESSEGO CARREFOUR"</f>
        <v>ROTULOS IOG.900GR PESSEGO CARREFOUR</v>
      </c>
      <c r="C21335" s="2" t="str">
        <f t="shared" si="845"/>
        <v>UN</v>
      </c>
      <c r="D21335" s="7">
        <v>112</v>
      </c>
      <c r="E21335" s="3">
        <v>1</v>
      </c>
      <c r="F21335" s="3">
        <v>1</v>
      </c>
      <c r="G21335" t="s">
        <v>516</v>
      </c>
    </row>
    <row r="21336" spans="1:7" x14ac:dyDescent="0.25">
      <c r="A21336" s="1" t="str">
        <f>"658"</f>
        <v>658</v>
      </c>
      <c r="B21336" s="2" t="str">
        <f>"ROTULOS IOG.900GR PÊSSEGO PEDAÇOS  (GLUCK)"</f>
        <v>ROTULOS IOG.900GR PÊSSEGO PEDAÇOS  (GLUCK)</v>
      </c>
      <c r="C21336" s="2" t="str">
        <f t="shared" si="845"/>
        <v>UN</v>
      </c>
      <c r="D21336" s="7">
        <v>112</v>
      </c>
      <c r="E21336" s="3">
        <v>1</v>
      </c>
      <c r="F21336" s="3">
        <v>1</v>
      </c>
      <c r="G21336" t="s">
        <v>515</v>
      </c>
    </row>
    <row r="21337" spans="1:7" x14ac:dyDescent="0.25">
      <c r="A21337" s="1" t="str">
        <f>"6304"</f>
        <v>6304</v>
      </c>
      <c r="B21337" s="2" t="str">
        <f>"ROTULOS IOG.900GR SAL. FRUTAS (QUALITA)"</f>
        <v>ROTULOS IOG.900GR SAL. FRUTAS (QUALITA)</v>
      </c>
      <c r="C21337" s="2" t="str">
        <f t="shared" si="845"/>
        <v>UN</v>
      </c>
      <c r="D21337" s="7">
        <v>112</v>
      </c>
      <c r="E21337" s="3">
        <v>1</v>
      </c>
      <c r="F21337" s="3">
        <v>1</v>
      </c>
      <c r="G21337" t="s">
        <v>514</v>
      </c>
    </row>
    <row r="21338" spans="1:7" x14ac:dyDescent="0.25">
      <c r="A21338" s="1" t="str">
        <f>"6758"</f>
        <v>6758</v>
      </c>
      <c r="B21338" s="2" t="str">
        <f>"ROTULOS IOG.PD 160GR AMEIXA VIVER"</f>
        <v>ROTULOS IOG.PD 160GR AMEIXA VIVER</v>
      </c>
      <c r="C21338" s="2" t="str">
        <f t="shared" si="845"/>
        <v>UN</v>
      </c>
      <c r="D21338" s="7">
        <v>112</v>
      </c>
      <c r="E21338" s="3">
        <v>1</v>
      </c>
      <c r="F21338" s="3">
        <v>1</v>
      </c>
      <c r="G21338" t="s">
        <v>512</v>
      </c>
    </row>
    <row r="21339" spans="1:7" x14ac:dyDescent="0.25">
      <c r="A21339" s="1" t="str">
        <f>"6760"</f>
        <v>6760</v>
      </c>
      <c r="B21339" s="2" t="str">
        <f>"ROTULOS IOG.PD 160GR MAM,MAC E BAN VIVER"</f>
        <v>ROTULOS IOG.PD 160GR MAM,MAC E BAN VIVER</v>
      </c>
      <c r="C21339" s="2" t="str">
        <f t="shared" si="845"/>
        <v>UN</v>
      </c>
      <c r="D21339" s="7">
        <v>112</v>
      </c>
      <c r="E21339" s="3">
        <v>1</v>
      </c>
      <c r="F21339" s="3">
        <v>1</v>
      </c>
      <c r="G21339" t="s">
        <v>513</v>
      </c>
    </row>
    <row r="21340" spans="1:7" x14ac:dyDescent="0.25">
      <c r="A21340" s="1" t="str">
        <f>"6756"</f>
        <v>6756</v>
      </c>
      <c r="B21340" s="2" t="str">
        <f>"ROTULOS IOG.PD 160GR MORANGO VIVER"</f>
        <v>ROTULOS IOG.PD 160GR MORANGO VIVER</v>
      </c>
      <c r="C21340" s="2" t="str">
        <f t="shared" si="845"/>
        <v>UN</v>
      </c>
      <c r="D21340" s="7">
        <v>112</v>
      </c>
      <c r="E21340" s="3">
        <v>1</v>
      </c>
      <c r="F21340" s="3">
        <v>1</v>
      </c>
      <c r="G21340" t="s">
        <v>514</v>
      </c>
    </row>
    <row r="21341" spans="1:7" x14ac:dyDescent="0.25">
      <c r="A21341" s="1" t="str">
        <f>"6759"</f>
        <v>6759</v>
      </c>
      <c r="B21341" s="2" t="str">
        <f>"ROTULOS IOG.PD 900GR AMEIXA VIVER"</f>
        <v>ROTULOS IOG.PD 900GR AMEIXA VIVER</v>
      </c>
      <c r="C21341" s="2" t="str">
        <f t="shared" si="845"/>
        <v>UN</v>
      </c>
      <c r="D21341" s="7">
        <v>112</v>
      </c>
      <c r="E21341" s="3">
        <v>1</v>
      </c>
      <c r="F21341" s="3">
        <v>1</v>
      </c>
      <c r="G21341" t="s">
        <v>514</v>
      </c>
    </row>
    <row r="21342" spans="1:7" x14ac:dyDescent="0.25">
      <c r="A21342" s="1" t="str">
        <f>"6761"</f>
        <v>6761</v>
      </c>
      <c r="B21342" s="2" t="str">
        <f>"ROTULOS IOG.PD 900GR MAM,MAC E BAN VIVER"</f>
        <v>ROTULOS IOG.PD 900GR MAM,MAC E BAN VIVER</v>
      </c>
      <c r="C21342" s="2" t="str">
        <f t="shared" si="845"/>
        <v>UN</v>
      </c>
      <c r="D21342" s="7">
        <v>112</v>
      </c>
      <c r="E21342" s="3">
        <v>1</v>
      </c>
      <c r="F21342" s="3">
        <v>1</v>
      </c>
      <c r="G21342" t="s">
        <v>512</v>
      </c>
    </row>
    <row r="21343" spans="1:7" x14ac:dyDescent="0.25">
      <c r="A21343" s="1" t="str">
        <f>"6757"</f>
        <v>6757</v>
      </c>
      <c r="B21343" s="2" t="str">
        <f>"ROTULOS IOG.PD 900GR MORANGO VIVER"</f>
        <v>ROTULOS IOG.PD 900GR MORANGO VIVER</v>
      </c>
      <c r="C21343" s="2" t="str">
        <f t="shared" si="845"/>
        <v>UN</v>
      </c>
      <c r="D21343" s="7">
        <v>112</v>
      </c>
      <c r="E21343" s="3">
        <v>1</v>
      </c>
      <c r="F21343" s="3">
        <v>1</v>
      </c>
      <c r="G21343" t="s">
        <v>513</v>
      </c>
    </row>
    <row r="21344" spans="1:7" x14ac:dyDescent="0.25">
      <c r="A21344" s="1" t="str">
        <f>"660"</f>
        <v>660</v>
      </c>
      <c r="B21344" s="2" t="str">
        <f>"ROTULOS LEITE FERMENTADO 1.250GR (CAROLINA)"</f>
        <v>ROTULOS LEITE FERMENTADO 1.250GR (CAROLINA)</v>
      </c>
      <c r="C21344" s="2" t="str">
        <f t="shared" si="845"/>
        <v>UN</v>
      </c>
      <c r="D21344" s="7">
        <v>112</v>
      </c>
      <c r="E21344" s="3">
        <v>1</v>
      </c>
      <c r="F21344" s="3">
        <v>1</v>
      </c>
      <c r="G21344" t="s">
        <v>514</v>
      </c>
    </row>
    <row r="21345" spans="1:7" x14ac:dyDescent="0.25">
      <c r="A21345" s="1" t="str">
        <f>"653"</f>
        <v>653</v>
      </c>
      <c r="B21345" s="2" t="str">
        <f>"ROTULOS LEITE FERMENTADO 115GR (CAROLINA)"</f>
        <v>ROTULOS LEITE FERMENTADO 115GR (CAROLINA)</v>
      </c>
      <c r="C21345" s="2" t="str">
        <f t="shared" si="845"/>
        <v>UN</v>
      </c>
      <c r="D21345" s="7">
        <v>112</v>
      </c>
      <c r="E21345" s="3">
        <v>1</v>
      </c>
      <c r="F21345" s="3">
        <v>1</v>
      </c>
      <c r="G21345" t="s">
        <v>514</v>
      </c>
    </row>
    <row r="21346" spans="1:7" x14ac:dyDescent="0.25">
      <c r="A21346" s="1" t="str">
        <f>"4085"</f>
        <v>4085</v>
      </c>
      <c r="B21346" s="2" t="str">
        <f>"ROTULOS LEITE FERMENTADO 75GR (CAROLINA)"</f>
        <v>ROTULOS LEITE FERMENTADO 75GR (CAROLINA)</v>
      </c>
      <c r="C21346" s="2" t="str">
        <f t="shared" si="845"/>
        <v>UN</v>
      </c>
      <c r="D21346" s="7">
        <v>112</v>
      </c>
      <c r="E21346" s="3">
        <v>1</v>
      </c>
      <c r="F21346" s="3">
        <v>1</v>
      </c>
      <c r="G21346" t="s">
        <v>514</v>
      </c>
    </row>
    <row r="21347" spans="1:7" x14ac:dyDescent="0.25">
      <c r="A21347" s="1" t="str">
        <f>"647"</f>
        <v>647</v>
      </c>
      <c r="B21347" s="2" t="str">
        <f>"ROTULOS LEITE FERMENTADO 75GR (CAROLINA)"</f>
        <v>ROTULOS LEITE FERMENTADO 75GR (CAROLINA)</v>
      </c>
      <c r="C21347" s="2" t="str">
        <f t="shared" si="845"/>
        <v>UN</v>
      </c>
      <c r="D21347" s="7">
        <v>112</v>
      </c>
      <c r="E21347" s="3">
        <v>1</v>
      </c>
      <c r="F21347" s="3">
        <v>1</v>
      </c>
      <c r="G21347" t="s">
        <v>513</v>
      </c>
    </row>
    <row r="21348" spans="1:7" x14ac:dyDescent="0.25">
      <c r="A21348" s="1" t="str">
        <f>"6810"</f>
        <v>6810</v>
      </c>
      <c r="B21348" s="2" t="str">
        <f>"ROTULOS LEITE FERMENTADO 75GR (CARREFOUR)"</f>
        <v>ROTULOS LEITE FERMENTADO 75GR (CARREFOUR)</v>
      </c>
      <c r="C21348" s="2" t="str">
        <f t="shared" si="845"/>
        <v>UN</v>
      </c>
      <c r="D21348" s="7">
        <v>112</v>
      </c>
      <c r="E21348" s="3">
        <v>1</v>
      </c>
      <c r="F21348" s="3">
        <v>1</v>
      </c>
      <c r="G21348" t="s">
        <v>512</v>
      </c>
    </row>
    <row r="21349" spans="1:7" x14ac:dyDescent="0.25">
      <c r="A21349" s="1" t="str">
        <f>"952"</f>
        <v>952</v>
      </c>
      <c r="B21349" s="2" t="str">
        <f>"ROTULOS LEITE FERMENTADO 75GR (QUALITA)"</f>
        <v>ROTULOS LEITE FERMENTADO 75GR (QUALITA)</v>
      </c>
      <c r="C21349" s="2" t="str">
        <f t="shared" si="845"/>
        <v>UN</v>
      </c>
      <c r="D21349" s="7">
        <v>112</v>
      </c>
      <c r="E21349" s="3">
        <v>1</v>
      </c>
      <c r="F21349" s="3">
        <v>1</v>
      </c>
      <c r="G21349" t="s">
        <v>513</v>
      </c>
    </row>
    <row r="21350" spans="1:7" x14ac:dyDescent="0.25">
      <c r="A21350" s="1" t="str">
        <f>"629"</f>
        <v>629</v>
      </c>
      <c r="B21350" s="2" t="str">
        <f>"ROTULOS LEITE FERMENTADO 75GR SEM LACTOSE (CAROLINA)"</f>
        <v>ROTULOS LEITE FERMENTADO 75GR SEM LACTOSE (CAROLINA)</v>
      </c>
      <c r="C21350" s="2" t="str">
        <f t="shared" si="845"/>
        <v>UN</v>
      </c>
      <c r="D21350" s="7">
        <v>112</v>
      </c>
      <c r="E21350" s="3">
        <v>1</v>
      </c>
      <c r="F21350" s="3">
        <v>1</v>
      </c>
      <c r="G21350" t="s">
        <v>514</v>
      </c>
    </row>
    <row r="21351" spans="1:7" x14ac:dyDescent="0.25">
      <c r="A21351" s="1" t="str">
        <f>"5933"</f>
        <v>5933</v>
      </c>
      <c r="B21351" s="2" t="str">
        <f>"ROTULOS LEITE FERMENTADO 80GR (CAROLINA)"</f>
        <v>ROTULOS LEITE FERMENTADO 80GR (CAROLINA)</v>
      </c>
      <c r="C21351" s="2" t="str">
        <f t="shared" si="845"/>
        <v>UN</v>
      </c>
      <c r="D21351" s="7">
        <v>112</v>
      </c>
      <c r="E21351" s="3">
        <v>1</v>
      </c>
      <c r="F21351" s="3">
        <v>1</v>
      </c>
      <c r="G21351" t="s">
        <v>514</v>
      </c>
    </row>
    <row r="21352" spans="1:7" x14ac:dyDescent="0.25">
      <c r="A21352" s="1" t="str">
        <f>"654"</f>
        <v>654</v>
      </c>
      <c r="B21352" s="2" t="str">
        <f>"ROTULOS LEITE FERMENTADO 850GR (CAROLINA)"</f>
        <v>ROTULOS LEITE FERMENTADO 850GR (CAROLINA)</v>
      </c>
      <c r="C21352" s="2" t="str">
        <f t="shared" si="845"/>
        <v>UN</v>
      </c>
      <c r="D21352" s="7">
        <v>112</v>
      </c>
      <c r="E21352" s="3">
        <v>1</v>
      </c>
      <c r="F21352" s="3">
        <v>1</v>
      </c>
      <c r="G21352" t="s">
        <v>514</v>
      </c>
    </row>
    <row r="21353" spans="1:7" x14ac:dyDescent="0.25">
      <c r="A21353" s="1" t="str">
        <f>"6817"</f>
        <v>6817</v>
      </c>
      <c r="B21353" s="2" t="str">
        <f>"ROTULOS LEITE FERMENTADO 850GR (CARREFOUR)"</f>
        <v>ROTULOS LEITE FERMENTADO 850GR (CARREFOUR)</v>
      </c>
      <c r="C21353" s="2" t="str">
        <f t="shared" si="845"/>
        <v>UN</v>
      </c>
      <c r="D21353" s="7">
        <v>112</v>
      </c>
      <c r="E21353" s="3">
        <v>1</v>
      </c>
      <c r="F21353" s="3">
        <v>1</v>
      </c>
      <c r="G21353" t="s">
        <v>513</v>
      </c>
    </row>
    <row r="21354" spans="1:7" x14ac:dyDescent="0.25">
      <c r="A21354" s="1" t="str">
        <f>"514780"</f>
        <v>514780</v>
      </c>
      <c r="B21354" s="2" t="str">
        <f>"ROUNDUP"</f>
        <v>ROUNDUP</v>
      </c>
      <c r="C21354" s="2" t="str">
        <f t="shared" si="845"/>
        <v>UN</v>
      </c>
      <c r="D21354" s="7">
        <v>400</v>
      </c>
      <c r="E21354" s="3">
        <v>4</v>
      </c>
      <c r="F21354" s="3">
        <v>4</v>
      </c>
      <c r="G21354" t="s">
        <v>513</v>
      </c>
    </row>
    <row r="21355" spans="1:7" x14ac:dyDescent="0.25">
      <c r="A21355" s="1" t="str">
        <f>"517466"</f>
        <v>517466</v>
      </c>
      <c r="B21355" s="2" t="str">
        <f>"ROUPEIRO DE AÇO"</f>
        <v>ROUPEIRO DE AÇO</v>
      </c>
      <c r="C21355" s="2" t="str">
        <f t="shared" si="845"/>
        <v>UN</v>
      </c>
      <c r="D21355" s="7">
        <v>1200</v>
      </c>
      <c r="E21355" s="3">
        <v>10</v>
      </c>
      <c r="F21355" s="3">
        <v>10</v>
      </c>
      <c r="G21355" t="s">
        <v>513</v>
      </c>
    </row>
    <row r="21356" spans="1:7" x14ac:dyDescent="0.25">
      <c r="A21356" s="1" t="str">
        <f>"527142"</f>
        <v>527142</v>
      </c>
      <c r="B21356" s="2" t="str">
        <f>"ROUPEIRO DE AÇO #26 1.98X0,92X0,40 PITÃO CADEADO 8 VÃOS"</f>
        <v>ROUPEIRO DE AÇO #26 1.98X0,92X0,40 PITÃO CADEADO 8 VÃOS</v>
      </c>
      <c r="C21356" s="2" t="str">
        <f t="shared" si="845"/>
        <v>UN</v>
      </c>
      <c r="D21356" s="7">
        <v>99999</v>
      </c>
      <c r="E21356" s="3">
        <v>99</v>
      </c>
      <c r="F21356" s="3">
        <v>99</v>
      </c>
      <c r="G21356" t="s">
        <v>512</v>
      </c>
    </row>
    <row r="21357" spans="1:7" x14ac:dyDescent="0.25">
      <c r="A21357" s="1" t="str">
        <f>"512260"</f>
        <v>512260</v>
      </c>
      <c r="B21357" s="2" t="str">
        <f>"ROUPEIRO DE AÇO 04 PORTAS GRANDE"</f>
        <v>ROUPEIRO DE AÇO 04 PORTAS GRANDE</v>
      </c>
      <c r="C21357" s="2" t="str">
        <f t="shared" ref="C21357:C21387" si="846">"UN"</f>
        <v>UN</v>
      </c>
      <c r="D21357" s="7">
        <v>1200</v>
      </c>
      <c r="E21357" s="3">
        <v>13</v>
      </c>
      <c r="F21357" s="3">
        <v>13</v>
      </c>
      <c r="G21357" t="s">
        <v>513</v>
      </c>
    </row>
    <row r="21358" spans="1:7" x14ac:dyDescent="0.25">
      <c r="A21358" s="1" t="str">
        <f>"519792"</f>
        <v>519792</v>
      </c>
      <c r="B21358" s="2" t="str">
        <f>"ROUPEIRO DE AÇO 06 PORTAS C/ FEIXO DE CADEADO"</f>
        <v>ROUPEIRO DE AÇO 06 PORTAS C/ FEIXO DE CADEADO</v>
      </c>
      <c r="C21358" s="2" t="str">
        <f t="shared" si="846"/>
        <v>UN</v>
      </c>
      <c r="D21358" s="7">
        <v>1200</v>
      </c>
      <c r="E21358" s="3">
        <v>13</v>
      </c>
      <c r="F21358" s="3">
        <v>13</v>
      </c>
      <c r="G21358" t="s">
        <v>514</v>
      </c>
    </row>
    <row r="21359" spans="1:7" x14ac:dyDescent="0.25">
      <c r="A21359" s="1" t="str">
        <f>"507672"</f>
        <v>507672</v>
      </c>
      <c r="B21359" s="2" t="str">
        <f>"ROUPEIRO DE AÇO 1.95X92,5X42 C/ 6 PORTAS"</f>
        <v>ROUPEIRO DE AÇO 1.95X92,5X42 C/ 6 PORTAS</v>
      </c>
      <c r="C21359" s="2" t="str">
        <f t="shared" si="846"/>
        <v>UN</v>
      </c>
      <c r="D21359" s="7">
        <v>1200</v>
      </c>
      <c r="E21359" s="3">
        <v>13</v>
      </c>
      <c r="F21359" s="3">
        <v>13</v>
      </c>
      <c r="G21359" t="s">
        <v>515</v>
      </c>
    </row>
    <row r="21360" spans="1:7" x14ac:dyDescent="0.25">
      <c r="A21360" s="1" t="str">
        <f>"526921"</f>
        <v>526921</v>
      </c>
      <c r="B21360" s="2" t="str">
        <f>"ROUPEIRO DE AÇO 1.98X1,225X0,70 PITÃO CADEADO VÃO 0,33X0,30"</f>
        <v>ROUPEIRO DE AÇO 1.98X1,225X0,70 PITÃO CADEADO VÃO 0,33X0,30</v>
      </c>
      <c r="C21360" s="2" t="str">
        <f t="shared" si="846"/>
        <v>UN</v>
      </c>
      <c r="D21360" s="7">
        <v>99999</v>
      </c>
      <c r="E21360" s="3">
        <v>99</v>
      </c>
      <c r="F21360" s="3">
        <v>99</v>
      </c>
      <c r="G21360" t="s">
        <v>512</v>
      </c>
    </row>
    <row r="21361" spans="1:7" x14ac:dyDescent="0.25">
      <c r="A21361" s="1" t="str">
        <f>"526922"</f>
        <v>526922</v>
      </c>
      <c r="B21361" s="2" t="str">
        <f>"ROUPEIRO DE AÇO 1.98X1,225X0,70 PITÃO CADEADO VÃO 0,33X0,30"</f>
        <v>ROUPEIRO DE AÇO 1.98X1,225X0,70 PITÃO CADEADO VÃO 0,33X0,30</v>
      </c>
      <c r="C21361" s="2" t="str">
        <f t="shared" si="846"/>
        <v>UN</v>
      </c>
      <c r="D21361" s="7">
        <v>99999</v>
      </c>
      <c r="E21361" s="3">
        <v>99</v>
      </c>
      <c r="F21361" s="3">
        <v>99</v>
      </c>
      <c r="G21361" t="s">
        <v>516</v>
      </c>
    </row>
    <row r="21362" spans="1:7" x14ac:dyDescent="0.25">
      <c r="A21362" s="1" t="str">
        <f>"524322"</f>
        <v>524322</v>
      </c>
      <c r="B21362" s="2" t="str">
        <f>"ROUPEIRO DE AÇO 1.98X1,25X0,42 PITÃO CADEADO VÃO 0,33X0,30"</f>
        <v>ROUPEIRO DE AÇO 1.98X1,25X0,42 PITÃO CADEADO VÃO 0,33X0,30</v>
      </c>
      <c r="C21362" s="2" t="str">
        <f t="shared" si="846"/>
        <v>UN</v>
      </c>
      <c r="D21362" s="7">
        <v>99999</v>
      </c>
      <c r="E21362" s="3">
        <v>99</v>
      </c>
      <c r="F21362" s="3">
        <v>99</v>
      </c>
      <c r="G21362" t="s">
        <v>515</v>
      </c>
    </row>
    <row r="21363" spans="1:7" x14ac:dyDescent="0.25">
      <c r="A21363" s="1" t="str">
        <f>"517244"</f>
        <v>517244</v>
      </c>
      <c r="B21363" s="2" t="str">
        <f>"ROUPEIRO DE AÇO 4 VAOS GRANDES"</f>
        <v>ROUPEIRO DE AÇO 4 VAOS GRANDES</v>
      </c>
      <c r="C21363" s="2" t="str">
        <f t="shared" si="846"/>
        <v>UN</v>
      </c>
      <c r="D21363" s="7">
        <v>1200</v>
      </c>
      <c r="E21363" s="3">
        <v>4</v>
      </c>
      <c r="F21363" s="3">
        <v>4</v>
      </c>
      <c r="G21363" t="s">
        <v>514</v>
      </c>
    </row>
    <row r="21364" spans="1:7" x14ac:dyDescent="0.25">
      <c r="A21364" s="1" t="str">
        <f>"509233"</f>
        <v>509233</v>
      </c>
      <c r="B21364" s="2" t="str">
        <f>"ROUPEIRO DE AÇO C/ 12 PORTAS"</f>
        <v>ROUPEIRO DE AÇO C/ 12 PORTAS</v>
      </c>
      <c r="C21364" s="2" t="str">
        <f t="shared" si="846"/>
        <v>UN</v>
      </c>
      <c r="D21364" s="7">
        <v>1200</v>
      </c>
      <c r="E21364" s="3">
        <v>13</v>
      </c>
      <c r="F21364" s="3">
        <v>13</v>
      </c>
      <c r="G21364" t="s">
        <v>512</v>
      </c>
    </row>
    <row r="21365" spans="1:7" x14ac:dyDescent="0.25">
      <c r="A21365" s="1" t="str">
        <f>"524999"</f>
        <v>524999</v>
      </c>
      <c r="B21365" s="2" t="str">
        <f>"ROUPEIRO DE AÇO C/ 16 PORTAS C/ TRAVA P/ CADEADOS"</f>
        <v>ROUPEIRO DE AÇO C/ 16 PORTAS C/ TRAVA P/ CADEADOS</v>
      </c>
      <c r="C21365" s="2" t="str">
        <f t="shared" si="846"/>
        <v>UN</v>
      </c>
      <c r="D21365" s="7">
        <v>99999</v>
      </c>
      <c r="E21365" s="3">
        <v>99</v>
      </c>
      <c r="F21365" s="3">
        <v>99</v>
      </c>
      <c r="G21365" t="s">
        <v>513</v>
      </c>
    </row>
    <row r="21366" spans="1:7" x14ac:dyDescent="0.25">
      <c r="A21366" s="1" t="str">
        <f>"506272"</f>
        <v>506272</v>
      </c>
      <c r="B21366" s="2" t="str">
        <f>"ROVING 447 B"</f>
        <v>ROVING 447 B</v>
      </c>
      <c r="C21366" s="2" t="str">
        <f t="shared" si="846"/>
        <v>UN</v>
      </c>
      <c r="D21366" s="7">
        <v>99999</v>
      </c>
      <c r="E21366" s="3">
        <v>99</v>
      </c>
      <c r="F21366" s="3">
        <v>99</v>
      </c>
      <c r="G21366" t="s">
        <v>514</v>
      </c>
    </row>
    <row r="21367" spans="1:7" x14ac:dyDescent="0.25">
      <c r="A21367" s="1" t="str">
        <f>"518104"</f>
        <v>518104</v>
      </c>
      <c r="B21367" s="2" t="str">
        <f>"RPW REVITALIZADOR DE PLASTICOS/BORRACHA"</f>
        <v>RPW REVITALIZADOR DE PLASTICOS/BORRACHA</v>
      </c>
      <c r="C21367" s="2" t="str">
        <f t="shared" si="846"/>
        <v>UN</v>
      </c>
      <c r="D21367" s="7">
        <v>918</v>
      </c>
      <c r="E21367" s="3">
        <v>4</v>
      </c>
      <c r="F21367" s="3">
        <v>4</v>
      </c>
      <c r="G21367" t="s">
        <v>514</v>
      </c>
    </row>
    <row r="21368" spans="1:7" x14ac:dyDescent="0.25">
      <c r="A21368" s="1" t="str">
        <f>"514901"</f>
        <v>514901</v>
      </c>
      <c r="B21368" s="2" t="str">
        <f>"RUCULA"</f>
        <v>RUCULA</v>
      </c>
      <c r="C21368" s="2" t="str">
        <f t="shared" si="846"/>
        <v>UN</v>
      </c>
      <c r="D21368" s="7">
        <v>401</v>
      </c>
      <c r="E21368" s="3">
        <v>4</v>
      </c>
      <c r="F21368" s="3">
        <v>4</v>
      </c>
      <c r="G21368" t="s">
        <v>512</v>
      </c>
    </row>
    <row r="21369" spans="1:7" x14ac:dyDescent="0.25">
      <c r="A21369" s="1" t="str">
        <f>"521757"</f>
        <v>521757</v>
      </c>
      <c r="B21369" s="2" t="str">
        <f>"RUFLES"</f>
        <v>RUFLES</v>
      </c>
      <c r="C21369" s="2" t="str">
        <f t="shared" si="846"/>
        <v>UN</v>
      </c>
      <c r="D21369" s="7">
        <v>99999</v>
      </c>
      <c r="E21369" s="3">
        <v>99</v>
      </c>
      <c r="F21369" s="3">
        <v>99</v>
      </c>
      <c r="G21369" t="s">
        <v>513</v>
      </c>
    </row>
    <row r="21370" spans="1:7" x14ac:dyDescent="0.25">
      <c r="A21370" s="1" t="str">
        <f>"509172"</f>
        <v>509172</v>
      </c>
      <c r="B21370" s="2" t="str">
        <f>"RUFO 200X120X40X20 CHAPA 28"</f>
        <v>RUFO 200X120X40X20 CHAPA 28</v>
      </c>
      <c r="C21370" s="2" t="str">
        <f t="shared" si="846"/>
        <v>UN</v>
      </c>
      <c r="D21370" s="7">
        <v>917</v>
      </c>
      <c r="E21370" s="3">
        <v>11</v>
      </c>
      <c r="F21370" s="3">
        <v>11</v>
      </c>
      <c r="G21370" t="s">
        <v>514</v>
      </c>
    </row>
    <row r="21371" spans="1:7" x14ac:dyDescent="0.25">
      <c r="A21371" s="1" t="str">
        <f>"525483"</f>
        <v>525483</v>
      </c>
      <c r="B21371" s="2" t="str">
        <f>"RUFO 25CM"</f>
        <v>RUFO 25CM</v>
      </c>
      <c r="C21371" s="2" t="str">
        <f t="shared" si="846"/>
        <v>UN</v>
      </c>
      <c r="D21371" s="7">
        <v>917</v>
      </c>
      <c r="E21371" s="3">
        <v>10</v>
      </c>
      <c r="F21371" s="3">
        <v>10</v>
      </c>
      <c r="G21371" t="s">
        <v>514</v>
      </c>
    </row>
    <row r="21372" spans="1:7" x14ac:dyDescent="0.25">
      <c r="A21372" s="1" t="str">
        <f>"525482"</f>
        <v>525482</v>
      </c>
      <c r="B21372" s="2" t="str">
        <f>"RUFO 55CM"</f>
        <v>RUFO 55CM</v>
      </c>
      <c r="C21372" s="2" t="str">
        <f t="shared" si="846"/>
        <v>UN</v>
      </c>
      <c r="D21372" s="7">
        <v>917</v>
      </c>
      <c r="E21372" s="3">
        <v>10</v>
      </c>
      <c r="F21372" s="3">
        <v>10</v>
      </c>
      <c r="G21372" t="s">
        <v>514</v>
      </c>
    </row>
    <row r="21373" spans="1:7" x14ac:dyDescent="0.25">
      <c r="A21373" s="1" t="str">
        <f>"525581"</f>
        <v>525581</v>
      </c>
      <c r="B21373" s="2" t="str">
        <f>"RUFO 60CM"</f>
        <v>RUFO 60CM</v>
      </c>
      <c r="C21373" s="2" t="str">
        <f t="shared" si="846"/>
        <v>UN</v>
      </c>
      <c r="D21373" s="7">
        <v>917</v>
      </c>
      <c r="E21373" s="3">
        <v>10</v>
      </c>
      <c r="F21373" s="3">
        <v>10</v>
      </c>
      <c r="G21373" t="s">
        <v>513</v>
      </c>
    </row>
    <row r="21374" spans="1:7" x14ac:dyDescent="0.25">
      <c r="A21374" s="1" t="str">
        <f>"511163"</f>
        <v>511163</v>
      </c>
      <c r="B21374" s="2" t="str">
        <f>"RUFO CORTE 150"</f>
        <v>RUFO CORTE 150</v>
      </c>
      <c r="C21374" s="2" t="str">
        <f t="shared" si="846"/>
        <v>UN</v>
      </c>
      <c r="D21374" s="7">
        <v>803</v>
      </c>
      <c r="E21374" s="3">
        <v>10</v>
      </c>
      <c r="F21374" s="3">
        <v>10</v>
      </c>
      <c r="G21374" t="s">
        <v>512</v>
      </c>
    </row>
    <row r="21375" spans="1:7" x14ac:dyDescent="0.25">
      <c r="A21375" s="1" t="str">
        <f>"511161"</f>
        <v>511161</v>
      </c>
      <c r="B21375" s="2" t="str">
        <f>"RUFO CORTE 290 - AZUL"</f>
        <v>RUFO CORTE 290 - AZUL</v>
      </c>
      <c r="C21375" s="2" t="str">
        <f t="shared" si="846"/>
        <v>UN</v>
      </c>
      <c r="D21375" s="7">
        <v>803</v>
      </c>
      <c r="E21375" s="3">
        <v>10</v>
      </c>
      <c r="F21375" s="3">
        <v>10</v>
      </c>
      <c r="G21375" t="s">
        <v>513</v>
      </c>
    </row>
    <row r="21376" spans="1:7" x14ac:dyDescent="0.25">
      <c r="A21376" s="1" t="str">
        <f>"511655"</f>
        <v>511655</v>
      </c>
      <c r="B21376" s="2" t="str">
        <f>"RUFO CORTE 34"</f>
        <v>RUFO CORTE 34</v>
      </c>
      <c r="C21376" s="2" t="str">
        <f t="shared" si="846"/>
        <v>UN</v>
      </c>
      <c r="D21376" s="7">
        <v>803</v>
      </c>
      <c r="E21376" s="3">
        <v>10</v>
      </c>
      <c r="F21376" s="3">
        <v>10</v>
      </c>
      <c r="G21376" t="s">
        <v>514</v>
      </c>
    </row>
    <row r="21377" spans="1:7" x14ac:dyDescent="0.25">
      <c r="A21377" s="1" t="str">
        <f>"511657"</f>
        <v>511657</v>
      </c>
      <c r="B21377" s="2" t="str">
        <f>"RUFO CORTE 340"</f>
        <v>RUFO CORTE 340</v>
      </c>
      <c r="C21377" s="2" t="str">
        <f t="shared" si="846"/>
        <v>UN</v>
      </c>
      <c r="D21377" s="7">
        <v>803</v>
      </c>
      <c r="E21377" s="3">
        <v>10</v>
      </c>
      <c r="F21377" s="3">
        <v>10</v>
      </c>
      <c r="G21377" t="s">
        <v>514</v>
      </c>
    </row>
    <row r="21378" spans="1:7" x14ac:dyDescent="0.25">
      <c r="A21378" s="1" t="str">
        <f>"511051"</f>
        <v>511051</v>
      </c>
      <c r="B21378" s="2" t="str">
        <f>"RUFO CORTE 35"</f>
        <v>RUFO CORTE 35</v>
      </c>
      <c r="C21378" s="2" t="str">
        <f t="shared" si="846"/>
        <v>UN</v>
      </c>
      <c r="D21378" s="7">
        <v>803</v>
      </c>
      <c r="E21378" s="3">
        <v>10</v>
      </c>
      <c r="F21378" s="3">
        <v>10</v>
      </c>
      <c r="G21378" t="s">
        <v>514</v>
      </c>
    </row>
    <row r="21379" spans="1:7" x14ac:dyDescent="0.25">
      <c r="A21379" s="1" t="str">
        <f>"511049"</f>
        <v>511049</v>
      </c>
      <c r="B21379" s="2" t="str">
        <f>"RUFO CORTE 350"</f>
        <v>RUFO CORTE 350</v>
      </c>
      <c r="C21379" s="2" t="str">
        <f t="shared" si="846"/>
        <v>UN</v>
      </c>
      <c r="D21379" s="7">
        <v>803</v>
      </c>
      <c r="E21379" s="3">
        <v>10</v>
      </c>
      <c r="F21379" s="3">
        <v>10</v>
      </c>
      <c r="G21379" t="s">
        <v>513</v>
      </c>
    </row>
    <row r="21380" spans="1:7" x14ac:dyDescent="0.25">
      <c r="A21380" s="1" t="str">
        <f>"511050"</f>
        <v>511050</v>
      </c>
      <c r="B21380" s="2" t="str">
        <f>"RUFO CORTE 400"</f>
        <v>RUFO CORTE 400</v>
      </c>
      <c r="C21380" s="2" t="str">
        <f t="shared" si="846"/>
        <v>UN</v>
      </c>
      <c r="D21380" s="7">
        <v>803</v>
      </c>
      <c r="E21380" s="3">
        <v>10</v>
      </c>
      <c r="F21380" s="3">
        <v>10</v>
      </c>
      <c r="G21380" t="s">
        <v>513</v>
      </c>
    </row>
    <row r="21381" spans="1:7" x14ac:dyDescent="0.25">
      <c r="A21381" s="1" t="str">
        <f>"511164"</f>
        <v>511164</v>
      </c>
      <c r="B21381" s="2" t="str">
        <f>"RUFO CORTE 440"</f>
        <v>RUFO CORTE 440</v>
      </c>
      <c r="C21381" s="2" t="str">
        <f t="shared" si="846"/>
        <v>UN</v>
      </c>
      <c r="D21381" s="7">
        <v>803</v>
      </c>
      <c r="E21381" s="3">
        <v>10</v>
      </c>
      <c r="F21381" s="3">
        <v>10</v>
      </c>
      <c r="G21381" t="s">
        <v>513</v>
      </c>
    </row>
    <row r="21382" spans="1:7" x14ac:dyDescent="0.25">
      <c r="A21382" s="1" t="str">
        <f>"511656"</f>
        <v>511656</v>
      </c>
      <c r="B21382" s="2" t="str">
        <f>"RUFO CORTE 540"</f>
        <v>RUFO CORTE 540</v>
      </c>
      <c r="C21382" s="2" t="str">
        <f t="shared" si="846"/>
        <v>UN</v>
      </c>
      <c r="D21382" s="7">
        <v>803</v>
      </c>
      <c r="E21382" s="3">
        <v>10</v>
      </c>
      <c r="F21382" s="3">
        <v>10</v>
      </c>
      <c r="G21382" t="s">
        <v>512</v>
      </c>
    </row>
    <row r="21383" spans="1:7" x14ac:dyDescent="0.25">
      <c r="A21383" s="1" t="str">
        <f>"511659"</f>
        <v>511659</v>
      </c>
      <c r="B21383" s="2" t="str">
        <f>"RUFO CORTE 855"</f>
        <v>RUFO CORTE 855</v>
      </c>
      <c r="C21383" s="2" t="str">
        <f t="shared" si="846"/>
        <v>UN</v>
      </c>
      <c r="D21383" s="7">
        <v>803</v>
      </c>
      <c r="E21383" s="3">
        <v>10</v>
      </c>
      <c r="F21383" s="3">
        <v>10</v>
      </c>
      <c r="G21383" t="s">
        <v>513</v>
      </c>
    </row>
    <row r="21384" spans="1:7" x14ac:dyDescent="0.25">
      <c r="A21384" s="1" t="str">
        <f>"511658"</f>
        <v>511658</v>
      </c>
      <c r="B21384" s="2" t="str">
        <f>"RUFO CORTE 860"</f>
        <v>RUFO CORTE 860</v>
      </c>
      <c r="C21384" s="2" t="str">
        <f t="shared" si="846"/>
        <v>UN</v>
      </c>
      <c r="D21384" s="7">
        <v>803</v>
      </c>
      <c r="E21384" s="3">
        <v>10</v>
      </c>
      <c r="F21384" s="3">
        <v>10</v>
      </c>
      <c r="G21384" t="s">
        <v>514</v>
      </c>
    </row>
    <row r="21385" spans="1:7" x14ac:dyDescent="0.25">
      <c r="A21385" s="1" t="str">
        <f>"514777"</f>
        <v>514777</v>
      </c>
      <c r="B21385" s="2" t="str">
        <f>"RUFO ZINCALUME"</f>
        <v>RUFO ZINCALUME</v>
      </c>
      <c r="C21385" s="2" t="str">
        <f t="shared" si="846"/>
        <v>UN</v>
      </c>
      <c r="D21385" s="7">
        <v>803</v>
      </c>
      <c r="E21385" s="3">
        <v>10</v>
      </c>
      <c r="F21385" s="3">
        <v>10</v>
      </c>
      <c r="G21385" t="s">
        <v>515</v>
      </c>
    </row>
    <row r="21386" spans="1:7" x14ac:dyDescent="0.25">
      <c r="A21386" s="1" t="str">
        <f>"511033"</f>
        <v>511033</v>
      </c>
      <c r="B21386" s="2" t="str">
        <f>"RUSTLER SL-480 1 LITRO"</f>
        <v>RUSTLER SL-480 1 LITRO</v>
      </c>
      <c r="C21386" s="2" t="str">
        <f t="shared" si="846"/>
        <v>UN</v>
      </c>
      <c r="D21386" s="7">
        <v>402</v>
      </c>
      <c r="E21386" s="3">
        <v>4</v>
      </c>
      <c r="F21386" s="3">
        <v>4</v>
      </c>
      <c r="G21386" t="s">
        <v>512</v>
      </c>
    </row>
    <row r="21387" spans="1:7" x14ac:dyDescent="0.25">
      <c r="A21387" s="1" t="str">
        <f>"522713"</f>
        <v>522713</v>
      </c>
      <c r="B21387" s="2" t="str">
        <f>"S - 6060 ZEROLIQUID CONCENTRATE (CAIXA 50 SACHES 5ML CADA)"</f>
        <v>S - 6060 ZEROLIQUID CONCENTRATE (CAIXA 50 SACHES 5ML CADA)</v>
      </c>
      <c r="C21387" s="2" t="str">
        <f t="shared" si="846"/>
        <v>UN</v>
      </c>
      <c r="D21387" s="7">
        <v>406</v>
      </c>
      <c r="E21387" s="3">
        <v>4</v>
      </c>
      <c r="F21387" s="3">
        <v>4</v>
      </c>
      <c r="G21387" t="s">
        <v>516</v>
      </c>
    </row>
    <row r="21388" spans="1:7" x14ac:dyDescent="0.25">
      <c r="A21388" s="1" t="str">
        <f>"526670"</f>
        <v>526670</v>
      </c>
      <c r="B21388" s="2" t="str">
        <f>"S/C DA SEDE PILOTO P 210200605"</f>
        <v>S/C DA SEDE PILOTO P 210200605</v>
      </c>
      <c r="C21388" s="2" t="str">
        <f>"BR"</f>
        <v>BR</v>
      </c>
      <c r="D21388" s="7">
        <v>808</v>
      </c>
      <c r="E21388" s="3">
        <v>10</v>
      </c>
      <c r="F21388" s="3">
        <v>10</v>
      </c>
      <c r="G21388" t="s">
        <v>515</v>
      </c>
    </row>
    <row r="21389" spans="1:7" x14ac:dyDescent="0.25">
      <c r="A21389" s="1" t="str">
        <f>"527071"</f>
        <v>527071</v>
      </c>
      <c r="B21389" s="2" t="str">
        <f>"S175CD ELETRODO DE PH PARA SEMISSÓLIDOS BNC"</f>
        <v>S175CD ELETRODO DE PH PARA SEMISSÓLIDOS BNC</v>
      </c>
      <c r="C21389" s="2" t="str">
        <f>"UN"</f>
        <v>UN</v>
      </c>
      <c r="D21389" s="7">
        <v>1500</v>
      </c>
      <c r="E21389" s="3">
        <v>13</v>
      </c>
      <c r="F21389" s="3">
        <v>13</v>
      </c>
      <c r="G21389" t="s">
        <v>514</v>
      </c>
    </row>
    <row r="21390" spans="1:7" x14ac:dyDescent="0.25">
      <c r="A21390" s="1" t="str">
        <f>"524637"</f>
        <v>524637</v>
      </c>
      <c r="B21390" s="8" t="s">
        <v>404</v>
      </c>
      <c r="C21390" s="2" t="str">
        <f>"UN"</f>
        <v>UN</v>
      </c>
      <c r="D21390" s="7">
        <v>406</v>
      </c>
      <c r="E21390" s="3">
        <v>13</v>
      </c>
      <c r="F21390" s="3">
        <v>13</v>
      </c>
      <c r="G21390" t="s">
        <v>512</v>
      </c>
    </row>
    <row r="21391" spans="1:7" x14ac:dyDescent="0.25">
      <c r="A21391" s="1" t="str">
        <f>"522714"</f>
        <v>522714</v>
      </c>
      <c r="B21391" s="2" t="str">
        <f>"S-470 CLEANING AGENT CX 50 SACHES DE 25 GRAMAS MSC WASH"</f>
        <v>S-470 CLEANING AGENT CX 50 SACHES DE 25 GRAMAS MSC WASH</v>
      </c>
      <c r="C21391" s="2" t="str">
        <f>"UN"</f>
        <v>UN</v>
      </c>
      <c r="D21391" s="7">
        <v>406</v>
      </c>
      <c r="E21391" s="3">
        <v>4</v>
      </c>
      <c r="F21391" s="3">
        <v>4</v>
      </c>
      <c r="G21391" t="s">
        <v>513</v>
      </c>
    </row>
    <row r="21392" spans="1:7" x14ac:dyDescent="0.25">
      <c r="A21392" s="1" t="str">
        <f>"6147"</f>
        <v>6147</v>
      </c>
      <c r="B21392" s="2" t="str">
        <f>"SABAO ALCALINO CLORADO AL-95"</f>
        <v>SABAO ALCALINO CLORADO AL-95</v>
      </c>
      <c r="C21392" s="2" t="str">
        <f>"KG"</f>
        <v>KG</v>
      </c>
      <c r="D21392" s="7">
        <v>400</v>
      </c>
      <c r="E21392" s="3">
        <v>4</v>
      </c>
      <c r="F21392" s="3">
        <v>4</v>
      </c>
      <c r="G21392" t="s">
        <v>514</v>
      </c>
    </row>
    <row r="21393" spans="1:7" x14ac:dyDescent="0.25">
      <c r="A21393" s="1" t="str">
        <f>"510898"</f>
        <v>510898</v>
      </c>
      <c r="B21393" s="2" t="str">
        <f>"SABAO EM PO TIXAN PRIMAVERA"</f>
        <v>SABAO EM PO TIXAN PRIMAVERA</v>
      </c>
      <c r="C21393" s="2" t="str">
        <f>"UN"</f>
        <v>UN</v>
      </c>
      <c r="D21393" s="7">
        <v>99999</v>
      </c>
      <c r="E21393" s="3">
        <v>99</v>
      </c>
      <c r="F21393" s="3">
        <v>99</v>
      </c>
      <c r="G21393" t="s">
        <v>514</v>
      </c>
    </row>
    <row r="21394" spans="1:7" x14ac:dyDescent="0.25">
      <c r="A21394" s="1" t="str">
        <f>"5936"</f>
        <v>5936</v>
      </c>
      <c r="B21394" s="2" t="str">
        <f>"SABAO EM PO TIXAN PRIMAVERA 20X1"</f>
        <v>SABAO EM PO TIXAN PRIMAVERA 20X1</v>
      </c>
      <c r="C21394" s="2" t="str">
        <f>"UN"</f>
        <v>UN</v>
      </c>
      <c r="D21394" s="7">
        <v>400</v>
      </c>
      <c r="E21394" s="3">
        <v>4</v>
      </c>
      <c r="F21394" s="3">
        <v>4</v>
      </c>
      <c r="G21394" t="s">
        <v>512</v>
      </c>
    </row>
    <row r="21395" spans="1:7" x14ac:dyDescent="0.25">
      <c r="A21395" s="1" t="str">
        <f>"514687"</f>
        <v>514687</v>
      </c>
      <c r="B21395" s="2" t="str">
        <f>"SABAO LIQUIDO"</f>
        <v>SABAO LIQUIDO</v>
      </c>
      <c r="C21395" s="2" t="str">
        <f>"UN"</f>
        <v>UN</v>
      </c>
      <c r="D21395" s="7">
        <v>401</v>
      </c>
      <c r="E21395" s="3">
        <v>4</v>
      </c>
      <c r="F21395" s="3">
        <v>4</v>
      </c>
      <c r="G21395" t="s">
        <v>513</v>
      </c>
    </row>
    <row r="21396" spans="1:7" x14ac:dyDescent="0.25">
      <c r="A21396" s="1" t="str">
        <f>"509469"</f>
        <v>509469</v>
      </c>
      <c r="B21396" s="2" t="str">
        <f>"SABAO YPE PDÇO"</f>
        <v>SABAO YPE PDÇO</v>
      </c>
      <c r="C21396" s="2" t="str">
        <f>"UN"</f>
        <v>UN</v>
      </c>
      <c r="D21396" s="7">
        <v>99999</v>
      </c>
      <c r="E21396" s="3">
        <v>99</v>
      </c>
      <c r="F21396" s="3">
        <v>99</v>
      </c>
      <c r="G21396" t="s">
        <v>514</v>
      </c>
    </row>
    <row r="21397" spans="1:7" x14ac:dyDescent="0.25">
      <c r="A21397" s="1" t="str">
        <f>"514874"</f>
        <v>514874</v>
      </c>
      <c r="B21397" s="2" t="str">
        <f>"SABONETE"</f>
        <v>SABONETE</v>
      </c>
      <c r="C21397" s="2" t="str">
        <f>"UN"</f>
        <v>UN</v>
      </c>
      <c r="D21397" s="7">
        <v>401</v>
      </c>
      <c r="E21397" s="3">
        <v>4</v>
      </c>
      <c r="F21397" s="3">
        <v>4</v>
      </c>
      <c r="G21397" t="s">
        <v>514</v>
      </c>
    </row>
    <row r="21398" spans="1:7" x14ac:dyDescent="0.25">
      <c r="A21398" s="1" t="str">
        <f>"4109"</f>
        <v>4109</v>
      </c>
      <c r="B21398" s="2" t="str">
        <f>"SABONETE BACTER MUND HANDCLEAN - BB 20"</f>
        <v>SABONETE BACTER MUND HANDCLEAN - BB 20</v>
      </c>
      <c r="C21398" s="2" t="str">
        <f>"KG"</f>
        <v>KG</v>
      </c>
      <c r="D21398" s="7">
        <v>400</v>
      </c>
      <c r="E21398" s="3">
        <v>4</v>
      </c>
      <c r="F21398" s="3">
        <v>4</v>
      </c>
      <c r="G21398" t="s">
        <v>514</v>
      </c>
    </row>
    <row r="21399" spans="1:7" x14ac:dyDescent="0.25">
      <c r="A21399" s="1" t="str">
        <f>"5795"</f>
        <v>5795</v>
      </c>
      <c r="B21399" s="2" t="str">
        <f>"SABONETE BACTERICIDA  AL-90"</f>
        <v>SABONETE BACTERICIDA  AL-90</v>
      </c>
      <c r="C21399" s="2" t="str">
        <f>"KT"</f>
        <v>KT</v>
      </c>
      <c r="D21399" s="7">
        <v>400</v>
      </c>
      <c r="E21399" s="3">
        <v>4</v>
      </c>
      <c r="F21399" s="3">
        <v>4</v>
      </c>
      <c r="G21399" t="s">
        <v>513</v>
      </c>
    </row>
    <row r="21400" spans="1:7" x14ac:dyDescent="0.25">
      <c r="A21400" s="1" t="str">
        <f>"4118"</f>
        <v>4118</v>
      </c>
      <c r="B21400" s="2" t="str">
        <f>"SABONETE DESENGRAX HANDCLEAN PA 500- CX 4X5"</f>
        <v>SABONETE DESENGRAX HANDCLEAN PA 500- CX 4X5</v>
      </c>
      <c r="C21400" s="2" t="str">
        <f>"KG"</f>
        <v>KG</v>
      </c>
      <c r="D21400" s="7">
        <v>400</v>
      </c>
      <c r="E21400" s="3">
        <v>4</v>
      </c>
      <c r="F21400" s="3">
        <v>4</v>
      </c>
      <c r="G21400" t="s">
        <v>512</v>
      </c>
    </row>
    <row r="21401" spans="1:7" x14ac:dyDescent="0.25">
      <c r="A21401" s="1" t="str">
        <f>"7130"</f>
        <v>7130</v>
      </c>
      <c r="B21401" s="2" t="str">
        <f>"SABONETE EM ESPUMA EXCELLENCE CÓD. 7420"</f>
        <v>SABONETE EM ESPUMA EXCELLENCE CÓD. 7420</v>
      </c>
      <c r="C21401" s="2" t="str">
        <f t="shared" ref="C21401:C21423" si="847">"UN"</f>
        <v>UN</v>
      </c>
      <c r="D21401" s="7">
        <v>400</v>
      </c>
      <c r="E21401" s="3">
        <v>4</v>
      </c>
      <c r="F21401" s="3">
        <v>4</v>
      </c>
      <c r="G21401" t="s">
        <v>513</v>
      </c>
    </row>
    <row r="21402" spans="1:7" x14ac:dyDescent="0.25">
      <c r="A21402" s="1" t="str">
        <f>"516941"</f>
        <v>516941</v>
      </c>
      <c r="B21402" s="2" t="str">
        <f>"SABONETE LIQIDO ESFOLIANTE 5 LITROS"</f>
        <v>SABONETE LIQIDO ESFOLIANTE 5 LITROS</v>
      </c>
      <c r="C21402" s="2" t="str">
        <f t="shared" si="847"/>
        <v>UN</v>
      </c>
      <c r="D21402" s="7">
        <v>400</v>
      </c>
      <c r="E21402" s="3">
        <v>4</v>
      </c>
      <c r="F21402" s="3">
        <v>4</v>
      </c>
      <c r="G21402" t="s">
        <v>514</v>
      </c>
    </row>
    <row r="21403" spans="1:7" x14ac:dyDescent="0.25">
      <c r="A21403" s="1" t="str">
        <f>"513268"</f>
        <v>513268</v>
      </c>
      <c r="B21403" s="2" t="str">
        <f>"SABONETE PLUS LIQUIDO"</f>
        <v>SABONETE PLUS LIQUIDO</v>
      </c>
      <c r="C21403" s="2" t="str">
        <f t="shared" si="847"/>
        <v>UN</v>
      </c>
      <c r="D21403" s="7">
        <v>400</v>
      </c>
      <c r="E21403" s="3">
        <v>4</v>
      </c>
      <c r="F21403" s="3">
        <v>4</v>
      </c>
      <c r="G21403" t="s">
        <v>514</v>
      </c>
    </row>
    <row r="21404" spans="1:7" x14ac:dyDescent="0.25">
      <c r="A21404" s="1" t="str">
        <f>"5958"</f>
        <v>5958</v>
      </c>
      <c r="B21404" s="2" t="str">
        <f>"SABONETE SPRAY DERMO COM REFIL"</f>
        <v>SABONETE SPRAY DERMO COM REFIL</v>
      </c>
      <c r="C21404" s="2" t="str">
        <f t="shared" si="847"/>
        <v>UN</v>
      </c>
      <c r="D21404" s="7">
        <v>400</v>
      </c>
      <c r="E21404" s="3">
        <v>4</v>
      </c>
      <c r="F21404" s="3">
        <v>4</v>
      </c>
      <c r="G21404" t="s">
        <v>514</v>
      </c>
    </row>
    <row r="21405" spans="1:7" x14ac:dyDescent="0.25">
      <c r="A21405" s="1" t="str">
        <f>"518135"</f>
        <v>518135</v>
      </c>
      <c r="B21405" s="2" t="str">
        <f>"SABONETE TRILHA ANTISEPTICO GEL SOAP 5LT"</f>
        <v>SABONETE TRILHA ANTISEPTICO GEL SOAP 5LT</v>
      </c>
      <c r="C21405" s="2" t="str">
        <f t="shared" si="847"/>
        <v>UN</v>
      </c>
      <c r="D21405" s="7">
        <v>400</v>
      </c>
      <c r="E21405" s="3">
        <v>4</v>
      </c>
      <c r="F21405" s="3">
        <v>4</v>
      </c>
      <c r="G21405" t="s">
        <v>513</v>
      </c>
    </row>
    <row r="21406" spans="1:7" x14ac:dyDescent="0.25">
      <c r="A21406" s="1" t="str">
        <f>"514928"</f>
        <v>514928</v>
      </c>
      <c r="B21406" s="2" t="str">
        <f>"SABONETEIRA"</f>
        <v>SABONETEIRA</v>
      </c>
      <c r="C21406" s="2" t="str">
        <f t="shared" si="847"/>
        <v>UN</v>
      </c>
      <c r="D21406" s="7">
        <v>704</v>
      </c>
      <c r="E21406" s="3">
        <v>9</v>
      </c>
      <c r="F21406" s="3">
        <v>9</v>
      </c>
      <c r="G21406" t="s">
        <v>513</v>
      </c>
    </row>
    <row r="21407" spans="1:7" x14ac:dyDescent="0.25">
      <c r="A21407" s="1" t="str">
        <f>"979"</f>
        <v>979</v>
      </c>
      <c r="B21407" s="2" t="str">
        <f>"SABONETEIRA (DISP.DOSADOR SABONETE GEL)"</f>
        <v>SABONETEIRA (DISP.DOSADOR SABONETE GEL)</v>
      </c>
      <c r="C21407" s="2" t="str">
        <f t="shared" si="847"/>
        <v>UN</v>
      </c>
      <c r="D21407" s="7">
        <v>400</v>
      </c>
      <c r="E21407" s="3">
        <v>4</v>
      </c>
      <c r="F21407" s="3">
        <v>4</v>
      </c>
      <c r="G21407" t="s">
        <v>513</v>
      </c>
    </row>
    <row r="21408" spans="1:7" x14ac:dyDescent="0.25">
      <c r="A21408" s="1" t="str">
        <f>"522326"</f>
        <v>522326</v>
      </c>
      <c r="B21408" s="2" t="str">
        <f>"SABONETEIRA DE INOX"</f>
        <v>SABONETEIRA DE INOX</v>
      </c>
      <c r="C21408" s="2" t="str">
        <f t="shared" si="847"/>
        <v>UN</v>
      </c>
      <c r="D21408" s="7">
        <v>400</v>
      </c>
      <c r="E21408" s="3">
        <v>4</v>
      </c>
      <c r="F21408" s="3">
        <v>4</v>
      </c>
      <c r="G21408" t="s">
        <v>512</v>
      </c>
    </row>
    <row r="21409" spans="1:7" x14ac:dyDescent="0.25">
      <c r="A21409" s="1" t="str">
        <f>"523093"</f>
        <v>523093</v>
      </c>
      <c r="B21409" s="2" t="str">
        <f>"SABONETEIRA DE INOX 800ML - 1016 SEM VISOR"</f>
        <v>SABONETEIRA DE INOX 800ML - 1016 SEM VISOR</v>
      </c>
      <c r="C21409" s="2" t="str">
        <f t="shared" si="847"/>
        <v>UN</v>
      </c>
      <c r="D21409" s="7">
        <v>400</v>
      </c>
      <c r="E21409" s="3">
        <v>4</v>
      </c>
      <c r="F21409" s="3">
        <v>4</v>
      </c>
      <c r="G21409" t="s">
        <v>513</v>
      </c>
    </row>
    <row r="21410" spans="1:7" x14ac:dyDescent="0.25">
      <c r="A21410" s="1" t="str">
        <f>"523833"</f>
        <v>523833</v>
      </c>
      <c r="B21410" s="2" t="str">
        <f>"SABONETEIRA EVOLUTION SABONETE LIQUIDO"</f>
        <v>SABONETEIRA EVOLUTION SABONETE LIQUIDO</v>
      </c>
      <c r="C21410" s="2" t="str">
        <f t="shared" si="847"/>
        <v>UN</v>
      </c>
      <c r="D21410" s="7">
        <v>400</v>
      </c>
      <c r="E21410" s="3">
        <v>4</v>
      </c>
      <c r="F21410" s="3">
        <v>4</v>
      </c>
      <c r="G21410" t="s">
        <v>514</v>
      </c>
    </row>
    <row r="21411" spans="1:7" x14ac:dyDescent="0.25">
      <c r="A21411" s="1" t="str">
        <f>"523263"</f>
        <v>523263</v>
      </c>
      <c r="B21411" s="2" t="str">
        <f>"SABONETEIRA POLIAETAL ESPUMA"</f>
        <v>SABONETEIRA POLIAETAL ESPUMA</v>
      </c>
      <c r="C21411" s="2" t="str">
        <f t="shared" si="847"/>
        <v>UN</v>
      </c>
      <c r="D21411" s="7">
        <v>400</v>
      </c>
      <c r="E21411" s="3">
        <v>4</v>
      </c>
      <c r="F21411" s="3">
        <v>4</v>
      </c>
      <c r="G21411" t="s">
        <v>515</v>
      </c>
    </row>
    <row r="21412" spans="1:7" x14ac:dyDescent="0.25">
      <c r="A21412" s="1" t="str">
        <f>"520904"</f>
        <v>520904</v>
      </c>
      <c r="B21412" s="2" t="str">
        <f>"SABONETEIRA TRILHA C/ RESRVATORIO CRISTAL"</f>
        <v>SABONETEIRA TRILHA C/ RESRVATORIO CRISTAL</v>
      </c>
      <c r="C21412" s="2" t="str">
        <f t="shared" si="847"/>
        <v>UN</v>
      </c>
      <c r="D21412" s="7">
        <v>400</v>
      </c>
      <c r="E21412" s="3">
        <v>4</v>
      </c>
      <c r="F21412" s="3">
        <v>4</v>
      </c>
      <c r="G21412" t="s">
        <v>512</v>
      </c>
    </row>
    <row r="21413" spans="1:7" x14ac:dyDescent="0.25">
      <c r="A21413" s="1" t="str">
        <f>"506207"</f>
        <v>506207</v>
      </c>
      <c r="B21413" s="2" t="str">
        <f>"SABRE 43CM 1,6MM MOTO SERRA"</f>
        <v>SABRE 43CM 1,6MM MOTO SERRA</v>
      </c>
      <c r="C21413" s="2" t="str">
        <f t="shared" si="847"/>
        <v>UN</v>
      </c>
      <c r="D21413" s="7">
        <v>402</v>
      </c>
      <c r="E21413" s="3">
        <v>4</v>
      </c>
      <c r="F21413" s="3">
        <v>4</v>
      </c>
      <c r="G21413" t="s">
        <v>516</v>
      </c>
    </row>
    <row r="21414" spans="1:7" x14ac:dyDescent="0.25">
      <c r="A21414" s="1" t="str">
        <f>"500856"</f>
        <v>500856</v>
      </c>
      <c r="B21414" s="2" t="str">
        <f>"SACA PINO 038305-349/6 REF. 038305"</f>
        <v>SACA PINO 038305-349/6 REF. 038305</v>
      </c>
      <c r="C21414" s="2" t="str">
        <f t="shared" si="847"/>
        <v>UN</v>
      </c>
      <c r="D21414" s="7">
        <v>402</v>
      </c>
      <c r="E21414" s="3">
        <v>4</v>
      </c>
      <c r="F21414" s="3">
        <v>4</v>
      </c>
      <c r="G21414" t="s">
        <v>515</v>
      </c>
    </row>
    <row r="21415" spans="1:7" x14ac:dyDescent="0.25">
      <c r="A21415" s="1" t="str">
        <f>"518092"</f>
        <v>518092</v>
      </c>
      <c r="B21415" s="2" t="str">
        <f>"SACA PINO 150X5MM"</f>
        <v>SACA PINO 150X5MM</v>
      </c>
      <c r="C21415" s="2" t="str">
        <f t="shared" si="847"/>
        <v>UN</v>
      </c>
      <c r="D21415" s="7">
        <v>920</v>
      </c>
      <c r="E21415" s="3">
        <v>4</v>
      </c>
      <c r="F21415" s="3">
        <v>4</v>
      </c>
      <c r="G21415" t="s">
        <v>514</v>
      </c>
    </row>
    <row r="21416" spans="1:7" x14ac:dyDescent="0.25">
      <c r="A21416" s="1" t="str">
        <f>"518093"</f>
        <v>518093</v>
      </c>
      <c r="B21416" s="2" t="str">
        <f>"SACA PINO 150X6MM"</f>
        <v>SACA PINO 150X6MM</v>
      </c>
      <c r="C21416" s="2" t="str">
        <f t="shared" si="847"/>
        <v>UN</v>
      </c>
      <c r="D21416" s="7">
        <v>920</v>
      </c>
      <c r="E21416" s="3">
        <v>4</v>
      </c>
      <c r="F21416" s="3">
        <v>4</v>
      </c>
      <c r="G21416" t="s">
        <v>512</v>
      </c>
    </row>
    <row r="21417" spans="1:7" x14ac:dyDescent="0.25">
      <c r="A21417" s="1" t="str">
        <f>"518091"</f>
        <v>518091</v>
      </c>
      <c r="B21417" s="2" t="str">
        <f>"SACA PINO 150X8MM"</f>
        <v>SACA PINO 150X8MM</v>
      </c>
      <c r="C21417" s="2" t="str">
        <f t="shared" si="847"/>
        <v>UN</v>
      </c>
      <c r="D21417" s="7">
        <v>920</v>
      </c>
      <c r="E21417" s="3">
        <v>4</v>
      </c>
      <c r="F21417" s="3">
        <v>4</v>
      </c>
      <c r="G21417" t="s">
        <v>513</v>
      </c>
    </row>
    <row r="21418" spans="1:7" x14ac:dyDescent="0.25">
      <c r="A21418" s="1" t="str">
        <f>"519779"</f>
        <v>519779</v>
      </c>
      <c r="B21418" s="2" t="str">
        <f>"SACA POLIA 2 GARRAS GEDORE 8564/2"</f>
        <v>SACA POLIA 2 GARRAS GEDORE 8564/2</v>
      </c>
      <c r="C21418" s="2" t="str">
        <f t="shared" si="847"/>
        <v>UN</v>
      </c>
      <c r="D21418" s="7">
        <v>402</v>
      </c>
      <c r="E21418" s="3">
        <v>4</v>
      </c>
      <c r="F21418" s="3">
        <v>4</v>
      </c>
      <c r="G21418" t="s">
        <v>514</v>
      </c>
    </row>
    <row r="21419" spans="1:7" x14ac:dyDescent="0.25">
      <c r="A21419" s="1" t="str">
        <f>"511470"</f>
        <v>511470</v>
      </c>
      <c r="B21419" s="2" t="str">
        <f>"SACA POLIA 2 GARRAS GEDORE 8564/4"</f>
        <v>SACA POLIA 2 GARRAS GEDORE 8564/4</v>
      </c>
      <c r="C21419" s="2" t="str">
        <f t="shared" si="847"/>
        <v>UN</v>
      </c>
      <c r="D21419" s="7">
        <v>402</v>
      </c>
      <c r="E21419" s="3">
        <v>4</v>
      </c>
      <c r="F21419" s="3">
        <v>4</v>
      </c>
      <c r="G21419" t="s">
        <v>514</v>
      </c>
    </row>
    <row r="21420" spans="1:7" x14ac:dyDescent="0.25">
      <c r="A21420" s="1" t="str">
        <f>"521690"</f>
        <v>521690</v>
      </c>
      <c r="B21420" s="2" t="str">
        <f>"SACA POLIA 3 GARRA"</f>
        <v>SACA POLIA 3 GARRA</v>
      </c>
      <c r="C21420" s="2" t="str">
        <f t="shared" si="847"/>
        <v>UN</v>
      </c>
      <c r="D21420" s="7">
        <v>99999</v>
      </c>
      <c r="E21420" s="3">
        <v>99</v>
      </c>
      <c r="F21420" s="3">
        <v>99</v>
      </c>
      <c r="G21420" t="s">
        <v>512</v>
      </c>
    </row>
    <row r="21421" spans="1:7" x14ac:dyDescent="0.25">
      <c r="A21421" s="1" t="str">
        <f>"503741"</f>
        <v>503741</v>
      </c>
      <c r="B21421" s="2" t="str">
        <f>"SACA POLIA 6"""</f>
        <v>SACA POLIA 6"</v>
      </c>
      <c r="C21421" s="2" t="str">
        <f t="shared" si="847"/>
        <v>UN</v>
      </c>
      <c r="D21421" s="7">
        <v>402</v>
      </c>
      <c r="E21421" s="3">
        <v>4</v>
      </c>
      <c r="F21421" s="3">
        <v>4</v>
      </c>
      <c r="G21421" t="s">
        <v>513</v>
      </c>
    </row>
    <row r="21422" spans="1:7" x14ac:dyDescent="0.25">
      <c r="A21422" s="1" t="str">
        <f>"501428"</f>
        <v>501428</v>
      </c>
      <c r="B21422" s="2" t="str">
        <f>"SACA POLIA 8"""</f>
        <v>SACA POLIA 8"</v>
      </c>
      <c r="C21422" s="2" t="str">
        <f t="shared" si="847"/>
        <v>UN</v>
      </c>
      <c r="D21422" s="7">
        <v>402</v>
      </c>
      <c r="E21422" s="3">
        <v>4</v>
      </c>
      <c r="F21422" s="3">
        <v>4</v>
      </c>
      <c r="G21422" t="s">
        <v>514</v>
      </c>
    </row>
    <row r="21423" spans="1:7" x14ac:dyDescent="0.25">
      <c r="A21423" s="1" t="str">
        <f>"525586"</f>
        <v>525586</v>
      </c>
      <c r="B21423" s="2" t="str">
        <f>"SACADOR DE POTES"</f>
        <v>SACADOR DE POTES</v>
      </c>
      <c r="C21423" s="2" t="str">
        <f t="shared" si="847"/>
        <v>UN</v>
      </c>
      <c r="D21423" s="7">
        <v>1300</v>
      </c>
      <c r="E21423" s="3">
        <v>10</v>
      </c>
      <c r="F21423" s="3">
        <v>10</v>
      </c>
      <c r="G21423" t="s">
        <v>514</v>
      </c>
    </row>
    <row r="21424" spans="1:7" x14ac:dyDescent="0.25">
      <c r="A21424" s="1" t="str">
        <f>"513909"</f>
        <v>513909</v>
      </c>
      <c r="B21424" s="2" t="str">
        <f>"SACAROSE (SUCROSE) PA (500G) - DINAMICA"</f>
        <v>SACAROSE (SUCROSE) PA (500G) - DINAMICA</v>
      </c>
      <c r="C21424" s="2" t="str">
        <f>"FR"</f>
        <v>FR</v>
      </c>
      <c r="D21424" s="7">
        <v>406</v>
      </c>
      <c r="E21424" s="3">
        <v>4</v>
      </c>
      <c r="F21424" s="3">
        <v>4</v>
      </c>
      <c r="G21424" t="s">
        <v>514</v>
      </c>
    </row>
    <row r="21425" spans="1:7" x14ac:dyDescent="0.25">
      <c r="A21425" s="1" t="str">
        <f>"510896"</f>
        <v>510896</v>
      </c>
      <c r="B21425" s="2" t="str">
        <f>"SACHE MAIONESE ARISCO"</f>
        <v>SACHE MAIONESE ARISCO</v>
      </c>
      <c r="C21425" s="2" t="str">
        <f>"UN"</f>
        <v>UN</v>
      </c>
      <c r="D21425" s="7">
        <v>817</v>
      </c>
      <c r="E21425" s="3">
        <v>10</v>
      </c>
      <c r="F21425" s="3">
        <v>10</v>
      </c>
      <c r="G21425" t="s">
        <v>513</v>
      </c>
    </row>
    <row r="21426" spans="1:7" x14ac:dyDescent="0.25">
      <c r="A21426" s="1" t="str">
        <f>"6185"</f>
        <v>6185</v>
      </c>
      <c r="B21426" s="2" t="str">
        <f>"SACO ALVEJADO CRU"</f>
        <v>SACO ALVEJADO CRU</v>
      </c>
      <c r="C21426" s="2" t="str">
        <f>"PC"</f>
        <v>PC</v>
      </c>
      <c r="D21426" s="7">
        <v>400</v>
      </c>
      <c r="E21426" s="3">
        <v>4</v>
      </c>
      <c r="F21426" s="3">
        <v>4</v>
      </c>
      <c r="G21426" t="s">
        <v>512</v>
      </c>
    </row>
    <row r="21427" spans="1:7" x14ac:dyDescent="0.25">
      <c r="A21427" s="1" t="str">
        <f>"522086"</f>
        <v>522086</v>
      </c>
      <c r="B21427" s="2" t="str">
        <f>"SACO BLQUEIO PLUG - SBPM"</f>
        <v>SACO BLQUEIO PLUG - SBPM</v>
      </c>
      <c r="C21427" s="2" t="str">
        <f>"UN"</f>
        <v>UN</v>
      </c>
      <c r="D21427" s="7">
        <v>817</v>
      </c>
      <c r="E21427" s="3">
        <v>4</v>
      </c>
      <c r="F21427" s="3">
        <v>4</v>
      </c>
      <c r="G21427" t="s">
        <v>513</v>
      </c>
    </row>
    <row r="21428" spans="1:7" x14ac:dyDescent="0.25">
      <c r="A21428" s="1" t="str">
        <f>"526416"</f>
        <v>526416</v>
      </c>
      <c r="B21428" s="2" t="str">
        <f>"SACO C/ ZIPER MED. 17X24CM C/100"</f>
        <v>SACO C/ ZIPER MED. 17X24CM C/100</v>
      </c>
      <c r="C21428" s="2" t="str">
        <f>"UN"</f>
        <v>UN</v>
      </c>
      <c r="D21428" s="7">
        <v>99999</v>
      </c>
      <c r="E21428" s="3">
        <v>99</v>
      </c>
      <c r="F21428" s="3">
        <v>99</v>
      </c>
      <c r="G21428" t="s">
        <v>514</v>
      </c>
    </row>
    <row r="21429" spans="1:7" x14ac:dyDescent="0.25">
      <c r="A21429" s="1" t="str">
        <f>"526397"</f>
        <v>526397</v>
      </c>
      <c r="B21429" s="2" t="str">
        <f>"SACO C/ ZIPER MED. 24X34CM Nº10 C/100"</f>
        <v>SACO C/ ZIPER MED. 24X34CM Nº10 C/100</v>
      </c>
      <c r="C21429" s="2" t="str">
        <f>"RL"</f>
        <v>RL</v>
      </c>
      <c r="D21429" s="7">
        <v>99999</v>
      </c>
      <c r="E21429" s="3">
        <v>99</v>
      </c>
      <c r="F21429" s="3">
        <v>99</v>
      </c>
      <c r="G21429" t="s">
        <v>514</v>
      </c>
    </row>
    <row r="21430" spans="1:7" x14ac:dyDescent="0.25">
      <c r="A21430" s="1" t="str">
        <f>"CO39232190"</f>
        <v>CO39232190</v>
      </c>
      <c r="B21430" s="2" t="str">
        <f>"SACO CREME DE LEITE"</f>
        <v>SACO CREME DE LEITE</v>
      </c>
      <c r="C21430" s="2" t="str">
        <f t="shared" ref="C21430:C21469" si="848">"UN"</f>
        <v>UN</v>
      </c>
      <c r="D21430" s="7">
        <v>99999</v>
      </c>
      <c r="E21430" s="3">
        <v>99</v>
      </c>
      <c r="F21430" s="3">
        <v>99</v>
      </c>
      <c r="G21430" t="s">
        <v>514</v>
      </c>
    </row>
    <row r="21431" spans="1:7" x14ac:dyDescent="0.25">
      <c r="A21431" s="1" t="str">
        <f>"519502"</f>
        <v>519502</v>
      </c>
      <c r="B21431" s="2" t="str">
        <f>"SACO DE LIXO 100 LTS PRETO C/ 100 UNIDADES"</f>
        <v>SACO DE LIXO 100 LTS PRETO C/ 100 UNIDADES</v>
      </c>
      <c r="C21431" s="2" t="str">
        <f t="shared" si="848"/>
        <v>UN</v>
      </c>
      <c r="D21431" s="7">
        <v>817</v>
      </c>
      <c r="E21431" s="3">
        <v>10</v>
      </c>
      <c r="F21431" s="3">
        <v>10</v>
      </c>
      <c r="G21431" t="s">
        <v>513</v>
      </c>
    </row>
    <row r="21432" spans="1:7" x14ac:dyDescent="0.25">
      <c r="A21432" s="1" t="str">
        <f>"6641"</f>
        <v>6641</v>
      </c>
      <c r="B21432" s="2" t="str">
        <f>"SACO DE LIXO 15LTS"</f>
        <v>SACO DE LIXO 15LTS</v>
      </c>
      <c r="C21432" s="2" t="str">
        <f t="shared" si="848"/>
        <v>UN</v>
      </c>
      <c r="D21432" s="7">
        <v>400</v>
      </c>
      <c r="E21432" s="3">
        <v>4</v>
      </c>
      <c r="F21432" s="3">
        <v>4</v>
      </c>
      <c r="G21432" t="s">
        <v>513</v>
      </c>
    </row>
    <row r="21433" spans="1:7" x14ac:dyDescent="0.25">
      <c r="A21433" s="1" t="str">
        <f>"510899"</f>
        <v>510899</v>
      </c>
      <c r="B21433" s="2" t="str">
        <f>"SACO DE LIXO 15LTS C/ 40 UNIDADES"</f>
        <v>SACO DE LIXO 15LTS C/ 40 UNIDADES</v>
      </c>
      <c r="C21433" s="2" t="str">
        <f t="shared" si="848"/>
        <v>UN</v>
      </c>
      <c r="D21433" s="7">
        <v>817</v>
      </c>
      <c r="E21433" s="3">
        <v>10</v>
      </c>
      <c r="F21433" s="3">
        <v>10</v>
      </c>
      <c r="G21433" t="s">
        <v>513</v>
      </c>
    </row>
    <row r="21434" spans="1:7" x14ac:dyDescent="0.25">
      <c r="A21434" s="1" t="str">
        <f>"517060"</f>
        <v>517060</v>
      </c>
      <c r="B21434" s="2" t="str">
        <f>"SACO DE LIXO 30 LT PRETO C/100"</f>
        <v>SACO DE LIXO 30 LT PRETO C/100</v>
      </c>
      <c r="C21434" s="2" t="str">
        <f t="shared" si="848"/>
        <v>UN</v>
      </c>
      <c r="D21434" s="7">
        <v>817</v>
      </c>
      <c r="E21434" s="3">
        <v>10</v>
      </c>
      <c r="F21434" s="3">
        <v>10</v>
      </c>
      <c r="G21434" t="s">
        <v>512</v>
      </c>
    </row>
    <row r="21435" spans="1:7" x14ac:dyDescent="0.25">
      <c r="A21435" s="1" t="str">
        <f>"517061"</f>
        <v>517061</v>
      </c>
      <c r="B21435" s="2" t="str">
        <f>"SACO DE LIXO 40 LT PRETO"</f>
        <v>SACO DE LIXO 40 LT PRETO</v>
      </c>
      <c r="C21435" s="2" t="str">
        <f t="shared" si="848"/>
        <v>UN</v>
      </c>
      <c r="D21435" s="7">
        <v>817</v>
      </c>
      <c r="E21435" s="3">
        <v>10</v>
      </c>
      <c r="F21435" s="3">
        <v>10</v>
      </c>
      <c r="G21435" t="s">
        <v>513</v>
      </c>
    </row>
    <row r="21436" spans="1:7" x14ac:dyDescent="0.25">
      <c r="A21436" s="1" t="str">
        <f>"6276"</f>
        <v>6276</v>
      </c>
      <c r="B21436" s="2" t="str">
        <f>"SACO DE LIXO 50LTS"</f>
        <v>SACO DE LIXO 50LTS</v>
      </c>
      <c r="C21436" s="2" t="str">
        <f t="shared" si="848"/>
        <v>UN</v>
      </c>
      <c r="D21436" s="7">
        <v>817</v>
      </c>
      <c r="E21436" s="3">
        <v>10</v>
      </c>
      <c r="F21436" s="3">
        <v>10</v>
      </c>
      <c r="G21436" t="s">
        <v>514</v>
      </c>
    </row>
    <row r="21437" spans="1:7" x14ac:dyDescent="0.25">
      <c r="A21437" s="1" t="str">
        <f>"6280"</f>
        <v>6280</v>
      </c>
      <c r="B21437" s="2" t="str">
        <f>"SACO DE LIXO 60 LTS PRETO C/ 100 UNIDADES"</f>
        <v>SACO DE LIXO 60 LTS PRETO C/ 100 UNIDADES</v>
      </c>
      <c r="C21437" s="2" t="str">
        <f t="shared" si="848"/>
        <v>UN</v>
      </c>
      <c r="D21437" s="7">
        <v>817</v>
      </c>
      <c r="E21437" s="3">
        <v>10</v>
      </c>
      <c r="F21437" s="3">
        <v>10</v>
      </c>
      <c r="G21437" t="s">
        <v>515</v>
      </c>
    </row>
    <row r="21438" spans="1:7" x14ac:dyDescent="0.25">
      <c r="A21438" s="1" t="str">
        <f>"521286"</f>
        <v>521286</v>
      </c>
      <c r="B21438" s="2" t="str">
        <f>"SACO DE PANO P/ ARMARIO"</f>
        <v>SACO DE PANO P/ ARMARIO</v>
      </c>
      <c r="C21438" s="2" t="str">
        <f t="shared" si="848"/>
        <v>UN</v>
      </c>
      <c r="D21438" s="7">
        <v>99999</v>
      </c>
      <c r="E21438" s="3">
        <v>99</v>
      </c>
      <c r="F21438" s="3">
        <v>99</v>
      </c>
      <c r="G21438" t="s">
        <v>512</v>
      </c>
    </row>
    <row r="21439" spans="1:7" x14ac:dyDescent="0.25">
      <c r="A21439" s="1" t="str">
        <f>"523034"</f>
        <v>523034</v>
      </c>
      <c r="B21439" s="2" t="str">
        <f>"SACO ESTOPA/RAFIA 50LTS"</f>
        <v>SACO ESTOPA/RAFIA 50LTS</v>
      </c>
      <c r="C21439" s="2" t="str">
        <f t="shared" si="848"/>
        <v>UN</v>
      </c>
      <c r="D21439" s="7">
        <v>99999</v>
      </c>
      <c r="E21439" s="3">
        <v>99</v>
      </c>
      <c r="F21439" s="3">
        <v>99</v>
      </c>
      <c r="G21439" t="s">
        <v>516</v>
      </c>
    </row>
    <row r="21440" spans="1:7" x14ac:dyDescent="0.25">
      <c r="A21440" s="1" t="str">
        <f>"573835"</f>
        <v>573835</v>
      </c>
      <c r="B21440" s="2" t="str">
        <f>"SACO LIXO 100 LITROS C/ 100 UN BRANCO"</f>
        <v>SACO LIXO 100 LITROS C/ 100 UN BRANCO</v>
      </c>
      <c r="C21440" s="2" t="str">
        <f t="shared" si="848"/>
        <v>UN</v>
      </c>
      <c r="D21440" s="7">
        <v>400</v>
      </c>
      <c r="E21440" s="3">
        <v>4</v>
      </c>
      <c r="F21440" s="3">
        <v>4</v>
      </c>
      <c r="G21440" t="s">
        <v>515</v>
      </c>
    </row>
    <row r="21441" spans="1:7" x14ac:dyDescent="0.25">
      <c r="A21441" s="1" t="str">
        <f>"523977"</f>
        <v>523977</v>
      </c>
      <c r="B21441" s="2" t="str">
        <f>"SACO LIXO 20 LITROS C/ 100 UN LARANJA"</f>
        <v>SACO LIXO 20 LITROS C/ 100 UN LARANJA</v>
      </c>
      <c r="C21441" s="2" t="str">
        <f t="shared" si="848"/>
        <v>UN</v>
      </c>
      <c r="D21441" s="7">
        <v>400</v>
      </c>
      <c r="E21441" s="3">
        <v>4</v>
      </c>
      <c r="F21441" s="3">
        <v>4</v>
      </c>
      <c r="G21441" t="s">
        <v>514</v>
      </c>
    </row>
    <row r="21442" spans="1:7" x14ac:dyDescent="0.25">
      <c r="A21442" s="1" t="str">
        <f>"524118"</f>
        <v>524118</v>
      </c>
      <c r="B21442" s="2" t="str">
        <f>"SACO LIXO 200 LITROS C/ 100 UN AZUL"</f>
        <v>SACO LIXO 200 LITROS C/ 100 UN AZUL</v>
      </c>
      <c r="C21442" s="2" t="str">
        <f t="shared" si="848"/>
        <v>UN</v>
      </c>
      <c r="D21442" s="7">
        <v>400</v>
      </c>
      <c r="E21442" s="3">
        <v>4</v>
      </c>
      <c r="F21442" s="3">
        <v>4</v>
      </c>
      <c r="G21442" t="s">
        <v>512</v>
      </c>
    </row>
    <row r="21443" spans="1:7" x14ac:dyDescent="0.25">
      <c r="A21443" s="1" t="str">
        <f>"524120"</f>
        <v>524120</v>
      </c>
      <c r="B21443" s="2" t="str">
        <f>"SACO LIXO 200 LITROS C/ 100 UN CINZA"</f>
        <v>SACO LIXO 200 LITROS C/ 100 UN CINZA</v>
      </c>
      <c r="C21443" s="2" t="str">
        <f t="shared" si="848"/>
        <v>UN</v>
      </c>
      <c r="D21443" s="7">
        <v>400</v>
      </c>
      <c r="E21443" s="3">
        <v>4</v>
      </c>
      <c r="F21443" s="3">
        <v>4</v>
      </c>
      <c r="G21443" t="s">
        <v>513</v>
      </c>
    </row>
    <row r="21444" spans="1:7" x14ac:dyDescent="0.25">
      <c r="A21444" s="1" t="str">
        <f>"524117"</f>
        <v>524117</v>
      </c>
      <c r="B21444" s="2" t="str">
        <f>"SACO LIXO 200 LITROS C/ 100 UN MARROM"</f>
        <v>SACO LIXO 200 LITROS C/ 100 UN MARROM</v>
      </c>
      <c r="C21444" s="2" t="str">
        <f t="shared" si="848"/>
        <v>UN</v>
      </c>
      <c r="D21444" s="7">
        <v>400</v>
      </c>
      <c r="E21444" s="3">
        <v>4</v>
      </c>
      <c r="F21444" s="3">
        <v>4</v>
      </c>
      <c r="G21444" t="s">
        <v>514</v>
      </c>
    </row>
    <row r="21445" spans="1:7" x14ac:dyDescent="0.25">
      <c r="A21445" s="1" t="str">
        <f>"524119"</f>
        <v>524119</v>
      </c>
      <c r="B21445" s="2" t="str">
        <f>"SACO LIXO 200 LITROS C/ 100 UN VERMELHO"</f>
        <v>SACO LIXO 200 LITROS C/ 100 UN VERMELHO</v>
      </c>
      <c r="C21445" s="2" t="str">
        <f t="shared" si="848"/>
        <v>UN</v>
      </c>
      <c r="D21445" s="7">
        <v>400</v>
      </c>
      <c r="E21445" s="3">
        <v>4</v>
      </c>
      <c r="F21445" s="3">
        <v>4</v>
      </c>
      <c r="G21445" t="s">
        <v>514</v>
      </c>
    </row>
    <row r="21446" spans="1:7" x14ac:dyDescent="0.25">
      <c r="A21446" s="1" t="str">
        <f>"524014"</f>
        <v>524014</v>
      </c>
      <c r="B21446" s="2" t="str">
        <f>"SACO LIXO 40 LITROS C/ 100 UN AMARELO"</f>
        <v>SACO LIXO 40 LITROS C/ 100 UN AMARELO</v>
      </c>
      <c r="C21446" s="2" t="str">
        <f t="shared" si="848"/>
        <v>UN</v>
      </c>
      <c r="D21446" s="7">
        <v>400</v>
      </c>
      <c r="E21446" s="3">
        <v>4</v>
      </c>
      <c r="F21446" s="3">
        <v>4</v>
      </c>
      <c r="G21446" t="s">
        <v>512</v>
      </c>
    </row>
    <row r="21447" spans="1:7" x14ac:dyDescent="0.25">
      <c r="A21447" s="1" t="str">
        <f>"523974"</f>
        <v>523974</v>
      </c>
      <c r="B21447" s="2" t="str">
        <f>"SACO LIXO 40 LITROS C/ 100 UN AZUL"</f>
        <v>SACO LIXO 40 LITROS C/ 100 UN AZUL</v>
      </c>
      <c r="C21447" s="2" t="str">
        <f t="shared" si="848"/>
        <v>UN</v>
      </c>
      <c r="D21447" s="7">
        <v>400</v>
      </c>
      <c r="E21447" s="3">
        <v>4</v>
      </c>
      <c r="F21447" s="3">
        <v>4</v>
      </c>
      <c r="G21447" t="s">
        <v>513</v>
      </c>
    </row>
    <row r="21448" spans="1:7" x14ac:dyDescent="0.25">
      <c r="A21448" s="1" t="str">
        <f>"523976"</f>
        <v>523976</v>
      </c>
      <c r="B21448" s="2" t="str">
        <f>"SACO LIXO 40 LITROS C/ 100 UN BRANCO"</f>
        <v>SACO LIXO 40 LITROS C/ 100 UN BRANCO</v>
      </c>
      <c r="C21448" s="2" t="str">
        <f t="shared" si="848"/>
        <v>UN</v>
      </c>
      <c r="D21448" s="7">
        <v>400</v>
      </c>
      <c r="E21448" s="3">
        <v>4</v>
      </c>
      <c r="F21448" s="3">
        <v>4</v>
      </c>
      <c r="G21448" t="s">
        <v>514</v>
      </c>
    </row>
    <row r="21449" spans="1:7" x14ac:dyDescent="0.25">
      <c r="A21449" s="1" t="str">
        <f>"523975"</f>
        <v>523975</v>
      </c>
      <c r="B21449" s="2" t="str">
        <f>"SACO LIXO 40 LITROS C/ 100 UN CINZA"</f>
        <v>SACO LIXO 40 LITROS C/ 100 UN CINZA</v>
      </c>
      <c r="C21449" s="2" t="str">
        <f t="shared" si="848"/>
        <v>UN</v>
      </c>
      <c r="D21449" s="7">
        <v>400</v>
      </c>
      <c r="E21449" s="3">
        <v>4</v>
      </c>
      <c r="F21449" s="3">
        <v>4</v>
      </c>
      <c r="G21449" t="s">
        <v>514</v>
      </c>
    </row>
    <row r="21450" spans="1:7" x14ac:dyDescent="0.25">
      <c r="A21450" s="1" t="str">
        <f>"524013"</f>
        <v>524013</v>
      </c>
      <c r="B21450" s="2" t="str">
        <f>"SACO LIXO 40 LITROS C/ 100 UN MARROM"</f>
        <v>SACO LIXO 40 LITROS C/ 100 UN MARROM</v>
      </c>
      <c r="C21450" s="2" t="str">
        <f t="shared" si="848"/>
        <v>UN</v>
      </c>
      <c r="D21450" s="7">
        <v>400</v>
      </c>
      <c r="E21450" s="3">
        <v>4</v>
      </c>
      <c r="F21450" s="3">
        <v>4</v>
      </c>
      <c r="G21450" t="s">
        <v>514</v>
      </c>
    </row>
    <row r="21451" spans="1:7" x14ac:dyDescent="0.25">
      <c r="A21451" s="1" t="str">
        <f>"523978"</f>
        <v>523978</v>
      </c>
      <c r="B21451" s="2" t="str">
        <f>"SACO LIXO 40 LITROS C/ 100 UN VERMELHO"</f>
        <v>SACO LIXO 40 LITROS C/ 100 UN VERMELHO</v>
      </c>
      <c r="C21451" s="2" t="str">
        <f t="shared" si="848"/>
        <v>UN</v>
      </c>
      <c r="D21451" s="7">
        <v>400</v>
      </c>
      <c r="E21451" s="3">
        <v>4</v>
      </c>
      <c r="F21451" s="3">
        <v>4</v>
      </c>
      <c r="G21451" t="s">
        <v>513</v>
      </c>
    </row>
    <row r="21452" spans="1:7" x14ac:dyDescent="0.25">
      <c r="A21452" s="1" t="str">
        <f>"524116"</f>
        <v>524116</v>
      </c>
      <c r="B21452" s="2" t="str">
        <f>"SACO LIXO 60 LITROS C/ 100 UN AMARELO"</f>
        <v>SACO LIXO 60 LITROS C/ 100 UN AMARELO</v>
      </c>
      <c r="C21452" s="2" t="str">
        <f t="shared" si="848"/>
        <v>UN</v>
      </c>
      <c r="D21452" s="7">
        <v>400</v>
      </c>
      <c r="E21452" s="3">
        <v>4</v>
      </c>
      <c r="F21452" s="3">
        <v>4</v>
      </c>
      <c r="G21452" t="s">
        <v>512</v>
      </c>
    </row>
    <row r="21453" spans="1:7" x14ac:dyDescent="0.25">
      <c r="A21453" s="1" t="str">
        <f>"524114"</f>
        <v>524114</v>
      </c>
      <c r="B21453" s="2" t="str">
        <f>"SACO LIXO 60 LITROS C/ 100 UN AZUL"</f>
        <v>SACO LIXO 60 LITROS C/ 100 UN AZUL</v>
      </c>
      <c r="C21453" s="2" t="str">
        <f t="shared" si="848"/>
        <v>UN</v>
      </c>
      <c r="D21453" s="7">
        <v>400</v>
      </c>
      <c r="E21453" s="3">
        <v>4</v>
      </c>
      <c r="F21453" s="3">
        <v>4</v>
      </c>
      <c r="G21453" t="s">
        <v>513</v>
      </c>
    </row>
    <row r="21454" spans="1:7" x14ac:dyDescent="0.25">
      <c r="A21454" s="1" t="str">
        <f>"523979"</f>
        <v>523979</v>
      </c>
      <c r="B21454" s="2" t="str">
        <f>"SACO LIXO 60 LITROS C/ 100 UN CINZA"</f>
        <v>SACO LIXO 60 LITROS C/ 100 UN CINZA</v>
      </c>
      <c r="C21454" s="2" t="str">
        <f t="shared" si="848"/>
        <v>UN</v>
      </c>
      <c r="D21454" s="7">
        <v>400</v>
      </c>
      <c r="E21454" s="3">
        <v>4</v>
      </c>
      <c r="F21454" s="3">
        <v>4</v>
      </c>
      <c r="G21454" t="s">
        <v>514</v>
      </c>
    </row>
    <row r="21455" spans="1:7" x14ac:dyDescent="0.25">
      <c r="A21455" s="1" t="str">
        <f>"524113"</f>
        <v>524113</v>
      </c>
      <c r="B21455" s="2" t="str">
        <f>"SACO LIXO 60 LITROS C/ 100 UN MARROM"</f>
        <v>SACO LIXO 60 LITROS C/ 100 UN MARROM</v>
      </c>
      <c r="C21455" s="2" t="str">
        <f t="shared" si="848"/>
        <v>UN</v>
      </c>
      <c r="D21455" s="7">
        <v>400</v>
      </c>
      <c r="E21455" s="3">
        <v>4</v>
      </c>
      <c r="F21455" s="3">
        <v>4</v>
      </c>
      <c r="G21455" t="s">
        <v>514</v>
      </c>
    </row>
    <row r="21456" spans="1:7" x14ac:dyDescent="0.25">
      <c r="A21456" s="1" t="str">
        <f>"524115"</f>
        <v>524115</v>
      </c>
      <c r="B21456" s="2" t="str">
        <f>"SACO LIXO 60 LITROS C/ 100 UN VERMELHO"</f>
        <v>SACO LIXO 60 LITROS C/ 100 UN VERMELHO</v>
      </c>
      <c r="C21456" s="2" t="str">
        <f t="shared" si="848"/>
        <v>UN</v>
      </c>
      <c r="D21456" s="7">
        <v>400</v>
      </c>
      <c r="E21456" s="3">
        <v>4</v>
      </c>
      <c r="F21456" s="3">
        <v>4</v>
      </c>
      <c r="G21456" t="s">
        <v>514</v>
      </c>
    </row>
    <row r="21457" spans="1:7" x14ac:dyDescent="0.25">
      <c r="A21457" s="1" t="str">
        <f>"523928"</f>
        <v>523928</v>
      </c>
      <c r="B21457" s="2" t="str">
        <f>"SACO LIXO HOSPITALAR (BR LEITOSO) 40 LT C/ 100 UN"</f>
        <v>SACO LIXO HOSPITALAR (BR LEITOSO) 40 LT C/ 100 UN</v>
      </c>
      <c r="C21457" s="2" t="str">
        <f t="shared" si="848"/>
        <v>UN</v>
      </c>
      <c r="D21457" s="7">
        <v>99999</v>
      </c>
      <c r="E21457" s="3">
        <v>99</v>
      </c>
      <c r="F21457" s="3">
        <v>99</v>
      </c>
      <c r="G21457" t="s">
        <v>513</v>
      </c>
    </row>
    <row r="21458" spans="1:7" x14ac:dyDescent="0.25">
      <c r="A21458" s="1" t="str">
        <f>"2770"</f>
        <v>2770</v>
      </c>
      <c r="B21458" s="2" t="str">
        <f>"SACO PARA EMBALAR MUSSARELA 50X80X0,8"</f>
        <v>SACO PARA EMBALAR MUSSARELA 50X80X0,8</v>
      </c>
      <c r="C21458" s="2" t="str">
        <f t="shared" si="848"/>
        <v>UN</v>
      </c>
      <c r="D21458" s="7">
        <v>113</v>
      </c>
      <c r="E21458" s="3">
        <v>1</v>
      </c>
      <c r="F21458" s="3">
        <v>1</v>
      </c>
      <c r="G21458" t="s">
        <v>513</v>
      </c>
    </row>
    <row r="21459" spans="1:7" x14ac:dyDescent="0.25">
      <c r="A21459" s="1" t="str">
        <f>"6382"</f>
        <v>6382</v>
      </c>
      <c r="B21459" s="2" t="str">
        <f>"SACO PEMD LISO SANFONADO 110X100X0,05  (EXTERNO)"</f>
        <v>SACO PEMD LISO SANFONADO 110X100X0,05  (EXTERNO)</v>
      </c>
      <c r="C21459" s="2" t="str">
        <f t="shared" si="848"/>
        <v>UN</v>
      </c>
      <c r="D21459" s="7">
        <v>113</v>
      </c>
      <c r="E21459" s="3">
        <v>1</v>
      </c>
      <c r="F21459" s="3">
        <v>1</v>
      </c>
      <c r="G21459" t="s">
        <v>513</v>
      </c>
    </row>
    <row r="21460" spans="1:7" x14ac:dyDescent="0.25">
      <c r="A21460" s="1" t="str">
        <f>"6388"</f>
        <v>6388</v>
      </c>
      <c r="B21460" s="2" t="str">
        <f>"SACO PEMD LISO SANFONADO 110X100X0,05  (INTERNO)"</f>
        <v>SACO PEMD LISO SANFONADO 110X100X0,05  (INTERNO)</v>
      </c>
      <c r="C21460" s="2" t="str">
        <f t="shared" si="848"/>
        <v>UN</v>
      </c>
      <c r="D21460" s="7">
        <v>113</v>
      </c>
      <c r="E21460" s="3">
        <v>1</v>
      </c>
      <c r="F21460" s="3">
        <v>1</v>
      </c>
      <c r="G21460" t="s">
        <v>512</v>
      </c>
    </row>
    <row r="21461" spans="1:7" x14ac:dyDescent="0.25">
      <c r="A21461" s="1" t="str">
        <f>"519150"</f>
        <v>519150</v>
      </c>
      <c r="B21461" s="2" t="str">
        <f>"SACO PLASTICO"</f>
        <v>SACO PLASTICO</v>
      </c>
      <c r="C21461" s="2" t="str">
        <f t="shared" si="848"/>
        <v>UN</v>
      </c>
      <c r="D21461" s="7">
        <v>99999</v>
      </c>
      <c r="E21461" s="3">
        <v>10</v>
      </c>
      <c r="F21461" s="3">
        <v>10</v>
      </c>
      <c r="G21461" t="s">
        <v>513</v>
      </c>
    </row>
    <row r="21462" spans="1:7" x14ac:dyDescent="0.25">
      <c r="A21462" s="1" t="str">
        <f>"6379"</f>
        <v>6379</v>
      </c>
      <c r="B21462" s="2" t="str">
        <f>"SACO PLASTICO 0,50 X 0,70 X 0,020 LISO SEM IMPRESSÃO"</f>
        <v>SACO PLASTICO 0,50 X 0,70 X 0,020 LISO SEM IMPRESSÃO</v>
      </c>
      <c r="C21462" s="2" t="str">
        <f t="shared" si="848"/>
        <v>UN</v>
      </c>
      <c r="D21462" s="7">
        <v>113</v>
      </c>
      <c r="E21462" s="3">
        <v>1</v>
      </c>
      <c r="F21462" s="3">
        <v>1</v>
      </c>
      <c r="G21462" t="s">
        <v>514</v>
      </c>
    </row>
    <row r="21463" spans="1:7" x14ac:dyDescent="0.25">
      <c r="A21463" s="1" t="str">
        <f>"2459"</f>
        <v>2459</v>
      </c>
      <c r="B21463" s="2" t="str">
        <f>"SACO PLASTICO 1,21X1,30x0,06 (160gr)"</f>
        <v>SACO PLASTICO 1,21X1,30x0,06 (160gr)</v>
      </c>
      <c r="C21463" s="2" t="str">
        <f t="shared" si="848"/>
        <v>UN</v>
      </c>
      <c r="D21463" s="7">
        <v>113</v>
      </c>
      <c r="E21463" s="3">
        <v>1</v>
      </c>
      <c r="F21463" s="3">
        <v>1</v>
      </c>
      <c r="G21463" t="s">
        <v>515</v>
      </c>
    </row>
    <row r="21464" spans="1:7" x14ac:dyDescent="0.25">
      <c r="A21464" s="1" t="str">
        <f>"1028"</f>
        <v>1028</v>
      </c>
      <c r="B21464" s="2" t="str">
        <f>"SACO PLASTICO 87x1.30x0.10 (LITRO)"</f>
        <v>SACO PLASTICO 87x1.30x0.10 (LITRO)</v>
      </c>
      <c r="C21464" s="2" t="str">
        <f t="shared" si="848"/>
        <v>UN</v>
      </c>
      <c r="D21464" s="7">
        <v>113</v>
      </c>
      <c r="E21464" s="3">
        <v>1</v>
      </c>
      <c r="F21464" s="3">
        <v>1</v>
      </c>
      <c r="G21464" t="s">
        <v>512</v>
      </c>
    </row>
    <row r="21465" spans="1:7" x14ac:dyDescent="0.25">
      <c r="A21465" s="1" t="str">
        <f>"515599"</f>
        <v>515599</v>
      </c>
      <c r="B21465" s="2" t="str">
        <f>"SACO POLIETILENO P/ AUTOCLAVACAO 20 LITROS (C/ 20 UNIDADES)"</f>
        <v>SACO POLIETILENO P/ AUTOCLAVACAO 20 LITROS (C/ 20 UNIDADES)</v>
      </c>
      <c r="C21465" s="2" t="str">
        <f t="shared" si="848"/>
        <v>UN</v>
      </c>
      <c r="D21465" s="7">
        <v>406</v>
      </c>
      <c r="E21465" s="3">
        <v>4</v>
      </c>
      <c r="F21465" s="3">
        <v>4</v>
      </c>
      <c r="G21465" t="s">
        <v>516</v>
      </c>
    </row>
    <row r="21466" spans="1:7" x14ac:dyDescent="0.25">
      <c r="A21466" s="1" t="str">
        <f>"519431"</f>
        <v>519431</v>
      </c>
      <c r="B21466" s="2" t="str">
        <f>"SACO POLIETILENO P/ AUTOCLAVACAO 60 LITROS"</f>
        <v>SACO POLIETILENO P/ AUTOCLAVACAO 60 LITROS</v>
      </c>
      <c r="C21466" s="2" t="str">
        <f t="shared" si="848"/>
        <v>UN</v>
      </c>
      <c r="D21466" s="7">
        <v>406</v>
      </c>
      <c r="E21466" s="3">
        <v>4</v>
      </c>
      <c r="F21466" s="3">
        <v>4</v>
      </c>
      <c r="G21466" t="s">
        <v>515</v>
      </c>
    </row>
    <row r="21467" spans="1:7" x14ac:dyDescent="0.25">
      <c r="A21467" s="1" t="str">
        <f>"6386"</f>
        <v>6386</v>
      </c>
      <c r="B21467" s="2" t="str">
        <f>"SACO PRIMÁRIO 0,66 x 1,25 x 0,05 SF7 PEBD  LISO FRASCO 160G"</f>
        <v>SACO PRIMÁRIO 0,66 x 1,25 x 0,05 SF7 PEBD  LISO FRASCO 160G</v>
      </c>
      <c r="C21467" s="2" t="str">
        <f t="shared" si="848"/>
        <v>UN</v>
      </c>
      <c r="D21467" s="7">
        <v>113</v>
      </c>
      <c r="E21467" s="3">
        <v>1</v>
      </c>
      <c r="F21467" s="3">
        <v>1</v>
      </c>
      <c r="G21467" t="s">
        <v>514</v>
      </c>
    </row>
    <row r="21468" spans="1:7" x14ac:dyDescent="0.25">
      <c r="A21468" s="1" t="str">
        <f>"6387"</f>
        <v>6387</v>
      </c>
      <c r="B21468" s="2" t="str">
        <f>"SACO SECUNDÁRIO 0,68 x 1,25 x 0,06 SF7 PEBD LISO FRASCO 160G"</f>
        <v>SACO SECUNDÁRIO 0,68 x 1,25 x 0,06 SF7 PEBD LISO FRASCO 160G</v>
      </c>
      <c r="C21468" s="2" t="str">
        <f t="shared" si="848"/>
        <v>UN</v>
      </c>
      <c r="D21468" s="7">
        <v>113</v>
      </c>
      <c r="E21468" s="3">
        <v>1</v>
      </c>
      <c r="F21468" s="3">
        <v>1</v>
      </c>
      <c r="G21468" t="s">
        <v>512</v>
      </c>
    </row>
    <row r="21469" spans="1:7" x14ac:dyDescent="0.25">
      <c r="A21469" s="1" t="str">
        <f>"513894"</f>
        <v>513894</v>
      </c>
      <c r="B21469" s="2" t="str">
        <f>"SACO XADREZ"</f>
        <v>SACO XADREZ</v>
      </c>
      <c r="C21469" s="2" t="str">
        <f t="shared" si="848"/>
        <v>UN</v>
      </c>
      <c r="D21469" s="7">
        <v>99999</v>
      </c>
      <c r="E21469" s="3">
        <v>99</v>
      </c>
      <c r="F21469" s="3">
        <v>99</v>
      </c>
      <c r="G21469" t="s">
        <v>513</v>
      </c>
    </row>
    <row r="21470" spans="1:7" x14ac:dyDescent="0.25">
      <c r="A21470" s="1" t="str">
        <f>"6184"</f>
        <v>6184</v>
      </c>
      <c r="B21470" s="2" t="str">
        <f>"SACO XADREZ G 50 X 85CM REF-4253"</f>
        <v>SACO XADREZ G 50 X 85CM REF-4253</v>
      </c>
      <c r="C21470" s="2" t="str">
        <f>"PC"</f>
        <v>PC</v>
      </c>
      <c r="D21470" s="7">
        <v>400</v>
      </c>
      <c r="E21470" s="3">
        <v>4</v>
      </c>
      <c r="F21470" s="3">
        <v>4</v>
      </c>
      <c r="G21470" t="s">
        <v>514</v>
      </c>
    </row>
    <row r="21471" spans="1:7" x14ac:dyDescent="0.25">
      <c r="A21471" s="1" t="str">
        <f>"521715"</f>
        <v>521715</v>
      </c>
      <c r="B21471" s="2" t="str">
        <f>"SACOLA"</f>
        <v>SACOLA</v>
      </c>
      <c r="C21471" s="2" t="str">
        <f t="shared" ref="C21471:C21497" si="849">"UN"</f>
        <v>UN</v>
      </c>
      <c r="D21471" s="7">
        <v>99999</v>
      </c>
      <c r="E21471" s="3">
        <v>99</v>
      </c>
      <c r="F21471" s="3">
        <v>99</v>
      </c>
      <c r="G21471" t="s">
        <v>514</v>
      </c>
    </row>
    <row r="21472" spans="1:7" x14ac:dyDescent="0.25">
      <c r="A21472" s="1" t="str">
        <f>"517056"</f>
        <v>517056</v>
      </c>
      <c r="B21472" s="2" t="str">
        <f>"SACOLA 100% POLIESTER FORMATO 43,5X35CM"</f>
        <v>SACOLA 100% POLIESTER FORMATO 43,5X35CM</v>
      </c>
      <c r="C21472" s="2" t="str">
        <f t="shared" si="849"/>
        <v>UN</v>
      </c>
      <c r="D21472" s="7">
        <v>400</v>
      </c>
      <c r="E21472" s="3">
        <v>4</v>
      </c>
      <c r="F21472" s="3">
        <v>4</v>
      </c>
      <c r="G21472" t="s">
        <v>512</v>
      </c>
    </row>
    <row r="21473" spans="1:7" x14ac:dyDescent="0.25">
      <c r="A21473" s="1" t="str">
        <f>"522250"</f>
        <v>522250</v>
      </c>
      <c r="B21473" s="2" t="str">
        <f>"SACOLA APAS"</f>
        <v>SACOLA APAS</v>
      </c>
      <c r="C21473" s="2" t="str">
        <f t="shared" si="849"/>
        <v>UN</v>
      </c>
      <c r="D21473" s="7">
        <v>99999</v>
      </c>
      <c r="E21473" s="3">
        <v>99</v>
      </c>
      <c r="F21473" s="3">
        <v>99</v>
      </c>
      <c r="G21473" t="s">
        <v>513</v>
      </c>
    </row>
    <row r="21474" spans="1:7" x14ac:dyDescent="0.25">
      <c r="A21474" s="1" t="str">
        <f>"514594"</f>
        <v>514594</v>
      </c>
      <c r="B21474" s="2" t="str">
        <f>"SACOLA KRAFT"</f>
        <v>SACOLA KRAFT</v>
      </c>
      <c r="C21474" s="2" t="str">
        <f t="shared" si="849"/>
        <v>UN</v>
      </c>
      <c r="D21474" s="7">
        <v>401</v>
      </c>
      <c r="E21474" s="3">
        <v>4</v>
      </c>
      <c r="F21474" s="3">
        <v>4</v>
      </c>
      <c r="G21474" t="s">
        <v>514</v>
      </c>
    </row>
    <row r="21475" spans="1:7" x14ac:dyDescent="0.25">
      <c r="A21475" s="1" t="str">
        <f>"518218"</f>
        <v>518218</v>
      </c>
      <c r="B21475" s="2" t="str">
        <f>"SACOLA MEDIA - LATICINIOS CAROLINA"</f>
        <v>SACOLA MEDIA - LATICINIOS CAROLINA</v>
      </c>
      <c r="C21475" s="2" t="str">
        <f t="shared" si="849"/>
        <v>UN</v>
      </c>
      <c r="D21475" s="7">
        <v>500</v>
      </c>
      <c r="E21475" s="3">
        <v>4</v>
      </c>
      <c r="F21475" s="3">
        <v>4</v>
      </c>
      <c r="G21475" t="s">
        <v>514</v>
      </c>
    </row>
    <row r="21476" spans="1:7" x14ac:dyDescent="0.25">
      <c r="A21476" s="1" t="str">
        <f>"519172"</f>
        <v>519172</v>
      </c>
      <c r="B21476" s="2" t="str">
        <f>"SACOLA PLASTICA PCT"</f>
        <v>SACOLA PLASTICA PCT</v>
      </c>
      <c r="C21476" s="2" t="str">
        <f t="shared" si="849"/>
        <v>UN</v>
      </c>
      <c r="D21476" s="7">
        <v>400</v>
      </c>
      <c r="E21476" s="3">
        <v>4</v>
      </c>
      <c r="F21476" s="3">
        <v>4</v>
      </c>
      <c r="G21476" t="s">
        <v>514</v>
      </c>
    </row>
    <row r="21477" spans="1:7" x14ac:dyDescent="0.25">
      <c r="A21477" s="1" t="str">
        <f>"516616"</f>
        <v>516616</v>
      </c>
      <c r="B21477" s="2" t="str">
        <f>"SAE 1020 BLOCO 22,22X278X334 M57JE"</f>
        <v>SAE 1020 BLOCO 22,22X278X334 M57JE</v>
      </c>
      <c r="C21477" s="2" t="str">
        <f t="shared" si="849"/>
        <v>UN</v>
      </c>
      <c r="D21477" s="7">
        <v>918</v>
      </c>
      <c r="E21477" s="3">
        <v>11</v>
      </c>
      <c r="F21477" s="3">
        <v>11</v>
      </c>
      <c r="G21477" t="s">
        <v>513</v>
      </c>
    </row>
    <row r="21478" spans="1:7" x14ac:dyDescent="0.25">
      <c r="A21478" s="1" t="str">
        <f>"516618"</f>
        <v>516618</v>
      </c>
      <c r="B21478" s="2" t="str">
        <f>"SAE 1020 CHAPA 12,70X60X360 M57JE"</f>
        <v>SAE 1020 CHAPA 12,70X60X360 M57JE</v>
      </c>
      <c r="C21478" s="2" t="str">
        <f t="shared" si="849"/>
        <v>UN</v>
      </c>
      <c r="D21478" s="7">
        <v>918</v>
      </c>
      <c r="E21478" s="3">
        <v>11</v>
      </c>
      <c r="F21478" s="3">
        <v>11</v>
      </c>
      <c r="G21478" t="s">
        <v>512</v>
      </c>
    </row>
    <row r="21479" spans="1:7" x14ac:dyDescent="0.25">
      <c r="A21479" s="1" t="str">
        <f>"516619"</f>
        <v>516619</v>
      </c>
      <c r="B21479" s="2" t="str">
        <f>"SAE 1020 CHAPA 19,05X260X330 M57JE"</f>
        <v>SAE 1020 CHAPA 19,05X260X330 M57JE</v>
      </c>
      <c r="C21479" s="2" t="str">
        <f t="shared" si="849"/>
        <v>UN</v>
      </c>
      <c r="D21479" s="7">
        <v>918</v>
      </c>
      <c r="E21479" s="3">
        <v>11</v>
      </c>
      <c r="F21479" s="3">
        <v>11</v>
      </c>
      <c r="G21479" t="s">
        <v>513</v>
      </c>
    </row>
    <row r="21480" spans="1:7" x14ac:dyDescent="0.25">
      <c r="A21480" s="1" t="str">
        <f>"518008"</f>
        <v>518008</v>
      </c>
      <c r="B21480" s="2" t="str">
        <f>"SAE 1020 CHAPA 19,05X308X423 (2) M-55 JE"</f>
        <v>SAE 1020 CHAPA 19,05X308X423 (2) M-55 JE</v>
      </c>
      <c r="C21480" s="2" t="str">
        <f t="shared" si="849"/>
        <v>UN</v>
      </c>
      <c r="D21480" s="7">
        <v>918</v>
      </c>
      <c r="E21480" s="3">
        <v>11</v>
      </c>
      <c r="F21480" s="3">
        <v>11</v>
      </c>
      <c r="G21480" t="s">
        <v>514</v>
      </c>
    </row>
    <row r="21481" spans="1:7" x14ac:dyDescent="0.25">
      <c r="A21481" s="1" t="str">
        <f>"518010"</f>
        <v>518010</v>
      </c>
      <c r="B21481" s="2" t="str">
        <f>"SAE 1045 CHAPA 430X250X19,05 (1 M-55 JE"</f>
        <v>SAE 1045 CHAPA 430X250X19,05 (1 M-55 JE</v>
      </c>
      <c r="C21481" s="2" t="str">
        <f t="shared" si="849"/>
        <v>UN</v>
      </c>
      <c r="D21481" s="7">
        <v>918</v>
      </c>
      <c r="E21481" s="3">
        <v>11</v>
      </c>
      <c r="F21481" s="3">
        <v>11</v>
      </c>
      <c r="G21481" t="s">
        <v>514</v>
      </c>
    </row>
    <row r="21482" spans="1:7" x14ac:dyDescent="0.25">
      <c r="A21482" s="1" t="str">
        <f>"506210"</f>
        <v>506210</v>
      </c>
      <c r="B21482" s="2" t="str">
        <f>"SAIA DE LONA 60CM ALTURA TRAS CAMINHAO"</f>
        <v>SAIA DE LONA 60CM ALTURA TRAS CAMINHAO</v>
      </c>
      <c r="C21482" s="2" t="str">
        <f t="shared" si="849"/>
        <v>UN</v>
      </c>
      <c r="D21482" s="7">
        <v>704</v>
      </c>
      <c r="E21482" s="3">
        <v>9</v>
      </c>
      <c r="F21482" s="3">
        <v>9</v>
      </c>
      <c r="G21482" t="s">
        <v>514</v>
      </c>
    </row>
    <row r="21483" spans="1:7" x14ac:dyDescent="0.25">
      <c r="A21483" s="1" t="str">
        <f>"524374"</f>
        <v>524374</v>
      </c>
      <c r="B21483" s="2" t="str">
        <f>"SAIA DO PARALAMA"</f>
        <v>SAIA DO PARALAMA</v>
      </c>
      <c r="C21483" s="2" t="str">
        <f t="shared" si="849"/>
        <v>UN</v>
      </c>
      <c r="D21483" s="7">
        <v>704</v>
      </c>
      <c r="E21483" s="3">
        <v>9</v>
      </c>
      <c r="F21483" s="3">
        <v>9</v>
      </c>
      <c r="G21483" t="s">
        <v>513</v>
      </c>
    </row>
    <row r="21484" spans="1:7" x14ac:dyDescent="0.25">
      <c r="A21484" s="1" t="str">
        <f>"511963"</f>
        <v>511963</v>
      </c>
      <c r="B21484" s="2" t="str">
        <f>"SAIA TRASEIRA"</f>
        <v>SAIA TRASEIRA</v>
      </c>
      <c r="C21484" s="2" t="str">
        <f t="shared" si="849"/>
        <v>UN</v>
      </c>
      <c r="D21484" s="7">
        <v>704</v>
      </c>
      <c r="E21484" s="3">
        <v>9</v>
      </c>
      <c r="F21484" s="3">
        <v>9</v>
      </c>
      <c r="G21484" t="s">
        <v>513</v>
      </c>
    </row>
    <row r="21485" spans="1:7" x14ac:dyDescent="0.25">
      <c r="A21485" s="1" t="str">
        <f>"513999"</f>
        <v>513999</v>
      </c>
      <c r="B21485" s="2" t="str">
        <f>"SAIAS EM CREPEPATOU"</f>
        <v>SAIAS EM CREPEPATOU</v>
      </c>
      <c r="C21485" s="2" t="str">
        <f t="shared" si="849"/>
        <v>UN</v>
      </c>
      <c r="D21485" s="7">
        <v>500</v>
      </c>
      <c r="E21485" s="3">
        <v>5</v>
      </c>
      <c r="F21485" s="3">
        <v>5</v>
      </c>
      <c r="G21485" t="s">
        <v>513</v>
      </c>
    </row>
    <row r="21486" spans="1:7" x14ac:dyDescent="0.25">
      <c r="A21486" s="1" t="str">
        <f>"514590"</f>
        <v>514590</v>
      </c>
      <c r="B21486" s="2" t="str">
        <f>"SAIDA DE AR"</f>
        <v>SAIDA DE AR</v>
      </c>
      <c r="C21486" s="2" t="str">
        <f t="shared" si="849"/>
        <v>UN</v>
      </c>
      <c r="D21486" s="7">
        <v>704</v>
      </c>
      <c r="E21486" s="3">
        <v>9</v>
      </c>
      <c r="F21486" s="3">
        <v>9</v>
      </c>
      <c r="G21486" t="s">
        <v>512</v>
      </c>
    </row>
    <row r="21487" spans="1:7" x14ac:dyDescent="0.25">
      <c r="A21487" s="1" t="str">
        <f>"509959"</f>
        <v>509959</v>
      </c>
      <c r="B21487" s="2" t="str">
        <f>"SAIDA ELETROCALHA P/ PERFILADO"</f>
        <v>SAIDA ELETROCALHA P/ PERFILADO</v>
      </c>
      <c r="C21487" s="2" t="str">
        <f t="shared" si="849"/>
        <v>UN</v>
      </c>
      <c r="D21487" s="7">
        <v>601</v>
      </c>
      <c r="E21487" s="3">
        <v>8</v>
      </c>
      <c r="F21487" s="3">
        <v>8</v>
      </c>
      <c r="G21487" t="s">
        <v>513</v>
      </c>
    </row>
    <row r="21488" spans="1:7" x14ac:dyDescent="0.25">
      <c r="A21488" s="1" t="str">
        <f>"521774"</f>
        <v>521774</v>
      </c>
      <c r="B21488" s="2" t="str">
        <f>"SAIDA HORIZ. P/ PERFILADO 38X38MM GF"</f>
        <v>SAIDA HORIZ. P/ PERFILADO 38X38MM GF</v>
      </c>
      <c r="C21488" s="2" t="str">
        <f t="shared" si="849"/>
        <v>UN</v>
      </c>
      <c r="D21488" s="7">
        <v>601</v>
      </c>
      <c r="E21488" s="3">
        <v>8</v>
      </c>
      <c r="F21488" s="3">
        <v>8</v>
      </c>
      <c r="G21488" t="s">
        <v>514</v>
      </c>
    </row>
    <row r="21489" spans="1:7" x14ac:dyDescent="0.25">
      <c r="A21489" s="1" t="str">
        <f>"510856"</f>
        <v>510856</v>
      </c>
      <c r="B21489" s="2" t="str">
        <f>"SAIDA LATERAL ELETROCALHA P/ TUBO 1 1/2"""</f>
        <v>SAIDA LATERAL ELETROCALHA P/ TUBO 1 1/2"</v>
      </c>
      <c r="C21489" s="2" t="str">
        <f t="shared" si="849"/>
        <v>UN</v>
      </c>
      <c r="D21489" s="7">
        <v>601</v>
      </c>
      <c r="E21489" s="3">
        <v>8</v>
      </c>
      <c r="F21489" s="3">
        <v>8</v>
      </c>
      <c r="G21489" t="s">
        <v>515</v>
      </c>
    </row>
    <row r="21490" spans="1:7" x14ac:dyDescent="0.25">
      <c r="A21490" s="1" t="str">
        <f>"506972"</f>
        <v>506972</v>
      </c>
      <c r="B21490" s="2" t="str">
        <f>"SAIDA LATERAL ELETROCALHA P/ TUBO 1"""</f>
        <v>SAIDA LATERAL ELETROCALHA P/ TUBO 1"</v>
      </c>
      <c r="C21490" s="2" t="str">
        <f t="shared" si="849"/>
        <v>UN</v>
      </c>
      <c r="D21490" s="7">
        <v>917</v>
      </c>
      <c r="E21490" s="3">
        <v>11</v>
      </c>
      <c r="F21490" s="3">
        <v>11</v>
      </c>
      <c r="G21490" t="s">
        <v>512</v>
      </c>
    </row>
    <row r="21491" spans="1:7" x14ac:dyDescent="0.25">
      <c r="A21491" s="1" t="str">
        <f>"509330"</f>
        <v>509330</v>
      </c>
      <c r="B21491" s="2" t="str">
        <f>"SAIDA LATERAL ELETROCALHA P/ TUBO 1/2"""</f>
        <v>SAIDA LATERAL ELETROCALHA P/ TUBO 1/2"</v>
      </c>
      <c r="C21491" s="2" t="str">
        <f t="shared" si="849"/>
        <v>UN</v>
      </c>
      <c r="D21491" s="7">
        <v>601</v>
      </c>
      <c r="E21491" s="3">
        <v>8</v>
      </c>
      <c r="F21491" s="3">
        <v>8</v>
      </c>
      <c r="G21491" t="s">
        <v>516</v>
      </c>
    </row>
    <row r="21492" spans="1:7" x14ac:dyDescent="0.25">
      <c r="A21492" s="1" t="str">
        <f>"510095"</f>
        <v>510095</v>
      </c>
      <c r="B21492" s="2" t="str">
        <f>"SAIDA LATERAL ELETROCALHA P/ TUBO 2 1/2"</f>
        <v>SAIDA LATERAL ELETROCALHA P/ TUBO 2 1/2</v>
      </c>
      <c r="C21492" s="2" t="str">
        <f t="shared" si="849"/>
        <v>UN</v>
      </c>
      <c r="D21492" s="7">
        <v>917</v>
      </c>
      <c r="E21492" s="3">
        <v>11</v>
      </c>
      <c r="F21492" s="3">
        <v>11</v>
      </c>
      <c r="G21492" t="s">
        <v>515</v>
      </c>
    </row>
    <row r="21493" spans="1:7" x14ac:dyDescent="0.25">
      <c r="A21493" s="1" t="str">
        <f>"510849"</f>
        <v>510849</v>
      </c>
      <c r="B21493" s="2" t="str">
        <f>"SAIDA LATERAL ELETROCALHA P/ TUBO 3"""</f>
        <v>SAIDA LATERAL ELETROCALHA P/ TUBO 3"</v>
      </c>
      <c r="C21493" s="2" t="str">
        <f t="shared" si="849"/>
        <v>UN</v>
      </c>
      <c r="D21493" s="7">
        <v>601</v>
      </c>
      <c r="E21493" s="3">
        <v>8</v>
      </c>
      <c r="F21493" s="3">
        <v>8</v>
      </c>
      <c r="G21493" t="s">
        <v>514</v>
      </c>
    </row>
    <row r="21494" spans="1:7" x14ac:dyDescent="0.25">
      <c r="A21494" s="1" t="str">
        <f>"509329"</f>
        <v>509329</v>
      </c>
      <c r="B21494" s="2" t="str">
        <f>"SAIDA LATERAL ELETROCALHA P/ TUBO 3/4"""</f>
        <v>SAIDA LATERAL ELETROCALHA P/ TUBO 3/4"</v>
      </c>
      <c r="C21494" s="2" t="str">
        <f t="shared" si="849"/>
        <v>UN</v>
      </c>
      <c r="D21494" s="7">
        <v>601</v>
      </c>
      <c r="E21494" s="3">
        <v>8</v>
      </c>
      <c r="F21494" s="3">
        <v>8</v>
      </c>
      <c r="G21494" t="s">
        <v>512</v>
      </c>
    </row>
    <row r="21495" spans="1:7" x14ac:dyDescent="0.25">
      <c r="A21495" s="1" t="str">
        <f>"510396"</f>
        <v>510396</v>
      </c>
      <c r="B21495" s="2" t="str">
        <f>"SAIDA LATERAL ELETROCALHA P/ TUBO 4"""</f>
        <v>SAIDA LATERAL ELETROCALHA P/ TUBO 4"</v>
      </c>
      <c r="C21495" s="2" t="str">
        <f t="shared" si="849"/>
        <v>UN</v>
      </c>
      <c r="D21495" s="7">
        <v>601</v>
      </c>
      <c r="E21495" s="3">
        <v>8</v>
      </c>
      <c r="F21495" s="3">
        <v>8</v>
      </c>
      <c r="G21495" t="s">
        <v>513</v>
      </c>
    </row>
    <row r="21496" spans="1:7" x14ac:dyDescent="0.25">
      <c r="A21496" s="1" t="str">
        <f>"514604"</f>
        <v>514604</v>
      </c>
      <c r="B21496" s="2" t="str">
        <f>"SAL 1KG"</f>
        <v>SAL 1KG</v>
      </c>
      <c r="C21496" s="2" t="str">
        <f t="shared" si="849"/>
        <v>UN</v>
      </c>
      <c r="D21496" s="7">
        <v>401</v>
      </c>
      <c r="E21496" s="3">
        <v>4</v>
      </c>
      <c r="F21496" s="3">
        <v>4</v>
      </c>
      <c r="G21496" t="s">
        <v>514</v>
      </c>
    </row>
    <row r="21497" spans="1:7" x14ac:dyDescent="0.25">
      <c r="A21497" s="1" t="str">
        <f>"517415"</f>
        <v>517415</v>
      </c>
      <c r="B21497" s="2" t="str">
        <f>"SAL BRANCO"</f>
        <v>SAL BRANCO</v>
      </c>
      <c r="C21497" s="2" t="str">
        <f t="shared" si="849"/>
        <v>UN</v>
      </c>
      <c r="D21497" s="7">
        <v>400</v>
      </c>
      <c r="E21497" s="3">
        <v>4</v>
      </c>
      <c r="F21497" s="3">
        <v>4</v>
      </c>
      <c r="G21497" t="s">
        <v>514</v>
      </c>
    </row>
    <row r="21498" spans="1:7" x14ac:dyDescent="0.25">
      <c r="A21498" s="1" t="str">
        <f>"245"</f>
        <v>245</v>
      </c>
      <c r="B21498" s="2" t="str">
        <f>"SAL FUNDENTE (JOHA S9B)"</f>
        <v>SAL FUNDENTE (JOHA S9B)</v>
      </c>
      <c r="C21498" s="2" t="str">
        <f>"KG"</f>
        <v>KG</v>
      </c>
      <c r="D21498" s="7">
        <v>223</v>
      </c>
      <c r="E21498" s="3">
        <v>2</v>
      </c>
      <c r="F21498" s="3">
        <v>2</v>
      </c>
      <c r="G21498" t="s">
        <v>512</v>
      </c>
    </row>
    <row r="21499" spans="1:7" x14ac:dyDescent="0.25">
      <c r="A21499" s="1" t="str">
        <f>"4134"</f>
        <v>4134</v>
      </c>
      <c r="B21499" s="2" t="str">
        <f>"SAL FUNDENTE DAIRYCREAM 09 25KG"</f>
        <v>SAL FUNDENTE DAIRYCREAM 09 25KG</v>
      </c>
      <c r="C21499" s="2" t="str">
        <f>"KG"</f>
        <v>KG</v>
      </c>
      <c r="D21499" s="7">
        <v>223</v>
      </c>
      <c r="E21499" s="3">
        <v>2</v>
      </c>
      <c r="F21499" s="3">
        <v>2</v>
      </c>
      <c r="G21499" t="s">
        <v>513</v>
      </c>
    </row>
    <row r="21500" spans="1:7" x14ac:dyDescent="0.25">
      <c r="A21500" s="1" t="str">
        <f>"512765"</f>
        <v>512765</v>
      </c>
      <c r="B21500" s="2" t="str">
        <f>"SAL GRANULADO S/ IODO DUREZA BAIXA P/ ABRANDADOR 25KG"</f>
        <v>SAL GRANULADO S/ IODO DUREZA BAIXA P/ ABRANDADOR 25KG</v>
      </c>
      <c r="C21500" s="2" t="str">
        <f>"KG"</f>
        <v>KG</v>
      </c>
      <c r="D21500" s="7">
        <v>400</v>
      </c>
      <c r="E21500" s="3">
        <v>4</v>
      </c>
      <c r="F21500" s="3">
        <v>4</v>
      </c>
      <c r="G21500" t="s">
        <v>514</v>
      </c>
    </row>
    <row r="21501" spans="1:7" x14ac:dyDescent="0.25">
      <c r="A21501" s="1" t="str">
        <f>"515228"</f>
        <v>515228</v>
      </c>
      <c r="B21501" s="2" t="str">
        <f>"SAL GROSSO SACA DE 25KG CADA"</f>
        <v>SAL GROSSO SACA DE 25KG CADA</v>
      </c>
      <c r="C21501" s="2" t="str">
        <f>"UN"</f>
        <v>UN</v>
      </c>
      <c r="D21501" s="7">
        <v>401</v>
      </c>
      <c r="E21501" s="3">
        <v>4</v>
      </c>
      <c r="F21501" s="3">
        <v>4</v>
      </c>
      <c r="G21501" t="s">
        <v>514</v>
      </c>
    </row>
    <row r="21502" spans="1:7" x14ac:dyDescent="0.25">
      <c r="A21502" s="1" t="str">
        <f>"AG38249979"</f>
        <v>AG38249979</v>
      </c>
      <c r="B21502" s="2" t="str">
        <f>"SAL JOHA"</f>
        <v>SAL JOHA</v>
      </c>
      <c r="C21502" s="2" t="str">
        <f>"UN"</f>
        <v>UN</v>
      </c>
      <c r="D21502" s="7">
        <v>99999</v>
      </c>
      <c r="E21502" s="3">
        <v>99</v>
      </c>
      <c r="F21502" s="3">
        <v>99</v>
      </c>
      <c r="G21502" t="s">
        <v>514</v>
      </c>
    </row>
    <row r="21503" spans="1:7" x14ac:dyDescent="0.25">
      <c r="A21503" s="1" t="str">
        <f>"271"</f>
        <v>271</v>
      </c>
      <c r="B21503" s="2" t="str">
        <f>"SAL REFINADO EXTRA FINO"</f>
        <v>SAL REFINADO EXTRA FINO</v>
      </c>
      <c r="C21503" s="2" t="str">
        <f>"KG"</f>
        <v>KG</v>
      </c>
      <c r="D21503" s="7">
        <v>223</v>
      </c>
      <c r="E21503" s="3">
        <v>2</v>
      </c>
      <c r="F21503" s="3">
        <v>2</v>
      </c>
      <c r="G21503" t="s">
        <v>513</v>
      </c>
    </row>
    <row r="21504" spans="1:7" x14ac:dyDescent="0.25">
      <c r="A21504" s="1" t="str">
        <f>"527156"</f>
        <v>527156</v>
      </c>
      <c r="B21504" s="2" t="str">
        <f>"SAL SACHÊ CX C/2000 UN"</f>
        <v>SAL SACHÊ CX C/2000 UN</v>
      </c>
      <c r="C21504" s="2" t="str">
        <f t="shared" ref="C21504:C21519" si="850">"UN"</f>
        <v>UN</v>
      </c>
      <c r="D21504" s="7">
        <v>99999</v>
      </c>
      <c r="E21504" s="3">
        <v>99</v>
      </c>
      <c r="F21504" s="3">
        <v>99</v>
      </c>
      <c r="G21504" t="s">
        <v>512</v>
      </c>
    </row>
    <row r="21505" spans="1:7" x14ac:dyDescent="0.25">
      <c r="A21505" s="1" t="str">
        <f>"523819"</f>
        <v>523819</v>
      </c>
      <c r="B21505" s="2" t="str">
        <f>"SALADA DE FRUTAS"</f>
        <v>SALADA DE FRUTAS</v>
      </c>
      <c r="C21505" s="2" t="str">
        <f t="shared" si="850"/>
        <v>UN</v>
      </c>
      <c r="D21505" s="7">
        <v>401</v>
      </c>
      <c r="E21505" s="3">
        <v>4</v>
      </c>
      <c r="F21505" s="3">
        <v>4</v>
      </c>
      <c r="G21505" t="s">
        <v>513</v>
      </c>
    </row>
    <row r="21506" spans="1:7" x14ac:dyDescent="0.25">
      <c r="A21506" s="1" t="str">
        <f>"514900"</f>
        <v>514900</v>
      </c>
      <c r="B21506" s="2" t="str">
        <f>"SALADA MISTA TEMPERADA"</f>
        <v>SALADA MISTA TEMPERADA</v>
      </c>
      <c r="C21506" s="2" t="str">
        <f t="shared" si="850"/>
        <v>UN</v>
      </c>
      <c r="D21506" s="7">
        <v>401</v>
      </c>
      <c r="E21506" s="3">
        <v>4</v>
      </c>
      <c r="F21506" s="3">
        <v>4</v>
      </c>
      <c r="G21506" t="s">
        <v>514</v>
      </c>
    </row>
    <row r="21507" spans="1:7" x14ac:dyDescent="0.25">
      <c r="A21507" s="1" t="str">
        <f>"515449"</f>
        <v>515449</v>
      </c>
      <c r="B21507" s="2" t="str">
        <f>"SALAME"</f>
        <v>SALAME</v>
      </c>
      <c r="C21507" s="2" t="str">
        <f t="shared" si="850"/>
        <v>UN</v>
      </c>
      <c r="D21507" s="7">
        <v>401</v>
      </c>
      <c r="E21507" s="3">
        <v>4</v>
      </c>
      <c r="F21507" s="3">
        <v>4</v>
      </c>
      <c r="G21507" t="s">
        <v>514</v>
      </c>
    </row>
    <row r="21508" spans="1:7" x14ac:dyDescent="0.25">
      <c r="A21508" s="1" t="str">
        <f>"526288"</f>
        <v>526288</v>
      </c>
      <c r="B21508" s="2" t="str">
        <f>"SALEIRO INOX"</f>
        <v>SALEIRO INOX</v>
      </c>
      <c r="C21508" s="2" t="str">
        <f t="shared" si="850"/>
        <v>UN</v>
      </c>
      <c r="D21508" s="7">
        <v>99999</v>
      </c>
      <c r="E21508" s="3">
        <v>99</v>
      </c>
      <c r="F21508" s="3">
        <v>99</v>
      </c>
      <c r="G21508" t="s">
        <v>514</v>
      </c>
    </row>
    <row r="21509" spans="1:7" x14ac:dyDescent="0.25">
      <c r="A21509" s="1" t="str">
        <f>"515442"</f>
        <v>515442</v>
      </c>
      <c r="B21509" s="2" t="str">
        <f>"SALGADINHO BACON"</f>
        <v>SALGADINHO BACON</v>
      </c>
      <c r="C21509" s="2" t="str">
        <f t="shared" si="850"/>
        <v>UN</v>
      </c>
      <c r="D21509" s="7">
        <v>401</v>
      </c>
      <c r="E21509" s="3">
        <v>4</v>
      </c>
      <c r="F21509" s="3">
        <v>4</v>
      </c>
      <c r="G21509" t="s">
        <v>513</v>
      </c>
    </row>
    <row r="21510" spans="1:7" x14ac:dyDescent="0.25">
      <c r="A21510" s="1" t="str">
        <f>"519733"</f>
        <v>519733</v>
      </c>
      <c r="B21510" s="2" t="str">
        <f>"SALGADO ASSADO"</f>
        <v>SALGADO ASSADO</v>
      </c>
      <c r="C21510" s="2" t="str">
        <f t="shared" si="850"/>
        <v>UN</v>
      </c>
      <c r="D21510" s="7">
        <v>99999</v>
      </c>
      <c r="E21510" s="3">
        <v>99</v>
      </c>
      <c r="F21510" s="3">
        <v>99</v>
      </c>
      <c r="G21510" t="s">
        <v>513</v>
      </c>
    </row>
    <row r="21511" spans="1:7" x14ac:dyDescent="0.25">
      <c r="A21511" s="1" t="str">
        <f>"510433"</f>
        <v>510433</v>
      </c>
      <c r="B21511" s="2" t="str">
        <f>"SALOFANE"</f>
        <v>SALOFANE</v>
      </c>
      <c r="C21511" s="2" t="str">
        <f t="shared" si="850"/>
        <v>UN</v>
      </c>
      <c r="D21511" s="7">
        <v>402</v>
      </c>
      <c r="E21511" s="3">
        <v>4</v>
      </c>
      <c r="F21511" s="3">
        <v>4</v>
      </c>
      <c r="G21511" t="s">
        <v>513</v>
      </c>
    </row>
    <row r="21512" spans="1:7" x14ac:dyDescent="0.25">
      <c r="A21512" s="1" t="str">
        <f>"519682"</f>
        <v>519682</v>
      </c>
      <c r="B21512" s="2" t="str">
        <f>"SALSA DESIDRATADA 5GR"</f>
        <v>SALSA DESIDRATADA 5GR</v>
      </c>
      <c r="C21512" s="2" t="str">
        <f t="shared" si="850"/>
        <v>UN</v>
      </c>
      <c r="D21512" s="7">
        <v>99999</v>
      </c>
      <c r="E21512" s="3">
        <v>99</v>
      </c>
      <c r="F21512" s="3">
        <v>99</v>
      </c>
      <c r="G21512" t="s">
        <v>512</v>
      </c>
    </row>
    <row r="21513" spans="1:7" x14ac:dyDescent="0.25">
      <c r="A21513" s="1" t="str">
        <f>"510524"</f>
        <v>510524</v>
      </c>
      <c r="B21513" s="2" t="str">
        <f>"SALSICHA"</f>
        <v>SALSICHA</v>
      </c>
      <c r="C21513" s="2" t="str">
        <f t="shared" si="850"/>
        <v>UN</v>
      </c>
      <c r="D21513" s="7">
        <v>401</v>
      </c>
      <c r="E21513" s="3">
        <v>4</v>
      </c>
      <c r="F21513" s="3">
        <v>4</v>
      </c>
      <c r="G21513" t="s">
        <v>513</v>
      </c>
    </row>
    <row r="21514" spans="1:7" x14ac:dyDescent="0.25">
      <c r="A21514" s="1" t="str">
        <f>"515562"</f>
        <v>515562</v>
      </c>
      <c r="B21514" s="2" t="str">
        <f>"SALVODIP B 05L - GEA"</f>
        <v>SALVODIP B 05L - GEA</v>
      </c>
      <c r="C21514" s="2" t="str">
        <f t="shared" si="850"/>
        <v>UN</v>
      </c>
      <c r="D21514" s="7">
        <v>401</v>
      </c>
      <c r="E21514" s="3">
        <v>4</v>
      </c>
      <c r="F21514" s="3">
        <v>4</v>
      </c>
      <c r="G21514" t="s">
        <v>514</v>
      </c>
    </row>
    <row r="21515" spans="1:7" x14ac:dyDescent="0.25">
      <c r="A21515" s="1" t="str">
        <f>"519566"</f>
        <v>519566</v>
      </c>
      <c r="B21515" s="2" t="str">
        <f>"SANDERO EXP 1.6 ANO 2008/2009"</f>
        <v>SANDERO EXP 1.6 ANO 2008/2009</v>
      </c>
      <c r="C21515" s="2" t="str">
        <f t="shared" si="850"/>
        <v>UN</v>
      </c>
      <c r="D21515" s="7">
        <v>99999</v>
      </c>
      <c r="E21515" s="3">
        <v>16</v>
      </c>
      <c r="F21515" s="3">
        <v>16</v>
      </c>
      <c r="G21515" t="s">
        <v>515</v>
      </c>
    </row>
    <row r="21516" spans="1:7" x14ac:dyDescent="0.25">
      <c r="A21516" s="1" t="str">
        <f>"515136"</f>
        <v>515136</v>
      </c>
      <c r="B21516" s="2" t="str">
        <f>"SANDET LM BASE ATIVADO"</f>
        <v>SANDET LM BASE ATIVADO</v>
      </c>
      <c r="C21516" s="2" t="str">
        <f t="shared" si="850"/>
        <v>UN</v>
      </c>
      <c r="D21516" s="7">
        <v>704</v>
      </c>
      <c r="E21516" s="3">
        <v>9</v>
      </c>
      <c r="F21516" s="3">
        <v>9</v>
      </c>
      <c r="G21516" t="s">
        <v>512</v>
      </c>
    </row>
    <row r="21517" spans="1:7" x14ac:dyDescent="0.25">
      <c r="A21517" s="1" t="str">
        <f>"518413"</f>
        <v>518413</v>
      </c>
      <c r="B21517" s="2" t="str">
        <f>"SANDUICHE"</f>
        <v>SANDUICHE</v>
      </c>
      <c r="C21517" s="2" t="str">
        <f t="shared" si="850"/>
        <v>UN</v>
      </c>
      <c r="D21517" s="7">
        <v>99999</v>
      </c>
      <c r="E21517" s="3">
        <v>99</v>
      </c>
      <c r="F21517" s="3">
        <v>99</v>
      </c>
      <c r="G21517" t="s">
        <v>516</v>
      </c>
    </row>
    <row r="21518" spans="1:7" x14ac:dyDescent="0.25">
      <c r="A21518" s="1" t="str">
        <f>"523240"</f>
        <v>523240</v>
      </c>
      <c r="B21518" s="2" t="str">
        <f>"SANDUICHEIRA"</f>
        <v>SANDUICHEIRA</v>
      </c>
      <c r="C21518" s="2" t="str">
        <f t="shared" si="850"/>
        <v>UN</v>
      </c>
      <c r="D21518" s="7">
        <v>401</v>
      </c>
      <c r="E21518" s="3">
        <v>4</v>
      </c>
      <c r="F21518" s="3">
        <v>4</v>
      </c>
      <c r="G21518" t="s">
        <v>515</v>
      </c>
    </row>
    <row r="21519" spans="1:7" x14ac:dyDescent="0.25">
      <c r="A21519" s="1" t="str">
        <f>"516450"</f>
        <v>516450</v>
      </c>
      <c r="B21519" s="2" t="str">
        <f>"SANDUICHEIRA E GRILL 3481 605 110V PRETA FAET"</f>
        <v>SANDUICHEIRA E GRILL 3481 605 110V PRETA FAET</v>
      </c>
      <c r="C21519" s="2" t="str">
        <f t="shared" si="850"/>
        <v>UN</v>
      </c>
      <c r="D21519" s="7">
        <v>1200</v>
      </c>
      <c r="E21519" s="3">
        <v>4</v>
      </c>
      <c r="F21519" s="3">
        <v>4</v>
      </c>
      <c r="G21519" t="s">
        <v>514</v>
      </c>
    </row>
    <row r="21520" spans="1:7" x14ac:dyDescent="0.25">
      <c r="A21520" s="1" t="str">
        <f>"192"</f>
        <v>192</v>
      </c>
      <c r="B21520" s="2" t="str">
        <f>"SANIGIZER LOC ALC ESP 6X1000ML(6KG) - CÓD.56970 (ECOLAB)"</f>
        <v>SANIGIZER LOC ALC ESP 6X1000ML(6KG) - CÓD.56970 (ECOLAB)</v>
      </c>
      <c r="C21520" s="2" t="str">
        <f>"KG"</f>
        <v>KG</v>
      </c>
      <c r="D21520" s="7">
        <v>400</v>
      </c>
      <c r="E21520" s="3">
        <v>4</v>
      </c>
      <c r="F21520" s="3">
        <v>4</v>
      </c>
      <c r="G21520" t="s">
        <v>512</v>
      </c>
    </row>
    <row r="21521" spans="1:7" x14ac:dyDescent="0.25">
      <c r="A21521" s="1" t="str">
        <f>"195"</f>
        <v>195</v>
      </c>
      <c r="B21521" s="2" t="str">
        <f>"SANI-STEP BALDE 15KG - CÓD.78802 (ECOLAB)"</f>
        <v>SANI-STEP BALDE 15KG - CÓD.78802 (ECOLAB)</v>
      </c>
      <c r="C21521" s="2" t="str">
        <f>"KG"</f>
        <v>KG</v>
      </c>
      <c r="D21521" s="7">
        <v>400</v>
      </c>
      <c r="E21521" s="3">
        <v>4</v>
      </c>
      <c r="F21521" s="3">
        <v>4</v>
      </c>
      <c r="G21521" t="s">
        <v>513</v>
      </c>
    </row>
    <row r="21522" spans="1:7" x14ac:dyDescent="0.25">
      <c r="A21522" s="1" t="str">
        <f>"507903"</f>
        <v>507903</v>
      </c>
      <c r="B21522" s="2" t="str">
        <f>"SANTO ANTONIO CROMO TOYOTA HILUX"</f>
        <v>SANTO ANTONIO CROMO TOYOTA HILUX</v>
      </c>
      <c r="C21522" s="2" t="str">
        <f t="shared" ref="C21522:C21553" si="851">"UN"</f>
        <v>UN</v>
      </c>
      <c r="D21522" s="7">
        <v>704</v>
      </c>
      <c r="E21522" s="3">
        <v>9</v>
      </c>
      <c r="F21522" s="3">
        <v>9</v>
      </c>
      <c r="G21522" t="s">
        <v>514</v>
      </c>
    </row>
    <row r="21523" spans="1:7" x14ac:dyDescent="0.25">
      <c r="A21523" s="1" t="str">
        <f>"506461"</f>
        <v>506461</v>
      </c>
      <c r="B21523" s="2" t="str">
        <f>"SAPATA"</f>
        <v>SAPATA</v>
      </c>
      <c r="C21523" s="2" t="str">
        <f t="shared" si="851"/>
        <v>UN</v>
      </c>
      <c r="D21523" s="7">
        <v>918</v>
      </c>
      <c r="E21523" s="3">
        <v>11</v>
      </c>
      <c r="F21523" s="3">
        <v>11</v>
      </c>
      <c r="G21523" t="s">
        <v>514</v>
      </c>
    </row>
    <row r="21524" spans="1:7" x14ac:dyDescent="0.25">
      <c r="A21524" s="1" t="str">
        <f>"523783"</f>
        <v>523783</v>
      </c>
      <c r="B21524" s="2" t="str">
        <f>"SAPATA AJUSTAVEL 500MM"</f>
        <v>SAPATA AJUSTAVEL 500MM</v>
      </c>
      <c r="C21524" s="2" t="str">
        <f t="shared" si="851"/>
        <v>UN</v>
      </c>
      <c r="D21524" s="7">
        <v>99999</v>
      </c>
      <c r="E21524" s="3">
        <v>99</v>
      </c>
      <c r="F21524" s="3">
        <v>99</v>
      </c>
      <c r="G21524" t="s">
        <v>512</v>
      </c>
    </row>
    <row r="21525" spans="1:7" x14ac:dyDescent="0.25">
      <c r="A21525" s="1" t="str">
        <f>"527594"</f>
        <v>527594</v>
      </c>
      <c r="B21525" s="2" t="str">
        <f>"SAPATA DE FREIO EMPILHADEIRA TOYOTA (CAMERA FRIA)"</f>
        <v>SAPATA DE FREIO EMPILHADEIRA TOYOTA (CAMERA FRIA)</v>
      </c>
      <c r="C21525" s="2" t="str">
        <f t="shared" si="851"/>
        <v>UN</v>
      </c>
      <c r="D21525" s="7">
        <v>918</v>
      </c>
      <c r="E21525" s="3">
        <v>11</v>
      </c>
      <c r="F21525" s="3">
        <v>11</v>
      </c>
      <c r="G21525" t="s">
        <v>513</v>
      </c>
    </row>
    <row r="21526" spans="1:7" x14ac:dyDescent="0.25">
      <c r="A21526" s="1" t="str">
        <f>"503293"</f>
        <v>503293</v>
      </c>
      <c r="B21526" s="2" t="str">
        <f>"SAPATA DESLIZANTE DES.42591 COD.186887-3"</f>
        <v>SAPATA DESLIZANTE DES.42591 COD.186887-3</v>
      </c>
      <c r="C21526" s="2" t="str">
        <f t="shared" si="851"/>
        <v>UN</v>
      </c>
      <c r="D21526" s="7">
        <v>918</v>
      </c>
      <c r="E21526" s="3">
        <v>11</v>
      </c>
      <c r="F21526" s="3">
        <v>11</v>
      </c>
      <c r="G21526" t="s">
        <v>514</v>
      </c>
    </row>
    <row r="21527" spans="1:7" x14ac:dyDescent="0.25">
      <c r="A21527" s="1" t="str">
        <f>"501852"</f>
        <v>501852</v>
      </c>
      <c r="B21527" s="2" t="str">
        <f>"SAPATA DO TIRANTE EIXO OCO"</f>
        <v>SAPATA DO TIRANTE EIXO OCO</v>
      </c>
      <c r="C21527" s="2" t="str">
        <f t="shared" si="851"/>
        <v>UN</v>
      </c>
      <c r="D21527" s="7">
        <v>704</v>
      </c>
      <c r="E21527" s="3">
        <v>9</v>
      </c>
      <c r="F21527" s="3">
        <v>9</v>
      </c>
      <c r="G21527" t="s">
        <v>514</v>
      </c>
    </row>
    <row r="21528" spans="1:7" x14ac:dyDescent="0.25">
      <c r="A21528" s="1" t="str">
        <f>"521777"</f>
        <v>521777</v>
      </c>
      <c r="B21528" s="2" t="str">
        <f>"SAPATA EXTERNA P/ PERF. 38X38 4F GF"</f>
        <v>SAPATA EXTERNA P/ PERF. 38X38 4F GF</v>
      </c>
      <c r="C21528" s="2" t="str">
        <f t="shared" si="851"/>
        <v>UN</v>
      </c>
      <c r="D21528" s="7">
        <v>811</v>
      </c>
      <c r="E21528" s="3">
        <v>11</v>
      </c>
      <c r="F21528" s="3">
        <v>11</v>
      </c>
      <c r="G21528" t="s">
        <v>514</v>
      </c>
    </row>
    <row r="21529" spans="1:7" x14ac:dyDescent="0.25">
      <c r="A21529" s="1" t="str">
        <f>"521770"</f>
        <v>521770</v>
      </c>
      <c r="B21529" s="2" t="str">
        <f>"SAPATA EXTERNA P/PERF.38X38MM GF"</f>
        <v>SAPATA EXTERNA P/PERF.38X38MM GF</v>
      </c>
      <c r="C21529" s="2" t="str">
        <f t="shared" si="851"/>
        <v>UN</v>
      </c>
      <c r="D21529" s="7">
        <v>600</v>
      </c>
      <c r="E21529" s="3">
        <v>10</v>
      </c>
      <c r="F21529" s="3">
        <v>10</v>
      </c>
      <c r="G21529" t="s">
        <v>513</v>
      </c>
    </row>
    <row r="21530" spans="1:7" x14ac:dyDescent="0.25">
      <c r="A21530" s="1" t="str">
        <f>"502760"</f>
        <v>502760</v>
      </c>
      <c r="B21530" s="2" t="str">
        <f>"SAPATA FREIO COD.370203-03 MOD.2000 GL"</f>
        <v>SAPATA FREIO COD.370203-03 MOD.2000 GL</v>
      </c>
      <c r="C21530" s="2" t="str">
        <f t="shared" si="851"/>
        <v>UN</v>
      </c>
      <c r="D21530" s="7">
        <v>918</v>
      </c>
      <c r="E21530" s="3">
        <v>11</v>
      </c>
      <c r="F21530" s="3">
        <v>11</v>
      </c>
      <c r="G21530" t="s">
        <v>512</v>
      </c>
    </row>
    <row r="21531" spans="1:7" x14ac:dyDescent="0.25">
      <c r="A21531" s="1" t="str">
        <f>"501367"</f>
        <v>501367</v>
      </c>
      <c r="B21531" s="2" t="str">
        <f>"SAPATA FREIO SEALPACK COD.221117 BRASKOP"</f>
        <v>SAPATA FREIO SEALPACK COD.221117 BRASKOP</v>
      </c>
      <c r="C21531" s="2" t="str">
        <f t="shared" si="851"/>
        <v>UN</v>
      </c>
      <c r="D21531" s="7">
        <v>918</v>
      </c>
      <c r="E21531" s="3">
        <v>11</v>
      </c>
      <c r="F21531" s="3">
        <v>11</v>
      </c>
      <c r="G21531" t="s">
        <v>513</v>
      </c>
    </row>
    <row r="21532" spans="1:7" x14ac:dyDescent="0.25">
      <c r="A21532" s="1" t="str">
        <f>"508655"</f>
        <v>508655</v>
      </c>
      <c r="B21532" s="8" t="s">
        <v>18</v>
      </c>
      <c r="C21532" s="2" t="str">
        <f t="shared" si="851"/>
        <v>UN</v>
      </c>
      <c r="D21532" s="7">
        <v>918</v>
      </c>
      <c r="E21532" s="3">
        <v>11</v>
      </c>
      <c r="F21532" s="3">
        <v>11</v>
      </c>
      <c r="G21532" t="s">
        <v>514</v>
      </c>
    </row>
    <row r="21533" spans="1:7" x14ac:dyDescent="0.25">
      <c r="A21533" s="1" t="str">
        <f>"500962"</f>
        <v>500962</v>
      </c>
      <c r="B21533" s="2" t="str">
        <f>"SAPATA PRENDEDORA DES.54734 COD.106791-3"</f>
        <v>SAPATA PRENDEDORA DES.54734 COD.106791-3</v>
      </c>
      <c r="C21533" s="2" t="str">
        <f t="shared" si="851"/>
        <v>UN</v>
      </c>
      <c r="D21533" s="7">
        <v>918</v>
      </c>
      <c r="E21533" s="3">
        <v>11</v>
      </c>
      <c r="F21533" s="3">
        <v>11</v>
      </c>
      <c r="G21533" t="s">
        <v>514</v>
      </c>
    </row>
    <row r="21534" spans="1:7" x14ac:dyDescent="0.25">
      <c r="A21534" s="1" t="str">
        <f>"528003"</f>
        <v>528003</v>
      </c>
      <c r="B21534" s="2" t="str">
        <f>"SAPATEIRA 105 X 80CM"</f>
        <v>SAPATEIRA 105 X 80CM</v>
      </c>
      <c r="C21534" s="2" t="str">
        <f t="shared" si="851"/>
        <v>UN</v>
      </c>
      <c r="D21534" s="7">
        <v>99999</v>
      </c>
      <c r="E21534" s="3">
        <v>99</v>
      </c>
      <c r="F21534" s="3">
        <v>99</v>
      </c>
      <c r="G21534" t="s">
        <v>514</v>
      </c>
    </row>
    <row r="21535" spans="1:7" x14ac:dyDescent="0.25">
      <c r="A21535" s="1" t="str">
        <f>"6095"</f>
        <v>6095</v>
      </c>
      <c r="B21535" s="2" t="str">
        <f>"SAPATENIS MONODENS.62101 PRETO N.40"</f>
        <v>SAPATENIS MONODENS.62101 PRETO N.40</v>
      </c>
      <c r="C21535" s="2" t="str">
        <f t="shared" si="851"/>
        <v>UN</v>
      </c>
      <c r="D21535" s="7">
        <v>501</v>
      </c>
      <c r="E21535" s="3">
        <v>5</v>
      </c>
      <c r="F21535" s="3">
        <v>5</v>
      </c>
      <c r="G21535" t="s">
        <v>513</v>
      </c>
    </row>
    <row r="21536" spans="1:7" x14ac:dyDescent="0.25">
      <c r="A21536" s="1" t="str">
        <f>"521635"</f>
        <v>521635</v>
      </c>
      <c r="B21536" s="2" t="str">
        <f>"SAPATILHA P/ CABO DE AÇO 1/4"</f>
        <v>SAPATILHA P/ CABO DE AÇO 1/4</v>
      </c>
      <c r="C21536" s="2" t="str">
        <f t="shared" si="851"/>
        <v>UN</v>
      </c>
      <c r="D21536" s="7">
        <v>402</v>
      </c>
      <c r="E21536" s="3">
        <v>4</v>
      </c>
      <c r="F21536" s="3">
        <v>4</v>
      </c>
      <c r="G21536" t="s">
        <v>513</v>
      </c>
    </row>
    <row r="21537" spans="1:7" x14ac:dyDescent="0.25">
      <c r="A21537" s="1" t="str">
        <f>"519466"</f>
        <v>519466</v>
      </c>
      <c r="B21537" s="2" t="str">
        <f>"SAPATILHA PLASTICA C/ ELASTICO LEITOSA"</f>
        <v>SAPATILHA PLASTICA C/ ELASTICO LEITOSA</v>
      </c>
      <c r="C21537" s="2" t="str">
        <f t="shared" si="851"/>
        <v>UN</v>
      </c>
      <c r="D21537" s="7">
        <v>502</v>
      </c>
      <c r="E21537" s="3">
        <v>5</v>
      </c>
      <c r="F21537" s="3">
        <v>5</v>
      </c>
      <c r="G21537" t="s">
        <v>513</v>
      </c>
    </row>
    <row r="21538" spans="1:7" x14ac:dyDescent="0.25">
      <c r="A21538" s="1" t="str">
        <f>"521492"</f>
        <v>521492</v>
      </c>
      <c r="B21538" s="2" t="str">
        <f>"SAPATILHO P/ CABO DE AÇO 8MM"</f>
        <v>SAPATILHO P/ CABO DE AÇO 8MM</v>
      </c>
      <c r="C21538" s="2" t="str">
        <f t="shared" si="851"/>
        <v>UN</v>
      </c>
      <c r="D21538" s="7">
        <v>402</v>
      </c>
      <c r="E21538" s="3">
        <v>4</v>
      </c>
      <c r="F21538" s="3">
        <v>4</v>
      </c>
      <c r="G21538" t="s">
        <v>512</v>
      </c>
    </row>
    <row r="21539" spans="1:7" x14ac:dyDescent="0.25">
      <c r="A21539" s="1" t="str">
        <f>"519687"</f>
        <v>519687</v>
      </c>
      <c r="B21539" s="2" t="str">
        <f>"SAPATO BRANCO BICO DE AÇO 34"</f>
        <v>SAPATO BRANCO BICO DE AÇO 34</v>
      </c>
      <c r="C21539" s="2" t="str">
        <f t="shared" si="851"/>
        <v>UN</v>
      </c>
      <c r="D21539" s="7">
        <v>501</v>
      </c>
      <c r="E21539" s="3">
        <v>5</v>
      </c>
      <c r="F21539" s="3">
        <v>5</v>
      </c>
      <c r="G21539" t="s">
        <v>513</v>
      </c>
    </row>
    <row r="21540" spans="1:7" x14ac:dyDescent="0.25">
      <c r="A21540" s="1" t="str">
        <f>"519558"</f>
        <v>519558</v>
      </c>
      <c r="B21540" s="2" t="str">
        <f>"SAPATO BRANCO BICO DE AÇO 36"</f>
        <v>SAPATO BRANCO BICO DE AÇO 36</v>
      </c>
      <c r="C21540" s="2" t="str">
        <f t="shared" si="851"/>
        <v>UN</v>
      </c>
      <c r="D21540" s="7">
        <v>501</v>
      </c>
      <c r="E21540" s="3">
        <v>5</v>
      </c>
      <c r="F21540" s="3">
        <v>5</v>
      </c>
      <c r="G21540" t="s">
        <v>514</v>
      </c>
    </row>
    <row r="21541" spans="1:7" x14ac:dyDescent="0.25">
      <c r="A21541" s="1" t="str">
        <f>"519559"</f>
        <v>519559</v>
      </c>
      <c r="B21541" s="2" t="str">
        <f>"SAPATO BRANCO BICO DE AÇO 37"</f>
        <v>SAPATO BRANCO BICO DE AÇO 37</v>
      </c>
      <c r="C21541" s="2" t="str">
        <f t="shared" si="851"/>
        <v>UN</v>
      </c>
      <c r="D21541" s="7">
        <v>501</v>
      </c>
      <c r="E21541" s="3">
        <v>5</v>
      </c>
      <c r="F21541" s="3">
        <v>5</v>
      </c>
      <c r="G21541" t="s">
        <v>515</v>
      </c>
    </row>
    <row r="21542" spans="1:7" x14ac:dyDescent="0.25">
      <c r="A21542" s="1" t="str">
        <f>"519560"</f>
        <v>519560</v>
      </c>
      <c r="B21542" s="2" t="str">
        <f>"SAPATO BRANCO BICO DE AÇO 38"</f>
        <v>SAPATO BRANCO BICO DE AÇO 38</v>
      </c>
      <c r="C21542" s="2" t="str">
        <f t="shared" si="851"/>
        <v>UN</v>
      </c>
      <c r="D21542" s="7">
        <v>501</v>
      </c>
      <c r="E21542" s="3">
        <v>5</v>
      </c>
      <c r="F21542" s="3">
        <v>5</v>
      </c>
      <c r="G21542" t="s">
        <v>512</v>
      </c>
    </row>
    <row r="21543" spans="1:7" x14ac:dyDescent="0.25">
      <c r="A21543" s="1" t="str">
        <f>"519561"</f>
        <v>519561</v>
      </c>
      <c r="B21543" s="2" t="str">
        <f>"SAPATO BRANCO BICO DE AÇO 39"</f>
        <v>SAPATO BRANCO BICO DE AÇO 39</v>
      </c>
      <c r="C21543" s="2" t="str">
        <f t="shared" si="851"/>
        <v>UN</v>
      </c>
      <c r="D21543" s="7">
        <v>501</v>
      </c>
      <c r="E21543" s="3">
        <v>5</v>
      </c>
      <c r="F21543" s="3">
        <v>5</v>
      </c>
      <c r="G21543" t="s">
        <v>516</v>
      </c>
    </row>
    <row r="21544" spans="1:7" x14ac:dyDescent="0.25">
      <c r="A21544" s="1" t="str">
        <f>"6882"</f>
        <v>6882</v>
      </c>
      <c r="B21544" s="2" t="str">
        <f>"SAPATO BRANCO BICO DE PVC 33"</f>
        <v>SAPATO BRANCO BICO DE PVC 33</v>
      </c>
      <c r="C21544" s="2" t="str">
        <f t="shared" si="851"/>
        <v>UN</v>
      </c>
      <c r="D21544" s="7">
        <v>501</v>
      </c>
      <c r="E21544" s="3">
        <v>5</v>
      </c>
      <c r="F21544" s="3">
        <v>5</v>
      </c>
      <c r="G21544" t="s">
        <v>515</v>
      </c>
    </row>
    <row r="21545" spans="1:7" x14ac:dyDescent="0.25">
      <c r="A21545" s="1" t="str">
        <f>"6883"</f>
        <v>6883</v>
      </c>
      <c r="B21545" s="2" t="str">
        <f>"SAPATO BRANCO BICO DE PVC 34"</f>
        <v>SAPATO BRANCO BICO DE PVC 34</v>
      </c>
      <c r="C21545" s="2" t="str">
        <f t="shared" si="851"/>
        <v>UN</v>
      </c>
      <c r="D21545" s="7">
        <v>501</v>
      </c>
      <c r="E21545" s="3">
        <v>5</v>
      </c>
      <c r="F21545" s="3">
        <v>5</v>
      </c>
      <c r="G21545" t="s">
        <v>514</v>
      </c>
    </row>
    <row r="21546" spans="1:7" x14ac:dyDescent="0.25">
      <c r="A21546" s="1" t="str">
        <f>"6256"</f>
        <v>6256</v>
      </c>
      <c r="B21546" s="2" t="str">
        <f>"SAPATO BRANCO BICO DE PVC 35"</f>
        <v>SAPATO BRANCO BICO DE PVC 35</v>
      </c>
      <c r="C21546" s="2" t="str">
        <f t="shared" si="851"/>
        <v>UN</v>
      </c>
      <c r="D21546" s="7">
        <v>501</v>
      </c>
      <c r="E21546" s="3">
        <v>5</v>
      </c>
      <c r="F21546" s="3">
        <v>5</v>
      </c>
      <c r="G21546" t="s">
        <v>512</v>
      </c>
    </row>
    <row r="21547" spans="1:7" x14ac:dyDescent="0.25">
      <c r="A21547" s="1" t="str">
        <f>"6257"</f>
        <v>6257</v>
      </c>
      <c r="B21547" s="2" t="str">
        <f>"SAPATO BRANCO BICO DE PVC 36"</f>
        <v>SAPATO BRANCO BICO DE PVC 36</v>
      </c>
      <c r="C21547" s="2" t="str">
        <f t="shared" si="851"/>
        <v>UN</v>
      </c>
      <c r="D21547" s="7">
        <v>501</v>
      </c>
      <c r="E21547" s="3">
        <v>5</v>
      </c>
      <c r="F21547" s="3">
        <v>5</v>
      </c>
      <c r="G21547" t="s">
        <v>513</v>
      </c>
    </row>
    <row r="21548" spans="1:7" x14ac:dyDescent="0.25">
      <c r="A21548" s="1" t="str">
        <f>"6258"</f>
        <v>6258</v>
      </c>
      <c r="B21548" s="2" t="str">
        <f>"SAPATO BRANCO BICO DE PVC 37"</f>
        <v>SAPATO BRANCO BICO DE PVC 37</v>
      </c>
      <c r="C21548" s="2" t="str">
        <f t="shared" si="851"/>
        <v>UN</v>
      </c>
      <c r="D21548" s="7">
        <v>501</v>
      </c>
      <c r="E21548" s="3">
        <v>5</v>
      </c>
      <c r="F21548" s="3">
        <v>5</v>
      </c>
      <c r="G21548" t="s">
        <v>514</v>
      </c>
    </row>
    <row r="21549" spans="1:7" x14ac:dyDescent="0.25">
      <c r="A21549" s="1" t="str">
        <f>"6259"</f>
        <v>6259</v>
      </c>
      <c r="B21549" s="2" t="str">
        <f>"SAPATO BRANCO BICO DE PVC 38"</f>
        <v>SAPATO BRANCO BICO DE PVC 38</v>
      </c>
      <c r="C21549" s="2" t="str">
        <f t="shared" si="851"/>
        <v>UN</v>
      </c>
      <c r="D21549" s="7">
        <v>501</v>
      </c>
      <c r="E21549" s="3">
        <v>5</v>
      </c>
      <c r="F21549" s="3">
        <v>5</v>
      </c>
      <c r="G21549" t="s">
        <v>514</v>
      </c>
    </row>
    <row r="21550" spans="1:7" x14ac:dyDescent="0.25">
      <c r="A21550" s="1" t="str">
        <f>"6260"</f>
        <v>6260</v>
      </c>
      <c r="B21550" s="2" t="str">
        <f>"SAPATO BRANCO BICO DE PVC 39"</f>
        <v>SAPATO BRANCO BICO DE PVC 39</v>
      </c>
      <c r="C21550" s="2" t="str">
        <f t="shared" si="851"/>
        <v>UN</v>
      </c>
      <c r="D21550" s="7">
        <v>501</v>
      </c>
      <c r="E21550" s="3">
        <v>5</v>
      </c>
      <c r="F21550" s="3">
        <v>5</v>
      </c>
      <c r="G21550" t="s">
        <v>512</v>
      </c>
    </row>
    <row r="21551" spans="1:7" x14ac:dyDescent="0.25">
      <c r="A21551" s="1" t="str">
        <f>"6261"</f>
        <v>6261</v>
      </c>
      <c r="B21551" s="2" t="str">
        <f>"SAPATO BRANCO BICO DE PVC 40"</f>
        <v>SAPATO BRANCO BICO DE PVC 40</v>
      </c>
      <c r="C21551" s="2" t="str">
        <f t="shared" si="851"/>
        <v>UN</v>
      </c>
      <c r="D21551" s="7">
        <v>501</v>
      </c>
      <c r="E21551" s="3">
        <v>5</v>
      </c>
      <c r="F21551" s="3">
        <v>5</v>
      </c>
      <c r="G21551" t="s">
        <v>513</v>
      </c>
    </row>
    <row r="21552" spans="1:7" x14ac:dyDescent="0.25">
      <c r="A21552" s="1" t="str">
        <f>"6262"</f>
        <v>6262</v>
      </c>
      <c r="B21552" s="2" t="str">
        <f>"SAPATO BRANCO BICO DE PVC 41"</f>
        <v>SAPATO BRANCO BICO DE PVC 41</v>
      </c>
      <c r="C21552" s="2" t="str">
        <f t="shared" si="851"/>
        <v>UN</v>
      </c>
      <c r="D21552" s="7">
        <v>501</v>
      </c>
      <c r="E21552" s="3">
        <v>5</v>
      </c>
      <c r="F21552" s="3">
        <v>5</v>
      </c>
      <c r="G21552" t="s">
        <v>514</v>
      </c>
    </row>
    <row r="21553" spans="1:7" x14ac:dyDescent="0.25">
      <c r="A21553" s="1" t="str">
        <f>"6263"</f>
        <v>6263</v>
      </c>
      <c r="B21553" s="2" t="str">
        <f>"SAPATO BRANCO BICO DE PVC 42"</f>
        <v>SAPATO BRANCO BICO DE PVC 42</v>
      </c>
      <c r="C21553" s="2" t="str">
        <f t="shared" si="851"/>
        <v>UN</v>
      </c>
      <c r="D21553" s="7">
        <v>501</v>
      </c>
      <c r="E21553" s="3">
        <v>5</v>
      </c>
      <c r="F21553" s="3">
        <v>5</v>
      </c>
      <c r="G21553" t="s">
        <v>514</v>
      </c>
    </row>
    <row r="21554" spans="1:7" x14ac:dyDescent="0.25">
      <c r="A21554" s="1" t="str">
        <f>"513849"</f>
        <v>513849</v>
      </c>
      <c r="B21554" s="2" t="str">
        <f>"SAPATO BRANCO BICO DE PVC 43"</f>
        <v>SAPATO BRANCO BICO DE PVC 43</v>
      </c>
      <c r="C21554" s="2" t="str">
        <f t="shared" ref="C21554:C21585" si="852">"UN"</f>
        <v>UN</v>
      </c>
      <c r="D21554" s="7">
        <v>500</v>
      </c>
      <c r="E21554" s="3">
        <v>5</v>
      </c>
      <c r="F21554" s="3">
        <v>5</v>
      </c>
      <c r="G21554" t="s">
        <v>514</v>
      </c>
    </row>
    <row r="21555" spans="1:7" x14ac:dyDescent="0.25">
      <c r="A21555" s="1" t="str">
        <f>"513850"</f>
        <v>513850</v>
      </c>
      <c r="B21555" s="2" t="str">
        <f>"SAPATO BRANCO BICO DE PVC 44"</f>
        <v>SAPATO BRANCO BICO DE PVC 44</v>
      </c>
      <c r="C21555" s="2" t="str">
        <f t="shared" si="852"/>
        <v>UN</v>
      </c>
      <c r="D21555" s="7">
        <v>500</v>
      </c>
      <c r="E21555" s="3">
        <v>5</v>
      </c>
      <c r="F21555" s="3">
        <v>5</v>
      </c>
      <c r="G21555" t="s">
        <v>513</v>
      </c>
    </row>
    <row r="21556" spans="1:7" x14ac:dyDescent="0.25">
      <c r="A21556" s="1" t="str">
        <f>"6884"</f>
        <v>6884</v>
      </c>
      <c r="B21556" s="2" t="str">
        <f>"SAPATO BRANCO BICO DE PVC 46"</f>
        <v>SAPATO BRANCO BICO DE PVC 46</v>
      </c>
      <c r="C21556" s="2" t="str">
        <f t="shared" si="852"/>
        <v>UN</v>
      </c>
      <c r="D21556" s="7">
        <v>501</v>
      </c>
      <c r="E21556" s="3">
        <v>5</v>
      </c>
      <c r="F21556" s="3">
        <v>5</v>
      </c>
      <c r="G21556" t="s">
        <v>512</v>
      </c>
    </row>
    <row r="21557" spans="1:7" x14ac:dyDescent="0.25">
      <c r="A21557" s="1" t="str">
        <f>"513851"</f>
        <v>513851</v>
      </c>
      <c r="B21557" s="2" t="str">
        <f>"SAPATO BRANCO BICO DE PVC 47"</f>
        <v>SAPATO BRANCO BICO DE PVC 47</v>
      </c>
      <c r="C21557" s="2" t="str">
        <f t="shared" si="852"/>
        <v>UN</v>
      </c>
      <c r="D21557" s="7">
        <v>500</v>
      </c>
      <c r="E21557" s="3">
        <v>5</v>
      </c>
      <c r="F21557" s="3">
        <v>5</v>
      </c>
      <c r="G21557" t="s">
        <v>513</v>
      </c>
    </row>
    <row r="21558" spans="1:7" x14ac:dyDescent="0.25">
      <c r="A21558" s="1" t="str">
        <f>"6401"</f>
        <v>6401</v>
      </c>
      <c r="B21558" s="2" t="str">
        <f>"SAPATO C/E MICROFIBRA BRANCO 35"</f>
        <v>SAPATO C/E MICROFIBRA BRANCO 35</v>
      </c>
      <c r="C21558" s="2" t="str">
        <f t="shared" si="852"/>
        <v>UN</v>
      </c>
      <c r="D21558" s="7">
        <v>501</v>
      </c>
      <c r="E21558" s="3">
        <v>5</v>
      </c>
      <c r="F21558" s="3">
        <v>5</v>
      </c>
      <c r="G21558" t="s">
        <v>514</v>
      </c>
    </row>
    <row r="21559" spans="1:7" x14ac:dyDescent="0.25">
      <c r="A21559" s="1" t="str">
        <f>"6402"</f>
        <v>6402</v>
      </c>
      <c r="B21559" s="2" t="str">
        <f>"SAPATO C/E MICROFIBRA BRANCO 36"</f>
        <v>SAPATO C/E MICROFIBRA BRANCO 36</v>
      </c>
      <c r="C21559" s="2" t="str">
        <f t="shared" si="852"/>
        <v>UN</v>
      </c>
      <c r="D21559" s="7">
        <v>501</v>
      </c>
      <c r="E21559" s="3">
        <v>5</v>
      </c>
      <c r="F21559" s="3">
        <v>5</v>
      </c>
      <c r="G21559" t="s">
        <v>514</v>
      </c>
    </row>
    <row r="21560" spans="1:7" x14ac:dyDescent="0.25">
      <c r="A21560" s="1" t="str">
        <f>"6186"</f>
        <v>6186</v>
      </c>
      <c r="B21560" s="2" t="str">
        <f>"SAPATO C/ELAST.BIDENS.COD.42201B N.35"</f>
        <v>SAPATO C/ELAST.BIDENS.COD.42201B N.35</v>
      </c>
      <c r="C21560" s="2" t="str">
        <f t="shared" si="852"/>
        <v>UN</v>
      </c>
      <c r="D21560" s="7">
        <v>501</v>
      </c>
      <c r="E21560" s="3">
        <v>5</v>
      </c>
      <c r="F21560" s="3">
        <v>5</v>
      </c>
      <c r="G21560" t="s">
        <v>514</v>
      </c>
    </row>
    <row r="21561" spans="1:7" x14ac:dyDescent="0.25">
      <c r="A21561" s="1" t="str">
        <f>"6187"</f>
        <v>6187</v>
      </c>
      <c r="B21561" s="2" t="str">
        <f>"SAPATO C/ELAST.BIDENS.COD.42201B N.36"</f>
        <v>SAPATO C/ELAST.BIDENS.COD.42201B N.36</v>
      </c>
      <c r="C21561" s="2" t="str">
        <f t="shared" si="852"/>
        <v>UN</v>
      </c>
      <c r="D21561" s="7">
        <v>501</v>
      </c>
      <c r="E21561" s="3">
        <v>5</v>
      </c>
      <c r="F21561" s="3">
        <v>5</v>
      </c>
      <c r="G21561" t="s">
        <v>513</v>
      </c>
    </row>
    <row r="21562" spans="1:7" x14ac:dyDescent="0.25">
      <c r="A21562" s="1" t="str">
        <f>"6188"</f>
        <v>6188</v>
      </c>
      <c r="B21562" s="2" t="str">
        <f>"SAPATO C/ELAST.BIDENS.COD.42201B N.39"</f>
        <v>SAPATO C/ELAST.BIDENS.COD.42201B N.39</v>
      </c>
      <c r="C21562" s="2" t="str">
        <f t="shared" si="852"/>
        <v>UN</v>
      </c>
      <c r="D21562" s="7">
        <v>501</v>
      </c>
      <c r="E21562" s="3">
        <v>5</v>
      </c>
      <c r="F21562" s="3">
        <v>5</v>
      </c>
      <c r="G21562" t="s">
        <v>513</v>
      </c>
    </row>
    <row r="21563" spans="1:7" x14ac:dyDescent="0.25">
      <c r="A21563" s="1" t="str">
        <f>"6189"</f>
        <v>6189</v>
      </c>
      <c r="B21563" s="2" t="str">
        <f>"SAPATO C/ELAST.BIDENS.COD.42201B N.41"</f>
        <v>SAPATO C/ELAST.BIDENS.COD.42201B N.41</v>
      </c>
      <c r="C21563" s="2" t="str">
        <f t="shared" si="852"/>
        <v>UN</v>
      </c>
      <c r="D21563" s="7">
        <v>501</v>
      </c>
      <c r="E21563" s="3">
        <v>5</v>
      </c>
      <c r="F21563" s="3">
        <v>5</v>
      </c>
      <c r="G21563" t="s">
        <v>513</v>
      </c>
    </row>
    <row r="21564" spans="1:7" x14ac:dyDescent="0.25">
      <c r="A21564" s="1" t="str">
        <f>"523369"</f>
        <v>523369</v>
      </c>
      <c r="B21564" s="2" t="str">
        <f>"SAPATO DE PREGO"</f>
        <v>SAPATO DE PREGO</v>
      </c>
      <c r="C21564" s="2" t="str">
        <f t="shared" si="852"/>
        <v>UN</v>
      </c>
      <c r="D21564" s="7">
        <v>403</v>
      </c>
      <c r="E21564" s="3">
        <v>10</v>
      </c>
      <c r="F21564" s="3">
        <v>10</v>
      </c>
      <c r="G21564" t="s">
        <v>512</v>
      </c>
    </row>
    <row r="21565" spans="1:7" x14ac:dyDescent="0.25">
      <c r="A21565" s="1" t="str">
        <f>"519525"</f>
        <v>519525</v>
      </c>
      <c r="B21565" s="2" t="str">
        <f>"SAPATO PRETO BICO DE PVC 34"</f>
        <v>SAPATO PRETO BICO DE PVC 34</v>
      </c>
      <c r="C21565" s="2" t="str">
        <f t="shared" si="852"/>
        <v>UN</v>
      </c>
      <c r="D21565" s="7">
        <v>500</v>
      </c>
      <c r="E21565" s="3">
        <v>5</v>
      </c>
      <c r="F21565" s="3">
        <v>5</v>
      </c>
      <c r="G21565" t="s">
        <v>513</v>
      </c>
    </row>
    <row r="21566" spans="1:7" x14ac:dyDescent="0.25">
      <c r="A21566" s="1" t="str">
        <f>"526772"</f>
        <v>526772</v>
      </c>
      <c r="B21566" s="2" t="str">
        <f>"SAPATO PRETO BICO DE PVC 35"</f>
        <v>SAPATO PRETO BICO DE PVC 35</v>
      </c>
      <c r="C21566" s="2" t="str">
        <f t="shared" si="852"/>
        <v>UN</v>
      </c>
      <c r="D21566" s="7">
        <v>500</v>
      </c>
      <c r="E21566" s="3">
        <v>5</v>
      </c>
      <c r="F21566" s="3">
        <v>5</v>
      </c>
      <c r="G21566" t="s">
        <v>514</v>
      </c>
    </row>
    <row r="21567" spans="1:7" x14ac:dyDescent="0.25">
      <c r="A21567" s="1" t="str">
        <f>"522291"</f>
        <v>522291</v>
      </c>
      <c r="B21567" s="2" t="str">
        <f>"SAPATO PRETO BICO DE PVC 36"</f>
        <v>SAPATO PRETO BICO DE PVC 36</v>
      </c>
      <c r="C21567" s="2" t="str">
        <f t="shared" si="852"/>
        <v>UN</v>
      </c>
      <c r="D21567" s="7">
        <v>500</v>
      </c>
      <c r="E21567" s="3">
        <v>5</v>
      </c>
      <c r="F21567" s="3">
        <v>5</v>
      </c>
      <c r="G21567" t="s">
        <v>515</v>
      </c>
    </row>
    <row r="21568" spans="1:7" x14ac:dyDescent="0.25">
      <c r="A21568" s="1" t="str">
        <f>"519524"</f>
        <v>519524</v>
      </c>
      <c r="B21568" s="2" t="str">
        <f>"SAPATO PRETO BICO DE PVC 37"</f>
        <v>SAPATO PRETO BICO DE PVC 37</v>
      </c>
      <c r="C21568" s="2" t="str">
        <f t="shared" si="852"/>
        <v>UN</v>
      </c>
      <c r="D21568" s="7">
        <v>500</v>
      </c>
      <c r="E21568" s="3">
        <v>5</v>
      </c>
      <c r="F21568" s="3">
        <v>5</v>
      </c>
      <c r="G21568" t="s">
        <v>512</v>
      </c>
    </row>
    <row r="21569" spans="1:7" x14ac:dyDescent="0.25">
      <c r="A21569" s="1" t="str">
        <f>"513562"</f>
        <v>513562</v>
      </c>
      <c r="B21569" s="2" t="str">
        <f>"SAPATO PRETO BICO DE PVC 39"</f>
        <v>SAPATO PRETO BICO DE PVC 39</v>
      </c>
      <c r="C21569" s="2" t="str">
        <f t="shared" si="852"/>
        <v>UN</v>
      </c>
      <c r="D21569" s="7">
        <v>500</v>
      </c>
      <c r="E21569" s="3">
        <v>5</v>
      </c>
      <c r="F21569" s="3">
        <v>5</v>
      </c>
      <c r="G21569" t="s">
        <v>516</v>
      </c>
    </row>
    <row r="21570" spans="1:7" x14ac:dyDescent="0.25">
      <c r="A21570" s="1" t="str">
        <f>"512839"</f>
        <v>512839</v>
      </c>
      <c r="B21570" s="2" t="str">
        <f>"SAPATO PRETO BICO DE PVC 40"</f>
        <v>SAPATO PRETO BICO DE PVC 40</v>
      </c>
      <c r="C21570" s="2" t="str">
        <f t="shared" si="852"/>
        <v>UN</v>
      </c>
      <c r="D21570" s="7">
        <v>500</v>
      </c>
      <c r="E21570" s="3">
        <v>5</v>
      </c>
      <c r="F21570" s="3">
        <v>5</v>
      </c>
      <c r="G21570" t="s">
        <v>515</v>
      </c>
    </row>
    <row r="21571" spans="1:7" x14ac:dyDescent="0.25">
      <c r="A21571" s="1" t="str">
        <f>"6274"</f>
        <v>6274</v>
      </c>
      <c r="B21571" s="2" t="str">
        <f>"SAPATO PRETO BICO DE PVC 41"</f>
        <v>SAPATO PRETO BICO DE PVC 41</v>
      </c>
      <c r="C21571" s="2" t="str">
        <f t="shared" si="852"/>
        <v>UN</v>
      </c>
      <c r="D21571" s="7">
        <v>501</v>
      </c>
      <c r="E21571" s="3">
        <v>5</v>
      </c>
      <c r="F21571" s="3">
        <v>5</v>
      </c>
      <c r="G21571" t="s">
        <v>514</v>
      </c>
    </row>
    <row r="21572" spans="1:7" x14ac:dyDescent="0.25">
      <c r="A21572" s="1" t="str">
        <f>"514892"</f>
        <v>514892</v>
      </c>
      <c r="B21572" s="2" t="str">
        <f>"SAPOLIO RADIUM"</f>
        <v>SAPOLIO RADIUM</v>
      </c>
      <c r="C21572" s="2" t="str">
        <f t="shared" si="852"/>
        <v>UN</v>
      </c>
      <c r="D21572" s="7">
        <v>401</v>
      </c>
      <c r="E21572" s="3">
        <v>4</v>
      </c>
      <c r="F21572" s="3">
        <v>4</v>
      </c>
      <c r="G21572" t="s">
        <v>512</v>
      </c>
    </row>
    <row r="21573" spans="1:7" x14ac:dyDescent="0.25">
      <c r="A21573" s="1" t="str">
        <f>"4055"</f>
        <v>4055</v>
      </c>
      <c r="B21573" s="2" t="str">
        <f>"SAQUINHO BEB. LACTEA AMEIXA (CAROLINA) 850G"</f>
        <v>SAQUINHO BEB. LACTEA AMEIXA (CAROLINA) 850G</v>
      </c>
      <c r="C21573" s="2" t="str">
        <f t="shared" si="852"/>
        <v>UN</v>
      </c>
      <c r="D21573" s="7">
        <v>113</v>
      </c>
      <c r="E21573" s="3">
        <v>1</v>
      </c>
      <c r="F21573" s="3">
        <v>1</v>
      </c>
      <c r="G21573" t="s">
        <v>513</v>
      </c>
    </row>
    <row r="21574" spans="1:7" x14ac:dyDescent="0.25">
      <c r="A21574" s="1" t="str">
        <f>"4054"</f>
        <v>4054</v>
      </c>
      <c r="B21574" s="2" t="str">
        <f>"SAQUINHO BEB. LACTEA COCO (CAROLINA) 850G"</f>
        <v>SAQUINHO BEB. LACTEA COCO (CAROLINA) 850G</v>
      </c>
      <c r="C21574" s="2" t="str">
        <f t="shared" si="852"/>
        <v>UN</v>
      </c>
      <c r="D21574" s="7">
        <v>113</v>
      </c>
      <c r="E21574" s="3">
        <v>1</v>
      </c>
      <c r="F21574" s="3">
        <v>1</v>
      </c>
      <c r="G21574" t="s">
        <v>514</v>
      </c>
    </row>
    <row r="21575" spans="1:7" x14ac:dyDescent="0.25">
      <c r="A21575" s="1" t="str">
        <f>"4052"</f>
        <v>4052</v>
      </c>
      <c r="B21575" s="2" t="str">
        <f>"SAQUINHO BEB. LACTEA MORANGO (CAROLINA) 850G"</f>
        <v>SAQUINHO BEB. LACTEA MORANGO (CAROLINA) 850G</v>
      </c>
      <c r="C21575" s="2" t="str">
        <f t="shared" si="852"/>
        <v>UN</v>
      </c>
      <c r="D21575" s="7">
        <v>113</v>
      </c>
      <c r="E21575" s="3">
        <v>1</v>
      </c>
      <c r="F21575" s="3">
        <v>1</v>
      </c>
      <c r="G21575" t="s">
        <v>514</v>
      </c>
    </row>
    <row r="21576" spans="1:7" x14ac:dyDescent="0.25">
      <c r="A21576" s="1" t="str">
        <f>"4053"</f>
        <v>4053</v>
      </c>
      <c r="B21576" s="2" t="str">
        <f>"SAQUINHO BEB. LACTEA SALADA FRUTAS (CAROLINA) 850G"</f>
        <v>SAQUINHO BEB. LACTEA SALADA FRUTAS (CAROLINA) 850G</v>
      </c>
      <c r="C21576" s="2" t="str">
        <f t="shared" si="852"/>
        <v>UN</v>
      </c>
      <c r="D21576" s="7">
        <v>113</v>
      </c>
      <c r="E21576" s="3">
        <v>1</v>
      </c>
      <c r="F21576" s="3">
        <v>1</v>
      </c>
      <c r="G21576" t="s">
        <v>512</v>
      </c>
    </row>
    <row r="21577" spans="1:7" x14ac:dyDescent="0.25">
      <c r="A21577" s="1" t="str">
        <f>"520728"</f>
        <v>520728</v>
      </c>
      <c r="B21577" s="2" t="str">
        <f>"SAQUINHO DE PIPOCA"</f>
        <v>SAQUINHO DE PIPOCA</v>
      </c>
      <c r="C21577" s="2" t="str">
        <f t="shared" si="852"/>
        <v>UN</v>
      </c>
      <c r="D21577" s="7">
        <v>99999</v>
      </c>
      <c r="E21577" s="3">
        <v>99</v>
      </c>
      <c r="F21577" s="3">
        <v>99</v>
      </c>
      <c r="G21577" t="s">
        <v>513</v>
      </c>
    </row>
    <row r="21578" spans="1:7" x14ac:dyDescent="0.25">
      <c r="A21578" s="1" t="str">
        <f>"524067"</f>
        <v>524067</v>
      </c>
      <c r="B21578" s="2" t="str">
        <f>"SAQUINHO HOT DOG C/ 100 UNIDADES"</f>
        <v>SAQUINHO HOT DOG C/ 100 UNIDADES</v>
      </c>
      <c r="C21578" s="2" t="str">
        <f t="shared" si="852"/>
        <v>UN</v>
      </c>
      <c r="D21578" s="7">
        <v>99999</v>
      </c>
      <c r="E21578" s="3">
        <v>99</v>
      </c>
      <c r="F21578" s="3">
        <v>99</v>
      </c>
      <c r="G21578" t="s">
        <v>514</v>
      </c>
    </row>
    <row r="21579" spans="1:7" x14ac:dyDescent="0.25">
      <c r="A21579" s="1" t="str">
        <f>"511516"</f>
        <v>511516</v>
      </c>
      <c r="B21579" s="2" t="str">
        <f>"SAR CED 20X60"</f>
        <v>SAR CED 20X60</v>
      </c>
      <c r="C21579" s="2" t="str">
        <f t="shared" si="852"/>
        <v>UN</v>
      </c>
      <c r="D21579" s="7">
        <v>99999</v>
      </c>
      <c r="E21579" s="3">
        <v>99</v>
      </c>
      <c r="F21579" s="3">
        <v>99</v>
      </c>
      <c r="G21579" t="s">
        <v>514</v>
      </c>
    </row>
    <row r="21580" spans="1:7" x14ac:dyDescent="0.25">
      <c r="A21580" s="1" t="str">
        <f>"510878"</f>
        <v>510878</v>
      </c>
      <c r="B21580" s="2" t="str">
        <f>"SARDINHA COQUEIRO 125GR"</f>
        <v>SARDINHA COQUEIRO 125GR</v>
      </c>
      <c r="C21580" s="2" t="str">
        <f t="shared" si="852"/>
        <v>UN</v>
      </c>
      <c r="D21580" s="7">
        <v>401</v>
      </c>
      <c r="E21580" s="3">
        <v>4</v>
      </c>
      <c r="F21580" s="3">
        <v>4</v>
      </c>
      <c r="G21580" t="s">
        <v>514</v>
      </c>
    </row>
    <row r="21581" spans="1:7" x14ac:dyDescent="0.25">
      <c r="A21581" s="1" t="str">
        <f>"517681"</f>
        <v>517681</v>
      </c>
      <c r="B21581" s="2" t="str">
        <f>"SARRAFO  DE PINUS 10CM X 3MT"</f>
        <v>SARRAFO  DE PINUS 10CM X 3MT</v>
      </c>
      <c r="C21581" s="2" t="str">
        <f t="shared" si="852"/>
        <v>UN</v>
      </c>
      <c r="D21581" s="7">
        <v>917</v>
      </c>
      <c r="E21581" s="3">
        <v>10</v>
      </c>
      <c r="F21581" s="3">
        <v>10</v>
      </c>
      <c r="G21581" t="s">
        <v>513</v>
      </c>
    </row>
    <row r="21582" spans="1:7" x14ac:dyDescent="0.25">
      <c r="A21582" s="1" t="str">
        <f>"525099"</f>
        <v>525099</v>
      </c>
      <c r="B21582" s="2" t="str">
        <f>"SARRAFO DE PINUS 15CM X 3MT"</f>
        <v>SARRAFO DE PINUS 15CM X 3MT</v>
      </c>
      <c r="C21582" s="2" t="str">
        <f t="shared" si="852"/>
        <v>UN</v>
      </c>
      <c r="D21582" s="7">
        <v>99999</v>
      </c>
      <c r="E21582" s="3">
        <v>99</v>
      </c>
      <c r="F21582" s="3">
        <v>99</v>
      </c>
      <c r="G21582" t="s">
        <v>512</v>
      </c>
    </row>
    <row r="21583" spans="1:7" x14ac:dyDescent="0.25">
      <c r="A21583" s="1" t="str">
        <f>"522951"</f>
        <v>522951</v>
      </c>
      <c r="B21583" s="2" t="str">
        <f>"SARRAFO DE PINUS 20CM X 3MT"</f>
        <v>SARRAFO DE PINUS 20CM X 3MT</v>
      </c>
      <c r="C21583" s="2" t="str">
        <f t="shared" si="852"/>
        <v>UN</v>
      </c>
      <c r="D21583" s="7">
        <v>917</v>
      </c>
      <c r="E21583" s="3">
        <v>4</v>
      </c>
      <c r="F21583" s="3">
        <v>4</v>
      </c>
      <c r="G21583" t="s">
        <v>513</v>
      </c>
    </row>
    <row r="21584" spans="1:7" x14ac:dyDescent="0.25">
      <c r="A21584" s="1" t="str">
        <f>"525055"</f>
        <v>525055</v>
      </c>
      <c r="B21584" s="2" t="str">
        <f>"SARRAFO DE PINUS 5CM X 3MT"</f>
        <v>SARRAFO DE PINUS 5CM X 3MT</v>
      </c>
      <c r="C21584" s="2" t="str">
        <f t="shared" si="852"/>
        <v>UN</v>
      </c>
      <c r="D21584" s="7">
        <v>917</v>
      </c>
      <c r="E21584" s="3">
        <v>4</v>
      </c>
      <c r="F21584" s="3">
        <v>4</v>
      </c>
      <c r="G21584" t="s">
        <v>514</v>
      </c>
    </row>
    <row r="21585" spans="1:7" x14ac:dyDescent="0.25">
      <c r="A21585" s="1" t="str">
        <f>"514776"</f>
        <v>514776</v>
      </c>
      <c r="B21585" s="2" t="str">
        <f>"SAZON VERMELHO"</f>
        <v>SAZON VERMELHO</v>
      </c>
      <c r="C21585" s="2" t="str">
        <f t="shared" si="852"/>
        <v>UN</v>
      </c>
      <c r="D21585" s="7">
        <v>401</v>
      </c>
      <c r="E21585" s="3">
        <v>4</v>
      </c>
      <c r="F21585" s="3">
        <v>4</v>
      </c>
      <c r="G21585" t="s">
        <v>514</v>
      </c>
    </row>
    <row r="21586" spans="1:7" x14ac:dyDescent="0.25">
      <c r="A21586" s="1" t="str">
        <f>"514875"</f>
        <v>514875</v>
      </c>
      <c r="B21586" s="2" t="str">
        <f>"SBP"</f>
        <v>SBP</v>
      </c>
      <c r="C21586" s="2" t="str">
        <f t="shared" ref="C21586:C21617" si="853">"UN"</f>
        <v>UN</v>
      </c>
      <c r="D21586" s="7">
        <v>401</v>
      </c>
      <c r="E21586" s="3">
        <v>4</v>
      </c>
      <c r="F21586" s="3">
        <v>4</v>
      </c>
      <c r="G21586" t="s">
        <v>514</v>
      </c>
    </row>
    <row r="21587" spans="1:7" x14ac:dyDescent="0.25">
      <c r="A21587" s="1" t="str">
        <f>"6853"</f>
        <v>6853</v>
      </c>
      <c r="B21587" s="2" t="str">
        <f>"SBTPA PP DIVERSOS DIAMETRO (S/P) (S/P)"</f>
        <v>SBTPA PP DIVERSOS DIAMETRO (S/P) (S/P)</v>
      </c>
      <c r="C21587" s="2" t="str">
        <f t="shared" si="853"/>
        <v>UN</v>
      </c>
      <c r="D21587" s="7">
        <v>103</v>
      </c>
      <c r="E21587" s="3">
        <v>1</v>
      </c>
      <c r="F21587" s="3">
        <v>1</v>
      </c>
      <c r="G21587" t="s">
        <v>513</v>
      </c>
    </row>
    <row r="21588" spans="1:7" x14ac:dyDescent="0.25">
      <c r="A21588" s="1" t="str">
        <f>"514331"</f>
        <v>514331</v>
      </c>
      <c r="B21588" s="2" t="str">
        <f>"SC BLISTER 128KB"</f>
        <v>SC BLISTER 128KB</v>
      </c>
      <c r="C21588" s="2" t="str">
        <f t="shared" si="853"/>
        <v>UN</v>
      </c>
      <c r="D21588" s="7">
        <v>401</v>
      </c>
      <c r="E21588" s="3">
        <v>4</v>
      </c>
      <c r="F21588" s="3">
        <v>4</v>
      </c>
      <c r="G21588" t="s">
        <v>513</v>
      </c>
    </row>
    <row r="21589" spans="1:7" x14ac:dyDescent="0.25">
      <c r="A21589" s="1" t="str">
        <f>"514790"</f>
        <v>514790</v>
      </c>
      <c r="B21589" s="2" t="str">
        <f>"SC BOPP 4NP PR 128KB AAC003"</f>
        <v>SC BOPP 4NP PR 128KB AAC003</v>
      </c>
      <c r="C21589" s="2" t="str">
        <f t="shared" si="853"/>
        <v>UN</v>
      </c>
      <c r="D21589" s="7">
        <v>401</v>
      </c>
      <c r="E21589" s="3">
        <v>4</v>
      </c>
      <c r="F21589" s="3">
        <v>4</v>
      </c>
      <c r="G21589" t="s">
        <v>513</v>
      </c>
    </row>
    <row r="21590" spans="1:7" x14ac:dyDescent="0.25">
      <c r="A21590" s="1" t="str">
        <f>"523074"</f>
        <v>523074</v>
      </c>
      <c r="B21590" s="2" t="str">
        <f>"SCAFLOGIN 100MG"</f>
        <v>SCAFLOGIN 100MG</v>
      </c>
      <c r="C21590" s="2" t="str">
        <f t="shared" si="853"/>
        <v>UN</v>
      </c>
      <c r="D21590" s="7">
        <v>401</v>
      </c>
      <c r="E21590" s="3">
        <v>4</v>
      </c>
      <c r="F21590" s="3">
        <v>4</v>
      </c>
      <c r="G21590" t="s">
        <v>512</v>
      </c>
    </row>
    <row r="21591" spans="1:7" x14ac:dyDescent="0.25">
      <c r="A21591" s="1" t="str">
        <f>"511596"</f>
        <v>511596</v>
      </c>
      <c r="B21591" s="2" t="str">
        <f>"SCAVULSONPPR128KBAAC003-5.4 8523.52.00PN"</f>
        <v>SCAVULSONPPR128KBAAC003-5.4 8523.52.00PN</v>
      </c>
      <c r="C21591" s="2" t="str">
        <f t="shared" si="853"/>
        <v>UN</v>
      </c>
      <c r="D21591" s="7">
        <v>401</v>
      </c>
      <c r="E21591" s="3">
        <v>4</v>
      </c>
      <c r="F21591" s="3">
        <v>4</v>
      </c>
      <c r="G21591" t="s">
        <v>513</v>
      </c>
    </row>
    <row r="21592" spans="1:7" x14ac:dyDescent="0.25">
      <c r="A21592" s="1" t="str">
        <f>"511598"</f>
        <v>511598</v>
      </c>
      <c r="B21592" s="2" t="str">
        <f>"SCAVULSONPPR128KBAAC003-5.4 8523.52.00PN"</f>
        <v>SCAVULSONPPR128KBAAC003-5.4 8523.52.00PN</v>
      </c>
      <c r="C21592" s="2" t="str">
        <f t="shared" si="853"/>
        <v>UN</v>
      </c>
      <c r="D21592" s="7">
        <v>401</v>
      </c>
      <c r="E21592" s="3">
        <v>4</v>
      </c>
      <c r="F21592" s="3">
        <v>4</v>
      </c>
      <c r="G21592" t="s">
        <v>514</v>
      </c>
    </row>
    <row r="21593" spans="1:7" x14ac:dyDescent="0.25">
      <c r="A21593" s="1" t="str">
        <f>"526740"</f>
        <v>526740</v>
      </c>
      <c r="B21593" s="2" t="str">
        <f>"S-CNM-15 SUBCONJUNTO DA UND OPER."</f>
        <v>S-CNM-15 SUBCONJUNTO DA UND OPER.</v>
      </c>
      <c r="C21593" s="2" t="str">
        <f t="shared" si="853"/>
        <v>UN</v>
      </c>
      <c r="D21593" s="7">
        <v>918</v>
      </c>
      <c r="E21593" s="3">
        <v>11</v>
      </c>
      <c r="F21593" s="3">
        <v>11</v>
      </c>
      <c r="G21593" t="s">
        <v>515</v>
      </c>
    </row>
    <row r="21594" spans="1:7" x14ac:dyDescent="0.25">
      <c r="A21594" s="1" t="str">
        <f>"503386"</f>
        <v>503386</v>
      </c>
      <c r="B21594" s="2" t="str">
        <f>"SCREW - FLAT M4X10       COD.26100547582"</f>
        <v>SCREW - FLAT M4X10       COD.26100547582</v>
      </c>
      <c r="C21594" s="2" t="str">
        <f t="shared" si="853"/>
        <v>UN</v>
      </c>
      <c r="D21594" s="7">
        <v>918</v>
      </c>
      <c r="E21594" s="3">
        <v>11</v>
      </c>
      <c r="F21594" s="3">
        <v>11</v>
      </c>
      <c r="G21594" t="s">
        <v>512</v>
      </c>
    </row>
    <row r="21595" spans="1:7" x14ac:dyDescent="0.25">
      <c r="A21595" s="1" t="str">
        <f>"503387"</f>
        <v>503387</v>
      </c>
      <c r="B21595" s="2" t="str">
        <f>"SCREW - FLAT M5X20       COD.26100547574"</f>
        <v>SCREW - FLAT M5X20       COD.26100547574</v>
      </c>
      <c r="C21595" s="2" t="str">
        <f t="shared" si="853"/>
        <v>UN</v>
      </c>
      <c r="D21595" s="7">
        <v>918</v>
      </c>
      <c r="E21595" s="3">
        <v>11</v>
      </c>
      <c r="F21595" s="3">
        <v>11</v>
      </c>
      <c r="G21595" t="s">
        <v>516</v>
      </c>
    </row>
    <row r="21596" spans="1:7" x14ac:dyDescent="0.25">
      <c r="A21596" s="1" t="str">
        <f>"511210"</f>
        <v>511210</v>
      </c>
      <c r="B21596" s="2" t="str">
        <f>"SCREW COD. 221332"</f>
        <v>SCREW COD. 221332</v>
      </c>
      <c r="C21596" s="2" t="str">
        <f t="shared" si="853"/>
        <v>UN</v>
      </c>
      <c r="D21596" s="7">
        <v>918</v>
      </c>
      <c r="E21596" s="3">
        <v>11</v>
      </c>
      <c r="F21596" s="3">
        <v>11</v>
      </c>
      <c r="G21596" t="s">
        <v>515</v>
      </c>
    </row>
    <row r="21597" spans="1:7" x14ac:dyDescent="0.25">
      <c r="A21597" s="1" t="str">
        <f>"511201"</f>
        <v>511201</v>
      </c>
      <c r="B21597" s="2" t="str">
        <f>"SCREW COD. 221586"</f>
        <v>SCREW COD. 221586</v>
      </c>
      <c r="C21597" s="2" t="str">
        <f t="shared" si="853"/>
        <v>UN</v>
      </c>
      <c r="D21597" s="7">
        <v>918</v>
      </c>
      <c r="E21597" s="3">
        <v>11</v>
      </c>
      <c r="F21597" s="3">
        <v>11</v>
      </c>
      <c r="G21597" t="s">
        <v>514</v>
      </c>
    </row>
    <row r="21598" spans="1:7" x14ac:dyDescent="0.25">
      <c r="A21598" s="1" t="str">
        <f>"511218"</f>
        <v>511218</v>
      </c>
      <c r="B21598" s="2" t="str">
        <f>"SEALING COD. 20066"</f>
        <v>SEALING COD. 20066</v>
      </c>
      <c r="C21598" s="2" t="str">
        <f t="shared" si="853"/>
        <v>UN</v>
      </c>
      <c r="D21598" s="7">
        <v>918</v>
      </c>
      <c r="E21598" s="3">
        <v>11</v>
      </c>
      <c r="F21598" s="3">
        <v>11</v>
      </c>
      <c r="G21598" t="s">
        <v>512</v>
      </c>
    </row>
    <row r="21599" spans="1:7" x14ac:dyDescent="0.25">
      <c r="A21599" s="1" t="str">
        <f>"511196"</f>
        <v>511196</v>
      </c>
      <c r="B21599" s="2" t="str">
        <f>"SEALING COD. 215866"</f>
        <v>SEALING COD. 215866</v>
      </c>
      <c r="C21599" s="2" t="str">
        <f t="shared" si="853"/>
        <v>UN</v>
      </c>
      <c r="D21599" s="7">
        <v>918</v>
      </c>
      <c r="E21599" s="3">
        <v>11</v>
      </c>
      <c r="F21599" s="3">
        <v>11</v>
      </c>
      <c r="G21599" t="s">
        <v>513</v>
      </c>
    </row>
    <row r="21600" spans="1:7" x14ac:dyDescent="0.25">
      <c r="A21600" s="1" t="str">
        <f>"511219"</f>
        <v>511219</v>
      </c>
      <c r="B21600" s="2" t="str">
        <f>"SEALING COD. 215867"</f>
        <v>SEALING COD. 215867</v>
      </c>
      <c r="C21600" s="2" t="str">
        <f t="shared" si="853"/>
        <v>UN</v>
      </c>
      <c r="D21600" s="7">
        <v>918</v>
      </c>
      <c r="E21600" s="3">
        <v>11</v>
      </c>
      <c r="F21600" s="3">
        <v>11</v>
      </c>
      <c r="G21600" t="s">
        <v>514</v>
      </c>
    </row>
    <row r="21601" spans="1:7" x14ac:dyDescent="0.25">
      <c r="A21601" s="1" t="str">
        <f>"511195"</f>
        <v>511195</v>
      </c>
      <c r="B21601" s="2" t="str">
        <f>"SEALING RING COD. 21060"</f>
        <v>SEALING RING COD. 21060</v>
      </c>
      <c r="C21601" s="2" t="str">
        <f t="shared" si="853"/>
        <v>UN</v>
      </c>
      <c r="D21601" s="7">
        <v>918</v>
      </c>
      <c r="E21601" s="3">
        <v>11</v>
      </c>
      <c r="F21601" s="3">
        <v>11</v>
      </c>
      <c r="G21601" t="s">
        <v>514</v>
      </c>
    </row>
    <row r="21602" spans="1:7" x14ac:dyDescent="0.25">
      <c r="A21602" s="1" t="str">
        <f>"504409"</f>
        <v>504409</v>
      </c>
      <c r="B21602" s="2" t="str">
        <f>"SEALTUBO FLEXIVEL 1"""</f>
        <v>SEALTUBO FLEXIVEL 1"</v>
      </c>
      <c r="C21602" s="2" t="str">
        <f t="shared" si="853"/>
        <v>UN</v>
      </c>
      <c r="D21602" s="7">
        <v>601</v>
      </c>
      <c r="E21602" s="3">
        <v>8</v>
      </c>
      <c r="F21602" s="3">
        <v>8</v>
      </c>
      <c r="G21602" t="s">
        <v>512</v>
      </c>
    </row>
    <row r="21603" spans="1:7" x14ac:dyDescent="0.25">
      <c r="A21603" s="1" t="str">
        <f>"509955"</f>
        <v>509955</v>
      </c>
      <c r="B21603" s="2" t="str">
        <f>"SEALTUBO FLEXIVEL 2"""</f>
        <v>SEALTUBO FLEXIVEL 2"</v>
      </c>
      <c r="C21603" s="2" t="str">
        <f t="shared" si="853"/>
        <v>UN</v>
      </c>
      <c r="D21603" s="7">
        <v>601</v>
      </c>
      <c r="E21603" s="3">
        <v>8</v>
      </c>
      <c r="F21603" s="3">
        <v>8</v>
      </c>
      <c r="G21603" t="s">
        <v>513</v>
      </c>
    </row>
    <row r="21604" spans="1:7" x14ac:dyDescent="0.25">
      <c r="A21604" s="1" t="str">
        <f>"518553"</f>
        <v>518553</v>
      </c>
      <c r="B21604" s="2" t="str">
        <f>"SEALTUBO NORMAL 1 1/2"""</f>
        <v>SEALTUBO NORMAL 1 1/2"</v>
      </c>
      <c r="C21604" s="2" t="str">
        <f t="shared" si="853"/>
        <v>UN</v>
      </c>
      <c r="D21604" s="7">
        <v>811</v>
      </c>
      <c r="E21604" s="3">
        <v>8</v>
      </c>
      <c r="F21604" s="3">
        <v>8</v>
      </c>
      <c r="G21604" t="s">
        <v>514</v>
      </c>
    </row>
    <row r="21605" spans="1:7" x14ac:dyDescent="0.25">
      <c r="A21605" s="1" t="str">
        <f>"511326"</f>
        <v>511326</v>
      </c>
      <c r="B21605" s="2" t="str">
        <f>"SEALTUBO NORMAL 1/2"""</f>
        <v>SEALTUBO NORMAL 1/2"</v>
      </c>
      <c r="C21605" s="2" t="str">
        <f t="shared" si="853"/>
        <v>UN</v>
      </c>
      <c r="D21605" s="7">
        <v>601</v>
      </c>
      <c r="E21605" s="3">
        <v>8</v>
      </c>
      <c r="F21605" s="3">
        <v>8</v>
      </c>
      <c r="G21605" t="s">
        <v>514</v>
      </c>
    </row>
    <row r="21606" spans="1:7" x14ac:dyDescent="0.25">
      <c r="A21606" s="1" t="str">
        <f>"504408"</f>
        <v>504408</v>
      </c>
      <c r="B21606" s="2" t="str">
        <f>"SEALTUBO NORMAL 3/4"</f>
        <v>SEALTUBO NORMAL 3/4</v>
      </c>
      <c r="C21606" s="2" t="str">
        <f t="shared" si="853"/>
        <v>UN</v>
      </c>
      <c r="D21606" s="7">
        <v>601</v>
      </c>
      <c r="E21606" s="3">
        <v>8</v>
      </c>
      <c r="F21606" s="3">
        <v>8</v>
      </c>
      <c r="G21606" t="s">
        <v>514</v>
      </c>
    </row>
    <row r="21607" spans="1:7" x14ac:dyDescent="0.25">
      <c r="A21607" s="1" t="str">
        <f>"526370"</f>
        <v>526370</v>
      </c>
      <c r="B21607" s="2" t="str">
        <f>"SECADOR DE AR ARGON THL 1200"</f>
        <v>SECADOR DE AR ARGON THL 1200</v>
      </c>
      <c r="C21607" s="2" t="str">
        <f t="shared" si="853"/>
        <v>UN</v>
      </c>
      <c r="D21607" s="7">
        <v>1300</v>
      </c>
      <c r="E21607" s="3">
        <v>13</v>
      </c>
      <c r="F21607" s="3">
        <v>13</v>
      </c>
      <c r="G21607" t="s">
        <v>513</v>
      </c>
    </row>
    <row r="21608" spans="1:7" x14ac:dyDescent="0.25">
      <c r="A21608" s="1" t="str">
        <f>"526973"</f>
        <v>526973</v>
      </c>
      <c r="B21608" s="2" t="str">
        <f>"SECADOR DE AR IDF150F-30"</f>
        <v>SECADOR DE AR IDF150F-30</v>
      </c>
      <c r="C21608" s="2" t="str">
        <f t="shared" si="853"/>
        <v>UN</v>
      </c>
      <c r="D21608" s="7">
        <v>901</v>
      </c>
      <c r="E21608" s="3">
        <v>10</v>
      </c>
      <c r="F21608" s="3">
        <v>10</v>
      </c>
      <c r="G21608" t="s">
        <v>512</v>
      </c>
    </row>
    <row r="21609" spans="1:7" x14ac:dyDescent="0.25">
      <c r="A21609" s="1" t="str">
        <f>"512127"</f>
        <v>512127</v>
      </c>
      <c r="B21609" s="2" t="str">
        <f>"SECCIONADOR P/ FUZIVEL 1A"</f>
        <v>SECCIONADOR P/ FUZIVEL 1A</v>
      </c>
      <c r="C21609" s="2" t="str">
        <f t="shared" si="853"/>
        <v>UN</v>
      </c>
      <c r="D21609" s="7">
        <v>600</v>
      </c>
      <c r="E21609" s="3">
        <v>8</v>
      </c>
      <c r="F21609" s="3">
        <v>8</v>
      </c>
      <c r="G21609" t="s">
        <v>513</v>
      </c>
    </row>
    <row r="21610" spans="1:7" x14ac:dyDescent="0.25">
      <c r="A21610" s="1" t="str">
        <f>"510671"</f>
        <v>510671</v>
      </c>
      <c r="B21610" s="2" t="str">
        <f>"SEDALGINA 30 300MG C/4"</f>
        <v>SEDALGINA 30 300MG C/4</v>
      </c>
      <c r="C21610" s="2" t="str">
        <f t="shared" si="853"/>
        <v>UN</v>
      </c>
      <c r="D21610" s="7">
        <v>401</v>
      </c>
      <c r="E21610" s="3">
        <v>4</v>
      </c>
      <c r="F21610" s="3">
        <v>4</v>
      </c>
      <c r="G21610" t="s">
        <v>514</v>
      </c>
    </row>
    <row r="21611" spans="1:7" x14ac:dyDescent="0.25">
      <c r="A21611" s="1" t="str">
        <f>"511671"</f>
        <v>511671</v>
      </c>
      <c r="B21611" s="2" t="str">
        <f>"SEDE 787648"</f>
        <v>SEDE 787648</v>
      </c>
      <c r="C21611" s="2" t="str">
        <f t="shared" si="853"/>
        <v>UN</v>
      </c>
      <c r="D21611" s="7">
        <v>402</v>
      </c>
      <c r="E21611" s="3">
        <v>4</v>
      </c>
      <c r="F21611" s="3">
        <v>4</v>
      </c>
      <c r="G21611" t="s">
        <v>514</v>
      </c>
    </row>
    <row r="21612" spans="1:7" x14ac:dyDescent="0.25">
      <c r="A21612" s="1" t="str">
        <f>"507756"</f>
        <v>507756</v>
      </c>
      <c r="B21612" s="2" t="str">
        <f>"SEDE DE HOMOGENEIZAÇAO APF0143"</f>
        <v>SEDE DE HOMOGENEIZAÇAO APF0143</v>
      </c>
      <c r="C21612" s="2" t="str">
        <f t="shared" si="853"/>
        <v>UN</v>
      </c>
      <c r="D21612" s="7">
        <v>918</v>
      </c>
      <c r="E21612" s="3">
        <v>11</v>
      </c>
      <c r="F21612" s="3">
        <v>11</v>
      </c>
      <c r="G21612" t="s">
        <v>514</v>
      </c>
    </row>
    <row r="21613" spans="1:7" x14ac:dyDescent="0.25">
      <c r="A21613" s="1" t="str">
        <f>"524792"</f>
        <v>524792</v>
      </c>
      <c r="B21613" s="2" t="str">
        <f>"SEDE DE HOMOGENEIZAÇÃO APF-5779"</f>
        <v>SEDE DE HOMOGENEIZAÇÃO APF-5779</v>
      </c>
      <c r="C21613" s="2" t="str">
        <f t="shared" si="853"/>
        <v>UN</v>
      </c>
      <c r="D21613" s="7">
        <v>918</v>
      </c>
      <c r="E21613" s="3">
        <v>10</v>
      </c>
      <c r="F21613" s="3">
        <v>10</v>
      </c>
      <c r="G21613" t="s">
        <v>513</v>
      </c>
    </row>
    <row r="21614" spans="1:7" x14ac:dyDescent="0.25">
      <c r="A21614" s="1" t="str">
        <f>"512563"</f>
        <v>512563</v>
      </c>
      <c r="B21614" s="2" t="str">
        <f>"SEDE DE SUCÇAO/DESCARGA SHL-30"</f>
        <v>SEDE DE SUCÇAO/DESCARGA SHL-30</v>
      </c>
      <c r="C21614" s="2" t="str">
        <f t="shared" si="853"/>
        <v>UN</v>
      </c>
      <c r="D21614" s="7">
        <v>918</v>
      </c>
      <c r="E21614" s="3">
        <v>11</v>
      </c>
      <c r="F21614" s="3">
        <v>11</v>
      </c>
      <c r="G21614" t="s">
        <v>513</v>
      </c>
    </row>
    <row r="21615" spans="1:7" x14ac:dyDescent="0.25">
      <c r="A21615" s="1" t="str">
        <f>"526918"</f>
        <v>526918</v>
      </c>
      <c r="B21615" s="2" t="str">
        <f>"SEDE DE VÁLVULA"</f>
        <v>SEDE DE VÁLVULA</v>
      </c>
      <c r="C21615" s="2" t="str">
        <f t="shared" si="853"/>
        <v>UN</v>
      </c>
      <c r="D21615" s="7">
        <v>807</v>
      </c>
      <c r="E21615" s="3">
        <v>10</v>
      </c>
      <c r="F21615" s="3">
        <v>10</v>
      </c>
      <c r="G21615" t="s">
        <v>513</v>
      </c>
    </row>
    <row r="21616" spans="1:7" x14ac:dyDescent="0.25">
      <c r="A21616" s="1" t="str">
        <f>"521848"</f>
        <v>521848</v>
      </c>
      <c r="B21616" s="8" t="s">
        <v>230</v>
      </c>
      <c r="C21616" s="2" t="str">
        <f t="shared" si="853"/>
        <v>UN</v>
      </c>
      <c r="D21616" s="7">
        <v>807</v>
      </c>
      <c r="E21616" s="3">
        <v>10</v>
      </c>
      <c r="F21616" s="3">
        <v>10</v>
      </c>
      <c r="G21616" t="s">
        <v>512</v>
      </c>
    </row>
    <row r="21617" spans="1:7" x14ac:dyDescent="0.25">
      <c r="A21617" s="1" t="str">
        <f>"526881"</f>
        <v>526881</v>
      </c>
      <c r="B21617" s="2" t="str">
        <f>"SEDE EST. 53 SI/304 1/18 LE75 EPDM-DFP-00014"</f>
        <v>SEDE EST. 53 SI/304 1/18 LE75 EPDM-DFP-00014</v>
      </c>
      <c r="C21617" s="2" t="str">
        <f t="shared" si="853"/>
        <v>UN</v>
      </c>
      <c r="D21617" s="7">
        <v>918</v>
      </c>
      <c r="E21617" s="3">
        <v>11</v>
      </c>
      <c r="F21617" s="3">
        <v>11</v>
      </c>
      <c r="G21617" t="s">
        <v>513</v>
      </c>
    </row>
    <row r="21618" spans="1:7" x14ac:dyDescent="0.25">
      <c r="A21618" s="1" t="str">
        <f>"526930"</f>
        <v>526930</v>
      </c>
      <c r="B21618" s="2" t="str">
        <f>"SEDE ESTACIONARIA EM CERAMICA PARATIPO 530 Ø80MM"</f>
        <v>SEDE ESTACIONARIA EM CERAMICA PARATIPO 530 Ø80MM</v>
      </c>
      <c r="C21618" s="2" t="str">
        <f t="shared" ref="C21618:C21649" si="854">"UN"</f>
        <v>UN</v>
      </c>
      <c r="D21618" s="7">
        <v>918</v>
      </c>
      <c r="E21618" s="3">
        <v>11</v>
      </c>
      <c r="F21618" s="3">
        <v>11</v>
      </c>
      <c r="G21618" t="s">
        <v>514</v>
      </c>
    </row>
    <row r="21619" spans="1:7" x14ac:dyDescent="0.25">
      <c r="A21619" s="1" t="str">
        <f>"519624"</f>
        <v>519624</v>
      </c>
      <c r="B21619" s="2" t="str">
        <f>"SEDE HOMOGENEIZAÇAO APF-6827L"</f>
        <v>SEDE HOMOGENEIZAÇAO APF-6827L</v>
      </c>
      <c r="C21619" s="2" t="str">
        <f t="shared" si="854"/>
        <v>UN</v>
      </c>
      <c r="D21619" s="7">
        <v>918</v>
      </c>
      <c r="E21619" s="3">
        <v>11</v>
      </c>
      <c r="F21619" s="3">
        <v>11</v>
      </c>
      <c r="G21619" t="s">
        <v>515</v>
      </c>
    </row>
    <row r="21620" spans="1:7" x14ac:dyDescent="0.25">
      <c r="A21620" s="1" t="str">
        <f>"508692"</f>
        <v>508692</v>
      </c>
      <c r="B21620" s="2" t="str">
        <f>"SEDE HOMOGENEIZACAO EM STELLITE APF-0143"</f>
        <v>SEDE HOMOGENEIZACAO EM STELLITE APF-0143</v>
      </c>
      <c r="C21620" s="2" t="str">
        <f t="shared" si="854"/>
        <v>UN</v>
      </c>
      <c r="D21620" s="7">
        <v>918</v>
      </c>
      <c r="E21620" s="3">
        <v>11</v>
      </c>
      <c r="F21620" s="3">
        <v>11</v>
      </c>
      <c r="G21620" t="s">
        <v>512</v>
      </c>
    </row>
    <row r="21621" spans="1:7" x14ac:dyDescent="0.25">
      <c r="A21621" s="1" t="str">
        <f>"512779"</f>
        <v>512779</v>
      </c>
      <c r="B21621" s="2" t="str">
        <f>"SEDE PRIMARIA 124234 APV CUBE 4600 APF-9621"</f>
        <v>SEDE PRIMARIA 124234 APV CUBE 4600 APF-9621</v>
      </c>
      <c r="C21621" s="2" t="str">
        <f t="shared" si="854"/>
        <v>UN</v>
      </c>
      <c r="D21621" s="7">
        <v>918</v>
      </c>
      <c r="E21621" s="3">
        <v>11</v>
      </c>
      <c r="F21621" s="3">
        <v>11</v>
      </c>
      <c r="G21621" t="s">
        <v>516</v>
      </c>
    </row>
    <row r="21622" spans="1:7" x14ac:dyDescent="0.25">
      <c r="A21622" s="1" t="str">
        <f>"520525"</f>
        <v>520525</v>
      </c>
      <c r="B21622" s="2" t="str">
        <f>"SEDE PRIMEIRO ESTAG. APF-6827  RANNIE 132T-70.140"</f>
        <v>SEDE PRIMEIRO ESTAG. APF-6827  RANNIE 132T-70.140</v>
      </c>
      <c r="C21622" s="2" t="str">
        <f t="shared" si="854"/>
        <v>UN</v>
      </c>
      <c r="D21622" s="7">
        <v>918</v>
      </c>
      <c r="E21622" s="3">
        <v>11</v>
      </c>
      <c r="F21622" s="3">
        <v>11</v>
      </c>
      <c r="G21622" t="s">
        <v>515</v>
      </c>
    </row>
    <row r="21623" spans="1:7" x14ac:dyDescent="0.25">
      <c r="A21623" s="1" t="str">
        <f>"527331"</f>
        <v>527331</v>
      </c>
      <c r="B21623" s="2" t="str">
        <f>"SEDE ROT/EST LE10147-FXA68-F/VITON"</f>
        <v>SEDE ROT/EST LE10147-FXA68-F/VITON</v>
      </c>
      <c r="C21623" s="2" t="str">
        <f t="shared" si="854"/>
        <v>UN</v>
      </c>
      <c r="D21623" s="7">
        <v>811</v>
      </c>
      <c r="E21623" s="3">
        <v>11</v>
      </c>
      <c r="F21623" s="3">
        <v>11</v>
      </c>
      <c r="G21623" t="s">
        <v>514</v>
      </c>
    </row>
    <row r="21624" spans="1:7" x14ac:dyDescent="0.25">
      <c r="A21624" s="1" t="str">
        <f>"512786"</f>
        <v>512786</v>
      </c>
      <c r="B21624" s="2" t="str">
        <f>"SEDE SECUNDARIA 124303 APV CUBE 4600 APF-9623"</f>
        <v>SEDE SECUNDARIA 124303 APV CUBE 4600 APF-9623</v>
      </c>
      <c r="C21624" s="2" t="str">
        <f t="shared" si="854"/>
        <v>UN</v>
      </c>
      <c r="D21624" s="7">
        <v>918</v>
      </c>
      <c r="E21624" s="3">
        <v>11</v>
      </c>
      <c r="F21624" s="3">
        <v>11</v>
      </c>
      <c r="G21624" t="s">
        <v>512</v>
      </c>
    </row>
    <row r="21625" spans="1:7" x14ac:dyDescent="0.25">
      <c r="A21625" s="1" t="str">
        <f>"516650"</f>
        <v>516650</v>
      </c>
      <c r="B21625" s="2" t="str">
        <f>"SEDE SEGUNDO ESTAG. APF-6772  RANNIE 132T-70.140"</f>
        <v>SEDE SEGUNDO ESTAG. APF-6772  RANNIE 132T-70.140</v>
      </c>
      <c r="C21625" s="2" t="str">
        <f t="shared" si="854"/>
        <v>UN</v>
      </c>
      <c r="D21625" s="7">
        <v>918</v>
      </c>
      <c r="E21625" s="3">
        <v>11</v>
      </c>
      <c r="F21625" s="3">
        <v>11</v>
      </c>
      <c r="G21625" t="s">
        <v>513</v>
      </c>
    </row>
    <row r="21626" spans="1:7" x14ac:dyDescent="0.25">
      <c r="A21626" s="1" t="str">
        <f>"512793"</f>
        <v>512793</v>
      </c>
      <c r="B21626" s="2" t="str">
        <f>"SEDE SUCÇÃO/DESCARGA 03630003 APV CUBE 4600 APF-9616"</f>
        <v>SEDE SUCÇÃO/DESCARGA 03630003 APV CUBE 4600 APF-9616</v>
      </c>
      <c r="C21626" s="2" t="str">
        <f t="shared" si="854"/>
        <v>UN</v>
      </c>
      <c r="D21626" s="7">
        <v>918</v>
      </c>
      <c r="E21626" s="3">
        <v>11</v>
      </c>
      <c r="F21626" s="3">
        <v>11</v>
      </c>
      <c r="G21626" t="s">
        <v>514</v>
      </c>
    </row>
    <row r="21627" spans="1:7" x14ac:dyDescent="0.25">
      <c r="A21627" s="1" t="str">
        <f>"512454"</f>
        <v>512454</v>
      </c>
      <c r="B21627" s="2" t="str">
        <f>"SEDE SUCCAO/DESCARGA APF-0582L"</f>
        <v>SEDE SUCCAO/DESCARGA APF-0582L</v>
      </c>
      <c r="C21627" s="2" t="str">
        <f t="shared" si="854"/>
        <v>UN</v>
      </c>
      <c r="D21627" s="7">
        <v>918</v>
      </c>
      <c r="E21627" s="3">
        <v>11</v>
      </c>
      <c r="F21627" s="3">
        <v>11</v>
      </c>
      <c r="G21627" t="s">
        <v>514</v>
      </c>
    </row>
    <row r="21628" spans="1:7" x14ac:dyDescent="0.25">
      <c r="A21628" s="1" t="str">
        <f>"516646"</f>
        <v>516646</v>
      </c>
      <c r="B21628" s="2" t="str">
        <f>"SEDE SUCCAO/DESCARGA APF-6711 RANNIE 132T-70.140"</f>
        <v>SEDE SUCCAO/DESCARGA APF-6711 RANNIE 132T-70.140</v>
      </c>
      <c r="C21628" s="2" t="str">
        <f t="shared" si="854"/>
        <v>UN</v>
      </c>
      <c r="D21628" s="7">
        <v>918</v>
      </c>
      <c r="E21628" s="3">
        <v>11</v>
      </c>
      <c r="F21628" s="3">
        <v>11</v>
      </c>
      <c r="G21628" t="s">
        <v>512</v>
      </c>
    </row>
    <row r="21629" spans="1:7" x14ac:dyDescent="0.25">
      <c r="A21629" s="1" t="str">
        <f>"502674"</f>
        <v>502674</v>
      </c>
      <c r="B21629" s="2" t="str">
        <f>"SEDE VALVULA CUMMINS"</f>
        <v>SEDE VALVULA CUMMINS</v>
      </c>
      <c r="C21629" s="2" t="str">
        <f t="shared" si="854"/>
        <v>UN</v>
      </c>
      <c r="D21629" s="7">
        <v>704</v>
      </c>
      <c r="E21629" s="3">
        <v>9</v>
      </c>
      <c r="F21629" s="3">
        <v>9</v>
      </c>
      <c r="G21629" t="s">
        <v>513</v>
      </c>
    </row>
    <row r="21630" spans="1:7" x14ac:dyDescent="0.25">
      <c r="A21630" s="1" t="str">
        <f>"516640"</f>
        <v>516640</v>
      </c>
      <c r="B21630" s="2" t="str">
        <f>"SEDE VALVULA SEGURANÇA JK 113513 RANNIE 132T-70.140 APF-9614"</f>
        <v>SEDE VALVULA SEGURANÇA JK 113513 RANNIE 132T-70.140 APF-9614</v>
      </c>
      <c r="C21630" s="2" t="str">
        <f t="shared" si="854"/>
        <v>UN</v>
      </c>
      <c r="D21630" s="7">
        <v>918</v>
      </c>
      <c r="E21630" s="3">
        <v>11</v>
      </c>
      <c r="F21630" s="3">
        <v>11</v>
      </c>
      <c r="G21630" t="s">
        <v>514</v>
      </c>
    </row>
    <row r="21631" spans="1:7" x14ac:dyDescent="0.25">
      <c r="A21631" s="1" t="str">
        <f>"511733"</f>
        <v>511733</v>
      </c>
      <c r="B21631" s="2" t="str">
        <f>"SEEL TUBO 3/4"</f>
        <v>SEEL TUBO 3/4</v>
      </c>
      <c r="C21631" s="2" t="str">
        <f t="shared" si="854"/>
        <v>UN</v>
      </c>
      <c r="D21631" s="7">
        <v>601</v>
      </c>
      <c r="E21631" s="3">
        <v>8</v>
      </c>
      <c r="F21631" s="3">
        <v>8</v>
      </c>
      <c r="G21631" t="s">
        <v>514</v>
      </c>
    </row>
    <row r="21632" spans="1:7" x14ac:dyDescent="0.25">
      <c r="A21632" s="1" t="str">
        <f>"518638"</f>
        <v>518638</v>
      </c>
      <c r="B21632" s="2" t="str">
        <f>"SEG. COROA"</f>
        <v>SEG. COROA</v>
      </c>
      <c r="C21632" s="2" t="str">
        <f t="shared" si="854"/>
        <v>UN</v>
      </c>
      <c r="D21632" s="7">
        <v>99999</v>
      </c>
      <c r="E21632" s="3">
        <v>99</v>
      </c>
      <c r="F21632" s="3">
        <v>99</v>
      </c>
      <c r="G21632" t="s">
        <v>514</v>
      </c>
    </row>
    <row r="21633" spans="1:7" x14ac:dyDescent="0.25">
      <c r="A21633" s="1" t="str">
        <f>"522978"</f>
        <v>522978</v>
      </c>
      <c r="B21633" s="2" t="str">
        <f>"SEGURA PORTA"</f>
        <v>SEGURA PORTA</v>
      </c>
      <c r="C21633" s="2" t="str">
        <f t="shared" si="854"/>
        <v>UN</v>
      </c>
      <c r="D21633" s="7">
        <v>99999</v>
      </c>
      <c r="E21633" s="3">
        <v>99</v>
      </c>
      <c r="F21633" s="3">
        <v>99</v>
      </c>
      <c r="G21633" t="s">
        <v>513</v>
      </c>
    </row>
    <row r="21634" spans="1:7" x14ac:dyDescent="0.25">
      <c r="A21634" s="1" t="str">
        <f>"518327"</f>
        <v>518327</v>
      </c>
      <c r="B21634" s="2" t="str">
        <f>"SEGURO"</f>
        <v>SEGURO</v>
      </c>
      <c r="C21634" s="2" t="str">
        <f t="shared" si="854"/>
        <v>UN</v>
      </c>
      <c r="D21634" s="7">
        <v>99999</v>
      </c>
      <c r="E21634" s="3">
        <v>99</v>
      </c>
      <c r="F21634" s="3">
        <v>99</v>
      </c>
      <c r="G21634" t="s">
        <v>512</v>
      </c>
    </row>
    <row r="21635" spans="1:7" x14ac:dyDescent="0.25">
      <c r="A21635" s="1" t="str">
        <f>"510105"</f>
        <v>510105</v>
      </c>
      <c r="B21635" s="2" t="str">
        <f>"SEL0 MECANICO 1 - 1/8"</f>
        <v>SEL0 MECANICO 1 - 1/8</v>
      </c>
      <c r="C21635" s="2" t="str">
        <f t="shared" si="854"/>
        <v>UN</v>
      </c>
      <c r="D21635" s="7">
        <v>918</v>
      </c>
      <c r="E21635" s="3">
        <v>11</v>
      </c>
      <c r="F21635" s="3">
        <v>11</v>
      </c>
      <c r="G21635" t="s">
        <v>513</v>
      </c>
    </row>
    <row r="21636" spans="1:7" x14ac:dyDescent="0.25">
      <c r="A21636" s="1" t="str">
        <f>"514168"</f>
        <v>514168</v>
      </c>
      <c r="B21636" s="2" t="str">
        <f>"SELA - TUBO DE ESCAPE"</f>
        <v>SELA - TUBO DE ESCAPE</v>
      </c>
      <c r="C21636" s="2" t="str">
        <f t="shared" si="854"/>
        <v>UN</v>
      </c>
      <c r="D21636" s="7">
        <v>704</v>
      </c>
      <c r="E21636" s="3">
        <v>9</v>
      </c>
      <c r="F21636" s="3">
        <v>9</v>
      </c>
      <c r="G21636" t="s">
        <v>514</v>
      </c>
    </row>
    <row r="21637" spans="1:7" x14ac:dyDescent="0.25">
      <c r="A21637" s="1" t="str">
        <f>"511529"</f>
        <v>511529</v>
      </c>
      <c r="B21637" s="2" t="str">
        <f>"SELADOR ACRILICO 18 LITROS GLASURIT"</f>
        <v>SELADOR ACRILICO 18 LITROS GLASURIT</v>
      </c>
      <c r="C21637" s="2" t="str">
        <f t="shared" si="854"/>
        <v>UN</v>
      </c>
      <c r="D21637" s="7">
        <v>803</v>
      </c>
      <c r="E21637" s="3">
        <v>10</v>
      </c>
      <c r="F21637" s="3">
        <v>10</v>
      </c>
      <c r="G21637" t="s">
        <v>514</v>
      </c>
    </row>
    <row r="21638" spans="1:7" x14ac:dyDescent="0.25">
      <c r="A21638" s="1" t="str">
        <f>"500437"</f>
        <v>500437</v>
      </c>
      <c r="B21638" s="2" t="str">
        <f>"SELADOR ACRILICO 18 LITROS SUVINIL"</f>
        <v>SELADOR ACRILICO 18 LITROS SUVINIL</v>
      </c>
      <c r="C21638" s="2" t="str">
        <f t="shared" si="854"/>
        <v>UN</v>
      </c>
      <c r="D21638" s="7">
        <v>403</v>
      </c>
      <c r="E21638" s="3">
        <v>4</v>
      </c>
      <c r="F21638" s="3">
        <v>4</v>
      </c>
      <c r="G21638" t="s">
        <v>514</v>
      </c>
    </row>
    <row r="21639" spans="1:7" x14ac:dyDescent="0.25">
      <c r="A21639" s="1" t="str">
        <f>"511390"</f>
        <v>511390</v>
      </c>
      <c r="B21639" s="2" t="str">
        <f>"SELADOR BASE ELASTOMER CINZA 280GR"</f>
        <v>SELADOR BASE ELASTOMER CINZA 280GR</v>
      </c>
      <c r="C21639" s="2" t="str">
        <f t="shared" si="854"/>
        <v>UN</v>
      </c>
      <c r="D21639" s="7">
        <v>803</v>
      </c>
      <c r="E21639" s="3">
        <v>10</v>
      </c>
      <c r="F21639" s="3">
        <v>10</v>
      </c>
      <c r="G21639" t="s">
        <v>513</v>
      </c>
    </row>
    <row r="21640" spans="1:7" x14ac:dyDescent="0.25">
      <c r="A21640" s="1" t="str">
        <f>"510410"</f>
        <v>510410</v>
      </c>
      <c r="B21640" s="2" t="str">
        <f>"SELADOR P/ PLASTICO TRSNSPARENTE 900ML"</f>
        <v>SELADOR P/ PLASTICO TRSNSPARENTE 900ML</v>
      </c>
      <c r="C21640" s="2" t="str">
        <f t="shared" si="854"/>
        <v>UN</v>
      </c>
      <c r="D21640" s="7">
        <v>803</v>
      </c>
      <c r="E21640" s="3">
        <v>10</v>
      </c>
      <c r="F21640" s="3">
        <v>10</v>
      </c>
      <c r="G21640" t="s">
        <v>513</v>
      </c>
    </row>
    <row r="21641" spans="1:7" x14ac:dyDescent="0.25">
      <c r="A21641" s="1" t="str">
        <f>"516098"</f>
        <v>516098</v>
      </c>
      <c r="B21641" s="2" t="str">
        <f>"SELADORA BARBI PEDAL MOD. HORMET 400C"</f>
        <v>SELADORA BARBI PEDAL MOD. HORMET 400C</v>
      </c>
      <c r="C21641" s="2" t="str">
        <f t="shared" si="854"/>
        <v>UN</v>
      </c>
      <c r="D21641" s="7">
        <v>812</v>
      </c>
      <c r="E21641" s="3">
        <v>4</v>
      </c>
      <c r="F21641" s="3">
        <v>4</v>
      </c>
      <c r="G21641" t="s">
        <v>513</v>
      </c>
    </row>
    <row r="21642" spans="1:7" x14ac:dyDescent="0.25">
      <c r="A21642" s="1" t="str">
        <f>"520826"</f>
        <v>520826</v>
      </c>
      <c r="B21642" s="2" t="str">
        <f>"SELADORA MANUAL POTES C/ GAB. 75,100,120 E 150MM"</f>
        <v>SELADORA MANUAL POTES C/ GAB. 75,100,120 E 150MM</v>
      </c>
      <c r="C21642" s="2" t="str">
        <f t="shared" si="854"/>
        <v>UN</v>
      </c>
      <c r="D21642" s="7">
        <v>1200</v>
      </c>
      <c r="E21642" s="3">
        <v>13</v>
      </c>
      <c r="F21642" s="3">
        <v>13</v>
      </c>
      <c r="G21642" t="s">
        <v>512</v>
      </c>
    </row>
    <row r="21643" spans="1:7" x14ac:dyDescent="0.25">
      <c r="A21643" s="1" t="str">
        <f>"518975"</f>
        <v>518975</v>
      </c>
      <c r="B21643" s="2" t="str">
        <f>"SELADORA P/ PLASTICO LAZZURIL"</f>
        <v>SELADORA P/ PLASTICO LAZZURIL</v>
      </c>
      <c r="C21643" s="2" t="str">
        <f t="shared" si="854"/>
        <v>UN</v>
      </c>
      <c r="D21643" s="7">
        <v>403</v>
      </c>
      <c r="E21643" s="3">
        <v>4</v>
      </c>
      <c r="F21643" s="3">
        <v>4</v>
      </c>
      <c r="G21643" t="s">
        <v>513</v>
      </c>
    </row>
    <row r="21644" spans="1:7" x14ac:dyDescent="0.25">
      <c r="A21644" s="1" t="str">
        <f>"501875"</f>
        <v>501875</v>
      </c>
      <c r="B21644" s="2" t="str">
        <f>"SELADORA TRANSPARENTE"</f>
        <v>SELADORA TRANSPARENTE</v>
      </c>
      <c r="C21644" s="2" t="str">
        <f t="shared" si="854"/>
        <v>UN</v>
      </c>
      <c r="D21644" s="7">
        <v>403</v>
      </c>
      <c r="E21644" s="3">
        <v>4</v>
      </c>
      <c r="F21644" s="3">
        <v>4</v>
      </c>
      <c r="G21644" t="s">
        <v>514</v>
      </c>
    </row>
    <row r="21645" spans="1:7" x14ac:dyDescent="0.25">
      <c r="A21645" s="1" t="str">
        <f>"525585"</f>
        <v>525585</v>
      </c>
      <c r="B21645" s="2" t="str">
        <f>"SELAGEM"</f>
        <v>SELAGEM</v>
      </c>
      <c r="C21645" s="2" t="str">
        <f t="shared" si="854"/>
        <v>UN</v>
      </c>
      <c r="D21645" s="7">
        <v>1300</v>
      </c>
      <c r="E21645" s="3">
        <v>10</v>
      </c>
      <c r="F21645" s="3">
        <v>10</v>
      </c>
      <c r="G21645" t="s">
        <v>515</v>
      </c>
    </row>
    <row r="21646" spans="1:7" x14ac:dyDescent="0.25">
      <c r="A21646" s="1" t="str">
        <f>"519400"</f>
        <v>519400</v>
      </c>
      <c r="B21646" s="2" t="str">
        <f>"SELAGEM DMAX"</f>
        <v>SELAGEM DMAX</v>
      </c>
      <c r="C21646" s="2" t="str">
        <f t="shared" si="854"/>
        <v>UN</v>
      </c>
      <c r="D21646" s="7">
        <v>918</v>
      </c>
      <c r="E21646" s="3">
        <v>11</v>
      </c>
      <c r="F21646" s="3">
        <v>11</v>
      </c>
      <c r="G21646" t="s">
        <v>512</v>
      </c>
    </row>
    <row r="21647" spans="1:7" x14ac:dyDescent="0.25">
      <c r="A21647" s="1" t="str">
        <f>"509596"</f>
        <v>509596</v>
      </c>
      <c r="B21647" s="2" t="str">
        <f>"SELANTE BIOD"</f>
        <v>SELANTE BIOD</v>
      </c>
      <c r="C21647" s="2" t="str">
        <f t="shared" si="854"/>
        <v>UN</v>
      </c>
      <c r="D21647" s="7">
        <v>704</v>
      </c>
      <c r="E21647" s="3">
        <v>9</v>
      </c>
      <c r="F21647" s="3">
        <v>9</v>
      </c>
      <c r="G21647" t="s">
        <v>516</v>
      </c>
    </row>
    <row r="21648" spans="1:7" x14ac:dyDescent="0.25">
      <c r="A21648" s="1" t="str">
        <f>"519378"</f>
        <v>519378</v>
      </c>
      <c r="B21648" s="2" t="str">
        <f>"SELANTE POLIURETANO TOIFLEX CINZA 470G"</f>
        <v>SELANTE POLIURETANO TOIFLEX CINZA 470G</v>
      </c>
      <c r="C21648" s="2" t="str">
        <f t="shared" si="854"/>
        <v>UN</v>
      </c>
      <c r="D21648" s="7">
        <v>918</v>
      </c>
      <c r="E21648" s="3">
        <v>4</v>
      </c>
      <c r="F21648" s="3">
        <v>4</v>
      </c>
      <c r="G21648" t="s">
        <v>515</v>
      </c>
    </row>
    <row r="21649" spans="1:7" x14ac:dyDescent="0.25">
      <c r="A21649" s="1" t="str">
        <f>"525193"</f>
        <v>525193</v>
      </c>
      <c r="B21649" s="2" t="str">
        <f>"SELECIONADOR DE FOLHAS"</f>
        <v>SELECIONADOR DE FOLHAS</v>
      </c>
      <c r="C21649" s="2" t="str">
        <f t="shared" si="854"/>
        <v>UN</v>
      </c>
      <c r="D21649" s="7">
        <v>917</v>
      </c>
      <c r="E21649" s="3">
        <v>10</v>
      </c>
      <c r="F21649" s="3">
        <v>10</v>
      </c>
      <c r="G21649" t="s">
        <v>514</v>
      </c>
    </row>
    <row r="21650" spans="1:7" x14ac:dyDescent="0.25">
      <c r="A21650" s="1" t="str">
        <f>"527511"</f>
        <v>527511</v>
      </c>
      <c r="B21650" s="2" t="str">
        <f>"SELETOR DE FASE TRIFASICO"</f>
        <v>SELETOR DE FASE TRIFASICO</v>
      </c>
      <c r="C21650" s="2" t="str">
        <f t="shared" ref="C21650:C21679" si="855">"UN"</f>
        <v>UN</v>
      </c>
      <c r="D21650" s="7">
        <v>704</v>
      </c>
      <c r="E21650" s="3">
        <v>9</v>
      </c>
      <c r="F21650" s="3">
        <v>9</v>
      </c>
      <c r="G21650" t="s">
        <v>512</v>
      </c>
    </row>
    <row r="21651" spans="1:7" x14ac:dyDescent="0.25">
      <c r="A21651" s="1" t="str">
        <f>"514064"</f>
        <v>514064</v>
      </c>
      <c r="B21651" s="2" t="str">
        <f>"SELO"</f>
        <v>SELO</v>
      </c>
      <c r="C21651" s="2" t="str">
        <f t="shared" si="855"/>
        <v>UN</v>
      </c>
      <c r="D21651" s="7">
        <v>704</v>
      </c>
      <c r="E21651" s="3">
        <v>9</v>
      </c>
      <c r="F21651" s="3">
        <v>9</v>
      </c>
      <c r="G21651" t="s">
        <v>513</v>
      </c>
    </row>
    <row r="21652" spans="1:7" x14ac:dyDescent="0.25">
      <c r="A21652" s="1" t="str">
        <f>"4174"</f>
        <v>4174</v>
      </c>
      <c r="B21652" s="2" t="str">
        <f>"SELO 100MM IMPR. 450/500GR PEDACOS FRUTAS"</f>
        <v>SELO 100MM IMPR. 450/500GR PEDACOS FRUTAS</v>
      </c>
      <c r="C21652" s="2" t="str">
        <f t="shared" si="855"/>
        <v>UN</v>
      </c>
      <c r="D21652" s="7">
        <v>104</v>
      </c>
      <c r="E21652" s="3">
        <v>1</v>
      </c>
      <c r="F21652" s="3">
        <v>1</v>
      </c>
      <c r="G21652" t="s">
        <v>514</v>
      </c>
    </row>
    <row r="21653" spans="1:7" x14ac:dyDescent="0.25">
      <c r="A21653" s="1" t="str">
        <f>"894"</f>
        <v>894</v>
      </c>
      <c r="B21653" s="2" t="str">
        <f>"SELO 100MM IMPR. 500GR/ABACAXI E COCO PEDAÇOS DE FRUTAS"</f>
        <v>SELO 100MM IMPR. 500GR/ABACAXI E COCO PEDAÇOS DE FRUTAS</v>
      </c>
      <c r="C21653" s="2" t="str">
        <f t="shared" si="855"/>
        <v>UN</v>
      </c>
      <c r="D21653" s="7">
        <v>104</v>
      </c>
      <c r="E21653" s="3">
        <v>1</v>
      </c>
      <c r="F21653" s="3">
        <v>1</v>
      </c>
      <c r="G21653" t="s">
        <v>514</v>
      </c>
    </row>
    <row r="21654" spans="1:7" x14ac:dyDescent="0.25">
      <c r="A21654" s="1" t="str">
        <f>"895"</f>
        <v>895</v>
      </c>
      <c r="B21654" s="2" t="str">
        <f>"SELO 100MM IMPR. 500GR/BANANA E MORANGO PEDAÇOS DE FRUTAS"</f>
        <v>SELO 100MM IMPR. 500GR/BANANA E MORANGO PEDAÇOS DE FRUTAS</v>
      </c>
      <c r="C21654" s="2" t="str">
        <f t="shared" si="855"/>
        <v>UN</v>
      </c>
      <c r="D21654" s="7">
        <v>104</v>
      </c>
      <c r="E21654" s="3">
        <v>1</v>
      </c>
      <c r="F21654" s="3">
        <v>1</v>
      </c>
      <c r="G21654" t="s">
        <v>512</v>
      </c>
    </row>
    <row r="21655" spans="1:7" x14ac:dyDescent="0.25">
      <c r="A21655" s="1" t="str">
        <f>"890"</f>
        <v>890</v>
      </c>
      <c r="B21655" s="2" t="str">
        <f>"SELO 100MM IMPR. 500GR/COCO PEDACOS FRUTAS"</f>
        <v>SELO 100MM IMPR. 500GR/COCO PEDACOS FRUTAS</v>
      </c>
      <c r="C21655" s="2" t="str">
        <f t="shared" si="855"/>
        <v>UN</v>
      </c>
      <c r="D21655" s="7">
        <v>104</v>
      </c>
      <c r="E21655" s="3">
        <v>1</v>
      </c>
      <c r="F21655" s="3">
        <v>1</v>
      </c>
      <c r="G21655" t="s">
        <v>513</v>
      </c>
    </row>
    <row r="21656" spans="1:7" x14ac:dyDescent="0.25">
      <c r="A21656" s="1" t="str">
        <f>"892"</f>
        <v>892</v>
      </c>
      <c r="B21656" s="2" t="str">
        <f>"SELO 100MM IMPR. 500GR/FRUTAS VERMELHAS DIA%"</f>
        <v>SELO 100MM IMPR. 500GR/FRUTAS VERMELHAS DIA%</v>
      </c>
      <c r="C21656" s="2" t="str">
        <f t="shared" si="855"/>
        <v>UN</v>
      </c>
      <c r="D21656" s="7">
        <v>104</v>
      </c>
      <c r="E21656" s="3">
        <v>1</v>
      </c>
      <c r="F21656" s="3">
        <v>1</v>
      </c>
      <c r="G21656" t="s">
        <v>514</v>
      </c>
    </row>
    <row r="21657" spans="1:7" x14ac:dyDescent="0.25">
      <c r="A21657" s="1" t="str">
        <f>"891"</f>
        <v>891</v>
      </c>
      <c r="B21657" s="2" t="str">
        <f>"SELO 100MM IMPR. 500GR/FRUTAS VERMELHAS PEDACOS FRUTAS"</f>
        <v>SELO 100MM IMPR. 500GR/FRUTAS VERMELHAS PEDACOS FRUTAS</v>
      </c>
      <c r="C21657" s="2" t="str">
        <f t="shared" si="855"/>
        <v>UN</v>
      </c>
      <c r="D21657" s="7">
        <v>104</v>
      </c>
      <c r="E21657" s="3">
        <v>1</v>
      </c>
      <c r="F21657" s="3">
        <v>1</v>
      </c>
      <c r="G21657" t="s">
        <v>514</v>
      </c>
    </row>
    <row r="21658" spans="1:7" x14ac:dyDescent="0.25">
      <c r="A21658" s="1" t="str">
        <f>"893"</f>
        <v>893</v>
      </c>
      <c r="B21658" s="2" t="str">
        <f>"SELO 100MM IMPR. 500GR/MORANGO DIA%"</f>
        <v>SELO 100MM IMPR. 500GR/MORANGO DIA%</v>
      </c>
      <c r="C21658" s="2" t="str">
        <f t="shared" si="855"/>
        <v>UN</v>
      </c>
      <c r="D21658" s="7">
        <v>104</v>
      </c>
      <c r="E21658" s="3">
        <v>1</v>
      </c>
      <c r="F21658" s="3">
        <v>1</v>
      </c>
      <c r="G21658" t="s">
        <v>514</v>
      </c>
    </row>
    <row r="21659" spans="1:7" x14ac:dyDescent="0.25">
      <c r="A21659" s="1" t="str">
        <f>"889"</f>
        <v>889</v>
      </c>
      <c r="B21659" s="2" t="str">
        <f>"SELO 100MM IMPR. 500GR/MORANGO PEDACOS FRUTAS"</f>
        <v>SELO 100MM IMPR. 500GR/MORANGO PEDACOS FRUTAS</v>
      </c>
      <c r="C21659" s="2" t="str">
        <f t="shared" si="855"/>
        <v>UN</v>
      </c>
      <c r="D21659" s="7">
        <v>104</v>
      </c>
      <c r="E21659" s="3">
        <v>1</v>
      </c>
      <c r="F21659" s="3">
        <v>1</v>
      </c>
      <c r="G21659" t="s">
        <v>513</v>
      </c>
    </row>
    <row r="21660" spans="1:7" x14ac:dyDescent="0.25">
      <c r="A21660" s="1" t="str">
        <f>"4176"</f>
        <v>4176</v>
      </c>
      <c r="B21660" s="2" t="str">
        <f>"SELO 68MM COPOS DUET E NATURAIS IMPR. CAROLINA"</f>
        <v>SELO 68MM COPOS DUET E NATURAIS IMPR. CAROLINA</v>
      </c>
      <c r="C21660" s="2" t="str">
        <f t="shared" si="855"/>
        <v>UN</v>
      </c>
      <c r="D21660" s="7">
        <v>104</v>
      </c>
      <c r="E21660" s="3">
        <v>1</v>
      </c>
      <c r="F21660" s="3">
        <v>1</v>
      </c>
      <c r="G21660" t="s">
        <v>512</v>
      </c>
    </row>
    <row r="21661" spans="1:7" x14ac:dyDescent="0.25">
      <c r="A21661" s="1" t="str">
        <f>"4175"</f>
        <v>4175</v>
      </c>
      <c r="B21661" s="2" t="str">
        <f>"SELO 68MM IMPR. 100GR PEDACOS FRUTAS"</f>
        <v>SELO 68MM IMPR. 100GR PEDACOS FRUTAS</v>
      </c>
      <c r="C21661" s="2" t="str">
        <f t="shared" si="855"/>
        <v>UN</v>
      </c>
      <c r="D21661" s="7">
        <v>104</v>
      </c>
      <c r="E21661" s="3">
        <v>1</v>
      </c>
      <c r="F21661" s="3">
        <v>1</v>
      </c>
      <c r="G21661" t="s">
        <v>513</v>
      </c>
    </row>
    <row r="21662" spans="1:7" x14ac:dyDescent="0.25">
      <c r="A21662" s="1" t="str">
        <f>"896"</f>
        <v>896</v>
      </c>
      <c r="B21662" s="2" t="str">
        <f>"SELO 68MM IMPR. 100GR/ABACAXI E COCO PEDACOS FRUTAS"</f>
        <v>SELO 68MM IMPR. 100GR/ABACAXI E COCO PEDACOS FRUTAS</v>
      </c>
      <c r="C21662" s="2" t="str">
        <f t="shared" si="855"/>
        <v>UN</v>
      </c>
      <c r="D21662" s="7">
        <v>104</v>
      </c>
      <c r="E21662" s="3">
        <v>1</v>
      </c>
      <c r="F21662" s="3">
        <v>1</v>
      </c>
      <c r="G21662" t="s">
        <v>514</v>
      </c>
    </row>
    <row r="21663" spans="1:7" x14ac:dyDescent="0.25">
      <c r="A21663" s="1" t="str">
        <f>"897"</f>
        <v>897</v>
      </c>
      <c r="B21663" s="2" t="str">
        <f>"SELO 68MM IMPR. 100GR/BANANA E MORANGO PEDACOS FRUTAS"</f>
        <v>SELO 68MM IMPR. 100GR/BANANA E MORANGO PEDACOS FRUTAS</v>
      </c>
      <c r="C21663" s="2" t="str">
        <f t="shared" si="855"/>
        <v>UN</v>
      </c>
      <c r="D21663" s="7">
        <v>104</v>
      </c>
      <c r="E21663" s="3">
        <v>1</v>
      </c>
      <c r="F21663" s="3">
        <v>1</v>
      </c>
      <c r="G21663" t="s">
        <v>514</v>
      </c>
    </row>
    <row r="21664" spans="1:7" x14ac:dyDescent="0.25">
      <c r="A21664" s="1" t="str">
        <f>"887"</f>
        <v>887</v>
      </c>
      <c r="B21664" s="2" t="str">
        <f>"SELO 68MM IMPR. 100GR/COCO PEDACOS FRUTAS"</f>
        <v>SELO 68MM IMPR. 100GR/COCO PEDACOS FRUTAS</v>
      </c>
      <c r="C21664" s="2" t="str">
        <f t="shared" si="855"/>
        <v>UN</v>
      </c>
      <c r="D21664" s="7">
        <v>104</v>
      </c>
      <c r="E21664" s="3">
        <v>1</v>
      </c>
      <c r="F21664" s="3">
        <v>1</v>
      </c>
      <c r="G21664" t="s">
        <v>514</v>
      </c>
    </row>
    <row r="21665" spans="1:7" x14ac:dyDescent="0.25">
      <c r="A21665" s="1" t="str">
        <f>"888"</f>
        <v>888</v>
      </c>
      <c r="B21665" s="2" t="str">
        <f>"SELO 68MM IMPR. 100GR/FRUTAS VERMELHAS PEDACOS FRUTAS"</f>
        <v>SELO 68MM IMPR. 100GR/FRUTAS VERMELHAS PEDACOS FRUTAS</v>
      </c>
      <c r="C21665" s="2" t="str">
        <f t="shared" si="855"/>
        <v>UN</v>
      </c>
      <c r="D21665" s="7">
        <v>104</v>
      </c>
      <c r="E21665" s="3">
        <v>1</v>
      </c>
      <c r="F21665" s="3">
        <v>1</v>
      </c>
      <c r="G21665" t="s">
        <v>513</v>
      </c>
    </row>
    <row r="21666" spans="1:7" x14ac:dyDescent="0.25">
      <c r="A21666" s="1" t="str">
        <f>"886"</f>
        <v>886</v>
      </c>
      <c r="B21666" s="2" t="str">
        <f>"SELO 68MM IMPR. 100GR/MORANGO PEDAÇOS FRUTAS"</f>
        <v>SELO 68MM IMPR. 100GR/MORANGO PEDAÇOS FRUTAS</v>
      </c>
      <c r="C21666" s="2" t="str">
        <f t="shared" si="855"/>
        <v>UN</v>
      </c>
      <c r="D21666" s="7">
        <v>104</v>
      </c>
      <c r="E21666" s="3">
        <v>1</v>
      </c>
      <c r="F21666" s="3">
        <v>1</v>
      </c>
      <c r="G21666" t="s">
        <v>513</v>
      </c>
    </row>
    <row r="21667" spans="1:7" x14ac:dyDescent="0.25">
      <c r="A21667" s="1" t="str">
        <f>"6318"</f>
        <v>6318</v>
      </c>
      <c r="B21667" s="2" t="str">
        <f>"SELO 68MM IMPR. 170GR  LOGO TAEQ"</f>
        <v>SELO 68MM IMPR. 170GR  LOGO TAEQ</v>
      </c>
      <c r="C21667" s="2" t="str">
        <f t="shared" si="855"/>
        <v>UN</v>
      </c>
      <c r="D21667" s="7">
        <v>104</v>
      </c>
      <c r="E21667" s="3">
        <v>1</v>
      </c>
      <c r="F21667" s="3">
        <v>1</v>
      </c>
      <c r="G21667" t="s">
        <v>513</v>
      </c>
    </row>
    <row r="21668" spans="1:7" x14ac:dyDescent="0.25">
      <c r="A21668" s="1" t="str">
        <f>"3065"</f>
        <v>3065</v>
      </c>
      <c r="B21668" s="2" t="str">
        <f>"SELO 68MM S/IMPR. (IOG.NATURAIS/REQUEIJÃO)"</f>
        <v>SELO 68MM S/IMPR. (IOG.NATURAIS/REQUEIJÃO)</v>
      </c>
      <c r="C21668" s="2" t="str">
        <f t="shared" si="855"/>
        <v>UN</v>
      </c>
      <c r="D21668" s="7">
        <v>104</v>
      </c>
      <c r="E21668" s="3">
        <v>1</v>
      </c>
      <c r="F21668" s="3">
        <v>1</v>
      </c>
      <c r="G21668" t="s">
        <v>512</v>
      </c>
    </row>
    <row r="21669" spans="1:7" x14ac:dyDescent="0.25">
      <c r="A21669" s="1" t="str">
        <f>"883"</f>
        <v>883</v>
      </c>
      <c r="B21669" s="2" t="str">
        <f>"SELO AL. POTE 270GR 100MM SEM IMPRESSÃO"</f>
        <v>SELO AL. POTE 270GR 100MM SEM IMPRESSÃO</v>
      </c>
      <c r="C21669" s="2" t="str">
        <f t="shared" si="855"/>
        <v>UN</v>
      </c>
      <c r="D21669" s="7">
        <v>104</v>
      </c>
      <c r="E21669" s="3">
        <v>1</v>
      </c>
      <c r="F21669" s="3">
        <v>1</v>
      </c>
      <c r="G21669" t="s">
        <v>513</v>
      </c>
    </row>
    <row r="21670" spans="1:7" x14ac:dyDescent="0.25">
      <c r="A21670" s="1" t="str">
        <f>"884"</f>
        <v>884</v>
      </c>
      <c r="B21670" s="2" t="str">
        <f>"SELO AL.COPO 100GR 75MM IMPR. FLAN GOURMET"</f>
        <v>SELO AL.COPO 100GR 75MM IMPR. FLAN GOURMET</v>
      </c>
      <c r="C21670" s="2" t="str">
        <f t="shared" si="855"/>
        <v>UN</v>
      </c>
      <c r="D21670" s="7">
        <v>104</v>
      </c>
      <c r="E21670" s="3">
        <v>1</v>
      </c>
      <c r="F21670" s="3">
        <v>1</v>
      </c>
      <c r="G21670" t="s">
        <v>514</v>
      </c>
    </row>
    <row r="21671" spans="1:7" x14ac:dyDescent="0.25">
      <c r="A21671" s="1" t="str">
        <f>"882"</f>
        <v>882</v>
      </c>
      <c r="B21671" s="2" t="str">
        <f>"SELO AL.COPO 100GR 75MM IMPR. GREGO"</f>
        <v>SELO AL.COPO 100GR 75MM IMPR. GREGO</v>
      </c>
      <c r="C21671" s="2" t="str">
        <f t="shared" si="855"/>
        <v>UN</v>
      </c>
      <c r="D21671" s="7">
        <v>32</v>
      </c>
      <c r="E21671" s="3">
        <v>1</v>
      </c>
      <c r="F21671" s="3">
        <v>1</v>
      </c>
      <c r="G21671" t="s">
        <v>515</v>
      </c>
    </row>
    <row r="21672" spans="1:7" x14ac:dyDescent="0.25">
      <c r="A21672" s="1" t="str">
        <f>"881"</f>
        <v>881</v>
      </c>
      <c r="B21672" s="2" t="str">
        <f>"SELO AL.COPO 130GR 68MM IMPR. CAROLINA"</f>
        <v>SELO AL.COPO 130GR 68MM IMPR. CAROLINA</v>
      </c>
      <c r="C21672" s="2" t="str">
        <f t="shared" si="855"/>
        <v>UN</v>
      </c>
      <c r="D21672" s="7">
        <v>104</v>
      </c>
      <c r="E21672" s="3">
        <v>1</v>
      </c>
      <c r="F21672" s="3">
        <v>1</v>
      </c>
      <c r="G21672" t="s">
        <v>512</v>
      </c>
    </row>
    <row r="21673" spans="1:7" x14ac:dyDescent="0.25">
      <c r="A21673" s="1" t="str">
        <f>"885"</f>
        <v>885</v>
      </c>
      <c r="B21673" s="2" t="str">
        <f>"SELO AL.COPO 170GR 68MM IMPR. PEDACOS DE FRUTAS"</f>
        <v>SELO AL.COPO 170GR 68MM IMPR. PEDACOS DE FRUTAS</v>
      </c>
      <c r="C21673" s="2" t="str">
        <f t="shared" si="855"/>
        <v>UN</v>
      </c>
      <c r="D21673" s="7">
        <v>104</v>
      </c>
      <c r="E21673" s="3">
        <v>1</v>
      </c>
      <c r="F21673" s="3">
        <v>1</v>
      </c>
      <c r="G21673" t="s">
        <v>516</v>
      </c>
    </row>
    <row r="21674" spans="1:7" x14ac:dyDescent="0.25">
      <c r="A21674" s="1" t="str">
        <f>"1576"</f>
        <v>1576</v>
      </c>
      <c r="B21674" s="2" t="str">
        <f>"SELO AL.COPO 200GR S/IMP.75MM(REQUEIJAO"</f>
        <v>SELO AL.COPO 200GR S/IMP.75MM(REQUEIJAO</v>
      </c>
      <c r="C21674" s="2" t="str">
        <f t="shared" si="855"/>
        <v>UN</v>
      </c>
      <c r="D21674" s="7">
        <v>104</v>
      </c>
      <c r="E21674" s="3">
        <v>1</v>
      </c>
      <c r="F21674" s="3">
        <v>1</v>
      </c>
      <c r="G21674" t="s">
        <v>515</v>
      </c>
    </row>
    <row r="21675" spans="1:7" x14ac:dyDescent="0.25">
      <c r="A21675" s="1" t="str">
        <f>"3068"</f>
        <v>3068</v>
      </c>
      <c r="B21675" s="2" t="str">
        <f>"SELO AL.POTE  SEM IMPRESSÃO 100MM"</f>
        <v>SELO AL.POTE  SEM IMPRESSÃO 100MM</v>
      </c>
      <c r="C21675" s="2" t="str">
        <f t="shared" si="855"/>
        <v>UN</v>
      </c>
      <c r="D21675" s="7">
        <v>104</v>
      </c>
      <c r="E21675" s="3">
        <v>1</v>
      </c>
      <c r="F21675" s="3">
        <v>1</v>
      </c>
      <c r="G21675" t="s">
        <v>514</v>
      </c>
    </row>
    <row r="21676" spans="1:7" x14ac:dyDescent="0.25">
      <c r="A21676" s="1" t="str">
        <f>"3070"</f>
        <v>3070</v>
      </c>
      <c r="B21676" s="2" t="str">
        <f>"SELO AL.POTE  SEM IMPRESSÃO 90MM"</f>
        <v>SELO AL.POTE  SEM IMPRESSÃO 90MM</v>
      </c>
      <c r="C21676" s="2" t="str">
        <f t="shared" si="855"/>
        <v>UN</v>
      </c>
      <c r="D21676" s="7">
        <v>104</v>
      </c>
      <c r="E21676" s="3">
        <v>1</v>
      </c>
      <c r="F21676" s="3">
        <v>1</v>
      </c>
      <c r="G21676" t="s">
        <v>512</v>
      </c>
    </row>
    <row r="21677" spans="1:7" x14ac:dyDescent="0.25">
      <c r="A21677" s="1" t="str">
        <f>"519188"</f>
        <v>519188</v>
      </c>
      <c r="B21677" s="2" t="str">
        <f>"SELO ALUMINIO 1/2"""</f>
        <v>SELO ALUMINIO 1/2"</v>
      </c>
      <c r="C21677" s="2" t="str">
        <f t="shared" si="855"/>
        <v>UN</v>
      </c>
      <c r="D21677" s="7">
        <v>918</v>
      </c>
      <c r="E21677" s="3">
        <v>10</v>
      </c>
      <c r="F21677" s="3">
        <v>10</v>
      </c>
      <c r="G21677" t="s">
        <v>513</v>
      </c>
    </row>
    <row r="21678" spans="1:7" x14ac:dyDescent="0.25">
      <c r="A21678" s="1" t="str">
        <f>"514717"</f>
        <v>514717</v>
      </c>
      <c r="B21678" s="2" t="str">
        <f>"SELO BALANC. 100MK3 S/ TAMPA"</f>
        <v>SELO BALANC. 100MK3 S/ TAMPA</v>
      </c>
      <c r="C21678" s="2" t="str">
        <f t="shared" si="855"/>
        <v>UN</v>
      </c>
      <c r="D21678" s="7">
        <v>901</v>
      </c>
      <c r="E21678" s="3">
        <v>11</v>
      </c>
      <c r="F21678" s="3">
        <v>11</v>
      </c>
      <c r="G21678" t="s">
        <v>514</v>
      </c>
    </row>
    <row r="21679" spans="1:7" x14ac:dyDescent="0.25">
      <c r="A21679" s="1" t="str">
        <f>"512080"</f>
        <v>512080</v>
      </c>
      <c r="B21679" s="2" t="str">
        <f>"SELO COMPRESSOR MYCON 4A Nº4A019"</f>
        <v>SELO COMPRESSOR MYCON 4A Nº4A019</v>
      </c>
      <c r="C21679" s="2" t="str">
        <f t="shared" si="855"/>
        <v>UN</v>
      </c>
      <c r="D21679" s="7">
        <v>918</v>
      </c>
      <c r="E21679" s="3">
        <v>11</v>
      </c>
      <c r="F21679" s="3">
        <v>11</v>
      </c>
      <c r="G21679" t="s">
        <v>514</v>
      </c>
    </row>
    <row r="21680" spans="1:7" x14ac:dyDescent="0.25">
      <c r="A21680" s="1" t="str">
        <f>"512081"</f>
        <v>512081</v>
      </c>
      <c r="B21680" s="2" t="str">
        <f>"SELO COMPRESSOR MYCON N.4 WA Nº1062"</f>
        <v>SELO COMPRESSOR MYCON N.4 WA Nº1062</v>
      </c>
      <c r="C21680" s="2" t="str">
        <f>"PC"</f>
        <v>PC</v>
      </c>
      <c r="D21680" s="7">
        <v>918</v>
      </c>
      <c r="E21680" s="3">
        <v>11</v>
      </c>
      <c r="F21680" s="3">
        <v>11</v>
      </c>
      <c r="G21680" t="s">
        <v>512</v>
      </c>
    </row>
    <row r="21681" spans="1:7" x14ac:dyDescent="0.25">
      <c r="A21681" s="1" t="str">
        <f>"516523"</f>
        <v>516523</v>
      </c>
      <c r="B21681" s="2" t="str">
        <f>"SELO COMPRESSOR SABROE SMC 6 65"</f>
        <v>SELO COMPRESSOR SABROE SMC 6 65</v>
      </c>
      <c r="C21681" s="2" t="str">
        <f t="shared" ref="C21681:C21705" si="856">"UN"</f>
        <v>UN</v>
      </c>
      <c r="D21681" s="7">
        <v>909</v>
      </c>
      <c r="E21681" s="3">
        <v>11</v>
      </c>
      <c r="F21681" s="3">
        <v>11</v>
      </c>
      <c r="G21681" t="s">
        <v>513</v>
      </c>
    </row>
    <row r="21682" spans="1:7" x14ac:dyDescent="0.25">
      <c r="A21682" s="1" t="str">
        <f>"520706"</f>
        <v>520706</v>
      </c>
      <c r="B21682" s="2" t="str">
        <f>"SELO DA BOMBA - ZM"</f>
        <v>SELO DA BOMBA - ZM</v>
      </c>
      <c r="C21682" s="2" t="str">
        <f t="shared" si="856"/>
        <v>UN</v>
      </c>
      <c r="D21682" s="7">
        <v>918</v>
      </c>
      <c r="E21682" s="3">
        <v>9</v>
      </c>
      <c r="F21682" s="3">
        <v>9</v>
      </c>
      <c r="G21682" t="s">
        <v>514</v>
      </c>
    </row>
    <row r="21683" spans="1:7" x14ac:dyDescent="0.25">
      <c r="A21683" s="1" t="str">
        <f>"504925"</f>
        <v>504925</v>
      </c>
      <c r="B21683" s="2" t="str">
        <f>"SELO DE AGUA"</f>
        <v>SELO DE AGUA</v>
      </c>
      <c r="C21683" s="2" t="str">
        <f t="shared" si="856"/>
        <v>UN</v>
      </c>
      <c r="D21683" s="7">
        <v>918</v>
      </c>
      <c r="E21683" s="3">
        <v>11</v>
      </c>
      <c r="F21683" s="3">
        <v>11</v>
      </c>
      <c r="G21683" t="s">
        <v>514</v>
      </c>
    </row>
    <row r="21684" spans="1:7" x14ac:dyDescent="0.25">
      <c r="A21684" s="1" t="str">
        <f>"520375"</f>
        <v>520375</v>
      </c>
      <c r="B21684" s="2" t="str">
        <f>"SELO DE INSPEÇAO S.I.F."</f>
        <v>SELO DE INSPEÇAO S.I.F.</v>
      </c>
      <c r="C21684" s="2" t="str">
        <f t="shared" si="856"/>
        <v>UN</v>
      </c>
      <c r="D21684" s="7">
        <v>918</v>
      </c>
      <c r="E21684" s="3">
        <v>11</v>
      </c>
      <c r="F21684" s="3">
        <v>11</v>
      </c>
      <c r="G21684" t="s">
        <v>514</v>
      </c>
    </row>
    <row r="21685" spans="1:7" x14ac:dyDescent="0.25">
      <c r="A21685" s="1" t="str">
        <f>"507820"</f>
        <v>507820</v>
      </c>
      <c r="B21685" s="2" t="str">
        <f>"SELO DE VEDAÇAO - 100"</f>
        <v>SELO DE VEDAÇAO - 100</v>
      </c>
      <c r="C21685" s="2" t="str">
        <f t="shared" si="856"/>
        <v>UN</v>
      </c>
      <c r="D21685" s="7">
        <v>918</v>
      </c>
      <c r="E21685" s="3">
        <v>11</v>
      </c>
      <c r="F21685" s="3">
        <v>11</v>
      </c>
      <c r="G21685" t="s">
        <v>513</v>
      </c>
    </row>
    <row r="21686" spans="1:7" x14ac:dyDescent="0.25">
      <c r="A21686" s="1" t="str">
        <f>"510040"</f>
        <v>510040</v>
      </c>
      <c r="B21686" s="2" t="str">
        <f>"SELO DE VEDAÇAO - 65"</f>
        <v>SELO DE VEDAÇAO - 65</v>
      </c>
      <c r="C21686" s="2" t="str">
        <f t="shared" si="856"/>
        <v>UN</v>
      </c>
      <c r="D21686" s="7">
        <v>918</v>
      </c>
      <c r="E21686" s="3">
        <v>11</v>
      </c>
      <c r="F21686" s="3">
        <v>11</v>
      </c>
      <c r="G21686" t="s">
        <v>512</v>
      </c>
    </row>
    <row r="21687" spans="1:7" x14ac:dyDescent="0.25">
      <c r="A21687" s="1" t="str">
        <f>"512970"</f>
        <v>512970</v>
      </c>
      <c r="B21687" s="2" t="str">
        <f>"SELO EIXO VITON BOMBA 32000"</f>
        <v>SELO EIXO VITON BOMBA 32000</v>
      </c>
      <c r="C21687" s="2" t="str">
        <f t="shared" si="856"/>
        <v>UN</v>
      </c>
      <c r="D21687" s="7">
        <v>918</v>
      </c>
      <c r="E21687" s="3">
        <v>11</v>
      </c>
      <c r="F21687" s="3">
        <v>11</v>
      </c>
      <c r="G21687" t="s">
        <v>513</v>
      </c>
    </row>
    <row r="21688" spans="1:7" x14ac:dyDescent="0.25">
      <c r="A21688" s="1" t="str">
        <f>"510208"</f>
        <v>510208</v>
      </c>
      <c r="B21688" s="2" t="str">
        <f>"SELO INMETRO (C3-5102)"</f>
        <v>SELO INMETRO (C3-5102)</v>
      </c>
      <c r="C21688" s="2" t="str">
        <f t="shared" si="856"/>
        <v>UN</v>
      </c>
      <c r="D21688" s="7">
        <v>918</v>
      </c>
      <c r="E21688" s="3">
        <v>11</v>
      </c>
      <c r="F21688" s="3">
        <v>11</v>
      </c>
      <c r="G21688" t="s">
        <v>514</v>
      </c>
    </row>
    <row r="21689" spans="1:7" x14ac:dyDescent="0.25">
      <c r="A21689" s="1" t="str">
        <f>"500784"</f>
        <v>500784</v>
      </c>
      <c r="B21689" s="2" t="str">
        <f>"SELO MEC NETZ NDB 030 ESQUERDA"</f>
        <v>SELO MEC NETZ NDB 030 ESQUERDA</v>
      </c>
      <c r="C21689" s="2" t="str">
        <f t="shared" si="856"/>
        <v>UN</v>
      </c>
      <c r="D21689" s="7">
        <v>918</v>
      </c>
      <c r="E21689" s="3">
        <v>11</v>
      </c>
      <c r="F21689" s="3">
        <v>11</v>
      </c>
      <c r="G21689" t="s">
        <v>514</v>
      </c>
    </row>
    <row r="21690" spans="1:7" x14ac:dyDescent="0.25">
      <c r="A21690" s="1" t="str">
        <f>"526813"</f>
        <v>526813</v>
      </c>
      <c r="B21690" s="2" t="str">
        <f>"SELO MEC. DO MISTURADOR DE PÓ P717319"</f>
        <v>SELO MEC. DO MISTURADOR DE PÓ P717319</v>
      </c>
      <c r="C21690" s="2" t="str">
        <f t="shared" si="856"/>
        <v>UN</v>
      </c>
      <c r="D21690" s="7">
        <v>909</v>
      </c>
      <c r="E21690" s="3">
        <v>11</v>
      </c>
      <c r="F21690" s="3">
        <v>11</v>
      </c>
      <c r="G21690" t="s">
        <v>514</v>
      </c>
    </row>
    <row r="21691" spans="1:7" x14ac:dyDescent="0.25">
      <c r="A21691" s="1" t="str">
        <f>"527332"</f>
        <v>527332</v>
      </c>
      <c r="B21691" s="2" t="str">
        <f>"SELO MEC. LE101-47-FXA68(8,5X66)-V 5R-F"</f>
        <v>SELO MEC. LE101-47-FXA68(8,5X66)-V 5R-F</v>
      </c>
      <c r="C21691" s="2" t="str">
        <f t="shared" si="856"/>
        <v>UN</v>
      </c>
      <c r="D21691" s="7">
        <v>811</v>
      </c>
      <c r="E21691" s="3">
        <v>11</v>
      </c>
      <c r="F21691" s="3">
        <v>11</v>
      </c>
      <c r="G21691" t="s">
        <v>513</v>
      </c>
    </row>
    <row r="21692" spans="1:7" x14ac:dyDescent="0.25">
      <c r="A21692" s="1" t="str">
        <f>"526877"</f>
        <v>526877</v>
      </c>
      <c r="B21692" s="2" t="str">
        <f>"SELO MEC. LE28 1.1/4-BSxB25(12 X 47,6)-E 1R-F"</f>
        <v>SELO MEC. LE28 1.1/4-BSxB25(12 X 47,6)-E 1R-F</v>
      </c>
      <c r="C21692" s="2" t="str">
        <f t="shared" si="856"/>
        <v>UN</v>
      </c>
      <c r="D21692" s="7">
        <v>918</v>
      </c>
      <c r="E21692" s="3">
        <v>11</v>
      </c>
      <c r="F21692" s="3">
        <v>11</v>
      </c>
      <c r="G21692" t="s">
        <v>513</v>
      </c>
    </row>
    <row r="21693" spans="1:7" x14ac:dyDescent="0.25">
      <c r="A21693" s="1" t="str">
        <f>"526870"</f>
        <v>526870</v>
      </c>
      <c r="B21693" s="2" t="str">
        <f>"SELO MEC. LE31 43-EGxE42(22X61)-V PTFE 1R1-I"</f>
        <v>SELO MEC. LE31 43-EGxE42(22X61)-V PTFE 1R1-I</v>
      </c>
      <c r="C21693" s="2" t="str">
        <f t="shared" si="856"/>
        <v>UN</v>
      </c>
      <c r="D21693" s="7">
        <v>918</v>
      </c>
      <c r="E21693" s="3">
        <v>11</v>
      </c>
      <c r="F21693" s="3">
        <v>11</v>
      </c>
      <c r="G21693" t="s">
        <v>513</v>
      </c>
    </row>
    <row r="21694" spans="1:7" x14ac:dyDescent="0.25">
      <c r="A21694" s="1" t="str">
        <f>"526873"</f>
        <v>526873</v>
      </c>
      <c r="B21694" s="2" t="str">
        <f>"SELO MEC. LE60 19-BxB38(9x35)-E 2R-F"</f>
        <v>SELO MEC. LE60 19-BxB38(9x35)-E 2R-F</v>
      </c>
      <c r="C21694" s="2" t="str">
        <f t="shared" si="856"/>
        <v>UN</v>
      </c>
      <c r="D21694" s="7">
        <v>918</v>
      </c>
      <c r="E21694" s="3">
        <v>11</v>
      </c>
      <c r="F21694" s="3">
        <v>11</v>
      </c>
      <c r="G21694" t="s">
        <v>512</v>
      </c>
    </row>
    <row r="21695" spans="1:7" x14ac:dyDescent="0.25">
      <c r="A21695" s="1" t="str">
        <f>"525583"</f>
        <v>525583</v>
      </c>
      <c r="B21695" s="2" t="str">
        <f>"SELO MEC. LE60 35-EXE36(15,2x50,8)-V 2RF"</f>
        <v>SELO MEC. LE60 35-EXE36(15,2x50,8)-V 2RF</v>
      </c>
      <c r="C21695" s="2" t="str">
        <f t="shared" si="856"/>
        <v>UN</v>
      </c>
      <c r="D21695" s="7">
        <v>918</v>
      </c>
      <c r="E21695" s="3">
        <v>11</v>
      </c>
      <c r="F21695" s="3">
        <v>11</v>
      </c>
      <c r="G21695" t="s">
        <v>513</v>
      </c>
    </row>
    <row r="21696" spans="1:7" x14ac:dyDescent="0.25">
      <c r="A21696" s="1" t="str">
        <f>"526876"</f>
        <v>526876</v>
      </c>
      <c r="B21696" s="2" t="str">
        <f>"SELO MEC. LE75 -1.1/8-A-E -2R-F *"</f>
        <v>SELO MEC. LE75 -1.1/8-A-E -2R-F *</v>
      </c>
      <c r="C21696" s="2" t="str">
        <f t="shared" si="856"/>
        <v>UN</v>
      </c>
      <c r="D21696" s="7">
        <v>918</v>
      </c>
      <c r="E21696" s="3">
        <v>11</v>
      </c>
      <c r="F21696" s="3">
        <v>11</v>
      </c>
      <c r="G21696" t="s">
        <v>514</v>
      </c>
    </row>
    <row r="21697" spans="1:7" x14ac:dyDescent="0.25">
      <c r="A21697" s="1" t="str">
        <f>"526875"</f>
        <v>526875</v>
      </c>
      <c r="B21697" s="2" t="str">
        <f>"SELO MEC. LE75 -3/4-AxE53-E -2R-F"</f>
        <v>SELO MEC. LE75 -3/4-AxE53-E -2R-F</v>
      </c>
      <c r="C21697" s="2" t="str">
        <f t="shared" si="856"/>
        <v>UN</v>
      </c>
      <c r="D21697" s="7">
        <v>918</v>
      </c>
      <c r="E21697" s="3">
        <v>11</v>
      </c>
      <c r="F21697" s="3">
        <v>11</v>
      </c>
      <c r="G21697" t="s">
        <v>515</v>
      </c>
    </row>
    <row r="21698" spans="1:7" x14ac:dyDescent="0.25">
      <c r="A21698" s="1" t="str">
        <f>"526878"</f>
        <v>526878</v>
      </c>
      <c r="B21698" s="2" t="str">
        <f>"SELO MEC. LE98 28/30-ExE63(11,5x46,5)-E *"</f>
        <v>SELO MEC. LE98 28/30-ExE63(11,5x46,5)-E *</v>
      </c>
      <c r="C21698" s="2" t="str">
        <f t="shared" si="856"/>
        <v>UN</v>
      </c>
      <c r="D21698" s="7">
        <v>918</v>
      </c>
      <c r="E21698" s="3">
        <v>11</v>
      </c>
      <c r="F21698" s="3">
        <v>11</v>
      </c>
      <c r="G21698" t="s">
        <v>512</v>
      </c>
    </row>
    <row r="21699" spans="1:7" x14ac:dyDescent="0.25">
      <c r="A21699" s="1" t="str">
        <f>"526874"</f>
        <v>526874</v>
      </c>
      <c r="B21699" s="2" t="str">
        <f>"SELO MEC. LE98 58-FxA68-E - ref. 16242"</f>
        <v>SELO MEC. LE98 58-FxA68-E - ref. 16242</v>
      </c>
      <c r="C21699" s="2" t="str">
        <f t="shared" si="856"/>
        <v>UN</v>
      </c>
      <c r="D21699" s="7">
        <v>918</v>
      </c>
      <c r="E21699" s="3">
        <v>11</v>
      </c>
      <c r="F21699" s="3">
        <v>11</v>
      </c>
      <c r="G21699" t="s">
        <v>516</v>
      </c>
    </row>
    <row r="21700" spans="1:7" x14ac:dyDescent="0.25">
      <c r="A21700" s="1" t="str">
        <f>"526879"</f>
        <v>526879</v>
      </c>
      <c r="B21700" s="2" t="str">
        <f>"SELO MEC. LE98 76,2-FxA68-E 3Q-I"</f>
        <v>SELO MEC. LE98 76,2-FxA68-E 3Q-I</v>
      </c>
      <c r="C21700" s="2" t="str">
        <f t="shared" si="856"/>
        <v>UN</v>
      </c>
      <c r="D21700" s="7">
        <v>918</v>
      </c>
      <c r="E21700" s="3">
        <v>11</v>
      </c>
      <c r="F21700" s="3">
        <v>11</v>
      </c>
      <c r="G21700" t="s">
        <v>515</v>
      </c>
    </row>
    <row r="21701" spans="1:7" x14ac:dyDescent="0.25">
      <c r="A21701" s="1" t="str">
        <f>"524451"</f>
        <v>524451</v>
      </c>
      <c r="B21701" s="8" t="s">
        <v>377</v>
      </c>
      <c r="C21701" s="2" t="str">
        <f t="shared" si="856"/>
        <v>UN</v>
      </c>
      <c r="D21701" s="7">
        <v>813</v>
      </c>
      <c r="E21701" s="3">
        <v>11</v>
      </c>
      <c r="F21701" s="3">
        <v>11</v>
      </c>
      <c r="G21701" t="s">
        <v>514</v>
      </c>
    </row>
    <row r="21702" spans="1:7" x14ac:dyDescent="0.25">
      <c r="A21702" s="1" t="str">
        <f>"524750"</f>
        <v>524750</v>
      </c>
      <c r="B21702" s="2" t="str">
        <f>"SELO MEC. SIC/CAR-EPDM L772466 SPX"</f>
        <v>SELO MEC. SIC/CAR-EPDM L772466 SPX</v>
      </c>
      <c r="C21702" s="2" t="str">
        <f t="shared" si="856"/>
        <v>UN</v>
      </c>
      <c r="D21702" s="7">
        <v>807</v>
      </c>
      <c r="E21702" s="3">
        <v>11</v>
      </c>
      <c r="F21702" s="3">
        <v>11</v>
      </c>
      <c r="G21702" t="s">
        <v>512</v>
      </c>
    </row>
    <row r="21703" spans="1:7" x14ac:dyDescent="0.25">
      <c r="A21703" s="1" t="str">
        <f>"524738"</f>
        <v>524738</v>
      </c>
      <c r="B21703" s="2" t="str">
        <f>"SELO MEC. SIC/CR-EPDM L772461 SPX"</f>
        <v>SELO MEC. SIC/CR-EPDM L772461 SPX</v>
      </c>
      <c r="C21703" s="2" t="str">
        <f t="shared" si="856"/>
        <v>UN</v>
      </c>
      <c r="D21703" s="7">
        <v>807</v>
      </c>
      <c r="E21703" s="3">
        <v>11</v>
      </c>
      <c r="F21703" s="3">
        <v>11</v>
      </c>
      <c r="G21703" t="s">
        <v>513</v>
      </c>
    </row>
    <row r="21704" spans="1:7" x14ac:dyDescent="0.25">
      <c r="A21704" s="1" t="str">
        <f>"524753"</f>
        <v>524753</v>
      </c>
      <c r="B21704" s="2" t="str">
        <f>"SELO MEC. SIC/SIC EPDM L772463 SPX"</f>
        <v>SELO MEC. SIC/SIC EPDM L772463 SPX</v>
      </c>
      <c r="C21704" s="2" t="str">
        <f t="shared" si="856"/>
        <v>UN</v>
      </c>
      <c r="D21704" s="7">
        <v>807</v>
      </c>
      <c r="E21704" s="3">
        <v>11</v>
      </c>
      <c r="F21704" s="3">
        <v>11</v>
      </c>
      <c r="G21704" t="s">
        <v>514</v>
      </c>
    </row>
    <row r="21705" spans="1:7" x14ac:dyDescent="0.25">
      <c r="A21705" s="1" t="str">
        <f>"524751"</f>
        <v>524751</v>
      </c>
      <c r="B21705" s="2" t="str">
        <f>"SELO MEC. SIC/SIC-EPDM L772468 SPX"</f>
        <v>SELO MEC. SIC/SIC-EPDM L772468 SPX</v>
      </c>
      <c r="C21705" s="2" t="str">
        <f t="shared" si="856"/>
        <v>UN</v>
      </c>
      <c r="D21705" s="7">
        <v>807</v>
      </c>
      <c r="E21705" s="3">
        <v>11</v>
      </c>
      <c r="F21705" s="3">
        <v>11</v>
      </c>
      <c r="G21705" t="s">
        <v>514</v>
      </c>
    </row>
    <row r="21706" spans="1:7" x14ac:dyDescent="0.25">
      <c r="A21706" s="1" t="str">
        <f>"501228"</f>
        <v>501228</v>
      </c>
      <c r="B21706" s="2" t="str">
        <f>"SELO MEC.INOXIL LEINX-32N-20-AC-E-01228"</f>
        <v>SELO MEC.INOXIL LEINX-32N-20-AC-E-01228</v>
      </c>
      <c r="C21706" s="2" t="str">
        <f>"PC"</f>
        <v>PC</v>
      </c>
      <c r="D21706" s="7">
        <v>918</v>
      </c>
      <c r="E21706" s="3">
        <v>11</v>
      </c>
      <c r="F21706" s="3">
        <v>11</v>
      </c>
      <c r="G21706" t="s">
        <v>512</v>
      </c>
    </row>
    <row r="21707" spans="1:7" x14ac:dyDescent="0.25">
      <c r="A21707" s="1" t="str">
        <f>"501235"</f>
        <v>501235</v>
      </c>
      <c r="B21707" s="2" t="str">
        <f>"SELO MEC.SIMP BCR600 COD.668080KE VITOM"</f>
        <v>SELO MEC.SIMP BCR600 COD.668080KE VITOM</v>
      </c>
      <c r="C21707" s="2" t="str">
        <f>"PC"</f>
        <v>PC</v>
      </c>
      <c r="D21707" s="7">
        <v>918</v>
      </c>
      <c r="E21707" s="3">
        <v>11</v>
      </c>
      <c r="F21707" s="3">
        <v>11</v>
      </c>
      <c r="G21707" t="s">
        <v>513</v>
      </c>
    </row>
    <row r="21708" spans="1:7" x14ac:dyDescent="0.25">
      <c r="A21708" s="1" t="str">
        <f>"526871"</f>
        <v>526871</v>
      </c>
      <c r="B21708" s="2" t="str">
        <f>"SELO MEC.SIMP R3BR 1 3/4 VED. SEDUNDÁRIA BUNA"</f>
        <v>SELO MEC.SIMP R3BR 1 3/4 VED. SEDUNDÁRIA BUNA</v>
      </c>
      <c r="C21708" s="2" t="str">
        <f>"PC"</f>
        <v>PC</v>
      </c>
      <c r="D21708" s="7">
        <v>918</v>
      </c>
      <c r="E21708" s="3">
        <v>11</v>
      </c>
      <c r="F21708" s="3">
        <v>11</v>
      </c>
      <c r="G21708" t="s">
        <v>514</v>
      </c>
    </row>
    <row r="21709" spans="1:7" x14ac:dyDescent="0.25">
      <c r="A21709" s="1" t="str">
        <f>"502607"</f>
        <v>502607</v>
      </c>
      <c r="B21709" s="2" t="str">
        <f>"SELO MEC.SIMPLES BCR 400 3/4"""</f>
        <v>SELO MEC.SIMPLES BCR 400 3/4"</v>
      </c>
      <c r="C21709" s="2" t="str">
        <f>"UN"</f>
        <v>UN</v>
      </c>
      <c r="D21709" s="7">
        <v>918</v>
      </c>
      <c r="E21709" s="3">
        <v>11</v>
      </c>
      <c r="F21709" s="3">
        <v>11</v>
      </c>
      <c r="G21709" t="s">
        <v>514</v>
      </c>
    </row>
    <row r="21710" spans="1:7" x14ac:dyDescent="0.25">
      <c r="A21710" s="1" t="str">
        <f>"508920"</f>
        <v>508920</v>
      </c>
      <c r="B21710" s="2" t="str">
        <f>"SELO MECANICO 30.424.25 SERIE84 ANO98"</f>
        <v>SELO MECANICO 30.424.25 SERIE84 ANO98</v>
      </c>
      <c r="C21710" s="2" t="str">
        <f>"UN"</f>
        <v>UN</v>
      </c>
      <c r="D21710" s="7">
        <v>918</v>
      </c>
      <c r="E21710" s="3">
        <v>11</v>
      </c>
      <c r="F21710" s="3">
        <v>11</v>
      </c>
      <c r="G21710" t="s">
        <v>514</v>
      </c>
    </row>
    <row r="21711" spans="1:7" x14ac:dyDescent="0.25">
      <c r="A21711" s="1" t="str">
        <f>"520346"</f>
        <v>520346</v>
      </c>
      <c r="B21711" s="2" t="str">
        <f>"SELO MECANICO 5/8 TIPO 21"</f>
        <v>SELO MECANICO 5/8 TIPO 21</v>
      </c>
      <c r="C21711" s="2" t="str">
        <f>"UN"</f>
        <v>UN</v>
      </c>
      <c r="D21711" s="7">
        <v>918</v>
      </c>
      <c r="E21711" s="3">
        <v>11</v>
      </c>
      <c r="F21711" s="3">
        <v>11</v>
      </c>
      <c r="G21711" t="s">
        <v>513</v>
      </c>
    </row>
    <row r="21712" spans="1:7" x14ac:dyDescent="0.25">
      <c r="A21712" s="1" t="str">
        <f>"520353"</f>
        <v>520353</v>
      </c>
      <c r="B21712" s="2" t="str">
        <f>"SELO MECANICO 50,0MM LRFM14M14-K 203R-0500-0003"</f>
        <v>SELO MECANICO 50,0MM LRFM14M14-K 203R-0500-0003</v>
      </c>
      <c r="C21712" s="2" t="str">
        <f>"UN"</f>
        <v>UN</v>
      </c>
      <c r="D21712" s="7">
        <v>918</v>
      </c>
      <c r="E21712" s="3">
        <v>11</v>
      </c>
      <c r="F21712" s="3">
        <v>11</v>
      </c>
      <c r="G21712" t="s">
        <v>512</v>
      </c>
    </row>
    <row r="21713" spans="1:7" x14ac:dyDescent="0.25">
      <c r="A21713" s="1" t="str">
        <f>"516075"</f>
        <v>516075</v>
      </c>
      <c r="B21713" s="2" t="str">
        <f>"SELO MECANICO 50MM TUNG X TUNG X VITON (CONFORME DESENHO)"</f>
        <v>SELO MECANICO 50MM TUNG X TUNG X VITON (CONFORME DESENHO)</v>
      </c>
      <c r="C21713" s="2" t="str">
        <f>"PÇ"</f>
        <v>PÇ</v>
      </c>
      <c r="D21713" s="7">
        <v>918</v>
      </c>
      <c r="E21713" s="3">
        <v>11</v>
      </c>
      <c r="F21713" s="3">
        <v>11</v>
      </c>
      <c r="G21713" t="s">
        <v>513</v>
      </c>
    </row>
    <row r="21714" spans="1:7" x14ac:dyDescent="0.25">
      <c r="A21714" s="1" t="str">
        <f>"509943"</f>
        <v>509943</v>
      </c>
      <c r="B21714" s="2" t="str">
        <f>"SELO MECANICO BC 92 HB 3/4"</f>
        <v>SELO MECANICO BC 92 HB 3/4</v>
      </c>
      <c r="C21714" s="2" t="str">
        <f t="shared" ref="C21714:C21731" si="857">"UN"</f>
        <v>UN</v>
      </c>
      <c r="D21714" s="7">
        <v>918</v>
      </c>
      <c r="E21714" s="3">
        <v>11</v>
      </c>
      <c r="F21714" s="3">
        <v>11</v>
      </c>
      <c r="G21714" t="s">
        <v>514</v>
      </c>
    </row>
    <row r="21715" spans="1:7" x14ac:dyDescent="0.25">
      <c r="A21715" s="1" t="str">
        <f>"509917"</f>
        <v>509917</v>
      </c>
      <c r="B21715" s="2" t="str">
        <f>"SELO MECANICO BC 92 HB 5/8"</f>
        <v>SELO MECANICO BC 92 HB 5/8</v>
      </c>
      <c r="C21715" s="2" t="str">
        <f t="shared" si="857"/>
        <v>UN</v>
      </c>
      <c r="D21715" s="7">
        <v>918</v>
      </c>
      <c r="E21715" s="3">
        <v>11</v>
      </c>
      <c r="F21715" s="3">
        <v>11</v>
      </c>
      <c r="G21715" t="s">
        <v>514</v>
      </c>
    </row>
    <row r="21716" spans="1:7" x14ac:dyDescent="0.25">
      <c r="A21716" s="1" t="str">
        <f>"616370"</f>
        <v>616370</v>
      </c>
      <c r="B21716" s="2" t="str">
        <f>"SELO MECANICO BRAYTON TIPO 203-50MM COD.LRFMM14 C/COLAR FIXA"</f>
        <v>SELO MECANICO BRAYTON TIPO 203-50MM COD.LRFMM14 C/COLAR FIXA</v>
      </c>
      <c r="C21716" s="2" t="str">
        <f t="shared" si="857"/>
        <v>UN</v>
      </c>
      <c r="D21716" s="7">
        <v>909</v>
      </c>
      <c r="E21716" s="3">
        <v>3</v>
      </c>
      <c r="F21716" s="3">
        <v>3</v>
      </c>
      <c r="G21716" t="s">
        <v>514</v>
      </c>
    </row>
    <row r="21717" spans="1:7" x14ac:dyDescent="0.25">
      <c r="A21717" s="1" t="str">
        <f>"520344"</f>
        <v>520344</v>
      </c>
      <c r="B21717" s="2" t="str">
        <f>"SELO MECANICO BS216F-3/4 CAR-NBR VITOM"</f>
        <v>SELO MECANICO BS216F-3/4 CAR-NBR VITOM</v>
      </c>
      <c r="C21717" s="2" t="str">
        <f t="shared" si="857"/>
        <v>UN</v>
      </c>
      <c r="D21717" s="7">
        <v>918</v>
      </c>
      <c r="E21717" s="3">
        <v>11</v>
      </c>
      <c r="F21717" s="3">
        <v>11</v>
      </c>
      <c r="G21717" t="s">
        <v>513</v>
      </c>
    </row>
    <row r="21718" spans="1:7" x14ac:dyDescent="0.25">
      <c r="A21718" s="1" t="str">
        <f>"518023"</f>
        <v>518023</v>
      </c>
      <c r="B21718" s="2" t="str">
        <f>"SELO MECANICO BURGMANN M32 S5/60 BSEGFCO117-035 AUT"</f>
        <v>SELO MECANICO BURGMANN M32 S5/60 BSEGFCO117-035 AUT</v>
      </c>
      <c r="C21718" s="2" t="str">
        <f t="shared" si="857"/>
        <v>UN</v>
      </c>
      <c r="D21718" s="7">
        <v>1400</v>
      </c>
      <c r="E21718" s="3">
        <v>11</v>
      </c>
      <c r="F21718" s="3">
        <v>11</v>
      </c>
      <c r="G21718" t="s">
        <v>513</v>
      </c>
    </row>
    <row r="21719" spans="1:7" x14ac:dyDescent="0.25">
      <c r="A21719" s="1" t="str">
        <f>"501227"</f>
        <v>501227</v>
      </c>
      <c r="B21719" s="2" t="str">
        <f>"SELO MECANICO C/ MOLA CONICA JR20M"</f>
        <v>SELO MECANICO C/ MOLA CONICA JR20M</v>
      </c>
      <c r="C21719" s="2" t="str">
        <f t="shared" si="857"/>
        <v>UN</v>
      </c>
      <c r="D21719" s="7">
        <v>918</v>
      </c>
      <c r="E21719" s="3">
        <v>11</v>
      </c>
      <c r="F21719" s="3">
        <v>11</v>
      </c>
      <c r="G21719" t="s">
        <v>513</v>
      </c>
    </row>
    <row r="21720" spans="1:7" x14ac:dyDescent="0.25">
      <c r="A21720" s="1" t="str">
        <f>"527573"</f>
        <v>527573</v>
      </c>
      <c r="B21720" s="2" t="str">
        <f>"SELO MECANICO CARTUCHO DUPLO HIGIÊNICO 65MM DIÂMETRO"</f>
        <v>SELO MECANICO CARTUCHO DUPLO HIGIÊNICO 65MM DIÂMETRO</v>
      </c>
      <c r="C21720" s="2" t="str">
        <f t="shared" si="857"/>
        <v>UN</v>
      </c>
      <c r="D21720" s="7">
        <v>918</v>
      </c>
      <c r="E21720" s="3">
        <v>11</v>
      </c>
      <c r="F21720" s="3">
        <v>11</v>
      </c>
      <c r="G21720" t="s">
        <v>512</v>
      </c>
    </row>
    <row r="21721" spans="1:7" x14ac:dyDescent="0.25">
      <c r="A21721" s="1" t="str">
        <f>"527555"</f>
        <v>527555</v>
      </c>
      <c r="B21721" s="2" t="str">
        <f>"SELO MECANICO CARTUCHO DUPLO MANCALIZADO VD477.77-S5-65MM"</f>
        <v>SELO MECANICO CARTUCHO DUPLO MANCALIZADO VD477.77-S5-65MM</v>
      </c>
      <c r="C21721" s="2" t="str">
        <f t="shared" si="857"/>
        <v>UN</v>
      </c>
      <c r="D21721" s="7">
        <v>918</v>
      </c>
      <c r="E21721" s="3">
        <v>11</v>
      </c>
      <c r="F21721" s="3">
        <v>11</v>
      </c>
      <c r="G21721" t="s">
        <v>513</v>
      </c>
    </row>
    <row r="21722" spans="1:7" x14ac:dyDescent="0.25">
      <c r="A21722" s="1" t="str">
        <f>"527556"</f>
        <v>527556</v>
      </c>
      <c r="B21722" s="2" t="str">
        <f>"SELO MECANICO CARTUCHO DUPLO MANCALIZADO VD477-S5-60MM"</f>
        <v>SELO MECANICO CARTUCHO DUPLO MANCALIZADO VD477-S5-60MM</v>
      </c>
      <c r="C21722" s="2" t="str">
        <f t="shared" si="857"/>
        <v>UN</v>
      </c>
      <c r="D21722" s="7">
        <v>918</v>
      </c>
      <c r="E21722" s="3">
        <v>11</v>
      </c>
      <c r="F21722" s="3">
        <v>11</v>
      </c>
      <c r="G21722" t="s">
        <v>514</v>
      </c>
    </row>
    <row r="21723" spans="1:7" x14ac:dyDescent="0.25">
      <c r="A21723" s="1" t="str">
        <f>"521468"</f>
        <v>521468</v>
      </c>
      <c r="B21723" s="8" t="s">
        <v>204</v>
      </c>
      <c r="C21723" s="2" t="str">
        <f t="shared" si="857"/>
        <v>UN</v>
      </c>
      <c r="D21723" s="7">
        <v>402</v>
      </c>
      <c r="E21723" s="3">
        <v>4</v>
      </c>
      <c r="F21723" s="3">
        <v>4</v>
      </c>
      <c r="G21723" t="s">
        <v>515</v>
      </c>
    </row>
    <row r="21724" spans="1:7" x14ac:dyDescent="0.25">
      <c r="A21724" s="1" t="str">
        <f>"500444"</f>
        <v>500444</v>
      </c>
      <c r="B21724" s="2" t="str">
        <f>"SELO MECANICO INOXIL 3/4 ""BOMBA 1ZMK"""</f>
        <v>SELO MECANICO INOXIL 3/4 "BOMBA 1ZMK"</v>
      </c>
      <c r="C21724" s="2" t="str">
        <f t="shared" si="857"/>
        <v>UN</v>
      </c>
      <c r="D21724" s="7">
        <v>918</v>
      </c>
      <c r="E21724" s="3">
        <v>11</v>
      </c>
      <c r="F21724" s="3">
        <v>11</v>
      </c>
      <c r="G21724" t="s">
        <v>512</v>
      </c>
    </row>
    <row r="21725" spans="1:7" x14ac:dyDescent="0.25">
      <c r="A21725" s="1" t="str">
        <f>"524851"</f>
        <v>524851</v>
      </c>
      <c r="B21725" s="2" t="str">
        <f>"SELO MECANICO MG1 Ø20MM"</f>
        <v>SELO MECANICO MG1 Ø20MM</v>
      </c>
      <c r="C21725" s="2" t="str">
        <f t="shared" si="857"/>
        <v>UN</v>
      </c>
      <c r="D21725" s="7">
        <v>918</v>
      </c>
      <c r="E21725" s="3">
        <v>10</v>
      </c>
      <c r="F21725" s="3">
        <v>10</v>
      </c>
      <c r="G21725" t="s">
        <v>516</v>
      </c>
    </row>
    <row r="21726" spans="1:7" x14ac:dyDescent="0.25">
      <c r="A21726" s="1" t="str">
        <f>"508271"</f>
        <v>508271</v>
      </c>
      <c r="B21726" s="2" t="str">
        <f>"SELO MECANICO NDB-CD3/040VL"</f>
        <v>SELO MECANICO NDB-CD3/040VL</v>
      </c>
      <c r="C21726" s="2" t="str">
        <f t="shared" si="857"/>
        <v>UN</v>
      </c>
      <c r="D21726" s="7">
        <v>918</v>
      </c>
      <c r="E21726" s="3">
        <v>11</v>
      </c>
      <c r="F21726" s="3">
        <v>11</v>
      </c>
      <c r="G21726" t="s">
        <v>515</v>
      </c>
    </row>
    <row r="21727" spans="1:7" x14ac:dyDescent="0.25">
      <c r="A21727" s="1" t="str">
        <f>"521523"</f>
        <v>521523</v>
      </c>
      <c r="B21727" s="2" t="str">
        <f>"SELO MECANICO NETSZCH 6841125 KIKIVGE"</f>
        <v>SELO MECANICO NETSZCH 6841125 KIKIVGE</v>
      </c>
      <c r="C21727" s="2" t="str">
        <f t="shared" si="857"/>
        <v>UN</v>
      </c>
      <c r="D21727" s="7">
        <v>813</v>
      </c>
      <c r="E21727" s="3">
        <v>10</v>
      </c>
      <c r="F21727" s="3">
        <v>10</v>
      </c>
      <c r="G21727" t="s">
        <v>514</v>
      </c>
    </row>
    <row r="21728" spans="1:7" x14ac:dyDescent="0.25">
      <c r="A21728" s="1" t="str">
        <f>"501229"</f>
        <v>501229</v>
      </c>
      <c r="B21728" s="2" t="str">
        <f>"SELO MECANICO NETZSCH NDB 004823"</f>
        <v>SELO MECANICO NETZSCH NDB 004823</v>
      </c>
      <c r="C21728" s="2" t="str">
        <f t="shared" si="857"/>
        <v>UN</v>
      </c>
      <c r="D21728" s="7">
        <v>918</v>
      </c>
      <c r="E21728" s="3">
        <v>11</v>
      </c>
      <c r="F21728" s="3">
        <v>11</v>
      </c>
      <c r="G21728" t="s">
        <v>512</v>
      </c>
    </row>
    <row r="21729" spans="1:7" x14ac:dyDescent="0.25">
      <c r="A21729" s="1" t="str">
        <f>"501230"</f>
        <v>501230</v>
      </c>
      <c r="B21729" s="2" t="str">
        <f>"SELO MECANICO NETZSCH NDV 004665"</f>
        <v>SELO MECANICO NETZSCH NDV 004665</v>
      </c>
      <c r="C21729" s="2" t="str">
        <f t="shared" si="857"/>
        <v>UN</v>
      </c>
      <c r="D21729" s="7">
        <v>918</v>
      </c>
      <c r="E21729" s="3">
        <v>11</v>
      </c>
      <c r="F21729" s="3">
        <v>11</v>
      </c>
      <c r="G21729" t="s">
        <v>513</v>
      </c>
    </row>
    <row r="21730" spans="1:7" x14ac:dyDescent="0.25">
      <c r="A21730" s="1" t="str">
        <f>"505874"</f>
        <v>505874</v>
      </c>
      <c r="B21730" s="2" t="str">
        <f>"SELO MECANICO NM015 NETZSCH NDB 684211"</f>
        <v>SELO MECANICO NM015 NETZSCH NDB 684211</v>
      </c>
      <c r="C21730" s="2" t="str">
        <f t="shared" si="857"/>
        <v>UN</v>
      </c>
      <c r="D21730" s="7">
        <v>918</v>
      </c>
      <c r="E21730" s="3">
        <v>11</v>
      </c>
      <c r="F21730" s="3">
        <v>11</v>
      </c>
      <c r="G21730" t="s">
        <v>514</v>
      </c>
    </row>
    <row r="21731" spans="1:7" x14ac:dyDescent="0.25">
      <c r="A21731" s="1" t="str">
        <f>"515921"</f>
        <v>515921</v>
      </c>
      <c r="B21731" s="2" t="str">
        <f>"SELO MECANICO NM021 NETZSCH NDB 684211"</f>
        <v>SELO MECANICO NM021 NETZSCH NDB 684211</v>
      </c>
      <c r="C21731" s="2" t="str">
        <f t="shared" si="857"/>
        <v>UN</v>
      </c>
      <c r="D21731" s="7">
        <v>99999</v>
      </c>
      <c r="E21731" s="3">
        <v>10</v>
      </c>
      <c r="F21731" s="3">
        <v>10</v>
      </c>
      <c r="G21731" t="s">
        <v>514</v>
      </c>
    </row>
    <row r="21732" spans="1:7" x14ac:dyDescent="0.25">
      <c r="A21732" s="1" t="str">
        <f>"508091"</f>
        <v>508091</v>
      </c>
      <c r="B21732" s="2" t="str">
        <f>"SELO MECANICO NM031 NETZSCH NDB 678318"</f>
        <v>SELO MECANICO NM031 NETZSCH NDB 678318</v>
      </c>
      <c r="C21732" s="2" t="str">
        <f>"PC"</f>
        <v>PC</v>
      </c>
      <c r="D21732" s="7">
        <v>918</v>
      </c>
      <c r="E21732" s="3">
        <v>11</v>
      </c>
      <c r="F21732" s="3">
        <v>11</v>
      </c>
      <c r="G21732" t="s">
        <v>512</v>
      </c>
    </row>
    <row r="21733" spans="1:7" x14ac:dyDescent="0.25">
      <c r="A21733" s="1" t="str">
        <f>"505875"</f>
        <v>505875</v>
      </c>
      <c r="B21733" s="2" t="str">
        <f>"SELO MECANICO NM038 NETZSCH NDB 689435"</f>
        <v>SELO MECANICO NM038 NETZSCH NDB 689435</v>
      </c>
      <c r="C21733" s="2" t="str">
        <f t="shared" ref="C21733:C21746" si="858">"UN"</f>
        <v>UN</v>
      </c>
      <c r="D21733" s="7">
        <v>918</v>
      </c>
      <c r="E21733" s="3">
        <v>11</v>
      </c>
      <c r="F21733" s="3">
        <v>11</v>
      </c>
      <c r="G21733" t="s">
        <v>513</v>
      </c>
    </row>
    <row r="21734" spans="1:7" x14ac:dyDescent="0.25">
      <c r="A21734" s="1" t="str">
        <f>"505872"</f>
        <v>505872</v>
      </c>
      <c r="B21734" s="2" t="str">
        <f>"SELO MECANICO NM045 NETZSCH NDB 677329"</f>
        <v>SELO MECANICO NM045 NETZSCH NDB 677329</v>
      </c>
      <c r="C21734" s="2" t="str">
        <f t="shared" si="858"/>
        <v>UN</v>
      </c>
      <c r="D21734" s="7">
        <v>918</v>
      </c>
      <c r="E21734" s="3">
        <v>11</v>
      </c>
      <c r="F21734" s="3">
        <v>11</v>
      </c>
      <c r="G21734" t="s">
        <v>514</v>
      </c>
    </row>
    <row r="21735" spans="1:7" x14ac:dyDescent="0.25">
      <c r="A21735" s="1" t="str">
        <f>"505873"</f>
        <v>505873</v>
      </c>
      <c r="B21735" s="2" t="str">
        <f>"SELO MECANICO NM053 NETZSCH NDB 691164"</f>
        <v>SELO MECANICO NM053 NETZSCH NDB 691164</v>
      </c>
      <c r="C21735" s="2" t="str">
        <f t="shared" si="858"/>
        <v>UN</v>
      </c>
      <c r="D21735" s="7">
        <v>918</v>
      </c>
      <c r="E21735" s="3">
        <v>11</v>
      </c>
      <c r="F21735" s="3">
        <v>11</v>
      </c>
      <c r="G21735" t="s">
        <v>514</v>
      </c>
    </row>
    <row r="21736" spans="1:7" x14ac:dyDescent="0.25">
      <c r="A21736" s="1" t="str">
        <f>"505876"</f>
        <v>505876</v>
      </c>
      <c r="B21736" s="2" t="str">
        <f>"SELO MECANICO NM063 NETZSCH NDB 691165"</f>
        <v>SELO MECANICO NM063 NETZSCH NDB 691165</v>
      </c>
      <c r="C21736" s="2" t="str">
        <f t="shared" si="858"/>
        <v>UN</v>
      </c>
      <c r="D21736" s="7">
        <v>918</v>
      </c>
      <c r="E21736" s="3">
        <v>11</v>
      </c>
      <c r="F21736" s="3">
        <v>11</v>
      </c>
      <c r="G21736" t="s">
        <v>514</v>
      </c>
    </row>
    <row r="21737" spans="1:7" x14ac:dyDescent="0.25">
      <c r="A21737" s="1" t="str">
        <f>"511717"</f>
        <v>511717</v>
      </c>
      <c r="B21737" s="2" t="str">
        <f>"SELO MECANICO NM090 NETZSCH NDB 677038"</f>
        <v>SELO MECANICO NM090 NETZSCH NDB 677038</v>
      </c>
      <c r="C21737" s="2" t="str">
        <f t="shared" si="858"/>
        <v>UN</v>
      </c>
      <c r="D21737" s="7">
        <v>918</v>
      </c>
      <c r="E21737" s="3">
        <v>11</v>
      </c>
      <c r="F21737" s="3">
        <v>11</v>
      </c>
      <c r="G21737" t="s">
        <v>513</v>
      </c>
    </row>
    <row r="21738" spans="1:7" x14ac:dyDescent="0.25">
      <c r="A21738" s="1" t="str">
        <f>"512913"</f>
        <v>512913</v>
      </c>
      <c r="B21738" s="2" t="str">
        <f>"SELO MECANICO SB-12 19MM"</f>
        <v>SELO MECANICO SB-12 19MM</v>
      </c>
      <c r="C21738" s="2" t="str">
        <f t="shared" si="858"/>
        <v>UN</v>
      </c>
      <c r="D21738" s="7">
        <v>918</v>
      </c>
      <c r="E21738" s="3">
        <v>11</v>
      </c>
      <c r="F21738" s="3">
        <v>11</v>
      </c>
      <c r="G21738" t="s">
        <v>512</v>
      </c>
    </row>
    <row r="21739" spans="1:7" x14ac:dyDescent="0.25">
      <c r="A21739" s="1" t="str">
        <f>"524672"</f>
        <v>524672</v>
      </c>
      <c r="B21739" s="2" t="str">
        <f>"SELO MECANICO SPX CNC60086 BOMBA SANITATIA C-216 R6 15CV"</f>
        <v>SELO MECANICO SPX CNC60086 BOMBA SANITATIA C-216 R6 15CV</v>
      </c>
      <c r="C21739" s="2" t="str">
        <f t="shared" si="858"/>
        <v>UN</v>
      </c>
      <c r="D21739" s="7">
        <v>813</v>
      </c>
      <c r="E21739" s="3">
        <v>11</v>
      </c>
      <c r="F21739" s="3">
        <v>11</v>
      </c>
      <c r="G21739" t="s">
        <v>513</v>
      </c>
    </row>
    <row r="21740" spans="1:7" x14ac:dyDescent="0.25">
      <c r="A21740" s="1" t="str">
        <f>"508470"</f>
        <v>508470</v>
      </c>
      <c r="B21740" s="2" t="str">
        <f>"SELO MECANICO TIPO 01 X 1 1/2"""</f>
        <v>SELO MECANICO TIPO 01 X 1 1/2"</v>
      </c>
      <c r="C21740" s="2" t="str">
        <f t="shared" si="858"/>
        <v>UN</v>
      </c>
      <c r="D21740" s="7">
        <v>918</v>
      </c>
      <c r="E21740" s="3">
        <v>11</v>
      </c>
      <c r="F21740" s="3">
        <v>11</v>
      </c>
      <c r="G21740" t="s">
        <v>514</v>
      </c>
    </row>
    <row r="21741" spans="1:7" x14ac:dyDescent="0.25">
      <c r="A21741" s="1" t="str">
        <f>"503831"</f>
        <v>503831</v>
      </c>
      <c r="B21741" s="2" t="str">
        <f>"SELO MECANICO TIPO 01 X 1"" VITON"</f>
        <v>SELO MECANICO TIPO 01 X 1" VITON</v>
      </c>
      <c r="C21741" s="2" t="str">
        <f t="shared" si="858"/>
        <v>UN</v>
      </c>
      <c r="D21741" s="7">
        <v>402</v>
      </c>
      <c r="E21741" s="3">
        <v>4</v>
      </c>
      <c r="F21741" s="3">
        <v>4</v>
      </c>
      <c r="G21741" t="s">
        <v>514</v>
      </c>
    </row>
    <row r="21742" spans="1:7" x14ac:dyDescent="0.25">
      <c r="A21742" s="1" t="str">
        <f>"503832"</f>
        <v>503832</v>
      </c>
      <c r="B21742" s="2" t="str">
        <f>"SELO MECANICO TIPO 01 X 1.1/4"" VITON"</f>
        <v>SELO MECANICO TIPO 01 X 1.1/4" VITON</v>
      </c>
      <c r="C21742" s="2" t="str">
        <f t="shared" si="858"/>
        <v>UN</v>
      </c>
      <c r="D21742" s="7">
        <v>402</v>
      </c>
      <c r="E21742" s="3">
        <v>4</v>
      </c>
      <c r="F21742" s="3">
        <v>4</v>
      </c>
      <c r="G21742" t="s">
        <v>514</v>
      </c>
    </row>
    <row r="21743" spans="1:7" x14ac:dyDescent="0.25">
      <c r="A21743" s="1" t="str">
        <f>"519826"</f>
        <v>519826</v>
      </c>
      <c r="B21743" s="2" t="str">
        <f>"SELO MECANICO TIPO 01 X 1.1/8"""</f>
        <v>SELO MECANICO TIPO 01 X 1.1/8"</v>
      </c>
      <c r="C21743" s="2" t="str">
        <f t="shared" si="858"/>
        <v>UN</v>
      </c>
      <c r="D21743" s="7">
        <v>402</v>
      </c>
      <c r="E21743" s="3">
        <v>4</v>
      </c>
      <c r="F21743" s="3">
        <v>4</v>
      </c>
      <c r="G21743" t="s">
        <v>513</v>
      </c>
    </row>
    <row r="21744" spans="1:7" x14ac:dyDescent="0.25">
      <c r="A21744" s="1" t="str">
        <f>"503830"</f>
        <v>503830</v>
      </c>
      <c r="B21744" s="2" t="str">
        <f>"SELO MECANICO TIPO 01 X 3/4"""</f>
        <v>SELO MECANICO TIPO 01 X 3/4"</v>
      </c>
      <c r="C21744" s="2" t="str">
        <f t="shared" si="858"/>
        <v>UN</v>
      </c>
      <c r="D21744" s="7">
        <v>402</v>
      </c>
      <c r="E21744" s="3">
        <v>4</v>
      </c>
      <c r="F21744" s="3">
        <v>4</v>
      </c>
      <c r="G21744" t="s">
        <v>513</v>
      </c>
    </row>
    <row r="21745" spans="1:7" x14ac:dyDescent="0.25">
      <c r="A21745" s="1" t="str">
        <f>"503834"</f>
        <v>503834</v>
      </c>
      <c r="B21745" s="2" t="str">
        <f>"SELO MECANICO TIPO 01 X 5/8"""</f>
        <v>SELO MECANICO TIPO 01 X 5/8"</v>
      </c>
      <c r="C21745" s="2" t="str">
        <f t="shared" si="858"/>
        <v>UN</v>
      </c>
      <c r="D21745" s="7">
        <v>402</v>
      </c>
      <c r="E21745" s="3">
        <v>4</v>
      </c>
      <c r="F21745" s="3">
        <v>4</v>
      </c>
      <c r="G21745" t="s">
        <v>513</v>
      </c>
    </row>
    <row r="21746" spans="1:7" x14ac:dyDescent="0.25">
      <c r="A21746" s="1" t="str">
        <f>"500829"</f>
        <v>500829</v>
      </c>
      <c r="B21746" s="2" t="str">
        <f>"SELO MECANICO TIPO 06 X 3/4"""</f>
        <v>SELO MECANICO TIPO 06 X 3/4"</v>
      </c>
      <c r="C21746" s="2" t="str">
        <f t="shared" si="858"/>
        <v>UN</v>
      </c>
      <c r="D21746" s="7">
        <v>402</v>
      </c>
      <c r="E21746" s="3">
        <v>4</v>
      </c>
      <c r="F21746" s="3">
        <v>4</v>
      </c>
      <c r="G21746" t="s">
        <v>512</v>
      </c>
    </row>
    <row r="21747" spans="1:7" x14ac:dyDescent="0.25">
      <c r="A21747" s="1" t="str">
        <f>"500802"</f>
        <v>500802</v>
      </c>
      <c r="B21747" s="2" t="str">
        <f>"SELO MECANICO TIPO 06 X 5/8"""</f>
        <v>SELO MECANICO TIPO 06 X 5/8"</v>
      </c>
      <c r="C21747" s="2" t="str">
        <f>"PC"</f>
        <v>PC</v>
      </c>
      <c r="D21747" s="7">
        <v>402</v>
      </c>
      <c r="E21747" s="3">
        <v>4</v>
      </c>
      <c r="F21747" s="3">
        <v>4</v>
      </c>
      <c r="G21747" t="s">
        <v>513</v>
      </c>
    </row>
    <row r="21748" spans="1:7" x14ac:dyDescent="0.25">
      <c r="A21748" s="1" t="str">
        <f>"502857"</f>
        <v>502857</v>
      </c>
      <c r="B21748" s="2" t="str">
        <f>"SELO MECANICO TIPO 10 X 5/8"""</f>
        <v>SELO MECANICO TIPO 10 X 5/8"</v>
      </c>
      <c r="C21748" s="2" t="str">
        <f>"UN"</f>
        <v>UN</v>
      </c>
      <c r="D21748" s="7">
        <v>402</v>
      </c>
      <c r="E21748" s="3">
        <v>4</v>
      </c>
      <c r="F21748" s="3">
        <v>4</v>
      </c>
      <c r="G21748" t="s">
        <v>514</v>
      </c>
    </row>
    <row r="21749" spans="1:7" x14ac:dyDescent="0.25">
      <c r="A21749" s="1" t="str">
        <f>"503833"</f>
        <v>503833</v>
      </c>
      <c r="B21749" s="2" t="str">
        <f>"SELO MECANICO TIPO 16 X 1/2"""</f>
        <v>SELO MECANICO TIPO 16 X 1/2"</v>
      </c>
      <c r="C21749" s="2" t="str">
        <f>"UN"</f>
        <v>UN</v>
      </c>
      <c r="D21749" s="7">
        <v>402</v>
      </c>
      <c r="E21749" s="3">
        <v>4</v>
      </c>
      <c r="F21749" s="3">
        <v>4</v>
      </c>
      <c r="G21749" t="s">
        <v>515</v>
      </c>
    </row>
    <row r="21750" spans="1:7" x14ac:dyDescent="0.25">
      <c r="A21750" s="1" t="str">
        <f>"501108"</f>
        <v>501108</v>
      </c>
      <c r="B21750" s="2" t="str">
        <f>"SELO MECANICO TIPO 16 X 3/4"""</f>
        <v>SELO MECANICO TIPO 16 X 3/4"</v>
      </c>
      <c r="C21750" s="2" t="str">
        <f>"UN"</f>
        <v>UN</v>
      </c>
      <c r="D21750" s="7">
        <v>402</v>
      </c>
      <c r="E21750" s="3">
        <v>4</v>
      </c>
      <c r="F21750" s="3">
        <v>4</v>
      </c>
      <c r="G21750" t="s">
        <v>512</v>
      </c>
    </row>
    <row r="21751" spans="1:7" x14ac:dyDescent="0.25">
      <c r="A21751" s="1" t="str">
        <f>"510345"</f>
        <v>510345</v>
      </c>
      <c r="B21751" s="2" t="str">
        <f>"SELO MECANICO TIPO 16 X 5/8"""</f>
        <v>SELO MECANICO TIPO 16 X 5/8"</v>
      </c>
      <c r="C21751" s="2" t="str">
        <f>"UN"</f>
        <v>UN</v>
      </c>
      <c r="D21751" s="7">
        <v>812</v>
      </c>
      <c r="E21751" s="3">
        <v>10</v>
      </c>
      <c r="F21751" s="3">
        <v>10</v>
      </c>
      <c r="G21751" t="s">
        <v>516</v>
      </c>
    </row>
    <row r="21752" spans="1:7" x14ac:dyDescent="0.25">
      <c r="A21752" s="1" t="str">
        <f>"506184"</f>
        <v>506184</v>
      </c>
      <c r="B21752" s="2" t="str">
        <f>"SELO MECANICO TIPO 21 1.1/4 BUNA - LONGO"</f>
        <v>SELO MECANICO TIPO 21 1.1/4 BUNA - LONGO</v>
      </c>
      <c r="C21752" s="2" t="str">
        <f>"UN"</f>
        <v>UN</v>
      </c>
      <c r="D21752" s="7">
        <v>402</v>
      </c>
      <c r="E21752" s="3">
        <v>4</v>
      </c>
      <c r="F21752" s="3">
        <v>4</v>
      </c>
      <c r="G21752" t="s">
        <v>515</v>
      </c>
    </row>
    <row r="21753" spans="1:7" x14ac:dyDescent="0.25">
      <c r="A21753" s="1" t="str">
        <f>"501234"</f>
        <v>501234</v>
      </c>
      <c r="B21753" s="2" t="str">
        <f>"SELO MECANICO TIPO 21 1/2 BUNA"</f>
        <v>SELO MECANICO TIPO 21 1/2 BUNA</v>
      </c>
      <c r="C21753" s="2" t="str">
        <f>"PC"</f>
        <v>PC</v>
      </c>
      <c r="D21753" s="7">
        <v>402</v>
      </c>
      <c r="E21753" s="3">
        <v>4</v>
      </c>
      <c r="F21753" s="3">
        <v>4</v>
      </c>
      <c r="G21753" t="s">
        <v>514</v>
      </c>
    </row>
    <row r="21754" spans="1:7" x14ac:dyDescent="0.25">
      <c r="A21754" s="1" t="str">
        <f>"508349"</f>
        <v>508349</v>
      </c>
      <c r="B21754" s="2" t="str">
        <f>"SELO MECANICO TIPO 21 X 1 3/8"""</f>
        <v>SELO MECANICO TIPO 21 X 1 3/8"</v>
      </c>
      <c r="C21754" s="2" t="str">
        <f>"PC"</f>
        <v>PC</v>
      </c>
      <c r="D21754" s="7">
        <v>918</v>
      </c>
      <c r="E21754" s="3">
        <v>11</v>
      </c>
      <c r="F21754" s="3">
        <v>11</v>
      </c>
      <c r="G21754" t="s">
        <v>512</v>
      </c>
    </row>
    <row r="21755" spans="1:7" x14ac:dyDescent="0.25">
      <c r="A21755" s="1" t="str">
        <f>"521484"</f>
        <v>521484</v>
      </c>
      <c r="B21755" s="2" t="str">
        <f>"SELO MECANICO TIPO 21 X 13/8"""</f>
        <v>SELO MECANICO TIPO 21 X 13/8"</v>
      </c>
      <c r="C21755" s="2" t="str">
        <f>"PC"</f>
        <v>PC</v>
      </c>
      <c r="D21755" s="7">
        <v>812</v>
      </c>
      <c r="E21755" s="3">
        <v>10</v>
      </c>
      <c r="F21755" s="3">
        <v>10</v>
      </c>
      <c r="G21755" t="s">
        <v>513</v>
      </c>
    </row>
    <row r="21756" spans="1:7" x14ac:dyDescent="0.25">
      <c r="A21756" s="1" t="str">
        <f>"508443"</f>
        <v>508443</v>
      </c>
      <c r="B21756" s="2" t="str">
        <f>"SELO MECANICO TIPO 21 X 3/4"""</f>
        <v>SELO MECANICO TIPO 21 X 3/4"</v>
      </c>
      <c r="C21756" s="2" t="str">
        <f>"PC"</f>
        <v>PC</v>
      </c>
      <c r="D21756" s="7">
        <v>812</v>
      </c>
      <c r="E21756" s="3">
        <v>10</v>
      </c>
      <c r="F21756" s="3">
        <v>10</v>
      </c>
      <c r="G21756" t="s">
        <v>514</v>
      </c>
    </row>
    <row r="21757" spans="1:7" x14ac:dyDescent="0.25">
      <c r="A21757" s="1" t="str">
        <f>"521633"</f>
        <v>521633</v>
      </c>
      <c r="B21757" s="2" t="str">
        <f>"SELO MECANICO TIPO 21 X 3/8"" Q1Q1 VGG"</f>
        <v>SELO MECANICO TIPO 21 X 3/8" Q1Q1 VGG</v>
      </c>
      <c r="C21757" s="2" t="str">
        <f t="shared" ref="C21757:C21771" si="859">"UN"</f>
        <v>UN</v>
      </c>
      <c r="D21757" s="7">
        <v>402</v>
      </c>
      <c r="E21757" s="3">
        <v>4</v>
      </c>
      <c r="F21757" s="3">
        <v>4</v>
      </c>
      <c r="G21757" t="s">
        <v>514</v>
      </c>
    </row>
    <row r="21758" spans="1:7" x14ac:dyDescent="0.25">
      <c r="A21758" s="1" t="str">
        <f>"502858"</f>
        <v>502858</v>
      </c>
      <c r="B21758" s="2" t="str">
        <f>"SELO MECANICO TIPO 21 X 5/8"""</f>
        <v>SELO MECANICO TIPO 21 X 5/8"</v>
      </c>
      <c r="C21758" s="2" t="str">
        <f t="shared" si="859"/>
        <v>UN</v>
      </c>
      <c r="D21758" s="7">
        <v>402</v>
      </c>
      <c r="E21758" s="3">
        <v>4</v>
      </c>
      <c r="F21758" s="3">
        <v>4</v>
      </c>
      <c r="G21758" t="s">
        <v>512</v>
      </c>
    </row>
    <row r="21759" spans="1:7" x14ac:dyDescent="0.25">
      <c r="A21759" s="1" t="str">
        <f>"501668"</f>
        <v>501668</v>
      </c>
      <c r="B21759" s="2" t="str">
        <f>"SELO MECANICO TIPO BC 250 25MM DUPLO"</f>
        <v>SELO MECANICO TIPO BC 250 25MM DUPLO</v>
      </c>
      <c r="C21759" s="2" t="str">
        <f t="shared" si="859"/>
        <v>UN</v>
      </c>
      <c r="D21759" s="7">
        <v>918</v>
      </c>
      <c r="E21759" s="3">
        <v>11</v>
      </c>
      <c r="F21759" s="3">
        <v>11</v>
      </c>
      <c r="G21759" t="s">
        <v>513</v>
      </c>
    </row>
    <row r="21760" spans="1:7" x14ac:dyDescent="0.25">
      <c r="A21760" s="1" t="str">
        <f>"524742"</f>
        <v>524742</v>
      </c>
      <c r="B21760" s="2" t="str">
        <f>"SELO ROT. DE CARBONO W60086 SPX"</f>
        <v>SELO ROT. DE CARBONO W60086 SPX</v>
      </c>
      <c r="C21760" s="2" t="str">
        <f t="shared" si="859"/>
        <v>UN</v>
      </c>
      <c r="D21760" s="7">
        <v>807</v>
      </c>
      <c r="E21760" s="3">
        <v>11</v>
      </c>
      <c r="F21760" s="3">
        <v>11</v>
      </c>
      <c r="G21760" t="s">
        <v>514</v>
      </c>
    </row>
    <row r="21761" spans="1:7" x14ac:dyDescent="0.25">
      <c r="A21761" s="1" t="str">
        <f>"526815"</f>
        <v>526815</v>
      </c>
      <c r="B21761" s="2" t="str">
        <f>"SELO VED. EM AÇO INOX P280938"</f>
        <v>SELO VED. EM AÇO INOX P280938</v>
      </c>
      <c r="C21761" s="2" t="str">
        <f t="shared" si="859"/>
        <v>UN</v>
      </c>
      <c r="D21761" s="7">
        <v>909</v>
      </c>
      <c r="E21761" s="3">
        <v>11</v>
      </c>
      <c r="F21761" s="3">
        <v>11</v>
      </c>
      <c r="G21761" t="s">
        <v>514</v>
      </c>
    </row>
    <row r="21762" spans="1:7" x14ac:dyDescent="0.25">
      <c r="A21762" s="1" t="str">
        <f>"500728"</f>
        <v>500728</v>
      </c>
      <c r="B21762" s="2" t="str">
        <f>"SELO VEDACAO BOMBA AMONIA FRIGOESTRELA"</f>
        <v>SELO VEDACAO BOMBA AMONIA FRIGOESTRELA</v>
      </c>
      <c r="C21762" s="2" t="str">
        <f t="shared" si="859"/>
        <v>UN</v>
      </c>
      <c r="D21762" s="7">
        <v>918</v>
      </c>
      <c r="E21762" s="3">
        <v>11</v>
      </c>
      <c r="F21762" s="3">
        <v>11</v>
      </c>
      <c r="G21762" t="s">
        <v>514</v>
      </c>
    </row>
    <row r="21763" spans="1:7" x14ac:dyDescent="0.25">
      <c r="A21763" s="1" t="str">
        <f>"500729"</f>
        <v>500729</v>
      </c>
      <c r="B21763" s="2" t="str">
        <f>"SELO VEDACAO COMPL B.AMONIA FRIGOESTRELA"</f>
        <v>SELO VEDACAO COMPL B.AMONIA FRIGOESTRELA</v>
      </c>
      <c r="C21763" s="2" t="str">
        <f t="shared" si="859"/>
        <v>UN</v>
      </c>
      <c r="D21763" s="7">
        <v>918</v>
      </c>
      <c r="E21763" s="3">
        <v>11</v>
      </c>
      <c r="F21763" s="3">
        <v>11</v>
      </c>
      <c r="G21763" t="s">
        <v>513</v>
      </c>
    </row>
    <row r="21764" spans="1:7" x14ac:dyDescent="0.25">
      <c r="A21764" s="1" t="str">
        <f>"509363"</f>
        <v>509363</v>
      </c>
      <c r="B21764" s="2" t="str">
        <f>"SELO VEDAÇAO NA"</f>
        <v>SELO VEDAÇAO NA</v>
      </c>
      <c r="C21764" s="2" t="str">
        <f t="shared" si="859"/>
        <v>UN</v>
      </c>
      <c r="D21764" s="7">
        <v>918</v>
      </c>
      <c r="E21764" s="3">
        <v>11</v>
      </c>
      <c r="F21764" s="3">
        <v>11</v>
      </c>
      <c r="G21764" t="s">
        <v>512</v>
      </c>
    </row>
    <row r="21765" spans="1:7" x14ac:dyDescent="0.25">
      <c r="A21765" s="1" t="str">
        <f>"516910"</f>
        <v>516910</v>
      </c>
      <c r="B21765" s="2" t="str">
        <f>"SELOPAR (MAQUINA SELAGEM COPO)"</f>
        <v>SELOPAR (MAQUINA SELAGEM COPO)</v>
      </c>
      <c r="C21765" s="2" t="str">
        <f t="shared" si="859"/>
        <v>UN</v>
      </c>
      <c r="D21765" s="7">
        <v>1300</v>
      </c>
      <c r="E21765" s="3">
        <v>13</v>
      </c>
      <c r="F21765" s="3">
        <v>13</v>
      </c>
      <c r="G21765" t="s">
        <v>513</v>
      </c>
    </row>
    <row r="21766" spans="1:7" x14ac:dyDescent="0.25">
      <c r="A21766" s="1" t="str">
        <f>"520602"</f>
        <v>520602</v>
      </c>
      <c r="B21766" s="2" t="str">
        <f>"SELOTE PARA TELHA ONDULADA RT17"</f>
        <v>SELOTE PARA TELHA ONDULADA RT17</v>
      </c>
      <c r="C21766" s="2" t="str">
        <f t="shared" si="859"/>
        <v>UN</v>
      </c>
      <c r="D21766" s="7">
        <v>803</v>
      </c>
      <c r="E21766" s="3">
        <v>10</v>
      </c>
      <c r="F21766" s="3">
        <v>10</v>
      </c>
      <c r="G21766" t="s">
        <v>514</v>
      </c>
    </row>
    <row r="21767" spans="1:7" x14ac:dyDescent="0.25">
      <c r="A21767" s="1" t="str">
        <f>"501772"</f>
        <v>501772</v>
      </c>
      <c r="B21767" s="2" t="str">
        <f>"SEM FIM ESQUERDO"</f>
        <v>SEM FIM ESQUERDO</v>
      </c>
      <c r="C21767" s="2" t="str">
        <f t="shared" si="859"/>
        <v>UN</v>
      </c>
      <c r="D21767" s="7">
        <v>704</v>
      </c>
      <c r="E21767" s="3">
        <v>9</v>
      </c>
      <c r="F21767" s="3">
        <v>9</v>
      </c>
      <c r="G21767" t="s">
        <v>514</v>
      </c>
    </row>
    <row r="21768" spans="1:7" x14ac:dyDescent="0.25">
      <c r="A21768" s="1" t="str">
        <f>"525251"</f>
        <v>525251</v>
      </c>
      <c r="B21768" s="2" t="str">
        <f>"SEMÁFORO VERDE/VERMELHO LED TIPO PEDESTRE"</f>
        <v>SEMÁFORO VERDE/VERMELHO LED TIPO PEDESTRE</v>
      </c>
      <c r="C21768" s="2" t="str">
        <f t="shared" si="859"/>
        <v>UN</v>
      </c>
      <c r="D21768" s="7">
        <v>811</v>
      </c>
      <c r="E21768" s="3">
        <v>10</v>
      </c>
      <c r="F21768" s="3">
        <v>10</v>
      </c>
      <c r="G21768" t="s">
        <v>514</v>
      </c>
    </row>
    <row r="21769" spans="1:7" x14ac:dyDescent="0.25">
      <c r="A21769" s="1" t="str">
        <f>"510115"</f>
        <v>510115</v>
      </c>
      <c r="B21769" s="2" t="str">
        <f>"SEMI ABRAÇADEIRA FILTRO AR"</f>
        <v>SEMI ABRAÇADEIRA FILTRO AR</v>
      </c>
      <c r="C21769" s="2" t="str">
        <f t="shared" si="859"/>
        <v>UN</v>
      </c>
      <c r="D21769" s="7">
        <v>704</v>
      </c>
      <c r="E21769" s="3">
        <v>9</v>
      </c>
      <c r="F21769" s="3">
        <v>9</v>
      </c>
      <c r="G21769" t="s">
        <v>513</v>
      </c>
    </row>
    <row r="21770" spans="1:7" x14ac:dyDescent="0.25">
      <c r="A21770" s="1" t="str">
        <f>"508768"</f>
        <v>508768</v>
      </c>
      <c r="B21770" s="2" t="str">
        <f>"SEMI EIXO ESQUERDO"</f>
        <v>SEMI EIXO ESQUERDO</v>
      </c>
      <c r="C21770" s="2" t="str">
        <f t="shared" si="859"/>
        <v>UN</v>
      </c>
      <c r="D21770" s="7">
        <v>704</v>
      </c>
      <c r="E21770" s="3">
        <v>9</v>
      </c>
      <c r="F21770" s="3">
        <v>9</v>
      </c>
      <c r="G21770" t="s">
        <v>513</v>
      </c>
    </row>
    <row r="21771" spans="1:7" x14ac:dyDescent="0.25">
      <c r="A21771" s="1" t="str">
        <f>"506046"</f>
        <v>506046</v>
      </c>
      <c r="B21771" s="2" t="str">
        <f>"SENHA ESCOVADA MAC CROMADA S-717"</f>
        <v>SENHA ESCOVADA MAC CROMADA S-717</v>
      </c>
      <c r="C21771" s="2" t="str">
        <f t="shared" si="859"/>
        <v>UN</v>
      </c>
      <c r="D21771" s="7">
        <v>811</v>
      </c>
      <c r="E21771" s="3">
        <v>8</v>
      </c>
      <c r="F21771" s="3">
        <v>8</v>
      </c>
      <c r="G21771" t="s">
        <v>513</v>
      </c>
    </row>
    <row r="21772" spans="1:7" x14ac:dyDescent="0.25">
      <c r="A21772" s="1" t="str">
        <f>"524528"</f>
        <v>524528</v>
      </c>
      <c r="B21772" s="2" t="str">
        <f>"SENSOR"</f>
        <v>SENSOR</v>
      </c>
      <c r="C21772" s="2" t="str">
        <f>"PC"</f>
        <v>PC</v>
      </c>
      <c r="D21772" s="7">
        <v>908</v>
      </c>
      <c r="E21772" s="3">
        <v>10</v>
      </c>
      <c r="F21772" s="3">
        <v>10</v>
      </c>
      <c r="G21772" t="s">
        <v>512</v>
      </c>
    </row>
    <row r="21773" spans="1:7" x14ac:dyDescent="0.25">
      <c r="A21773" s="1" t="str">
        <f>"525154"</f>
        <v>525154</v>
      </c>
      <c r="B21773" s="2" t="str">
        <f>"SENSOR"</f>
        <v>SENSOR</v>
      </c>
      <c r="C21773" s="2" t="str">
        <f>"UN"</f>
        <v>UN</v>
      </c>
      <c r="D21773" s="7">
        <v>704</v>
      </c>
      <c r="E21773" s="3">
        <v>9</v>
      </c>
      <c r="F21773" s="3">
        <v>9</v>
      </c>
      <c r="G21773" t="s">
        <v>513</v>
      </c>
    </row>
    <row r="21774" spans="1:7" x14ac:dyDescent="0.25">
      <c r="A21774" s="1" t="str">
        <f>"516853"</f>
        <v>516853</v>
      </c>
      <c r="B21774" s="2" t="str">
        <f>"SENSOR + CONECTOR COD. CO-04024 OP/1/14/33/35"</f>
        <v>SENSOR + CONECTOR COD. CO-04024 OP/1/14/33/35</v>
      </c>
      <c r="C21774" s="2" t="str">
        <f>"UN"</f>
        <v>UN</v>
      </c>
      <c r="D21774" s="7">
        <v>900</v>
      </c>
      <c r="E21774" s="3">
        <v>11</v>
      </c>
      <c r="F21774" s="3">
        <v>11</v>
      </c>
      <c r="G21774" t="s">
        <v>514</v>
      </c>
    </row>
    <row r="21775" spans="1:7" x14ac:dyDescent="0.25">
      <c r="A21775" s="1" t="str">
        <f>"504198"</f>
        <v>504198</v>
      </c>
      <c r="B21775" s="2" t="str">
        <f>"SENSOR AUTOMICS PR18 5DP PNP"</f>
        <v>SENSOR AUTOMICS PR18 5DP PNP</v>
      </c>
      <c r="C21775" s="2" t="str">
        <f>"UN"</f>
        <v>UN</v>
      </c>
      <c r="D21775" s="7">
        <v>704</v>
      </c>
      <c r="E21775" s="3">
        <v>9</v>
      </c>
      <c r="F21775" s="3">
        <v>9</v>
      </c>
      <c r="G21775" t="s">
        <v>515</v>
      </c>
    </row>
    <row r="21776" spans="1:7" x14ac:dyDescent="0.25">
      <c r="A21776" s="1" t="str">
        <f>"516463"</f>
        <v>516463</v>
      </c>
      <c r="B21776" s="2" t="str">
        <f>"SENSOR AUTONICS FOTOELETRICO BR3M-MDT-P"</f>
        <v>SENSOR AUTONICS FOTOELETRICO BR3M-MDT-P</v>
      </c>
      <c r="C21776" s="2" t="str">
        <f>"PC"</f>
        <v>PC</v>
      </c>
      <c r="D21776" s="7">
        <v>908</v>
      </c>
      <c r="E21776" s="3">
        <v>8</v>
      </c>
      <c r="F21776" s="3">
        <v>8</v>
      </c>
      <c r="G21776" t="s">
        <v>512</v>
      </c>
    </row>
    <row r="21777" spans="1:7" x14ac:dyDescent="0.25">
      <c r="A21777" s="1" t="str">
        <f>"520438"</f>
        <v>520438</v>
      </c>
      <c r="B21777" s="2" t="str">
        <f>"SENSOR BALLUFF - BOS 18M-PA-1QB-E5-C-S4"</f>
        <v>SENSOR BALLUFF - BOS 18M-PA-1QB-E5-C-S4</v>
      </c>
      <c r="C21777" s="2" t="str">
        <f>"UN"</f>
        <v>UN</v>
      </c>
      <c r="D21777" s="7">
        <v>918</v>
      </c>
      <c r="E21777" s="3">
        <v>10</v>
      </c>
      <c r="F21777" s="3">
        <v>10</v>
      </c>
      <c r="G21777" t="s">
        <v>516</v>
      </c>
    </row>
    <row r="21778" spans="1:7" x14ac:dyDescent="0.25">
      <c r="A21778" s="1" t="str">
        <f>"520397"</f>
        <v>520397</v>
      </c>
      <c r="B21778" s="2" t="str">
        <f>"SENSOR BALLUFF 18M-PA-1QB-E5-C-S4"</f>
        <v>SENSOR BALLUFF 18M-PA-1QB-E5-C-S4</v>
      </c>
      <c r="C21778" s="2" t="str">
        <f>"UN"</f>
        <v>UN</v>
      </c>
      <c r="D21778" s="7">
        <v>918</v>
      </c>
      <c r="E21778" s="3">
        <v>10</v>
      </c>
      <c r="F21778" s="3">
        <v>10</v>
      </c>
      <c r="G21778" t="s">
        <v>515</v>
      </c>
    </row>
    <row r="21779" spans="1:7" x14ac:dyDescent="0.25">
      <c r="A21779" s="1" t="str">
        <f>"517913"</f>
        <v>517913</v>
      </c>
      <c r="B21779" s="2" t="str">
        <f>"SENSOR BALLUFF BES-M12MI-PSC40B-S04G BES0068"</f>
        <v>SENSOR BALLUFF BES-M12MI-PSC40B-S04G BES0068</v>
      </c>
      <c r="C21779" s="2" t="str">
        <f>"PC"</f>
        <v>PC</v>
      </c>
      <c r="D21779" s="7">
        <v>908</v>
      </c>
      <c r="E21779" s="3">
        <v>8</v>
      </c>
      <c r="F21779" s="3">
        <v>8</v>
      </c>
      <c r="G21779" t="s">
        <v>514</v>
      </c>
    </row>
    <row r="21780" spans="1:7" x14ac:dyDescent="0.25">
      <c r="A21780" s="1" t="str">
        <f>"525599"</f>
        <v>525599</v>
      </c>
      <c r="B21780" s="2" t="str">
        <f>"SENSOR BALLUFF BGL 21-RG BGL002M"</f>
        <v>SENSOR BALLUFF BGL 21-RG BGL002M</v>
      </c>
      <c r="C21780" s="2" t="str">
        <f>"UN"</f>
        <v>UN</v>
      </c>
      <c r="D21780" s="7">
        <v>918</v>
      </c>
      <c r="E21780" s="3">
        <v>10</v>
      </c>
      <c r="F21780" s="3">
        <v>10</v>
      </c>
      <c r="G21780" t="s">
        <v>512</v>
      </c>
    </row>
    <row r="21781" spans="1:7" x14ac:dyDescent="0.25">
      <c r="A21781" s="1" t="str">
        <f>"520152"</f>
        <v>520152</v>
      </c>
      <c r="B21781" s="2" t="str">
        <f>"SENSOR BALLUFF FOTOELET. BOS 18M-NA-1PB-E4-C"</f>
        <v>SENSOR BALLUFF FOTOELET. BOS 18M-NA-1PB-E4-C</v>
      </c>
      <c r="C21781" s="2" t="str">
        <f>"UN"</f>
        <v>UN</v>
      </c>
      <c r="D21781" s="7">
        <v>918</v>
      </c>
      <c r="E21781" s="3">
        <v>10</v>
      </c>
      <c r="F21781" s="3">
        <v>10</v>
      </c>
      <c r="G21781" t="s">
        <v>513</v>
      </c>
    </row>
    <row r="21782" spans="1:7" x14ac:dyDescent="0.25">
      <c r="A21782" s="1" t="str">
        <f>"508122"</f>
        <v>508122</v>
      </c>
      <c r="B21782" s="2" t="str">
        <f>"SENSOR BALLUFF FOTOELET. BOS 18M-NA-1PB-E4-C5"</f>
        <v>SENSOR BALLUFF FOTOELET. BOS 18M-NA-1PB-E4-C5</v>
      </c>
      <c r="C21782" s="2" t="str">
        <f>"PC"</f>
        <v>PC</v>
      </c>
      <c r="D21782" s="7">
        <v>908</v>
      </c>
      <c r="E21782" s="3">
        <v>11</v>
      </c>
      <c r="F21782" s="3">
        <v>11</v>
      </c>
      <c r="G21782" t="s">
        <v>514</v>
      </c>
    </row>
    <row r="21783" spans="1:7" x14ac:dyDescent="0.25">
      <c r="A21783" s="1" t="str">
        <f>"519195"</f>
        <v>519195</v>
      </c>
      <c r="B21783" s="2" t="str">
        <f>"SENSOR BALLUFF OPTICO . BOS 18M-PA-1PD-E5-C-S4/BR"</f>
        <v>SENSOR BALLUFF OPTICO . BOS 18M-PA-1PD-E5-C-S4/BR</v>
      </c>
      <c r="C21783" s="2" t="str">
        <f>"UN"</f>
        <v>UN</v>
      </c>
      <c r="D21783" s="7">
        <v>918</v>
      </c>
      <c r="E21783" s="3">
        <v>10</v>
      </c>
      <c r="F21783" s="3">
        <v>10</v>
      </c>
      <c r="G21783" t="s">
        <v>514</v>
      </c>
    </row>
    <row r="21784" spans="1:7" x14ac:dyDescent="0.25">
      <c r="A21784" s="1" t="str">
        <f>"517605"</f>
        <v>517605</v>
      </c>
      <c r="B21784" s="2" t="str">
        <f>"SENSOR BANNER 10-30VDC - QS18EP6WQ8"</f>
        <v>SENSOR BANNER 10-30VDC - QS18EP6WQ8</v>
      </c>
      <c r="C21784" s="2" t="str">
        <f>"PC"</f>
        <v>PC</v>
      </c>
      <c r="D21784" s="7">
        <v>908</v>
      </c>
      <c r="E21784" s="3">
        <v>8</v>
      </c>
      <c r="F21784" s="3">
        <v>8</v>
      </c>
      <c r="G21784" t="s">
        <v>512</v>
      </c>
    </row>
    <row r="21785" spans="1:7" x14ac:dyDescent="0.25">
      <c r="A21785" s="1" t="str">
        <f>"509148"</f>
        <v>509148</v>
      </c>
      <c r="B21785" s="2" t="str">
        <f>"SENSOR BANNER 10-30VDC - QS18VP6DQ8"</f>
        <v>SENSOR BANNER 10-30VDC - QS18VP6DQ8</v>
      </c>
      <c r="C21785" s="2" t="str">
        <f>"PC"</f>
        <v>PC</v>
      </c>
      <c r="D21785" s="7">
        <v>600</v>
      </c>
      <c r="E21785" s="3">
        <v>8</v>
      </c>
      <c r="F21785" s="3">
        <v>8</v>
      </c>
      <c r="G21785" t="s">
        <v>513</v>
      </c>
    </row>
    <row r="21786" spans="1:7" x14ac:dyDescent="0.25">
      <c r="A21786" s="1" t="str">
        <f>"505463"</f>
        <v>505463</v>
      </c>
      <c r="B21786" s="2" t="str">
        <f>"SENSOR CAPAC STANDER NPN 18MM 10-30VDC"</f>
        <v>SENSOR CAPAC STANDER NPN 18MM 10-30VDC</v>
      </c>
      <c r="C21786" s="2" t="str">
        <f>"PC"</f>
        <v>PC</v>
      </c>
      <c r="D21786" s="7">
        <v>908</v>
      </c>
      <c r="E21786" s="3">
        <v>11</v>
      </c>
      <c r="F21786" s="3">
        <v>11</v>
      </c>
      <c r="G21786" t="s">
        <v>514</v>
      </c>
    </row>
    <row r="21787" spans="1:7" x14ac:dyDescent="0.25">
      <c r="A21787" s="1" t="str">
        <f>"516191"</f>
        <v>516191</v>
      </c>
      <c r="B21787" s="2" t="str">
        <f>"SENSOR CAPACITIVO ACE IFC6-18-11 Y PD"</f>
        <v>SENSOR CAPACITIVO ACE IFC6-18-11 Y PD</v>
      </c>
      <c r="C21787" s="2" t="str">
        <f>"UN"</f>
        <v>UN</v>
      </c>
      <c r="D21787" s="7">
        <v>600</v>
      </c>
      <c r="E21787" s="3">
        <v>8</v>
      </c>
      <c r="F21787" s="3">
        <v>8</v>
      </c>
      <c r="G21787" t="s">
        <v>514</v>
      </c>
    </row>
    <row r="21788" spans="1:7" x14ac:dyDescent="0.25">
      <c r="A21788" s="1" t="str">
        <f>"512364"</f>
        <v>512364</v>
      </c>
      <c r="B21788" s="2" t="str">
        <f>"SENSOR CAPACITIVO IMAGE A35355/B"</f>
        <v>SENSOR CAPACITIVO IMAGE A35355/B</v>
      </c>
      <c r="C21788" s="2" t="str">
        <f>"PC"</f>
        <v>PC</v>
      </c>
      <c r="D21788" s="7">
        <v>908</v>
      </c>
      <c r="E21788" s="3">
        <v>11</v>
      </c>
      <c r="F21788" s="3">
        <v>11</v>
      </c>
      <c r="G21788" t="s">
        <v>514</v>
      </c>
    </row>
    <row r="21789" spans="1:7" x14ac:dyDescent="0.25">
      <c r="A21789" s="1" t="str">
        <f>"511189"</f>
        <v>511189</v>
      </c>
      <c r="B21789" s="2" t="str">
        <f>"SENSOR CIL. ROLINHO DATA DMAX 0900000533"</f>
        <v>SENSOR CIL. ROLINHO DATA DMAX 0900000533</v>
      </c>
      <c r="C21789" s="2" t="str">
        <f>"PC"</f>
        <v>PC</v>
      </c>
      <c r="D21789" s="7">
        <v>908</v>
      </c>
      <c r="E21789" s="3">
        <v>11</v>
      </c>
      <c r="F21789" s="3">
        <v>11</v>
      </c>
      <c r="G21789" t="s">
        <v>513</v>
      </c>
    </row>
    <row r="21790" spans="1:7" x14ac:dyDescent="0.25">
      <c r="A21790" s="1" t="str">
        <f>"527025"</f>
        <v>527025</v>
      </c>
      <c r="B21790" s="2" t="str">
        <f>"SENSOR DAS PORTAS CM-S221PC5"</f>
        <v>SENSOR DAS PORTAS CM-S221PC5</v>
      </c>
      <c r="C21790" s="2" t="str">
        <f>"UN"</f>
        <v>UN</v>
      </c>
      <c r="D21790" s="7">
        <v>1300</v>
      </c>
      <c r="E21790" s="3">
        <v>13</v>
      </c>
      <c r="F21790" s="3">
        <v>13</v>
      </c>
      <c r="G21790" t="s">
        <v>512</v>
      </c>
    </row>
    <row r="21791" spans="1:7" x14ac:dyDescent="0.25">
      <c r="A21791" s="1" t="str">
        <f>"524349"</f>
        <v>524349</v>
      </c>
      <c r="B21791" s="2" t="str">
        <f>"SENSOR DE BARREIRA OPTO SWITCH"</f>
        <v>SENSOR DE BARREIRA OPTO SWITCH</v>
      </c>
      <c r="C21791" s="2" t="str">
        <f>"PC"</f>
        <v>PC</v>
      </c>
      <c r="D21791" s="7">
        <v>908</v>
      </c>
      <c r="E21791" s="3">
        <v>11</v>
      </c>
      <c r="F21791" s="3">
        <v>11</v>
      </c>
      <c r="G21791" t="s">
        <v>513</v>
      </c>
    </row>
    <row r="21792" spans="1:7" x14ac:dyDescent="0.25">
      <c r="A21792" s="1" t="str">
        <f>"521392"</f>
        <v>521392</v>
      </c>
      <c r="B21792" s="8" t="s">
        <v>199</v>
      </c>
      <c r="C21792" s="2" t="str">
        <f>"UN"</f>
        <v>UN</v>
      </c>
      <c r="D21792" s="7">
        <v>600</v>
      </c>
      <c r="E21792" s="3">
        <v>8</v>
      </c>
      <c r="F21792" s="3">
        <v>8</v>
      </c>
      <c r="G21792" t="s">
        <v>514</v>
      </c>
    </row>
    <row r="21793" spans="1:7" x14ac:dyDescent="0.25">
      <c r="A21793" s="1" t="str">
        <f>"522973"</f>
        <v>522973</v>
      </c>
      <c r="B21793" s="2" t="str">
        <f>"SENSOR DE NIVEL LA32NP"</f>
        <v>SENSOR DE NIVEL LA32NP</v>
      </c>
      <c r="C21793" s="2" t="str">
        <f>"UN"</f>
        <v>UN</v>
      </c>
      <c r="D21793" s="7">
        <v>811</v>
      </c>
      <c r="E21793" s="3">
        <v>11</v>
      </c>
      <c r="F21793" s="3">
        <v>11</v>
      </c>
      <c r="G21793" t="s">
        <v>514</v>
      </c>
    </row>
    <row r="21794" spans="1:7" x14ac:dyDescent="0.25">
      <c r="A21794" s="1" t="str">
        <f>"520970"</f>
        <v>520970</v>
      </c>
      <c r="B21794" s="8" t="s">
        <v>190</v>
      </c>
      <c r="C21794" s="2" t="str">
        <f>"UN"</f>
        <v>UN</v>
      </c>
      <c r="D21794" s="7">
        <v>811</v>
      </c>
      <c r="E21794" s="3">
        <v>8</v>
      </c>
      <c r="F21794" s="3">
        <v>8</v>
      </c>
      <c r="G21794" t="s">
        <v>514</v>
      </c>
    </row>
    <row r="21795" spans="1:7" x14ac:dyDescent="0.25">
      <c r="A21795" s="1" t="str">
        <f>"526192"</f>
        <v>526192</v>
      </c>
      <c r="B21795" s="2" t="str">
        <f>"SENSOR DE NÍVEL LMT100"</f>
        <v>SENSOR DE NÍVEL LMT100</v>
      </c>
      <c r="C21795" s="2" t="str">
        <f>"UN"</f>
        <v>UN</v>
      </c>
      <c r="D21795" s="7">
        <v>918</v>
      </c>
      <c r="E21795" s="3">
        <v>11</v>
      </c>
      <c r="F21795" s="3">
        <v>11</v>
      </c>
      <c r="G21795" t="s">
        <v>513</v>
      </c>
    </row>
    <row r="21796" spans="1:7" x14ac:dyDescent="0.25">
      <c r="A21796" s="1" t="str">
        <f>"526190"</f>
        <v>526190</v>
      </c>
      <c r="B21796" s="2" t="str">
        <f>"SENSOR DE NÍVEL LMT102"</f>
        <v>SENSOR DE NÍVEL LMT102</v>
      </c>
      <c r="C21796" s="2" t="str">
        <f>"UN"</f>
        <v>UN</v>
      </c>
      <c r="D21796" s="7">
        <v>918</v>
      </c>
      <c r="E21796" s="3">
        <v>11</v>
      </c>
      <c r="F21796" s="3">
        <v>11</v>
      </c>
      <c r="G21796" t="s">
        <v>513</v>
      </c>
    </row>
    <row r="21797" spans="1:7" x14ac:dyDescent="0.25">
      <c r="A21797" s="1" t="str">
        <f>"521811"</f>
        <v>521811</v>
      </c>
      <c r="B21797" s="2" t="str">
        <f>"SENSOR DE NIVEL PADRONIZA 00130451"</f>
        <v>SENSOR DE NIVEL PADRONIZA 00130451</v>
      </c>
      <c r="C21797" s="2" t="str">
        <f>"PC"</f>
        <v>PC</v>
      </c>
      <c r="D21797" s="7">
        <v>908</v>
      </c>
      <c r="E21797" s="3">
        <v>11</v>
      </c>
      <c r="F21797" s="3">
        <v>11</v>
      </c>
      <c r="G21797" t="s">
        <v>513</v>
      </c>
    </row>
    <row r="21798" spans="1:7" x14ac:dyDescent="0.25">
      <c r="A21798" s="1" t="str">
        <f>"520157"</f>
        <v>520157</v>
      </c>
      <c r="B21798" s="8" t="s">
        <v>122</v>
      </c>
      <c r="C21798" s="2" t="str">
        <f>"PC"</f>
        <v>PC</v>
      </c>
      <c r="D21798" s="7">
        <v>908</v>
      </c>
      <c r="E21798" s="3">
        <v>8</v>
      </c>
      <c r="F21798" s="3">
        <v>8</v>
      </c>
      <c r="G21798" t="s">
        <v>512</v>
      </c>
    </row>
    <row r="21799" spans="1:7" x14ac:dyDescent="0.25">
      <c r="A21799" s="1" t="str">
        <f>"526569"</f>
        <v>526569</v>
      </c>
      <c r="B21799" s="2" t="str">
        <f>"SENSOR DE OXIG.DISSOLVIDO AMPEOMETRICO C0S51D-AS800"</f>
        <v>SENSOR DE OXIG.DISSOLVIDO AMPEOMETRICO C0S51D-AS800</v>
      </c>
      <c r="C21799" s="2" t="str">
        <f>"PC"</f>
        <v>PC</v>
      </c>
      <c r="D21799" s="7">
        <v>600</v>
      </c>
      <c r="E21799" s="3">
        <v>8</v>
      </c>
      <c r="F21799" s="3">
        <v>8</v>
      </c>
      <c r="G21799" t="s">
        <v>513</v>
      </c>
    </row>
    <row r="21800" spans="1:7" x14ac:dyDescent="0.25">
      <c r="A21800" s="1" t="str">
        <f>"509768"</f>
        <v>509768</v>
      </c>
      <c r="B21800" s="2" t="str">
        <f>"SENSOR DE PRESENCA P/ ILUMINACAO"</f>
        <v>SENSOR DE PRESENCA P/ ILUMINACAO</v>
      </c>
      <c r="C21800" s="2" t="str">
        <f t="shared" ref="C21800:C21810" si="860">"UN"</f>
        <v>UN</v>
      </c>
      <c r="D21800" s="7">
        <v>601</v>
      </c>
      <c r="E21800" s="3">
        <v>8</v>
      </c>
      <c r="F21800" s="3">
        <v>8</v>
      </c>
      <c r="G21800" t="s">
        <v>514</v>
      </c>
    </row>
    <row r="21801" spans="1:7" x14ac:dyDescent="0.25">
      <c r="A21801" s="1" t="str">
        <f>"527970"</f>
        <v>527970</v>
      </c>
      <c r="B21801" s="2" t="str">
        <f>"SENSOR DE PRESSAO FESTO S PAN-P10R-G18M-PNLK-PNVBA-L1"</f>
        <v>SENSOR DE PRESSAO FESTO S PAN-P10R-G18M-PNLK-PNVBA-L1</v>
      </c>
      <c r="C21801" s="2" t="str">
        <f t="shared" si="860"/>
        <v>UN</v>
      </c>
      <c r="D21801" s="7">
        <v>913</v>
      </c>
      <c r="E21801" s="3">
        <v>11</v>
      </c>
      <c r="F21801" s="3">
        <v>11</v>
      </c>
      <c r="G21801" t="s">
        <v>515</v>
      </c>
    </row>
    <row r="21802" spans="1:7" x14ac:dyDescent="0.25">
      <c r="A21802" s="1" t="str">
        <f>"526193"</f>
        <v>526193</v>
      </c>
      <c r="B21802" s="2" t="str">
        <f>"SENSOR DE PRESSÃO PG2794  -1 a 10 BARS"</f>
        <v>SENSOR DE PRESSÃO PG2794  -1 a 10 BARS</v>
      </c>
      <c r="C21802" s="2" t="str">
        <f t="shared" si="860"/>
        <v>UN</v>
      </c>
      <c r="D21802" s="7">
        <v>918</v>
      </c>
      <c r="E21802" s="3">
        <v>11</v>
      </c>
      <c r="F21802" s="3">
        <v>11</v>
      </c>
      <c r="G21802" t="s">
        <v>512</v>
      </c>
    </row>
    <row r="21803" spans="1:7" x14ac:dyDescent="0.25">
      <c r="A21803" s="1" t="str">
        <f>"526576"</f>
        <v>526576</v>
      </c>
      <c r="B21803" s="2" t="str">
        <f>"SENSOR DE PRESSAO PI2794"</f>
        <v>SENSOR DE PRESSAO PI2794</v>
      </c>
      <c r="C21803" s="2" t="str">
        <f t="shared" si="860"/>
        <v>UN</v>
      </c>
      <c r="D21803" s="7">
        <v>908</v>
      </c>
      <c r="E21803" s="3">
        <v>11</v>
      </c>
      <c r="F21803" s="3">
        <v>11</v>
      </c>
      <c r="G21803" t="s">
        <v>516</v>
      </c>
    </row>
    <row r="21804" spans="1:7" x14ac:dyDescent="0.25">
      <c r="A21804" s="1" t="str">
        <f>"526577"</f>
        <v>526577</v>
      </c>
      <c r="B21804" s="2" t="str">
        <f>"SENSOR DE PRESSAO PI2797"</f>
        <v>SENSOR DE PRESSAO PI2797</v>
      </c>
      <c r="C21804" s="2" t="str">
        <f t="shared" si="860"/>
        <v>UN</v>
      </c>
      <c r="D21804" s="7">
        <v>908</v>
      </c>
      <c r="E21804" s="3">
        <v>11</v>
      </c>
      <c r="F21804" s="3">
        <v>11</v>
      </c>
      <c r="G21804" t="s">
        <v>515</v>
      </c>
    </row>
    <row r="21805" spans="1:7" x14ac:dyDescent="0.25">
      <c r="A21805" s="1" t="str">
        <f>"526028"</f>
        <v>526028</v>
      </c>
      <c r="B21805" s="2" t="str">
        <f>"SENSOR DE PROXIMIDADE (REGISTRO) IFC258 IFM"</f>
        <v>SENSOR DE PROXIMIDADE (REGISTRO) IFC258 IFM</v>
      </c>
      <c r="C21805" s="2" t="str">
        <f t="shared" si="860"/>
        <v>UN</v>
      </c>
      <c r="D21805" s="7">
        <v>601</v>
      </c>
      <c r="E21805" s="3">
        <v>8</v>
      </c>
      <c r="F21805" s="3">
        <v>8</v>
      </c>
      <c r="G21805" t="s">
        <v>514</v>
      </c>
    </row>
    <row r="21806" spans="1:7" x14ac:dyDescent="0.25">
      <c r="A21806" s="1" t="str">
        <f>"523056"</f>
        <v>523056</v>
      </c>
      <c r="B21806" s="2" t="str">
        <f>"SENSOR DE SEGURANÇA MAGNETICO WEG SSM530R1P2A"</f>
        <v>SENSOR DE SEGURANÇA MAGNETICO WEG SSM530R1P2A</v>
      </c>
      <c r="C21806" s="2" t="str">
        <f t="shared" si="860"/>
        <v>UN</v>
      </c>
      <c r="D21806" s="7">
        <v>811</v>
      </c>
      <c r="E21806" s="3">
        <v>10</v>
      </c>
      <c r="F21806" s="3">
        <v>10</v>
      </c>
      <c r="G21806" t="s">
        <v>512</v>
      </c>
    </row>
    <row r="21807" spans="1:7" x14ac:dyDescent="0.25">
      <c r="A21807" s="1" t="str">
        <f>"527598"</f>
        <v>527598</v>
      </c>
      <c r="B21807" s="2" t="str">
        <f>"SENSOR DE TEMPERATURA IFM TT9281"</f>
        <v>SENSOR DE TEMPERATURA IFM TT9281</v>
      </c>
      <c r="C21807" s="2" t="str">
        <f t="shared" si="860"/>
        <v>UN</v>
      </c>
      <c r="D21807" s="7">
        <v>811</v>
      </c>
      <c r="E21807" s="3">
        <v>8</v>
      </c>
      <c r="F21807" s="3">
        <v>8</v>
      </c>
      <c r="G21807" t="s">
        <v>513</v>
      </c>
    </row>
    <row r="21808" spans="1:7" x14ac:dyDescent="0.25">
      <c r="A21808" s="1" t="str">
        <f>"527917"</f>
        <v>527917</v>
      </c>
      <c r="B21808" s="2" t="str">
        <f>"SENSOR DETECTOR GAS O2 BW MAX T II"</f>
        <v>SENSOR DETECTOR GAS O2 BW MAX T II</v>
      </c>
      <c r="C21808" s="2" t="str">
        <f t="shared" si="860"/>
        <v>UN</v>
      </c>
      <c r="D21808" s="7">
        <v>99999</v>
      </c>
      <c r="E21808" s="3">
        <v>99</v>
      </c>
      <c r="F21808" s="3">
        <v>99</v>
      </c>
      <c r="G21808" t="s">
        <v>514</v>
      </c>
    </row>
    <row r="21809" spans="1:7" x14ac:dyDescent="0.25">
      <c r="A21809" s="1" t="str">
        <f>"524382"</f>
        <v>524382</v>
      </c>
      <c r="B21809" s="2" t="str">
        <f>"SENSOR EVAPORADOR CONTROLADOR"</f>
        <v>SENSOR EVAPORADOR CONTROLADOR</v>
      </c>
      <c r="C21809" s="2" t="str">
        <f t="shared" si="860"/>
        <v>UN</v>
      </c>
      <c r="D21809" s="7">
        <v>704</v>
      </c>
      <c r="E21809" s="3">
        <v>9</v>
      </c>
      <c r="F21809" s="3">
        <v>9</v>
      </c>
      <c r="G21809" t="s">
        <v>514</v>
      </c>
    </row>
    <row r="21810" spans="1:7" x14ac:dyDescent="0.25">
      <c r="A21810" s="1" t="str">
        <f>"520740"</f>
        <v>520740</v>
      </c>
      <c r="B21810" s="2" t="str">
        <f>"SENSOR FESTO MAG.PROX SME-8M-DS-24V-K-0,3-M8D 543861"</f>
        <v>SENSOR FESTO MAG.PROX SME-8M-DS-24V-K-0,3-M8D 543861</v>
      </c>
      <c r="C21810" s="2" t="str">
        <f t="shared" si="860"/>
        <v>UN</v>
      </c>
      <c r="D21810" s="7">
        <v>913</v>
      </c>
      <c r="E21810" s="3">
        <v>11</v>
      </c>
      <c r="F21810" s="3">
        <v>11</v>
      </c>
      <c r="G21810" t="s">
        <v>512</v>
      </c>
    </row>
    <row r="21811" spans="1:7" x14ac:dyDescent="0.25">
      <c r="A21811" s="1" t="str">
        <f>"512265"</f>
        <v>512265</v>
      </c>
      <c r="B21811" s="2" t="str">
        <f>"SENSOR FESTO MAGNETICO SMPO-8E"</f>
        <v>SENSOR FESTO MAGNETICO SMPO-8E</v>
      </c>
      <c r="C21811" s="2" t="str">
        <f>"PC"</f>
        <v>PC</v>
      </c>
      <c r="D21811" s="7">
        <v>908</v>
      </c>
      <c r="E21811" s="3">
        <v>11</v>
      </c>
      <c r="F21811" s="3">
        <v>11</v>
      </c>
      <c r="G21811" t="s">
        <v>513</v>
      </c>
    </row>
    <row r="21812" spans="1:7" x14ac:dyDescent="0.25">
      <c r="A21812" s="1" t="str">
        <f>"508005"</f>
        <v>508005</v>
      </c>
      <c r="B21812" s="2" t="str">
        <f>"SENSOR FESTO SME-8-K-LED 24V 543862"</f>
        <v>SENSOR FESTO SME-8-K-LED 24V 543862</v>
      </c>
      <c r="C21812" s="2" t="str">
        <f t="shared" ref="C21812:C21820" si="861">"UN"</f>
        <v>UN</v>
      </c>
      <c r="D21812" s="7">
        <v>913</v>
      </c>
      <c r="E21812" s="3">
        <v>11</v>
      </c>
      <c r="F21812" s="3">
        <v>11</v>
      </c>
      <c r="G21812" t="s">
        <v>514</v>
      </c>
    </row>
    <row r="21813" spans="1:7" x14ac:dyDescent="0.25">
      <c r="A21813" s="1" t="str">
        <f>"502071"</f>
        <v>502071</v>
      </c>
      <c r="B21813" s="2" t="str">
        <f>"SENSOR FESTO SME-8M-ZS-24V-K-2,5-OE"</f>
        <v>SENSOR FESTO SME-8M-ZS-24V-K-2,5-OE</v>
      </c>
      <c r="C21813" s="2" t="str">
        <f t="shared" si="861"/>
        <v>UN</v>
      </c>
      <c r="D21813" s="7">
        <v>913</v>
      </c>
      <c r="E21813" s="3">
        <v>11</v>
      </c>
      <c r="F21813" s="3">
        <v>11</v>
      </c>
      <c r="G21813" t="s">
        <v>514</v>
      </c>
    </row>
    <row r="21814" spans="1:7" x14ac:dyDescent="0.25">
      <c r="A21814" s="1" t="str">
        <f>"519424"</f>
        <v>519424</v>
      </c>
      <c r="B21814" s="2" t="str">
        <f>"SENSOR FESTO SMEO-4U-K-LED-230  150011 E713"</f>
        <v>SENSOR FESTO SMEO-4U-K-LED-230  150011 E713</v>
      </c>
      <c r="C21814" s="2" t="str">
        <f t="shared" si="861"/>
        <v>UN</v>
      </c>
      <c r="D21814" s="7">
        <v>900</v>
      </c>
      <c r="E21814" s="3">
        <v>11</v>
      </c>
      <c r="F21814" s="3">
        <v>11</v>
      </c>
      <c r="G21814" t="s">
        <v>514</v>
      </c>
    </row>
    <row r="21815" spans="1:7" x14ac:dyDescent="0.25">
      <c r="A21815" s="1" t="str">
        <f>"516871"</f>
        <v>516871</v>
      </c>
      <c r="B21815" s="2" t="str">
        <f>"SENSOR FESTO SMEO-4U-S-LED-24B  15526  A613"</f>
        <v>SENSOR FESTO SMEO-4U-S-LED-24B  15526  A613</v>
      </c>
      <c r="C21815" s="2" t="str">
        <f t="shared" si="861"/>
        <v>UN</v>
      </c>
      <c r="D21815" s="7">
        <v>900</v>
      </c>
      <c r="E21815" s="3">
        <v>11</v>
      </c>
      <c r="F21815" s="3">
        <v>11</v>
      </c>
      <c r="G21815" t="s">
        <v>513</v>
      </c>
    </row>
    <row r="21816" spans="1:7" x14ac:dyDescent="0.25">
      <c r="A21816" s="1" t="str">
        <f>"509582"</f>
        <v>509582</v>
      </c>
      <c r="B21816" s="2" t="str">
        <f>"SENSOR FG SB19/41 2MT PRETO"</f>
        <v>SENSOR FG SB19/41 2MT PRETO</v>
      </c>
      <c r="C21816" s="2" t="str">
        <f t="shared" si="861"/>
        <v>UN</v>
      </c>
      <c r="D21816" s="7">
        <v>918</v>
      </c>
      <c r="E21816" s="3">
        <v>11</v>
      </c>
      <c r="F21816" s="3">
        <v>11</v>
      </c>
      <c r="G21816" t="s">
        <v>512</v>
      </c>
    </row>
    <row r="21817" spans="1:7" x14ac:dyDescent="0.25">
      <c r="A21817" s="1" t="str">
        <f>"521878"</f>
        <v>521878</v>
      </c>
      <c r="B21817" s="2" t="str">
        <f>"SENSOR FG SB41 2,0MT PRETO"</f>
        <v>SENSOR FG SB41 2,0MT PRETO</v>
      </c>
      <c r="C21817" s="2" t="str">
        <f t="shared" si="861"/>
        <v>UN</v>
      </c>
      <c r="D21817" s="7">
        <v>916</v>
      </c>
      <c r="E21817" s="3">
        <v>10</v>
      </c>
      <c r="F21817" s="3">
        <v>10</v>
      </c>
      <c r="G21817" t="s">
        <v>513</v>
      </c>
    </row>
    <row r="21818" spans="1:7" x14ac:dyDescent="0.25">
      <c r="A21818" s="1" t="str">
        <f>"524400"</f>
        <v>524400</v>
      </c>
      <c r="B21818" s="2" t="str">
        <f>"SENSOR FIBRA AMPLIFICADOR - SFNA"</f>
        <v>SENSOR FIBRA AMPLIFICADOR - SFNA</v>
      </c>
      <c r="C21818" s="2" t="str">
        <f t="shared" si="861"/>
        <v>UN</v>
      </c>
      <c r="D21818" s="7">
        <v>918</v>
      </c>
      <c r="E21818" s="3">
        <v>11</v>
      </c>
      <c r="F21818" s="3">
        <v>11</v>
      </c>
      <c r="G21818" t="s">
        <v>514</v>
      </c>
    </row>
    <row r="21819" spans="1:7" x14ac:dyDescent="0.25">
      <c r="A21819" s="1" t="str">
        <f>"525404"</f>
        <v>525404</v>
      </c>
      <c r="B21819" s="2" t="str">
        <f>"SENSOR FORQUILHA DO DATADOR AUTONICS BS5-L2M"</f>
        <v>SENSOR FORQUILHA DO DATADOR AUTONICS BS5-L2M</v>
      </c>
      <c r="C21819" s="2" t="str">
        <f t="shared" si="861"/>
        <v>UN</v>
      </c>
      <c r="D21819" s="7">
        <v>811</v>
      </c>
      <c r="E21819" s="3">
        <v>11</v>
      </c>
      <c r="F21819" s="3">
        <v>11</v>
      </c>
      <c r="G21819" t="s">
        <v>514</v>
      </c>
    </row>
    <row r="21820" spans="1:7" x14ac:dyDescent="0.25">
      <c r="A21820" s="1" t="str">
        <f>"502417"</f>
        <v>502417</v>
      </c>
      <c r="B21820" s="2" t="str">
        <f>"SENSOR FOTOCELULA OMRON E3ZM-V61 SAQUINHO"</f>
        <v>SENSOR FOTOCELULA OMRON E3ZM-V61 SAQUINHO</v>
      </c>
      <c r="C21820" s="2" t="str">
        <f t="shared" si="861"/>
        <v>UN</v>
      </c>
      <c r="D21820" s="7">
        <v>908</v>
      </c>
      <c r="E21820" s="3">
        <v>11</v>
      </c>
      <c r="F21820" s="3">
        <v>11</v>
      </c>
      <c r="G21820" t="s">
        <v>514</v>
      </c>
    </row>
    <row r="21821" spans="1:7" x14ac:dyDescent="0.25">
      <c r="A21821" s="1" t="str">
        <f>"504279"</f>
        <v>504279</v>
      </c>
      <c r="B21821" s="2" t="str">
        <f>"SENSOR FOTOCELULA ONROM E3S-X3CE4 REQUEI"</f>
        <v>SENSOR FOTOCELULA ONROM E3S-X3CE4 REQUEI</v>
      </c>
      <c r="C21821" s="2" t="str">
        <f>"PC"</f>
        <v>PC</v>
      </c>
      <c r="D21821" s="7">
        <v>908</v>
      </c>
      <c r="E21821" s="3">
        <v>11</v>
      </c>
      <c r="F21821" s="3">
        <v>11</v>
      </c>
      <c r="G21821" t="s">
        <v>513</v>
      </c>
    </row>
    <row r="21822" spans="1:7" x14ac:dyDescent="0.25">
      <c r="A21822" s="1" t="str">
        <f>"504315"</f>
        <v>504315</v>
      </c>
      <c r="B21822" s="2" t="str">
        <f>"SENSOR FOTOCELULA ONROM E3X-NA11 MITRI"</f>
        <v>SENSOR FOTOCELULA ONROM E3X-NA11 MITRI</v>
      </c>
      <c r="C21822" s="2" t="str">
        <f>"PC"</f>
        <v>PC</v>
      </c>
      <c r="D21822" s="7">
        <v>908</v>
      </c>
      <c r="E21822" s="3">
        <v>11</v>
      </c>
      <c r="F21822" s="3">
        <v>11</v>
      </c>
      <c r="G21822" t="s">
        <v>513</v>
      </c>
    </row>
    <row r="21823" spans="1:7" x14ac:dyDescent="0.25">
      <c r="A21823" s="1" t="str">
        <f>"504314"</f>
        <v>504314</v>
      </c>
      <c r="B21823" s="2" t="str">
        <f>"SENSOR FOTOCELULA ONROM E3X-NA41 DMAX"</f>
        <v>SENSOR FOTOCELULA ONROM E3X-NA41 DMAX</v>
      </c>
      <c r="C21823" s="2" t="str">
        <f>"UN"</f>
        <v>UN</v>
      </c>
      <c r="D21823" s="7">
        <v>908</v>
      </c>
      <c r="E21823" s="3">
        <v>11</v>
      </c>
      <c r="F21823" s="3">
        <v>11</v>
      </c>
      <c r="G21823" t="s">
        <v>513</v>
      </c>
    </row>
    <row r="21824" spans="1:7" x14ac:dyDescent="0.25">
      <c r="A21824" s="1" t="str">
        <f>"509170"</f>
        <v>509170</v>
      </c>
      <c r="B21824" s="2" t="str">
        <f>"SENSOR FOTOE 80 NPNXUB0ANSNL2 TL"</f>
        <v>SENSOR FOTOE 80 NPNXUB0ANSNL2 TL</v>
      </c>
      <c r="C21824" s="2" t="str">
        <f>"PC"</f>
        <v>PC</v>
      </c>
      <c r="D21824" s="7">
        <v>908</v>
      </c>
      <c r="E21824" s="3">
        <v>11</v>
      </c>
      <c r="F21824" s="3">
        <v>11</v>
      </c>
      <c r="G21824" t="s">
        <v>512</v>
      </c>
    </row>
    <row r="21825" spans="1:7" x14ac:dyDescent="0.25">
      <c r="A21825" s="1" t="str">
        <f>"512154"</f>
        <v>512154</v>
      </c>
      <c r="B21825" s="2" t="str">
        <f>"SENSOR FOTOE. OMROM E3F2-DS30B4-M2"</f>
        <v>SENSOR FOTOE. OMROM E3F2-DS30B4-M2</v>
      </c>
      <c r="C21825" s="2" t="str">
        <f>"PC"</f>
        <v>PC</v>
      </c>
      <c r="D21825" s="7">
        <v>908</v>
      </c>
      <c r="E21825" s="3">
        <v>11</v>
      </c>
      <c r="F21825" s="3">
        <v>11</v>
      </c>
      <c r="G21825" t="s">
        <v>513</v>
      </c>
    </row>
    <row r="21826" spans="1:7" x14ac:dyDescent="0.25">
      <c r="A21826" s="1" t="str">
        <f>"502909"</f>
        <v>502909</v>
      </c>
      <c r="B21826" s="2" t="str">
        <f>"SENSOR FOTOEL. NPN 01.331.2305"</f>
        <v>SENSOR FOTOEL. NPN 01.331.2305</v>
      </c>
      <c r="C21826" s="2" t="str">
        <f>"UN"</f>
        <v>UN</v>
      </c>
      <c r="D21826" s="7">
        <v>909</v>
      </c>
      <c r="E21826" s="3">
        <v>11</v>
      </c>
      <c r="F21826" s="3">
        <v>11</v>
      </c>
      <c r="G21826" t="s">
        <v>514</v>
      </c>
    </row>
    <row r="21827" spans="1:7" x14ac:dyDescent="0.25">
      <c r="A21827" s="1" t="str">
        <f>"521669"</f>
        <v>521669</v>
      </c>
      <c r="B21827" s="2" t="str">
        <f>"SENSOR FOTOELET.CILINDRICO WBZ0042003"</f>
        <v>SENSOR FOTOELET.CILINDRICO WBZ0042003</v>
      </c>
      <c r="C21827" s="2" t="str">
        <f>"PC"</f>
        <v>PC</v>
      </c>
      <c r="D21827" s="7">
        <v>908</v>
      </c>
      <c r="E21827" s="3">
        <v>8</v>
      </c>
      <c r="F21827" s="3">
        <v>8</v>
      </c>
      <c r="G21827" t="s">
        <v>515</v>
      </c>
    </row>
    <row r="21828" spans="1:7" x14ac:dyDescent="0.25">
      <c r="A21828" s="1" t="str">
        <f>"517437"</f>
        <v>517437</v>
      </c>
      <c r="B21828" s="2" t="str">
        <f>"SENSOR FOTOELETRICO OSICOCEPT M18 ASL18P"</f>
        <v>SENSOR FOTOELETRICO OSICOCEPT M18 ASL18P</v>
      </c>
      <c r="C21828" s="2" t="str">
        <f>"PC"</f>
        <v>PC</v>
      </c>
      <c r="D21828" s="7">
        <v>908</v>
      </c>
      <c r="E21828" s="3">
        <v>8</v>
      </c>
      <c r="F21828" s="3">
        <v>8</v>
      </c>
      <c r="G21828" t="s">
        <v>512</v>
      </c>
    </row>
    <row r="21829" spans="1:7" x14ac:dyDescent="0.25">
      <c r="A21829" s="1" t="str">
        <f>"527537"</f>
        <v>527537</v>
      </c>
      <c r="B21829" s="2" t="str">
        <f>"SENSOR IFM IFT 204 PHOTOELETRIC M12"</f>
        <v>SENSOR IFM IFT 204 PHOTOELETRIC M12</v>
      </c>
      <c r="C21829" s="2" t="str">
        <f t="shared" ref="C21829:C21838" si="862">"UN"</f>
        <v>UN</v>
      </c>
      <c r="D21829" s="7">
        <v>811</v>
      </c>
      <c r="E21829" s="3">
        <v>8</v>
      </c>
      <c r="F21829" s="3">
        <v>8</v>
      </c>
      <c r="G21829" t="s">
        <v>516</v>
      </c>
    </row>
    <row r="21830" spans="1:7" x14ac:dyDescent="0.25">
      <c r="A21830" s="1" t="str">
        <f>"527462"</f>
        <v>527462</v>
      </c>
      <c r="B21830" s="2" t="str">
        <f>"SENSOR INTERRUPTOR 1000V FIM DE CURSO 2011391"</f>
        <v>SENSOR INTERRUPTOR 1000V FIM DE CURSO 2011391</v>
      </c>
      <c r="C21830" s="2" t="str">
        <f t="shared" si="862"/>
        <v>UN</v>
      </c>
      <c r="D21830" s="7">
        <v>807</v>
      </c>
      <c r="E21830" s="3">
        <v>11</v>
      </c>
      <c r="F21830" s="3">
        <v>11</v>
      </c>
      <c r="G21830" t="s">
        <v>515</v>
      </c>
    </row>
    <row r="21831" spans="1:7" x14ac:dyDescent="0.25">
      <c r="A21831" s="1" t="str">
        <f>"527463"</f>
        <v>527463</v>
      </c>
      <c r="B21831" s="2" t="str">
        <f>"SENSOR INTERRUPTOR 1000V FIM DE CURSO 2033052"</f>
        <v>SENSOR INTERRUPTOR 1000V FIM DE CURSO 2033052</v>
      </c>
      <c r="C21831" s="2" t="str">
        <f t="shared" si="862"/>
        <v>UN</v>
      </c>
      <c r="D21831" s="7">
        <v>807</v>
      </c>
      <c r="E21831" s="3">
        <v>11</v>
      </c>
      <c r="F21831" s="3">
        <v>11</v>
      </c>
      <c r="G21831" t="s">
        <v>514</v>
      </c>
    </row>
    <row r="21832" spans="1:7" x14ac:dyDescent="0.25">
      <c r="A21832" s="1" t="str">
        <f>"527461"</f>
        <v>527461</v>
      </c>
      <c r="B21832" s="2" t="str">
        <f>"SENSOR INTERRUPTOR 1000V FIM DE CURSO 2210769"</f>
        <v>SENSOR INTERRUPTOR 1000V FIM DE CURSO 2210769</v>
      </c>
      <c r="C21832" s="2" t="str">
        <f t="shared" si="862"/>
        <v>UN</v>
      </c>
      <c r="D21832" s="7">
        <v>807</v>
      </c>
      <c r="E21832" s="3">
        <v>11</v>
      </c>
      <c r="F21832" s="3">
        <v>11</v>
      </c>
      <c r="G21832" t="s">
        <v>512</v>
      </c>
    </row>
    <row r="21833" spans="1:7" x14ac:dyDescent="0.25">
      <c r="A21833" s="1" t="str">
        <f>"512665"</f>
        <v>512665</v>
      </c>
      <c r="B21833" s="2" t="str">
        <f>"SENSOR LEUZE ELETR. GS06/66-210-30 VDC"</f>
        <v>SENSOR LEUZE ELETR. GS06/66-210-30 VDC</v>
      </c>
      <c r="C21833" s="2" t="str">
        <f t="shared" si="862"/>
        <v>UN</v>
      </c>
      <c r="D21833" s="7">
        <v>900</v>
      </c>
      <c r="E21833" s="3">
        <v>11</v>
      </c>
      <c r="F21833" s="3">
        <v>11</v>
      </c>
      <c r="G21833" t="s">
        <v>513</v>
      </c>
    </row>
    <row r="21834" spans="1:7" x14ac:dyDescent="0.25">
      <c r="A21834" s="1" t="str">
        <f>"510250"</f>
        <v>510250</v>
      </c>
      <c r="B21834" s="2" t="str">
        <f>"SENSOR LIQUIPHANT FTL31-11C6/0 FTL31-AA4U3AAWDJ"</f>
        <v>SENSOR LIQUIPHANT FTL31-11C6/0 FTL31-AA4U3AAWDJ</v>
      </c>
      <c r="C21834" s="2" t="str">
        <f t="shared" si="862"/>
        <v>UN</v>
      </c>
      <c r="D21834" s="7">
        <v>600</v>
      </c>
      <c r="E21834" s="3">
        <v>8</v>
      </c>
      <c r="F21834" s="3">
        <v>8</v>
      </c>
      <c r="G21834" t="s">
        <v>514</v>
      </c>
    </row>
    <row r="21835" spans="1:7" x14ac:dyDescent="0.25">
      <c r="A21835" s="1" t="str">
        <f>"527609"</f>
        <v>527609</v>
      </c>
      <c r="B21835" s="2" t="str">
        <f>"SENSOR LIQUIPHANT FTL31-3CA0/0  FTL31-AA4M2AAWSJ+RZ"</f>
        <v>SENSOR LIQUIPHANT FTL31-3CA0/0  FTL31-AA4M2AAWSJ+RZ</v>
      </c>
      <c r="C21835" s="2" t="str">
        <f t="shared" si="862"/>
        <v>UN</v>
      </c>
      <c r="D21835" s="7">
        <v>600</v>
      </c>
      <c r="E21835" s="3">
        <v>8</v>
      </c>
      <c r="F21835" s="3">
        <v>8</v>
      </c>
      <c r="G21835" t="s">
        <v>514</v>
      </c>
    </row>
    <row r="21836" spans="1:7" x14ac:dyDescent="0.25">
      <c r="A21836" s="1" t="str">
        <f>"520504"</f>
        <v>520504</v>
      </c>
      <c r="B21836" s="2" t="str">
        <f>"SENSOR LIQUIPHANT M FTL50H-AGW2AC2F5A"</f>
        <v>SENSOR LIQUIPHANT M FTL50H-AGW2AC2F5A</v>
      </c>
      <c r="C21836" s="2" t="str">
        <f t="shared" si="862"/>
        <v>UN</v>
      </c>
      <c r="D21836" s="7">
        <v>900</v>
      </c>
      <c r="E21836" s="3">
        <v>8</v>
      </c>
      <c r="F21836" s="3">
        <v>8</v>
      </c>
      <c r="G21836" t="s">
        <v>512</v>
      </c>
    </row>
    <row r="21837" spans="1:7" x14ac:dyDescent="0.25">
      <c r="A21837" s="1" t="str">
        <f>"516943"</f>
        <v>516943</v>
      </c>
      <c r="B21837" s="2" t="str">
        <f>"SENSOR LIQUIPHANT M FTL50H-AGW2AC2F6A"</f>
        <v>SENSOR LIQUIPHANT M FTL50H-AGW2AC2F6A</v>
      </c>
      <c r="C21837" s="2" t="str">
        <f t="shared" si="862"/>
        <v>UN</v>
      </c>
      <c r="D21837" s="7">
        <v>900</v>
      </c>
      <c r="E21837" s="3">
        <v>8</v>
      </c>
      <c r="F21837" s="3">
        <v>8</v>
      </c>
      <c r="G21837" t="s">
        <v>513</v>
      </c>
    </row>
    <row r="21838" spans="1:7" x14ac:dyDescent="0.25">
      <c r="A21838" s="1" t="str">
        <f>"521198"</f>
        <v>521198</v>
      </c>
      <c r="B21838" s="2" t="str">
        <f>"SENSOR LIQUIPOINT FTW33 (MEDIÇÃO DE NIVEL)"</f>
        <v>SENSOR LIQUIPOINT FTW33 (MEDIÇÃO DE NIVEL)</v>
      </c>
      <c r="C21838" s="2" t="str">
        <f t="shared" si="862"/>
        <v>UN</v>
      </c>
      <c r="D21838" s="7">
        <v>811</v>
      </c>
      <c r="E21838" s="3">
        <v>8</v>
      </c>
      <c r="F21838" s="3">
        <v>8</v>
      </c>
      <c r="G21838" t="s">
        <v>514</v>
      </c>
    </row>
    <row r="21839" spans="1:7" x14ac:dyDescent="0.25">
      <c r="A21839" s="1" t="str">
        <f>"525376"</f>
        <v>525376</v>
      </c>
      <c r="B21839" s="2" t="str">
        <f>"SENSOR MAGNET. SEGURANÇA BNS 36-02/01ZG-R"</f>
        <v>SENSOR MAGNET. SEGURANÇA BNS 36-02/01ZG-R</v>
      </c>
      <c r="C21839" s="2" t="str">
        <f>"PC"</f>
        <v>PC</v>
      </c>
      <c r="D21839" s="7">
        <v>600</v>
      </c>
      <c r="E21839" s="3">
        <v>8</v>
      </c>
      <c r="F21839" s="3">
        <v>8</v>
      </c>
      <c r="G21839" t="s">
        <v>514</v>
      </c>
    </row>
    <row r="21840" spans="1:7" x14ac:dyDescent="0.25">
      <c r="A21840" s="1" t="str">
        <f>"510758"</f>
        <v>510758</v>
      </c>
      <c r="B21840" s="2" t="str">
        <f>"SENSOR MAGNETICO MOD. TG8K"</f>
        <v>SENSOR MAGNETICO MOD. TG8K</v>
      </c>
      <c r="C21840" s="2" t="str">
        <f>"PC"</f>
        <v>PC</v>
      </c>
      <c r="D21840" s="7">
        <v>908</v>
      </c>
      <c r="E21840" s="3">
        <v>11</v>
      </c>
      <c r="F21840" s="3">
        <v>11</v>
      </c>
      <c r="G21840" t="s">
        <v>514</v>
      </c>
    </row>
    <row r="21841" spans="1:7" x14ac:dyDescent="0.25">
      <c r="A21841" s="1" t="str">
        <f>"505292"</f>
        <v>505292</v>
      </c>
      <c r="B21841" s="2" t="str">
        <f>"SENSOR MAGNETICO NA COM IMA E BASE"</f>
        <v>SENSOR MAGNETICO NA COM IMA E BASE</v>
      </c>
      <c r="C21841" s="2" t="str">
        <f>"PC"</f>
        <v>PC</v>
      </c>
      <c r="D21841" s="7">
        <v>908</v>
      </c>
      <c r="E21841" s="3">
        <v>11</v>
      </c>
      <c r="F21841" s="3">
        <v>11</v>
      </c>
      <c r="G21841" t="s">
        <v>513</v>
      </c>
    </row>
    <row r="21842" spans="1:7" x14ac:dyDescent="0.25">
      <c r="A21842" s="1" t="str">
        <f>"516867"</f>
        <v>516867</v>
      </c>
      <c r="B21842" s="2" t="str">
        <f>"SENSOR NAVI FX300 SERIES  FX-301P"</f>
        <v>SENSOR NAVI FX300 SERIES  FX-301P</v>
      </c>
      <c r="C21842" s="2" t="str">
        <f>"UN"</f>
        <v>UN</v>
      </c>
      <c r="D21842" s="7">
        <v>900</v>
      </c>
      <c r="E21842" s="3">
        <v>11</v>
      </c>
      <c r="F21842" s="3">
        <v>11</v>
      </c>
      <c r="G21842" t="s">
        <v>512</v>
      </c>
    </row>
    <row r="21843" spans="1:7" x14ac:dyDescent="0.25">
      <c r="A21843" s="1" t="str">
        <f>"527939"</f>
        <v>527939</v>
      </c>
      <c r="B21843" s="2" t="str">
        <f>"SENSOR NIVEL 2ST C/PLUGUE 5M PVDF/PVDF"</f>
        <v>SENSOR NIVEL 2ST C/PLUGUE 5M PVDF/PVDF</v>
      </c>
      <c r="C21843" s="2" t="str">
        <f>"UN"</f>
        <v>UN</v>
      </c>
      <c r="D21843" s="7">
        <v>1500</v>
      </c>
      <c r="E21843" s="3">
        <v>13</v>
      </c>
      <c r="F21843" s="3">
        <v>13</v>
      </c>
      <c r="G21843" t="s">
        <v>513</v>
      </c>
    </row>
    <row r="21844" spans="1:7" x14ac:dyDescent="0.25">
      <c r="A21844" s="1" t="str">
        <f>"510891"</f>
        <v>510891</v>
      </c>
      <c r="B21844" s="2" t="str">
        <f>"SENSOR NON-STK CAT. 416E"</f>
        <v>SENSOR NON-STK CAT. 416E</v>
      </c>
      <c r="C21844" s="2" t="str">
        <f>"UN"</f>
        <v>UN</v>
      </c>
      <c r="D21844" s="7">
        <v>704</v>
      </c>
      <c r="E21844" s="3">
        <v>9</v>
      </c>
      <c r="F21844" s="3">
        <v>9</v>
      </c>
      <c r="G21844" t="s">
        <v>514</v>
      </c>
    </row>
    <row r="21845" spans="1:7" x14ac:dyDescent="0.25">
      <c r="A21845" s="1" t="str">
        <f>"504911"</f>
        <v>504911</v>
      </c>
      <c r="B21845" s="2" t="str">
        <f>"SENSOR NPN CAPAC 10/30VDC 18MM CONECTOR"</f>
        <v>SENSOR NPN CAPAC 10/30VDC 18MM CONECTOR</v>
      </c>
      <c r="C21845" s="2" t="str">
        <f>"UN"</f>
        <v>UN</v>
      </c>
      <c r="D21845" s="7">
        <v>908</v>
      </c>
      <c r="E21845" s="3">
        <v>11</v>
      </c>
      <c r="F21845" s="3">
        <v>11</v>
      </c>
      <c r="G21845" t="s">
        <v>514</v>
      </c>
    </row>
    <row r="21846" spans="1:7" x14ac:dyDescent="0.25">
      <c r="A21846" s="1" t="str">
        <f>"520345"</f>
        <v>520345</v>
      </c>
      <c r="B21846" s="2" t="str">
        <f>"SENSOR NPN CONECTOR 12MM TECNOTRON 13312315"</f>
        <v>SENSOR NPN CONECTOR 12MM TECNOTRON 13312315</v>
      </c>
      <c r="C21846" s="2" t="str">
        <f>"UN"</f>
        <v>UN</v>
      </c>
      <c r="D21846" s="7">
        <v>918</v>
      </c>
      <c r="E21846" s="3">
        <v>11</v>
      </c>
      <c r="F21846" s="3">
        <v>11</v>
      </c>
      <c r="G21846" t="s">
        <v>514</v>
      </c>
    </row>
    <row r="21847" spans="1:7" x14ac:dyDescent="0.25">
      <c r="A21847" s="1" t="str">
        <f>"506001"</f>
        <v>506001</v>
      </c>
      <c r="B21847" s="2" t="str">
        <f>"SENSOR NPN DIFUSO 10/30VDC 18MM CONECTOR"</f>
        <v>SENSOR NPN DIFUSO 10/30VDC 18MM CONECTOR</v>
      </c>
      <c r="C21847" s="2" t="str">
        <f>"PC"</f>
        <v>PC</v>
      </c>
      <c r="D21847" s="7">
        <v>908</v>
      </c>
      <c r="E21847" s="3">
        <v>11</v>
      </c>
      <c r="F21847" s="3">
        <v>11</v>
      </c>
      <c r="G21847" t="s">
        <v>513</v>
      </c>
    </row>
    <row r="21848" spans="1:7" x14ac:dyDescent="0.25">
      <c r="A21848" s="1" t="str">
        <f>"503241"</f>
        <v>503241</v>
      </c>
      <c r="B21848" s="2" t="str">
        <f>"SENSOR NPN INDUT 10/30VDC 12MM 3 FIOS CO"</f>
        <v>SENSOR NPN INDUT 10/30VDC 12MM 3 FIOS CO</v>
      </c>
      <c r="C21848" s="2" t="str">
        <f>"UN"</f>
        <v>UN</v>
      </c>
      <c r="D21848" s="7">
        <v>908</v>
      </c>
      <c r="E21848" s="3">
        <v>11</v>
      </c>
      <c r="F21848" s="3">
        <v>11</v>
      </c>
      <c r="G21848" t="s">
        <v>513</v>
      </c>
    </row>
    <row r="21849" spans="1:7" x14ac:dyDescent="0.25">
      <c r="A21849" s="1" t="str">
        <f>"504313"</f>
        <v>504313</v>
      </c>
      <c r="B21849" s="2" t="str">
        <f>"SENSOR NPN INDUT 10/30VDC 18MM CONECTOR"</f>
        <v>SENSOR NPN INDUT 10/30VDC 18MM CONECTOR</v>
      </c>
      <c r="C21849" s="2" t="str">
        <f>"UN"</f>
        <v>UN</v>
      </c>
      <c r="D21849" s="7">
        <v>908</v>
      </c>
      <c r="E21849" s="3">
        <v>11</v>
      </c>
      <c r="F21849" s="3">
        <v>11</v>
      </c>
      <c r="G21849" t="s">
        <v>513</v>
      </c>
    </row>
    <row r="21850" spans="1:7" x14ac:dyDescent="0.25">
      <c r="A21850" s="1" t="str">
        <f>"501461"</f>
        <v>501461</v>
      </c>
      <c r="B21850" s="2" t="str">
        <f>"SENSOR NPN INDUTIVO 10A30VDC 4FIOS 12MM TECNOTRON 013312255"</f>
        <v>SENSOR NPN INDUTIVO 10A30VDC 4FIOS 12MM TECNOTRON 013312255</v>
      </c>
      <c r="C21850" s="2" t="str">
        <f>"UN"</f>
        <v>UN</v>
      </c>
      <c r="D21850" s="7">
        <v>908</v>
      </c>
      <c r="E21850" s="3">
        <v>11</v>
      </c>
      <c r="F21850" s="3">
        <v>11</v>
      </c>
      <c r="G21850" t="s">
        <v>512</v>
      </c>
    </row>
    <row r="21851" spans="1:7" x14ac:dyDescent="0.25">
      <c r="A21851" s="1" t="str">
        <f>"502836"</f>
        <v>502836</v>
      </c>
      <c r="B21851" s="2" t="str">
        <f>"SENSOR NPN INDUTIVO 10A30VDC 4FIOS 18MM"</f>
        <v>SENSOR NPN INDUTIVO 10A30VDC 4FIOS 18MM</v>
      </c>
      <c r="C21851" s="2" t="str">
        <f>"PC"</f>
        <v>PC</v>
      </c>
      <c r="D21851" s="7">
        <v>908</v>
      </c>
      <c r="E21851" s="3">
        <v>11</v>
      </c>
      <c r="F21851" s="3">
        <v>11</v>
      </c>
      <c r="G21851" t="s">
        <v>513</v>
      </c>
    </row>
    <row r="21852" spans="1:7" x14ac:dyDescent="0.25">
      <c r="A21852" s="1" t="str">
        <f>"520158"</f>
        <v>520158</v>
      </c>
      <c r="B21852" s="2" t="str">
        <f>"SENSOR NPN PRCM 12 - 2 DN CONECTOR"</f>
        <v>SENSOR NPN PRCM 12 - 2 DN CONECTOR</v>
      </c>
      <c r="C21852" s="2" t="str">
        <f>"UN"</f>
        <v>UN</v>
      </c>
      <c r="D21852" s="7">
        <v>908</v>
      </c>
      <c r="E21852" s="3">
        <v>11</v>
      </c>
      <c r="F21852" s="3">
        <v>11</v>
      </c>
      <c r="G21852" t="s">
        <v>514</v>
      </c>
    </row>
    <row r="21853" spans="1:7" x14ac:dyDescent="0.25">
      <c r="A21853" s="1" t="str">
        <f>"516854"</f>
        <v>516854</v>
      </c>
      <c r="B21853" s="2" t="str">
        <f>"SENSOR OMRON E3X-SD51"</f>
        <v>SENSOR OMRON E3X-SD51</v>
      </c>
      <c r="C21853" s="2" t="str">
        <f>"UN"</f>
        <v>UN</v>
      </c>
      <c r="D21853" s="7">
        <v>900</v>
      </c>
      <c r="E21853" s="3">
        <v>11</v>
      </c>
      <c r="F21853" s="3">
        <v>11</v>
      </c>
      <c r="G21853" t="s">
        <v>515</v>
      </c>
    </row>
    <row r="21854" spans="1:7" x14ac:dyDescent="0.25">
      <c r="A21854" s="1" t="str">
        <f>"503828"</f>
        <v>503828</v>
      </c>
      <c r="B21854" s="2" t="str">
        <f>"SENSOR OMRON E3Z-B66"</f>
        <v>SENSOR OMRON E3Z-B66</v>
      </c>
      <c r="C21854" s="2" t="str">
        <f>"UN"</f>
        <v>UN</v>
      </c>
      <c r="D21854" s="7">
        <v>900</v>
      </c>
      <c r="E21854" s="3">
        <v>11</v>
      </c>
      <c r="F21854" s="3">
        <v>11</v>
      </c>
      <c r="G21854" t="s">
        <v>512</v>
      </c>
    </row>
    <row r="21855" spans="1:7" x14ac:dyDescent="0.25">
      <c r="A21855" s="1" t="str">
        <f>"516028"</f>
        <v>516028</v>
      </c>
      <c r="B21855" s="2" t="str">
        <f>"SENSOR OMRON E3Z-B66"</f>
        <v>SENSOR OMRON E3Z-B66</v>
      </c>
      <c r="C21855" s="2" t="str">
        <f>"UN"</f>
        <v>UN</v>
      </c>
      <c r="D21855" s="7">
        <v>900</v>
      </c>
      <c r="E21855" s="3">
        <v>11</v>
      </c>
      <c r="F21855" s="3">
        <v>11</v>
      </c>
      <c r="G21855" t="s">
        <v>516</v>
      </c>
    </row>
    <row r="21856" spans="1:7" x14ac:dyDescent="0.25">
      <c r="A21856" s="1" t="str">
        <f>"512572"</f>
        <v>512572</v>
      </c>
      <c r="B21856" s="2" t="str">
        <f>"SENSOR OMRON E3ZM-D82"</f>
        <v>SENSOR OMRON E3ZM-D82</v>
      </c>
      <c r="C21856" s="2" t="str">
        <f>"PC"</f>
        <v>PC</v>
      </c>
      <c r="D21856" s="7">
        <v>908</v>
      </c>
      <c r="E21856" s="3">
        <v>11</v>
      </c>
      <c r="F21856" s="3">
        <v>11</v>
      </c>
      <c r="G21856" t="s">
        <v>515</v>
      </c>
    </row>
    <row r="21857" spans="1:7" x14ac:dyDescent="0.25">
      <c r="A21857" s="1" t="str">
        <f>"515832"</f>
        <v>515832</v>
      </c>
      <c r="B21857" s="2" t="str">
        <f>"SENSOR OMRON E3Z-R61"</f>
        <v>SENSOR OMRON E3Z-R61</v>
      </c>
      <c r="C21857" s="2" t="str">
        <f>"UN"</f>
        <v>UN</v>
      </c>
      <c r="D21857" s="7">
        <v>900</v>
      </c>
      <c r="E21857" s="3">
        <v>8</v>
      </c>
      <c r="F21857" s="3">
        <v>8</v>
      </c>
      <c r="G21857" t="s">
        <v>514</v>
      </c>
    </row>
    <row r="21858" spans="1:7" x14ac:dyDescent="0.25">
      <c r="A21858" s="1" t="str">
        <f>"512450"</f>
        <v>512450</v>
      </c>
      <c r="B21858" s="2" t="str">
        <f>"SENSOR OMRON E3Z-R81"</f>
        <v>SENSOR OMRON E3Z-R81</v>
      </c>
      <c r="C21858" s="2" t="str">
        <f>"PC"</f>
        <v>PC</v>
      </c>
      <c r="D21858" s="7">
        <v>908</v>
      </c>
      <c r="E21858" s="3">
        <v>11</v>
      </c>
      <c r="F21858" s="3">
        <v>11</v>
      </c>
      <c r="G21858" t="s">
        <v>512</v>
      </c>
    </row>
    <row r="21859" spans="1:7" x14ac:dyDescent="0.25">
      <c r="A21859" s="1" t="str">
        <f>"511804"</f>
        <v>511804</v>
      </c>
      <c r="B21859" s="2" t="str">
        <f>"SENSOR OMRON FOTOEL. DIFUSO E3M-VG16"</f>
        <v>SENSOR OMRON FOTOEL. DIFUSO E3M-VG16</v>
      </c>
      <c r="C21859" s="2" t="str">
        <f>"UN"</f>
        <v>UN</v>
      </c>
      <c r="D21859" s="7">
        <v>600</v>
      </c>
      <c r="E21859" s="3">
        <v>8</v>
      </c>
      <c r="F21859" s="3">
        <v>8</v>
      </c>
      <c r="G21859" t="s">
        <v>513</v>
      </c>
    </row>
    <row r="21860" spans="1:7" x14ac:dyDescent="0.25">
      <c r="A21860" s="1" t="str">
        <f>"508275"</f>
        <v>508275</v>
      </c>
      <c r="B21860" s="2" t="str">
        <f>"SENSOR OTICO AUTO-REFLEXIVO E3Z-R61"</f>
        <v>SENSOR OTICO AUTO-REFLEXIVO E3Z-R61</v>
      </c>
      <c r="C21860" s="2" t="str">
        <f>"PC"</f>
        <v>PC</v>
      </c>
      <c r="D21860" s="7">
        <v>908</v>
      </c>
      <c r="E21860" s="3">
        <v>11</v>
      </c>
      <c r="F21860" s="3">
        <v>11</v>
      </c>
      <c r="G21860" t="s">
        <v>514</v>
      </c>
    </row>
    <row r="21861" spans="1:7" x14ac:dyDescent="0.25">
      <c r="A21861" s="1" t="str">
        <f>"524638"</f>
        <v>524638</v>
      </c>
      <c r="B21861" s="8" t="s">
        <v>405</v>
      </c>
      <c r="C21861" s="2" t="str">
        <f>"UN"</f>
        <v>UN</v>
      </c>
      <c r="D21861" s="7">
        <v>406</v>
      </c>
      <c r="E21861" s="3">
        <v>13</v>
      </c>
      <c r="F21861" s="3">
        <v>13</v>
      </c>
      <c r="G21861" t="s">
        <v>514</v>
      </c>
    </row>
    <row r="21862" spans="1:7" x14ac:dyDescent="0.25">
      <c r="A21862" s="1" t="str">
        <f>"520347"</f>
        <v>520347</v>
      </c>
      <c r="B21862" s="2" t="str">
        <f>"SENSOR PNP CONECTOR 12MM TECNOTRON 013312316"</f>
        <v>SENSOR PNP CONECTOR 12MM TECNOTRON 013312316</v>
      </c>
      <c r="C21862" s="2" t="str">
        <f>"UN"</f>
        <v>UN</v>
      </c>
      <c r="D21862" s="7">
        <v>918</v>
      </c>
      <c r="E21862" s="3">
        <v>11</v>
      </c>
      <c r="F21862" s="3">
        <v>11</v>
      </c>
      <c r="G21862" t="s">
        <v>512</v>
      </c>
    </row>
    <row r="21863" spans="1:7" x14ac:dyDescent="0.25">
      <c r="A21863" s="1" t="str">
        <f>"508839"</f>
        <v>508839</v>
      </c>
      <c r="B21863" s="2" t="str">
        <f>"SENSOR PNP FOTOC. IFO-3-18-11P 10A30VCC"</f>
        <v>SENSOR PNP FOTOC. IFO-3-18-11P 10A30VCC</v>
      </c>
      <c r="C21863" s="2" t="str">
        <f>"PC"</f>
        <v>PC</v>
      </c>
      <c r="D21863" s="7">
        <v>908</v>
      </c>
      <c r="E21863" s="3">
        <v>11</v>
      </c>
      <c r="F21863" s="3">
        <v>11</v>
      </c>
      <c r="G21863" t="s">
        <v>513</v>
      </c>
    </row>
    <row r="21864" spans="1:7" x14ac:dyDescent="0.25">
      <c r="A21864" s="1" t="str">
        <f>"517616"</f>
        <v>517616</v>
      </c>
      <c r="B21864" s="2" t="str">
        <f>"SENSOR PNP IB-2M-12CM-PR/XL CONECTOR 13312306"</f>
        <v>SENSOR PNP IB-2M-12CM-PR/XL CONECTOR 13312306</v>
      </c>
      <c r="C21864" s="2" t="str">
        <f>"PC"</f>
        <v>PC</v>
      </c>
      <c r="D21864" s="7">
        <v>908</v>
      </c>
      <c r="E21864" s="3">
        <v>8</v>
      </c>
      <c r="F21864" s="3">
        <v>8</v>
      </c>
      <c r="G21864" t="s">
        <v>514</v>
      </c>
    </row>
    <row r="21865" spans="1:7" x14ac:dyDescent="0.25">
      <c r="A21865" s="1" t="str">
        <f>"503981"</f>
        <v>503981</v>
      </c>
      <c r="B21865" s="2" t="str">
        <f>"SENSOR PNP INDUT 12MM CONECTOR AUTONICS PRCM12-2DP"</f>
        <v>SENSOR PNP INDUT 12MM CONECTOR AUTONICS PRCM12-2DP</v>
      </c>
      <c r="C21865" s="2" t="str">
        <f t="shared" ref="C21865:C21872" si="863">"UN"</f>
        <v>UN</v>
      </c>
      <c r="D21865" s="7">
        <v>908</v>
      </c>
      <c r="E21865" s="3">
        <v>11</v>
      </c>
      <c r="F21865" s="3">
        <v>11</v>
      </c>
      <c r="G21865" t="s">
        <v>514</v>
      </c>
    </row>
    <row r="21866" spans="1:7" x14ac:dyDescent="0.25">
      <c r="A21866" s="1" t="str">
        <f>"502835"</f>
        <v>502835</v>
      </c>
      <c r="B21866" s="2" t="str">
        <f>"SENSOR PNP INDUTIVO 10A30VDC 4FIOS 12MM"</f>
        <v>SENSOR PNP INDUTIVO 10A30VDC 4FIOS 12MM</v>
      </c>
      <c r="C21866" s="2" t="str">
        <f t="shared" si="863"/>
        <v>UN</v>
      </c>
      <c r="D21866" s="7">
        <v>908</v>
      </c>
      <c r="E21866" s="3">
        <v>11</v>
      </c>
      <c r="F21866" s="3">
        <v>11</v>
      </c>
      <c r="G21866" t="s">
        <v>514</v>
      </c>
    </row>
    <row r="21867" spans="1:7" x14ac:dyDescent="0.25">
      <c r="A21867" s="1" t="str">
        <f>"502695"</f>
        <v>502695</v>
      </c>
      <c r="B21867" s="2" t="str">
        <f>"SENSOR PNP INDUTIVO 10A30VDC 4FIOS 18MM"</f>
        <v>SENSOR PNP INDUTIVO 10A30VDC 4FIOS 18MM</v>
      </c>
      <c r="C21867" s="2" t="str">
        <f t="shared" si="863"/>
        <v>UN</v>
      </c>
      <c r="D21867" s="7">
        <v>908</v>
      </c>
      <c r="E21867" s="3">
        <v>11</v>
      </c>
      <c r="F21867" s="3">
        <v>11</v>
      </c>
      <c r="G21867" t="s">
        <v>513</v>
      </c>
    </row>
    <row r="21868" spans="1:7" x14ac:dyDescent="0.25">
      <c r="A21868" s="1" t="str">
        <f>"526519"</f>
        <v>526519</v>
      </c>
      <c r="B21868" s="2" t="str">
        <f>"SENSOR PNP INDUTIVO 10A36VDC 3 FIO 12MM COD. IFC258"</f>
        <v>SENSOR PNP INDUTIVO 10A36VDC 3 FIO 12MM COD. IFC258</v>
      </c>
      <c r="C21868" s="2" t="str">
        <f t="shared" si="863"/>
        <v>UN</v>
      </c>
      <c r="D21868" s="7">
        <v>908</v>
      </c>
      <c r="E21868" s="3">
        <v>11</v>
      </c>
      <c r="F21868" s="3">
        <v>11</v>
      </c>
      <c r="G21868" t="s">
        <v>512</v>
      </c>
    </row>
    <row r="21869" spans="1:7" x14ac:dyDescent="0.25">
      <c r="A21869" s="1" t="str">
        <f>"520153"</f>
        <v>520153</v>
      </c>
      <c r="B21869" s="2" t="str">
        <f>"SENSOR PNP PR18-5DP CABO 3 FIOS"</f>
        <v>SENSOR PNP PR18-5DP CABO 3 FIOS</v>
      </c>
      <c r="C21869" s="2" t="str">
        <f t="shared" si="863"/>
        <v>UN</v>
      </c>
      <c r="D21869" s="7">
        <v>918</v>
      </c>
      <c r="E21869" s="3">
        <v>13</v>
      </c>
      <c r="F21869" s="3">
        <v>13</v>
      </c>
      <c r="G21869" t="s">
        <v>513</v>
      </c>
    </row>
    <row r="21870" spans="1:7" x14ac:dyDescent="0.25">
      <c r="A21870" s="1" t="str">
        <f>"509338"</f>
        <v>509338</v>
      </c>
      <c r="B21870" s="2" t="str">
        <f>"SENSOR PR30 - 10DP 12-24VDC"</f>
        <v>SENSOR PR30 - 10DP 12-24VDC</v>
      </c>
      <c r="C21870" s="2" t="str">
        <f t="shared" si="863"/>
        <v>UN</v>
      </c>
      <c r="D21870" s="7">
        <v>601</v>
      </c>
      <c r="E21870" s="3">
        <v>8</v>
      </c>
      <c r="F21870" s="3">
        <v>8</v>
      </c>
      <c r="G21870" t="s">
        <v>514</v>
      </c>
    </row>
    <row r="21871" spans="1:7" x14ac:dyDescent="0.25">
      <c r="A21871" s="1" t="str">
        <f>"525972"</f>
        <v>525972</v>
      </c>
      <c r="B21871" s="2" t="str">
        <f>"SENSOR PRESS 90251990"</f>
        <v>SENSOR PRESS 90251990</v>
      </c>
      <c r="C21871" s="2" t="str">
        <f t="shared" si="863"/>
        <v>UN</v>
      </c>
      <c r="D21871" s="7">
        <v>901</v>
      </c>
      <c r="E21871" s="3">
        <v>11</v>
      </c>
      <c r="F21871" s="3">
        <v>11</v>
      </c>
      <c r="G21871" t="s">
        <v>514</v>
      </c>
    </row>
    <row r="21872" spans="1:7" x14ac:dyDescent="0.25">
      <c r="A21872" s="1" t="str">
        <f>"502577"</f>
        <v>502577</v>
      </c>
      <c r="B21872" s="2" t="str">
        <f>"SENSOR PRESSAO OLEO"</f>
        <v>SENSOR PRESSAO OLEO</v>
      </c>
      <c r="C21872" s="2" t="str">
        <f t="shared" si="863"/>
        <v>UN</v>
      </c>
      <c r="D21872" s="7">
        <v>704</v>
      </c>
      <c r="E21872" s="3">
        <v>9</v>
      </c>
      <c r="F21872" s="3">
        <v>9</v>
      </c>
      <c r="G21872" t="s">
        <v>514</v>
      </c>
    </row>
    <row r="21873" spans="1:7" x14ac:dyDescent="0.25">
      <c r="A21873" s="1" t="str">
        <f>"509830"</f>
        <v>509830</v>
      </c>
      <c r="B21873" s="2" t="str">
        <f>"SENSOR PT100 5/8"" - GEIGER"</f>
        <v>SENSOR PT100 5/8" - GEIGER</v>
      </c>
      <c r="C21873" s="2" t="str">
        <f>"PC"</f>
        <v>PC</v>
      </c>
      <c r="D21873" s="7">
        <v>908</v>
      </c>
      <c r="E21873" s="3">
        <v>11</v>
      </c>
      <c r="F21873" s="3">
        <v>11</v>
      </c>
      <c r="G21873" t="s">
        <v>513</v>
      </c>
    </row>
    <row r="21874" spans="1:7" x14ac:dyDescent="0.25">
      <c r="A21874" s="1" t="str">
        <f>"505688"</f>
        <v>505688</v>
      </c>
      <c r="B21874" s="2" t="str">
        <f>"SENSOR RANGER"</f>
        <v>SENSOR RANGER</v>
      </c>
      <c r="C21874" s="2" t="str">
        <f>"UN"</f>
        <v>UN</v>
      </c>
      <c r="D21874" s="7">
        <v>704</v>
      </c>
      <c r="E21874" s="3">
        <v>9</v>
      </c>
      <c r="F21874" s="3">
        <v>9</v>
      </c>
      <c r="G21874" t="s">
        <v>513</v>
      </c>
    </row>
    <row r="21875" spans="1:7" x14ac:dyDescent="0.25">
      <c r="A21875" s="1" t="str">
        <f>"501197"</f>
        <v>501197</v>
      </c>
      <c r="B21875" s="2" t="str">
        <f>"SENSOR ROTULADEIRA SM-1000/1001 JPJ"</f>
        <v>SENSOR ROTULADEIRA SM-1000/1001 JPJ</v>
      </c>
      <c r="C21875" s="2" t="str">
        <f>"PC"</f>
        <v>PC</v>
      </c>
      <c r="D21875" s="7">
        <v>908</v>
      </c>
      <c r="E21875" s="3">
        <v>11</v>
      </c>
      <c r="F21875" s="3">
        <v>11</v>
      </c>
      <c r="G21875" t="s">
        <v>513</v>
      </c>
    </row>
    <row r="21876" spans="1:7" x14ac:dyDescent="0.25">
      <c r="A21876" s="1" t="str">
        <f>"516875"</f>
        <v>516875</v>
      </c>
      <c r="B21876" s="2" t="str">
        <f>"SENSOR SICK CONTRASTE KTM-WP11182P"</f>
        <v>SENSOR SICK CONTRASTE KTM-WP11182P</v>
      </c>
      <c r="C21876" s="2" t="str">
        <f>"UN"</f>
        <v>UN</v>
      </c>
      <c r="D21876" s="7">
        <v>900</v>
      </c>
      <c r="E21876" s="3">
        <v>11</v>
      </c>
      <c r="F21876" s="3">
        <v>11</v>
      </c>
      <c r="G21876" t="s">
        <v>512</v>
      </c>
    </row>
    <row r="21877" spans="1:7" x14ac:dyDescent="0.25">
      <c r="A21877" s="1" t="str">
        <f>"513076"</f>
        <v>513076</v>
      </c>
      <c r="B21877" s="2" t="str">
        <f>"SENSOR SICK FORQUILHA UFN3-70B413 6049678"</f>
        <v>SENSOR SICK FORQUILHA UFN3-70B413 6049678</v>
      </c>
      <c r="C21877" s="2" t="str">
        <f>"PC"</f>
        <v>PC</v>
      </c>
      <c r="D21877" s="7">
        <v>908</v>
      </c>
      <c r="E21877" s="3">
        <v>11</v>
      </c>
      <c r="F21877" s="3">
        <v>11</v>
      </c>
      <c r="G21877" t="s">
        <v>513</v>
      </c>
    </row>
    <row r="21878" spans="1:7" x14ac:dyDescent="0.25">
      <c r="A21878" s="1" t="str">
        <f>"517063"</f>
        <v>517063</v>
      </c>
      <c r="B21878" s="2" t="str">
        <f>"SENSOR SICK FOTOELETRICO VTF-180-2N42412 6 041 801"</f>
        <v>SENSOR SICK FOTOELETRICO VTF-180-2N42412 6 041 801</v>
      </c>
      <c r="C21878" s="2" t="str">
        <f>"UN"</f>
        <v>UN</v>
      </c>
      <c r="D21878" s="7">
        <v>811</v>
      </c>
      <c r="E21878" s="3">
        <v>8</v>
      </c>
      <c r="F21878" s="3">
        <v>8</v>
      </c>
      <c r="G21878" t="s">
        <v>514</v>
      </c>
    </row>
    <row r="21879" spans="1:7" x14ac:dyDescent="0.25">
      <c r="A21879" s="1" t="str">
        <f>"519264"</f>
        <v>519264</v>
      </c>
      <c r="B21879" s="2" t="str">
        <f>"SENSOR SICK FOTOELETRICO VTF-180-2P41112 6 041 802"</f>
        <v>SENSOR SICK FOTOELETRICO VTF-180-2P41112 6 041 802</v>
      </c>
      <c r="C21879" s="2" t="str">
        <f>"UN"</f>
        <v>UN</v>
      </c>
      <c r="D21879" s="7">
        <v>811</v>
      </c>
      <c r="E21879" s="3">
        <v>8</v>
      </c>
      <c r="F21879" s="3">
        <v>8</v>
      </c>
      <c r="G21879" t="s">
        <v>515</v>
      </c>
    </row>
    <row r="21880" spans="1:7" x14ac:dyDescent="0.25">
      <c r="A21880" s="1" t="str">
        <f>"517062"</f>
        <v>517062</v>
      </c>
      <c r="B21880" s="2" t="str">
        <f>"SENSOR SICK FOTOELETRICO VTF-180-2P42412 6 041 803"</f>
        <v>SENSOR SICK FOTOELETRICO VTF-180-2P42412 6 041 803</v>
      </c>
      <c r="C21880" s="2" t="str">
        <f t="shared" ref="C21880:C21885" si="864">"PC"</f>
        <v>PC</v>
      </c>
      <c r="D21880" s="7">
        <v>908</v>
      </c>
      <c r="E21880" s="3">
        <v>8</v>
      </c>
      <c r="F21880" s="3">
        <v>8</v>
      </c>
      <c r="G21880" t="s">
        <v>512</v>
      </c>
    </row>
    <row r="21881" spans="1:7" x14ac:dyDescent="0.25">
      <c r="A21881" s="1" t="str">
        <f>"513077"</f>
        <v>513077</v>
      </c>
      <c r="B21881" s="2" t="str">
        <f>"SENSOR SICK GL6-P4211 1059241"</f>
        <v>SENSOR SICK GL6-P4211 1059241</v>
      </c>
      <c r="C21881" s="2" t="str">
        <f t="shared" si="864"/>
        <v>PC</v>
      </c>
      <c r="D21881" s="7">
        <v>908</v>
      </c>
      <c r="E21881" s="3">
        <v>11</v>
      </c>
      <c r="F21881" s="3">
        <v>11</v>
      </c>
      <c r="G21881" t="s">
        <v>516</v>
      </c>
    </row>
    <row r="21882" spans="1:7" x14ac:dyDescent="0.25">
      <c r="A21882" s="1" t="str">
        <f>"520404"</f>
        <v>520404</v>
      </c>
      <c r="B21882" s="2" t="str">
        <f>"SENSOR SICK GRL18SG-F233Z"</f>
        <v>SENSOR SICK GRL18SG-F233Z</v>
      </c>
      <c r="C21882" s="2" t="str">
        <f t="shared" si="864"/>
        <v>PC</v>
      </c>
      <c r="D21882" s="7">
        <v>908</v>
      </c>
      <c r="E21882" s="3">
        <v>11</v>
      </c>
      <c r="F21882" s="3">
        <v>11</v>
      </c>
      <c r="G21882" t="s">
        <v>515</v>
      </c>
    </row>
    <row r="21883" spans="1:7" x14ac:dyDescent="0.25">
      <c r="A21883" s="1" t="str">
        <f>"520459"</f>
        <v>520459</v>
      </c>
      <c r="B21883" s="2" t="str">
        <f>"SENSOR SICK IM12-02BCP-ZC1"</f>
        <v>SENSOR SICK IM12-02BCP-ZC1</v>
      </c>
      <c r="C21883" s="2" t="str">
        <f t="shared" si="864"/>
        <v>PC</v>
      </c>
      <c r="D21883" s="7">
        <v>908</v>
      </c>
      <c r="E21883" s="3">
        <v>11</v>
      </c>
      <c r="F21883" s="3">
        <v>11</v>
      </c>
      <c r="G21883" t="s">
        <v>514</v>
      </c>
    </row>
    <row r="21884" spans="1:7" x14ac:dyDescent="0.25">
      <c r="A21884" s="1" t="str">
        <f>"520460"</f>
        <v>520460</v>
      </c>
      <c r="B21884" s="2" t="str">
        <f>"SENSOR SICK IM18-05BCP-ZC1"</f>
        <v>SENSOR SICK IM18-05BCP-ZC1</v>
      </c>
      <c r="C21884" s="2" t="str">
        <f t="shared" si="864"/>
        <v>PC</v>
      </c>
      <c r="D21884" s="7">
        <v>908</v>
      </c>
      <c r="E21884" s="3">
        <v>11</v>
      </c>
      <c r="F21884" s="3">
        <v>11</v>
      </c>
      <c r="G21884" t="s">
        <v>512</v>
      </c>
    </row>
    <row r="21885" spans="1:7" x14ac:dyDescent="0.25">
      <c r="A21885" s="1" t="str">
        <f>"520461"</f>
        <v>520461</v>
      </c>
      <c r="B21885" s="2" t="str">
        <f>"SENSOR SICK IME 18-05BPSZCOK"</f>
        <v>SENSOR SICK IME 18-05BPSZCOK</v>
      </c>
      <c r="C21885" s="2" t="str">
        <f t="shared" si="864"/>
        <v>PC</v>
      </c>
      <c r="D21885" s="7">
        <v>908</v>
      </c>
      <c r="E21885" s="3">
        <v>11</v>
      </c>
      <c r="F21885" s="3">
        <v>11</v>
      </c>
      <c r="G21885" t="s">
        <v>513</v>
      </c>
    </row>
    <row r="21886" spans="1:7" x14ac:dyDescent="0.25">
      <c r="A21886" s="1" t="str">
        <f>"525849"</f>
        <v>525849</v>
      </c>
      <c r="B21886" s="2" t="str">
        <f>"SENSOR SICK LN1511 IME18-05BPSZC0K"</f>
        <v>SENSOR SICK LN1511 IME18-05BPSZC0K</v>
      </c>
      <c r="C21886" s="2" t="str">
        <f t="shared" ref="C21886:C21891" si="865">"UN"</f>
        <v>UN</v>
      </c>
      <c r="D21886" s="7">
        <v>918</v>
      </c>
      <c r="E21886" s="3">
        <v>10</v>
      </c>
      <c r="F21886" s="3">
        <v>10</v>
      </c>
      <c r="G21886" t="s">
        <v>514</v>
      </c>
    </row>
    <row r="21887" spans="1:7" x14ac:dyDescent="0.25">
      <c r="A21887" s="1" t="str">
        <f>"527776"</f>
        <v>527776</v>
      </c>
      <c r="B21887" s="2" t="str">
        <f>"SENSOR SICK MAGNETICO RANHURA RZT7-03ZRS-KR0 1070848"</f>
        <v>SENSOR SICK MAGNETICO RANHURA RZT7-03ZRS-KR0 1070848</v>
      </c>
      <c r="C21887" s="2" t="str">
        <f t="shared" si="865"/>
        <v>UN</v>
      </c>
      <c r="D21887" s="7">
        <v>811</v>
      </c>
      <c r="E21887" s="3">
        <v>8</v>
      </c>
      <c r="F21887" s="3">
        <v>8</v>
      </c>
      <c r="G21887" t="s">
        <v>514</v>
      </c>
    </row>
    <row r="21888" spans="1:7" x14ac:dyDescent="0.25">
      <c r="A21888" s="1" t="str">
        <f>"527775"</f>
        <v>527775</v>
      </c>
      <c r="B21888" s="2" t="str">
        <f>"SENSOR SICK MAGNETICO RANHURA RZT7-03ZRS-KW0 1070852"</f>
        <v>SENSOR SICK MAGNETICO RANHURA RZT7-03ZRS-KW0 1070852</v>
      </c>
      <c r="C21888" s="2" t="str">
        <f t="shared" si="865"/>
        <v>UN</v>
      </c>
      <c r="D21888" s="7">
        <v>811</v>
      </c>
      <c r="E21888" s="3">
        <v>8</v>
      </c>
      <c r="F21888" s="3">
        <v>8</v>
      </c>
      <c r="G21888" t="s">
        <v>512</v>
      </c>
    </row>
    <row r="21889" spans="1:7" x14ac:dyDescent="0.25">
      <c r="A21889" s="1" t="str">
        <f>"527774"</f>
        <v>527774</v>
      </c>
      <c r="B21889" s="2" t="str">
        <f>"SENSOR SICK MAGNETICO RANHURA RZT7-03ZRS-KWB 1070853"</f>
        <v>SENSOR SICK MAGNETICO RANHURA RZT7-03ZRS-KWB 1070853</v>
      </c>
      <c r="C21889" s="2" t="str">
        <f t="shared" si="865"/>
        <v>UN</v>
      </c>
      <c r="D21889" s="7">
        <v>811</v>
      </c>
      <c r="E21889" s="3">
        <v>8</v>
      </c>
      <c r="F21889" s="3">
        <v>8</v>
      </c>
      <c r="G21889" t="s">
        <v>513</v>
      </c>
    </row>
    <row r="21890" spans="1:7" x14ac:dyDescent="0.25">
      <c r="A21890" s="1" t="str">
        <f>"519401"</f>
        <v>519401</v>
      </c>
      <c r="B21890" s="2" t="str">
        <f>"SENSOR SICK MAGNETICO RANHURA RZT7-03ZUS-KWD 1025380"</f>
        <v>SENSOR SICK MAGNETICO RANHURA RZT7-03ZUS-KWD 1025380</v>
      </c>
      <c r="C21890" s="2" t="str">
        <f t="shared" si="865"/>
        <v>UN</v>
      </c>
      <c r="D21890" s="7">
        <v>811</v>
      </c>
      <c r="E21890" s="3">
        <v>8</v>
      </c>
      <c r="F21890" s="3">
        <v>8</v>
      </c>
      <c r="G21890" t="s">
        <v>514</v>
      </c>
    </row>
    <row r="21891" spans="1:7" x14ac:dyDescent="0.25">
      <c r="A21891" s="1" t="str">
        <f>"515988"</f>
        <v>515988</v>
      </c>
      <c r="B21891" s="2" t="str">
        <f>"SENSOR SICK REFLETIVO VL180-2P42436"</f>
        <v>SENSOR SICK REFLETIVO VL180-2P42436</v>
      </c>
      <c r="C21891" s="2" t="str">
        <f t="shared" si="865"/>
        <v>UN</v>
      </c>
      <c r="D21891" s="7">
        <v>900</v>
      </c>
      <c r="E21891" s="3">
        <v>11</v>
      </c>
      <c r="F21891" s="3">
        <v>11</v>
      </c>
      <c r="G21891" t="s">
        <v>514</v>
      </c>
    </row>
    <row r="21892" spans="1:7" x14ac:dyDescent="0.25">
      <c r="A21892" s="1" t="str">
        <f>"516462"</f>
        <v>516462</v>
      </c>
      <c r="B21892" s="2" t="str">
        <f>"SENSOR SICK REFLETIVO VTF180-2P42412"</f>
        <v>SENSOR SICK REFLETIVO VTF180-2P42412</v>
      </c>
      <c r="C21892" s="2" t="str">
        <f>"PC"</f>
        <v>PC</v>
      </c>
      <c r="D21892" s="7">
        <v>908</v>
      </c>
      <c r="E21892" s="3">
        <v>8</v>
      </c>
      <c r="F21892" s="3">
        <v>8</v>
      </c>
      <c r="G21892" t="s">
        <v>514</v>
      </c>
    </row>
    <row r="21893" spans="1:7" x14ac:dyDescent="0.25">
      <c r="A21893" s="1" t="str">
        <f>"520465"</f>
        <v>520465</v>
      </c>
      <c r="B21893" s="2" t="str">
        <f>"SENSOR SICK VL180-2P42436  6 037 496"</f>
        <v>SENSOR SICK VL180-2P42436  6 037 496</v>
      </c>
      <c r="C21893" s="2" t="str">
        <f>"PC"</f>
        <v>PC</v>
      </c>
      <c r="D21893" s="7">
        <v>908</v>
      </c>
      <c r="E21893" s="3">
        <v>11</v>
      </c>
      <c r="F21893" s="3">
        <v>11</v>
      </c>
      <c r="G21893" t="s">
        <v>513</v>
      </c>
    </row>
    <row r="21894" spans="1:7" x14ac:dyDescent="0.25">
      <c r="A21894" s="1" t="str">
        <f>"520458"</f>
        <v>520458</v>
      </c>
      <c r="B21894" s="2" t="str">
        <f>"SENSOR SICK VTE 180-2P42442 PHOTOELEC. PROXIMITY SW."</f>
        <v>SENSOR SICK VTE 180-2P42442 PHOTOELEC. PROXIMITY SW.</v>
      </c>
      <c r="C21894" s="2" t="str">
        <f>"PC"</f>
        <v>PC</v>
      </c>
      <c r="D21894" s="7">
        <v>908</v>
      </c>
      <c r="E21894" s="3">
        <v>11</v>
      </c>
      <c r="F21894" s="3">
        <v>11</v>
      </c>
      <c r="G21894" t="s">
        <v>512</v>
      </c>
    </row>
    <row r="21895" spans="1:7" x14ac:dyDescent="0.25">
      <c r="A21895" s="1" t="str">
        <f>"526112"</f>
        <v>526112</v>
      </c>
      <c r="B21895" s="2" t="str">
        <f>"SENSOR SICK WL12G-3B2531"</f>
        <v>SENSOR SICK WL12G-3B2531</v>
      </c>
      <c r="C21895" s="2" t="str">
        <f>"UN"</f>
        <v>UN</v>
      </c>
      <c r="D21895" s="7">
        <v>916</v>
      </c>
      <c r="E21895" s="3">
        <v>10</v>
      </c>
      <c r="F21895" s="3">
        <v>10</v>
      </c>
      <c r="G21895" t="s">
        <v>513</v>
      </c>
    </row>
    <row r="21896" spans="1:7" x14ac:dyDescent="0.25">
      <c r="A21896" s="1" t="str">
        <f>"520462"</f>
        <v>520462</v>
      </c>
      <c r="B21896" s="2" t="str">
        <f>"SENSOR SICK WL2SG-2F3235"</f>
        <v>SENSOR SICK WL2SG-2F3235</v>
      </c>
      <c r="C21896" s="2" t="str">
        <f>"PC"</f>
        <v>PC</v>
      </c>
      <c r="D21896" s="7">
        <v>908</v>
      </c>
      <c r="E21896" s="3">
        <v>11</v>
      </c>
      <c r="F21896" s="3">
        <v>11</v>
      </c>
      <c r="G21896" t="s">
        <v>514</v>
      </c>
    </row>
    <row r="21897" spans="1:7" x14ac:dyDescent="0.25">
      <c r="A21897" s="1" t="str">
        <f>"519397"</f>
        <v>519397</v>
      </c>
      <c r="B21897" s="2" t="str">
        <f>"SENSOR SICK WT150-P43011225"</f>
        <v>SENSOR SICK WT150-P43011225</v>
      </c>
      <c r="C21897" s="2" t="str">
        <f>"PC"</f>
        <v>PC</v>
      </c>
      <c r="D21897" s="7">
        <v>908</v>
      </c>
      <c r="E21897" s="3">
        <v>8</v>
      </c>
      <c r="F21897" s="3">
        <v>8</v>
      </c>
      <c r="G21897" t="s">
        <v>514</v>
      </c>
    </row>
    <row r="21898" spans="1:7" x14ac:dyDescent="0.25">
      <c r="A21898" s="1" t="str">
        <f>"516866"</f>
        <v>516866</v>
      </c>
      <c r="B21898" s="2" t="str">
        <f>"SENSOR TELEMECANIQUE XS1 30BLPAM12"</f>
        <v>SENSOR TELEMECANIQUE XS1 30BLPAM12</v>
      </c>
      <c r="C21898" s="2" t="str">
        <f>"UN"</f>
        <v>UN</v>
      </c>
      <c r="D21898" s="7">
        <v>900</v>
      </c>
      <c r="E21898" s="3">
        <v>11</v>
      </c>
      <c r="F21898" s="3">
        <v>11</v>
      </c>
      <c r="G21898" t="s">
        <v>514</v>
      </c>
    </row>
    <row r="21899" spans="1:7" x14ac:dyDescent="0.25">
      <c r="A21899" s="1" t="str">
        <f>"526020"</f>
        <v>526020</v>
      </c>
      <c r="B21899" s="2" t="str">
        <f>"SENSOR TELEMECANIQUE XS4P18KP340D"</f>
        <v>SENSOR TELEMECANIQUE XS4P18KP340D</v>
      </c>
      <c r="C21899" s="2" t="str">
        <f>"PC"</f>
        <v>PC</v>
      </c>
      <c r="D21899" s="7">
        <v>908</v>
      </c>
      <c r="E21899" s="3">
        <v>11</v>
      </c>
      <c r="F21899" s="3">
        <v>11</v>
      </c>
      <c r="G21899" t="s">
        <v>513</v>
      </c>
    </row>
    <row r="21900" spans="1:7" x14ac:dyDescent="0.25">
      <c r="A21900" s="1" t="str">
        <f>"517802"</f>
        <v>517802</v>
      </c>
      <c r="B21900" s="2" t="str">
        <f>"SENSOR TELEMECANIQUE XS530B1PAM12"</f>
        <v>SENSOR TELEMECANIQUE XS530B1PAM12</v>
      </c>
      <c r="C21900" s="2" t="str">
        <f>"PC"</f>
        <v>PC</v>
      </c>
      <c r="D21900" s="7">
        <v>908</v>
      </c>
      <c r="E21900" s="3">
        <v>11</v>
      </c>
      <c r="F21900" s="3">
        <v>11</v>
      </c>
      <c r="G21900" t="s">
        <v>513</v>
      </c>
    </row>
    <row r="21901" spans="1:7" x14ac:dyDescent="0.25">
      <c r="A21901" s="1" t="str">
        <f>"511999"</f>
        <v>511999</v>
      </c>
      <c r="B21901" s="2" t="str">
        <f>"SENSOR TELEMECANIQUE XUB0APSNM12 PNP"</f>
        <v>SENSOR TELEMECANIQUE XUB0APSNM12 PNP</v>
      </c>
      <c r="C21901" s="2" t="str">
        <f>"PC"</f>
        <v>PC</v>
      </c>
      <c r="D21901" s="7">
        <v>908</v>
      </c>
      <c r="E21901" s="3">
        <v>11</v>
      </c>
      <c r="F21901" s="3">
        <v>11</v>
      </c>
      <c r="G21901" t="s">
        <v>513</v>
      </c>
    </row>
    <row r="21902" spans="1:7" x14ac:dyDescent="0.25">
      <c r="A21902" s="1" t="str">
        <f>"518701"</f>
        <v>518701</v>
      </c>
      <c r="B21902" s="2" t="str">
        <f>"SENSOR TEMP. AMBIENTE 1089057412"</f>
        <v>SENSOR TEMP. AMBIENTE 1089057412</v>
      </c>
      <c r="C21902" s="2" t="str">
        <f>"UN"</f>
        <v>UN</v>
      </c>
      <c r="D21902" s="7">
        <v>811</v>
      </c>
      <c r="E21902" s="3">
        <v>8</v>
      </c>
      <c r="F21902" s="3">
        <v>8</v>
      </c>
      <c r="G21902" t="s">
        <v>512</v>
      </c>
    </row>
    <row r="21903" spans="1:7" x14ac:dyDescent="0.25">
      <c r="A21903" s="1" t="str">
        <f>"511076"</f>
        <v>511076</v>
      </c>
      <c r="B21903" s="2" t="str">
        <f>"SENSOR TEMPERATURA"</f>
        <v>SENSOR TEMPERATURA</v>
      </c>
      <c r="C21903" s="2" t="str">
        <f>"UN"</f>
        <v>UN</v>
      </c>
      <c r="D21903" s="7">
        <v>704</v>
      </c>
      <c r="E21903" s="3">
        <v>9</v>
      </c>
      <c r="F21903" s="3">
        <v>9</v>
      </c>
      <c r="G21903" t="s">
        <v>513</v>
      </c>
    </row>
    <row r="21904" spans="1:7" x14ac:dyDescent="0.25">
      <c r="A21904" s="1" t="str">
        <f>"509527"</f>
        <v>509527</v>
      </c>
      <c r="B21904" s="2" t="str">
        <f>"SENSOR TEMPERATURA 1.2M 027-189"</f>
        <v>SENSOR TEMPERATURA 1.2M 027-189</v>
      </c>
      <c r="C21904" s="2" t="str">
        <f>"PC"</f>
        <v>PC</v>
      </c>
      <c r="D21904" s="7">
        <v>908</v>
      </c>
      <c r="E21904" s="3">
        <v>11</v>
      </c>
      <c r="F21904" s="3">
        <v>11</v>
      </c>
      <c r="G21904" t="s">
        <v>514</v>
      </c>
    </row>
    <row r="21905" spans="1:7" x14ac:dyDescent="0.25">
      <c r="A21905" s="1" t="str">
        <f>"519803"</f>
        <v>519803</v>
      </c>
      <c r="B21905" s="2" t="str">
        <f>"SENSOR TEMPERATURA 1089057470"</f>
        <v>SENSOR TEMPERATURA 1089057470</v>
      </c>
      <c r="C21905" s="2" t="str">
        <f>"UN"</f>
        <v>UN</v>
      </c>
      <c r="D21905" s="7">
        <v>811</v>
      </c>
      <c r="E21905" s="3">
        <v>8</v>
      </c>
      <c r="F21905" s="3">
        <v>8</v>
      </c>
      <c r="G21905" t="s">
        <v>515</v>
      </c>
    </row>
    <row r="21906" spans="1:7" x14ac:dyDescent="0.25">
      <c r="A21906" s="1" t="str">
        <f>"510390"</f>
        <v>510390</v>
      </c>
      <c r="B21906" s="2" t="str">
        <f>"SENSOR TEMPERATURA FULLGAUGE"</f>
        <v>SENSOR TEMPERATURA FULLGAUGE</v>
      </c>
      <c r="C21906" s="2" t="str">
        <f>"UN"</f>
        <v>UN</v>
      </c>
      <c r="D21906" s="7">
        <v>600</v>
      </c>
      <c r="E21906" s="3">
        <v>8</v>
      </c>
      <c r="F21906" s="3">
        <v>8</v>
      </c>
      <c r="G21906" t="s">
        <v>512</v>
      </c>
    </row>
    <row r="21907" spans="1:7" x14ac:dyDescent="0.25">
      <c r="A21907" s="1" t="str">
        <f>"505904"</f>
        <v>505904</v>
      </c>
      <c r="B21907" s="2" t="str">
        <f>"SENSOR TEMPERATURA MOTOR"</f>
        <v>SENSOR TEMPERATURA MOTOR</v>
      </c>
      <c r="C21907" s="2" t="str">
        <f>"UN"</f>
        <v>UN</v>
      </c>
      <c r="D21907" s="7">
        <v>704</v>
      </c>
      <c r="E21907" s="3">
        <v>9</v>
      </c>
      <c r="F21907" s="3">
        <v>9</v>
      </c>
      <c r="G21907" t="s">
        <v>516</v>
      </c>
    </row>
    <row r="21908" spans="1:7" x14ac:dyDescent="0.25">
      <c r="A21908" s="1" t="str">
        <f>"518706"</f>
        <v>518706</v>
      </c>
      <c r="B21908" s="2" t="str">
        <f>"SENSOR TEMPERATURA PT-100 1089057470"</f>
        <v>SENSOR TEMPERATURA PT-100 1089057470</v>
      </c>
      <c r="C21908" s="2" t="str">
        <f>"UN"</f>
        <v>UN</v>
      </c>
      <c r="D21908" s="7">
        <v>811</v>
      </c>
      <c r="E21908" s="3">
        <v>8</v>
      </c>
      <c r="F21908" s="3">
        <v>8</v>
      </c>
      <c r="G21908" t="s">
        <v>515</v>
      </c>
    </row>
    <row r="21909" spans="1:7" x14ac:dyDescent="0.25">
      <c r="A21909" s="1" t="str">
        <f>"517764"</f>
        <v>517764</v>
      </c>
      <c r="B21909" s="2" t="str">
        <f>"SENSOR TEMPERATURA SB19 NTC"</f>
        <v>SENSOR TEMPERATURA SB19 NTC</v>
      </c>
      <c r="C21909" s="2" t="str">
        <f>"UN"</f>
        <v>UN</v>
      </c>
      <c r="D21909" s="7">
        <v>811</v>
      </c>
      <c r="E21909" s="3">
        <v>8</v>
      </c>
      <c r="F21909" s="3">
        <v>8</v>
      </c>
      <c r="G21909" t="s">
        <v>514</v>
      </c>
    </row>
    <row r="21910" spans="1:7" x14ac:dyDescent="0.25">
      <c r="A21910" s="1" t="str">
        <f>"527107"</f>
        <v>527107</v>
      </c>
      <c r="B21910" s="8" t="s">
        <v>488</v>
      </c>
      <c r="C21910" s="2" t="str">
        <f>"PC"</f>
        <v>PC</v>
      </c>
      <c r="D21910" s="7">
        <v>600</v>
      </c>
      <c r="E21910" s="3">
        <v>8</v>
      </c>
      <c r="F21910" s="3">
        <v>8</v>
      </c>
      <c r="G21910" t="s">
        <v>512</v>
      </c>
    </row>
    <row r="21911" spans="1:7" x14ac:dyDescent="0.25">
      <c r="A21911" s="1" t="str">
        <f>"526855"</f>
        <v>526855</v>
      </c>
      <c r="B21911" s="2" t="str">
        <f>"SENSOR WTT12LC-B2563"</f>
        <v>SENSOR WTT12LC-B2563</v>
      </c>
      <c r="C21911" s="2" t="str">
        <f>"UN"</f>
        <v>UN</v>
      </c>
      <c r="D21911" s="7">
        <v>918</v>
      </c>
      <c r="E21911" s="3">
        <v>10</v>
      </c>
      <c r="F21911" s="3">
        <v>10</v>
      </c>
      <c r="G21911" t="s">
        <v>513</v>
      </c>
    </row>
    <row r="21912" spans="1:7" x14ac:dyDescent="0.25">
      <c r="A21912" s="1" t="str">
        <f>"517479"</f>
        <v>517479</v>
      </c>
      <c r="B21912" s="2" t="str">
        <f>"SEP OLEO 7/8 EMERSON A-W55877HERMETICO S"</f>
        <v>SEP OLEO 7/8 EMERSON A-W55877HERMETICO S</v>
      </c>
      <c r="C21912" s="2" t="str">
        <f>"UN"</f>
        <v>UN</v>
      </c>
      <c r="D21912" s="7">
        <v>918</v>
      </c>
      <c r="E21912" s="3">
        <v>10</v>
      </c>
      <c r="F21912" s="3">
        <v>10</v>
      </c>
      <c r="G21912" t="s">
        <v>514</v>
      </c>
    </row>
    <row r="21913" spans="1:7" x14ac:dyDescent="0.25">
      <c r="A21913" s="1" t="str">
        <f>"512343"</f>
        <v>512343</v>
      </c>
      <c r="B21913" s="2" t="str">
        <f>"SEP. CENTR. REDA RE100TE AUTOM. AUTO LIM"</f>
        <v>SEP. CENTR. REDA RE100TE AUTOM. AUTO LIM</v>
      </c>
      <c r="C21913" s="2" t="str">
        <f>"UN"</f>
        <v>UN</v>
      </c>
      <c r="D21913" s="7">
        <v>1300</v>
      </c>
      <c r="E21913" s="3">
        <v>13</v>
      </c>
      <c r="F21913" s="3">
        <v>13</v>
      </c>
      <c r="G21913" t="s">
        <v>514</v>
      </c>
    </row>
    <row r="21914" spans="1:7" x14ac:dyDescent="0.25">
      <c r="A21914" s="1" t="str">
        <f>"517478"</f>
        <v>517478</v>
      </c>
      <c r="B21914" s="2" t="str">
        <f>"SEP. LIQUIDO 1 1/8S ADS SAIDA VERT"</f>
        <v>SEP. LIQUIDO 1 1/8S ADS SAIDA VERT</v>
      </c>
      <c r="C21914" s="2" t="str">
        <f>"UN"</f>
        <v>UN</v>
      </c>
      <c r="D21914" s="7">
        <v>918</v>
      </c>
      <c r="E21914" s="3">
        <v>10</v>
      </c>
      <c r="F21914" s="3">
        <v>10</v>
      </c>
      <c r="G21914" t="s">
        <v>512</v>
      </c>
    </row>
    <row r="21915" spans="1:7" x14ac:dyDescent="0.25">
      <c r="A21915" s="1" t="str">
        <f>"519251"</f>
        <v>519251</v>
      </c>
      <c r="B21915" s="2" t="str">
        <f>"SEPARADOR 3/4 EM AÇO INOX"</f>
        <v>SEPARADOR 3/4 EM AÇO INOX</v>
      </c>
      <c r="C21915" s="2" t="str">
        <f>"UN"</f>
        <v>UN</v>
      </c>
      <c r="D21915" s="7">
        <v>918</v>
      </c>
      <c r="E21915" s="3">
        <v>11</v>
      </c>
      <c r="F21915" s="3">
        <v>11</v>
      </c>
      <c r="G21915" t="s">
        <v>513</v>
      </c>
    </row>
    <row r="21916" spans="1:7" x14ac:dyDescent="0.25">
      <c r="A21916" s="1" t="str">
        <f>"511061"</f>
        <v>511061</v>
      </c>
      <c r="B21916" s="2" t="str">
        <f>"SEPARADOR AR/OLEO GA 507 PP"</f>
        <v>SEPARADOR AR/OLEO GA 507 PP</v>
      </c>
      <c r="C21916" s="2" t="str">
        <f>"PC"</f>
        <v>PC</v>
      </c>
      <c r="D21916" s="7">
        <v>902</v>
      </c>
      <c r="E21916" s="3">
        <v>11</v>
      </c>
      <c r="F21916" s="3">
        <v>11</v>
      </c>
      <c r="G21916" t="s">
        <v>514</v>
      </c>
    </row>
    <row r="21917" spans="1:7" x14ac:dyDescent="0.25">
      <c r="A21917" s="1" t="str">
        <f>"517986"</f>
        <v>517986</v>
      </c>
      <c r="B21917" s="2" t="str">
        <f>"SEPARADOR CONDE MS6-LWS-1 2-U-V 564870"</f>
        <v>SEPARADOR CONDE MS6-LWS-1 2-U-V 564870</v>
      </c>
      <c r="C21917" s="2" t="str">
        <f>"UN"</f>
        <v>UN</v>
      </c>
      <c r="D21917" s="7">
        <v>913</v>
      </c>
      <c r="E21917" s="3">
        <v>10</v>
      </c>
      <c r="F21917" s="3">
        <v>10</v>
      </c>
      <c r="G21917" t="s">
        <v>514</v>
      </c>
    </row>
    <row r="21918" spans="1:7" x14ac:dyDescent="0.25">
      <c r="A21918" s="1" t="str">
        <f>"528085"</f>
        <v>528085</v>
      </c>
      <c r="B21918" s="2" t="str">
        <f>"SEPARADOR CONDENSADO 500L DI 475 12,50MM"</f>
        <v>SEPARADOR CONDENSADO 500L DI 475 12,50MM</v>
      </c>
      <c r="C21918" s="2" t="str">
        <f>"UN"</f>
        <v>UN</v>
      </c>
      <c r="D21918" s="7">
        <v>99999</v>
      </c>
      <c r="E21918" s="3">
        <v>13</v>
      </c>
      <c r="F21918" s="3">
        <v>13</v>
      </c>
      <c r="G21918" t="s">
        <v>514</v>
      </c>
    </row>
    <row r="21919" spans="1:7" x14ac:dyDescent="0.25">
      <c r="A21919" s="1" t="str">
        <f>"520914"</f>
        <v>520914</v>
      </c>
      <c r="B21919" s="2" t="str">
        <f>"SEPARADOR DE LIQUIDO MOD. NSLH1020"</f>
        <v>SEPARADOR DE LIQUIDO MOD. NSLH1020</v>
      </c>
      <c r="C21919" s="2" t="str">
        <f>"UN"</f>
        <v>UN</v>
      </c>
      <c r="D21919" s="7">
        <v>1002</v>
      </c>
      <c r="E21919" s="3">
        <v>10</v>
      </c>
      <c r="F21919" s="3">
        <v>10</v>
      </c>
      <c r="G21919" t="s">
        <v>513</v>
      </c>
    </row>
    <row r="21920" spans="1:7" x14ac:dyDescent="0.25">
      <c r="A21920" s="1" t="str">
        <f>"510567"</f>
        <v>510567</v>
      </c>
      <c r="B21920" s="2" t="str">
        <f>"SEPARADOR DE LIQUIDO YSLV-5025"</f>
        <v>SEPARADOR DE LIQUIDO YSLV-5025</v>
      </c>
      <c r="C21920" s="2" t="str">
        <f>"UN"</f>
        <v>UN</v>
      </c>
      <c r="D21920" s="7">
        <v>1300</v>
      </c>
      <c r="E21920" s="3">
        <v>13</v>
      </c>
      <c r="F21920" s="3">
        <v>13</v>
      </c>
      <c r="G21920" t="s">
        <v>512</v>
      </c>
    </row>
    <row r="21921" spans="1:7" x14ac:dyDescent="0.25">
      <c r="A21921" s="1" t="str">
        <f>"520209"</f>
        <v>520209</v>
      </c>
      <c r="B21921" s="2" t="str">
        <f>"SEPARADOR DE OLEO 1622365600 - COMPRESSOR GA-90"</f>
        <v>SEPARADOR DE OLEO 1622365600 - COMPRESSOR GA-90</v>
      </c>
      <c r="C21921" s="2" t="str">
        <f>"PC"</f>
        <v>PC</v>
      </c>
      <c r="D21921" s="7">
        <v>902</v>
      </c>
      <c r="E21921" s="3">
        <v>11</v>
      </c>
      <c r="F21921" s="3">
        <v>11</v>
      </c>
      <c r="G21921" t="s">
        <v>513</v>
      </c>
    </row>
    <row r="21922" spans="1:7" x14ac:dyDescent="0.25">
      <c r="A21922" s="1" t="str">
        <f>"507800"</f>
        <v>507800</v>
      </c>
      <c r="B21922" s="2" t="str">
        <f>"SEPARADOR DE OLEO P/ MK1/2/3"</f>
        <v>SEPARADOR DE OLEO P/ MK1/2/3</v>
      </c>
      <c r="C21922" s="2" t="str">
        <f>"PC"</f>
        <v>PC</v>
      </c>
      <c r="D21922" s="7">
        <v>902</v>
      </c>
      <c r="E21922" s="3">
        <v>11</v>
      </c>
      <c r="F21922" s="3">
        <v>11</v>
      </c>
      <c r="G21922" t="s">
        <v>514</v>
      </c>
    </row>
    <row r="21923" spans="1:7" x14ac:dyDescent="0.25">
      <c r="A21923" s="1" t="str">
        <f>"518787"</f>
        <v>518787</v>
      </c>
      <c r="B21923" s="2" t="str">
        <f>"SEPARADOR DE REJEITE AMARELO 160GR"</f>
        <v>SEPARADOR DE REJEITE AMARELO 160GR</v>
      </c>
      <c r="C21923" s="2" t="str">
        <f>"UN"</f>
        <v>UN</v>
      </c>
      <c r="D21923" s="7">
        <v>918</v>
      </c>
      <c r="E21923" s="3">
        <v>11</v>
      </c>
      <c r="F21923" s="3">
        <v>11</v>
      </c>
      <c r="G21923" t="s">
        <v>514</v>
      </c>
    </row>
    <row r="21924" spans="1:7" x14ac:dyDescent="0.25">
      <c r="A21924" s="1" t="str">
        <f>"518774"</f>
        <v>518774</v>
      </c>
      <c r="B21924" s="2" t="str">
        <f>"SEPARADOR DE REJEITE AZUL 180GR"</f>
        <v>SEPARADOR DE REJEITE AZUL 180GR</v>
      </c>
      <c r="C21924" s="2" t="str">
        <f>"UN"</f>
        <v>UN</v>
      </c>
      <c r="D21924" s="7">
        <v>918</v>
      </c>
      <c r="E21924" s="3">
        <v>11</v>
      </c>
      <c r="F21924" s="3">
        <v>11</v>
      </c>
      <c r="G21924" t="s">
        <v>514</v>
      </c>
    </row>
    <row r="21925" spans="1:7" x14ac:dyDescent="0.25">
      <c r="A21925" s="1" t="str">
        <f>"518302"</f>
        <v>518302</v>
      </c>
      <c r="B21925" s="2" t="str">
        <f>"SEPARADOR FEIXE C/ FEIXE"</f>
        <v>SEPARADOR FEIXE C/ FEIXE</v>
      </c>
      <c r="C21925" s="2" t="str">
        <f>"UN"</f>
        <v>UN</v>
      </c>
      <c r="D21925" s="7">
        <v>704</v>
      </c>
      <c r="E21925" s="3">
        <v>9</v>
      </c>
      <c r="F21925" s="3">
        <v>9</v>
      </c>
      <c r="G21925" t="s">
        <v>513</v>
      </c>
    </row>
    <row r="21926" spans="1:7" x14ac:dyDescent="0.25">
      <c r="A21926" s="1" t="str">
        <f>"517003"</f>
        <v>517003</v>
      </c>
      <c r="B21926" s="2" t="str">
        <f>"SEPARADOR LIQUIDO NSL V9025"</f>
        <v>SEPARADOR LIQUIDO NSL V9025</v>
      </c>
      <c r="C21926" s="2" t="str">
        <f>"UN"</f>
        <v>UN</v>
      </c>
      <c r="D21926" s="7">
        <v>915</v>
      </c>
      <c r="E21926" s="3">
        <v>10</v>
      </c>
      <c r="F21926" s="3">
        <v>10</v>
      </c>
      <c r="G21926" t="s">
        <v>513</v>
      </c>
    </row>
    <row r="21927" spans="1:7" x14ac:dyDescent="0.25">
      <c r="A21927" s="1" t="str">
        <f>"526089"</f>
        <v>526089</v>
      </c>
      <c r="B21927" s="2" t="str">
        <f>"SEPARADOR MOLA"</f>
        <v>SEPARADOR MOLA</v>
      </c>
      <c r="C21927" s="2" t="str">
        <f>"UN"</f>
        <v>UN</v>
      </c>
      <c r="D21927" s="7">
        <v>704</v>
      </c>
      <c r="E21927" s="3">
        <v>9</v>
      </c>
      <c r="F21927" s="3">
        <v>9</v>
      </c>
      <c r="G21927" t="s">
        <v>513</v>
      </c>
    </row>
    <row r="21928" spans="1:7" x14ac:dyDescent="0.25">
      <c r="A21928" s="1" t="str">
        <f>"504450"</f>
        <v>504450</v>
      </c>
      <c r="B21928" s="2" t="str">
        <f>"SEPARADOR OLEO COD.2200 6411-41 30HP"</f>
        <v>SEPARADOR OLEO COD.2200 6411-41 30HP</v>
      </c>
      <c r="C21928" s="2" t="str">
        <f>"PC"</f>
        <v>PC</v>
      </c>
      <c r="D21928" s="7">
        <v>902</v>
      </c>
      <c r="E21928" s="3">
        <v>11</v>
      </c>
      <c r="F21928" s="3">
        <v>11</v>
      </c>
      <c r="G21928" t="s">
        <v>512</v>
      </c>
    </row>
    <row r="21929" spans="1:7" x14ac:dyDescent="0.25">
      <c r="A21929" s="1" t="str">
        <f>"501490"</f>
        <v>501490</v>
      </c>
      <c r="B21929" s="2" t="str">
        <f>"SEPARADOR OLEO S15 CHICAGO COD2901056600"</f>
        <v>SEPARADOR OLEO S15 CHICAGO COD2901056600</v>
      </c>
      <c r="C21929" s="2" t="str">
        <f>"PC"</f>
        <v>PC</v>
      </c>
      <c r="D21929" s="7">
        <v>902</v>
      </c>
      <c r="E21929" s="3">
        <v>11</v>
      </c>
      <c r="F21929" s="3">
        <v>11</v>
      </c>
      <c r="G21929" t="s">
        <v>513</v>
      </c>
    </row>
    <row r="21930" spans="1:7" x14ac:dyDescent="0.25">
      <c r="A21930" s="1" t="str">
        <f>"503653"</f>
        <v>503653</v>
      </c>
      <c r="B21930" s="2" t="str">
        <f>"SEPARADOR OLEO SSR50HP 54595442 INGERSOLL"</f>
        <v>SEPARADOR OLEO SSR50HP 54595442 INGERSOLL</v>
      </c>
      <c r="C21930" s="2" t="str">
        <f>"PC"</f>
        <v>PC</v>
      </c>
      <c r="D21930" s="7">
        <v>902</v>
      </c>
      <c r="E21930" s="3">
        <v>11</v>
      </c>
      <c r="F21930" s="3">
        <v>11</v>
      </c>
      <c r="G21930" t="s">
        <v>514</v>
      </c>
    </row>
    <row r="21931" spans="1:7" x14ac:dyDescent="0.25">
      <c r="A21931" s="1" t="str">
        <f>"519149"</f>
        <v>519149</v>
      </c>
      <c r="B21931" s="2" t="str">
        <f>"SEPARADOR RODA ARO 20 PNEU SEM CAMARA"</f>
        <v>SEPARADOR RODA ARO 20 PNEU SEM CAMARA</v>
      </c>
      <c r="C21931" s="2" t="str">
        <f t="shared" ref="C21931:C21962" si="866">"UN"</f>
        <v>UN</v>
      </c>
      <c r="D21931" s="7">
        <v>704</v>
      </c>
      <c r="E21931" s="3">
        <v>9</v>
      </c>
      <c r="F21931" s="3">
        <v>9</v>
      </c>
      <c r="G21931" t="s">
        <v>515</v>
      </c>
    </row>
    <row r="21932" spans="1:7" x14ac:dyDescent="0.25">
      <c r="A21932" s="1" t="str">
        <f>"522787"</f>
        <v>522787</v>
      </c>
      <c r="B21932" s="8" t="s">
        <v>333</v>
      </c>
      <c r="C21932" s="2" t="str">
        <f t="shared" si="866"/>
        <v>UN</v>
      </c>
      <c r="D21932" s="7">
        <v>1400</v>
      </c>
      <c r="E21932" s="3">
        <v>11</v>
      </c>
      <c r="F21932" s="3">
        <v>11</v>
      </c>
      <c r="G21932" t="s">
        <v>512</v>
      </c>
    </row>
    <row r="21933" spans="1:7" x14ac:dyDescent="0.25">
      <c r="A21933" s="1" t="str">
        <f>"513821"</f>
        <v>513821</v>
      </c>
      <c r="B21933" s="2" t="str">
        <f>"SEPARADORA CENTRIFUGA RE100"</f>
        <v>SEPARADORA CENTRIFUGA RE100</v>
      </c>
      <c r="C21933" s="2" t="str">
        <f t="shared" si="866"/>
        <v>UN</v>
      </c>
      <c r="D21933" s="7">
        <v>1300</v>
      </c>
      <c r="E21933" s="3">
        <v>13</v>
      </c>
      <c r="F21933" s="3">
        <v>13</v>
      </c>
      <c r="G21933" t="s">
        <v>516</v>
      </c>
    </row>
    <row r="21934" spans="1:7" x14ac:dyDescent="0.25">
      <c r="A21934" s="1" t="str">
        <f>"507013"</f>
        <v>507013</v>
      </c>
      <c r="B21934" s="2" t="str">
        <f>"SEPARADORA CENTRIFUGA REDA RE 100 TE AUTO LIMPANTE"</f>
        <v>SEPARADORA CENTRIFUGA REDA RE 100 TE AUTO LIMPANTE</v>
      </c>
      <c r="C21934" s="2" t="str">
        <f t="shared" si="866"/>
        <v>UN</v>
      </c>
      <c r="D21934" s="7">
        <v>1500</v>
      </c>
      <c r="E21934" s="3">
        <v>13</v>
      </c>
      <c r="F21934" s="3">
        <v>13</v>
      </c>
      <c r="G21934" t="s">
        <v>515</v>
      </c>
    </row>
    <row r="21935" spans="1:7" x14ac:dyDescent="0.25">
      <c r="A21935" s="1" t="str">
        <f>"514478"</f>
        <v>514478</v>
      </c>
      <c r="B21935" s="2" t="str">
        <f>"SERINGA"</f>
        <v>SERINGA</v>
      </c>
      <c r="C21935" s="2" t="str">
        <f t="shared" si="866"/>
        <v>UN</v>
      </c>
      <c r="D21935" s="7">
        <v>406</v>
      </c>
      <c r="E21935" s="3">
        <v>4</v>
      </c>
      <c r="F21935" s="3">
        <v>4</v>
      </c>
      <c r="G21935" t="s">
        <v>514</v>
      </c>
    </row>
    <row r="21936" spans="1:7" x14ac:dyDescent="0.25">
      <c r="A21936" s="1" t="str">
        <f>"521672"</f>
        <v>521672</v>
      </c>
      <c r="B21936" s="2" t="str">
        <f>"SERINGA 500ML EXTRAIR/COLOCAR OLEO MAC LUB"</f>
        <v>SERINGA 500ML EXTRAIR/COLOCAR OLEO MAC LUB</v>
      </c>
      <c r="C21936" s="2" t="str">
        <f t="shared" si="866"/>
        <v>UN</v>
      </c>
      <c r="D21936" s="7">
        <v>99999</v>
      </c>
      <c r="E21936" s="3">
        <v>99</v>
      </c>
      <c r="F21936" s="3">
        <v>99</v>
      </c>
      <c r="G21936" t="s">
        <v>512</v>
      </c>
    </row>
    <row r="21937" spans="1:7" x14ac:dyDescent="0.25">
      <c r="A21937" s="1" t="str">
        <f>"521739"</f>
        <v>521739</v>
      </c>
      <c r="B21937" s="2" t="str">
        <f>"SERINGA DE INOX PARA CREME 10ML CALIBRADA"</f>
        <v>SERINGA DE INOX PARA CREME 10ML CALIBRADA</v>
      </c>
      <c r="C21937" s="2" t="str">
        <f t="shared" si="866"/>
        <v>UN</v>
      </c>
      <c r="D21937" s="7">
        <v>99999</v>
      </c>
      <c r="E21937" s="3">
        <v>99</v>
      </c>
      <c r="F21937" s="3">
        <v>99</v>
      </c>
      <c r="G21937" t="s">
        <v>513</v>
      </c>
    </row>
    <row r="21938" spans="1:7" x14ac:dyDescent="0.25">
      <c r="A21938" s="1" t="str">
        <f>"502825"</f>
        <v>502825</v>
      </c>
      <c r="B21938" s="2" t="str">
        <f>"SERPENTINA"</f>
        <v>SERPENTINA</v>
      </c>
      <c r="C21938" s="2" t="str">
        <f t="shared" si="866"/>
        <v>UN</v>
      </c>
      <c r="D21938" s="7">
        <v>704</v>
      </c>
      <c r="E21938" s="3">
        <v>9</v>
      </c>
      <c r="F21938" s="3">
        <v>9</v>
      </c>
      <c r="G21938" t="s">
        <v>514</v>
      </c>
    </row>
    <row r="21939" spans="1:7" x14ac:dyDescent="0.25">
      <c r="A21939" s="1" t="str">
        <f>"510799"</f>
        <v>510799</v>
      </c>
      <c r="B21939" s="2" t="str">
        <f>"SERPENTINA P/ GELO 1 1/4""X3,5X2,4X2,0"</f>
        <v>SERPENTINA P/ GELO 1 1/4"X3,5X2,4X2,0</v>
      </c>
      <c r="C21939" s="2" t="str">
        <f t="shared" si="866"/>
        <v>UN</v>
      </c>
      <c r="D21939" s="7">
        <v>916</v>
      </c>
      <c r="E21939" s="3">
        <v>11</v>
      </c>
      <c r="F21939" s="3">
        <v>11</v>
      </c>
      <c r="G21939" t="s">
        <v>514</v>
      </c>
    </row>
    <row r="21940" spans="1:7" x14ac:dyDescent="0.25">
      <c r="A21940" s="1" t="str">
        <f>"510798"</f>
        <v>510798</v>
      </c>
      <c r="B21940" s="2" t="str">
        <f>"SERPENTINA P/ GELO 1 1/4""X5,5X2,2X2,0"</f>
        <v>SERPENTINA P/ GELO 1 1/4"X5,5X2,2X2,0</v>
      </c>
      <c r="C21940" s="2" t="str">
        <f t="shared" si="866"/>
        <v>UN</v>
      </c>
      <c r="D21940" s="7">
        <v>916</v>
      </c>
      <c r="E21940" s="3">
        <v>11</v>
      </c>
      <c r="F21940" s="3">
        <v>11</v>
      </c>
      <c r="G21940" t="s">
        <v>512</v>
      </c>
    </row>
    <row r="21941" spans="1:7" x14ac:dyDescent="0.25">
      <c r="A21941" s="1" t="str">
        <f>"519135"</f>
        <v>519135</v>
      </c>
      <c r="B21941" s="2" t="str">
        <f>"SERRA CIRCULAR 4 3/8"" DISMA"</f>
        <v>SERRA CIRCULAR 4 3/8" DISMA</v>
      </c>
      <c r="C21941" s="2" t="str">
        <f t="shared" si="866"/>
        <v>UN</v>
      </c>
      <c r="D21941" s="7">
        <v>600</v>
      </c>
      <c r="E21941" s="3">
        <v>13</v>
      </c>
      <c r="F21941" s="3">
        <v>13</v>
      </c>
      <c r="G21941" t="s">
        <v>513</v>
      </c>
    </row>
    <row r="21942" spans="1:7" x14ac:dyDescent="0.25">
      <c r="A21942" s="1" t="str">
        <f>"519001"</f>
        <v>519001</v>
      </c>
      <c r="B21942" s="2" t="str">
        <f>"SERRA CIRCULAR 7 1/4"" DISMA"</f>
        <v>SERRA CIRCULAR 7 1/4" DISMA</v>
      </c>
      <c r="C21942" s="2" t="str">
        <f t="shared" si="866"/>
        <v>UN</v>
      </c>
      <c r="D21942" s="7">
        <v>600</v>
      </c>
      <c r="E21942" s="3">
        <v>13</v>
      </c>
      <c r="F21942" s="3">
        <v>13</v>
      </c>
      <c r="G21942" t="s">
        <v>514</v>
      </c>
    </row>
    <row r="21943" spans="1:7" x14ac:dyDescent="0.25">
      <c r="A21943" s="1" t="str">
        <f>"515332"</f>
        <v>515332</v>
      </c>
      <c r="B21943" s="2" t="str">
        <f>"SERRA CIRCULAR C/ MOTOR ELETRICO 05HP"</f>
        <v>SERRA CIRCULAR C/ MOTOR ELETRICO 05HP</v>
      </c>
      <c r="C21943" s="2" t="str">
        <f t="shared" si="866"/>
        <v>UN</v>
      </c>
      <c r="D21943" s="7">
        <v>600</v>
      </c>
      <c r="E21943" s="3">
        <v>13</v>
      </c>
      <c r="F21943" s="3">
        <v>13</v>
      </c>
      <c r="G21943" t="s">
        <v>514</v>
      </c>
    </row>
    <row r="21944" spans="1:7" x14ac:dyDescent="0.25">
      <c r="A21944" s="1" t="str">
        <f>"516001"</f>
        <v>516001</v>
      </c>
      <c r="B21944" s="2" t="str">
        <f>"SERRA CIRCULAR GKS 7 1/4"" 220V - BOSCH"</f>
        <v>SERRA CIRCULAR GKS 7 1/4" 220V - BOSCH</v>
      </c>
      <c r="C21944" s="2" t="str">
        <f t="shared" si="866"/>
        <v>UN</v>
      </c>
      <c r="D21944" s="7">
        <v>99999</v>
      </c>
      <c r="E21944" s="3">
        <v>99</v>
      </c>
      <c r="F21944" s="3">
        <v>99</v>
      </c>
      <c r="G21944" t="s">
        <v>514</v>
      </c>
    </row>
    <row r="21945" spans="1:7" x14ac:dyDescent="0.25">
      <c r="A21945" s="1" t="str">
        <f>"517253"</f>
        <v>517253</v>
      </c>
      <c r="B21945" s="2" t="str">
        <f>"SERRA CIRCULAR LIXADEIRA BOSCH GWS7"</f>
        <v>SERRA CIRCULAR LIXADEIRA BOSCH GWS7</v>
      </c>
      <c r="C21945" s="2" t="str">
        <f t="shared" si="866"/>
        <v>UN</v>
      </c>
      <c r="D21945" s="7">
        <v>918</v>
      </c>
      <c r="E21945" s="3">
        <v>4</v>
      </c>
      <c r="F21945" s="3">
        <v>4</v>
      </c>
      <c r="G21945" t="s">
        <v>513</v>
      </c>
    </row>
    <row r="21946" spans="1:7" x14ac:dyDescent="0.25">
      <c r="A21946" s="1" t="str">
        <f>"518120"</f>
        <v>518120</v>
      </c>
      <c r="B21946" s="2" t="str">
        <f>"SERRA COPO 1 1/16"""</f>
        <v>SERRA COPO 1 1/16"</v>
      </c>
      <c r="C21946" s="2" t="str">
        <f t="shared" si="866"/>
        <v>UN</v>
      </c>
      <c r="D21946" s="7">
        <v>402</v>
      </c>
      <c r="E21946" s="3">
        <v>4</v>
      </c>
      <c r="F21946" s="3">
        <v>4</v>
      </c>
      <c r="G21946" t="s">
        <v>512</v>
      </c>
    </row>
    <row r="21947" spans="1:7" x14ac:dyDescent="0.25">
      <c r="A21947" s="1" t="str">
        <f>"507769"</f>
        <v>507769</v>
      </c>
      <c r="B21947" s="2" t="str">
        <f>"SERRA COPO 1 1/2"""</f>
        <v>SERRA COPO 1 1/2"</v>
      </c>
      <c r="C21947" s="2" t="str">
        <f t="shared" si="866"/>
        <v>UN</v>
      </c>
      <c r="D21947" s="7">
        <v>402</v>
      </c>
      <c r="E21947" s="3">
        <v>4</v>
      </c>
      <c r="F21947" s="3">
        <v>4</v>
      </c>
      <c r="G21947" t="s">
        <v>513</v>
      </c>
    </row>
    <row r="21948" spans="1:7" x14ac:dyDescent="0.25">
      <c r="A21948" s="1" t="str">
        <f>"518121"</f>
        <v>518121</v>
      </c>
      <c r="B21948" s="2" t="str">
        <f>"SERRA COPO 1 1/4"""</f>
        <v>SERRA COPO 1 1/4"</v>
      </c>
      <c r="C21948" s="2" t="str">
        <f t="shared" si="866"/>
        <v>UN</v>
      </c>
      <c r="D21948" s="7">
        <v>402</v>
      </c>
      <c r="E21948" s="3">
        <v>4</v>
      </c>
      <c r="F21948" s="3">
        <v>4</v>
      </c>
      <c r="G21948" t="s">
        <v>514</v>
      </c>
    </row>
    <row r="21949" spans="1:7" x14ac:dyDescent="0.25">
      <c r="A21949" s="1" t="str">
        <f>"519661"</f>
        <v>519661</v>
      </c>
      <c r="B21949" s="2" t="str">
        <f>"SERRA COPO 1 1/8"""</f>
        <v>SERRA COPO 1 1/8"</v>
      </c>
      <c r="C21949" s="2" t="str">
        <f t="shared" si="866"/>
        <v>UN</v>
      </c>
      <c r="D21949" s="7">
        <v>402</v>
      </c>
      <c r="E21949" s="3">
        <v>4</v>
      </c>
      <c r="F21949" s="3">
        <v>4</v>
      </c>
      <c r="G21949" t="s">
        <v>514</v>
      </c>
    </row>
    <row r="21950" spans="1:7" x14ac:dyDescent="0.25">
      <c r="A21950" s="1" t="str">
        <f>"513506"</f>
        <v>513506</v>
      </c>
      <c r="B21950" s="2" t="str">
        <f>"SERRA COPO 1 3/16"""</f>
        <v>SERRA COPO 1 3/16"</v>
      </c>
      <c r="C21950" s="2" t="str">
        <f t="shared" si="866"/>
        <v>UN</v>
      </c>
      <c r="D21950" s="7">
        <v>920</v>
      </c>
      <c r="E21950" s="3">
        <v>4</v>
      </c>
      <c r="F21950" s="3">
        <v>4</v>
      </c>
      <c r="G21950" t="s">
        <v>514</v>
      </c>
    </row>
    <row r="21951" spans="1:7" x14ac:dyDescent="0.25">
      <c r="A21951" s="1" t="str">
        <f>"513509"</f>
        <v>513509</v>
      </c>
      <c r="B21951" s="2" t="str">
        <f>"SERRA COPO 1 3/4"""</f>
        <v>SERRA COPO 1 3/4"</v>
      </c>
      <c r="C21951" s="2" t="str">
        <f t="shared" si="866"/>
        <v>UN</v>
      </c>
      <c r="D21951" s="7">
        <v>920</v>
      </c>
      <c r="E21951" s="3">
        <v>4</v>
      </c>
      <c r="F21951" s="3">
        <v>4</v>
      </c>
      <c r="G21951" t="s">
        <v>513</v>
      </c>
    </row>
    <row r="21952" spans="1:7" x14ac:dyDescent="0.25">
      <c r="A21952" s="1" t="str">
        <f>"518449"</f>
        <v>518449</v>
      </c>
      <c r="B21952" s="2" t="str">
        <f>"SERRA COPO 1 3/8"""</f>
        <v>SERRA COPO 1 3/8"</v>
      </c>
      <c r="C21952" s="2" t="str">
        <f t="shared" si="866"/>
        <v>UN</v>
      </c>
      <c r="D21952" s="7">
        <v>920</v>
      </c>
      <c r="E21952" s="3">
        <v>4</v>
      </c>
      <c r="F21952" s="3">
        <v>4</v>
      </c>
      <c r="G21952" t="s">
        <v>513</v>
      </c>
    </row>
    <row r="21953" spans="1:7" x14ac:dyDescent="0.25">
      <c r="A21953" s="1" t="str">
        <f>"503903"</f>
        <v>503903</v>
      </c>
      <c r="B21953" s="2" t="str">
        <f>"SERRA COPO 1"""</f>
        <v>SERRA COPO 1"</v>
      </c>
      <c r="C21953" s="2" t="str">
        <f t="shared" si="866"/>
        <v>UN</v>
      </c>
      <c r="D21953" s="7">
        <v>402</v>
      </c>
      <c r="E21953" s="3">
        <v>4</v>
      </c>
      <c r="F21953" s="3">
        <v>4</v>
      </c>
      <c r="G21953" t="s">
        <v>513</v>
      </c>
    </row>
    <row r="21954" spans="1:7" x14ac:dyDescent="0.25">
      <c r="A21954" s="1" t="str">
        <f>"527580"</f>
        <v>527580</v>
      </c>
      <c r="B21954" s="2" t="str">
        <f>"SERRA COPO 1.1/2 P/ PAREDE"</f>
        <v>SERRA COPO 1.1/2 P/ PAREDE</v>
      </c>
      <c r="C21954" s="2" t="str">
        <f t="shared" si="866"/>
        <v>UN</v>
      </c>
      <c r="D21954" s="7">
        <v>402</v>
      </c>
      <c r="E21954" s="3">
        <v>4</v>
      </c>
      <c r="F21954" s="3">
        <v>4</v>
      </c>
      <c r="G21954" t="s">
        <v>512</v>
      </c>
    </row>
    <row r="21955" spans="1:7" x14ac:dyDescent="0.25">
      <c r="A21955" s="1" t="str">
        <f>"527520"</f>
        <v>527520</v>
      </c>
      <c r="B21955" s="2" t="str">
        <f>"SERRA COPO 100 MM P/ PAREDE"</f>
        <v>SERRA COPO 100 MM P/ PAREDE</v>
      </c>
      <c r="C21955" s="2" t="str">
        <f t="shared" si="866"/>
        <v>UN</v>
      </c>
      <c r="D21955" s="7">
        <v>402</v>
      </c>
      <c r="E21955" s="3">
        <v>4</v>
      </c>
      <c r="F21955" s="3">
        <v>4</v>
      </c>
      <c r="G21955" t="s">
        <v>513</v>
      </c>
    </row>
    <row r="21956" spans="1:7" x14ac:dyDescent="0.25">
      <c r="A21956" s="1" t="str">
        <f>"518122"</f>
        <v>518122</v>
      </c>
      <c r="B21956" s="2" t="str">
        <f>"SERRA COPO 19MM"</f>
        <v>SERRA COPO 19MM</v>
      </c>
      <c r="C21956" s="2" t="str">
        <f t="shared" si="866"/>
        <v>UN</v>
      </c>
      <c r="D21956" s="7">
        <v>402</v>
      </c>
      <c r="E21956" s="3">
        <v>4</v>
      </c>
      <c r="F21956" s="3">
        <v>4</v>
      </c>
      <c r="G21956" t="s">
        <v>514</v>
      </c>
    </row>
    <row r="21957" spans="1:7" x14ac:dyDescent="0.25">
      <c r="A21957" s="1" t="str">
        <f>"518118"</f>
        <v>518118</v>
      </c>
      <c r="B21957" s="2" t="str">
        <f>"SERRA COPO 2 1/4"""</f>
        <v>SERRA COPO 2 1/4"</v>
      </c>
      <c r="C21957" s="2" t="str">
        <f t="shared" si="866"/>
        <v>UN</v>
      </c>
      <c r="D21957" s="7">
        <v>402</v>
      </c>
      <c r="E21957" s="3">
        <v>4</v>
      </c>
      <c r="F21957" s="3">
        <v>4</v>
      </c>
      <c r="G21957" t="s">
        <v>515</v>
      </c>
    </row>
    <row r="21958" spans="1:7" x14ac:dyDescent="0.25">
      <c r="A21958" s="1" t="str">
        <f>"519031"</f>
        <v>519031</v>
      </c>
      <c r="B21958" s="2" t="str">
        <f>"SERRA COPO 2 3/8"""</f>
        <v>SERRA COPO 2 3/8"</v>
      </c>
      <c r="C21958" s="2" t="str">
        <f t="shared" si="866"/>
        <v>UN</v>
      </c>
      <c r="D21958" s="7">
        <v>402</v>
      </c>
      <c r="E21958" s="3">
        <v>4</v>
      </c>
      <c r="F21958" s="3">
        <v>4</v>
      </c>
      <c r="G21958" t="s">
        <v>512</v>
      </c>
    </row>
    <row r="21959" spans="1:7" x14ac:dyDescent="0.25">
      <c r="A21959" s="1" t="str">
        <f>"518123"</f>
        <v>518123</v>
      </c>
      <c r="B21959" s="2" t="str">
        <f>"SERRA COPO 2"""</f>
        <v>SERRA COPO 2"</v>
      </c>
      <c r="C21959" s="2" t="str">
        <f t="shared" si="866"/>
        <v>UN</v>
      </c>
      <c r="D21959" s="7">
        <v>402</v>
      </c>
      <c r="E21959" s="3">
        <v>4</v>
      </c>
      <c r="F21959" s="3">
        <v>4</v>
      </c>
      <c r="G21959" t="s">
        <v>516</v>
      </c>
    </row>
    <row r="21960" spans="1:7" x14ac:dyDescent="0.25">
      <c r="A21960" s="1" t="str">
        <f>"527581"</f>
        <v>527581</v>
      </c>
      <c r="B21960" s="2" t="str">
        <f>"SERRA COPO 2"" P/ PAREDE"</f>
        <v>SERRA COPO 2" P/ PAREDE</v>
      </c>
      <c r="C21960" s="2" t="str">
        <f t="shared" si="866"/>
        <v>UN</v>
      </c>
      <c r="D21960" s="7">
        <v>402</v>
      </c>
      <c r="E21960" s="3">
        <v>4</v>
      </c>
      <c r="F21960" s="3">
        <v>4</v>
      </c>
      <c r="G21960" t="s">
        <v>515</v>
      </c>
    </row>
    <row r="21961" spans="1:7" x14ac:dyDescent="0.25">
      <c r="A21961" s="1" t="str">
        <f>"502251"</f>
        <v>502251</v>
      </c>
      <c r="B21961" s="2" t="str">
        <f>"SERRA COPO 2""1/2"</f>
        <v>SERRA COPO 2"1/2</v>
      </c>
      <c r="C21961" s="2" t="str">
        <f t="shared" si="866"/>
        <v>UN</v>
      </c>
      <c r="D21961" s="7">
        <v>402</v>
      </c>
      <c r="E21961" s="3">
        <v>4</v>
      </c>
      <c r="F21961" s="3">
        <v>4</v>
      </c>
      <c r="G21961" t="s">
        <v>514</v>
      </c>
    </row>
    <row r="21962" spans="1:7" x14ac:dyDescent="0.25">
      <c r="A21962" s="1" t="str">
        <f>"516525"</f>
        <v>516525</v>
      </c>
      <c r="B21962" s="2" t="str">
        <f>"SERRA COPO 20MM"</f>
        <v>SERRA COPO 20MM</v>
      </c>
      <c r="C21962" s="2" t="str">
        <f t="shared" si="866"/>
        <v>UN</v>
      </c>
      <c r="D21962" s="7">
        <v>817</v>
      </c>
      <c r="E21962" s="3">
        <v>4</v>
      </c>
      <c r="F21962" s="3">
        <v>4</v>
      </c>
      <c r="G21962" t="s">
        <v>512</v>
      </c>
    </row>
    <row r="21963" spans="1:7" x14ac:dyDescent="0.25">
      <c r="A21963" s="1" t="str">
        <f>"505765"</f>
        <v>505765</v>
      </c>
      <c r="B21963" s="2" t="str">
        <f>"SERRA COPO 22MM"</f>
        <v>SERRA COPO 22MM</v>
      </c>
      <c r="C21963" s="2" t="str">
        <f t="shared" ref="C21963:C21994" si="867">"UN"</f>
        <v>UN</v>
      </c>
      <c r="D21963" s="7">
        <v>402</v>
      </c>
      <c r="E21963" s="3">
        <v>4</v>
      </c>
      <c r="F21963" s="3">
        <v>4</v>
      </c>
      <c r="G21963" t="s">
        <v>513</v>
      </c>
    </row>
    <row r="21964" spans="1:7" x14ac:dyDescent="0.25">
      <c r="A21964" s="1" t="str">
        <f>"505764"</f>
        <v>505764</v>
      </c>
      <c r="B21964" s="2" t="str">
        <f>"SERRA COPO 25MM"</f>
        <v>SERRA COPO 25MM</v>
      </c>
      <c r="C21964" s="2" t="str">
        <f t="shared" si="867"/>
        <v>UN</v>
      </c>
      <c r="D21964" s="7">
        <v>402</v>
      </c>
      <c r="E21964" s="3">
        <v>4</v>
      </c>
      <c r="F21964" s="3">
        <v>4</v>
      </c>
      <c r="G21964" t="s">
        <v>514</v>
      </c>
    </row>
    <row r="21965" spans="1:7" x14ac:dyDescent="0.25">
      <c r="A21965" s="1" t="str">
        <f>"510107"</f>
        <v>510107</v>
      </c>
      <c r="B21965" s="2" t="str">
        <f>"SERRA COPO 27MM"</f>
        <v>SERRA COPO 27MM</v>
      </c>
      <c r="C21965" s="2" t="str">
        <f t="shared" si="867"/>
        <v>UN</v>
      </c>
      <c r="D21965" s="7">
        <v>99999</v>
      </c>
      <c r="E21965" s="3">
        <v>99</v>
      </c>
      <c r="F21965" s="3">
        <v>99</v>
      </c>
      <c r="G21965" t="s">
        <v>514</v>
      </c>
    </row>
    <row r="21966" spans="1:7" x14ac:dyDescent="0.25">
      <c r="A21966" s="1" t="str">
        <f>"511245"</f>
        <v>511245</v>
      </c>
      <c r="B21966" s="2" t="str">
        <f>"SERRA COPO 28MM"</f>
        <v>SERRA COPO 28MM</v>
      </c>
      <c r="C21966" s="2" t="str">
        <f t="shared" si="867"/>
        <v>UN</v>
      </c>
      <c r="D21966" s="7">
        <v>402</v>
      </c>
      <c r="E21966" s="3">
        <v>4</v>
      </c>
      <c r="F21966" s="3">
        <v>4</v>
      </c>
      <c r="G21966" t="s">
        <v>512</v>
      </c>
    </row>
    <row r="21967" spans="1:7" x14ac:dyDescent="0.25">
      <c r="A21967" s="1" t="str">
        <f>"518683"</f>
        <v>518683</v>
      </c>
      <c r="B21967" s="2" t="str">
        <f>"SERRA COPO 29MM"</f>
        <v>SERRA COPO 29MM</v>
      </c>
      <c r="C21967" s="2" t="str">
        <f t="shared" si="867"/>
        <v>UN</v>
      </c>
      <c r="D21967" s="7">
        <v>402</v>
      </c>
      <c r="E21967" s="3">
        <v>4</v>
      </c>
      <c r="F21967" s="3">
        <v>4</v>
      </c>
      <c r="G21967" t="s">
        <v>513</v>
      </c>
    </row>
    <row r="21968" spans="1:7" x14ac:dyDescent="0.25">
      <c r="A21968" s="1" t="str">
        <f>"519760"</f>
        <v>519760</v>
      </c>
      <c r="B21968" s="2" t="str">
        <f>"SERRA COPO 3 3/4"""</f>
        <v>SERRA COPO 3 3/4"</v>
      </c>
      <c r="C21968" s="2" t="str">
        <f t="shared" si="867"/>
        <v>UN</v>
      </c>
      <c r="D21968" s="7">
        <v>402</v>
      </c>
      <c r="E21968" s="3">
        <v>4</v>
      </c>
      <c r="F21968" s="3">
        <v>4</v>
      </c>
      <c r="G21968" t="s">
        <v>514</v>
      </c>
    </row>
    <row r="21969" spans="1:7" x14ac:dyDescent="0.25">
      <c r="A21969" s="1" t="str">
        <f>"518450"</f>
        <v>518450</v>
      </c>
      <c r="B21969" s="2" t="str">
        <f>"SERRA COPO 3"""</f>
        <v>SERRA COPO 3"</v>
      </c>
      <c r="C21969" s="2" t="str">
        <f t="shared" si="867"/>
        <v>UN</v>
      </c>
      <c r="D21969" s="7">
        <v>920</v>
      </c>
      <c r="E21969" s="3">
        <v>4</v>
      </c>
      <c r="F21969" s="3">
        <v>4</v>
      </c>
      <c r="G21969" t="s">
        <v>514</v>
      </c>
    </row>
    <row r="21970" spans="1:7" x14ac:dyDescent="0.25">
      <c r="A21970" s="1" t="str">
        <f>"503076"</f>
        <v>503076</v>
      </c>
      <c r="B21970" s="2" t="str">
        <f>"SERRA COPO 3/4"""</f>
        <v>SERRA COPO 3/4"</v>
      </c>
      <c r="C21970" s="2" t="str">
        <f t="shared" si="867"/>
        <v>UN</v>
      </c>
      <c r="D21970" s="7">
        <v>402</v>
      </c>
      <c r="E21970" s="3">
        <v>4</v>
      </c>
      <c r="F21970" s="3">
        <v>4</v>
      </c>
      <c r="G21970" t="s">
        <v>514</v>
      </c>
    </row>
    <row r="21971" spans="1:7" x14ac:dyDescent="0.25">
      <c r="A21971" s="1" t="str">
        <f>"527856"</f>
        <v>527856</v>
      </c>
      <c r="B21971" s="2" t="str">
        <f>"SERRA COPO 3/8"""</f>
        <v>SERRA COPO 3/8"</v>
      </c>
      <c r="C21971" s="2" t="str">
        <f t="shared" si="867"/>
        <v>UN</v>
      </c>
      <c r="D21971" s="7">
        <v>402</v>
      </c>
      <c r="E21971" s="3">
        <v>4</v>
      </c>
      <c r="F21971" s="3">
        <v>4</v>
      </c>
      <c r="G21971" t="s">
        <v>513</v>
      </c>
    </row>
    <row r="21972" spans="1:7" x14ac:dyDescent="0.25">
      <c r="A21972" s="1" t="str">
        <f>"505766"</f>
        <v>505766</v>
      </c>
      <c r="B21972" s="2" t="str">
        <f>"SERRA COPO 30MM"</f>
        <v>SERRA COPO 30MM</v>
      </c>
      <c r="C21972" s="2" t="str">
        <f t="shared" si="867"/>
        <v>UN</v>
      </c>
      <c r="D21972" s="7">
        <v>402</v>
      </c>
      <c r="E21972" s="3">
        <v>4</v>
      </c>
      <c r="F21972" s="3">
        <v>4</v>
      </c>
      <c r="G21972" t="s">
        <v>512</v>
      </c>
    </row>
    <row r="21973" spans="1:7" x14ac:dyDescent="0.25">
      <c r="A21973" s="1" t="str">
        <f>"505770"</f>
        <v>505770</v>
      </c>
      <c r="B21973" s="2" t="str">
        <f>"SERRA COPO 32MM"</f>
        <v>SERRA COPO 32MM</v>
      </c>
      <c r="C21973" s="2" t="str">
        <f t="shared" si="867"/>
        <v>UN</v>
      </c>
      <c r="D21973" s="7">
        <v>403</v>
      </c>
      <c r="E21973" s="3">
        <v>4</v>
      </c>
      <c r="F21973" s="3">
        <v>4</v>
      </c>
      <c r="G21973" t="s">
        <v>513</v>
      </c>
    </row>
    <row r="21974" spans="1:7" x14ac:dyDescent="0.25">
      <c r="A21974" s="1" t="str">
        <f>"515833"</f>
        <v>515833</v>
      </c>
      <c r="B21974" s="2" t="str">
        <f>"SERRA COPO 38MM"</f>
        <v>SERRA COPO 38MM</v>
      </c>
      <c r="C21974" s="2" t="str">
        <f t="shared" si="867"/>
        <v>UN</v>
      </c>
      <c r="D21974" s="7">
        <v>99999</v>
      </c>
      <c r="E21974" s="3">
        <v>99</v>
      </c>
      <c r="F21974" s="3">
        <v>99</v>
      </c>
      <c r="G21974" t="s">
        <v>514</v>
      </c>
    </row>
    <row r="21975" spans="1:7" x14ac:dyDescent="0.25">
      <c r="A21975" s="1" t="str">
        <f>"513431"</f>
        <v>513431</v>
      </c>
      <c r="B21975" s="2" t="str">
        <f>"SERRA COPO 4"""</f>
        <v>SERRA COPO 4"</v>
      </c>
      <c r="C21975" s="2" t="str">
        <f t="shared" si="867"/>
        <v>UN</v>
      </c>
      <c r="D21975" s="7">
        <v>920</v>
      </c>
      <c r="E21975" s="3">
        <v>4</v>
      </c>
      <c r="F21975" s="3">
        <v>4</v>
      </c>
      <c r="G21975" t="s">
        <v>514</v>
      </c>
    </row>
    <row r="21976" spans="1:7" x14ac:dyDescent="0.25">
      <c r="A21976" s="1" t="str">
        <f>"511582"</f>
        <v>511582</v>
      </c>
      <c r="B21976" s="2" t="str">
        <f>"SERRA COPO 40MM"</f>
        <v>SERRA COPO 40MM</v>
      </c>
      <c r="C21976" s="2" t="str">
        <f t="shared" si="867"/>
        <v>UN</v>
      </c>
      <c r="D21976" s="7">
        <v>817</v>
      </c>
      <c r="E21976" s="3">
        <v>10</v>
      </c>
      <c r="F21976" s="3">
        <v>10</v>
      </c>
      <c r="G21976" t="s">
        <v>514</v>
      </c>
    </row>
    <row r="21977" spans="1:7" x14ac:dyDescent="0.25">
      <c r="A21977" s="1" t="str">
        <f>"508924"</f>
        <v>508924</v>
      </c>
      <c r="B21977" s="2" t="str">
        <f>"SERRA COPO 418MM OU 4 1/8"""</f>
        <v>SERRA COPO 418MM OU 4 1/8"</v>
      </c>
      <c r="C21977" s="2" t="str">
        <f t="shared" si="867"/>
        <v>UN</v>
      </c>
      <c r="D21977" s="7">
        <v>403</v>
      </c>
      <c r="E21977" s="3">
        <v>4</v>
      </c>
      <c r="F21977" s="3">
        <v>4</v>
      </c>
      <c r="G21977" t="s">
        <v>513</v>
      </c>
    </row>
    <row r="21978" spans="1:7" x14ac:dyDescent="0.25">
      <c r="A21978" s="1" t="str">
        <f>"511121"</f>
        <v>511121</v>
      </c>
      <c r="B21978" s="2" t="str">
        <f>"SERRA COPO 51MM"</f>
        <v>SERRA COPO 51MM</v>
      </c>
      <c r="C21978" s="2" t="str">
        <f t="shared" si="867"/>
        <v>UN</v>
      </c>
      <c r="D21978" s="7">
        <v>402</v>
      </c>
      <c r="E21978" s="3">
        <v>4</v>
      </c>
      <c r="F21978" s="3">
        <v>4</v>
      </c>
      <c r="G21978" t="s">
        <v>513</v>
      </c>
    </row>
    <row r="21979" spans="1:7" x14ac:dyDescent="0.25">
      <c r="A21979" s="1" t="str">
        <f>"527034"</f>
        <v>527034</v>
      </c>
      <c r="B21979" s="2" t="str">
        <f>"SERRA COPO 54MM"</f>
        <v>SERRA COPO 54MM</v>
      </c>
      <c r="C21979" s="2" t="str">
        <f t="shared" si="867"/>
        <v>UN</v>
      </c>
      <c r="D21979" s="7">
        <v>920</v>
      </c>
      <c r="E21979" s="3">
        <v>4</v>
      </c>
      <c r="F21979" s="3">
        <v>4</v>
      </c>
      <c r="G21979" t="s">
        <v>513</v>
      </c>
    </row>
    <row r="21980" spans="1:7" x14ac:dyDescent="0.25">
      <c r="A21980" s="1" t="str">
        <f>"518124"</f>
        <v>518124</v>
      </c>
      <c r="B21980" s="2" t="str">
        <f>"SERRA COPO 57MM"</f>
        <v>SERRA COPO 57MM</v>
      </c>
      <c r="C21980" s="2" t="str">
        <f t="shared" si="867"/>
        <v>UN</v>
      </c>
      <c r="D21980" s="7">
        <v>402</v>
      </c>
      <c r="E21980" s="3">
        <v>4</v>
      </c>
      <c r="F21980" s="3">
        <v>4</v>
      </c>
      <c r="G21980" t="s">
        <v>512</v>
      </c>
    </row>
    <row r="21981" spans="1:7" x14ac:dyDescent="0.25">
      <c r="A21981" s="1" t="str">
        <f>"517785"</f>
        <v>517785</v>
      </c>
      <c r="B21981" s="2" t="str">
        <f>"SERRA COPO 64MM"</f>
        <v>SERRA COPO 64MM</v>
      </c>
      <c r="C21981" s="2" t="str">
        <f t="shared" si="867"/>
        <v>UN</v>
      </c>
      <c r="D21981" s="7">
        <v>920</v>
      </c>
      <c r="E21981" s="3">
        <v>4</v>
      </c>
      <c r="F21981" s="3">
        <v>4</v>
      </c>
      <c r="G21981" t="s">
        <v>513</v>
      </c>
    </row>
    <row r="21982" spans="1:7" x14ac:dyDescent="0.25">
      <c r="A21982" s="1" t="str">
        <f>"518119"</f>
        <v>518119</v>
      </c>
      <c r="B21982" s="2" t="str">
        <f>"SERRA COPO 7/8"""</f>
        <v>SERRA COPO 7/8"</v>
      </c>
      <c r="C21982" s="2" t="str">
        <f t="shared" si="867"/>
        <v>UN</v>
      </c>
      <c r="D21982" s="7">
        <v>402</v>
      </c>
      <c r="E21982" s="3">
        <v>4</v>
      </c>
      <c r="F21982" s="3">
        <v>4</v>
      </c>
      <c r="G21982" t="s">
        <v>514</v>
      </c>
    </row>
    <row r="21983" spans="1:7" x14ac:dyDescent="0.25">
      <c r="A21983" s="1" t="str">
        <f>"512250"</f>
        <v>512250</v>
      </c>
      <c r="B21983" s="2" t="str">
        <f>"SERRA COPO 75MM"</f>
        <v>SERRA COPO 75MM</v>
      </c>
      <c r="C21983" s="2" t="str">
        <f t="shared" si="867"/>
        <v>UN</v>
      </c>
      <c r="D21983" s="7">
        <v>817</v>
      </c>
      <c r="E21983" s="3">
        <v>10</v>
      </c>
      <c r="F21983" s="3">
        <v>10</v>
      </c>
      <c r="G21983" t="s">
        <v>515</v>
      </c>
    </row>
    <row r="21984" spans="1:7" x14ac:dyDescent="0.25">
      <c r="A21984" s="1" t="str">
        <f>"522290"</f>
        <v>522290</v>
      </c>
      <c r="B21984" s="2" t="str">
        <f>"SERRA COPO 80 MM P/ PAREDE"</f>
        <v>SERRA COPO 80 MM P/ PAREDE</v>
      </c>
      <c r="C21984" s="2" t="str">
        <f t="shared" si="867"/>
        <v>UN</v>
      </c>
      <c r="D21984" s="7">
        <v>402</v>
      </c>
      <c r="E21984" s="3">
        <v>4</v>
      </c>
      <c r="F21984" s="3">
        <v>4</v>
      </c>
      <c r="G21984" t="s">
        <v>512</v>
      </c>
    </row>
    <row r="21985" spans="1:7" x14ac:dyDescent="0.25">
      <c r="A21985" s="1" t="str">
        <f>"517786"</f>
        <v>517786</v>
      </c>
      <c r="B21985" s="2" t="str">
        <f>"SERRA COPO 83MM"</f>
        <v>SERRA COPO 83MM</v>
      </c>
      <c r="C21985" s="2" t="str">
        <f t="shared" si="867"/>
        <v>UN</v>
      </c>
      <c r="D21985" s="7">
        <v>920</v>
      </c>
      <c r="E21985" s="3">
        <v>4</v>
      </c>
      <c r="F21985" s="3">
        <v>4</v>
      </c>
      <c r="G21985" t="s">
        <v>516</v>
      </c>
    </row>
    <row r="21986" spans="1:7" x14ac:dyDescent="0.25">
      <c r="A21986" s="1" t="str">
        <f>"522971"</f>
        <v>522971</v>
      </c>
      <c r="B21986" s="2" t="str">
        <f>"SERRA COPO DIAMANTADA 51MM"</f>
        <v>SERRA COPO DIAMANTADA 51MM</v>
      </c>
      <c r="C21986" s="2" t="str">
        <f t="shared" si="867"/>
        <v>UN</v>
      </c>
      <c r="D21986" s="7">
        <v>917</v>
      </c>
      <c r="E21986" s="3">
        <v>4</v>
      </c>
      <c r="F21986" s="3">
        <v>4</v>
      </c>
      <c r="G21986" t="s">
        <v>515</v>
      </c>
    </row>
    <row r="21987" spans="1:7" x14ac:dyDescent="0.25">
      <c r="A21987" s="1" t="str">
        <f>"505767"</f>
        <v>505767</v>
      </c>
      <c r="B21987" s="2" t="str">
        <f>"SERRA COPO H0118 29MM"</f>
        <v>SERRA COPO H0118 29MM</v>
      </c>
      <c r="C21987" s="2" t="str">
        <f t="shared" si="867"/>
        <v>UN</v>
      </c>
      <c r="D21987" s="7">
        <v>402</v>
      </c>
      <c r="E21987" s="3">
        <v>4</v>
      </c>
      <c r="F21987" s="3">
        <v>4</v>
      </c>
      <c r="G21987" t="s">
        <v>514</v>
      </c>
    </row>
    <row r="21988" spans="1:7" x14ac:dyDescent="0.25">
      <c r="A21988" s="1" t="str">
        <f>"510789"</f>
        <v>510789</v>
      </c>
      <c r="B21988" s="2" t="str">
        <f>"SERRA COPO H0156 33MM 1 5/16"""</f>
        <v>SERRA COPO H0156 33MM 1 5/16"</v>
      </c>
      <c r="C21988" s="2" t="str">
        <f t="shared" si="867"/>
        <v>UN</v>
      </c>
      <c r="D21988" s="7">
        <v>402</v>
      </c>
      <c r="E21988" s="3">
        <v>4</v>
      </c>
      <c r="F21988" s="3">
        <v>4</v>
      </c>
      <c r="G21988" t="s">
        <v>512</v>
      </c>
    </row>
    <row r="21989" spans="1:7" x14ac:dyDescent="0.25">
      <c r="A21989" s="1" t="str">
        <f>"510108"</f>
        <v>510108</v>
      </c>
      <c r="B21989" s="2" t="str">
        <f>"SERRA COPO H0300 76MM"</f>
        <v>SERRA COPO H0300 76MM</v>
      </c>
      <c r="C21989" s="2" t="str">
        <f t="shared" si="867"/>
        <v>UN</v>
      </c>
      <c r="D21989" s="7">
        <v>920</v>
      </c>
      <c r="E21989" s="3">
        <v>11</v>
      </c>
      <c r="F21989" s="3">
        <v>11</v>
      </c>
      <c r="G21989" t="s">
        <v>513</v>
      </c>
    </row>
    <row r="21990" spans="1:7" x14ac:dyDescent="0.25">
      <c r="A21990" s="1" t="str">
        <f>"510106"</f>
        <v>510106</v>
      </c>
      <c r="B21990" s="2" t="str">
        <f>"SERRA COPO H1036 21MM"</f>
        <v>SERRA COPO H1036 21MM</v>
      </c>
      <c r="C21990" s="2" t="str">
        <f t="shared" si="867"/>
        <v>UN</v>
      </c>
      <c r="D21990" s="7">
        <v>920</v>
      </c>
      <c r="E21990" s="3">
        <v>11</v>
      </c>
      <c r="F21990" s="3">
        <v>11</v>
      </c>
      <c r="G21990" t="s">
        <v>514</v>
      </c>
    </row>
    <row r="21991" spans="1:7" x14ac:dyDescent="0.25">
      <c r="A21991" s="1" t="str">
        <f>"510676"</f>
        <v>510676</v>
      </c>
      <c r="B21991" s="2" t="str">
        <f>"SERRA COPO HO 338 86MM 3-3/8"</f>
        <v>SERRA COPO HO 338 86MM 3-3/8</v>
      </c>
      <c r="C21991" s="2" t="str">
        <f t="shared" si="867"/>
        <v>UN</v>
      </c>
      <c r="D21991" s="7">
        <v>920</v>
      </c>
      <c r="E21991" s="3">
        <v>11</v>
      </c>
      <c r="F21991" s="3">
        <v>11</v>
      </c>
      <c r="G21991" t="s">
        <v>514</v>
      </c>
    </row>
    <row r="21992" spans="1:7" x14ac:dyDescent="0.25">
      <c r="A21992" s="1" t="str">
        <f>"505336"</f>
        <v>505336</v>
      </c>
      <c r="B21992" s="2" t="str">
        <f>"SERRA COPO HO134 44MM"</f>
        <v>SERRA COPO HO134 44MM</v>
      </c>
      <c r="C21992" s="2" t="str">
        <f t="shared" si="867"/>
        <v>UN</v>
      </c>
      <c r="D21992" s="7">
        <v>402</v>
      </c>
      <c r="E21992" s="3">
        <v>4</v>
      </c>
      <c r="F21992" s="3">
        <v>4</v>
      </c>
      <c r="G21992" t="s">
        <v>512</v>
      </c>
    </row>
    <row r="21993" spans="1:7" x14ac:dyDescent="0.25">
      <c r="A21993" s="1" t="str">
        <f>"502330"</f>
        <v>502330</v>
      </c>
      <c r="B21993" s="2" t="str">
        <f>"SERRA COPO HO200 51MM"</f>
        <v>SERRA COPO HO200 51MM</v>
      </c>
      <c r="C21993" s="2" t="str">
        <f t="shared" si="867"/>
        <v>UN</v>
      </c>
      <c r="D21993" s="7">
        <v>402</v>
      </c>
      <c r="E21993" s="3">
        <v>4</v>
      </c>
      <c r="F21993" s="3">
        <v>4</v>
      </c>
      <c r="G21993" t="s">
        <v>513</v>
      </c>
    </row>
    <row r="21994" spans="1:7" x14ac:dyDescent="0.25">
      <c r="A21994" s="1" t="str">
        <f>"502329"</f>
        <v>502329</v>
      </c>
      <c r="B21994" s="2" t="str">
        <f>"SERRA COPO HO212 63MM"</f>
        <v>SERRA COPO HO212 63MM</v>
      </c>
      <c r="C21994" s="2" t="str">
        <f t="shared" si="867"/>
        <v>UN</v>
      </c>
      <c r="D21994" s="7">
        <v>402</v>
      </c>
      <c r="E21994" s="3">
        <v>4</v>
      </c>
      <c r="F21994" s="3">
        <v>4</v>
      </c>
      <c r="G21994" t="s">
        <v>514</v>
      </c>
    </row>
    <row r="21995" spans="1:7" x14ac:dyDescent="0.25">
      <c r="A21995" s="1" t="str">
        <f>"502331"</f>
        <v>502331</v>
      </c>
      <c r="B21995" s="2" t="str">
        <f>"SERRA COPO HO296 65MM"</f>
        <v>SERRA COPO HO296 65MM</v>
      </c>
      <c r="C21995" s="2" t="str">
        <f t="shared" ref="C21995:C22015" si="868">"UN"</f>
        <v>UN</v>
      </c>
      <c r="D21995" s="7">
        <v>402</v>
      </c>
      <c r="E21995" s="3">
        <v>4</v>
      </c>
      <c r="F21995" s="3">
        <v>4</v>
      </c>
      <c r="G21995" t="s">
        <v>514</v>
      </c>
    </row>
    <row r="21996" spans="1:7" x14ac:dyDescent="0.25">
      <c r="A21996" s="1" t="str">
        <f>"505094"</f>
        <v>505094</v>
      </c>
      <c r="B21996" s="2" t="str">
        <f>"SERRA COPO HO318 79MM"</f>
        <v>SERRA COPO HO318 79MM</v>
      </c>
      <c r="C21996" s="2" t="str">
        <f t="shared" si="868"/>
        <v>UN</v>
      </c>
      <c r="D21996" s="7">
        <v>402</v>
      </c>
      <c r="E21996" s="3">
        <v>4</v>
      </c>
      <c r="F21996" s="3">
        <v>4</v>
      </c>
      <c r="G21996" t="s">
        <v>514</v>
      </c>
    </row>
    <row r="21997" spans="1:7" x14ac:dyDescent="0.25">
      <c r="A21997" s="1" t="str">
        <f>"505335"</f>
        <v>505335</v>
      </c>
      <c r="B21997" s="2" t="str">
        <f>"SERRA COPO HOO34 19MM"</f>
        <v>SERRA COPO HOO34 19MM</v>
      </c>
      <c r="C21997" s="2" t="str">
        <f t="shared" si="868"/>
        <v>UN</v>
      </c>
      <c r="D21997" s="7">
        <v>402</v>
      </c>
      <c r="E21997" s="3">
        <v>4</v>
      </c>
      <c r="F21997" s="3">
        <v>4</v>
      </c>
      <c r="G21997" t="s">
        <v>513</v>
      </c>
    </row>
    <row r="21998" spans="1:7" x14ac:dyDescent="0.25">
      <c r="A21998" s="1" t="str">
        <f>"525240"</f>
        <v>525240</v>
      </c>
      <c r="B21998" s="2" t="str">
        <f>"SERRA COPO VIDEA 1 1/2"</f>
        <v>SERRA COPO VIDEA 1 1/2</v>
      </c>
      <c r="C21998" s="2" t="str">
        <f t="shared" si="868"/>
        <v>UN</v>
      </c>
      <c r="D21998" s="7">
        <v>403</v>
      </c>
      <c r="E21998" s="3">
        <v>4</v>
      </c>
      <c r="F21998" s="3">
        <v>4</v>
      </c>
      <c r="G21998" t="s">
        <v>512</v>
      </c>
    </row>
    <row r="21999" spans="1:7" x14ac:dyDescent="0.25">
      <c r="A21999" s="1" t="str">
        <f>"501354"</f>
        <v>501354</v>
      </c>
      <c r="B21999" s="2" t="str">
        <f>"SERRA COPO VIDEA 32MM"</f>
        <v>SERRA COPO VIDEA 32MM</v>
      </c>
      <c r="C21999" s="2" t="str">
        <f t="shared" si="868"/>
        <v>UN</v>
      </c>
      <c r="D21999" s="7">
        <v>403</v>
      </c>
      <c r="E21999" s="3">
        <v>4</v>
      </c>
      <c r="F21999" s="3">
        <v>4</v>
      </c>
      <c r="G21999" t="s">
        <v>513</v>
      </c>
    </row>
    <row r="22000" spans="1:7" x14ac:dyDescent="0.25">
      <c r="A22000" s="1" t="str">
        <f>"501353"</f>
        <v>501353</v>
      </c>
      <c r="B22000" s="2" t="str">
        <f>"SERRA COPO VIDEA 51MM"</f>
        <v>SERRA COPO VIDEA 51MM</v>
      </c>
      <c r="C22000" s="2" t="str">
        <f t="shared" si="868"/>
        <v>UN</v>
      </c>
      <c r="D22000" s="7">
        <v>403</v>
      </c>
      <c r="E22000" s="3">
        <v>4</v>
      </c>
      <c r="F22000" s="3">
        <v>4</v>
      </c>
      <c r="G22000" t="s">
        <v>514</v>
      </c>
    </row>
    <row r="22001" spans="1:7" x14ac:dyDescent="0.25">
      <c r="A22001" s="1" t="str">
        <f>"510175"</f>
        <v>510175</v>
      </c>
      <c r="B22001" s="2" t="str">
        <f>"SERRA MARMORE 110MM - MAKITA"</f>
        <v>SERRA MARMORE 110MM - MAKITA</v>
      </c>
      <c r="C22001" s="2" t="str">
        <f t="shared" si="868"/>
        <v>UN</v>
      </c>
      <c r="D22001" s="7">
        <v>1500</v>
      </c>
      <c r="E22001" s="3">
        <v>13</v>
      </c>
      <c r="F22001" s="3">
        <v>13</v>
      </c>
      <c r="G22001" t="s">
        <v>514</v>
      </c>
    </row>
    <row r="22002" spans="1:7" x14ac:dyDescent="0.25">
      <c r="A22002" s="1" t="str">
        <f>"515873"</f>
        <v>515873</v>
      </c>
      <c r="B22002" s="2" t="str">
        <f>"SERRA MARMORE GDC 14-440 110MM 220V"</f>
        <v>SERRA MARMORE GDC 14-440 110MM 220V</v>
      </c>
      <c r="C22002" s="2" t="str">
        <f t="shared" si="868"/>
        <v>UN</v>
      </c>
      <c r="D22002" s="7">
        <v>99999</v>
      </c>
      <c r="E22002" s="3">
        <v>99</v>
      </c>
      <c r="F22002" s="3">
        <v>99</v>
      </c>
      <c r="G22002" t="s">
        <v>514</v>
      </c>
    </row>
    <row r="22003" spans="1:7" x14ac:dyDescent="0.25">
      <c r="A22003" s="1" t="str">
        <f>"500035"</f>
        <v>500035</v>
      </c>
      <c r="B22003" s="2" t="str">
        <f>"SERRA STARRET BI-METAL BS1224"</f>
        <v>SERRA STARRET BI-METAL BS1224</v>
      </c>
      <c r="C22003" s="2" t="str">
        <f t="shared" si="868"/>
        <v>UN</v>
      </c>
      <c r="D22003" s="7">
        <v>403</v>
      </c>
      <c r="E22003" s="3">
        <v>4</v>
      </c>
      <c r="F22003" s="3">
        <v>4</v>
      </c>
      <c r="G22003" t="s">
        <v>513</v>
      </c>
    </row>
    <row r="22004" spans="1:7" x14ac:dyDescent="0.25">
      <c r="A22004" s="1" t="str">
        <f>"525598"</f>
        <v>525598</v>
      </c>
      <c r="B22004" s="2" t="str">
        <f>"SERRA TICO TICO BI METAL 125MM BU56 STARRET"</f>
        <v>SERRA TICO TICO BI METAL 125MM BU56 STARRET</v>
      </c>
      <c r="C22004" s="2" t="str">
        <f t="shared" si="868"/>
        <v>UN</v>
      </c>
      <c r="D22004" s="7">
        <v>99999</v>
      </c>
      <c r="E22004" s="3">
        <v>10</v>
      </c>
      <c r="F22004" s="3">
        <v>10</v>
      </c>
      <c r="G22004" t="s">
        <v>513</v>
      </c>
    </row>
    <row r="22005" spans="1:7" x14ac:dyDescent="0.25">
      <c r="A22005" s="1" t="str">
        <f>"515870"</f>
        <v>515870</v>
      </c>
      <c r="B22005" s="2" t="str">
        <f>"SERRA TICO TICO BI METAL BU 36 STARRET"</f>
        <v>SERRA TICO TICO BI METAL BU 36 STARRET</v>
      </c>
      <c r="C22005" s="2" t="str">
        <f t="shared" si="868"/>
        <v>UN</v>
      </c>
      <c r="D22005" s="7">
        <v>99999</v>
      </c>
      <c r="E22005" s="3">
        <v>10</v>
      </c>
      <c r="F22005" s="3">
        <v>10</v>
      </c>
      <c r="G22005" t="s">
        <v>513</v>
      </c>
    </row>
    <row r="22006" spans="1:7" x14ac:dyDescent="0.25">
      <c r="A22006" s="1" t="str">
        <f>"514510"</f>
        <v>514510</v>
      </c>
      <c r="B22006" s="2" t="str">
        <f>"SERRA TICO-TICO GST 90 BE 220V"</f>
        <v>SERRA TICO-TICO GST 90 BE 220V</v>
      </c>
      <c r="C22006" s="2" t="str">
        <f t="shared" si="868"/>
        <v>UN</v>
      </c>
      <c r="D22006" s="7">
        <v>817</v>
      </c>
      <c r="E22006" s="3">
        <v>4</v>
      </c>
      <c r="F22006" s="3">
        <v>4</v>
      </c>
      <c r="G22006" t="s">
        <v>512</v>
      </c>
    </row>
    <row r="22007" spans="1:7" x14ac:dyDescent="0.25">
      <c r="A22007" s="1" t="str">
        <f>"500652"</f>
        <v>500652</v>
      </c>
      <c r="B22007" s="2" t="str">
        <f>"SERROTE NORMAL"</f>
        <v>SERROTE NORMAL</v>
      </c>
      <c r="C22007" s="2" t="str">
        <f t="shared" si="868"/>
        <v>UN</v>
      </c>
      <c r="D22007" s="7">
        <v>403</v>
      </c>
      <c r="E22007" s="3">
        <v>4</v>
      </c>
      <c r="F22007" s="3">
        <v>4</v>
      </c>
      <c r="G22007" t="s">
        <v>513</v>
      </c>
    </row>
    <row r="22008" spans="1:7" x14ac:dyDescent="0.25">
      <c r="A22008" s="1" t="str">
        <f>"515162"</f>
        <v>515162</v>
      </c>
      <c r="B22008" s="2" t="str">
        <f>"SERVER INTEL CORE"</f>
        <v>SERVER INTEL CORE</v>
      </c>
      <c r="C22008" s="2" t="str">
        <f t="shared" si="868"/>
        <v>UN</v>
      </c>
      <c r="D22008" s="7">
        <v>401</v>
      </c>
      <c r="E22008" s="3">
        <v>4</v>
      </c>
      <c r="F22008" s="3">
        <v>4</v>
      </c>
      <c r="G22008" t="s">
        <v>514</v>
      </c>
    </row>
    <row r="22009" spans="1:7" x14ac:dyDescent="0.25">
      <c r="A22009" s="1" t="str">
        <f>"514020"</f>
        <v>514020</v>
      </c>
      <c r="B22009" s="2" t="str">
        <f>"SERVICO BORRACHARIA"</f>
        <v>SERVICO BORRACHARIA</v>
      </c>
      <c r="C22009" s="2" t="str">
        <f t="shared" si="868"/>
        <v>UN</v>
      </c>
      <c r="D22009" s="7">
        <v>704</v>
      </c>
      <c r="E22009" s="3">
        <v>9</v>
      </c>
      <c r="F22009" s="3">
        <v>9</v>
      </c>
      <c r="G22009" t="s">
        <v>515</v>
      </c>
    </row>
    <row r="22010" spans="1:7" x14ac:dyDescent="0.25">
      <c r="A22010" s="1" t="str">
        <f>"501062"</f>
        <v>501062</v>
      </c>
      <c r="B22010" s="2" t="str">
        <f>"SERVICO DE AFERICAO E CALIBRACAO"</f>
        <v>SERVICO DE AFERICAO E CALIBRACAO</v>
      </c>
      <c r="C22010" s="2" t="str">
        <f t="shared" si="868"/>
        <v>UN</v>
      </c>
      <c r="D22010" s="7">
        <v>402</v>
      </c>
      <c r="E22010" s="3">
        <v>4</v>
      </c>
      <c r="F22010" s="3">
        <v>4</v>
      </c>
      <c r="G22010" t="s">
        <v>512</v>
      </c>
    </row>
    <row r="22011" spans="1:7" x14ac:dyDescent="0.25">
      <c r="A22011" s="1" t="str">
        <f>"514022"</f>
        <v>514022</v>
      </c>
      <c r="B22011" s="2" t="str">
        <f>"SERVICO DE ALINHAMENTO"</f>
        <v>SERVICO DE ALINHAMENTO</v>
      </c>
      <c r="C22011" s="2" t="str">
        <f t="shared" si="868"/>
        <v>UN</v>
      </c>
      <c r="D22011" s="7">
        <v>704</v>
      </c>
      <c r="E22011" s="3">
        <v>9</v>
      </c>
      <c r="F22011" s="3">
        <v>9</v>
      </c>
      <c r="G22011" t="s">
        <v>516</v>
      </c>
    </row>
    <row r="22012" spans="1:7" x14ac:dyDescent="0.25">
      <c r="A22012" s="1" t="str">
        <f>"513755"</f>
        <v>513755</v>
      </c>
      <c r="B22012" s="2" t="str">
        <f>"SERVICO DE ARMAZENAGEM"</f>
        <v>SERVICO DE ARMAZENAGEM</v>
      </c>
      <c r="C22012" s="2" t="str">
        <f t="shared" si="868"/>
        <v>UN</v>
      </c>
      <c r="D22012" s="7">
        <v>99999</v>
      </c>
      <c r="E22012" s="3">
        <v>99</v>
      </c>
      <c r="F22012" s="3">
        <v>99</v>
      </c>
      <c r="G22012" t="s">
        <v>515</v>
      </c>
    </row>
    <row r="22013" spans="1:7" x14ac:dyDescent="0.25">
      <c r="A22013" s="1" t="str">
        <f>"509880"</f>
        <v>509880</v>
      </c>
      <c r="B22013" s="2" t="str">
        <f>"SERVICO DE ARQUEAMENTO DO MOLEJO"</f>
        <v>SERVICO DE ARQUEAMENTO DO MOLEJO</v>
      </c>
      <c r="C22013" s="2" t="str">
        <f t="shared" si="868"/>
        <v>UN</v>
      </c>
      <c r="D22013" s="7">
        <v>918</v>
      </c>
      <c r="E22013" s="3">
        <v>11</v>
      </c>
      <c r="F22013" s="3">
        <v>11</v>
      </c>
      <c r="G22013" t="s">
        <v>514</v>
      </c>
    </row>
    <row r="22014" spans="1:7" x14ac:dyDescent="0.25">
      <c r="A22014" s="1" t="str">
        <f>"513754"</f>
        <v>513754</v>
      </c>
      <c r="B22014" s="2" t="str">
        <f>"SERVICO DE DESCARGA"</f>
        <v>SERVICO DE DESCARGA</v>
      </c>
      <c r="C22014" s="2" t="str">
        <f t="shared" si="868"/>
        <v>UN</v>
      </c>
      <c r="D22014" s="7">
        <v>99999</v>
      </c>
      <c r="E22014" s="3">
        <v>4</v>
      </c>
      <c r="F22014" s="3">
        <v>4</v>
      </c>
      <c r="G22014" t="s">
        <v>512</v>
      </c>
    </row>
    <row r="22015" spans="1:7" x14ac:dyDescent="0.25">
      <c r="A22015" s="1" t="str">
        <f>"510239"</f>
        <v>510239</v>
      </c>
      <c r="B22015" s="2" t="str">
        <f>"SERVIÇO DE ENGRACHAR"</f>
        <v>SERVIÇO DE ENGRACHAR</v>
      </c>
      <c r="C22015" s="2" t="str">
        <f t="shared" si="868"/>
        <v>UN</v>
      </c>
      <c r="D22015" s="7">
        <v>704</v>
      </c>
      <c r="E22015" s="3">
        <v>9</v>
      </c>
      <c r="F22015" s="3">
        <v>9</v>
      </c>
      <c r="G22015" t="s">
        <v>513</v>
      </c>
    </row>
    <row r="22016" spans="1:7" x14ac:dyDescent="0.25">
      <c r="A22016" s="1" t="str">
        <f>"507881"</f>
        <v>507881</v>
      </c>
      <c r="B22016" s="2" t="str">
        <f>"SERVICO DE ISOLAMENTO DE TUBO DE LEITE"</f>
        <v>SERVICO DE ISOLAMENTO DE TUBO DE LEITE</v>
      </c>
      <c r="C22016" s="2" t="str">
        <f>"BR"</f>
        <v>BR</v>
      </c>
      <c r="D22016" s="7">
        <v>807</v>
      </c>
      <c r="E22016" s="3">
        <v>10</v>
      </c>
      <c r="F22016" s="3">
        <v>10</v>
      </c>
      <c r="G22016" t="s">
        <v>514</v>
      </c>
    </row>
    <row r="22017" spans="1:7" x14ac:dyDescent="0.25">
      <c r="A22017" s="1" t="str">
        <f>"513836"</f>
        <v>513836</v>
      </c>
      <c r="B22017" s="2" t="str">
        <f>"SERVICO DE LUBRIFICAÇAO"</f>
        <v>SERVICO DE LUBRIFICAÇAO</v>
      </c>
      <c r="C22017" s="2" t="str">
        <f t="shared" ref="C22017:C22048" si="869">"UN"</f>
        <v>UN</v>
      </c>
      <c r="D22017" s="7">
        <v>704</v>
      </c>
      <c r="E22017" s="3">
        <v>9</v>
      </c>
      <c r="F22017" s="3">
        <v>9</v>
      </c>
      <c r="G22017" t="s">
        <v>514</v>
      </c>
    </row>
    <row r="22018" spans="1:7" x14ac:dyDescent="0.25">
      <c r="A22018" s="1" t="str">
        <f>"509420"</f>
        <v>509420</v>
      </c>
      <c r="B22018" s="2" t="str">
        <f>"SERVICO DE RECAPAGENS DE PNEU"</f>
        <v>SERVICO DE RECAPAGENS DE PNEU</v>
      </c>
      <c r="C22018" s="2" t="str">
        <f t="shared" si="869"/>
        <v>UN</v>
      </c>
      <c r="D22018" s="7">
        <v>704</v>
      </c>
      <c r="E22018" s="3">
        <v>9</v>
      </c>
      <c r="F22018" s="3">
        <v>9</v>
      </c>
      <c r="G22018" t="s">
        <v>512</v>
      </c>
    </row>
    <row r="22019" spans="1:7" x14ac:dyDescent="0.25">
      <c r="A22019" s="1" t="str">
        <f>"502488"</f>
        <v>502488</v>
      </c>
      <c r="B22019" s="2" t="str">
        <f>"SERVICO DE RECARGA DE EXTINTORES"</f>
        <v>SERVICO DE RECARGA DE EXTINTORES</v>
      </c>
      <c r="C22019" s="2" t="str">
        <f t="shared" si="869"/>
        <v>UN</v>
      </c>
      <c r="D22019" s="7">
        <v>402</v>
      </c>
      <c r="E22019" s="3">
        <v>4</v>
      </c>
      <c r="F22019" s="3">
        <v>4</v>
      </c>
      <c r="G22019" t="s">
        <v>513</v>
      </c>
    </row>
    <row r="22020" spans="1:7" x14ac:dyDescent="0.25">
      <c r="A22020" s="1" t="str">
        <f>"515763"</f>
        <v>515763</v>
      </c>
      <c r="B22020" s="2" t="str">
        <f>"SERVICO DE RECUPERACAO DE PISTAO"</f>
        <v>SERVICO DE RECUPERACAO DE PISTAO</v>
      </c>
      <c r="C22020" s="2" t="str">
        <f t="shared" si="869"/>
        <v>UN</v>
      </c>
      <c r="D22020" s="7">
        <v>1003</v>
      </c>
      <c r="E22020" s="3">
        <v>11</v>
      </c>
      <c r="F22020" s="3">
        <v>11</v>
      </c>
      <c r="G22020" t="s">
        <v>514</v>
      </c>
    </row>
    <row r="22021" spans="1:7" x14ac:dyDescent="0.25">
      <c r="A22021" s="1" t="str">
        <f>"514191"</f>
        <v>514191</v>
      </c>
      <c r="B22021" s="2" t="str">
        <f>"SERVICO DE RESFRIAMENTO DE LEITE"</f>
        <v>SERVICO DE RESFRIAMENTO DE LEITE</v>
      </c>
      <c r="C22021" s="2" t="str">
        <f t="shared" si="869"/>
        <v>UN</v>
      </c>
      <c r="D22021" s="7">
        <v>99999</v>
      </c>
      <c r="E22021" s="3">
        <v>99</v>
      </c>
      <c r="F22021" s="3">
        <v>99</v>
      </c>
      <c r="G22021" t="s">
        <v>514</v>
      </c>
    </row>
    <row r="22022" spans="1:7" x14ac:dyDescent="0.25">
      <c r="A22022" s="1" t="str">
        <f>"510088"</f>
        <v>510088</v>
      </c>
      <c r="B22022" s="2" t="str">
        <f>"SERVICO DE RETIFICA TAMBOR FREIO"</f>
        <v>SERVICO DE RETIFICA TAMBOR FREIO</v>
      </c>
      <c r="C22022" s="2" t="str">
        <f t="shared" si="869"/>
        <v>UN</v>
      </c>
      <c r="D22022" s="7">
        <v>918</v>
      </c>
      <c r="E22022" s="3">
        <v>11</v>
      </c>
      <c r="F22022" s="3">
        <v>11</v>
      </c>
      <c r="G22022" t="s">
        <v>514</v>
      </c>
    </row>
    <row r="22023" spans="1:7" x14ac:dyDescent="0.25">
      <c r="A22023" s="1" t="str">
        <f>"521595"</f>
        <v>521595</v>
      </c>
      <c r="B22023" s="2" t="str">
        <f>"SERVIÇO DE RETROFIT"</f>
        <v>SERVIÇO DE RETROFIT</v>
      </c>
      <c r="C22023" s="2" t="str">
        <f t="shared" si="869"/>
        <v>UN</v>
      </c>
      <c r="D22023" s="7">
        <v>99999</v>
      </c>
      <c r="E22023" s="3">
        <v>99</v>
      </c>
      <c r="F22023" s="3">
        <v>99</v>
      </c>
      <c r="G22023" t="s">
        <v>513</v>
      </c>
    </row>
    <row r="22024" spans="1:7" x14ac:dyDescent="0.25">
      <c r="A22024" s="1" t="str">
        <f>"507789"</f>
        <v>507789</v>
      </c>
      <c r="B22024" s="2" t="str">
        <f>"SERVICO DE SOCORRO"</f>
        <v>SERVICO DE SOCORRO</v>
      </c>
      <c r="C22024" s="2" t="str">
        <f t="shared" si="869"/>
        <v>UN</v>
      </c>
      <c r="D22024" s="7">
        <v>704</v>
      </c>
      <c r="E22024" s="3">
        <v>9</v>
      </c>
      <c r="F22024" s="3">
        <v>9</v>
      </c>
      <c r="G22024" t="s">
        <v>512</v>
      </c>
    </row>
    <row r="22025" spans="1:7" x14ac:dyDescent="0.25">
      <c r="A22025" s="1" t="str">
        <f>"TERCEIROS"</f>
        <v>TERCEIROS</v>
      </c>
      <c r="B22025" s="2" t="str">
        <f>"SERVICO DE TERCEIROS"</f>
        <v>SERVICO DE TERCEIROS</v>
      </c>
      <c r="C22025" s="2" t="str">
        <f t="shared" si="869"/>
        <v>UN</v>
      </c>
      <c r="D22025" s="7">
        <v>99999</v>
      </c>
      <c r="E22025" s="3">
        <v>99</v>
      </c>
      <c r="F22025" s="3">
        <v>99</v>
      </c>
      <c r="G22025" t="s">
        <v>513</v>
      </c>
    </row>
    <row r="22026" spans="1:7" x14ac:dyDescent="0.25">
      <c r="A22026" s="1" t="str">
        <f>"FRETE"</f>
        <v>FRETE</v>
      </c>
      <c r="B22026" s="2" t="str">
        <f>"SERVICO DE TRANSPORTE RODOVIARIO"</f>
        <v>SERVICO DE TRANSPORTE RODOVIARIO</v>
      </c>
      <c r="C22026" s="2" t="str">
        <f t="shared" si="869"/>
        <v>UN</v>
      </c>
      <c r="D22026" s="7">
        <v>99999</v>
      </c>
      <c r="E22026" s="3">
        <v>99</v>
      </c>
      <c r="F22026" s="3">
        <v>99</v>
      </c>
      <c r="G22026" t="s">
        <v>514</v>
      </c>
    </row>
    <row r="22027" spans="1:7" x14ac:dyDescent="0.25">
      <c r="A22027" s="1" t="str">
        <f>"573821"</f>
        <v>573821</v>
      </c>
      <c r="B22027" s="2" t="str">
        <f>"SERVIÇO PESSOA FÍSICA - ERGONOMIA"</f>
        <v>SERVIÇO PESSOA FÍSICA - ERGONOMIA</v>
      </c>
      <c r="C22027" s="2" t="str">
        <f t="shared" si="869"/>
        <v>UN</v>
      </c>
      <c r="D22027" s="7">
        <v>99999</v>
      </c>
      <c r="E22027" s="3">
        <v>99</v>
      </c>
      <c r="F22027" s="3">
        <v>99</v>
      </c>
      <c r="G22027" t="s">
        <v>514</v>
      </c>
    </row>
    <row r="22028" spans="1:7" x14ac:dyDescent="0.25">
      <c r="A22028" s="1" t="str">
        <f>"524073"</f>
        <v>524073</v>
      </c>
      <c r="B22028" s="2" t="str">
        <f>"SERVICO PESSOA JURIDICA -  MILKPOINT"</f>
        <v>SERVICO PESSOA JURIDICA -  MILKPOINT</v>
      </c>
      <c r="C22028" s="2" t="str">
        <f t="shared" si="869"/>
        <v>UN</v>
      </c>
      <c r="D22028" s="7">
        <v>99999</v>
      </c>
      <c r="E22028" s="3">
        <v>99</v>
      </c>
      <c r="F22028" s="3">
        <v>99</v>
      </c>
      <c r="G22028" t="s">
        <v>514</v>
      </c>
    </row>
    <row r="22029" spans="1:7" x14ac:dyDescent="0.25">
      <c r="A22029" s="1" t="str">
        <f>"525109"</f>
        <v>525109</v>
      </c>
      <c r="B22029" s="2" t="str">
        <f>"SERVICO PESSOA JURIDICA - ABASTECIMENTO COMBUSTIVEL"</f>
        <v>SERVICO PESSOA JURIDICA - ABASTECIMENTO COMBUSTIVEL</v>
      </c>
      <c r="C22029" s="2" t="str">
        <f t="shared" si="869"/>
        <v>UN</v>
      </c>
      <c r="D22029" s="7">
        <v>99999</v>
      </c>
      <c r="E22029" s="3">
        <v>99</v>
      </c>
      <c r="F22029" s="3">
        <v>99</v>
      </c>
      <c r="G22029" t="s">
        <v>513</v>
      </c>
    </row>
    <row r="22030" spans="1:7" x14ac:dyDescent="0.25">
      <c r="A22030" s="1" t="str">
        <f>"518306"</f>
        <v>518306</v>
      </c>
      <c r="B22030" s="2" t="str">
        <f>"SERVIÇO PESSOA JURIDICA - ACORDO COMERCIAL"</f>
        <v>SERVIÇO PESSOA JURIDICA - ACORDO COMERCIAL</v>
      </c>
      <c r="C22030" s="2" t="str">
        <f t="shared" si="869"/>
        <v>UN</v>
      </c>
      <c r="D22030" s="7">
        <v>99999</v>
      </c>
      <c r="E22030" s="3">
        <v>99</v>
      </c>
      <c r="F22030" s="3">
        <v>99</v>
      </c>
      <c r="G22030" t="s">
        <v>513</v>
      </c>
    </row>
    <row r="22031" spans="1:7" x14ac:dyDescent="0.25">
      <c r="A22031" s="1" t="str">
        <f>"525111"</f>
        <v>525111</v>
      </c>
      <c r="B22031" s="2" t="str">
        <f>"SERVICO PESSOA JURIDICA - ALIMENTAÇÃO/REFEIÇÃO"</f>
        <v>SERVICO PESSOA JURIDICA - ALIMENTAÇÃO/REFEIÇÃO</v>
      </c>
      <c r="C22031" s="2" t="str">
        <f t="shared" si="869"/>
        <v>UN</v>
      </c>
      <c r="D22031" s="7">
        <v>99999</v>
      </c>
      <c r="E22031" s="3">
        <v>99</v>
      </c>
      <c r="F22031" s="3">
        <v>99</v>
      </c>
      <c r="G22031" t="s">
        <v>513</v>
      </c>
    </row>
    <row r="22032" spans="1:7" x14ac:dyDescent="0.25">
      <c r="A22032" s="1" t="str">
        <f>"513195"</f>
        <v>513195</v>
      </c>
      <c r="B22032" s="2" t="str">
        <f>"SERVIÇO PESSOA JURIDICA - AMBIENTAL/EFLUENTE"</f>
        <v>SERVIÇO PESSOA JURIDICA - AMBIENTAL/EFLUENTE</v>
      </c>
      <c r="C22032" s="2" t="str">
        <f t="shared" si="869"/>
        <v>UN</v>
      </c>
      <c r="D22032" s="7">
        <v>99999</v>
      </c>
      <c r="E22032" s="3">
        <v>99</v>
      </c>
      <c r="F22032" s="3">
        <v>99</v>
      </c>
      <c r="G22032" t="s">
        <v>512</v>
      </c>
    </row>
    <row r="22033" spans="1:7" x14ac:dyDescent="0.25">
      <c r="A22033" s="1" t="str">
        <f>"523648"</f>
        <v>523648</v>
      </c>
      <c r="B22033" s="2" t="str">
        <f>"SERVIÇO PESSOA JURIDICA - AUDITORIAS"</f>
        <v>SERVIÇO PESSOA JURIDICA - AUDITORIAS</v>
      </c>
      <c r="C22033" s="2" t="str">
        <f t="shared" si="869"/>
        <v>UN</v>
      </c>
      <c r="D22033" s="7">
        <v>99999</v>
      </c>
      <c r="E22033" s="3">
        <v>99</v>
      </c>
      <c r="F22033" s="3">
        <v>99</v>
      </c>
      <c r="G22033" t="s">
        <v>513</v>
      </c>
    </row>
    <row r="22034" spans="1:7" x14ac:dyDescent="0.25">
      <c r="A22034" s="1" t="str">
        <f>"527293"</f>
        <v>527293</v>
      </c>
      <c r="B22034" s="2" t="str">
        <f>"SERVIÇO PESSOA JURIDICA - BORRACHARIA"</f>
        <v>SERVIÇO PESSOA JURIDICA - BORRACHARIA</v>
      </c>
      <c r="C22034" s="2" t="str">
        <f t="shared" si="869"/>
        <v>UN</v>
      </c>
      <c r="D22034" s="7">
        <v>99999</v>
      </c>
      <c r="E22034" s="3">
        <v>99</v>
      </c>
      <c r="F22034" s="3">
        <v>99</v>
      </c>
      <c r="G22034" t="s">
        <v>514</v>
      </c>
    </row>
    <row r="22035" spans="1:7" x14ac:dyDescent="0.25">
      <c r="A22035" s="1" t="str">
        <f>"523814"</f>
        <v>523814</v>
      </c>
      <c r="B22035" s="2" t="str">
        <f>"SERVIÇO PESSOA JURIDICA - BUFFET"</f>
        <v>SERVIÇO PESSOA JURIDICA - BUFFET</v>
      </c>
      <c r="C22035" s="2" t="str">
        <f t="shared" si="869"/>
        <v>UN</v>
      </c>
      <c r="D22035" s="7">
        <v>99999</v>
      </c>
      <c r="E22035" s="3">
        <v>99</v>
      </c>
      <c r="F22035" s="3">
        <v>99</v>
      </c>
      <c r="G22035" t="s">
        <v>515</v>
      </c>
    </row>
    <row r="22036" spans="1:7" x14ac:dyDescent="0.25">
      <c r="A22036" s="1" t="str">
        <f>"523656"</f>
        <v>523656</v>
      </c>
      <c r="B22036" s="2" t="str">
        <f>"SERVIÇO PESSOA JURIDICA - CALIBRAÇÃO EQUIPAMENTOS"</f>
        <v>SERVIÇO PESSOA JURIDICA - CALIBRAÇÃO EQUIPAMENTOS</v>
      </c>
      <c r="C22036" s="2" t="str">
        <f t="shared" si="869"/>
        <v>UN</v>
      </c>
      <c r="D22036" s="7">
        <v>99999</v>
      </c>
      <c r="E22036" s="3">
        <v>99</v>
      </c>
      <c r="F22036" s="3">
        <v>99</v>
      </c>
      <c r="G22036" t="s">
        <v>512</v>
      </c>
    </row>
    <row r="22037" spans="1:7" x14ac:dyDescent="0.25">
      <c r="A22037" s="1" t="str">
        <f>"527407"</f>
        <v>527407</v>
      </c>
      <c r="B22037" s="2" t="str">
        <f>"SERVICO PESSOA JURIDICA - CERTIFICADO DIGITAL"</f>
        <v>SERVICO PESSOA JURIDICA - CERTIFICADO DIGITAL</v>
      </c>
      <c r="C22037" s="2" t="str">
        <f t="shared" si="869"/>
        <v>UN</v>
      </c>
      <c r="D22037" s="7">
        <v>99999</v>
      </c>
      <c r="E22037" s="3">
        <v>99</v>
      </c>
      <c r="F22037" s="3">
        <v>99</v>
      </c>
      <c r="G22037" t="s">
        <v>516</v>
      </c>
    </row>
    <row r="22038" spans="1:7" x14ac:dyDescent="0.25">
      <c r="A22038" s="1" t="str">
        <f>"525176"</f>
        <v>525176</v>
      </c>
      <c r="B22038" s="2" t="str">
        <f>"SERVIÇO PESSOA JURIDICA - CHAVEIRO"</f>
        <v>SERVIÇO PESSOA JURIDICA - CHAVEIRO</v>
      </c>
      <c r="C22038" s="2" t="str">
        <f t="shared" si="869"/>
        <v>UN</v>
      </c>
      <c r="D22038" s="7">
        <v>99999</v>
      </c>
      <c r="E22038" s="3">
        <v>99</v>
      </c>
      <c r="F22038" s="3">
        <v>99</v>
      </c>
      <c r="G22038" t="s">
        <v>515</v>
      </c>
    </row>
    <row r="22039" spans="1:7" x14ac:dyDescent="0.25">
      <c r="A22039" s="1" t="str">
        <f>"523980"</f>
        <v>523980</v>
      </c>
      <c r="B22039" s="2" t="str">
        <f>"SERVICO PESSOA JURIDICA - COBRANÇA"</f>
        <v>SERVICO PESSOA JURIDICA - COBRANÇA</v>
      </c>
      <c r="C22039" s="2" t="str">
        <f t="shared" si="869"/>
        <v>UN</v>
      </c>
      <c r="D22039" s="7">
        <v>99999</v>
      </c>
      <c r="E22039" s="3">
        <v>99</v>
      </c>
      <c r="F22039" s="3">
        <v>99</v>
      </c>
      <c r="G22039" t="s">
        <v>514</v>
      </c>
    </row>
    <row r="22040" spans="1:7" x14ac:dyDescent="0.25">
      <c r="A22040" s="1" t="str">
        <f>"512507"</f>
        <v>512507</v>
      </c>
      <c r="B22040" s="2" t="str">
        <f>"SERVIÇO PESSOA JURIDICA - CORTE DOBRA CHAPAS"</f>
        <v>SERVIÇO PESSOA JURIDICA - CORTE DOBRA CHAPAS</v>
      </c>
      <c r="C22040" s="2" t="str">
        <f t="shared" si="869"/>
        <v>UN</v>
      </c>
      <c r="D22040" s="7">
        <v>803</v>
      </c>
      <c r="E22040" s="3">
        <v>10</v>
      </c>
      <c r="F22040" s="3">
        <v>10</v>
      </c>
      <c r="G22040" t="s">
        <v>512</v>
      </c>
    </row>
    <row r="22041" spans="1:7" x14ac:dyDescent="0.25">
      <c r="A22041" s="1" t="str">
        <f>"525274"</f>
        <v>525274</v>
      </c>
      <c r="B22041" s="2" t="str">
        <f>"SERVIÇO PESSOA JURIDICA - COSTUREIRA"</f>
        <v>SERVIÇO PESSOA JURIDICA - COSTUREIRA</v>
      </c>
      <c r="C22041" s="2" t="str">
        <f t="shared" si="869"/>
        <v>UN</v>
      </c>
      <c r="D22041" s="7">
        <v>99999</v>
      </c>
      <c r="E22041" s="3">
        <v>99</v>
      </c>
      <c r="F22041" s="3">
        <v>99</v>
      </c>
      <c r="G22041" t="s">
        <v>513</v>
      </c>
    </row>
    <row r="22042" spans="1:7" x14ac:dyDescent="0.25">
      <c r="A22042" s="1" t="str">
        <f>"518340"</f>
        <v>518340</v>
      </c>
      <c r="B22042" s="2" t="str">
        <f>"SERVIÇO PESSOA JURIDICA - CURSOS E TREINAMENTOS"</f>
        <v>SERVIÇO PESSOA JURIDICA - CURSOS E TREINAMENTOS</v>
      </c>
      <c r="C22042" s="2" t="str">
        <f t="shared" si="869"/>
        <v>UN</v>
      </c>
      <c r="D22042" s="7">
        <v>99999</v>
      </c>
      <c r="E22042" s="3">
        <v>99</v>
      </c>
      <c r="F22042" s="3">
        <v>99</v>
      </c>
      <c r="G22042" t="s">
        <v>514</v>
      </c>
    </row>
    <row r="22043" spans="1:7" x14ac:dyDescent="0.25">
      <c r="A22043" s="1" t="str">
        <f>"523649"</f>
        <v>523649</v>
      </c>
      <c r="B22043" s="2" t="str">
        <f>"SERVIÇO PESSOA JURIDICA - DESIGNER DE EMBALAGENS"</f>
        <v>SERVIÇO PESSOA JURIDICA - DESIGNER DE EMBALAGENS</v>
      </c>
      <c r="C22043" s="2" t="str">
        <f t="shared" si="869"/>
        <v>UN</v>
      </c>
      <c r="D22043" s="7">
        <v>99999</v>
      </c>
      <c r="E22043" s="3">
        <v>99</v>
      </c>
      <c r="F22043" s="3">
        <v>99</v>
      </c>
      <c r="G22043" t="s">
        <v>514</v>
      </c>
    </row>
    <row r="22044" spans="1:7" x14ac:dyDescent="0.25">
      <c r="A22044" s="1" t="str">
        <f>"525242"</f>
        <v>525242</v>
      </c>
      <c r="B22044" s="2" t="str">
        <f>"SERVIÇO PESSOA JURIDICA - DESPESAS ARNAUD"</f>
        <v>SERVIÇO PESSOA JURIDICA - DESPESAS ARNAUD</v>
      </c>
      <c r="C22044" s="2" t="str">
        <f t="shared" si="869"/>
        <v>UN</v>
      </c>
      <c r="D22044" s="7">
        <v>99999</v>
      </c>
      <c r="E22044" s="3">
        <v>99</v>
      </c>
      <c r="F22044" s="3">
        <v>99</v>
      </c>
      <c r="G22044" t="s">
        <v>512</v>
      </c>
    </row>
    <row r="22045" spans="1:7" x14ac:dyDescent="0.25">
      <c r="A22045" s="1" t="str">
        <f>"525182"</f>
        <v>525182</v>
      </c>
      <c r="B22045" s="2" t="str">
        <f>"SERVICO PESSOA JURIDICA - ECONET"</f>
        <v>SERVICO PESSOA JURIDICA - ECONET</v>
      </c>
      <c r="C22045" s="2" t="str">
        <f t="shared" si="869"/>
        <v>UN</v>
      </c>
      <c r="D22045" s="7">
        <v>99999</v>
      </c>
      <c r="E22045" s="3">
        <v>99</v>
      </c>
      <c r="F22045" s="3">
        <v>99</v>
      </c>
      <c r="G22045" t="s">
        <v>513</v>
      </c>
    </row>
    <row r="22046" spans="1:7" x14ac:dyDescent="0.25">
      <c r="A22046" s="1" t="str">
        <f>"525130"</f>
        <v>525130</v>
      </c>
      <c r="B22046" s="2" t="str">
        <f>"SERVIÇO PESSOA JURIDICA - ESTACIONAMENTO"</f>
        <v>SERVIÇO PESSOA JURIDICA - ESTACIONAMENTO</v>
      </c>
      <c r="C22046" s="2" t="str">
        <f t="shared" si="869"/>
        <v>UN</v>
      </c>
      <c r="D22046" s="7">
        <v>99999</v>
      </c>
      <c r="E22046" s="3">
        <v>99</v>
      </c>
      <c r="F22046" s="3">
        <v>99</v>
      </c>
      <c r="G22046" t="s">
        <v>514</v>
      </c>
    </row>
    <row r="22047" spans="1:7" x14ac:dyDescent="0.25">
      <c r="A22047" s="1" t="str">
        <f>"513187"</f>
        <v>513187</v>
      </c>
      <c r="B22047" s="2" t="str">
        <f>"SERVICO PESSOA JURIDICA - FABRICA"</f>
        <v>SERVICO PESSOA JURIDICA - FABRICA</v>
      </c>
      <c r="C22047" s="2" t="str">
        <f t="shared" si="869"/>
        <v>UN</v>
      </c>
      <c r="D22047" s="7">
        <v>99999</v>
      </c>
      <c r="E22047" s="3">
        <v>4</v>
      </c>
      <c r="F22047" s="3">
        <v>4</v>
      </c>
      <c r="G22047" t="s">
        <v>514</v>
      </c>
    </row>
    <row r="22048" spans="1:7" x14ac:dyDescent="0.25">
      <c r="A22048" s="1" t="str">
        <f>"513188"</f>
        <v>513188</v>
      </c>
      <c r="B22048" s="2" t="str">
        <f>"SERVICO PESSOA JURIDICA - GERAL"</f>
        <v>SERVICO PESSOA JURIDICA - GERAL</v>
      </c>
      <c r="C22048" s="2" t="str">
        <f t="shared" si="869"/>
        <v>UN</v>
      </c>
      <c r="D22048" s="7">
        <v>401</v>
      </c>
      <c r="E22048" s="3">
        <v>4</v>
      </c>
      <c r="F22048" s="3">
        <v>4</v>
      </c>
      <c r="G22048" t="s">
        <v>514</v>
      </c>
    </row>
    <row r="22049" spans="1:7" x14ac:dyDescent="0.25">
      <c r="A22049" s="1" t="str">
        <f>"527548"</f>
        <v>527548</v>
      </c>
      <c r="B22049" s="2" t="str">
        <f>"SERVICO PESSOA JURIDICA - GERAL"</f>
        <v>SERVICO PESSOA JURIDICA - GERAL</v>
      </c>
      <c r="C22049" s="2" t="str">
        <f t="shared" ref="C22049:C22080" si="870">"UN"</f>
        <v>UN</v>
      </c>
      <c r="D22049" s="7">
        <v>99999</v>
      </c>
      <c r="E22049" s="3">
        <v>99</v>
      </c>
      <c r="F22049" s="3">
        <v>99</v>
      </c>
      <c r="G22049" t="s">
        <v>513</v>
      </c>
    </row>
    <row r="22050" spans="1:7" x14ac:dyDescent="0.25">
      <c r="A22050" s="1" t="str">
        <f>"527286"</f>
        <v>527286</v>
      </c>
      <c r="B22050" s="2" t="str">
        <f>"SERVICO PESSOA JURIDICA - GESTÃO DE LICENÇAS"</f>
        <v>SERVICO PESSOA JURIDICA - GESTÃO DE LICENÇAS</v>
      </c>
      <c r="C22050" s="2" t="str">
        <f t="shared" si="870"/>
        <v>UN</v>
      </c>
      <c r="D22050" s="7">
        <v>99999</v>
      </c>
      <c r="E22050" s="3">
        <v>99</v>
      </c>
      <c r="F22050" s="3">
        <v>99</v>
      </c>
      <c r="G22050" t="s">
        <v>512</v>
      </c>
    </row>
    <row r="22051" spans="1:7" x14ac:dyDescent="0.25">
      <c r="A22051" s="1" t="str">
        <f>"523650"</f>
        <v>523650</v>
      </c>
      <c r="B22051" s="2" t="str">
        <f>"SERVIÇO PESSOA JURIDICA - HONORARIOS ADVOCATICIOS"</f>
        <v>SERVIÇO PESSOA JURIDICA - HONORARIOS ADVOCATICIOS</v>
      </c>
      <c r="C22051" s="2" t="str">
        <f t="shared" si="870"/>
        <v>UN</v>
      </c>
      <c r="D22051" s="7">
        <v>99999</v>
      </c>
      <c r="E22051" s="3">
        <v>99</v>
      </c>
      <c r="F22051" s="3">
        <v>99</v>
      </c>
      <c r="G22051" t="s">
        <v>513</v>
      </c>
    </row>
    <row r="22052" spans="1:7" x14ac:dyDescent="0.25">
      <c r="A22052" s="1" t="str">
        <f>"513197"</f>
        <v>513197</v>
      </c>
      <c r="B22052" s="2" t="str">
        <f>"SERVICO PESSOA JURIDICA - HOSPEDAGEM"</f>
        <v>SERVICO PESSOA JURIDICA - HOSPEDAGEM</v>
      </c>
      <c r="C22052" s="2" t="str">
        <f t="shared" si="870"/>
        <v>UN</v>
      </c>
      <c r="D22052" s="7">
        <v>401</v>
      </c>
      <c r="E22052" s="3">
        <v>4</v>
      </c>
      <c r="F22052" s="3">
        <v>4</v>
      </c>
      <c r="G22052" t="s">
        <v>514</v>
      </c>
    </row>
    <row r="22053" spans="1:7" x14ac:dyDescent="0.25">
      <c r="A22053" s="1" t="str">
        <f>"513297"</f>
        <v>513297</v>
      </c>
      <c r="B22053" s="2" t="str">
        <f>"SERVICO PESSOA JURIDICA - IMPORTAÇÃO"</f>
        <v>SERVICO PESSOA JURIDICA - IMPORTAÇÃO</v>
      </c>
      <c r="C22053" s="2" t="str">
        <f t="shared" si="870"/>
        <v>UN</v>
      </c>
      <c r="D22053" s="7">
        <v>99999</v>
      </c>
      <c r="E22053" s="3">
        <v>99</v>
      </c>
      <c r="F22053" s="3">
        <v>99</v>
      </c>
      <c r="G22053" t="s">
        <v>514</v>
      </c>
    </row>
    <row r="22054" spans="1:7" x14ac:dyDescent="0.25">
      <c r="A22054" s="1" t="str">
        <f>"523986"</f>
        <v>523986</v>
      </c>
      <c r="B22054" s="2" t="str">
        <f>"SERVIÇO PESSOA JURIDICA - IOB"</f>
        <v>SERVIÇO PESSOA JURIDICA - IOB</v>
      </c>
      <c r="C22054" s="2" t="str">
        <f t="shared" si="870"/>
        <v>UN</v>
      </c>
      <c r="D22054" s="7">
        <v>99999</v>
      </c>
      <c r="E22054" s="3">
        <v>99</v>
      </c>
      <c r="F22054" s="3">
        <v>99</v>
      </c>
      <c r="G22054" t="s">
        <v>514</v>
      </c>
    </row>
    <row r="22055" spans="1:7" x14ac:dyDescent="0.25">
      <c r="A22055" s="1" t="str">
        <f>"525150"</f>
        <v>525150</v>
      </c>
      <c r="B22055" s="2" t="str">
        <f>"SERVIÇO PESSOA JURIDICA - LAVANDERIA"</f>
        <v>SERVIÇO PESSOA JURIDICA - LAVANDERIA</v>
      </c>
      <c r="C22055" s="2" t="str">
        <f t="shared" si="870"/>
        <v>UN</v>
      </c>
      <c r="D22055" s="7">
        <v>99999</v>
      </c>
      <c r="E22055" s="3">
        <v>99</v>
      </c>
      <c r="F22055" s="3">
        <v>99</v>
      </c>
      <c r="G22055" t="s">
        <v>513</v>
      </c>
    </row>
    <row r="22056" spans="1:7" x14ac:dyDescent="0.25">
      <c r="A22056" s="1" t="str">
        <f>"525127"</f>
        <v>525127</v>
      </c>
      <c r="B22056" s="2" t="str">
        <f>"SERVIÇO PESSOA JURIDICA - LIMPEZA"</f>
        <v>SERVIÇO PESSOA JURIDICA - LIMPEZA</v>
      </c>
      <c r="C22056" s="2" t="str">
        <f t="shared" si="870"/>
        <v>UN</v>
      </c>
      <c r="D22056" s="7">
        <v>99999</v>
      </c>
      <c r="E22056" s="3">
        <v>99</v>
      </c>
      <c r="F22056" s="3">
        <v>99</v>
      </c>
      <c r="G22056" t="s">
        <v>513</v>
      </c>
    </row>
    <row r="22057" spans="1:7" x14ac:dyDescent="0.25">
      <c r="A22057" s="1" t="str">
        <f>"525110"</f>
        <v>525110</v>
      </c>
      <c r="B22057" s="2" t="str">
        <f>"SERVICO PESSOA JURIDICA - LOCAÇÃO"</f>
        <v>SERVICO PESSOA JURIDICA - LOCAÇÃO</v>
      </c>
      <c r="C22057" s="2" t="str">
        <f t="shared" si="870"/>
        <v>UN</v>
      </c>
      <c r="D22057" s="7">
        <v>99999</v>
      </c>
      <c r="E22057" s="3">
        <v>99</v>
      </c>
      <c r="F22057" s="3">
        <v>99</v>
      </c>
      <c r="G22057" t="s">
        <v>513</v>
      </c>
    </row>
    <row r="22058" spans="1:7" x14ac:dyDescent="0.25">
      <c r="A22058" s="1" t="str">
        <f>"523767"</f>
        <v>523767</v>
      </c>
      <c r="B22058" s="2" t="str">
        <f>"SERVIÇO PESSOA JURIDICA - MANIPULAÇÃO DE MEDICAMENTOS"</f>
        <v>SERVIÇO PESSOA JURIDICA - MANIPULAÇÃO DE MEDICAMENTOS</v>
      </c>
      <c r="C22058" s="2" t="str">
        <f t="shared" si="870"/>
        <v>UN</v>
      </c>
      <c r="D22058" s="7">
        <v>99999</v>
      </c>
      <c r="E22058" s="3">
        <v>99</v>
      </c>
      <c r="F22058" s="3">
        <v>99</v>
      </c>
      <c r="G22058" t="s">
        <v>512</v>
      </c>
    </row>
    <row r="22059" spans="1:7" x14ac:dyDescent="0.25">
      <c r="A22059" s="1" t="str">
        <f>"513200"</f>
        <v>513200</v>
      </c>
      <c r="B22059" s="2" t="str">
        <f>"SERVICO PESSOA JURIDICA - MANUTENÇÃO INFORMATICA"</f>
        <v>SERVICO PESSOA JURIDICA - MANUTENÇÃO INFORMATICA</v>
      </c>
      <c r="C22059" s="2" t="str">
        <f t="shared" si="870"/>
        <v>UN</v>
      </c>
      <c r="D22059" s="7">
        <v>401</v>
      </c>
      <c r="E22059" s="3">
        <v>4</v>
      </c>
      <c r="F22059" s="3">
        <v>4</v>
      </c>
      <c r="G22059" t="s">
        <v>513</v>
      </c>
    </row>
    <row r="22060" spans="1:7" x14ac:dyDescent="0.25">
      <c r="A22060" s="1" t="str">
        <f>"513199"</f>
        <v>513199</v>
      </c>
      <c r="B22060" s="2" t="str">
        <f>"SERVICO PESSOA JURIDICA - MANUTENÇÃO MAQUINAS E EQUIPAMENTOS"</f>
        <v>SERVICO PESSOA JURIDICA - MANUTENÇÃO MAQUINAS E EQUIPAMENTOS</v>
      </c>
      <c r="C22060" s="2" t="str">
        <f t="shared" si="870"/>
        <v>UN</v>
      </c>
      <c r="D22060" s="7">
        <v>401</v>
      </c>
      <c r="E22060" s="3">
        <v>4</v>
      </c>
      <c r="F22060" s="3">
        <v>4</v>
      </c>
      <c r="G22060" t="s">
        <v>514</v>
      </c>
    </row>
    <row r="22061" spans="1:7" x14ac:dyDescent="0.25">
      <c r="A22061" s="1" t="str">
        <f>"525126"</f>
        <v>525126</v>
      </c>
      <c r="B22061" s="2" t="str">
        <f>"SERVIÇO PESSOA JURIDICA - MÃO DE OBRA TEMPORARIA"</f>
        <v>SERVIÇO PESSOA JURIDICA - MÃO DE OBRA TEMPORARIA</v>
      </c>
      <c r="C22061" s="2" t="str">
        <f t="shared" si="870"/>
        <v>UN</v>
      </c>
      <c r="D22061" s="7">
        <v>99999</v>
      </c>
      <c r="E22061" s="3">
        <v>99</v>
      </c>
      <c r="F22061" s="3">
        <v>99</v>
      </c>
      <c r="G22061" t="s">
        <v>515</v>
      </c>
    </row>
    <row r="22062" spans="1:7" x14ac:dyDescent="0.25">
      <c r="A22062" s="1" t="str">
        <f>"527882"</f>
        <v>527882</v>
      </c>
      <c r="B22062" s="2" t="str">
        <f>"SERVICO PESSOA JURIDICA - MEDIÇÃO DE GAZES"</f>
        <v>SERVICO PESSOA JURIDICA - MEDIÇÃO DE GAZES</v>
      </c>
      <c r="C22062" s="2" t="str">
        <f t="shared" si="870"/>
        <v>UN</v>
      </c>
      <c r="D22062" s="7">
        <v>99999</v>
      </c>
      <c r="E22062" s="3">
        <v>99</v>
      </c>
      <c r="F22062" s="3">
        <v>99</v>
      </c>
      <c r="G22062" t="s">
        <v>512</v>
      </c>
    </row>
    <row r="22063" spans="1:7" x14ac:dyDescent="0.25">
      <c r="A22063" s="1" t="str">
        <f>"525112"</f>
        <v>525112</v>
      </c>
      <c r="B22063" s="2" t="str">
        <f>"SERVICO PESSOA JURIDICA - MEDICINA DO TRABALHO"</f>
        <v>SERVICO PESSOA JURIDICA - MEDICINA DO TRABALHO</v>
      </c>
      <c r="C22063" s="2" t="str">
        <f t="shared" si="870"/>
        <v>UN</v>
      </c>
      <c r="D22063" s="7">
        <v>99999</v>
      </c>
      <c r="E22063" s="3">
        <v>99</v>
      </c>
      <c r="F22063" s="3">
        <v>99</v>
      </c>
      <c r="G22063" t="s">
        <v>516</v>
      </c>
    </row>
    <row r="22064" spans="1:7" x14ac:dyDescent="0.25">
      <c r="A22064" s="1" t="str">
        <f>"525131"</f>
        <v>525131</v>
      </c>
      <c r="B22064" s="2" t="str">
        <f>"SERVIÇO PESSOA JURIDICA - MONITORAMENTO"</f>
        <v>SERVIÇO PESSOA JURIDICA - MONITORAMENTO</v>
      </c>
      <c r="C22064" s="2" t="str">
        <f t="shared" si="870"/>
        <v>UN</v>
      </c>
      <c r="D22064" s="7">
        <v>99999</v>
      </c>
      <c r="E22064" s="3">
        <v>99</v>
      </c>
      <c r="F22064" s="3">
        <v>99</v>
      </c>
      <c r="G22064" t="s">
        <v>515</v>
      </c>
    </row>
    <row r="22065" spans="1:7" x14ac:dyDescent="0.25">
      <c r="A22065" s="1" t="str">
        <f>"525132"</f>
        <v>525132</v>
      </c>
      <c r="B22065" s="2" t="str">
        <f>"SERVIÇO PESSOA JURIDICA - MUNK"</f>
        <v>SERVIÇO PESSOA JURIDICA - MUNK</v>
      </c>
      <c r="C22065" s="2" t="str">
        <f t="shared" si="870"/>
        <v>UN</v>
      </c>
      <c r="D22065" s="7">
        <v>99999</v>
      </c>
      <c r="E22065" s="3">
        <v>99</v>
      </c>
      <c r="F22065" s="3">
        <v>99</v>
      </c>
      <c r="G22065" t="s">
        <v>514</v>
      </c>
    </row>
    <row r="22066" spans="1:7" x14ac:dyDescent="0.25">
      <c r="A22066" s="1" t="str">
        <f>"523664"</f>
        <v>523664</v>
      </c>
      <c r="B22066" s="2" t="str">
        <f>"SERVICO PESSOA JURIDICA - PAGAMENTO CONVENIO"</f>
        <v>SERVICO PESSOA JURIDICA - PAGAMENTO CONVENIO</v>
      </c>
      <c r="C22066" s="2" t="str">
        <f t="shared" si="870"/>
        <v>UN</v>
      </c>
      <c r="D22066" s="7">
        <v>99999</v>
      </c>
      <c r="E22066" s="3">
        <v>99</v>
      </c>
      <c r="F22066" s="3">
        <v>99</v>
      </c>
      <c r="G22066" t="s">
        <v>512</v>
      </c>
    </row>
    <row r="22067" spans="1:7" x14ac:dyDescent="0.25">
      <c r="A22067" s="1" t="str">
        <f>"523813"</f>
        <v>523813</v>
      </c>
      <c r="B22067" s="2" t="str">
        <f>"SERVIÇO PESSOA JURIDICA - PESQUISAS E INFORMAÇÕES"</f>
        <v>SERVIÇO PESSOA JURIDICA - PESQUISAS E INFORMAÇÕES</v>
      </c>
      <c r="C22067" s="2" t="str">
        <f t="shared" si="870"/>
        <v>UN</v>
      </c>
      <c r="D22067" s="7">
        <v>99999</v>
      </c>
      <c r="E22067" s="3">
        <v>99</v>
      </c>
      <c r="F22067" s="3">
        <v>99</v>
      </c>
      <c r="G22067" t="s">
        <v>513</v>
      </c>
    </row>
    <row r="22068" spans="1:7" x14ac:dyDescent="0.25">
      <c r="A22068" s="1" t="str">
        <f>"526355"</f>
        <v>526355</v>
      </c>
      <c r="B22068" s="2" t="str">
        <f>"SERVICO PESSOA JURIDICA - POLITICA LEITEIRA"</f>
        <v>SERVICO PESSOA JURIDICA - POLITICA LEITEIRA</v>
      </c>
      <c r="C22068" s="2" t="str">
        <f t="shared" si="870"/>
        <v>UN</v>
      </c>
      <c r="D22068" s="7">
        <v>401</v>
      </c>
      <c r="E22068" s="3">
        <v>4</v>
      </c>
      <c r="F22068" s="3">
        <v>4</v>
      </c>
      <c r="G22068" t="s">
        <v>514</v>
      </c>
    </row>
    <row r="22069" spans="1:7" x14ac:dyDescent="0.25">
      <c r="A22069" s="1" t="str">
        <f>"525202"</f>
        <v>525202</v>
      </c>
      <c r="B22069" s="2" t="str">
        <f>"SERVIÇO PESSOA JURIDICA - PROJETO BOMBEIRO"</f>
        <v>SERVIÇO PESSOA JURIDICA - PROJETO BOMBEIRO</v>
      </c>
      <c r="C22069" s="2" t="str">
        <f t="shared" si="870"/>
        <v>UN</v>
      </c>
      <c r="D22069" s="7">
        <v>99999</v>
      </c>
      <c r="E22069" s="3">
        <v>99</v>
      </c>
      <c r="F22069" s="3">
        <v>99</v>
      </c>
      <c r="G22069" t="s">
        <v>514</v>
      </c>
    </row>
    <row r="22070" spans="1:7" x14ac:dyDescent="0.25">
      <c r="A22070" s="1" t="str">
        <f>"524285"</f>
        <v>524285</v>
      </c>
      <c r="B22070" s="2" t="str">
        <f>"SERVIÇO PESSOA JURÍDICA - PROMOÇÃO"</f>
        <v>SERVIÇO PESSOA JURÍDICA - PROMOÇÃO</v>
      </c>
      <c r="C22070" s="2" t="str">
        <f t="shared" si="870"/>
        <v>UN</v>
      </c>
      <c r="D22070" s="7">
        <v>99999</v>
      </c>
      <c r="E22070" s="3">
        <v>99</v>
      </c>
      <c r="F22070" s="3">
        <v>99</v>
      </c>
      <c r="G22070" t="s">
        <v>512</v>
      </c>
    </row>
    <row r="22071" spans="1:7" x14ac:dyDescent="0.25">
      <c r="A22071" s="1" t="str">
        <f>"513198"</f>
        <v>513198</v>
      </c>
      <c r="B22071" s="2" t="str">
        <f>"SERVICO PESSOA JURIDICA - PROMOTORES"</f>
        <v>SERVICO PESSOA JURIDICA - PROMOTORES</v>
      </c>
      <c r="C22071" s="2" t="str">
        <f t="shared" si="870"/>
        <v>UN</v>
      </c>
      <c r="D22071" s="7">
        <v>401</v>
      </c>
      <c r="E22071" s="3">
        <v>4</v>
      </c>
      <c r="F22071" s="3">
        <v>4</v>
      </c>
      <c r="G22071" t="s">
        <v>513</v>
      </c>
    </row>
    <row r="22072" spans="1:7" x14ac:dyDescent="0.25">
      <c r="A22072" s="1" t="str">
        <f>"515000"</f>
        <v>515000</v>
      </c>
      <c r="B22072" s="2" t="str">
        <f>"SERVICO PESSOA JURIDICA - PUBLICIDADE E PROPAGANDA"</f>
        <v>SERVICO PESSOA JURIDICA - PUBLICIDADE E PROPAGANDA</v>
      </c>
      <c r="C22072" s="2" t="str">
        <f t="shared" si="870"/>
        <v>UN</v>
      </c>
      <c r="D22072" s="7">
        <v>401</v>
      </c>
      <c r="E22072" s="3">
        <v>4</v>
      </c>
      <c r="F22072" s="3">
        <v>4</v>
      </c>
      <c r="G22072" t="s">
        <v>514</v>
      </c>
    </row>
    <row r="22073" spans="1:7" x14ac:dyDescent="0.25">
      <c r="A22073" s="1" t="str">
        <f>"513196"</f>
        <v>513196</v>
      </c>
      <c r="B22073" s="2" t="str">
        <f>"SERVIÇO PESSOA JURIDICA - QUALIDADE"</f>
        <v>SERVIÇO PESSOA JURIDICA - QUALIDADE</v>
      </c>
      <c r="C22073" s="2" t="str">
        <f t="shared" si="870"/>
        <v>UN</v>
      </c>
      <c r="D22073" s="7">
        <v>99999</v>
      </c>
      <c r="E22073" s="3">
        <v>99</v>
      </c>
      <c r="F22073" s="3">
        <v>99</v>
      </c>
      <c r="G22073" t="s">
        <v>514</v>
      </c>
    </row>
    <row r="22074" spans="1:7" x14ac:dyDescent="0.25">
      <c r="A22074" s="1" t="str">
        <f>"513201"</f>
        <v>513201</v>
      </c>
      <c r="B22074" s="2" t="str">
        <f>"SERVICO PESSOA JURIDICA - RASTREAMENTO POR SATELITE"</f>
        <v>SERVICO PESSOA JURIDICA - RASTREAMENTO POR SATELITE</v>
      </c>
      <c r="C22074" s="2" t="str">
        <f t="shared" si="870"/>
        <v>UN</v>
      </c>
      <c r="D22074" s="7">
        <v>401</v>
      </c>
      <c r="E22074" s="3">
        <v>4</v>
      </c>
      <c r="F22074" s="3">
        <v>4</v>
      </c>
      <c r="G22074" t="s">
        <v>514</v>
      </c>
    </row>
    <row r="22075" spans="1:7" x14ac:dyDescent="0.25">
      <c r="A22075" s="1" t="str">
        <f>"525248"</f>
        <v>525248</v>
      </c>
      <c r="B22075" s="2" t="str">
        <f>"SERVIÇO PESSOA JURIDICA - RECARGA DE EXTINTOR"</f>
        <v>SERVIÇO PESSOA JURIDICA - RECARGA DE EXTINTOR</v>
      </c>
      <c r="C22075" s="2" t="str">
        <f t="shared" si="870"/>
        <v>UN</v>
      </c>
      <c r="D22075" s="7">
        <v>99999</v>
      </c>
      <c r="E22075" s="3">
        <v>99</v>
      </c>
      <c r="F22075" s="3">
        <v>99</v>
      </c>
      <c r="G22075" t="s">
        <v>513</v>
      </c>
    </row>
    <row r="22076" spans="1:7" x14ac:dyDescent="0.25">
      <c r="A22076" s="1" t="str">
        <f>"513202"</f>
        <v>513202</v>
      </c>
      <c r="B22076" s="2" t="str">
        <f>"SERVIÇO PESSOA JURIDICA - RECICLAGEM"</f>
        <v>SERVIÇO PESSOA JURIDICA - RECICLAGEM</v>
      </c>
      <c r="C22076" s="2" t="str">
        <f t="shared" si="870"/>
        <v>UN</v>
      </c>
      <c r="D22076" s="7">
        <v>99999</v>
      </c>
      <c r="E22076" s="3">
        <v>99</v>
      </c>
      <c r="F22076" s="3">
        <v>99</v>
      </c>
      <c r="G22076" t="s">
        <v>512</v>
      </c>
    </row>
    <row r="22077" spans="1:7" x14ac:dyDescent="0.25">
      <c r="A22077" s="1" t="str">
        <f>"527154"</f>
        <v>527154</v>
      </c>
      <c r="B22077" s="2" t="str">
        <f>"SERVICO PESSOA JURIDICA - RECRUTAMENTO &amp; SELEÇÃO"</f>
        <v>SERVICO PESSOA JURIDICA - RECRUTAMENTO &amp; SELEÇÃO</v>
      </c>
      <c r="C22077" s="2" t="str">
        <f t="shared" si="870"/>
        <v>UN</v>
      </c>
      <c r="D22077" s="7">
        <v>99999</v>
      </c>
      <c r="E22077" s="3">
        <v>99</v>
      </c>
      <c r="F22077" s="3">
        <v>99</v>
      </c>
      <c r="G22077" t="s">
        <v>513</v>
      </c>
    </row>
    <row r="22078" spans="1:7" x14ac:dyDescent="0.25">
      <c r="A22078" s="1" t="str">
        <f>"527392"</f>
        <v>527392</v>
      </c>
      <c r="B22078" s="2" t="str">
        <f>"SERVIÇO PESSOA JURIDICA - RECUPERAÇÃO SELO MECANICO"</f>
        <v>SERVIÇO PESSOA JURIDICA - RECUPERAÇÃO SELO MECANICO</v>
      </c>
      <c r="C22078" s="2" t="str">
        <f t="shared" si="870"/>
        <v>UN</v>
      </c>
      <c r="D22078" s="7">
        <v>99999</v>
      </c>
      <c r="E22078" s="3">
        <v>99</v>
      </c>
      <c r="F22078" s="3">
        <v>99</v>
      </c>
      <c r="G22078" t="s">
        <v>514</v>
      </c>
    </row>
    <row r="22079" spans="1:7" x14ac:dyDescent="0.25">
      <c r="A22079" s="1" t="str">
        <f>"523712"</f>
        <v>523712</v>
      </c>
      <c r="B22079" s="2" t="str">
        <f>"SERVIÇO PESSOA JURIDICA - REFORMAS PREDIAIS"</f>
        <v>SERVIÇO PESSOA JURIDICA - REFORMAS PREDIAIS</v>
      </c>
      <c r="C22079" s="2" t="str">
        <f t="shared" si="870"/>
        <v>UN</v>
      </c>
      <c r="D22079" s="7">
        <v>99999</v>
      </c>
      <c r="E22079" s="3">
        <v>99</v>
      </c>
      <c r="F22079" s="3">
        <v>99</v>
      </c>
      <c r="G22079" t="s">
        <v>514</v>
      </c>
    </row>
    <row r="22080" spans="1:7" x14ac:dyDescent="0.25">
      <c r="A22080" s="1" t="str">
        <f>"513203"</f>
        <v>513203</v>
      </c>
      <c r="B22080" s="2" t="str">
        <f>"SERVIÇO PESSOA JURIDICA - SERASA"</f>
        <v>SERVIÇO PESSOA JURIDICA - SERASA</v>
      </c>
      <c r="C22080" s="2" t="str">
        <f t="shared" si="870"/>
        <v>UN</v>
      </c>
      <c r="D22080" s="7">
        <v>99999</v>
      </c>
      <c r="E22080" s="3">
        <v>99</v>
      </c>
      <c r="F22080" s="3">
        <v>99</v>
      </c>
      <c r="G22080" t="s">
        <v>514</v>
      </c>
    </row>
    <row r="22081" spans="1:7" x14ac:dyDescent="0.25">
      <c r="A22081" s="1" t="str">
        <f>"523827"</f>
        <v>523827</v>
      </c>
      <c r="B22081" s="2" t="str">
        <f>"SERVIÇO PESSOA JURIDICA - SERVIÇO FUNERÁRIO"</f>
        <v>SERVIÇO PESSOA JURIDICA - SERVIÇO FUNERÁRIO</v>
      </c>
      <c r="C22081" s="2" t="str">
        <f t="shared" ref="C22081:C22112" si="871">"UN"</f>
        <v>UN</v>
      </c>
      <c r="D22081" s="7">
        <v>99999</v>
      </c>
      <c r="E22081" s="3">
        <v>99</v>
      </c>
      <c r="F22081" s="3">
        <v>99</v>
      </c>
      <c r="G22081" t="s">
        <v>513</v>
      </c>
    </row>
    <row r="22082" spans="1:7" x14ac:dyDescent="0.25">
      <c r="A22082" s="1" t="str">
        <f>"523751"</f>
        <v>523751</v>
      </c>
      <c r="B22082" s="2" t="str">
        <f>"SERVIÇO PESSOA JURIDICA - SERVIÇOS TECNICOS DE SEGURANÇA"</f>
        <v>SERVIÇO PESSOA JURIDICA - SERVIÇOS TECNICOS DE SEGURANÇA</v>
      </c>
      <c r="C22082" s="2" t="str">
        <f t="shared" si="871"/>
        <v>UN</v>
      </c>
      <c r="D22082" s="7">
        <v>99999</v>
      </c>
      <c r="E22082" s="3">
        <v>99</v>
      </c>
      <c r="F22082" s="3">
        <v>99</v>
      </c>
      <c r="G22082" t="s">
        <v>513</v>
      </c>
    </row>
    <row r="22083" spans="1:7" x14ac:dyDescent="0.25">
      <c r="A22083" s="1" t="str">
        <f>"518333"</f>
        <v>518333</v>
      </c>
      <c r="B22083" s="2" t="str">
        <f>"SERVIÇO PESSOA JURIDICA - TAXAS E EMOLUMENTOS"</f>
        <v>SERVIÇO PESSOA JURIDICA - TAXAS E EMOLUMENTOS</v>
      </c>
      <c r="C22083" s="2" t="str">
        <f t="shared" si="871"/>
        <v>UN</v>
      </c>
      <c r="D22083" s="7">
        <v>99999</v>
      </c>
      <c r="E22083" s="3">
        <v>99</v>
      </c>
      <c r="F22083" s="3">
        <v>99</v>
      </c>
      <c r="G22083" t="s">
        <v>513</v>
      </c>
    </row>
    <row r="22084" spans="1:7" x14ac:dyDescent="0.25">
      <c r="A22084" s="1" t="str">
        <f>"509421"</f>
        <v>509421</v>
      </c>
      <c r="B22084" s="2" t="str">
        <f>"SERVICO PESSOA JURIDICA - TAXI"</f>
        <v>SERVICO PESSOA JURIDICA - TAXI</v>
      </c>
      <c r="C22084" s="2" t="str">
        <f t="shared" si="871"/>
        <v>UN</v>
      </c>
      <c r="D22084" s="7">
        <v>99999</v>
      </c>
      <c r="E22084" s="3">
        <v>99</v>
      </c>
      <c r="F22084" s="3">
        <v>99</v>
      </c>
      <c r="G22084" t="s">
        <v>512</v>
      </c>
    </row>
    <row r="22085" spans="1:7" x14ac:dyDescent="0.25">
      <c r="A22085" s="1" t="str">
        <f>"527485"</f>
        <v>527485</v>
      </c>
      <c r="B22085" s="2" t="str">
        <f>"SERVIÇO PESSOA JURIDICA - TESTES HIDROSTATICOS"</f>
        <v>SERVIÇO PESSOA JURIDICA - TESTES HIDROSTATICOS</v>
      </c>
      <c r="C22085" s="2" t="str">
        <f t="shared" si="871"/>
        <v>UN</v>
      </c>
      <c r="D22085" s="7">
        <v>99999</v>
      </c>
      <c r="E22085" s="3">
        <v>99</v>
      </c>
      <c r="F22085" s="3">
        <v>99</v>
      </c>
      <c r="G22085" t="s">
        <v>513</v>
      </c>
    </row>
    <row r="22086" spans="1:7" x14ac:dyDescent="0.25">
      <c r="A22086" s="1" t="str">
        <f>"523651"</f>
        <v>523651</v>
      </c>
      <c r="B22086" s="2" t="str">
        <f>"SERVIÇO PESSOA JURIDICA - VIGILANCIA"</f>
        <v>SERVIÇO PESSOA JURIDICA - VIGILANCIA</v>
      </c>
      <c r="C22086" s="2" t="str">
        <f t="shared" si="871"/>
        <v>UN</v>
      </c>
      <c r="D22086" s="7">
        <v>99999</v>
      </c>
      <c r="E22086" s="3">
        <v>99</v>
      </c>
      <c r="F22086" s="3">
        <v>99</v>
      </c>
      <c r="G22086" t="s">
        <v>514</v>
      </c>
    </row>
    <row r="22087" spans="1:7" x14ac:dyDescent="0.25">
      <c r="A22087" s="1" t="str">
        <f>"509881"</f>
        <v>509881</v>
      </c>
      <c r="B22087" s="2" t="str">
        <f>"SERVICO SUPORTE MOLEJO"</f>
        <v>SERVICO SUPORTE MOLEJO</v>
      </c>
      <c r="C22087" s="2" t="str">
        <f t="shared" si="871"/>
        <v>UN</v>
      </c>
      <c r="D22087" s="7">
        <v>918</v>
      </c>
      <c r="E22087" s="3">
        <v>11</v>
      </c>
      <c r="F22087" s="3">
        <v>11</v>
      </c>
      <c r="G22087" t="s">
        <v>515</v>
      </c>
    </row>
    <row r="22088" spans="1:7" x14ac:dyDescent="0.25">
      <c r="A22088" s="1" t="str">
        <f>"510493"</f>
        <v>510493</v>
      </c>
      <c r="B22088" s="2" t="str">
        <f>"SERVIÇO TECNICO"</f>
        <v>SERVIÇO TECNICO</v>
      </c>
      <c r="C22088" s="2" t="str">
        <f t="shared" si="871"/>
        <v>UN</v>
      </c>
      <c r="D22088" s="7">
        <v>402</v>
      </c>
      <c r="E22088" s="3">
        <v>4</v>
      </c>
      <c r="F22088" s="3">
        <v>4</v>
      </c>
      <c r="G22088" t="s">
        <v>512</v>
      </c>
    </row>
    <row r="22089" spans="1:7" x14ac:dyDescent="0.25">
      <c r="A22089" s="1" t="str">
        <f>"512175"</f>
        <v>512175</v>
      </c>
      <c r="B22089" s="2" t="str">
        <f>"SERVIÇO TROCA DE FILTRO"</f>
        <v>SERVIÇO TROCA DE FILTRO</v>
      </c>
      <c r="C22089" s="2" t="str">
        <f t="shared" si="871"/>
        <v>UN</v>
      </c>
      <c r="D22089" s="7">
        <v>704</v>
      </c>
      <c r="E22089" s="3">
        <v>9</v>
      </c>
      <c r="F22089" s="3">
        <v>9</v>
      </c>
      <c r="G22089" t="s">
        <v>516</v>
      </c>
    </row>
    <row r="22090" spans="1:7" x14ac:dyDescent="0.25">
      <c r="A22090" s="1" t="str">
        <f>"503731"</f>
        <v>503731</v>
      </c>
      <c r="B22090" s="2" t="str">
        <f>"SERVICOS"</f>
        <v>SERVICOS</v>
      </c>
      <c r="C22090" s="2" t="str">
        <f t="shared" si="871"/>
        <v>UN</v>
      </c>
      <c r="D22090" s="7">
        <v>402</v>
      </c>
      <c r="E22090" s="3">
        <v>4</v>
      </c>
      <c r="F22090" s="3">
        <v>4</v>
      </c>
      <c r="G22090" t="s">
        <v>515</v>
      </c>
    </row>
    <row r="22091" spans="1:7" x14ac:dyDescent="0.25">
      <c r="A22091" s="1" t="str">
        <f>"502219"</f>
        <v>502219</v>
      </c>
      <c r="B22091" s="2" t="str">
        <f>"SERVICOS DE FUNILARIA E PINTURA"</f>
        <v>SERVICOS DE FUNILARIA E PINTURA</v>
      </c>
      <c r="C22091" s="2" t="str">
        <f t="shared" si="871"/>
        <v>UN</v>
      </c>
      <c r="D22091" s="7">
        <v>402</v>
      </c>
      <c r="E22091" s="3">
        <v>4</v>
      </c>
      <c r="F22091" s="3">
        <v>4</v>
      </c>
      <c r="G22091" t="s">
        <v>514</v>
      </c>
    </row>
    <row r="22092" spans="1:7" x14ac:dyDescent="0.25">
      <c r="A22092" s="1" t="str">
        <f>"502217"</f>
        <v>502217</v>
      </c>
      <c r="B22092" s="2" t="str">
        <f>"SERVICOS DE MECANICA"</f>
        <v>SERVICOS DE MECANICA</v>
      </c>
      <c r="C22092" s="2" t="str">
        <f t="shared" si="871"/>
        <v>UN</v>
      </c>
      <c r="D22092" s="7">
        <v>402</v>
      </c>
      <c r="E22092" s="3">
        <v>4</v>
      </c>
      <c r="F22092" s="3">
        <v>4</v>
      </c>
      <c r="G22092" t="s">
        <v>512</v>
      </c>
    </row>
    <row r="22093" spans="1:7" x14ac:dyDescent="0.25">
      <c r="A22093" s="1" t="str">
        <f>"502679"</f>
        <v>502679</v>
      </c>
      <c r="B22093" s="2" t="str">
        <f>"SERVICOS DE SERRALHERIA E MONTAGEM"</f>
        <v>SERVICOS DE SERRALHERIA E MONTAGEM</v>
      </c>
      <c r="C22093" s="2" t="str">
        <f t="shared" si="871"/>
        <v>UN</v>
      </c>
      <c r="D22093" s="7">
        <v>402</v>
      </c>
      <c r="E22093" s="3">
        <v>4</v>
      </c>
      <c r="F22093" s="3">
        <v>4</v>
      </c>
      <c r="G22093" t="s">
        <v>513</v>
      </c>
    </row>
    <row r="22094" spans="1:7" x14ac:dyDescent="0.25">
      <c r="A22094" s="1" t="str">
        <f>"500473"</f>
        <v>500473</v>
      </c>
      <c r="B22094" s="2" t="str">
        <f>"SERVICOS DE TORNO"</f>
        <v>SERVICOS DE TORNO</v>
      </c>
      <c r="C22094" s="2" t="str">
        <f t="shared" si="871"/>
        <v>UN</v>
      </c>
      <c r="D22094" s="7">
        <v>402</v>
      </c>
      <c r="E22094" s="3">
        <v>4</v>
      </c>
      <c r="F22094" s="3">
        <v>4</v>
      </c>
      <c r="G22094" t="s">
        <v>514</v>
      </c>
    </row>
    <row r="22095" spans="1:7" x14ac:dyDescent="0.25">
      <c r="A22095" s="1" t="str">
        <f>"520582"</f>
        <v>520582</v>
      </c>
      <c r="B22095" s="8" t="s">
        <v>165</v>
      </c>
      <c r="C22095" s="2" t="str">
        <f t="shared" si="871"/>
        <v>UN</v>
      </c>
      <c r="D22095" s="7">
        <v>918</v>
      </c>
      <c r="E22095" s="3">
        <v>10</v>
      </c>
      <c r="F22095" s="3">
        <v>10</v>
      </c>
      <c r="G22095" t="s">
        <v>514</v>
      </c>
    </row>
    <row r="22096" spans="1:7" x14ac:dyDescent="0.25">
      <c r="A22096" s="1" t="str">
        <f>"520398"</f>
        <v>520398</v>
      </c>
      <c r="B22096" s="8" t="s">
        <v>133</v>
      </c>
      <c r="C22096" s="2" t="str">
        <f t="shared" si="871"/>
        <v>UN</v>
      </c>
      <c r="D22096" s="7">
        <v>918</v>
      </c>
      <c r="E22096" s="3">
        <v>10</v>
      </c>
      <c r="F22096" s="3">
        <v>10</v>
      </c>
      <c r="G22096" t="s">
        <v>512</v>
      </c>
    </row>
    <row r="22097" spans="1:7" x14ac:dyDescent="0.25">
      <c r="A22097" s="1" t="str">
        <f>"526027"</f>
        <v>526027</v>
      </c>
      <c r="B22097" s="8" t="s">
        <v>456</v>
      </c>
      <c r="C22097" s="2" t="str">
        <f t="shared" si="871"/>
        <v>UN</v>
      </c>
      <c r="D22097" s="7">
        <v>918</v>
      </c>
      <c r="E22097" s="3">
        <v>10</v>
      </c>
      <c r="F22097" s="3">
        <v>10</v>
      </c>
      <c r="G22097" t="s">
        <v>513</v>
      </c>
    </row>
    <row r="22098" spans="1:7" x14ac:dyDescent="0.25">
      <c r="A22098" s="1" t="str">
        <f>"514117"</f>
        <v>514117</v>
      </c>
      <c r="B22098" s="2" t="str">
        <f>"SERVO PACK SGD1120AE"</f>
        <v>SERVO PACK SGD1120AE</v>
      </c>
      <c r="C22098" s="2" t="str">
        <f t="shared" si="871"/>
        <v>UN</v>
      </c>
      <c r="D22098" s="7">
        <v>918</v>
      </c>
      <c r="E22098" s="3">
        <v>11</v>
      </c>
      <c r="F22098" s="3">
        <v>11</v>
      </c>
      <c r="G22098" t="s">
        <v>514</v>
      </c>
    </row>
    <row r="22099" spans="1:7" x14ac:dyDescent="0.25">
      <c r="A22099" s="1" t="str">
        <f>"503365"</f>
        <v>503365</v>
      </c>
      <c r="B22099" s="2" t="str">
        <f>"SERVOCILINDRO MOOG"</f>
        <v>SERVOCILINDRO MOOG</v>
      </c>
      <c r="C22099" s="2" t="str">
        <f t="shared" si="871"/>
        <v>UN</v>
      </c>
      <c r="D22099" s="7">
        <v>900</v>
      </c>
      <c r="E22099" s="3">
        <v>11</v>
      </c>
      <c r="F22099" s="3">
        <v>11</v>
      </c>
      <c r="G22099" t="s">
        <v>514</v>
      </c>
    </row>
    <row r="22100" spans="1:7" x14ac:dyDescent="0.25">
      <c r="A22100" s="1" t="str">
        <f>"508124"</f>
        <v>508124</v>
      </c>
      <c r="B22100" s="2" t="str">
        <f>"SERVOMOTOR EMBREAGEM"</f>
        <v>SERVOMOTOR EMBREAGEM</v>
      </c>
      <c r="C22100" s="2" t="str">
        <f t="shared" si="871"/>
        <v>UN</v>
      </c>
      <c r="D22100" s="7">
        <v>704</v>
      </c>
      <c r="E22100" s="3">
        <v>9</v>
      </c>
      <c r="F22100" s="3">
        <v>9</v>
      </c>
      <c r="G22100" t="s">
        <v>514</v>
      </c>
    </row>
    <row r="22101" spans="1:7" x14ac:dyDescent="0.25">
      <c r="A22101" s="1" t="str">
        <f>"527579"</f>
        <v>527579</v>
      </c>
      <c r="B22101" s="2" t="str">
        <f>"SERVOMOTOR EURO DRIVE KAF47CM71M/BR/TF/RH1L/KK"</f>
        <v>SERVOMOTOR EURO DRIVE KAF47CM71M/BR/TF/RH1L/KK</v>
      </c>
      <c r="C22101" s="2" t="str">
        <f t="shared" si="871"/>
        <v>UN</v>
      </c>
      <c r="D22101" s="7">
        <v>811</v>
      </c>
      <c r="E22101" s="3">
        <v>11</v>
      </c>
      <c r="F22101" s="3">
        <v>11</v>
      </c>
      <c r="G22101" t="s">
        <v>513</v>
      </c>
    </row>
    <row r="22102" spans="1:7" x14ac:dyDescent="0.25">
      <c r="A22102" s="1" t="str">
        <f>"524963"</f>
        <v>524963</v>
      </c>
      <c r="B22102" s="2" t="str">
        <f>"SERVOMOTOR KA37 CM71M/TF/RH1M/KK"</f>
        <v>SERVOMOTOR KA37 CM71M/TF/RH1M/KK</v>
      </c>
      <c r="C22102" s="2" t="str">
        <f t="shared" si="871"/>
        <v>UN</v>
      </c>
      <c r="D22102" s="7">
        <v>811</v>
      </c>
      <c r="E22102" s="3">
        <v>11</v>
      </c>
      <c r="F22102" s="3">
        <v>11</v>
      </c>
      <c r="G22102" t="s">
        <v>512</v>
      </c>
    </row>
    <row r="22103" spans="1:7" x14ac:dyDescent="0.25">
      <c r="A22103" s="1" t="str">
        <f>"506205"</f>
        <v>506205</v>
      </c>
      <c r="B22103" s="2" t="str">
        <f>"SERVOMOTOR MAQ. BANDEJA"</f>
        <v>SERVOMOTOR MAQ. BANDEJA</v>
      </c>
      <c r="C22103" s="2" t="str">
        <f t="shared" si="871"/>
        <v>UN</v>
      </c>
      <c r="D22103" s="7">
        <v>900</v>
      </c>
      <c r="E22103" s="3">
        <v>11</v>
      </c>
      <c r="F22103" s="3">
        <v>11</v>
      </c>
      <c r="G22103" t="s">
        <v>513</v>
      </c>
    </row>
    <row r="22104" spans="1:7" x14ac:dyDescent="0.25">
      <c r="A22104" s="1" t="str">
        <f>"514059"</f>
        <v>514059</v>
      </c>
      <c r="B22104" s="2" t="str">
        <f>"SERVOPACK SGDH-15AE"</f>
        <v>SERVOPACK SGDH-15AE</v>
      </c>
      <c r="C22104" s="2" t="str">
        <f t="shared" si="871"/>
        <v>UN</v>
      </c>
      <c r="D22104" s="7">
        <v>1300</v>
      </c>
      <c r="E22104" s="3">
        <v>13</v>
      </c>
      <c r="F22104" s="3">
        <v>13</v>
      </c>
      <c r="G22104" t="s">
        <v>514</v>
      </c>
    </row>
    <row r="22105" spans="1:7" x14ac:dyDescent="0.25">
      <c r="A22105" s="1" t="str">
        <f>"517533"</f>
        <v>517533</v>
      </c>
      <c r="B22105" s="2" t="str">
        <f>"SERVOPACK SIGMA-5 1,5KW 220V ANALOG/PULSE"</f>
        <v>SERVOPACK SIGMA-5 1,5KW 220V ANALOG/PULSE</v>
      </c>
      <c r="C22105" s="2" t="str">
        <f t="shared" si="871"/>
        <v>UN</v>
      </c>
      <c r="D22105" s="7">
        <v>811</v>
      </c>
      <c r="E22105" s="3">
        <v>8</v>
      </c>
      <c r="F22105" s="3">
        <v>8</v>
      </c>
      <c r="G22105" t="s">
        <v>514</v>
      </c>
    </row>
    <row r="22106" spans="1:7" x14ac:dyDescent="0.25">
      <c r="A22106" s="1" t="str">
        <f>"503366"</f>
        <v>503366</v>
      </c>
      <c r="B22106" s="2" t="str">
        <f>"SERVOVALVULA MOOG"</f>
        <v>SERVOVALVULA MOOG</v>
      </c>
      <c r="C22106" s="2" t="str">
        <f t="shared" si="871"/>
        <v>UN</v>
      </c>
      <c r="D22106" s="7">
        <v>900</v>
      </c>
      <c r="E22106" s="3">
        <v>11</v>
      </c>
      <c r="F22106" s="3">
        <v>11</v>
      </c>
      <c r="G22106" t="s">
        <v>514</v>
      </c>
    </row>
    <row r="22107" spans="1:7" x14ac:dyDescent="0.25">
      <c r="A22107" s="1" t="str">
        <f>"519600"</f>
        <v>519600</v>
      </c>
      <c r="B22107" s="2" t="str">
        <f>"SETA EXTINTOR FOTOLUMINESCENTE"</f>
        <v>SETA EXTINTOR FOTOLUMINESCENTE</v>
      </c>
      <c r="C22107" s="2" t="str">
        <f t="shared" si="871"/>
        <v>UN</v>
      </c>
      <c r="D22107" s="7">
        <v>402</v>
      </c>
      <c r="E22107" s="3">
        <v>4</v>
      </c>
      <c r="F22107" s="3">
        <v>4</v>
      </c>
      <c r="G22107" t="s">
        <v>513</v>
      </c>
    </row>
    <row r="22108" spans="1:7" x14ac:dyDescent="0.25">
      <c r="A22108" s="1" t="str">
        <f>"526273"</f>
        <v>526273</v>
      </c>
      <c r="B22108" s="2" t="str">
        <f>"SETA FOTOLUMINESCENTE A-1"</f>
        <v>SETA FOTOLUMINESCENTE A-1</v>
      </c>
      <c r="C22108" s="2" t="str">
        <f t="shared" si="871"/>
        <v>UN</v>
      </c>
      <c r="D22108" s="7">
        <v>99999</v>
      </c>
      <c r="E22108" s="3">
        <v>99</v>
      </c>
      <c r="F22108" s="3">
        <v>99</v>
      </c>
      <c r="G22108" t="s">
        <v>513</v>
      </c>
    </row>
    <row r="22109" spans="1:7" x14ac:dyDescent="0.25">
      <c r="A22109" s="1" t="str">
        <f>"526274"</f>
        <v>526274</v>
      </c>
      <c r="B22109" s="2" t="str">
        <f>"SETA FOTOLUMINESCENTE A-2"</f>
        <v>SETA FOTOLUMINESCENTE A-2</v>
      </c>
      <c r="C22109" s="2" t="str">
        <f t="shared" si="871"/>
        <v>UN</v>
      </c>
      <c r="D22109" s="7">
        <v>99999</v>
      </c>
      <c r="E22109" s="3">
        <v>99</v>
      </c>
      <c r="F22109" s="3">
        <v>99</v>
      </c>
      <c r="G22109" t="s">
        <v>513</v>
      </c>
    </row>
    <row r="22110" spans="1:7" x14ac:dyDescent="0.25">
      <c r="A22110" s="1" t="str">
        <f>"526268"</f>
        <v>526268</v>
      </c>
      <c r="B22110" s="2" t="str">
        <f>"SETA FOTOLUMINESCENTE E-1"</f>
        <v>SETA FOTOLUMINESCENTE E-1</v>
      </c>
      <c r="C22110" s="2" t="str">
        <f t="shared" si="871"/>
        <v>UN</v>
      </c>
      <c r="D22110" s="7">
        <v>99999</v>
      </c>
      <c r="E22110" s="3">
        <v>99</v>
      </c>
      <c r="F22110" s="3">
        <v>99</v>
      </c>
      <c r="G22110" t="s">
        <v>512</v>
      </c>
    </row>
    <row r="22111" spans="1:7" x14ac:dyDescent="0.25">
      <c r="A22111" s="1" t="str">
        <f>"526267"</f>
        <v>526267</v>
      </c>
      <c r="B22111" s="2" t="str">
        <f>"SETA FOTOLUMINESCENTE E-10"</f>
        <v>SETA FOTOLUMINESCENTE E-10</v>
      </c>
      <c r="C22111" s="2" t="str">
        <f t="shared" si="871"/>
        <v>UN</v>
      </c>
      <c r="D22111" s="7">
        <v>99999</v>
      </c>
      <c r="E22111" s="3">
        <v>99</v>
      </c>
      <c r="F22111" s="3">
        <v>99</v>
      </c>
      <c r="G22111" t="s">
        <v>513</v>
      </c>
    </row>
    <row r="22112" spans="1:7" x14ac:dyDescent="0.25">
      <c r="A22112" s="1" t="str">
        <f>"526271"</f>
        <v>526271</v>
      </c>
      <c r="B22112" s="2" t="str">
        <f>"SETA FOTOLUMINESCENTE E-11"</f>
        <v>SETA FOTOLUMINESCENTE E-11</v>
      </c>
      <c r="C22112" s="2" t="str">
        <f t="shared" si="871"/>
        <v>UN</v>
      </c>
      <c r="D22112" s="7">
        <v>99999</v>
      </c>
      <c r="E22112" s="3">
        <v>99</v>
      </c>
      <c r="F22112" s="3">
        <v>99</v>
      </c>
      <c r="G22112" t="s">
        <v>514</v>
      </c>
    </row>
    <row r="22113" spans="1:7" x14ac:dyDescent="0.25">
      <c r="A22113" s="1" t="str">
        <f>"526269"</f>
        <v>526269</v>
      </c>
      <c r="B22113" s="2" t="str">
        <f>"SETA FOTOLUMINESCENTE E-2"</f>
        <v>SETA FOTOLUMINESCENTE E-2</v>
      </c>
      <c r="C22113" s="2" t="str">
        <f t="shared" ref="C22113:C22148" si="872">"UN"</f>
        <v>UN</v>
      </c>
      <c r="D22113" s="7">
        <v>99999</v>
      </c>
      <c r="E22113" s="3">
        <v>99</v>
      </c>
      <c r="F22113" s="3">
        <v>99</v>
      </c>
      <c r="G22113" t="s">
        <v>515</v>
      </c>
    </row>
    <row r="22114" spans="1:7" x14ac:dyDescent="0.25">
      <c r="A22114" s="1" t="str">
        <f>"526270"</f>
        <v>526270</v>
      </c>
      <c r="B22114" s="2" t="str">
        <f>"SETA FOTOLUMINESCENTE E-5"</f>
        <v>SETA FOTOLUMINESCENTE E-5</v>
      </c>
      <c r="C22114" s="2" t="str">
        <f t="shared" si="872"/>
        <v>UN</v>
      </c>
      <c r="D22114" s="7">
        <v>99999</v>
      </c>
      <c r="E22114" s="3">
        <v>99</v>
      </c>
      <c r="F22114" s="3">
        <v>99</v>
      </c>
      <c r="G22114" t="s">
        <v>512</v>
      </c>
    </row>
    <row r="22115" spans="1:7" x14ac:dyDescent="0.25">
      <c r="A22115" s="1" t="str">
        <f>"526272"</f>
        <v>526272</v>
      </c>
      <c r="B22115" s="2" t="str">
        <f>"SETA FOTOLUMINESCENTE P-1"</f>
        <v>SETA FOTOLUMINESCENTE P-1</v>
      </c>
      <c r="C22115" s="2" t="str">
        <f t="shared" si="872"/>
        <v>UN</v>
      </c>
      <c r="D22115" s="7">
        <v>99999</v>
      </c>
      <c r="E22115" s="3">
        <v>99</v>
      </c>
      <c r="F22115" s="3">
        <v>99</v>
      </c>
      <c r="G22115" t="s">
        <v>516</v>
      </c>
    </row>
    <row r="22116" spans="1:7" x14ac:dyDescent="0.25">
      <c r="A22116" s="1" t="str">
        <f>"526275"</f>
        <v>526275</v>
      </c>
      <c r="B22116" s="2" t="str">
        <f>"SETA FOTOLUMINESCENTE S-1"</f>
        <v>SETA FOTOLUMINESCENTE S-1</v>
      </c>
      <c r="C22116" s="2" t="str">
        <f t="shared" si="872"/>
        <v>UN</v>
      </c>
      <c r="D22116" s="7">
        <v>99999</v>
      </c>
      <c r="E22116" s="3">
        <v>99</v>
      </c>
      <c r="F22116" s="3">
        <v>99</v>
      </c>
      <c r="G22116" t="s">
        <v>515</v>
      </c>
    </row>
    <row r="22117" spans="1:7" x14ac:dyDescent="0.25">
      <c r="A22117" s="1" t="str">
        <f>"526278"</f>
        <v>526278</v>
      </c>
      <c r="B22117" s="2" t="str">
        <f>"SETA FOTOLUMINESCENTE S-12"</f>
        <v>SETA FOTOLUMINESCENTE S-12</v>
      </c>
      <c r="C22117" s="2" t="str">
        <f t="shared" si="872"/>
        <v>UN</v>
      </c>
      <c r="D22117" s="7">
        <v>99999</v>
      </c>
      <c r="E22117" s="3">
        <v>99</v>
      </c>
      <c r="F22117" s="3">
        <v>99</v>
      </c>
      <c r="G22117" t="s">
        <v>514</v>
      </c>
    </row>
    <row r="22118" spans="1:7" x14ac:dyDescent="0.25">
      <c r="A22118" s="1" t="str">
        <f>"526276"</f>
        <v>526276</v>
      </c>
      <c r="B22118" s="2" t="str">
        <f>"SETA FOTOLUMINESCENTE S-2"</f>
        <v>SETA FOTOLUMINESCENTE S-2</v>
      </c>
      <c r="C22118" s="2" t="str">
        <f t="shared" si="872"/>
        <v>UN</v>
      </c>
      <c r="D22118" s="7">
        <v>99999</v>
      </c>
      <c r="E22118" s="3">
        <v>99</v>
      </c>
      <c r="F22118" s="3">
        <v>99</v>
      </c>
      <c r="G22118" t="s">
        <v>512</v>
      </c>
    </row>
    <row r="22119" spans="1:7" x14ac:dyDescent="0.25">
      <c r="A22119" s="1" t="str">
        <f>"526277"</f>
        <v>526277</v>
      </c>
      <c r="B22119" s="2" t="str">
        <f>"SETA FOTOLUMINESCENTE S-3"</f>
        <v>SETA FOTOLUMINESCENTE S-3</v>
      </c>
      <c r="C22119" s="2" t="str">
        <f t="shared" si="872"/>
        <v>UN</v>
      </c>
      <c r="D22119" s="7">
        <v>99999</v>
      </c>
      <c r="E22119" s="3">
        <v>99</v>
      </c>
      <c r="F22119" s="3">
        <v>99</v>
      </c>
      <c r="G22119" t="s">
        <v>513</v>
      </c>
    </row>
    <row r="22120" spans="1:7" x14ac:dyDescent="0.25">
      <c r="A22120" s="1" t="str">
        <f>"526279"</f>
        <v>526279</v>
      </c>
      <c r="B22120" s="2" t="str">
        <f>"SETA FOTOLUMINESCENTE S-3"</f>
        <v>SETA FOTOLUMINESCENTE S-3</v>
      </c>
      <c r="C22120" s="2" t="str">
        <f t="shared" si="872"/>
        <v>UN</v>
      </c>
      <c r="D22120" s="7">
        <v>99999</v>
      </c>
      <c r="E22120" s="3">
        <v>99</v>
      </c>
      <c r="F22120" s="3">
        <v>99</v>
      </c>
      <c r="G22120" t="s">
        <v>514</v>
      </c>
    </row>
    <row r="22121" spans="1:7" x14ac:dyDescent="0.25">
      <c r="A22121" s="1" t="str">
        <f>"526280"</f>
        <v>526280</v>
      </c>
      <c r="B22121" s="2" t="str">
        <f>"SETA FOTOLUMINESCENTE S-9"</f>
        <v>SETA FOTOLUMINESCENTE S-9</v>
      </c>
      <c r="C22121" s="2" t="str">
        <f t="shared" si="872"/>
        <v>UN</v>
      </c>
      <c r="D22121" s="7">
        <v>99999</v>
      </c>
      <c r="E22121" s="3">
        <v>99</v>
      </c>
      <c r="F22121" s="3">
        <v>99</v>
      </c>
      <c r="G22121" t="s">
        <v>514</v>
      </c>
    </row>
    <row r="22122" spans="1:7" x14ac:dyDescent="0.25">
      <c r="A22122" s="1" t="str">
        <f>"519048"</f>
        <v>519048</v>
      </c>
      <c r="B22122" s="2" t="str">
        <f>"SETA INDICATIVA AP 19,5 X 19,5 FOTOLUMINECENTE"</f>
        <v>SETA INDICATIVA AP 19,5 X 19,5 FOTOLUMINECENTE</v>
      </c>
      <c r="C22122" s="2" t="str">
        <f t="shared" si="872"/>
        <v>UN</v>
      </c>
      <c r="D22122" s="7">
        <v>402</v>
      </c>
      <c r="E22122" s="3">
        <v>4</v>
      </c>
      <c r="F22122" s="3">
        <v>4</v>
      </c>
      <c r="G22122" t="s">
        <v>512</v>
      </c>
    </row>
    <row r="22123" spans="1:7" x14ac:dyDescent="0.25">
      <c r="A22123" s="1" t="str">
        <f>"518874"</f>
        <v>518874</v>
      </c>
      <c r="B22123" s="2" t="str">
        <f>"SETA INDICATIVA CO2 19,5 X 19,5MM"</f>
        <v>SETA INDICATIVA CO2 19,5 X 19,5MM</v>
      </c>
      <c r="C22123" s="2" t="str">
        <f t="shared" si="872"/>
        <v>UN</v>
      </c>
      <c r="D22123" s="7">
        <v>402</v>
      </c>
      <c r="E22123" s="3">
        <v>4</v>
      </c>
      <c r="F22123" s="3">
        <v>4</v>
      </c>
      <c r="G22123" t="s">
        <v>513</v>
      </c>
    </row>
    <row r="22124" spans="1:7" x14ac:dyDescent="0.25">
      <c r="A22124" s="1" t="str">
        <f>"517439"</f>
        <v>517439</v>
      </c>
      <c r="B22124" s="2" t="str">
        <f>"SETA INDICATIVA INFLAMAVEL"</f>
        <v>SETA INDICATIVA INFLAMAVEL</v>
      </c>
      <c r="C22124" s="2" t="str">
        <f t="shared" si="872"/>
        <v>UN</v>
      </c>
      <c r="D22124" s="7">
        <v>402</v>
      </c>
      <c r="E22124" s="3">
        <v>4</v>
      </c>
      <c r="F22124" s="3">
        <v>4</v>
      </c>
      <c r="G22124" t="s">
        <v>514</v>
      </c>
    </row>
    <row r="22125" spans="1:7" x14ac:dyDescent="0.25">
      <c r="A22125" s="1" t="str">
        <f>"519049"</f>
        <v>519049</v>
      </c>
      <c r="B22125" s="2" t="str">
        <f>"SETA INDICATIVA PQS BC 19,5 X 19,5 FOTOLUMINECENTE"</f>
        <v>SETA INDICATIVA PQS BC 19,5 X 19,5 FOTOLUMINECENTE</v>
      </c>
      <c r="C22125" s="2" t="str">
        <f t="shared" si="872"/>
        <v>UN</v>
      </c>
      <c r="D22125" s="7">
        <v>402</v>
      </c>
      <c r="E22125" s="3">
        <v>4</v>
      </c>
      <c r="F22125" s="3">
        <v>4</v>
      </c>
      <c r="G22125" t="s">
        <v>514</v>
      </c>
    </row>
    <row r="22126" spans="1:7" x14ac:dyDescent="0.25">
      <c r="A22126" s="1" t="str">
        <f>"517573"</f>
        <v>517573</v>
      </c>
      <c r="B22126" s="2" t="str">
        <f>"SETA INDICATIVA PROIBIDO FUMAR"</f>
        <v>SETA INDICATIVA PROIBIDO FUMAR</v>
      </c>
      <c r="C22126" s="2" t="str">
        <f t="shared" si="872"/>
        <v>UN</v>
      </c>
      <c r="D22126" s="7">
        <v>402</v>
      </c>
      <c r="E22126" s="3">
        <v>4</v>
      </c>
      <c r="F22126" s="3">
        <v>4</v>
      </c>
      <c r="G22126" t="s">
        <v>514</v>
      </c>
    </row>
    <row r="22127" spans="1:7" x14ac:dyDescent="0.25">
      <c r="A22127" s="1" t="str">
        <f>"519599"</f>
        <v>519599</v>
      </c>
      <c r="B22127" s="2" t="str">
        <f>"SETA SAIDA EMERGENCIA FOTOLUMINECENTE"</f>
        <v>SETA SAIDA EMERGENCIA FOTOLUMINECENTE</v>
      </c>
      <c r="C22127" s="2" t="str">
        <f t="shared" si="872"/>
        <v>UN</v>
      </c>
      <c r="D22127" s="7">
        <v>402</v>
      </c>
      <c r="E22127" s="3">
        <v>4</v>
      </c>
      <c r="F22127" s="3">
        <v>4</v>
      </c>
      <c r="G22127" t="s">
        <v>513</v>
      </c>
    </row>
    <row r="22128" spans="1:7" x14ac:dyDescent="0.25">
      <c r="A22128" s="1" t="str">
        <f>"503385"</f>
        <v>503385</v>
      </c>
      <c r="B22128" s="2" t="str">
        <f>"SHAFT - BLADE GUARD      COD.78805265978"</f>
        <v>SHAFT - BLADE GUARD      COD.78805265978</v>
      </c>
      <c r="C22128" s="2" t="str">
        <f t="shared" si="872"/>
        <v>UN</v>
      </c>
      <c r="D22128" s="7">
        <v>918</v>
      </c>
      <c r="E22128" s="3">
        <v>11</v>
      </c>
      <c r="F22128" s="3">
        <v>11</v>
      </c>
      <c r="G22128" t="s">
        <v>512</v>
      </c>
    </row>
    <row r="22129" spans="1:7" x14ac:dyDescent="0.25">
      <c r="A22129" s="1" t="str">
        <f>"523709"</f>
        <v>523709</v>
      </c>
      <c r="B22129" s="2" t="str">
        <f>"SHAMPOO"</f>
        <v>SHAMPOO</v>
      </c>
      <c r="C22129" s="2" t="str">
        <f t="shared" si="872"/>
        <v>UN</v>
      </c>
      <c r="D22129" s="7">
        <v>99999</v>
      </c>
      <c r="E22129" s="3">
        <v>99</v>
      </c>
      <c r="F22129" s="3">
        <v>99</v>
      </c>
      <c r="G22129" t="s">
        <v>513</v>
      </c>
    </row>
    <row r="22130" spans="1:7" x14ac:dyDescent="0.25">
      <c r="A22130" s="1" t="str">
        <f>"513633"</f>
        <v>513633</v>
      </c>
      <c r="B22130" s="2" t="str">
        <f>"SHORT OLYMPIKUS WIN OIMWR8000"</f>
        <v>SHORT OLYMPIKUS WIN OIMWR8000</v>
      </c>
      <c r="C22130" s="2" t="str">
        <f t="shared" si="872"/>
        <v>UN</v>
      </c>
      <c r="D22130" s="7">
        <v>99999</v>
      </c>
      <c r="E22130" s="3">
        <v>99</v>
      </c>
      <c r="F22130" s="3">
        <v>99</v>
      </c>
      <c r="G22130" t="s">
        <v>514</v>
      </c>
    </row>
    <row r="22131" spans="1:7" x14ac:dyDescent="0.25">
      <c r="A22131" s="1" t="str">
        <f>"514148"</f>
        <v>514148</v>
      </c>
      <c r="B22131" s="2" t="str">
        <f>"SHORTS FUTEBOL"</f>
        <v>SHORTS FUTEBOL</v>
      </c>
      <c r="C22131" s="2" t="str">
        <f t="shared" si="872"/>
        <v>UN</v>
      </c>
      <c r="D22131" s="7">
        <v>99999</v>
      </c>
      <c r="E22131" s="3">
        <v>99</v>
      </c>
      <c r="F22131" s="3">
        <v>99</v>
      </c>
      <c r="G22131" t="s">
        <v>514</v>
      </c>
    </row>
    <row r="22132" spans="1:7" x14ac:dyDescent="0.25">
      <c r="A22132" s="1" t="str">
        <f>"515576"</f>
        <v>515576</v>
      </c>
      <c r="B22132" s="2" t="str">
        <f>"SIEMENS AP 1120"</f>
        <v>SIEMENS AP 1120</v>
      </c>
      <c r="C22132" s="2" t="str">
        <f t="shared" si="872"/>
        <v>UN</v>
      </c>
      <c r="D22132" s="7">
        <v>401</v>
      </c>
      <c r="E22132" s="3">
        <v>4</v>
      </c>
      <c r="F22132" s="3">
        <v>4</v>
      </c>
      <c r="G22132" t="s">
        <v>514</v>
      </c>
    </row>
    <row r="22133" spans="1:7" x14ac:dyDescent="0.25">
      <c r="A22133" s="1" t="str">
        <f>"515438"</f>
        <v>515438</v>
      </c>
      <c r="B22133" s="2" t="str">
        <f>"SIEMENS BATERIA 12V 12A"</f>
        <v>SIEMENS BATERIA 12V 12A</v>
      </c>
      <c r="C22133" s="2" t="str">
        <f t="shared" si="872"/>
        <v>UN</v>
      </c>
      <c r="D22133" s="7">
        <v>401</v>
      </c>
      <c r="E22133" s="3">
        <v>4</v>
      </c>
      <c r="F22133" s="3">
        <v>4</v>
      </c>
      <c r="G22133" t="s">
        <v>513</v>
      </c>
    </row>
    <row r="22134" spans="1:7" x14ac:dyDescent="0.25">
      <c r="A22134" s="1" t="str">
        <f>"515579"</f>
        <v>515579</v>
      </c>
      <c r="B22134" s="2" t="str">
        <f>"SIEMENS FONTE OPENSTAGE"</f>
        <v>SIEMENS FONTE OPENSTAGE</v>
      </c>
      <c r="C22134" s="2" t="str">
        <f t="shared" si="872"/>
        <v>UN</v>
      </c>
      <c r="D22134" s="7">
        <v>401</v>
      </c>
      <c r="E22134" s="3">
        <v>4</v>
      </c>
      <c r="F22134" s="3">
        <v>4</v>
      </c>
      <c r="G22134" t="s">
        <v>513</v>
      </c>
    </row>
    <row r="22135" spans="1:7" x14ac:dyDescent="0.25">
      <c r="A22135" s="1" t="str">
        <f>"515434"</f>
        <v>515434</v>
      </c>
      <c r="B22135" s="2" t="str">
        <f>"SIEMENS HIPATH 3550"</f>
        <v>SIEMENS HIPATH 3550</v>
      </c>
      <c r="C22135" s="2" t="str">
        <f t="shared" si="872"/>
        <v>UN</v>
      </c>
      <c r="D22135" s="7">
        <v>401</v>
      </c>
      <c r="E22135" s="3">
        <v>4</v>
      </c>
      <c r="F22135" s="3">
        <v>4</v>
      </c>
      <c r="G22135" t="s">
        <v>513</v>
      </c>
    </row>
    <row r="22136" spans="1:7" x14ac:dyDescent="0.25">
      <c r="A22136" s="1" t="str">
        <f>"515437"</f>
        <v>515437</v>
      </c>
      <c r="B22136" s="2" t="str">
        <f>"SIEMENS TELEFONE OPENSTAGE 15 HFA/SIP"</f>
        <v>SIEMENS TELEFONE OPENSTAGE 15 HFA/SIP</v>
      </c>
      <c r="C22136" s="2" t="str">
        <f t="shared" si="872"/>
        <v>UN</v>
      </c>
      <c r="D22136" s="7">
        <v>401</v>
      </c>
      <c r="E22136" s="3">
        <v>4</v>
      </c>
      <c r="F22136" s="3">
        <v>4</v>
      </c>
      <c r="G22136" t="s">
        <v>512</v>
      </c>
    </row>
    <row r="22137" spans="1:7" x14ac:dyDescent="0.25">
      <c r="A22137" s="1" t="str">
        <f>"515436"</f>
        <v>515436</v>
      </c>
      <c r="B22137" s="2" t="str">
        <f>"SIEMENS TELEFONE OPENSTAGE 20 G"</f>
        <v>SIEMENS TELEFONE OPENSTAGE 20 G</v>
      </c>
      <c r="C22137" s="2" t="str">
        <f t="shared" si="872"/>
        <v>UN</v>
      </c>
      <c r="D22137" s="7">
        <v>401</v>
      </c>
      <c r="E22137" s="3">
        <v>4</v>
      </c>
      <c r="F22137" s="3">
        <v>4</v>
      </c>
      <c r="G22137" t="s">
        <v>513</v>
      </c>
    </row>
    <row r="22138" spans="1:7" x14ac:dyDescent="0.25">
      <c r="A22138" s="1" t="str">
        <f>"515439"</f>
        <v>515439</v>
      </c>
      <c r="B22138" s="2" t="str">
        <f>"SIEMENS TELEFONE OPENSTAGE 40T ICE BLUE"</f>
        <v>SIEMENS TELEFONE OPENSTAGE 40T ICE BLUE</v>
      </c>
      <c r="C22138" s="2" t="str">
        <f t="shared" si="872"/>
        <v>UN</v>
      </c>
      <c r="D22138" s="7">
        <v>401</v>
      </c>
      <c r="E22138" s="3">
        <v>4</v>
      </c>
      <c r="F22138" s="3">
        <v>4</v>
      </c>
      <c r="G22138" t="s">
        <v>514</v>
      </c>
    </row>
    <row r="22139" spans="1:7" x14ac:dyDescent="0.25">
      <c r="A22139" s="1" t="str">
        <f>"515435"</f>
        <v>515435</v>
      </c>
      <c r="B22139" s="2" t="str">
        <f>"SIEMENS TELEFONE OPENSTAGE 60 G"</f>
        <v>SIEMENS TELEFONE OPENSTAGE 60 G</v>
      </c>
      <c r="C22139" s="2" t="str">
        <f t="shared" si="872"/>
        <v>UN</v>
      </c>
      <c r="D22139" s="7">
        <v>401</v>
      </c>
      <c r="E22139" s="3">
        <v>4</v>
      </c>
      <c r="F22139" s="3">
        <v>4</v>
      </c>
      <c r="G22139" t="s">
        <v>515</v>
      </c>
    </row>
    <row r="22140" spans="1:7" x14ac:dyDescent="0.25">
      <c r="A22140" s="1" t="str">
        <f>"526911"</f>
        <v>526911</v>
      </c>
      <c r="B22140" s="2" t="str">
        <f>"SIFÃO COBRE 7/8"</f>
        <v>SIFÃO COBRE 7/8</v>
      </c>
      <c r="C22140" s="2" t="str">
        <f t="shared" si="872"/>
        <v>UN</v>
      </c>
      <c r="D22140" s="7">
        <v>912</v>
      </c>
      <c r="E22140" s="3">
        <v>10</v>
      </c>
      <c r="F22140" s="3">
        <v>10</v>
      </c>
      <c r="G22140" t="s">
        <v>512</v>
      </c>
    </row>
    <row r="22141" spans="1:7" x14ac:dyDescent="0.25">
      <c r="A22141" s="1" t="str">
        <f>"517477"</f>
        <v>517477</v>
      </c>
      <c r="B22141" s="2" t="str">
        <f>"SIFÃO S 1 1/8 P 1.17MM"</f>
        <v>SIFÃO S 1 1/8 P 1.17MM</v>
      </c>
      <c r="C22141" s="2" t="str">
        <f t="shared" si="872"/>
        <v>UN</v>
      </c>
      <c r="D22141" s="7">
        <v>918</v>
      </c>
      <c r="E22141" s="3">
        <v>10</v>
      </c>
      <c r="F22141" s="3">
        <v>10</v>
      </c>
      <c r="G22141" t="s">
        <v>516</v>
      </c>
    </row>
    <row r="22142" spans="1:7" x14ac:dyDescent="0.25">
      <c r="A22142" s="1" t="str">
        <f>"513839"</f>
        <v>513839</v>
      </c>
      <c r="B22142" s="2" t="str">
        <f>"SIFAO SANFONADO UNIVERSAL"</f>
        <v>SIFAO SANFONADO UNIVERSAL</v>
      </c>
      <c r="C22142" s="2" t="str">
        <f t="shared" si="872"/>
        <v>UN</v>
      </c>
      <c r="D22142" s="7">
        <v>917</v>
      </c>
      <c r="E22142" s="3">
        <v>10</v>
      </c>
      <c r="F22142" s="3">
        <v>10</v>
      </c>
      <c r="G22142" t="s">
        <v>515</v>
      </c>
    </row>
    <row r="22143" spans="1:7" x14ac:dyDescent="0.25">
      <c r="A22143" s="1" t="str">
        <f>"515480"</f>
        <v>515480</v>
      </c>
      <c r="B22143" s="2" t="str">
        <f>"SIKAFLEX BRANCO"</f>
        <v>SIKAFLEX BRANCO</v>
      </c>
      <c r="C22143" s="2" t="str">
        <f t="shared" si="872"/>
        <v>UN</v>
      </c>
      <c r="D22143" s="7">
        <v>803</v>
      </c>
      <c r="E22143" s="3">
        <v>4</v>
      </c>
      <c r="F22143" s="3">
        <v>4</v>
      </c>
      <c r="G22143" t="s">
        <v>514</v>
      </c>
    </row>
    <row r="22144" spans="1:7" x14ac:dyDescent="0.25">
      <c r="A22144" s="1" t="str">
        <f>"525423"</f>
        <v>525423</v>
      </c>
      <c r="B22144" s="2" t="str">
        <f>"SIKOSTART SCHNEIDER ATS22D47Q 47A - 18580264"</f>
        <v>SIKOSTART SCHNEIDER ATS22D47Q 47A - 18580264</v>
      </c>
      <c r="C22144" s="2" t="str">
        <f t="shared" si="872"/>
        <v>UN</v>
      </c>
      <c r="D22144" s="7">
        <v>811</v>
      </c>
      <c r="E22144" s="3">
        <v>11</v>
      </c>
      <c r="F22144" s="3">
        <v>11</v>
      </c>
      <c r="G22144" t="s">
        <v>512</v>
      </c>
    </row>
    <row r="22145" spans="1:7" x14ac:dyDescent="0.25">
      <c r="A22145" s="1" t="str">
        <f>"524386"</f>
        <v>524386</v>
      </c>
      <c r="B22145" s="2" t="str">
        <f>"SIKOSTART SCHNEIDER ATS22D75Q 75A - 18580313"</f>
        <v>SIKOSTART SCHNEIDER ATS22D75Q 75A - 18580313</v>
      </c>
      <c r="C22145" s="2" t="str">
        <f t="shared" si="872"/>
        <v>UN</v>
      </c>
      <c r="D22145" s="7">
        <v>811</v>
      </c>
      <c r="E22145" s="3">
        <v>11</v>
      </c>
      <c r="F22145" s="3">
        <v>11</v>
      </c>
      <c r="G22145" t="s">
        <v>513</v>
      </c>
    </row>
    <row r="22146" spans="1:7" x14ac:dyDescent="0.25">
      <c r="A22146" s="1" t="str">
        <f>"503104"</f>
        <v>503104</v>
      </c>
      <c r="B22146" s="2" t="str">
        <f>"SIKOSTART SIEMENS 3RTW22 35-ODB15"</f>
        <v>SIKOSTART SIEMENS 3RTW22 35-ODB15</v>
      </c>
      <c r="C22146" s="2" t="str">
        <f t="shared" si="872"/>
        <v>UN</v>
      </c>
      <c r="D22146" s="7">
        <v>600</v>
      </c>
      <c r="E22146" s="3">
        <v>8</v>
      </c>
      <c r="F22146" s="3">
        <v>8</v>
      </c>
      <c r="G22146" t="s">
        <v>514</v>
      </c>
    </row>
    <row r="22147" spans="1:7" x14ac:dyDescent="0.25">
      <c r="A22147" s="1" t="str">
        <f>"502586"</f>
        <v>502586</v>
      </c>
      <c r="B22147" s="2" t="str">
        <f>"SIKOSTART SIEMENS 3RW222 8-1AB15"</f>
        <v>SIKOSTART SIEMENS 3RW222 8-1AB15</v>
      </c>
      <c r="C22147" s="2" t="str">
        <f t="shared" si="872"/>
        <v>UN</v>
      </c>
      <c r="D22147" s="7">
        <v>600</v>
      </c>
      <c r="E22147" s="3">
        <v>8</v>
      </c>
      <c r="F22147" s="3">
        <v>8</v>
      </c>
      <c r="G22147" t="s">
        <v>514</v>
      </c>
    </row>
    <row r="22148" spans="1:7" x14ac:dyDescent="0.25">
      <c r="A22148" s="1" t="str">
        <f>"520717"</f>
        <v>520717</v>
      </c>
      <c r="B22148" s="2" t="str">
        <f>"SIKOSTART SIEMENS 3RW40 26-1BB14 25A"</f>
        <v>SIKOSTART SIEMENS 3RW40 26-1BB14 25A</v>
      </c>
      <c r="C22148" s="2" t="str">
        <f t="shared" si="872"/>
        <v>UN</v>
      </c>
      <c r="D22148" s="7">
        <v>811</v>
      </c>
      <c r="E22148" s="3">
        <v>8</v>
      </c>
      <c r="F22148" s="3">
        <v>8</v>
      </c>
      <c r="G22148" t="s">
        <v>512</v>
      </c>
    </row>
    <row r="22149" spans="1:7" x14ac:dyDescent="0.25">
      <c r="A22149" s="1" t="str">
        <f>"527002"</f>
        <v>527002</v>
      </c>
      <c r="B22149" s="2" t="str">
        <f>"SILENCIADOR AMTE-M-LHG14"</f>
        <v>SILENCIADOR AMTE-M-LHG14</v>
      </c>
      <c r="C22149" s="2" t="str">
        <f>"PC"</f>
        <v>PC</v>
      </c>
      <c r="D22149" s="7">
        <v>808</v>
      </c>
      <c r="E22149" s="3">
        <v>10</v>
      </c>
      <c r="F22149" s="3">
        <v>10</v>
      </c>
      <c r="G22149" t="s">
        <v>513</v>
      </c>
    </row>
    <row r="22150" spans="1:7" x14ac:dyDescent="0.25">
      <c r="A22150" s="1" t="str">
        <f>"500794"</f>
        <v>500794</v>
      </c>
      <c r="B22150" s="2" t="str">
        <f>"SILENCIADOR G 1/2"" 2310"</f>
        <v>SILENCIADOR G 1/2" 2310</v>
      </c>
      <c r="C22150" s="2" t="str">
        <f>"PC"</f>
        <v>PC</v>
      </c>
      <c r="D22150" s="7">
        <v>808</v>
      </c>
      <c r="E22150" s="3">
        <v>10</v>
      </c>
      <c r="F22150" s="3">
        <v>10</v>
      </c>
      <c r="G22150" t="s">
        <v>514</v>
      </c>
    </row>
    <row r="22151" spans="1:7" x14ac:dyDescent="0.25">
      <c r="A22151" s="1" t="str">
        <f>"500795"</f>
        <v>500795</v>
      </c>
      <c r="B22151" s="2" t="str">
        <f>"SILENCIADOR G 1/4"" 2316"</f>
        <v>SILENCIADOR G 1/4" 2316</v>
      </c>
      <c r="C22151" s="2" t="str">
        <f>"PC"</f>
        <v>PC</v>
      </c>
      <c r="D22151" s="7">
        <v>808</v>
      </c>
      <c r="E22151" s="3">
        <v>10</v>
      </c>
      <c r="F22151" s="3">
        <v>10</v>
      </c>
      <c r="G22151" t="s">
        <v>514</v>
      </c>
    </row>
    <row r="22152" spans="1:7" x14ac:dyDescent="0.25">
      <c r="A22152" s="1" t="str">
        <f>"500796"</f>
        <v>500796</v>
      </c>
      <c r="B22152" s="2" t="str">
        <f>"SILENCIADOR G 1/8"" 1206622"</f>
        <v>SILENCIADOR G 1/8" 1206622</v>
      </c>
      <c r="C22152" s="2" t="str">
        <f>"PC"</f>
        <v>PC</v>
      </c>
      <c r="D22152" s="7">
        <v>808</v>
      </c>
      <c r="E22152" s="3">
        <v>10</v>
      </c>
      <c r="F22152" s="3">
        <v>10</v>
      </c>
      <c r="G22152" t="s">
        <v>514</v>
      </c>
    </row>
    <row r="22153" spans="1:7" x14ac:dyDescent="0.25">
      <c r="A22153" s="1" t="str">
        <f>"500797"</f>
        <v>500797</v>
      </c>
      <c r="B22153" s="2" t="str">
        <f>"SILENCIADOR G 3/8"""</f>
        <v>SILENCIADOR G 3/8"</v>
      </c>
      <c r="C22153" s="2" t="str">
        <f>"PC"</f>
        <v>PC</v>
      </c>
      <c r="D22153" s="7">
        <v>808</v>
      </c>
      <c r="E22153" s="3">
        <v>10</v>
      </c>
      <c r="F22153" s="3">
        <v>10</v>
      </c>
      <c r="G22153" t="s">
        <v>513</v>
      </c>
    </row>
    <row r="22154" spans="1:7" x14ac:dyDescent="0.25">
      <c r="A22154" s="1" t="str">
        <f>"501196"</f>
        <v>501196</v>
      </c>
      <c r="B22154" s="2" t="str">
        <f>"SILENCIADOR N. 438 13 00000 DINIEPER"</f>
        <v>SILENCIADOR N. 438 13 00000 DINIEPER</v>
      </c>
      <c r="C22154" s="2" t="str">
        <f>"BR"</f>
        <v>BR</v>
      </c>
      <c r="D22154" s="7">
        <v>808</v>
      </c>
      <c r="E22154" s="3">
        <v>10</v>
      </c>
      <c r="F22154" s="3">
        <v>10</v>
      </c>
      <c r="G22154" t="s">
        <v>512</v>
      </c>
    </row>
    <row r="22155" spans="1:7" x14ac:dyDescent="0.25">
      <c r="A22155" s="1" t="str">
        <f>"526470"</f>
        <v>526470</v>
      </c>
      <c r="B22155" s="2" t="str">
        <f>"SILENCIADOR P/ PURGADOR MOD.SL-131E 1"" INOX 304 NPT"</f>
        <v>SILENCIADOR P/ PURGADOR MOD.SL-131E 1" INOX 304 NPT</v>
      </c>
      <c r="C22155" s="2" t="str">
        <f>"PC"</f>
        <v>PC</v>
      </c>
      <c r="D22155" s="7">
        <v>808</v>
      </c>
      <c r="E22155" s="3">
        <v>10</v>
      </c>
      <c r="F22155" s="3">
        <v>10</v>
      </c>
      <c r="G22155" t="s">
        <v>513</v>
      </c>
    </row>
    <row r="22156" spans="1:7" x14ac:dyDescent="0.25">
      <c r="A22156" s="1" t="str">
        <f>"505870"</f>
        <v>505870</v>
      </c>
      <c r="B22156" s="2" t="str">
        <f>"SILENCIOSO"</f>
        <v>SILENCIOSO</v>
      </c>
      <c r="C22156" s="2" t="str">
        <f t="shared" ref="C22156:C22181" si="873">"UN"</f>
        <v>UN</v>
      </c>
      <c r="D22156" s="7">
        <v>704</v>
      </c>
      <c r="E22156" s="3">
        <v>9</v>
      </c>
      <c r="F22156" s="3">
        <v>9</v>
      </c>
      <c r="G22156" t="s">
        <v>514</v>
      </c>
    </row>
    <row r="22157" spans="1:7" x14ac:dyDescent="0.25">
      <c r="A22157" s="1" t="str">
        <f>"514544"</f>
        <v>514544</v>
      </c>
      <c r="B22157" s="2" t="str">
        <f>"SILGLOS CREME"</f>
        <v>SILGLOS CREME</v>
      </c>
      <c r="C22157" s="2" t="str">
        <f t="shared" si="873"/>
        <v>UN</v>
      </c>
      <c r="D22157" s="7">
        <v>406</v>
      </c>
      <c r="E22157" s="3">
        <v>4</v>
      </c>
      <c r="F22157" s="3">
        <v>4</v>
      </c>
      <c r="G22157" t="s">
        <v>514</v>
      </c>
    </row>
    <row r="22158" spans="1:7" x14ac:dyDescent="0.25">
      <c r="A22158" s="1" t="str">
        <f>"514830"</f>
        <v>514830</v>
      </c>
      <c r="B22158" s="2" t="str">
        <f>"SILICA GEL AZUL (1 A 4) 500GR"</f>
        <v>SILICA GEL AZUL (1 A 4) 500GR</v>
      </c>
      <c r="C22158" s="2" t="str">
        <f t="shared" si="873"/>
        <v>UN</v>
      </c>
      <c r="D22158" s="7">
        <v>406</v>
      </c>
      <c r="E22158" s="3">
        <v>4</v>
      </c>
      <c r="F22158" s="3">
        <v>4</v>
      </c>
      <c r="G22158" t="s">
        <v>514</v>
      </c>
    </row>
    <row r="22159" spans="1:7" x14ac:dyDescent="0.25">
      <c r="A22159" s="1" t="str">
        <f>"513258"</f>
        <v>513258</v>
      </c>
      <c r="B22159" s="2" t="str">
        <f>"SILICA GEL AZUL (1 A 4MM) 500GR"</f>
        <v>SILICA GEL AZUL (1 A 4MM) 500GR</v>
      </c>
      <c r="C22159" s="2" t="str">
        <f t="shared" si="873"/>
        <v>UN</v>
      </c>
      <c r="D22159" s="7">
        <v>406</v>
      </c>
      <c r="E22159" s="3">
        <v>4</v>
      </c>
      <c r="F22159" s="3">
        <v>4</v>
      </c>
      <c r="G22159" t="s">
        <v>513</v>
      </c>
    </row>
    <row r="22160" spans="1:7" x14ac:dyDescent="0.25">
      <c r="A22160" s="1" t="str">
        <f>"524276"</f>
        <v>524276</v>
      </c>
      <c r="B22160" s="2" t="str">
        <f>"SILICA GEL AZUL (4 A 8MM) 1000GR"</f>
        <v>SILICA GEL AZUL (4 A 8MM) 1000GR</v>
      </c>
      <c r="C22160" s="2" t="str">
        <f t="shared" si="873"/>
        <v>UN</v>
      </c>
      <c r="D22160" s="7">
        <v>406</v>
      </c>
      <c r="E22160" s="3">
        <v>4</v>
      </c>
      <c r="F22160" s="3">
        <v>4</v>
      </c>
      <c r="G22160" t="s">
        <v>513</v>
      </c>
    </row>
    <row r="22161" spans="1:7" x14ac:dyDescent="0.25">
      <c r="A22161" s="1" t="str">
        <f>"514152"</f>
        <v>514152</v>
      </c>
      <c r="B22161" s="2" t="str">
        <f>"SILICONE ACETICO PREMIUM BRANCO 280ML"</f>
        <v>SILICONE ACETICO PREMIUM BRANCO 280ML</v>
      </c>
      <c r="C22161" s="2" t="str">
        <f t="shared" si="873"/>
        <v>UN</v>
      </c>
      <c r="D22161" s="7">
        <v>704</v>
      </c>
      <c r="E22161" s="3">
        <v>9</v>
      </c>
      <c r="F22161" s="3">
        <v>9</v>
      </c>
      <c r="G22161" t="s">
        <v>513</v>
      </c>
    </row>
    <row r="22162" spans="1:7" x14ac:dyDescent="0.25">
      <c r="A22162" s="1" t="str">
        <f>"507660"</f>
        <v>507660</v>
      </c>
      <c r="B22162" s="2" t="str">
        <f>"SILICONE ACETICO PREMIUM INCOLOR 274G"</f>
        <v>SILICONE ACETICO PREMIUM INCOLOR 274G</v>
      </c>
      <c r="C22162" s="2" t="str">
        <f t="shared" si="873"/>
        <v>UN</v>
      </c>
      <c r="D22162" s="7">
        <v>402</v>
      </c>
      <c r="E22162" s="3">
        <v>4</v>
      </c>
      <c r="F22162" s="3">
        <v>4</v>
      </c>
      <c r="G22162" t="s">
        <v>512</v>
      </c>
    </row>
    <row r="22163" spans="1:7" x14ac:dyDescent="0.25">
      <c r="A22163" s="1" t="str">
        <f>"501701"</f>
        <v>501701</v>
      </c>
      <c r="B22163" s="2" t="str">
        <f>"SILICONE ALTA TEMPERATURA"</f>
        <v>SILICONE ALTA TEMPERATURA</v>
      </c>
      <c r="C22163" s="2" t="str">
        <f t="shared" si="873"/>
        <v>UN</v>
      </c>
      <c r="D22163" s="7">
        <v>402</v>
      </c>
      <c r="E22163" s="3">
        <v>4</v>
      </c>
      <c r="F22163" s="3">
        <v>4</v>
      </c>
      <c r="G22163" t="s">
        <v>513</v>
      </c>
    </row>
    <row r="22164" spans="1:7" x14ac:dyDescent="0.25">
      <c r="A22164" s="1" t="str">
        <f>"518564"</f>
        <v>518564</v>
      </c>
      <c r="B22164" s="2" t="str">
        <f>"SILICONE GEL AROMA CAR"</f>
        <v>SILICONE GEL AROMA CAR</v>
      </c>
      <c r="C22164" s="2" t="str">
        <f t="shared" si="873"/>
        <v>UN</v>
      </c>
      <c r="D22164" s="7">
        <v>704</v>
      </c>
      <c r="E22164" s="3">
        <v>4</v>
      </c>
      <c r="F22164" s="3">
        <v>4</v>
      </c>
      <c r="G22164" t="s">
        <v>514</v>
      </c>
    </row>
    <row r="22165" spans="1:7" x14ac:dyDescent="0.25">
      <c r="A22165" s="1" t="str">
        <f>"516331"</f>
        <v>516331</v>
      </c>
      <c r="B22165" s="2" t="str">
        <f>"SILICONE PERFUMADO DESTAQUE BRILHO SECO AEROSOL 400ML"</f>
        <v>SILICONE PERFUMADO DESTAQUE BRILHO SECO AEROSOL 400ML</v>
      </c>
      <c r="C22165" s="2" t="str">
        <f t="shared" si="873"/>
        <v>UN</v>
      </c>
      <c r="D22165" s="7">
        <v>2000</v>
      </c>
      <c r="E22165" s="3">
        <v>16</v>
      </c>
      <c r="F22165" s="3">
        <v>16</v>
      </c>
      <c r="G22165" t="s">
        <v>515</v>
      </c>
    </row>
    <row r="22166" spans="1:7" x14ac:dyDescent="0.25">
      <c r="A22166" s="1" t="str">
        <f>"520298"</f>
        <v>520298</v>
      </c>
      <c r="B22166" s="2" t="str">
        <f>"SILICONE PRETO"</f>
        <v>SILICONE PRETO</v>
      </c>
      <c r="C22166" s="2" t="str">
        <f t="shared" si="873"/>
        <v>UN</v>
      </c>
      <c r="D22166" s="7">
        <v>402</v>
      </c>
      <c r="E22166" s="3">
        <v>4</v>
      </c>
      <c r="F22166" s="3">
        <v>4</v>
      </c>
      <c r="G22166" t="s">
        <v>512</v>
      </c>
    </row>
    <row r="22167" spans="1:7" x14ac:dyDescent="0.25">
      <c r="A22167" s="1" t="str">
        <f>"511393"</f>
        <v>511393</v>
      </c>
      <c r="B22167" s="2" t="str">
        <f>"SILICONE SPRAY WURTH 300ML"</f>
        <v>SILICONE SPRAY WURTH 300ML</v>
      </c>
      <c r="C22167" s="2" t="str">
        <f t="shared" si="873"/>
        <v>UN</v>
      </c>
      <c r="D22167" s="7">
        <v>99999</v>
      </c>
      <c r="E22167" s="3">
        <v>99</v>
      </c>
      <c r="F22167" s="3">
        <v>99</v>
      </c>
      <c r="G22167" t="s">
        <v>516</v>
      </c>
    </row>
    <row r="22168" spans="1:7" x14ac:dyDescent="0.25">
      <c r="A22168" s="1" t="str">
        <f>"515758"</f>
        <v>515758</v>
      </c>
      <c r="B22168" s="2" t="str">
        <f>"SILO"</f>
        <v>SILO</v>
      </c>
      <c r="C22168" s="2" t="str">
        <f t="shared" si="873"/>
        <v>UN</v>
      </c>
      <c r="D22168" s="7">
        <v>1300</v>
      </c>
      <c r="E22168" s="3">
        <v>13</v>
      </c>
      <c r="F22168" s="3">
        <v>13</v>
      </c>
      <c r="G22168" t="s">
        <v>515</v>
      </c>
    </row>
    <row r="22169" spans="1:7" x14ac:dyDescent="0.25">
      <c r="A22169" s="1" t="str">
        <f>"510934"</f>
        <v>510934</v>
      </c>
      <c r="B22169" s="2" t="str">
        <f>"SILO HOMOGENIZADOR MODELO VCISOI 50000LT"</f>
        <v>SILO HOMOGENIZADOR MODELO VCISOI 50000LT</v>
      </c>
      <c r="C22169" s="2" t="str">
        <f t="shared" si="873"/>
        <v>UN</v>
      </c>
      <c r="D22169" s="7">
        <v>1600</v>
      </c>
      <c r="E22169" s="3">
        <v>13</v>
      </c>
      <c r="F22169" s="3">
        <v>13</v>
      </c>
      <c r="G22169" t="s">
        <v>514</v>
      </c>
    </row>
    <row r="22170" spans="1:7" x14ac:dyDescent="0.25">
      <c r="A22170" s="1" t="str">
        <f>"509118"</f>
        <v>509118</v>
      </c>
      <c r="B22170" s="2" t="str">
        <f>"SILO HOMOGENIZADOR MODELO VCISOI- 75000LT"</f>
        <v>SILO HOMOGENIZADOR MODELO VCISOI- 75000LT</v>
      </c>
      <c r="C22170" s="2" t="str">
        <f t="shared" si="873"/>
        <v>UN</v>
      </c>
      <c r="D22170" s="7">
        <v>1600</v>
      </c>
      <c r="E22170" s="3">
        <v>13</v>
      </c>
      <c r="F22170" s="3">
        <v>13</v>
      </c>
      <c r="G22170" t="s">
        <v>512</v>
      </c>
    </row>
    <row r="22171" spans="1:7" x14ac:dyDescent="0.25">
      <c r="A22171" s="1" t="str">
        <f>"522354"</f>
        <v>522354</v>
      </c>
      <c r="B22171" s="2" t="str">
        <f>"SILO VERTICAL 100.000LTS AGUIA INOX"</f>
        <v>SILO VERTICAL 100.000LTS AGUIA INOX</v>
      </c>
      <c r="C22171" s="2" t="str">
        <f t="shared" si="873"/>
        <v>UN</v>
      </c>
      <c r="D22171" s="7">
        <v>1600</v>
      </c>
      <c r="E22171" s="3">
        <v>10</v>
      </c>
      <c r="F22171" s="3">
        <v>10</v>
      </c>
      <c r="G22171" t="s">
        <v>513</v>
      </c>
    </row>
    <row r="22172" spans="1:7" x14ac:dyDescent="0.25">
      <c r="A22172" s="1" t="str">
        <f>"522353"</f>
        <v>522353</v>
      </c>
      <c r="B22172" s="2" t="str">
        <f>"SILO VERTICAL 75.000LTS AGUIA INOX"</f>
        <v>SILO VERTICAL 75.000LTS AGUIA INOX</v>
      </c>
      <c r="C22172" s="2" t="str">
        <f t="shared" si="873"/>
        <v>UN</v>
      </c>
      <c r="D22172" s="7">
        <v>1600</v>
      </c>
      <c r="E22172" s="3">
        <v>10</v>
      </c>
      <c r="F22172" s="3">
        <v>10</v>
      </c>
      <c r="G22172" t="s">
        <v>514</v>
      </c>
    </row>
    <row r="22173" spans="1:7" x14ac:dyDescent="0.25">
      <c r="A22173" s="1" t="str">
        <f>"510939"</f>
        <v>510939</v>
      </c>
      <c r="B22173" s="2" t="str">
        <f>"SILVER TAPE CINZA"</f>
        <v>SILVER TAPE CINZA</v>
      </c>
      <c r="C22173" s="2" t="str">
        <f t="shared" si="873"/>
        <v>UN</v>
      </c>
      <c r="D22173" s="7">
        <v>402</v>
      </c>
      <c r="E22173" s="3">
        <v>4</v>
      </c>
      <c r="F22173" s="3">
        <v>4</v>
      </c>
      <c r="G22173" t="s">
        <v>514</v>
      </c>
    </row>
    <row r="22174" spans="1:7" x14ac:dyDescent="0.25">
      <c r="A22174" s="1" t="str">
        <f>"522629"</f>
        <v>522629</v>
      </c>
      <c r="B22174" s="2" t="str">
        <f>"SIM CARD 4G"</f>
        <v>SIM CARD 4G</v>
      </c>
      <c r="C22174" s="2" t="str">
        <f t="shared" si="873"/>
        <v>UN</v>
      </c>
      <c r="D22174" s="7">
        <v>99999</v>
      </c>
      <c r="E22174" s="3">
        <v>99</v>
      </c>
      <c r="F22174" s="3">
        <v>99</v>
      </c>
      <c r="G22174" t="s">
        <v>512</v>
      </c>
    </row>
    <row r="22175" spans="1:7" x14ac:dyDescent="0.25">
      <c r="A22175" s="1" t="str">
        <f>"514578"</f>
        <v>514578</v>
      </c>
      <c r="B22175" s="2" t="str">
        <f>"SIM CARD CORPORATIVO MSN HLR 40 128K /43"</f>
        <v>SIM CARD CORPORATIVO MSN HLR 40 128K /43</v>
      </c>
      <c r="C22175" s="2" t="str">
        <f t="shared" si="873"/>
        <v>UN</v>
      </c>
      <c r="D22175" s="7">
        <v>401</v>
      </c>
      <c r="E22175" s="3">
        <v>4</v>
      </c>
      <c r="F22175" s="3">
        <v>4</v>
      </c>
      <c r="G22175" t="s">
        <v>513</v>
      </c>
    </row>
    <row r="22176" spans="1:7" x14ac:dyDescent="0.25">
      <c r="A22176" s="1" t="str">
        <f>"525167"</f>
        <v>525167</v>
      </c>
      <c r="B22176" s="2" t="str">
        <f>"SÍMBOLO"</f>
        <v>SÍMBOLO</v>
      </c>
      <c r="C22176" s="2" t="str">
        <f t="shared" si="873"/>
        <v>UN</v>
      </c>
      <c r="D22176" s="7">
        <v>704</v>
      </c>
      <c r="E22176" s="3">
        <v>4</v>
      </c>
      <c r="F22176" s="3">
        <v>4</v>
      </c>
      <c r="G22176" t="s">
        <v>514</v>
      </c>
    </row>
    <row r="22177" spans="1:7" x14ac:dyDescent="0.25">
      <c r="A22177" s="1" t="str">
        <f>"527069"</f>
        <v>527069</v>
      </c>
      <c r="B22177" s="2" t="str">
        <f>"SIMPLA PH140 MEDIDOR DE PH DE BANCADA"</f>
        <v>SIMPLA PH140 MEDIDOR DE PH DE BANCADA</v>
      </c>
      <c r="C22177" s="2" t="str">
        <f t="shared" si="873"/>
        <v>UN</v>
      </c>
      <c r="D22177" s="7">
        <v>1500</v>
      </c>
      <c r="E22177" s="3">
        <v>13</v>
      </c>
      <c r="F22177" s="3">
        <v>13</v>
      </c>
      <c r="G22177" t="s">
        <v>514</v>
      </c>
    </row>
    <row r="22178" spans="1:7" x14ac:dyDescent="0.25">
      <c r="A22178" s="1" t="str">
        <f>"511766"</f>
        <v>511766</v>
      </c>
      <c r="B22178" s="2" t="str">
        <f>"SINALEIRO 24V VERMELHO 22MM DIAMETRO"</f>
        <v>SINALEIRO 24V VERMELHO 22MM DIAMETRO</v>
      </c>
      <c r="C22178" s="2" t="str">
        <f t="shared" si="873"/>
        <v>UN</v>
      </c>
      <c r="D22178" s="7">
        <v>600</v>
      </c>
      <c r="E22178" s="3">
        <v>8</v>
      </c>
      <c r="F22178" s="3">
        <v>8</v>
      </c>
      <c r="G22178" t="s">
        <v>514</v>
      </c>
    </row>
    <row r="22179" spans="1:7" x14ac:dyDescent="0.25">
      <c r="A22179" s="1" t="str">
        <f>"513591"</f>
        <v>513591</v>
      </c>
      <c r="B22179" s="2" t="str">
        <f>"SINALEIRO ACUSTICO HB 12A 220VCA COEL"</f>
        <v>SINALEIRO ACUSTICO HB 12A 220VCA COEL</v>
      </c>
      <c r="C22179" s="2" t="str">
        <f t="shared" si="873"/>
        <v>UN</v>
      </c>
      <c r="D22179" s="7">
        <v>811</v>
      </c>
      <c r="E22179" s="3">
        <v>8</v>
      </c>
      <c r="F22179" s="3">
        <v>8</v>
      </c>
      <c r="G22179" t="s">
        <v>513</v>
      </c>
    </row>
    <row r="22180" spans="1:7" x14ac:dyDescent="0.25">
      <c r="A22180" s="1" t="str">
        <f>"517406"</f>
        <v>517406</v>
      </c>
      <c r="B22180" s="2" t="str">
        <f>"SINALEIRO DUPLO P/ PORTÃO 220V"</f>
        <v>SINALEIRO DUPLO P/ PORTÃO 220V</v>
      </c>
      <c r="C22180" s="2" t="str">
        <f t="shared" si="873"/>
        <v>UN</v>
      </c>
      <c r="D22180" s="7">
        <v>811</v>
      </c>
      <c r="E22180" s="3">
        <v>8</v>
      </c>
      <c r="F22180" s="3">
        <v>8</v>
      </c>
      <c r="G22180" t="s">
        <v>512</v>
      </c>
    </row>
    <row r="22181" spans="1:7" x14ac:dyDescent="0.25">
      <c r="A22181" s="1" t="str">
        <f>"525250"</f>
        <v>525250</v>
      </c>
      <c r="B22181" s="2" t="str">
        <f>"SINALEIRO LUM. AMARELO GIROFLEX C/ SINAL SON/80DB 220V 150MM"</f>
        <v>SINALEIRO LUM. AMARELO GIROFLEX C/ SINAL SON/80DB 220V 150MM</v>
      </c>
      <c r="C22181" s="2" t="str">
        <f t="shared" si="873"/>
        <v>UN</v>
      </c>
      <c r="D22181" s="7">
        <v>811</v>
      </c>
      <c r="E22181" s="3">
        <v>10</v>
      </c>
      <c r="F22181" s="3">
        <v>10</v>
      </c>
      <c r="G22181" t="s">
        <v>513</v>
      </c>
    </row>
    <row r="22182" spans="1:7" x14ac:dyDescent="0.25">
      <c r="A22182" s="1" t="str">
        <f>"519404"</f>
        <v>519404</v>
      </c>
      <c r="B22182" s="2" t="str">
        <f>"SINALEIRO NEON VERDE    110V"</f>
        <v>SINALEIRO NEON VERDE    110V</v>
      </c>
      <c r="C22182" s="2" t="str">
        <f>"PC"</f>
        <v>PC</v>
      </c>
      <c r="D22182" s="7">
        <v>600</v>
      </c>
      <c r="E22182" s="3">
        <v>8</v>
      </c>
      <c r="F22182" s="3">
        <v>8</v>
      </c>
      <c r="G22182" t="s">
        <v>514</v>
      </c>
    </row>
    <row r="22183" spans="1:7" x14ac:dyDescent="0.25">
      <c r="A22183" s="1" t="str">
        <f>"507973"</f>
        <v>507973</v>
      </c>
      <c r="B22183" s="2" t="str">
        <f>"SINALEIRO NEON VERDE    220V"</f>
        <v>SINALEIRO NEON VERDE    220V</v>
      </c>
      <c r="C22183" s="2" t="str">
        <f>"PC"</f>
        <v>PC</v>
      </c>
      <c r="D22183" s="7">
        <v>600</v>
      </c>
      <c r="E22183" s="3">
        <v>8</v>
      </c>
      <c r="F22183" s="3">
        <v>8</v>
      </c>
      <c r="G22183" t="s">
        <v>514</v>
      </c>
    </row>
    <row r="22184" spans="1:7" x14ac:dyDescent="0.25">
      <c r="A22184" s="1" t="str">
        <f>"515935"</f>
        <v>515935</v>
      </c>
      <c r="B22184" s="2" t="str">
        <f>"SINALEIRO NEON VERDE 24V"</f>
        <v>SINALEIRO NEON VERDE 24V</v>
      </c>
      <c r="C22184" s="2" t="str">
        <f>"UN"</f>
        <v>UN</v>
      </c>
      <c r="D22184" s="7">
        <v>811</v>
      </c>
      <c r="E22184" s="3">
        <v>8</v>
      </c>
      <c r="F22184" s="3">
        <v>8</v>
      </c>
      <c r="G22184" t="s">
        <v>514</v>
      </c>
    </row>
    <row r="22185" spans="1:7" x14ac:dyDescent="0.25">
      <c r="A22185" s="1" t="str">
        <f>"509135"</f>
        <v>509135</v>
      </c>
      <c r="B22185" s="2" t="str">
        <f>"SINALEIRO NEON VERMELHO 220V SK.LP14220VVM"</f>
        <v>SINALEIRO NEON VERMELHO 220V SK.LP14220VVM</v>
      </c>
      <c r="C22185" s="2" t="str">
        <f>"PC"</f>
        <v>PC</v>
      </c>
      <c r="D22185" s="7">
        <v>900</v>
      </c>
      <c r="E22185" s="3">
        <v>11</v>
      </c>
      <c r="F22185" s="3">
        <v>11</v>
      </c>
      <c r="G22185" t="s">
        <v>513</v>
      </c>
    </row>
    <row r="22186" spans="1:7" x14ac:dyDescent="0.25">
      <c r="A22186" s="1" t="str">
        <f>"512331"</f>
        <v>512331</v>
      </c>
      <c r="B22186" s="2" t="str">
        <f>"SINALEIRO NEON VERMELHO 24V"</f>
        <v>SINALEIRO NEON VERMELHO 24V</v>
      </c>
      <c r="C22186" s="2" t="str">
        <f t="shared" ref="C22186:C22209" si="874">"UN"</f>
        <v>UN</v>
      </c>
      <c r="D22186" s="7">
        <v>600</v>
      </c>
      <c r="E22186" s="3">
        <v>8</v>
      </c>
      <c r="F22186" s="3">
        <v>8</v>
      </c>
      <c r="G22186" t="s">
        <v>513</v>
      </c>
    </row>
    <row r="22187" spans="1:7" x14ac:dyDescent="0.25">
      <c r="A22187" s="1" t="str">
        <f>"514837"</f>
        <v>514837</v>
      </c>
      <c r="B22187" s="2" t="str">
        <f>"SINALEIRO SONORO ACUSTICO 220V COEL (02240031)"</f>
        <v>SINALEIRO SONORO ACUSTICO 220V COEL (02240031)</v>
      </c>
      <c r="C22187" s="2" t="str">
        <f t="shared" si="874"/>
        <v>UN</v>
      </c>
      <c r="D22187" s="7">
        <v>811</v>
      </c>
      <c r="E22187" s="3">
        <v>8</v>
      </c>
      <c r="F22187" s="3">
        <v>8</v>
      </c>
      <c r="G22187" t="s">
        <v>513</v>
      </c>
    </row>
    <row r="22188" spans="1:7" x14ac:dyDescent="0.25">
      <c r="A22188" s="1" t="str">
        <f>"524359"</f>
        <v>524359</v>
      </c>
      <c r="B22188" s="2" t="str">
        <f>"SINALISADOR PN ANGLTA2051WJ24V"</f>
        <v>SINALISADOR PN ANGLTA2051WJ24V</v>
      </c>
      <c r="C22188" s="2" t="str">
        <f t="shared" si="874"/>
        <v>UN</v>
      </c>
      <c r="D22188" s="7">
        <v>900</v>
      </c>
      <c r="E22188" s="3">
        <v>11</v>
      </c>
      <c r="F22188" s="3">
        <v>11</v>
      </c>
      <c r="G22188" t="s">
        <v>512</v>
      </c>
    </row>
    <row r="22189" spans="1:7" x14ac:dyDescent="0.25">
      <c r="A22189" s="1" t="str">
        <f>"526041"</f>
        <v>526041</v>
      </c>
      <c r="B22189" s="2" t="str">
        <f>"SINALIZAÇÃO AMARELA LED COL. LUMINOSA XBV 70MM XVB-C2B8"</f>
        <v>SINALIZAÇÃO AMARELA LED COL. LUMINOSA XBV 70MM XVB-C2B8</v>
      </c>
      <c r="C22189" s="2" t="str">
        <f t="shared" si="874"/>
        <v>UN</v>
      </c>
      <c r="D22189" s="7">
        <v>811</v>
      </c>
      <c r="E22189" s="3">
        <v>10</v>
      </c>
      <c r="F22189" s="3">
        <v>10</v>
      </c>
      <c r="G22189" t="s">
        <v>513</v>
      </c>
    </row>
    <row r="22190" spans="1:7" x14ac:dyDescent="0.25">
      <c r="A22190" s="1" t="str">
        <f>"526040"</f>
        <v>526040</v>
      </c>
      <c r="B22190" s="2" t="str">
        <f>"SINALIZAÇÃO VERMELHA LED COL. LUMINOSA XBV 70MM XVB-C2B4"</f>
        <v>SINALIZAÇÃO VERMELHA LED COL. LUMINOSA XBV 70MM XVB-C2B4</v>
      </c>
      <c r="C22190" s="2" t="str">
        <f t="shared" si="874"/>
        <v>UN</v>
      </c>
      <c r="D22190" s="7">
        <v>811</v>
      </c>
      <c r="E22190" s="3">
        <v>10</v>
      </c>
      <c r="F22190" s="3">
        <v>10</v>
      </c>
      <c r="G22190" t="s">
        <v>514</v>
      </c>
    </row>
    <row r="22191" spans="1:7" x14ac:dyDescent="0.25">
      <c r="A22191" s="1" t="str">
        <f>"524391"</f>
        <v>524391</v>
      </c>
      <c r="B22191" s="2" t="str">
        <f>"SINALIZADOR"</f>
        <v>SINALIZADOR</v>
      </c>
      <c r="C22191" s="2" t="str">
        <f t="shared" si="874"/>
        <v>UN</v>
      </c>
      <c r="D22191" s="7">
        <v>811</v>
      </c>
      <c r="E22191" s="3">
        <v>10</v>
      </c>
      <c r="F22191" s="3">
        <v>10</v>
      </c>
      <c r="G22191" t="s">
        <v>515</v>
      </c>
    </row>
    <row r="22192" spans="1:7" x14ac:dyDescent="0.25">
      <c r="A22192" s="1" t="str">
        <f>"505950"</f>
        <v>505950</v>
      </c>
      <c r="B22192" s="2" t="str">
        <f>"SINALIZADOR 3SB3204-6AA20 220V"</f>
        <v>SINALIZADOR 3SB3204-6AA20 220V</v>
      </c>
      <c r="C22192" s="2" t="str">
        <f t="shared" si="874"/>
        <v>UN</v>
      </c>
      <c r="D22192" s="7">
        <v>600</v>
      </c>
      <c r="E22192" s="3">
        <v>8</v>
      </c>
      <c r="F22192" s="3">
        <v>8</v>
      </c>
      <c r="G22192" t="s">
        <v>512</v>
      </c>
    </row>
    <row r="22193" spans="1:7" x14ac:dyDescent="0.25">
      <c r="A22193" s="1" t="str">
        <f>"505951"</f>
        <v>505951</v>
      </c>
      <c r="B22193" s="2" t="str">
        <f>"SINALIZADOR 3SB3204-6AA40 220V"</f>
        <v>SINALIZADOR 3SB3204-6AA40 220V</v>
      </c>
      <c r="C22193" s="2" t="str">
        <f t="shared" si="874"/>
        <v>UN</v>
      </c>
      <c r="D22193" s="7">
        <v>600</v>
      </c>
      <c r="E22193" s="3">
        <v>8</v>
      </c>
      <c r="F22193" s="3">
        <v>8</v>
      </c>
      <c r="G22193" t="s">
        <v>516</v>
      </c>
    </row>
    <row r="22194" spans="1:7" x14ac:dyDescent="0.25">
      <c r="A22194" s="1" t="str">
        <f>"528125"</f>
        <v>528125</v>
      </c>
      <c r="B22194" s="2" t="str">
        <f>"SINALIZADOR ACUSTICO HB/LB- 12/220 VCA - 50/60 HZ"</f>
        <v>SINALIZADOR ACUSTICO HB/LB- 12/220 VCA - 50/60 HZ</v>
      </c>
      <c r="C22194" s="2" t="str">
        <f t="shared" si="874"/>
        <v>UN</v>
      </c>
      <c r="D22194" s="7">
        <v>811</v>
      </c>
      <c r="E22194" s="3">
        <v>11</v>
      </c>
      <c r="F22194" s="3">
        <v>11</v>
      </c>
      <c r="G22194" t="s">
        <v>515</v>
      </c>
    </row>
    <row r="22195" spans="1:7" x14ac:dyDescent="0.25">
      <c r="A22195" s="1" t="str">
        <f>"527725"</f>
        <v>527725</v>
      </c>
      <c r="B22195" s="2" t="str">
        <f>"SINALIZADOR AUDIO VISUAL CUTLER-HAMMER 24V COD.100/201"</f>
        <v>SINALIZADOR AUDIO VISUAL CUTLER-HAMMER 24V COD.100/201</v>
      </c>
      <c r="C22195" s="2" t="str">
        <f t="shared" si="874"/>
        <v>UN</v>
      </c>
      <c r="D22195" s="7">
        <v>811</v>
      </c>
      <c r="E22195" s="3">
        <v>11</v>
      </c>
      <c r="F22195" s="3">
        <v>11</v>
      </c>
      <c r="G22195" t="s">
        <v>514</v>
      </c>
    </row>
    <row r="22196" spans="1:7" x14ac:dyDescent="0.25">
      <c r="A22196" s="1" t="str">
        <f>"521527"</f>
        <v>521527</v>
      </c>
      <c r="B22196" s="2" t="str">
        <f>"SINALIZADOR CUIDADO VEICULO SINALEIRA LUMINOSO LED GARAGEM"</f>
        <v>SINALIZADOR CUIDADO VEICULO SINALEIRA LUMINOSO LED GARAGEM</v>
      </c>
      <c r="C22196" s="2" t="str">
        <f t="shared" si="874"/>
        <v>UN</v>
      </c>
      <c r="D22196" s="7">
        <v>99999</v>
      </c>
      <c r="E22196" s="3">
        <v>99</v>
      </c>
      <c r="F22196" s="3">
        <v>99</v>
      </c>
      <c r="G22196" t="s">
        <v>512</v>
      </c>
    </row>
    <row r="22197" spans="1:7" x14ac:dyDescent="0.25">
      <c r="A22197" s="1" t="str">
        <f>"521566"</f>
        <v>521566</v>
      </c>
      <c r="B22197" s="2" t="str">
        <f>"SINALIZADOR SIEMENS BASE C/ TUBO IP54 8WD4308-0DA"</f>
        <v>SINALIZADOR SIEMENS BASE C/ TUBO IP54 8WD4308-0DA</v>
      </c>
      <c r="C22197" s="2" t="str">
        <f t="shared" si="874"/>
        <v>UN</v>
      </c>
      <c r="D22197" s="7">
        <v>812</v>
      </c>
      <c r="E22197" s="3">
        <v>10</v>
      </c>
      <c r="F22197" s="3">
        <v>10</v>
      </c>
      <c r="G22197" t="s">
        <v>513</v>
      </c>
    </row>
    <row r="22198" spans="1:7" x14ac:dyDescent="0.25">
      <c r="A22198" s="1" t="str">
        <f>"521569"</f>
        <v>521569</v>
      </c>
      <c r="B22198" s="2" t="str">
        <f>"SINALIZADOR SIEMENS ELEMENTO CONT. SOQ. DIR. 8WD4400-1AB VM."</f>
        <v>SINALIZADOR SIEMENS ELEMENTO CONT. SOQ. DIR. 8WD4400-1AB VM.</v>
      </c>
      <c r="C22198" s="2" t="str">
        <f t="shared" si="874"/>
        <v>UN</v>
      </c>
      <c r="D22198" s="7">
        <v>812</v>
      </c>
      <c r="E22198" s="3">
        <v>10</v>
      </c>
      <c r="F22198" s="3">
        <v>10</v>
      </c>
      <c r="G22198" t="s">
        <v>514</v>
      </c>
    </row>
    <row r="22199" spans="1:7" x14ac:dyDescent="0.25">
      <c r="A22199" s="1" t="str">
        <f>"521571"</f>
        <v>521571</v>
      </c>
      <c r="B22199" s="2" t="str">
        <f>"SINALIZADOR SIEMENS ELEMENTO CONT. SOQ. DIR. 8WD4400-1AC VD."</f>
        <v>SINALIZADOR SIEMENS ELEMENTO CONT. SOQ. DIR. 8WD4400-1AC VD.</v>
      </c>
      <c r="C22199" s="2" t="str">
        <f t="shared" si="874"/>
        <v>UN</v>
      </c>
      <c r="D22199" s="7">
        <v>812</v>
      </c>
      <c r="E22199" s="3">
        <v>10</v>
      </c>
      <c r="F22199" s="3">
        <v>10</v>
      </c>
      <c r="G22199" t="s">
        <v>514</v>
      </c>
    </row>
    <row r="22200" spans="1:7" x14ac:dyDescent="0.25">
      <c r="A22200" s="1" t="str">
        <f>"521570"</f>
        <v>521570</v>
      </c>
      <c r="B22200" s="2" t="str">
        <f>"SINALIZADOR SIEMENS ELEMENTO CONT. SOQ. DIR. 8WD4400-1AD AM."</f>
        <v>SINALIZADOR SIEMENS ELEMENTO CONT. SOQ. DIR. 8WD4400-1AD AM.</v>
      </c>
      <c r="C22200" s="2" t="str">
        <f t="shared" si="874"/>
        <v>UN</v>
      </c>
      <c r="D22200" s="7">
        <v>812</v>
      </c>
      <c r="E22200" s="3">
        <v>10</v>
      </c>
      <c r="F22200" s="3">
        <v>10</v>
      </c>
      <c r="G22200" t="s">
        <v>512</v>
      </c>
    </row>
    <row r="22201" spans="1:7" x14ac:dyDescent="0.25">
      <c r="A22201" s="1" t="str">
        <f>"521568"</f>
        <v>521568</v>
      </c>
      <c r="B22201" s="2" t="str">
        <f>"SINALIZADOR SIEMENS ELEMENTO SONORO AJUST 230VCA 8WD4450-0FA"</f>
        <v>SINALIZADOR SIEMENS ELEMENTO SONORO AJUST 230VCA 8WD4450-0FA</v>
      </c>
      <c r="C22201" s="2" t="str">
        <f t="shared" si="874"/>
        <v>UN</v>
      </c>
      <c r="D22201" s="7">
        <v>812</v>
      </c>
      <c r="E22201" s="3">
        <v>10</v>
      </c>
      <c r="F22201" s="3">
        <v>10</v>
      </c>
      <c r="G22201" t="s">
        <v>513</v>
      </c>
    </row>
    <row r="22202" spans="1:7" x14ac:dyDescent="0.25">
      <c r="A22202" s="1" t="str">
        <f>"521567"</f>
        <v>521567</v>
      </c>
      <c r="B22202" s="2" t="str">
        <f>"SINALIZADOR SIEMENS MOD. BASE E TAMPA 8WD4408-0AA"</f>
        <v>SINALIZADOR SIEMENS MOD. BASE E TAMPA 8WD4408-0AA</v>
      </c>
      <c r="C22202" s="2" t="str">
        <f t="shared" si="874"/>
        <v>UN</v>
      </c>
      <c r="D22202" s="7">
        <v>812</v>
      </c>
      <c r="E22202" s="3">
        <v>10</v>
      </c>
      <c r="F22202" s="3">
        <v>10</v>
      </c>
      <c r="G22202" t="s">
        <v>514</v>
      </c>
    </row>
    <row r="22203" spans="1:7" x14ac:dyDescent="0.25">
      <c r="A22203" s="1" t="str">
        <f>"521954"</f>
        <v>521954</v>
      </c>
      <c r="B22203" s="2" t="str">
        <f>"SIRENE AUDIO VISUAL TP CORNETA ELET 220 V"</f>
        <v>SIRENE AUDIO VISUAL TP CORNETA ELET 220 V</v>
      </c>
      <c r="C22203" s="2" t="str">
        <f t="shared" si="874"/>
        <v>UN</v>
      </c>
      <c r="D22203" s="7">
        <v>99999</v>
      </c>
      <c r="E22203" s="3">
        <v>99</v>
      </c>
      <c r="F22203" s="3">
        <v>99</v>
      </c>
      <c r="G22203" t="s">
        <v>514</v>
      </c>
    </row>
    <row r="22204" spans="1:7" x14ac:dyDescent="0.25">
      <c r="A22204" s="1" t="str">
        <f>"526031"</f>
        <v>526031</v>
      </c>
      <c r="B22204" s="2" t="str">
        <f>"SIRENE COL. LUMINOSA XBV C 70MM XVB-C9B"</f>
        <v>SIRENE COL. LUMINOSA XBV C 70MM XVB-C9B</v>
      </c>
      <c r="C22204" s="2" t="str">
        <f t="shared" si="874"/>
        <v>UN</v>
      </c>
      <c r="D22204" s="7">
        <v>900</v>
      </c>
      <c r="E22204" s="3">
        <v>8</v>
      </c>
      <c r="F22204" s="3">
        <v>8</v>
      </c>
      <c r="G22204" t="s">
        <v>514</v>
      </c>
    </row>
    <row r="22205" spans="1:7" x14ac:dyDescent="0.25">
      <c r="A22205" s="1" t="str">
        <f>"509138"</f>
        <v>509138</v>
      </c>
      <c r="B22205" s="2" t="str">
        <f>"SIRENE MARCHA RE"</f>
        <v>SIRENE MARCHA RE</v>
      </c>
      <c r="C22205" s="2" t="str">
        <f t="shared" si="874"/>
        <v>UN</v>
      </c>
      <c r="D22205" s="7">
        <v>900</v>
      </c>
      <c r="E22205" s="3">
        <v>11</v>
      </c>
      <c r="F22205" s="3">
        <v>11</v>
      </c>
      <c r="G22205" t="s">
        <v>513</v>
      </c>
    </row>
    <row r="22206" spans="1:7" x14ac:dyDescent="0.25">
      <c r="A22206" s="1" t="str">
        <f>"524007"</f>
        <v>524007</v>
      </c>
      <c r="B22206" s="2" t="str">
        <f>"SISAL"</f>
        <v>SISAL</v>
      </c>
      <c r="C22206" s="2" t="str">
        <f t="shared" si="874"/>
        <v>UN</v>
      </c>
      <c r="D22206" s="7">
        <v>99999</v>
      </c>
      <c r="E22206" s="3">
        <v>99</v>
      </c>
      <c r="F22206" s="3">
        <v>99</v>
      </c>
      <c r="G22206" t="s">
        <v>512</v>
      </c>
    </row>
    <row r="22207" spans="1:7" x14ac:dyDescent="0.25">
      <c r="A22207" s="1" t="str">
        <f>"514614"</f>
        <v>514614</v>
      </c>
      <c r="B22207" s="2" t="str">
        <f>"SIST. PREP-DOSA COAGULANTE 15000L"</f>
        <v>SIST. PREP-DOSA COAGULANTE 15000L</v>
      </c>
      <c r="C22207" s="2" t="str">
        <f t="shared" si="874"/>
        <v>UN</v>
      </c>
      <c r="D22207" s="7">
        <v>1300</v>
      </c>
      <c r="E22207" s="3">
        <v>13</v>
      </c>
      <c r="F22207" s="3">
        <v>13</v>
      </c>
      <c r="G22207" t="s">
        <v>513</v>
      </c>
    </row>
    <row r="22208" spans="1:7" x14ac:dyDescent="0.25">
      <c r="A22208" s="1" t="str">
        <f>"514615"</f>
        <v>514615</v>
      </c>
      <c r="B22208" s="2" t="str">
        <f>"SIST. PREP-DOSA FLOCULANTE 1600L 2TA"</f>
        <v>SIST. PREP-DOSA FLOCULANTE 1600L 2TA</v>
      </c>
      <c r="C22208" s="2" t="str">
        <f t="shared" si="874"/>
        <v>UN</v>
      </c>
      <c r="D22208" s="7">
        <v>1300</v>
      </c>
      <c r="E22208" s="3">
        <v>13</v>
      </c>
      <c r="F22208" s="3">
        <v>13</v>
      </c>
      <c r="G22208" t="s">
        <v>514</v>
      </c>
    </row>
    <row r="22209" spans="1:7" x14ac:dyDescent="0.25">
      <c r="A22209" s="1" t="str">
        <f>"514613"</f>
        <v>514613</v>
      </c>
      <c r="B22209" s="2" t="str">
        <f>"SIST. PREP-DOSA POLIMERO"</f>
        <v>SIST. PREP-DOSA POLIMERO</v>
      </c>
      <c r="C22209" s="2" t="str">
        <f t="shared" si="874"/>
        <v>UN</v>
      </c>
      <c r="D22209" s="7">
        <v>1300</v>
      </c>
      <c r="E22209" s="3">
        <v>13</v>
      </c>
      <c r="F22209" s="3">
        <v>13</v>
      </c>
      <c r="G22209" t="s">
        <v>514</v>
      </c>
    </row>
    <row r="22210" spans="1:7" x14ac:dyDescent="0.25">
      <c r="A22210" s="1" t="str">
        <f>"508001"</f>
        <v>508001</v>
      </c>
      <c r="B22210" s="2" t="str">
        <f>"SISTEMA CENTRIFUGO P/ VENTILADOR EM50"</f>
        <v>SISTEMA CENTRIFUGO P/ VENTILADOR EM50</v>
      </c>
      <c r="C22210" s="2" t="str">
        <f>"PC"</f>
        <v>PC</v>
      </c>
      <c r="D22210" s="7">
        <v>808</v>
      </c>
      <c r="E22210" s="3">
        <v>10</v>
      </c>
      <c r="F22210" s="3">
        <v>10</v>
      </c>
      <c r="G22210" t="s">
        <v>514</v>
      </c>
    </row>
    <row r="22211" spans="1:7" x14ac:dyDescent="0.25">
      <c r="A22211" s="1" t="str">
        <f>"521516"</f>
        <v>521516</v>
      </c>
      <c r="B22211" s="2" t="str">
        <f>"SISTEMA CENTRIFUGO SINGL-SP P/ VENTILADOR 8/EM50 PN2511100"</f>
        <v>SISTEMA CENTRIFUGO SINGL-SP P/ VENTILADOR 8/EM50 PN2511100</v>
      </c>
      <c r="C22211" s="2" t="str">
        <f t="shared" ref="C22211:C22219" si="875">"UN"</f>
        <v>UN</v>
      </c>
      <c r="D22211" s="7">
        <v>916</v>
      </c>
      <c r="E22211" s="3">
        <v>10</v>
      </c>
      <c r="F22211" s="3">
        <v>10</v>
      </c>
      <c r="G22211" t="s">
        <v>513</v>
      </c>
    </row>
    <row r="22212" spans="1:7" x14ac:dyDescent="0.25">
      <c r="A22212" s="1" t="str">
        <f>"515894"</f>
        <v>515894</v>
      </c>
      <c r="B22212" s="2" t="str">
        <f>"SISTEMA CORTE DEGOLADOR COMPLETO (SUPORTE FACAS)"</f>
        <v>SISTEMA CORTE DEGOLADOR COMPLETO (SUPORTE FACAS)</v>
      </c>
      <c r="C22212" s="2" t="str">
        <f t="shared" si="875"/>
        <v>UN</v>
      </c>
      <c r="D22212" s="7">
        <v>918</v>
      </c>
      <c r="E22212" s="3">
        <v>11</v>
      </c>
      <c r="F22212" s="3">
        <v>11</v>
      </c>
      <c r="G22212" t="s">
        <v>513</v>
      </c>
    </row>
    <row r="22213" spans="1:7" x14ac:dyDescent="0.25">
      <c r="A22213" s="1" t="str">
        <f>"523089"</f>
        <v>523089</v>
      </c>
      <c r="B22213" s="2" t="str">
        <f>"SISTEMA DE ABRANDADOR 20,0M³/H CICLO REG EST. 535,0M³"</f>
        <v>SISTEMA DE ABRANDADOR 20,0M³/H CICLO REG EST. 535,0M³</v>
      </c>
      <c r="C22213" s="2" t="str">
        <f t="shared" si="875"/>
        <v>UN</v>
      </c>
      <c r="D22213" s="7">
        <v>912</v>
      </c>
      <c r="E22213" s="3">
        <v>10</v>
      </c>
      <c r="F22213" s="3">
        <v>10</v>
      </c>
      <c r="G22213" t="s">
        <v>513</v>
      </c>
    </row>
    <row r="22214" spans="1:7" x14ac:dyDescent="0.25">
      <c r="A22214" s="1" t="str">
        <f>"524582"</f>
        <v>524582</v>
      </c>
      <c r="B22214" s="2" t="str">
        <f>"SISTEMA DE ANALISE PROPRIEDADES FISICO/MECÊNICO TA.XT/PluS/5"</f>
        <v>SISTEMA DE ANALISE PROPRIEDADES FISICO/MECÊNICO TA.XT/PluS/5</v>
      </c>
      <c r="C22214" s="2" t="str">
        <f t="shared" si="875"/>
        <v>UN</v>
      </c>
      <c r="D22214" s="7">
        <v>1500</v>
      </c>
      <c r="E22214" s="3">
        <v>13</v>
      </c>
      <c r="F22214" s="3">
        <v>13</v>
      </c>
      <c r="G22214" t="s">
        <v>512</v>
      </c>
    </row>
    <row r="22215" spans="1:7" x14ac:dyDescent="0.25">
      <c r="A22215" s="1" t="str">
        <f>"526011"</f>
        <v>526011</v>
      </c>
      <c r="B22215" s="2" t="str">
        <f>"SISTEMA DE AR DIFUSOR"</f>
        <v>SISTEMA DE AR DIFUSOR</v>
      </c>
      <c r="C22215" s="2" t="str">
        <f t="shared" si="875"/>
        <v>UN</v>
      </c>
      <c r="D22215" s="7">
        <v>1300</v>
      </c>
      <c r="E22215" s="3">
        <v>10</v>
      </c>
      <c r="F22215" s="3">
        <v>10</v>
      </c>
      <c r="G22215" t="s">
        <v>513</v>
      </c>
    </row>
    <row r="22216" spans="1:7" x14ac:dyDescent="0.25">
      <c r="A22216" s="1" t="str">
        <f>"525019"</f>
        <v>525019</v>
      </c>
      <c r="B22216" s="2" t="str">
        <f>"SISTEMA DE CORREÇÃO DE PH"</f>
        <v>SISTEMA DE CORREÇÃO DE PH</v>
      </c>
      <c r="C22216" s="2" t="str">
        <f t="shared" si="875"/>
        <v>UN</v>
      </c>
      <c r="D22216" s="7">
        <v>1300</v>
      </c>
      <c r="E22216" s="3">
        <v>13</v>
      </c>
      <c r="F22216" s="3">
        <v>13</v>
      </c>
      <c r="G22216" t="s">
        <v>514</v>
      </c>
    </row>
    <row r="22217" spans="1:7" x14ac:dyDescent="0.25">
      <c r="A22217" s="1" t="str">
        <f>"523410"</f>
        <v>523410</v>
      </c>
      <c r="B22217" s="2" t="str">
        <f>"SISTEMA DE DOSAGEM DE FRUTAS PARA MÁQUINA DE COPO DE PREFORM"</f>
        <v>SISTEMA DE DOSAGEM DE FRUTAS PARA MÁQUINA DE COPO DE PREFORM</v>
      </c>
      <c r="C22217" s="2" t="str">
        <f t="shared" si="875"/>
        <v>UN</v>
      </c>
      <c r="D22217" s="7">
        <v>1300</v>
      </c>
      <c r="E22217" s="3">
        <v>13</v>
      </c>
      <c r="F22217" s="3">
        <v>13</v>
      </c>
      <c r="G22217" t="s">
        <v>515</v>
      </c>
    </row>
    <row r="22218" spans="1:7" x14ac:dyDescent="0.25">
      <c r="A22218" s="1" t="str">
        <f>"521375"</f>
        <v>521375</v>
      </c>
      <c r="B22218" s="2" t="str">
        <f>"SISTEMA DE LAMPADA UV"</f>
        <v>SISTEMA DE LAMPADA UV</v>
      </c>
      <c r="C22218" s="2" t="str">
        <f t="shared" si="875"/>
        <v>UN</v>
      </c>
      <c r="D22218" s="7">
        <v>1300</v>
      </c>
      <c r="E22218" s="3">
        <v>13</v>
      </c>
      <c r="F22218" s="3">
        <v>13</v>
      </c>
      <c r="G22218" t="s">
        <v>512</v>
      </c>
    </row>
    <row r="22219" spans="1:7" x14ac:dyDescent="0.25">
      <c r="A22219" s="1" t="str">
        <f>"526012"</f>
        <v>526012</v>
      </c>
      <c r="B22219" s="2" t="str">
        <f>"SISTEMA DE LIMPEZA MOVEL"</f>
        <v>SISTEMA DE LIMPEZA MOVEL</v>
      </c>
      <c r="C22219" s="2" t="str">
        <f t="shared" si="875"/>
        <v>UN</v>
      </c>
      <c r="D22219" s="7">
        <v>1300</v>
      </c>
      <c r="E22219" s="3">
        <v>10</v>
      </c>
      <c r="F22219" s="3">
        <v>10</v>
      </c>
      <c r="G22219" t="s">
        <v>516</v>
      </c>
    </row>
    <row r="22220" spans="1:7" x14ac:dyDescent="0.25">
      <c r="A22220" s="1" t="str">
        <f>"511156"</f>
        <v>511156</v>
      </c>
      <c r="B22220" s="2" t="str">
        <f>"SISTEMA DE LUBRIFICAÇAO"</f>
        <v>SISTEMA DE LUBRIFICAÇAO</v>
      </c>
      <c r="C22220" s="2" t="str">
        <f>"GL"</f>
        <v>GL</v>
      </c>
      <c r="D22220" s="7">
        <v>903</v>
      </c>
      <c r="E22220" s="3">
        <v>11</v>
      </c>
      <c r="F22220" s="3">
        <v>11</v>
      </c>
      <c r="G22220" t="s">
        <v>515</v>
      </c>
    </row>
    <row r="22221" spans="1:7" x14ac:dyDescent="0.25">
      <c r="A22221" s="1" t="str">
        <f>"522373"</f>
        <v>522373</v>
      </c>
      <c r="B22221" s="2" t="str">
        <f>"SISTEMA DE PROCESSAMENTO DE IOGURTE"</f>
        <v>SISTEMA DE PROCESSAMENTO DE IOGURTE</v>
      </c>
      <c r="C22221" s="2" t="str">
        <f t="shared" ref="C22221:C22250" si="876">"UN"</f>
        <v>UN</v>
      </c>
      <c r="D22221" s="7">
        <v>1300</v>
      </c>
      <c r="E22221" s="3">
        <v>10</v>
      </c>
      <c r="F22221" s="3">
        <v>10</v>
      </c>
      <c r="G22221" t="s">
        <v>514</v>
      </c>
    </row>
    <row r="22222" spans="1:7" x14ac:dyDescent="0.25">
      <c r="A22222" s="1" t="str">
        <f>"523328"</f>
        <v>523328</v>
      </c>
      <c r="B22222" s="2" t="str">
        <f>"SISTEMA DE REJEIÇÃO ANRITSU DUAL FLIPPER"</f>
        <v>SISTEMA DE REJEIÇÃO ANRITSU DUAL FLIPPER</v>
      </c>
      <c r="C22222" s="2" t="str">
        <f t="shared" si="876"/>
        <v>UN</v>
      </c>
      <c r="D22222" s="7">
        <v>1300</v>
      </c>
      <c r="E22222" s="3">
        <v>10</v>
      </c>
      <c r="F22222" s="3">
        <v>10</v>
      </c>
      <c r="G22222" t="s">
        <v>512</v>
      </c>
    </row>
    <row r="22223" spans="1:7" x14ac:dyDescent="0.25">
      <c r="A22223" s="1" t="str">
        <f>"524464"</f>
        <v>524464</v>
      </c>
      <c r="B22223" s="2" t="str">
        <f>"SISTEMA DE RESFRIAMENTO DE IOGURTE"</f>
        <v>SISTEMA DE RESFRIAMENTO DE IOGURTE</v>
      </c>
      <c r="C22223" s="2" t="str">
        <f t="shared" si="876"/>
        <v>UN</v>
      </c>
      <c r="D22223" s="7">
        <v>1300</v>
      </c>
      <c r="E22223" s="3">
        <v>13</v>
      </c>
      <c r="F22223" s="3">
        <v>13</v>
      </c>
      <c r="G22223" t="s">
        <v>513</v>
      </c>
    </row>
    <row r="22224" spans="1:7" x14ac:dyDescent="0.25">
      <c r="A22224" s="1" t="str">
        <f>"522657"</f>
        <v>522657</v>
      </c>
      <c r="B22224" s="2" t="str">
        <f>"SISTEMA DE TRILHOS"</f>
        <v>SISTEMA DE TRILHOS</v>
      </c>
      <c r="C22224" s="2" t="str">
        <f t="shared" si="876"/>
        <v>UN</v>
      </c>
      <c r="D22224" s="7">
        <v>811</v>
      </c>
      <c r="E22224" s="3">
        <v>11</v>
      </c>
      <c r="F22224" s="3">
        <v>11</v>
      </c>
      <c r="G22224" t="s">
        <v>514</v>
      </c>
    </row>
    <row r="22225" spans="1:7" x14ac:dyDescent="0.25">
      <c r="A22225" s="1" t="str">
        <f>"516187"</f>
        <v>516187</v>
      </c>
      <c r="B22225" s="2" t="str">
        <f>"SISTEMA DOSADOR P/ IOGURTE"</f>
        <v>SISTEMA DOSADOR P/ IOGURTE</v>
      </c>
      <c r="C22225" s="2" t="str">
        <f t="shared" si="876"/>
        <v>UN</v>
      </c>
      <c r="D22225" s="7">
        <v>918</v>
      </c>
      <c r="E22225" s="3">
        <v>13</v>
      </c>
      <c r="F22225" s="3">
        <v>13</v>
      </c>
      <c r="G22225" t="s">
        <v>514</v>
      </c>
    </row>
    <row r="22226" spans="1:7" x14ac:dyDescent="0.25">
      <c r="A22226" s="1" t="str">
        <f>"516188"</f>
        <v>516188</v>
      </c>
      <c r="B22226" s="2" t="str">
        <f>"SISTEMA DOSADOR P/ LIQUIDOS NÃO VISCOSOS"</f>
        <v>SISTEMA DOSADOR P/ LIQUIDOS NÃO VISCOSOS</v>
      </c>
      <c r="C22226" s="2" t="str">
        <f t="shared" si="876"/>
        <v>UN</v>
      </c>
      <c r="D22226" s="7">
        <v>918</v>
      </c>
      <c r="E22226" s="3">
        <v>13</v>
      </c>
      <c r="F22226" s="3">
        <v>13</v>
      </c>
      <c r="G22226" t="s">
        <v>512</v>
      </c>
    </row>
    <row r="22227" spans="1:7" x14ac:dyDescent="0.25">
      <c r="A22227" s="1" t="str">
        <f>"511640"</f>
        <v>511640</v>
      </c>
      <c r="B22227" s="2" t="str">
        <f>"SISTEMA EMBREAGEM MAQUINA"</f>
        <v>SISTEMA EMBREAGEM MAQUINA</v>
      </c>
      <c r="C22227" s="2" t="str">
        <f t="shared" si="876"/>
        <v>UN</v>
      </c>
      <c r="D22227" s="7">
        <v>918</v>
      </c>
      <c r="E22227" s="3">
        <v>11</v>
      </c>
      <c r="F22227" s="3">
        <v>11</v>
      </c>
      <c r="G22227" t="s">
        <v>513</v>
      </c>
    </row>
    <row r="22228" spans="1:7" x14ac:dyDescent="0.25">
      <c r="A22228" s="1" t="str">
        <f>"517765"</f>
        <v>517765</v>
      </c>
      <c r="B22228" s="2" t="str">
        <f>"SISTEMA ESTRUTURA EM AÇO PUSHBACK"</f>
        <v>SISTEMA ESTRUTURA EM AÇO PUSHBACK</v>
      </c>
      <c r="C22228" s="2" t="str">
        <f t="shared" si="876"/>
        <v>UN</v>
      </c>
      <c r="D22228" s="7">
        <v>1700</v>
      </c>
      <c r="E22228" s="3">
        <v>10</v>
      </c>
      <c r="F22228" s="3">
        <v>10</v>
      </c>
      <c r="G22228" t="s">
        <v>514</v>
      </c>
    </row>
    <row r="22229" spans="1:7" x14ac:dyDescent="0.25">
      <c r="A22229" s="1" t="str">
        <f>"524272"</f>
        <v>524272</v>
      </c>
      <c r="B22229" s="2" t="str">
        <f>"SISTEMA FILTRACAO POLISULFONA 47MM 500ML AUT VACUO NALGENE"</f>
        <v>SISTEMA FILTRACAO POLISULFONA 47MM 500ML AUT VACUO NALGENE</v>
      </c>
      <c r="C22229" s="2" t="str">
        <f t="shared" si="876"/>
        <v>UN</v>
      </c>
      <c r="D22229" s="7">
        <v>406</v>
      </c>
      <c r="E22229" s="3">
        <v>4</v>
      </c>
      <c r="F22229" s="3">
        <v>4</v>
      </c>
      <c r="G22229" t="s">
        <v>514</v>
      </c>
    </row>
    <row r="22230" spans="1:7" x14ac:dyDescent="0.25">
      <c r="A22230" s="1" t="str">
        <f>"509158"</f>
        <v>509158</v>
      </c>
      <c r="B22230" s="2" t="str">
        <f>"SISTEMA HIDRAULICO COLETA DE LEITE GRANE"</f>
        <v>SISTEMA HIDRAULICO COLETA DE LEITE GRANE</v>
      </c>
      <c r="C22230" s="2" t="str">
        <f t="shared" si="876"/>
        <v>UN</v>
      </c>
      <c r="D22230" s="7">
        <v>914</v>
      </c>
      <c r="E22230" s="3">
        <v>11</v>
      </c>
      <c r="F22230" s="3">
        <v>11</v>
      </c>
      <c r="G22230" t="s">
        <v>514</v>
      </c>
    </row>
    <row r="22231" spans="1:7" x14ac:dyDescent="0.25">
      <c r="A22231" s="1" t="str">
        <f>"520632"</f>
        <v>520632</v>
      </c>
      <c r="B22231" s="2" t="str">
        <f>"SISTEMA HIDRAULICO P/ COMBATE A INCENDIO FIEDLER"</f>
        <v>SISTEMA HIDRAULICO P/ COMBATE A INCENDIO FIEDLER</v>
      </c>
      <c r="C22231" s="2" t="str">
        <f t="shared" si="876"/>
        <v>UN</v>
      </c>
      <c r="D22231" s="7">
        <v>914</v>
      </c>
      <c r="E22231" s="3">
        <v>13</v>
      </c>
      <c r="F22231" s="3">
        <v>13</v>
      </c>
      <c r="G22231" t="s">
        <v>513</v>
      </c>
    </row>
    <row r="22232" spans="1:7" x14ac:dyDescent="0.25">
      <c r="A22232" s="1" t="str">
        <f>"511982"</f>
        <v>511982</v>
      </c>
      <c r="B22232" s="2" t="str">
        <f>"SISTEMA IDENTIFICAÇAO HGI"</f>
        <v>SISTEMA IDENTIFICAÇAO HGI</v>
      </c>
      <c r="C22232" s="2" t="str">
        <f t="shared" si="876"/>
        <v>UN</v>
      </c>
      <c r="D22232" s="7">
        <v>600</v>
      </c>
      <c r="E22232" s="3">
        <v>8</v>
      </c>
      <c r="F22232" s="3">
        <v>8</v>
      </c>
      <c r="G22232" t="s">
        <v>512</v>
      </c>
    </row>
    <row r="22233" spans="1:7" x14ac:dyDescent="0.25">
      <c r="A22233" s="1" t="str">
        <f>"512024"</f>
        <v>512024</v>
      </c>
      <c r="B22233" s="2" t="str">
        <f>"SISTEMA IDENTIFICAÇAO HGI 0"</f>
        <v>SISTEMA IDENTIFICAÇAO HGI 0</v>
      </c>
      <c r="C22233" s="2" t="str">
        <f t="shared" si="876"/>
        <v>UN</v>
      </c>
      <c r="D22233" s="7">
        <v>600</v>
      </c>
      <c r="E22233" s="3">
        <v>8</v>
      </c>
      <c r="F22233" s="3">
        <v>8</v>
      </c>
      <c r="G22233" t="s">
        <v>513</v>
      </c>
    </row>
    <row r="22234" spans="1:7" x14ac:dyDescent="0.25">
      <c r="A22234" s="1" t="str">
        <f>"512015"</f>
        <v>512015</v>
      </c>
      <c r="B22234" s="2" t="str">
        <f>"SISTEMA IDENTIFICAÇAO HGI 1"</f>
        <v>SISTEMA IDENTIFICAÇAO HGI 1</v>
      </c>
      <c r="C22234" s="2" t="str">
        <f t="shared" si="876"/>
        <v>UN</v>
      </c>
      <c r="D22234" s="7">
        <v>600</v>
      </c>
      <c r="E22234" s="3">
        <v>8</v>
      </c>
      <c r="F22234" s="3">
        <v>8</v>
      </c>
      <c r="G22234" t="s">
        <v>514</v>
      </c>
    </row>
    <row r="22235" spans="1:7" x14ac:dyDescent="0.25">
      <c r="A22235" s="1" t="str">
        <f>"512016"</f>
        <v>512016</v>
      </c>
      <c r="B22235" s="2" t="str">
        <f>"SISTEMA IDENTIFICAÇAO HGI 2"</f>
        <v>SISTEMA IDENTIFICAÇAO HGI 2</v>
      </c>
      <c r="C22235" s="2" t="str">
        <f t="shared" si="876"/>
        <v>UN</v>
      </c>
      <c r="D22235" s="7">
        <v>600</v>
      </c>
      <c r="E22235" s="3">
        <v>8</v>
      </c>
      <c r="F22235" s="3">
        <v>8</v>
      </c>
      <c r="G22235" t="s">
        <v>514</v>
      </c>
    </row>
    <row r="22236" spans="1:7" x14ac:dyDescent="0.25">
      <c r="A22236" s="1" t="str">
        <f>"512017"</f>
        <v>512017</v>
      </c>
      <c r="B22236" s="2" t="str">
        <f>"SISTEMA IDENTIFICAÇAO HGI 3"</f>
        <v>SISTEMA IDENTIFICAÇAO HGI 3</v>
      </c>
      <c r="C22236" s="2" t="str">
        <f t="shared" si="876"/>
        <v>UN</v>
      </c>
      <c r="D22236" s="7">
        <v>600</v>
      </c>
      <c r="E22236" s="3">
        <v>8</v>
      </c>
      <c r="F22236" s="3">
        <v>8</v>
      </c>
      <c r="G22236" t="s">
        <v>514</v>
      </c>
    </row>
    <row r="22237" spans="1:7" x14ac:dyDescent="0.25">
      <c r="A22237" s="1" t="str">
        <f>"512018"</f>
        <v>512018</v>
      </c>
      <c r="B22237" s="2" t="str">
        <f>"SISTEMA IDENTIFICAÇAO HGI 4"</f>
        <v>SISTEMA IDENTIFICAÇAO HGI 4</v>
      </c>
      <c r="C22237" s="2" t="str">
        <f t="shared" si="876"/>
        <v>UN</v>
      </c>
      <c r="D22237" s="7">
        <v>600</v>
      </c>
      <c r="E22237" s="3">
        <v>8</v>
      </c>
      <c r="F22237" s="3">
        <v>8</v>
      </c>
      <c r="G22237" t="s">
        <v>513</v>
      </c>
    </row>
    <row r="22238" spans="1:7" x14ac:dyDescent="0.25">
      <c r="A22238" s="1" t="str">
        <f>"512019"</f>
        <v>512019</v>
      </c>
      <c r="B22238" s="2" t="str">
        <f>"SISTEMA IDENTIFICAÇAO HGI 5"</f>
        <v>SISTEMA IDENTIFICAÇAO HGI 5</v>
      </c>
      <c r="C22238" s="2" t="str">
        <f t="shared" si="876"/>
        <v>UN</v>
      </c>
      <c r="D22238" s="7">
        <v>600</v>
      </c>
      <c r="E22238" s="3">
        <v>8</v>
      </c>
      <c r="F22238" s="3">
        <v>8</v>
      </c>
      <c r="G22238" t="s">
        <v>513</v>
      </c>
    </row>
    <row r="22239" spans="1:7" x14ac:dyDescent="0.25">
      <c r="A22239" s="1" t="str">
        <f>"512020"</f>
        <v>512020</v>
      </c>
      <c r="B22239" s="2" t="str">
        <f>"SISTEMA IDENTIFICAÇAO HGI 6"</f>
        <v>SISTEMA IDENTIFICAÇAO HGI 6</v>
      </c>
      <c r="C22239" s="2" t="str">
        <f t="shared" si="876"/>
        <v>UN</v>
      </c>
      <c r="D22239" s="7">
        <v>600</v>
      </c>
      <c r="E22239" s="3">
        <v>8</v>
      </c>
      <c r="F22239" s="3">
        <v>8</v>
      </c>
      <c r="G22239" t="s">
        <v>513</v>
      </c>
    </row>
    <row r="22240" spans="1:7" x14ac:dyDescent="0.25">
      <c r="A22240" s="1" t="str">
        <f>"512021"</f>
        <v>512021</v>
      </c>
      <c r="B22240" s="2" t="str">
        <f>"SISTEMA IDENTIFICAÇAO HGI 7"</f>
        <v>SISTEMA IDENTIFICAÇAO HGI 7</v>
      </c>
      <c r="C22240" s="2" t="str">
        <f t="shared" si="876"/>
        <v>UN</v>
      </c>
      <c r="D22240" s="7">
        <v>600</v>
      </c>
      <c r="E22240" s="3">
        <v>8</v>
      </c>
      <c r="F22240" s="3">
        <v>8</v>
      </c>
      <c r="G22240" t="s">
        <v>512</v>
      </c>
    </row>
    <row r="22241" spans="1:7" x14ac:dyDescent="0.25">
      <c r="A22241" s="1" t="str">
        <f>"512022"</f>
        <v>512022</v>
      </c>
      <c r="B22241" s="2" t="str">
        <f>"SISTEMA IDENTIFICAÇAO HGI 8"</f>
        <v>SISTEMA IDENTIFICAÇAO HGI 8</v>
      </c>
      <c r="C22241" s="2" t="str">
        <f t="shared" si="876"/>
        <v>UN</v>
      </c>
      <c r="D22241" s="7">
        <v>600</v>
      </c>
      <c r="E22241" s="3">
        <v>8</v>
      </c>
      <c r="F22241" s="3">
        <v>8</v>
      </c>
      <c r="G22241" t="s">
        <v>513</v>
      </c>
    </row>
    <row r="22242" spans="1:7" x14ac:dyDescent="0.25">
      <c r="A22242" s="1" t="str">
        <f>"512023"</f>
        <v>512023</v>
      </c>
      <c r="B22242" s="2" t="str">
        <f>"SISTEMA IDENTIFICAÇAO HGI 9"</f>
        <v>SISTEMA IDENTIFICAÇAO HGI 9</v>
      </c>
      <c r="C22242" s="2" t="str">
        <f t="shared" si="876"/>
        <v>UN</v>
      </c>
      <c r="D22242" s="7">
        <v>600</v>
      </c>
      <c r="E22242" s="3">
        <v>8</v>
      </c>
      <c r="F22242" s="3">
        <v>8</v>
      </c>
      <c r="G22242" t="s">
        <v>514</v>
      </c>
    </row>
    <row r="22243" spans="1:7" x14ac:dyDescent="0.25">
      <c r="A22243" s="1" t="str">
        <f>"511634"</f>
        <v>511634</v>
      </c>
      <c r="B22243" s="2" t="str">
        <f>"SISTEMA MANUAL DESLOCAMENTO CARRO SUP."</f>
        <v>SISTEMA MANUAL DESLOCAMENTO CARRO SUP.</v>
      </c>
      <c r="C22243" s="2" t="str">
        <f t="shared" si="876"/>
        <v>UN</v>
      </c>
      <c r="D22243" s="7">
        <v>918</v>
      </c>
      <c r="E22243" s="3">
        <v>11</v>
      </c>
      <c r="F22243" s="3">
        <v>11</v>
      </c>
      <c r="G22243" t="s">
        <v>515</v>
      </c>
    </row>
    <row r="22244" spans="1:7" x14ac:dyDescent="0.25">
      <c r="A22244" s="1" t="str">
        <f>"511851"</f>
        <v>511851</v>
      </c>
      <c r="B22244" s="2" t="str">
        <f>"SISTEMA MANUAL DESLOCAMENTO DE CARRO"</f>
        <v>SISTEMA MANUAL DESLOCAMENTO DE CARRO</v>
      </c>
      <c r="C22244" s="2" t="str">
        <f t="shared" si="876"/>
        <v>UN</v>
      </c>
      <c r="D22244" s="7">
        <v>918</v>
      </c>
      <c r="E22244" s="3">
        <v>11</v>
      </c>
      <c r="F22244" s="3">
        <v>11</v>
      </c>
      <c r="G22244" t="s">
        <v>512</v>
      </c>
    </row>
    <row r="22245" spans="1:7" x14ac:dyDescent="0.25">
      <c r="A22245" s="1" t="str">
        <f>"517218"</f>
        <v>517218</v>
      </c>
      <c r="B22245" s="2" t="str">
        <f>"SISTEMA OPERACIONAL DE PESAGEM SOFTWARE"</f>
        <v>SISTEMA OPERACIONAL DE PESAGEM SOFTWARE</v>
      </c>
      <c r="C22245" s="2" t="str">
        <f t="shared" si="876"/>
        <v>UN</v>
      </c>
      <c r="D22245" s="7">
        <v>1300</v>
      </c>
      <c r="E22245" s="3">
        <v>13</v>
      </c>
      <c r="F22245" s="3">
        <v>13</v>
      </c>
      <c r="G22245" t="s">
        <v>516</v>
      </c>
    </row>
    <row r="22246" spans="1:7" x14ac:dyDescent="0.25">
      <c r="A22246" s="1" t="str">
        <f>"517417"</f>
        <v>517417</v>
      </c>
      <c r="B22246" s="2" t="str">
        <f>"SISTEMA OPERACIONAL PESAGEM SOFTWARE"</f>
        <v>SISTEMA OPERACIONAL PESAGEM SOFTWARE</v>
      </c>
      <c r="C22246" s="2" t="str">
        <f t="shared" si="876"/>
        <v>UN</v>
      </c>
      <c r="D22246" s="7">
        <v>1300</v>
      </c>
      <c r="E22246" s="3">
        <v>13</v>
      </c>
      <c r="F22246" s="3">
        <v>13</v>
      </c>
      <c r="G22246" t="s">
        <v>515</v>
      </c>
    </row>
    <row r="22247" spans="1:7" x14ac:dyDescent="0.25">
      <c r="A22247" s="1" t="str">
        <f>"515133"</f>
        <v>515133</v>
      </c>
      <c r="B22247" s="2" t="str">
        <f>"SISTEMA OPERACIONAL WINDOWS 7"</f>
        <v>SISTEMA OPERACIONAL WINDOWS 7</v>
      </c>
      <c r="C22247" s="2" t="str">
        <f t="shared" si="876"/>
        <v>UN</v>
      </c>
      <c r="D22247" s="7">
        <v>401</v>
      </c>
      <c r="E22247" s="3">
        <v>4</v>
      </c>
      <c r="F22247" s="3">
        <v>4</v>
      </c>
      <c r="G22247" t="s">
        <v>514</v>
      </c>
    </row>
    <row r="22248" spans="1:7" x14ac:dyDescent="0.25">
      <c r="A22248" s="1" t="str">
        <f>"516630"</f>
        <v>516630</v>
      </c>
      <c r="B22248" s="2" t="str">
        <f>"SISTEMA OPERACIONAL WINDOWS 8.1"</f>
        <v>SISTEMA OPERACIONAL WINDOWS 8.1</v>
      </c>
      <c r="C22248" s="2" t="str">
        <f t="shared" si="876"/>
        <v>UN</v>
      </c>
      <c r="D22248" s="7">
        <v>401</v>
      </c>
      <c r="E22248" s="3">
        <v>4</v>
      </c>
      <c r="F22248" s="3">
        <v>4</v>
      </c>
      <c r="G22248" t="s">
        <v>512</v>
      </c>
    </row>
    <row r="22249" spans="1:7" x14ac:dyDescent="0.25">
      <c r="A22249" s="1" t="str">
        <f>"523630"</f>
        <v>523630</v>
      </c>
      <c r="B22249" s="2" t="str">
        <f>"SISTEMA PREPARAÇÃO LEITE"</f>
        <v>SISTEMA PREPARAÇÃO LEITE</v>
      </c>
      <c r="C22249" s="2" t="str">
        <f t="shared" si="876"/>
        <v>UN</v>
      </c>
      <c r="D22249" s="7">
        <v>406</v>
      </c>
      <c r="E22249" s="3">
        <v>4</v>
      </c>
      <c r="F22249" s="3">
        <v>4</v>
      </c>
      <c r="G22249" t="s">
        <v>513</v>
      </c>
    </row>
    <row r="22250" spans="1:7" x14ac:dyDescent="0.25">
      <c r="A22250" s="1" t="str">
        <f>"523320"</f>
        <v>523320</v>
      </c>
      <c r="B22250" s="2" t="str">
        <f>"SISTEMA RAIO X ANRITSU KXS7534AVCLE"</f>
        <v>SISTEMA RAIO X ANRITSU KXS7534AVCLE</v>
      </c>
      <c r="C22250" s="2" t="str">
        <f t="shared" si="876"/>
        <v>UN</v>
      </c>
      <c r="D22250" s="7">
        <v>1300</v>
      </c>
      <c r="E22250" s="3">
        <v>10</v>
      </c>
      <c r="F22250" s="3">
        <v>10</v>
      </c>
      <c r="G22250" t="s">
        <v>514</v>
      </c>
    </row>
    <row r="22251" spans="1:7" x14ac:dyDescent="0.25">
      <c r="A22251" s="1" t="str">
        <f>"526221"</f>
        <v>526221</v>
      </c>
      <c r="B22251" s="8" t="s">
        <v>464</v>
      </c>
      <c r="C22251" s="2" t="str">
        <f t="shared" ref="C22251:C22257" si="877">"PC"</f>
        <v>PC</v>
      </c>
      <c r="D22251" s="7">
        <v>918</v>
      </c>
      <c r="E22251" s="3">
        <v>11</v>
      </c>
      <c r="F22251" s="3">
        <v>11</v>
      </c>
      <c r="G22251" t="s">
        <v>514</v>
      </c>
    </row>
    <row r="22252" spans="1:7" x14ac:dyDescent="0.25">
      <c r="A22252" s="1" t="str">
        <f>"526222"</f>
        <v>526222</v>
      </c>
      <c r="B22252" s="8" t="s">
        <v>465</v>
      </c>
      <c r="C22252" s="2" t="str">
        <f t="shared" si="877"/>
        <v>PC</v>
      </c>
      <c r="D22252" s="7">
        <v>918</v>
      </c>
      <c r="E22252" s="3">
        <v>11</v>
      </c>
      <c r="F22252" s="3">
        <v>11</v>
      </c>
      <c r="G22252" t="s">
        <v>512</v>
      </c>
    </row>
    <row r="22253" spans="1:7" x14ac:dyDescent="0.25">
      <c r="A22253" s="1" t="str">
        <f>"526223"</f>
        <v>526223</v>
      </c>
      <c r="B22253" s="8" t="s">
        <v>466</v>
      </c>
      <c r="C22253" s="2" t="str">
        <f t="shared" si="877"/>
        <v>PC</v>
      </c>
      <c r="D22253" s="7">
        <v>918</v>
      </c>
      <c r="E22253" s="3">
        <v>11</v>
      </c>
      <c r="F22253" s="3">
        <v>11</v>
      </c>
      <c r="G22253" t="s">
        <v>513</v>
      </c>
    </row>
    <row r="22254" spans="1:7" x14ac:dyDescent="0.25">
      <c r="A22254" s="1" t="str">
        <f>"526224"</f>
        <v>526224</v>
      </c>
      <c r="B22254" s="8" t="s">
        <v>467</v>
      </c>
      <c r="C22254" s="2" t="str">
        <f t="shared" si="877"/>
        <v>PC</v>
      </c>
      <c r="D22254" s="7">
        <v>918</v>
      </c>
      <c r="E22254" s="3">
        <v>11</v>
      </c>
      <c r="F22254" s="3">
        <v>11</v>
      </c>
      <c r="G22254" t="s">
        <v>514</v>
      </c>
    </row>
    <row r="22255" spans="1:7" x14ac:dyDescent="0.25">
      <c r="A22255" s="1" t="str">
        <f>"526225"</f>
        <v>526225</v>
      </c>
      <c r="B22255" s="8" t="s">
        <v>468</v>
      </c>
      <c r="C22255" s="2" t="str">
        <f t="shared" si="877"/>
        <v>PC</v>
      </c>
      <c r="D22255" s="7">
        <v>918</v>
      </c>
      <c r="E22255" s="3">
        <v>11</v>
      </c>
      <c r="F22255" s="3">
        <v>11</v>
      </c>
      <c r="G22255" t="s">
        <v>514</v>
      </c>
    </row>
    <row r="22256" spans="1:7" x14ac:dyDescent="0.25">
      <c r="A22256" s="1" t="str">
        <f>"526226"</f>
        <v>526226</v>
      </c>
      <c r="B22256" s="8" t="s">
        <v>469</v>
      </c>
      <c r="C22256" s="2" t="str">
        <f t="shared" si="877"/>
        <v>PC</v>
      </c>
      <c r="D22256" s="7">
        <v>918</v>
      </c>
      <c r="E22256" s="3">
        <v>11</v>
      </c>
      <c r="F22256" s="3">
        <v>11</v>
      </c>
      <c r="G22256" t="s">
        <v>514</v>
      </c>
    </row>
    <row r="22257" spans="1:7" x14ac:dyDescent="0.25">
      <c r="A22257" s="1" t="str">
        <f>"526220"</f>
        <v>526220</v>
      </c>
      <c r="B22257" s="8" t="s">
        <v>463</v>
      </c>
      <c r="C22257" s="2" t="str">
        <f t="shared" si="877"/>
        <v>PC</v>
      </c>
      <c r="D22257" s="7">
        <v>918</v>
      </c>
      <c r="E22257" s="3">
        <v>11</v>
      </c>
      <c r="F22257" s="3">
        <v>11</v>
      </c>
      <c r="G22257" t="s">
        <v>513</v>
      </c>
    </row>
    <row r="22258" spans="1:7" x14ac:dyDescent="0.25">
      <c r="A22258" s="1" t="str">
        <f>"515081"</f>
        <v>515081</v>
      </c>
      <c r="B22258" s="2" t="str">
        <f>"SKATE MONTADO"</f>
        <v>SKATE MONTADO</v>
      </c>
      <c r="C22258" s="2" t="str">
        <f t="shared" ref="C22258:C22286" si="878">"UN"</f>
        <v>UN</v>
      </c>
      <c r="D22258" s="7">
        <v>401</v>
      </c>
      <c r="E22258" s="3">
        <v>4</v>
      </c>
      <c r="F22258" s="3">
        <v>4</v>
      </c>
      <c r="G22258" t="s">
        <v>512</v>
      </c>
    </row>
    <row r="22259" spans="1:7" x14ac:dyDescent="0.25">
      <c r="A22259" s="1" t="str">
        <f>"526345"</f>
        <v>526345</v>
      </c>
      <c r="B22259" s="2" t="str">
        <f>"SKID 14B ALUMINIO C/ BASE DIM 59X33X120CM"</f>
        <v>SKID 14B ALUMINIO C/ BASE DIM 59X33X120CM</v>
      </c>
      <c r="C22259" s="2" t="str">
        <f t="shared" si="878"/>
        <v>UN</v>
      </c>
      <c r="D22259" s="7">
        <v>99999</v>
      </c>
      <c r="E22259" s="3">
        <v>99</v>
      </c>
      <c r="F22259" s="3">
        <v>99</v>
      </c>
      <c r="G22259" t="s">
        <v>513</v>
      </c>
    </row>
    <row r="22260" spans="1:7" x14ac:dyDescent="0.25">
      <c r="A22260" s="1" t="str">
        <f>"522346"</f>
        <v>522346</v>
      </c>
      <c r="B22260" s="2" t="str">
        <f>"SKID ESTERILIZAÇÃO DE ELEMENTO FILTRANTE - MICROBIOLOGIA"</f>
        <v>SKID ESTERILIZAÇÃO DE ELEMENTO FILTRANTE - MICROBIOLOGIA</v>
      </c>
      <c r="C22260" s="2" t="str">
        <f t="shared" si="878"/>
        <v>UN</v>
      </c>
      <c r="D22260" s="7">
        <v>1300</v>
      </c>
      <c r="E22260" s="3">
        <v>11</v>
      </c>
      <c r="F22260" s="3">
        <v>11</v>
      </c>
      <c r="G22260" t="s">
        <v>514</v>
      </c>
    </row>
    <row r="22261" spans="1:7" x14ac:dyDescent="0.25">
      <c r="A22261" s="1" t="str">
        <f>"519613"</f>
        <v>519613</v>
      </c>
      <c r="B22261" s="2" t="str">
        <f>"SKID SIST QUIM ALCALINIZ 2BH 200 L/H"</f>
        <v>SKID SIST QUIM ALCALINIZ 2BH 200 L/H</v>
      </c>
      <c r="C22261" s="2" t="str">
        <f t="shared" si="878"/>
        <v>UN</v>
      </c>
      <c r="D22261" s="7">
        <v>918</v>
      </c>
      <c r="E22261" s="3">
        <v>11</v>
      </c>
      <c r="F22261" s="3">
        <v>11</v>
      </c>
      <c r="G22261" t="s">
        <v>514</v>
      </c>
    </row>
    <row r="22262" spans="1:7" x14ac:dyDescent="0.25">
      <c r="A22262" s="1" t="str">
        <f>"516237"</f>
        <v>516237</v>
      </c>
      <c r="B22262" s="2" t="str">
        <f>"SKIMIX PU AMARELO OURO GL PU309"</f>
        <v>SKIMIX PU AMARELO OURO GL PU309</v>
      </c>
      <c r="C22262" s="2" t="str">
        <f t="shared" si="878"/>
        <v>UN</v>
      </c>
      <c r="D22262" s="7">
        <v>917</v>
      </c>
      <c r="E22262" s="3">
        <v>10</v>
      </c>
      <c r="F22262" s="3">
        <v>10</v>
      </c>
      <c r="G22262" t="s">
        <v>514</v>
      </c>
    </row>
    <row r="22263" spans="1:7" x14ac:dyDescent="0.25">
      <c r="A22263" s="1" t="str">
        <f>"515989"</f>
        <v>515989</v>
      </c>
      <c r="B22263" s="2" t="str">
        <f>"SKIMIX PU BRANCO PURO GL PU340 PLATINA"</f>
        <v>SKIMIX PU BRANCO PURO GL PU340 PLATINA</v>
      </c>
      <c r="C22263" s="2" t="str">
        <f t="shared" si="878"/>
        <v>UN</v>
      </c>
      <c r="D22263" s="7">
        <v>99999</v>
      </c>
      <c r="E22263" s="3">
        <v>99</v>
      </c>
      <c r="F22263" s="3">
        <v>99</v>
      </c>
      <c r="G22263" t="s">
        <v>513</v>
      </c>
    </row>
    <row r="22264" spans="1:7" x14ac:dyDescent="0.25">
      <c r="A22264" s="1" t="str">
        <f>"511215"</f>
        <v>511215</v>
      </c>
      <c r="B22264" s="2" t="str">
        <f>"SLEEVE COD. 215803"</f>
        <v>SLEEVE COD. 215803</v>
      </c>
      <c r="C22264" s="2" t="str">
        <f t="shared" si="878"/>
        <v>UN</v>
      </c>
      <c r="D22264" s="7">
        <v>918</v>
      </c>
      <c r="E22264" s="3">
        <v>11</v>
      </c>
      <c r="F22264" s="3">
        <v>11</v>
      </c>
      <c r="G22264" t="s">
        <v>513</v>
      </c>
    </row>
    <row r="22265" spans="1:7" x14ac:dyDescent="0.25">
      <c r="A22265" s="1" t="str">
        <f>"522009"</f>
        <v>522009</v>
      </c>
      <c r="B22265" s="2" t="str">
        <f>"SLOT PARA CAPACETE MEIA-HASTE AGENA"</f>
        <v>SLOT PARA CAPACETE MEIA-HASTE AGENA</v>
      </c>
      <c r="C22265" s="2" t="str">
        <f t="shared" si="878"/>
        <v>UN</v>
      </c>
      <c r="D22265" s="7">
        <v>501</v>
      </c>
      <c r="E22265" s="3">
        <v>5</v>
      </c>
      <c r="F22265" s="3">
        <v>5</v>
      </c>
      <c r="G22265" t="s">
        <v>513</v>
      </c>
    </row>
    <row r="22266" spans="1:7" x14ac:dyDescent="0.25">
      <c r="A22266" s="1" t="str">
        <f>"526929"</f>
        <v>526929</v>
      </c>
      <c r="B22266" s="2" t="str">
        <f>"SM BRAYTON TIPO 530 Ø80mm CÓD CR1FC84X0 - 530-0800-0003"</f>
        <v>SM BRAYTON TIPO 530 Ø80mm CÓD CR1FC84X0 - 530-0800-0003</v>
      </c>
      <c r="C22266" s="2" t="str">
        <f t="shared" si="878"/>
        <v>UN</v>
      </c>
      <c r="D22266" s="7">
        <v>918</v>
      </c>
      <c r="E22266" s="3">
        <v>11</v>
      </c>
      <c r="F22266" s="3">
        <v>11</v>
      </c>
      <c r="G22266" t="s">
        <v>512</v>
      </c>
    </row>
    <row r="22267" spans="1:7" x14ac:dyDescent="0.25">
      <c r="A22267" s="1" t="str">
        <f>"520671"</f>
        <v>520671</v>
      </c>
      <c r="B22267" s="2" t="str">
        <f>"SMART CARD CERTISIGN"</f>
        <v>SMART CARD CERTISIGN</v>
      </c>
      <c r="C22267" s="2" t="str">
        <f t="shared" si="878"/>
        <v>UN</v>
      </c>
      <c r="D22267" s="7">
        <v>99999</v>
      </c>
      <c r="E22267" s="3">
        <v>99</v>
      </c>
      <c r="F22267" s="3">
        <v>99</v>
      </c>
      <c r="G22267" t="s">
        <v>513</v>
      </c>
    </row>
    <row r="22268" spans="1:7" x14ac:dyDescent="0.25">
      <c r="A22268" s="1" t="str">
        <f>"524299"</f>
        <v>524299</v>
      </c>
      <c r="B22268" s="2" t="str">
        <f>"SMART TV LED 40 FULL HD PANASONIC"</f>
        <v>SMART TV LED 40 FULL HD PANASONIC</v>
      </c>
      <c r="C22268" s="2" t="str">
        <f t="shared" si="878"/>
        <v>UN</v>
      </c>
      <c r="D22268" s="7">
        <v>99999</v>
      </c>
      <c r="E22268" s="3">
        <v>99</v>
      </c>
      <c r="F22268" s="3">
        <v>99</v>
      </c>
      <c r="G22268" t="s">
        <v>514</v>
      </c>
    </row>
    <row r="22269" spans="1:7" x14ac:dyDescent="0.25">
      <c r="A22269" s="1" t="str">
        <f>"526882"</f>
        <v>526882</v>
      </c>
      <c r="B22269" s="2" t="str">
        <f>"SMART TV LED 50 FULL HD SAMSUNG"</f>
        <v>SMART TV LED 50 FULL HD SAMSUNG</v>
      </c>
      <c r="C22269" s="2" t="str">
        <f t="shared" si="878"/>
        <v>UN</v>
      </c>
      <c r="D22269" s="7">
        <v>99999</v>
      </c>
      <c r="E22269" s="3">
        <v>99</v>
      </c>
      <c r="F22269" s="3">
        <v>99</v>
      </c>
      <c r="G22269" t="s">
        <v>515</v>
      </c>
    </row>
    <row r="22270" spans="1:7" x14ac:dyDescent="0.25">
      <c r="A22270" s="1" t="str">
        <f>"521370"</f>
        <v>521370</v>
      </c>
      <c r="B22270" s="2" t="str">
        <f>"SMARTBOX CAN BUS MKLV"</f>
        <v>SMARTBOX CAN BUS MKLV</v>
      </c>
      <c r="C22270" s="2" t="str">
        <f t="shared" si="878"/>
        <v>UN</v>
      </c>
      <c r="D22270" s="7">
        <v>99999</v>
      </c>
      <c r="E22270" s="3">
        <v>99</v>
      </c>
      <c r="F22270" s="3">
        <v>99</v>
      </c>
      <c r="G22270" t="s">
        <v>512</v>
      </c>
    </row>
    <row r="22271" spans="1:7" x14ac:dyDescent="0.25">
      <c r="A22271" s="1" t="str">
        <f>"6142"</f>
        <v>6142</v>
      </c>
      <c r="B22271" s="2" t="str">
        <f>"SOBRE COPO 67X32  (130GR) BIBI BITS-PV6.399.038-5"</f>
        <v>SOBRE COPO 67X32  (130GR) BIBI BITS-PV6.399.038-5</v>
      </c>
      <c r="C22271" s="2" t="str">
        <f t="shared" si="878"/>
        <v>UN</v>
      </c>
      <c r="D22271" s="7">
        <v>103</v>
      </c>
      <c r="E22271" s="3">
        <v>1</v>
      </c>
      <c r="F22271" s="3">
        <v>1</v>
      </c>
      <c r="G22271" t="s">
        <v>516</v>
      </c>
    </row>
    <row r="22272" spans="1:7" x14ac:dyDescent="0.25">
      <c r="A22272" s="1" t="str">
        <f>"990"</f>
        <v>990</v>
      </c>
      <c r="B22272" s="2" t="str">
        <f>"SOBRE TAMPA CREME DE LEITE NATA 270G CAROLINA"</f>
        <v>SOBRE TAMPA CREME DE LEITE NATA 270G CAROLINA</v>
      </c>
      <c r="C22272" s="2" t="str">
        <f t="shared" si="878"/>
        <v>UN</v>
      </c>
      <c r="D22272" s="7">
        <v>103</v>
      </c>
      <c r="E22272" s="3">
        <v>1</v>
      </c>
      <c r="F22272" s="3">
        <v>1</v>
      </c>
      <c r="G22272" t="s">
        <v>515</v>
      </c>
    </row>
    <row r="22273" spans="1:7" x14ac:dyDescent="0.25">
      <c r="A22273" s="1" t="str">
        <f>"643"</f>
        <v>643</v>
      </c>
      <c r="B22273" s="2" t="str">
        <f>"SOBRE TAMPAS 101 CRISTAL SEM IMPRESSAO - 500GR COM PEDACOS"</f>
        <v>SOBRE TAMPAS 101 CRISTAL SEM IMPRESSAO - 500GR COM PEDACOS</v>
      </c>
      <c r="C22273" s="2" t="str">
        <f t="shared" si="878"/>
        <v>UN</v>
      </c>
      <c r="D22273" s="7">
        <v>103</v>
      </c>
      <c r="E22273" s="3">
        <v>1</v>
      </c>
      <c r="F22273" s="3">
        <v>1</v>
      </c>
      <c r="G22273" t="s">
        <v>514</v>
      </c>
    </row>
    <row r="22274" spans="1:7" x14ac:dyDescent="0.25">
      <c r="A22274" s="1" t="str">
        <f>"513857"</f>
        <v>513857</v>
      </c>
      <c r="B22274" s="2" t="str">
        <f>"SOBREMESA"</f>
        <v>SOBREMESA</v>
      </c>
      <c r="C22274" s="2" t="str">
        <f t="shared" si="878"/>
        <v>UN</v>
      </c>
      <c r="D22274" s="7">
        <v>99999</v>
      </c>
      <c r="E22274" s="3">
        <v>99</v>
      </c>
      <c r="F22274" s="3">
        <v>99</v>
      </c>
      <c r="G22274" t="s">
        <v>512</v>
      </c>
    </row>
    <row r="22275" spans="1:7" x14ac:dyDescent="0.25">
      <c r="A22275" s="1" t="str">
        <f>"4001"</f>
        <v>4001</v>
      </c>
      <c r="B22275" s="2" t="str">
        <f>"SOBREMESA CHOCOLATE BRANCO CAROLINA 180G"</f>
        <v>SOBREMESA CHOCOLATE BRANCO CAROLINA 180G</v>
      </c>
      <c r="C22275" s="2" t="str">
        <f t="shared" si="878"/>
        <v>UN</v>
      </c>
      <c r="D22275" s="7">
        <v>55</v>
      </c>
      <c r="E22275" s="3">
        <v>6</v>
      </c>
      <c r="F22275" s="3">
        <v>6</v>
      </c>
      <c r="G22275" t="s">
        <v>513</v>
      </c>
    </row>
    <row r="22276" spans="1:7" x14ac:dyDescent="0.25">
      <c r="A22276" s="1" t="str">
        <f>"4006"</f>
        <v>4006</v>
      </c>
      <c r="B22276" s="2" t="str">
        <f>"SOBREMESA CHOCOLATE BRANCO CAROLINA 320G"</f>
        <v>SOBREMESA CHOCOLATE BRANCO CAROLINA 320G</v>
      </c>
      <c r="C22276" s="2" t="str">
        <f t="shared" si="878"/>
        <v>UN</v>
      </c>
      <c r="D22276" s="7">
        <v>48</v>
      </c>
      <c r="E22276" s="3">
        <v>6</v>
      </c>
      <c r="F22276" s="3">
        <v>6</v>
      </c>
      <c r="G22276" t="s">
        <v>514</v>
      </c>
    </row>
    <row r="22277" spans="1:7" x14ac:dyDescent="0.25">
      <c r="A22277" s="1" t="str">
        <f>"4000"</f>
        <v>4000</v>
      </c>
      <c r="B22277" s="2" t="str">
        <f>"SOBREMESA CHOCOLATE CAROLINA 180G"</f>
        <v>SOBREMESA CHOCOLATE CAROLINA 180G</v>
      </c>
      <c r="C22277" s="2" t="str">
        <f t="shared" si="878"/>
        <v>UN</v>
      </c>
      <c r="D22277" s="7">
        <v>55</v>
      </c>
      <c r="E22277" s="3">
        <v>6</v>
      </c>
      <c r="F22277" s="3">
        <v>6</v>
      </c>
      <c r="G22277" t="s">
        <v>514</v>
      </c>
    </row>
    <row r="22278" spans="1:7" x14ac:dyDescent="0.25">
      <c r="A22278" s="1" t="str">
        <f>"4005"</f>
        <v>4005</v>
      </c>
      <c r="B22278" s="2" t="str">
        <f>"SOBREMESA CHOCOLATE CAROLINA 320G"</f>
        <v>SOBREMESA CHOCOLATE CAROLINA 320G</v>
      </c>
      <c r="C22278" s="2" t="str">
        <f t="shared" si="878"/>
        <v>UN</v>
      </c>
      <c r="D22278" s="7">
        <v>48</v>
      </c>
      <c r="E22278" s="3">
        <v>6</v>
      </c>
      <c r="F22278" s="3">
        <v>6</v>
      </c>
      <c r="G22278" t="s">
        <v>512</v>
      </c>
    </row>
    <row r="22279" spans="1:7" x14ac:dyDescent="0.25">
      <c r="A22279" s="1" t="str">
        <f>"4002"</f>
        <v>4002</v>
      </c>
      <c r="B22279" s="2" t="str">
        <f>"SOBREMESA DOCE DE LEITE CAROLINA 180G"</f>
        <v>SOBREMESA DOCE DE LEITE CAROLINA 180G</v>
      </c>
      <c r="C22279" s="2" t="str">
        <f t="shared" si="878"/>
        <v>UN</v>
      </c>
      <c r="D22279" s="7">
        <v>55</v>
      </c>
      <c r="E22279" s="3">
        <v>6</v>
      </c>
      <c r="F22279" s="3">
        <v>6</v>
      </c>
      <c r="G22279" t="s">
        <v>513</v>
      </c>
    </row>
    <row r="22280" spans="1:7" x14ac:dyDescent="0.25">
      <c r="A22280" s="1" t="str">
        <f>"1903"</f>
        <v>1903</v>
      </c>
      <c r="B22280" s="2" t="str">
        <f>"SOBREMESA LAC CREMOSA SABOR CHOC C/ AMENDOIM DELICIOUS 100G"</f>
        <v>SOBREMESA LAC CREMOSA SABOR CHOC C/ AMENDOIM DELICIOUS 100G</v>
      </c>
      <c r="C22280" s="2" t="str">
        <f t="shared" si="878"/>
        <v>UN</v>
      </c>
      <c r="D22280" s="7">
        <v>32</v>
      </c>
      <c r="E22280" s="3">
        <v>6</v>
      </c>
      <c r="F22280" s="3">
        <v>6</v>
      </c>
      <c r="G22280" t="s">
        <v>514</v>
      </c>
    </row>
    <row r="22281" spans="1:7" x14ac:dyDescent="0.25">
      <c r="A22281" s="1" t="str">
        <f>"1902"</f>
        <v>1902</v>
      </c>
      <c r="B22281" s="2" t="str">
        <f>"SOBREMESA LAC CREMOSA SABOR CHOC C/ CAST CAJU DELICIOUS 100G"</f>
        <v>SOBREMESA LAC CREMOSA SABOR CHOC C/ CAST CAJU DELICIOUS 100G</v>
      </c>
      <c r="C22281" s="2" t="str">
        <f t="shared" si="878"/>
        <v>UN</v>
      </c>
      <c r="D22281" s="7">
        <v>32</v>
      </c>
      <c r="E22281" s="3">
        <v>6</v>
      </c>
      <c r="F22281" s="3">
        <v>6</v>
      </c>
      <c r="G22281" t="s">
        <v>514</v>
      </c>
    </row>
    <row r="22282" spans="1:7" x14ac:dyDescent="0.25">
      <c r="A22282" s="1" t="str">
        <f>"1901"</f>
        <v>1901</v>
      </c>
      <c r="B22282" s="2" t="str">
        <f>"SOBREMESA LAC CREMOSA SABOR CHOC C/ CONF DELICIOUS 100G"</f>
        <v>SOBREMESA LAC CREMOSA SABOR CHOC C/ CONF DELICIOUS 100G</v>
      </c>
      <c r="C22282" s="2" t="str">
        <f t="shared" si="878"/>
        <v>UN</v>
      </c>
      <c r="D22282" s="7">
        <v>32</v>
      </c>
      <c r="E22282" s="3">
        <v>6</v>
      </c>
      <c r="F22282" s="3">
        <v>6</v>
      </c>
      <c r="G22282" t="s">
        <v>514</v>
      </c>
    </row>
    <row r="22283" spans="1:7" x14ac:dyDescent="0.25">
      <c r="A22283" s="1" t="str">
        <f>"1900"</f>
        <v>1900</v>
      </c>
      <c r="B22283" s="2" t="str">
        <f>"SOBREMESA LAC CREMOSA SABOR CHOCOTATE DELICIOUS 180G"</f>
        <v>SOBREMESA LAC CREMOSA SABOR CHOCOTATE DELICIOUS 180G</v>
      </c>
      <c r="C22283" s="2" t="str">
        <f t="shared" si="878"/>
        <v>UN</v>
      </c>
      <c r="D22283" s="7">
        <v>3</v>
      </c>
      <c r="E22283" s="3">
        <v>6</v>
      </c>
      <c r="F22283" s="3">
        <v>6</v>
      </c>
      <c r="G22283" t="s">
        <v>513</v>
      </c>
    </row>
    <row r="22284" spans="1:7" x14ac:dyDescent="0.25">
      <c r="A22284" s="1" t="str">
        <f>"1623"</f>
        <v>1623</v>
      </c>
      <c r="B22284" s="2" t="str">
        <f>"SOBREMESA LACTEA CHOC CHOKY CAROL 320G - C/12"</f>
        <v>SOBREMESA LACTEA CHOC CHOKY CAROL 320G - C/12</v>
      </c>
      <c r="C22284" s="2" t="str">
        <f t="shared" si="878"/>
        <v>UN</v>
      </c>
      <c r="D22284" s="7">
        <v>24</v>
      </c>
      <c r="E22284" s="3">
        <v>6</v>
      </c>
      <c r="F22284" s="3">
        <v>6</v>
      </c>
      <c r="G22284" t="s">
        <v>512</v>
      </c>
    </row>
    <row r="22285" spans="1:7" x14ac:dyDescent="0.25">
      <c r="A22285" s="1" t="str">
        <f>"5000"</f>
        <v>5000</v>
      </c>
      <c r="B22285" s="2" t="str">
        <f>"SOBREMESA LACTEA SABOR MOR YOPLAIT"</f>
        <v>SOBREMESA LACTEA SABOR MOR YOPLAIT</v>
      </c>
      <c r="C22285" s="2" t="str">
        <f t="shared" si="878"/>
        <v>UN</v>
      </c>
      <c r="D22285" s="7">
        <v>39</v>
      </c>
      <c r="E22285" s="3">
        <v>3</v>
      </c>
      <c r="F22285" s="3">
        <v>3</v>
      </c>
      <c r="G22285" t="s">
        <v>513</v>
      </c>
    </row>
    <row r="22286" spans="1:7" x14ac:dyDescent="0.25">
      <c r="A22286" s="1" t="str">
        <f>"518817"</f>
        <v>518817</v>
      </c>
      <c r="B22286" s="2" t="str">
        <f>"SOBREPOSTA B PB-70 B MS MSS"</f>
        <v>SOBREPOSTA B PB-70 B MS MSS</v>
      </c>
      <c r="C22286" s="2" t="str">
        <f t="shared" si="878"/>
        <v>UN</v>
      </c>
      <c r="D22286" s="7">
        <v>818</v>
      </c>
      <c r="E22286" s="3">
        <v>11</v>
      </c>
      <c r="F22286" s="3">
        <v>11</v>
      </c>
      <c r="G22286" t="s">
        <v>514</v>
      </c>
    </row>
    <row r="22287" spans="1:7" x14ac:dyDescent="0.25">
      <c r="A22287" s="1" t="str">
        <f>"139"</f>
        <v>139</v>
      </c>
      <c r="B22287" s="2" t="str">
        <f>"SODA CAUSTICA ESCAMAS 99% - CARBOCLORO"</f>
        <v>SODA CAUSTICA ESCAMAS 99% - CARBOCLORO</v>
      </c>
      <c r="C22287" s="2" t="str">
        <f>"KG"</f>
        <v>KG</v>
      </c>
      <c r="D22287" s="7">
        <v>302</v>
      </c>
      <c r="E22287" s="3">
        <v>3</v>
      </c>
      <c r="F22287" s="3">
        <v>3</v>
      </c>
      <c r="G22287" t="s">
        <v>514</v>
      </c>
    </row>
    <row r="22288" spans="1:7" x14ac:dyDescent="0.25">
      <c r="A22288" s="1" t="str">
        <f>"140"</f>
        <v>140</v>
      </c>
      <c r="B22288" s="2" t="str">
        <f>"SODA LIQUIDA 50% CARBOCLORO"</f>
        <v>SODA LIQUIDA 50% CARBOCLORO</v>
      </c>
      <c r="C22288" s="2" t="str">
        <f>"KG"</f>
        <v>KG</v>
      </c>
      <c r="D22288" s="7">
        <v>302</v>
      </c>
      <c r="E22288" s="3">
        <v>3</v>
      </c>
      <c r="F22288" s="3">
        <v>3</v>
      </c>
      <c r="G22288" t="s">
        <v>514</v>
      </c>
    </row>
    <row r="22289" spans="1:7" x14ac:dyDescent="0.25">
      <c r="A22289" s="1" t="str">
        <f>"149"</f>
        <v>149</v>
      </c>
      <c r="B22289" s="2" t="str">
        <f>"SODA LIQUIDA 50% CARBOCLORO (ETE)"</f>
        <v>SODA LIQUIDA 50% CARBOCLORO (ETE)</v>
      </c>
      <c r="C22289" s="2" t="str">
        <f>"KG"</f>
        <v>KG</v>
      </c>
      <c r="D22289" s="7">
        <v>99999</v>
      </c>
      <c r="E22289" s="3">
        <v>99</v>
      </c>
      <c r="F22289" s="3">
        <v>99</v>
      </c>
      <c r="G22289" t="s">
        <v>513</v>
      </c>
    </row>
    <row r="22290" spans="1:7" x14ac:dyDescent="0.25">
      <c r="A22290" s="1" t="str">
        <f>"501927"</f>
        <v>501927</v>
      </c>
      <c r="B22290" s="2" t="str">
        <f>"SOFA CAMA (CAMINHAO)"</f>
        <v>SOFA CAMA (CAMINHAO)</v>
      </c>
      <c r="C22290" s="2" t="str">
        <f t="shared" ref="C22290:C22321" si="879">"UN"</f>
        <v>UN</v>
      </c>
      <c r="D22290" s="7">
        <v>704</v>
      </c>
      <c r="E22290" s="3">
        <v>9</v>
      </c>
      <c r="F22290" s="3">
        <v>9</v>
      </c>
      <c r="G22290" t="s">
        <v>513</v>
      </c>
    </row>
    <row r="22291" spans="1:7" x14ac:dyDescent="0.25">
      <c r="A22291" s="1" t="str">
        <f>"525968"</f>
        <v>525968</v>
      </c>
      <c r="B22291" s="2" t="str">
        <f>"SOFT START 250A 230-410V 100HP220V 175HP380V"</f>
        <v>SOFT START 250A 230-410V 100HP220V 175HP380V</v>
      </c>
      <c r="C22291" s="2" t="str">
        <f t="shared" si="879"/>
        <v>UN</v>
      </c>
      <c r="D22291" s="7">
        <v>900</v>
      </c>
      <c r="E22291" s="3">
        <v>11</v>
      </c>
      <c r="F22291" s="3">
        <v>11</v>
      </c>
      <c r="G22291" t="s">
        <v>513</v>
      </c>
    </row>
    <row r="22292" spans="1:7" x14ac:dyDescent="0.25">
      <c r="A22292" s="1" t="str">
        <f>"515864"</f>
        <v>515864</v>
      </c>
      <c r="B22292" s="2" t="str">
        <f>"SOFT START 3RW3026-1AB14"</f>
        <v>SOFT START 3RW3026-1AB14</v>
      </c>
      <c r="C22292" s="2" t="str">
        <f t="shared" si="879"/>
        <v>UN</v>
      </c>
      <c r="D22292" s="7">
        <v>99999</v>
      </c>
      <c r="E22292" s="3">
        <v>99</v>
      </c>
      <c r="F22292" s="3">
        <v>99</v>
      </c>
      <c r="G22292" t="s">
        <v>512</v>
      </c>
    </row>
    <row r="22293" spans="1:7" x14ac:dyDescent="0.25">
      <c r="A22293" s="1" t="str">
        <f>"526880"</f>
        <v>526880</v>
      </c>
      <c r="B22293" s="2" t="str">
        <f>"SOFT START ALLEN BRADLEY SMC-50 150-SCMD"</f>
        <v>SOFT START ALLEN BRADLEY SMC-50 150-SCMD</v>
      </c>
      <c r="C22293" s="2" t="str">
        <f t="shared" si="879"/>
        <v>UN</v>
      </c>
      <c r="D22293" s="7">
        <v>600</v>
      </c>
      <c r="E22293" s="3">
        <v>8</v>
      </c>
      <c r="F22293" s="3">
        <v>8</v>
      </c>
      <c r="G22293" t="s">
        <v>513</v>
      </c>
    </row>
    <row r="22294" spans="1:7" x14ac:dyDescent="0.25">
      <c r="A22294" s="1" t="str">
        <f>"510713"</f>
        <v>510713</v>
      </c>
      <c r="B22294" s="2" t="str">
        <f>"SOFT START P/ 100CV 380V"</f>
        <v>SOFT START P/ 100CV 380V</v>
      </c>
      <c r="C22294" s="2" t="str">
        <f t="shared" si="879"/>
        <v>UN</v>
      </c>
      <c r="D22294" s="7">
        <v>600</v>
      </c>
      <c r="E22294" s="3">
        <v>8</v>
      </c>
      <c r="F22294" s="3">
        <v>8</v>
      </c>
      <c r="G22294" t="s">
        <v>514</v>
      </c>
    </row>
    <row r="22295" spans="1:7" x14ac:dyDescent="0.25">
      <c r="A22295" s="1" t="str">
        <f>"510715"</f>
        <v>510715</v>
      </c>
      <c r="B22295" s="2" t="str">
        <f>"SOFT START P/ 25 CV 380V"</f>
        <v>SOFT START P/ 25 CV 380V</v>
      </c>
      <c r="C22295" s="2" t="str">
        <f t="shared" si="879"/>
        <v>UN</v>
      </c>
      <c r="D22295" s="7">
        <v>600</v>
      </c>
      <c r="E22295" s="3">
        <v>8</v>
      </c>
      <c r="F22295" s="3">
        <v>8</v>
      </c>
      <c r="G22295" t="s">
        <v>515</v>
      </c>
    </row>
    <row r="22296" spans="1:7" x14ac:dyDescent="0.25">
      <c r="A22296" s="1" t="str">
        <f>"510714"</f>
        <v>510714</v>
      </c>
      <c r="B22296" s="2" t="str">
        <f>"SOFT START P/ 40 CV 380V"</f>
        <v>SOFT START P/ 40 CV 380V</v>
      </c>
      <c r="C22296" s="2" t="str">
        <f t="shared" si="879"/>
        <v>UN</v>
      </c>
      <c r="D22296" s="7">
        <v>600</v>
      </c>
      <c r="E22296" s="3">
        <v>8</v>
      </c>
      <c r="F22296" s="3">
        <v>8</v>
      </c>
      <c r="G22296" t="s">
        <v>512</v>
      </c>
    </row>
    <row r="22297" spans="1:7" x14ac:dyDescent="0.25">
      <c r="A22297" s="1" t="str">
        <f>"517966"</f>
        <v>517966</v>
      </c>
      <c r="B22297" s="2" t="str">
        <f>"SOFT START SCHNEIDER ATS48D88Q88A"</f>
        <v>SOFT START SCHNEIDER ATS48D88Q88A</v>
      </c>
      <c r="C22297" s="2" t="str">
        <f t="shared" si="879"/>
        <v>UN</v>
      </c>
      <c r="D22297" s="7">
        <v>811</v>
      </c>
      <c r="E22297" s="3">
        <v>8</v>
      </c>
      <c r="F22297" s="3">
        <v>8</v>
      </c>
      <c r="G22297" t="s">
        <v>516</v>
      </c>
    </row>
    <row r="22298" spans="1:7" x14ac:dyDescent="0.25">
      <c r="A22298" s="1" t="str">
        <f>"516502"</f>
        <v>516502</v>
      </c>
      <c r="B22298" s="2" t="str">
        <f>"SOFT START SIEMENS 2RW4421-1BC44"</f>
        <v>SOFT START SIEMENS 2RW4421-1BC44</v>
      </c>
      <c r="C22298" s="2" t="str">
        <f t="shared" si="879"/>
        <v>UN</v>
      </c>
      <c r="D22298" s="7">
        <v>811</v>
      </c>
      <c r="E22298" s="3">
        <v>8</v>
      </c>
      <c r="F22298" s="3">
        <v>8</v>
      </c>
      <c r="G22298" t="s">
        <v>515</v>
      </c>
    </row>
    <row r="22299" spans="1:7" x14ac:dyDescent="0.25">
      <c r="A22299" s="1" t="str">
        <f>"516428"</f>
        <v>516428</v>
      </c>
      <c r="B22299" s="2" t="str">
        <f>"SOFT START SIEMENS 2RW4422-1BC44"</f>
        <v>SOFT START SIEMENS 2RW4422-1BC44</v>
      </c>
      <c r="C22299" s="2" t="str">
        <f t="shared" si="879"/>
        <v>UN</v>
      </c>
      <c r="D22299" s="7">
        <v>600</v>
      </c>
      <c r="E22299" s="3">
        <v>8</v>
      </c>
      <c r="F22299" s="3">
        <v>8</v>
      </c>
      <c r="G22299" t="s">
        <v>514</v>
      </c>
    </row>
    <row r="22300" spans="1:7" x14ac:dyDescent="0.25">
      <c r="A22300" s="1" t="str">
        <f>"512095"</f>
        <v>512095</v>
      </c>
      <c r="B22300" s="2" t="str">
        <f>"SOFT START SIEMENS 2RW4424-1B44"</f>
        <v>SOFT START SIEMENS 2RW4424-1B44</v>
      </c>
      <c r="C22300" s="2" t="str">
        <f t="shared" si="879"/>
        <v>UN</v>
      </c>
      <c r="D22300" s="7">
        <v>600</v>
      </c>
      <c r="E22300" s="3">
        <v>8</v>
      </c>
      <c r="F22300" s="3">
        <v>8</v>
      </c>
      <c r="G22300" t="s">
        <v>512</v>
      </c>
    </row>
    <row r="22301" spans="1:7" x14ac:dyDescent="0.25">
      <c r="A22301" s="1" t="str">
        <f>"509828"</f>
        <v>509828</v>
      </c>
      <c r="B22301" s="2" t="str">
        <f>"SOFT START SIEMENS 3RW2228 - 1AB15"</f>
        <v>SOFT START SIEMENS 3RW2228 - 1AB15</v>
      </c>
      <c r="C22301" s="2" t="str">
        <f t="shared" si="879"/>
        <v>UN</v>
      </c>
      <c r="D22301" s="7">
        <v>600</v>
      </c>
      <c r="E22301" s="3">
        <v>8</v>
      </c>
      <c r="F22301" s="3">
        <v>8</v>
      </c>
      <c r="G22301" t="s">
        <v>513</v>
      </c>
    </row>
    <row r="22302" spans="1:7" x14ac:dyDescent="0.25">
      <c r="A22302" s="1" t="str">
        <f>"510079"</f>
        <v>510079</v>
      </c>
      <c r="B22302" s="2" t="str">
        <f>"SOFT START SIEMENS 3RW30-26"</f>
        <v>SOFT START SIEMENS 3RW30-26</v>
      </c>
      <c r="C22302" s="2" t="str">
        <f t="shared" si="879"/>
        <v>UN</v>
      </c>
      <c r="D22302" s="7">
        <v>600</v>
      </c>
      <c r="E22302" s="3">
        <v>8</v>
      </c>
      <c r="F22302" s="3">
        <v>8</v>
      </c>
      <c r="G22302" t="s">
        <v>514</v>
      </c>
    </row>
    <row r="22303" spans="1:7" x14ac:dyDescent="0.25">
      <c r="A22303" s="1" t="str">
        <f>"515943"</f>
        <v>515943</v>
      </c>
      <c r="B22303" s="2" t="str">
        <f>"SOFT START SIEMENS 3RW40 74-6BB44 280A"</f>
        <v>SOFT START SIEMENS 3RW40 74-6BB44 280A</v>
      </c>
      <c r="C22303" s="2" t="str">
        <f t="shared" si="879"/>
        <v>UN</v>
      </c>
      <c r="D22303" s="7">
        <v>811</v>
      </c>
      <c r="E22303" s="3">
        <v>8</v>
      </c>
      <c r="F22303" s="3">
        <v>8</v>
      </c>
      <c r="G22303" t="s">
        <v>514</v>
      </c>
    </row>
    <row r="22304" spans="1:7" x14ac:dyDescent="0.25">
      <c r="A22304" s="1" t="str">
        <f>"525473"</f>
        <v>525473</v>
      </c>
      <c r="B22304" s="2" t="str">
        <f>"SOFT START SIEMENS 3RW4026-1BB14"</f>
        <v>SOFT START SIEMENS 3RW4026-1BB14</v>
      </c>
      <c r="C22304" s="2" t="str">
        <f t="shared" si="879"/>
        <v>UN</v>
      </c>
      <c r="D22304" s="7">
        <v>811</v>
      </c>
      <c r="E22304" s="3">
        <v>11</v>
      </c>
      <c r="F22304" s="3">
        <v>11</v>
      </c>
      <c r="G22304" t="s">
        <v>512</v>
      </c>
    </row>
    <row r="22305" spans="1:7" x14ac:dyDescent="0.25">
      <c r="A22305" s="1" t="str">
        <f>"520215"</f>
        <v>520215</v>
      </c>
      <c r="B22305" s="2" t="str">
        <f>"SOFT START SIEMENS 3RW4422-1BC44"</f>
        <v>SOFT START SIEMENS 3RW4422-1BC44</v>
      </c>
      <c r="C22305" s="2" t="str">
        <f t="shared" si="879"/>
        <v>UN</v>
      </c>
      <c r="D22305" s="7">
        <v>811</v>
      </c>
      <c r="E22305" s="3">
        <v>8</v>
      </c>
      <c r="F22305" s="3">
        <v>8</v>
      </c>
      <c r="G22305" t="s">
        <v>513</v>
      </c>
    </row>
    <row r="22306" spans="1:7" x14ac:dyDescent="0.25">
      <c r="A22306" s="1" t="str">
        <f>"520530"</f>
        <v>520530</v>
      </c>
      <c r="B22306" s="2" t="str">
        <f>"SOFT START SIEMENS 3RW4424-1BC44"</f>
        <v>SOFT START SIEMENS 3RW4424-1BC44</v>
      </c>
      <c r="C22306" s="2" t="str">
        <f t="shared" si="879"/>
        <v>UN</v>
      </c>
      <c r="D22306" s="7">
        <v>811</v>
      </c>
      <c r="E22306" s="3">
        <v>8</v>
      </c>
      <c r="F22306" s="3">
        <v>8</v>
      </c>
      <c r="G22306" t="s">
        <v>514</v>
      </c>
    </row>
    <row r="22307" spans="1:7" x14ac:dyDescent="0.25">
      <c r="A22307" s="1" t="str">
        <f>"517961"</f>
        <v>517961</v>
      </c>
      <c r="B22307" s="2" t="str">
        <f>"SOFT START SIEMENS 3RW4426-1BC44"</f>
        <v>SOFT START SIEMENS 3RW4426-1BC44</v>
      </c>
      <c r="C22307" s="2" t="str">
        <f t="shared" si="879"/>
        <v>UN</v>
      </c>
      <c r="D22307" s="7">
        <v>811</v>
      </c>
      <c r="E22307" s="3">
        <v>8</v>
      </c>
      <c r="F22307" s="3">
        <v>8</v>
      </c>
      <c r="G22307" t="s">
        <v>514</v>
      </c>
    </row>
    <row r="22308" spans="1:7" x14ac:dyDescent="0.25">
      <c r="A22308" s="1" t="str">
        <f>"516563"</f>
        <v>516563</v>
      </c>
      <c r="B22308" s="2" t="str">
        <f>"SOFT START SIEMENS 3RW4436-6BC44"</f>
        <v>SOFT START SIEMENS 3RW4436-6BC44</v>
      </c>
      <c r="C22308" s="2" t="str">
        <f t="shared" si="879"/>
        <v>UN</v>
      </c>
      <c r="D22308" s="7">
        <v>811</v>
      </c>
      <c r="E22308" s="3">
        <v>8</v>
      </c>
      <c r="F22308" s="3">
        <v>8</v>
      </c>
      <c r="G22308" t="s">
        <v>514</v>
      </c>
    </row>
    <row r="22309" spans="1:7" x14ac:dyDescent="0.25">
      <c r="A22309" s="1" t="str">
        <f>"516535"</f>
        <v>516535</v>
      </c>
      <c r="B22309" s="2" t="str">
        <f>"SOFT START SIEMENS 3RW4443-6BC44"</f>
        <v>SOFT START SIEMENS 3RW4443-6BC44</v>
      </c>
      <c r="C22309" s="2" t="str">
        <f t="shared" si="879"/>
        <v>UN</v>
      </c>
      <c r="D22309" s="7">
        <v>811</v>
      </c>
      <c r="E22309" s="3">
        <v>8</v>
      </c>
      <c r="F22309" s="3">
        <v>8</v>
      </c>
      <c r="G22309" t="s">
        <v>513</v>
      </c>
    </row>
    <row r="22310" spans="1:7" x14ac:dyDescent="0.25">
      <c r="A22310" s="1" t="str">
        <f>"517952"</f>
        <v>517952</v>
      </c>
      <c r="B22310" s="2" t="str">
        <f>"SOFT START SSW05 23A 220V 7,5CV5,5KW-SSW050023T2246PPZ-WEG"</f>
        <v>SOFT START SSW05 23A 220V 7,5CV5,5KW-SSW050023T2246PPZ-WEG</v>
      </c>
      <c r="C22310" s="2" t="str">
        <f t="shared" si="879"/>
        <v>UN</v>
      </c>
      <c r="D22310" s="7">
        <v>811</v>
      </c>
      <c r="E22310" s="3">
        <v>8</v>
      </c>
      <c r="F22310" s="3">
        <v>8</v>
      </c>
      <c r="G22310" t="s">
        <v>512</v>
      </c>
    </row>
    <row r="22311" spans="1:7" x14ac:dyDescent="0.25">
      <c r="A22311" s="1" t="str">
        <f>"520555"</f>
        <v>520555</v>
      </c>
      <c r="B22311" s="8" t="s">
        <v>161</v>
      </c>
      <c r="C22311" s="2" t="str">
        <f t="shared" si="879"/>
        <v>UN</v>
      </c>
      <c r="D22311" s="7">
        <v>811</v>
      </c>
      <c r="E22311" s="3">
        <v>8</v>
      </c>
      <c r="F22311" s="3">
        <v>8</v>
      </c>
      <c r="G22311" t="s">
        <v>513</v>
      </c>
    </row>
    <row r="22312" spans="1:7" x14ac:dyDescent="0.25">
      <c r="A22312" s="1" t="str">
        <f>"520155"</f>
        <v>520155</v>
      </c>
      <c r="B22312" s="2" t="str">
        <f>"SOFT START WEG SSW07  BRSSW070061T5SZ 20CV 220V 40CV 380V"</f>
        <v>SOFT START WEG SSW07  BRSSW070061T5SZ 20CV 220V 40CV 380V</v>
      </c>
      <c r="C22312" s="2" t="str">
        <f t="shared" si="879"/>
        <v>UN</v>
      </c>
      <c r="D22312" s="7">
        <v>600</v>
      </c>
      <c r="E22312" s="3">
        <v>8</v>
      </c>
      <c r="F22312" s="3">
        <v>8</v>
      </c>
      <c r="G22312" t="s">
        <v>514</v>
      </c>
    </row>
    <row r="22313" spans="1:7" x14ac:dyDescent="0.25">
      <c r="A22313" s="1" t="str">
        <f>"515656"</f>
        <v>515656</v>
      </c>
      <c r="B22313" s="2" t="str">
        <f>"SOFTSTART SSW05 23A"</f>
        <v>SOFTSTART SSW05 23A</v>
      </c>
      <c r="C22313" s="2" t="str">
        <f t="shared" si="879"/>
        <v>UN</v>
      </c>
      <c r="D22313" s="7">
        <v>811</v>
      </c>
      <c r="E22313" s="3">
        <v>8</v>
      </c>
      <c r="F22313" s="3">
        <v>8</v>
      </c>
      <c r="G22313" t="s">
        <v>514</v>
      </c>
    </row>
    <row r="22314" spans="1:7" x14ac:dyDescent="0.25">
      <c r="A22314" s="1" t="str">
        <f>"518406"</f>
        <v>518406</v>
      </c>
      <c r="B22314" s="2" t="str">
        <f>"SOFTWARE ADOBEACROBAT X1"</f>
        <v>SOFTWARE ADOBEACROBAT X1</v>
      </c>
      <c r="C22314" s="2" t="str">
        <f t="shared" si="879"/>
        <v>UN</v>
      </c>
      <c r="D22314" s="7">
        <v>401</v>
      </c>
      <c r="E22314" s="3">
        <v>4</v>
      </c>
      <c r="F22314" s="3">
        <v>4</v>
      </c>
      <c r="G22314" t="s">
        <v>514</v>
      </c>
    </row>
    <row r="22315" spans="1:7" x14ac:dyDescent="0.25">
      <c r="A22315" s="1" t="str">
        <f>"516628"</f>
        <v>516628</v>
      </c>
      <c r="B22315" s="2" t="str">
        <f>"SOFTWARE ANTIVIRUS MCAFE"</f>
        <v>SOFTWARE ANTIVIRUS MCAFE</v>
      </c>
      <c r="C22315" s="2" t="str">
        <f t="shared" si="879"/>
        <v>UN</v>
      </c>
      <c r="D22315" s="7">
        <v>401</v>
      </c>
      <c r="E22315" s="3">
        <v>4</v>
      </c>
      <c r="F22315" s="3">
        <v>4</v>
      </c>
      <c r="G22315" t="s">
        <v>513</v>
      </c>
    </row>
    <row r="22316" spans="1:7" x14ac:dyDescent="0.25">
      <c r="A22316" s="1" t="str">
        <f>"505579"</f>
        <v>505579</v>
      </c>
      <c r="B22316" s="2" t="str">
        <f>"SOFTWARE STEP 7-200 C/CABO COMUNICACAO"</f>
        <v>SOFTWARE STEP 7-200 C/CABO COMUNICACAO</v>
      </c>
      <c r="C22316" s="2" t="str">
        <f t="shared" si="879"/>
        <v>UN</v>
      </c>
      <c r="D22316" s="7">
        <v>600</v>
      </c>
      <c r="E22316" s="3">
        <v>8</v>
      </c>
      <c r="F22316" s="3">
        <v>8</v>
      </c>
      <c r="G22316" t="s">
        <v>513</v>
      </c>
    </row>
    <row r="22317" spans="1:7" x14ac:dyDescent="0.25">
      <c r="A22317" s="1" t="str">
        <f>"520821"</f>
        <v>520821</v>
      </c>
      <c r="B22317" s="2" t="str">
        <f>"SOFTWARE TEXTURE EXPONENT 32 BIT"</f>
        <v>SOFTWARE TEXTURE EXPONENT 32 BIT</v>
      </c>
      <c r="C22317" s="2" t="str">
        <f t="shared" si="879"/>
        <v>UN</v>
      </c>
      <c r="D22317" s="7">
        <v>1200</v>
      </c>
      <c r="E22317" s="3">
        <v>13</v>
      </c>
      <c r="F22317" s="3">
        <v>13</v>
      </c>
      <c r="G22317" t="s">
        <v>513</v>
      </c>
    </row>
    <row r="22318" spans="1:7" x14ac:dyDescent="0.25">
      <c r="A22318" s="1" t="str">
        <f>"515735"</f>
        <v>515735</v>
      </c>
      <c r="B22318" s="2" t="str">
        <f>"SOFTWARES MCAFEE"</f>
        <v>SOFTWARES MCAFEE</v>
      </c>
      <c r="C22318" s="2" t="str">
        <f t="shared" si="879"/>
        <v>UN</v>
      </c>
      <c r="D22318" s="7">
        <v>401</v>
      </c>
      <c r="E22318" s="3">
        <v>4</v>
      </c>
      <c r="F22318" s="3">
        <v>4</v>
      </c>
      <c r="G22318" t="s">
        <v>512</v>
      </c>
    </row>
    <row r="22319" spans="1:7" x14ac:dyDescent="0.25">
      <c r="A22319" s="1" t="str">
        <f>"519763"</f>
        <v>519763</v>
      </c>
      <c r="B22319" s="2" t="str">
        <f>"SOL AL 53X30X2400MM"</f>
        <v>SOL AL 53X30X2400MM</v>
      </c>
      <c r="C22319" s="2" t="str">
        <f t="shared" si="879"/>
        <v>UN</v>
      </c>
      <c r="D22319" s="7">
        <v>402</v>
      </c>
      <c r="E22319" s="3">
        <v>4</v>
      </c>
      <c r="F22319" s="3">
        <v>4</v>
      </c>
      <c r="G22319" t="s">
        <v>513</v>
      </c>
    </row>
    <row r="22320" spans="1:7" x14ac:dyDescent="0.25">
      <c r="A22320" s="1" t="str">
        <f>"515010"</f>
        <v>515010</v>
      </c>
      <c r="B22320" s="2" t="str">
        <f>"SOLDA AZUL"</f>
        <v>SOLDA AZUL</v>
      </c>
      <c r="C22320" s="2" t="str">
        <f t="shared" si="879"/>
        <v>UN</v>
      </c>
      <c r="D22320" s="7">
        <v>812</v>
      </c>
      <c r="E22320" s="3">
        <v>4</v>
      </c>
      <c r="F22320" s="3">
        <v>4</v>
      </c>
      <c r="G22320" t="s">
        <v>514</v>
      </c>
    </row>
    <row r="22321" spans="1:7" x14ac:dyDescent="0.25">
      <c r="A22321" s="1" t="str">
        <f>"521135"</f>
        <v>521135</v>
      </c>
      <c r="B22321" s="2" t="str">
        <f>"SOLDA DE PRATA"</f>
        <v>SOLDA DE PRATA</v>
      </c>
      <c r="C22321" s="2" t="str">
        <f t="shared" si="879"/>
        <v>UN</v>
      </c>
      <c r="D22321" s="7">
        <v>704</v>
      </c>
      <c r="E22321" s="3">
        <v>9</v>
      </c>
      <c r="F22321" s="3">
        <v>9</v>
      </c>
      <c r="G22321" t="s">
        <v>515</v>
      </c>
    </row>
    <row r="22322" spans="1:7" x14ac:dyDescent="0.25">
      <c r="A22322" s="1" t="str">
        <f>"522158"</f>
        <v>522158</v>
      </c>
      <c r="B22322" s="2" t="str">
        <f>"SOLDA EXOTERMICA CARTUCHO 150 HASTE CABO PASS. DERIV T TOPO"</f>
        <v>SOLDA EXOTERMICA CARTUCHO 150 HASTE CABO PASS. DERIV T TOPO</v>
      </c>
      <c r="C22322" s="2" t="str">
        <f t="shared" ref="C22322:C22352" si="880">"UN"</f>
        <v>UN</v>
      </c>
      <c r="D22322" s="7">
        <v>918</v>
      </c>
      <c r="E22322" s="3">
        <v>11</v>
      </c>
      <c r="F22322" s="3">
        <v>11</v>
      </c>
      <c r="G22322" t="s">
        <v>512</v>
      </c>
    </row>
    <row r="22323" spans="1:7" x14ac:dyDescent="0.25">
      <c r="A22323" s="1" t="str">
        <f>"522161"</f>
        <v>522161</v>
      </c>
      <c r="B22323" s="2" t="str">
        <f>"SOLDA EXOTERMICA CARTUCHO 90 HASTE CABO DERIV TOPO JOELHO"</f>
        <v>SOLDA EXOTERMICA CARTUCHO 90 HASTE CABO DERIV TOPO JOELHO</v>
      </c>
      <c r="C22323" s="2" t="str">
        <f t="shared" si="880"/>
        <v>UN</v>
      </c>
      <c r="D22323" s="7">
        <v>918</v>
      </c>
      <c r="E22323" s="3">
        <v>11</v>
      </c>
      <c r="F22323" s="3">
        <v>11</v>
      </c>
      <c r="G22323" t="s">
        <v>516</v>
      </c>
    </row>
    <row r="22324" spans="1:7" x14ac:dyDescent="0.25">
      <c r="A22324" s="1" t="str">
        <f>"517495"</f>
        <v>517495</v>
      </c>
      <c r="B22324" s="2" t="str">
        <f>"SOLDA FOSCOP AG BANHADA 2,4MM BRASTA (P-10)"</f>
        <v>SOLDA FOSCOP AG BANHADA 2,4MM BRASTA (P-10)</v>
      </c>
      <c r="C22324" s="2" t="str">
        <f t="shared" si="880"/>
        <v>UN</v>
      </c>
      <c r="D22324" s="7">
        <v>918</v>
      </c>
      <c r="E22324" s="3">
        <v>10</v>
      </c>
      <c r="F22324" s="3">
        <v>10</v>
      </c>
      <c r="G22324" t="s">
        <v>515</v>
      </c>
    </row>
    <row r="22325" spans="1:7" x14ac:dyDescent="0.25">
      <c r="A22325" s="1" t="str">
        <f>"514829"</f>
        <v>514829</v>
      </c>
      <c r="B22325" s="2" t="str">
        <f>"SOLDA FOSCOPER"</f>
        <v>SOLDA FOSCOPER</v>
      </c>
      <c r="C22325" s="2" t="str">
        <f t="shared" si="880"/>
        <v>UN</v>
      </c>
      <c r="D22325" s="7">
        <v>816</v>
      </c>
      <c r="E22325" s="3">
        <v>4</v>
      </c>
      <c r="F22325" s="3">
        <v>4</v>
      </c>
      <c r="G22325" t="s">
        <v>514</v>
      </c>
    </row>
    <row r="22326" spans="1:7" x14ac:dyDescent="0.25">
      <c r="A22326" s="1" t="str">
        <f>"514766"</f>
        <v>514766</v>
      </c>
      <c r="B22326" s="2" t="str">
        <f>"SOLDA LATÃO"</f>
        <v>SOLDA LATÃO</v>
      </c>
      <c r="C22326" s="2" t="str">
        <f t="shared" si="880"/>
        <v>UN</v>
      </c>
      <c r="D22326" s="7">
        <v>900</v>
      </c>
      <c r="E22326" s="3">
        <v>8</v>
      </c>
      <c r="F22326" s="3">
        <v>8</v>
      </c>
      <c r="G22326" t="s">
        <v>512</v>
      </c>
    </row>
    <row r="22327" spans="1:7" x14ac:dyDescent="0.25">
      <c r="A22327" s="1" t="str">
        <f>"527441"</f>
        <v>527441</v>
      </c>
      <c r="B22327" s="2" t="str">
        <f>"SOLDADOR"</f>
        <v>SOLDADOR</v>
      </c>
      <c r="C22327" s="2" t="str">
        <f t="shared" si="880"/>
        <v>UN</v>
      </c>
      <c r="D22327" s="7">
        <v>99999</v>
      </c>
      <c r="E22327" s="3">
        <v>99</v>
      </c>
      <c r="F22327" s="3">
        <v>99</v>
      </c>
      <c r="G22327" t="s">
        <v>513</v>
      </c>
    </row>
    <row r="22328" spans="1:7" x14ac:dyDescent="0.25">
      <c r="A22328" s="1" t="str">
        <f>"506264"</f>
        <v>506264</v>
      </c>
      <c r="B22328" s="2" t="str">
        <f>"SOLDADOR A GAZ"</f>
        <v>SOLDADOR A GAZ</v>
      </c>
      <c r="C22328" s="2" t="str">
        <f t="shared" si="880"/>
        <v>UN</v>
      </c>
      <c r="D22328" s="7">
        <v>918</v>
      </c>
      <c r="E22328" s="3">
        <v>11</v>
      </c>
      <c r="F22328" s="3">
        <v>11</v>
      </c>
      <c r="G22328" t="s">
        <v>514</v>
      </c>
    </row>
    <row r="22329" spans="1:7" x14ac:dyDescent="0.25">
      <c r="A22329" s="1" t="str">
        <f>"519847"</f>
        <v>519847</v>
      </c>
      <c r="B22329" s="2" t="str">
        <f>"SOLDADOR AÇO INOX MAQUINA 8000"</f>
        <v>SOLDADOR AÇO INOX MAQUINA 8000</v>
      </c>
      <c r="C22329" s="2" t="str">
        <f t="shared" si="880"/>
        <v>UN</v>
      </c>
      <c r="D22329" s="7">
        <v>918</v>
      </c>
      <c r="E22329" s="3">
        <v>11</v>
      </c>
      <c r="F22329" s="3">
        <v>11</v>
      </c>
      <c r="G22329" t="s">
        <v>514</v>
      </c>
    </row>
    <row r="22330" spans="1:7" x14ac:dyDescent="0.25">
      <c r="A22330" s="1" t="str">
        <f>"519880"</f>
        <v>519880</v>
      </c>
      <c r="B22330" s="2" t="str">
        <f>"SOLDADOR AÇO INOX MAQUINA 8000"</f>
        <v>SOLDADOR AÇO INOX MAQUINA 8000</v>
      </c>
      <c r="C22330" s="2" t="str">
        <f t="shared" si="880"/>
        <v>UN</v>
      </c>
      <c r="D22330" s="7">
        <v>918</v>
      </c>
      <c r="E22330" s="3">
        <v>11</v>
      </c>
      <c r="F22330" s="3">
        <v>11</v>
      </c>
      <c r="G22330" t="s">
        <v>512</v>
      </c>
    </row>
    <row r="22331" spans="1:7" x14ac:dyDescent="0.25">
      <c r="A22331" s="1" t="str">
        <f>"515565"</f>
        <v>515565</v>
      </c>
      <c r="B22331" s="2" t="str">
        <f>"SOLDADOR DE BRONZE"</f>
        <v>SOLDADOR DE BRONZE</v>
      </c>
      <c r="C22331" s="2" t="str">
        <f t="shared" si="880"/>
        <v>UN</v>
      </c>
      <c r="D22331" s="7">
        <v>600</v>
      </c>
      <c r="E22331" s="3">
        <v>11</v>
      </c>
      <c r="F22331" s="3">
        <v>11</v>
      </c>
      <c r="G22331" t="s">
        <v>513</v>
      </c>
    </row>
    <row r="22332" spans="1:7" x14ac:dyDescent="0.25">
      <c r="A22332" s="1" t="str">
        <f>"510562"</f>
        <v>510562</v>
      </c>
      <c r="B22332" s="2" t="str">
        <f>"SOLDADOR ELETRICO 220V 40W"</f>
        <v>SOLDADOR ELETRICO 220V 40W</v>
      </c>
      <c r="C22332" s="2" t="str">
        <f t="shared" si="880"/>
        <v>UN</v>
      </c>
      <c r="D22332" s="7">
        <v>601</v>
      </c>
      <c r="E22332" s="3">
        <v>8</v>
      </c>
      <c r="F22332" s="3">
        <v>8</v>
      </c>
      <c r="G22332" t="s">
        <v>514</v>
      </c>
    </row>
    <row r="22333" spans="1:7" x14ac:dyDescent="0.25">
      <c r="A22333" s="1" t="str">
        <f>"511457"</f>
        <v>511457</v>
      </c>
      <c r="B22333" s="2" t="str">
        <f>"SOLDADOR ELETRICO 70W 220V"</f>
        <v>SOLDADOR ELETRICO 70W 220V</v>
      </c>
      <c r="C22333" s="2" t="str">
        <f t="shared" si="880"/>
        <v>UN</v>
      </c>
      <c r="D22333" s="7">
        <v>601</v>
      </c>
      <c r="E22333" s="3">
        <v>8</v>
      </c>
      <c r="F22333" s="3">
        <v>8</v>
      </c>
      <c r="G22333" t="s">
        <v>514</v>
      </c>
    </row>
    <row r="22334" spans="1:7" x14ac:dyDescent="0.25">
      <c r="A22334" s="1" t="str">
        <f>"518108"</f>
        <v>518108</v>
      </c>
      <c r="B22334" s="2" t="str">
        <f>"SOLDADOR INOX BRASKOP 5000"</f>
        <v>SOLDADOR INOX BRASKOP 5000</v>
      </c>
      <c r="C22334" s="2" t="str">
        <f t="shared" si="880"/>
        <v>UN</v>
      </c>
      <c r="D22334" s="7">
        <v>918</v>
      </c>
      <c r="E22334" s="3">
        <v>10</v>
      </c>
      <c r="F22334" s="3">
        <v>10</v>
      </c>
      <c r="G22334" t="s">
        <v>514</v>
      </c>
    </row>
    <row r="22335" spans="1:7" x14ac:dyDescent="0.25">
      <c r="A22335" s="1" t="str">
        <f>"515137"</f>
        <v>515137</v>
      </c>
      <c r="B22335" s="2" t="str">
        <f>"SOLEIRA CINZA CLARO"</f>
        <v>SOLEIRA CINZA CLARO</v>
      </c>
      <c r="C22335" s="2" t="str">
        <f t="shared" si="880"/>
        <v>UN</v>
      </c>
      <c r="D22335" s="7">
        <v>704</v>
      </c>
      <c r="E22335" s="3">
        <v>9</v>
      </c>
      <c r="F22335" s="3">
        <v>9</v>
      </c>
      <c r="G22335" t="s">
        <v>513</v>
      </c>
    </row>
    <row r="22336" spans="1:7" x14ac:dyDescent="0.25">
      <c r="A22336" s="1" t="str">
        <f>"509803"</f>
        <v>509803</v>
      </c>
      <c r="B22336" s="2" t="str">
        <f>"SOLENOIDE COD. 15023001 110VAC"</f>
        <v>SOLENOIDE COD. 15023001 110VAC</v>
      </c>
      <c r="C22336" s="2" t="str">
        <f t="shared" si="880"/>
        <v>UN</v>
      </c>
      <c r="D22336" s="7">
        <v>900</v>
      </c>
      <c r="E22336" s="3">
        <v>11</v>
      </c>
      <c r="F22336" s="3">
        <v>11</v>
      </c>
      <c r="G22336" t="s">
        <v>512</v>
      </c>
    </row>
    <row r="22337" spans="1:7" x14ac:dyDescent="0.25">
      <c r="A22337" s="1" t="str">
        <f>"511024"</f>
        <v>511024</v>
      </c>
      <c r="B22337" s="2" t="str">
        <f>"SOLENOIDE COMBUSTIVEL"</f>
        <v>SOLENOIDE COMBUSTIVEL</v>
      </c>
      <c r="C22337" s="2" t="str">
        <f t="shared" si="880"/>
        <v>UN</v>
      </c>
      <c r="D22337" s="7">
        <v>704</v>
      </c>
      <c r="E22337" s="3">
        <v>9</v>
      </c>
      <c r="F22337" s="3">
        <v>9</v>
      </c>
      <c r="G22337" t="s">
        <v>513</v>
      </c>
    </row>
    <row r="22338" spans="1:7" x14ac:dyDescent="0.25">
      <c r="A22338" s="1" t="str">
        <f>"511316"</f>
        <v>511316</v>
      </c>
      <c r="B22338" s="2" t="str">
        <f>"SOLENOIDE SISTEMA CORTE 12V - MITRI"</f>
        <v>SOLENOIDE SISTEMA CORTE 12V - MITRI</v>
      </c>
      <c r="C22338" s="2" t="str">
        <f t="shared" si="880"/>
        <v>UN</v>
      </c>
      <c r="D22338" s="7">
        <v>99999</v>
      </c>
      <c r="E22338" s="3">
        <v>99</v>
      </c>
      <c r="F22338" s="3">
        <v>99</v>
      </c>
      <c r="G22338" t="s">
        <v>514</v>
      </c>
    </row>
    <row r="22339" spans="1:7" x14ac:dyDescent="0.25">
      <c r="A22339" s="1" t="str">
        <f>"527757"</f>
        <v>527757</v>
      </c>
      <c r="B22339" s="2" t="str">
        <f>"SOLIDOS CONTAMINADOS"</f>
        <v>SOLIDOS CONTAMINADOS</v>
      </c>
      <c r="C22339" s="2" t="str">
        <f t="shared" si="880"/>
        <v>UN</v>
      </c>
      <c r="D22339" s="7">
        <v>99999</v>
      </c>
      <c r="E22339" s="3">
        <v>99</v>
      </c>
      <c r="F22339" s="3">
        <v>99</v>
      </c>
      <c r="G22339" t="s">
        <v>514</v>
      </c>
    </row>
    <row r="22340" spans="1:7" x14ac:dyDescent="0.25">
      <c r="A22340" s="1" t="str">
        <f>"523837"</f>
        <v>523837</v>
      </c>
      <c r="B22340" s="2" t="str">
        <f>"SOLUÇÃO 000 PZL (500ML)"</f>
        <v>SOLUÇÃO 000 PZL (500ML)</v>
      </c>
      <c r="C22340" s="2" t="str">
        <f t="shared" si="880"/>
        <v>UN</v>
      </c>
      <c r="D22340" s="7">
        <v>99999</v>
      </c>
      <c r="E22340" s="3">
        <v>99</v>
      </c>
      <c r="F22340" s="3">
        <v>99</v>
      </c>
      <c r="G22340" t="s">
        <v>514</v>
      </c>
    </row>
    <row r="22341" spans="1:7" x14ac:dyDescent="0.25">
      <c r="A22341" s="1" t="str">
        <f>"523838"</f>
        <v>523838</v>
      </c>
      <c r="B22341" s="2" t="str">
        <f>"SOLUÇÃO 530 PZL (500ML)"</f>
        <v>SOLUÇÃO 530 PZL (500ML)</v>
      </c>
      <c r="C22341" s="2" t="str">
        <f t="shared" si="880"/>
        <v>UN</v>
      </c>
      <c r="D22341" s="7">
        <v>99999</v>
      </c>
      <c r="E22341" s="3">
        <v>99</v>
      </c>
      <c r="F22341" s="3">
        <v>99</v>
      </c>
      <c r="G22341" t="s">
        <v>513</v>
      </c>
    </row>
    <row r="22342" spans="1:7" x14ac:dyDescent="0.25">
      <c r="A22342" s="1" t="str">
        <f>"523839"</f>
        <v>523839</v>
      </c>
      <c r="B22342" s="2" t="str">
        <f>"SOLUÇÃO 962 PZL (500ML)"</f>
        <v>SOLUÇÃO 962 PZL (500ML)</v>
      </c>
      <c r="C22342" s="2" t="str">
        <f t="shared" si="880"/>
        <v>UN</v>
      </c>
      <c r="D22342" s="7">
        <v>99999</v>
      </c>
      <c r="E22342" s="3">
        <v>99</v>
      </c>
      <c r="F22342" s="3">
        <v>99</v>
      </c>
      <c r="G22342" t="s">
        <v>513</v>
      </c>
    </row>
    <row r="22343" spans="1:7" x14ac:dyDescent="0.25">
      <c r="A22343" s="1" t="str">
        <f>"6385"</f>
        <v>6385</v>
      </c>
      <c r="B22343" s="2" t="str">
        <f>"SOLUCAO ANTICONGELANTE AC 0603 500ML ITR"</f>
        <v>SOLUCAO ANTICONGELANTE AC 0603 500ML ITR</v>
      </c>
      <c r="C22343" s="2" t="str">
        <f t="shared" si="880"/>
        <v>UN</v>
      </c>
      <c r="D22343" s="7">
        <v>303</v>
      </c>
      <c r="E22343" s="3">
        <v>3</v>
      </c>
      <c r="F22343" s="3">
        <v>3</v>
      </c>
      <c r="G22343" t="s">
        <v>513</v>
      </c>
    </row>
    <row r="22344" spans="1:7" x14ac:dyDescent="0.25">
      <c r="A22344" s="1" t="str">
        <f>"523836"</f>
        <v>523836</v>
      </c>
      <c r="B22344" s="2" t="str">
        <f>"SOLUÇÃO BANHO ANTICONGELANTE PZL (1000ML)"</f>
        <v>SOLUÇÃO BANHO ANTICONGELANTE PZL (1000ML)</v>
      </c>
      <c r="C22344" s="2" t="str">
        <f t="shared" si="880"/>
        <v>UN</v>
      </c>
      <c r="D22344" s="7">
        <v>99999</v>
      </c>
      <c r="E22344" s="3">
        <v>99</v>
      </c>
      <c r="F22344" s="3">
        <v>99</v>
      </c>
      <c r="G22344" t="s">
        <v>512</v>
      </c>
    </row>
    <row r="22345" spans="1:7" x14ac:dyDescent="0.25">
      <c r="A22345" s="1" t="str">
        <f>"6383"</f>
        <v>6383</v>
      </c>
      <c r="B22345" s="2" t="str">
        <f>"SOLUCAO CALIBRACAO 0,000 A 200ML ITR"</f>
        <v>SOLUCAO CALIBRACAO 0,000 A 200ML ITR</v>
      </c>
      <c r="C22345" s="2" t="str">
        <f t="shared" si="880"/>
        <v>UN</v>
      </c>
      <c r="D22345" s="7">
        <v>303</v>
      </c>
      <c r="E22345" s="3">
        <v>3</v>
      </c>
      <c r="F22345" s="3">
        <v>3</v>
      </c>
      <c r="G22345" t="s">
        <v>513</v>
      </c>
    </row>
    <row r="22346" spans="1:7" x14ac:dyDescent="0.25">
      <c r="A22346" s="1" t="str">
        <f>"6384"</f>
        <v>6384</v>
      </c>
      <c r="B22346" s="2" t="str">
        <f>"SOLUCAO CALIBRACAO 0,621 B 200ML ITR"</f>
        <v>SOLUCAO CALIBRACAO 0,621 B 200ML ITR</v>
      </c>
      <c r="C22346" s="2" t="str">
        <f t="shared" si="880"/>
        <v>UN</v>
      </c>
      <c r="D22346" s="7">
        <v>303</v>
      </c>
      <c r="E22346" s="3">
        <v>3</v>
      </c>
      <c r="F22346" s="3">
        <v>3</v>
      </c>
      <c r="G22346" t="s">
        <v>514</v>
      </c>
    </row>
    <row r="22347" spans="1:7" x14ac:dyDescent="0.25">
      <c r="A22347" s="1" t="str">
        <f>"523054"</f>
        <v>523054</v>
      </c>
      <c r="B22347" s="2" t="str">
        <f>"SOLUCAO CONDUTIVIDADE P/ EKOMILK TOTAL (500 ML)"</f>
        <v>SOLUCAO CONDUTIVIDADE P/ EKOMILK TOTAL (500 ML)</v>
      </c>
      <c r="C22347" s="2" t="str">
        <f t="shared" si="880"/>
        <v>UN</v>
      </c>
      <c r="D22347" s="7">
        <v>406</v>
      </c>
      <c r="E22347" s="3">
        <v>4</v>
      </c>
      <c r="F22347" s="3">
        <v>4</v>
      </c>
      <c r="G22347" t="s">
        <v>515</v>
      </c>
    </row>
    <row r="22348" spans="1:7" x14ac:dyDescent="0.25">
      <c r="A22348" s="1" t="str">
        <f>"528131"</f>
        <v>528131</v>
      </c>
      <c r="B22348" s="2" t="str">
        <f>"SOLUCAO DE AMIDO 1%"</f>
        <v>SOLUCAO DE AMIDO 1%</v>
      </c>
      <c r="C22348" s="2" t="str">
        <f t="shared" si="880"/>
        <v>UN</v>
      </c>
      <c r="D22348" s="7">
        <v>406</v>
      </c>
      <c r="E22348" s="3">
        <v>4</v>
      </c>
      <c r="F22348" s="3">
        <v>4</v>
      </c>
      <c r="G22348" t="s">
        <v>512</v>
      </c>
    </row>
    <row r="22349" spans="1:7" x14ac:dyDescent="0.25">
      <c r="A22349" s="1" t="str">
        <f>"513879"</f>
        <v>513879</v>
      </c>
      <c r="B22349" s="2" t="str">
        <f>"SOLUCAO DORNIC"</f>
        <v>SOLUCAO DORNIC</v>
      </c>
      <c r="C22349" s="2" t="str">
        <f t="shared" si="880"/>
        <v>UN</v>
      </c>
      <c r="D22349" s="7">
        <v>406</v>
      </c>
      <c r="E22349" s="3">
        <v>4</v>
      </c>
      <c r="F22349" s="3">
        <v>4</v>
      </c>
      <c r="G22349" t="s">
        <v>516</v>
      </c>
    </row>
    <row r="22350" spans="1:7" x14ac:dyDescent="0.25">
      <c r="A22350" s="1" t="str">
        <f>"521222"</f>
        <v>521222</v>
      </c>
      <c r="B22350" s="2" t="str">
        <f>"SOLUÇÃO ELETROLITICA HI 7041S 230ML"</f>
        <v>SOLUÇÃO ELETROLITICA HI 7041S 230ML</v>
      </c>
      <c r="C22350" s="2" t="str">
        <f t="shared" si="880"/>
        <v>UN</v>
      </c>
      <c r="D22350" s="7">
        <v>406</v>
      </c>
      <c r="E22350" s="3">
        <v>4</v>
      </c>
      <c r="F22350" s="3">
        <v>4</v>
      </c>
      <c r="G22350" t="s">
        <v>515</v>
      </c>
    </row>
    <row r="22351" spans="1:7" x14ac:dyDescent="0.25">
      <c r="A22351" s="1" t="str">
        <f>"521738"</f>
        <v>521738</v>
      </c>
      <c r="B22351" s="2" t="str">
        <f>"SOLUÇÃO EQUALIZAÇÃO ESPECTROFOTOMETRO FT2 6 GARR. 60052956"</f>
        <v>SOLUÇÃO EQUALIZAÇÃO ESPECTROFOTOMETRO FT2 6 GARR. 60052956</v>
      </c>
      <c r="C22351" s="2" t="str">
        <f t="shared" si="880"/>
        <v>UN</v>
      </c>
      <c r="D22351" s="7">
        <v>1300</v>
      </c>
      <c r="E22351" s="3">
        <v>13</v>
      </c>
      <c r="F22351" s="3">
        <v>13</v>
      </c>
      <c r="G22351" t="s">
        <v>514</v>
      </c>
    </row>
    <row r="22352" spans="1:7" x14ac:dyDescent="0.25">
      <c r="A22352" s="1" t="str">
        <f>"514642"</f>
        <v>514642</v>
      </c>
      <c r="B22352" s="2" t="str">
        <f>"SOLUCAO FISIOLOGICA"</f>
        <v>SOLUCAO FISIOLOGICA</v>
      </c>
      <c r="C22352" s="2" t="str">
        <f t="shared" si="880"/>
        <v>UN</v>
      </c>
      <c r="D22352" s="7">
        <v>406</v>
      </c>
      <c r="E22352" s="3">
        <v>4</v>
      </c>
      <c r="F22352" s="3">
        <v>4</v>
      </c>
      <c r="G22352" t="s">
        <v>512</v>
      </c>
    </row>
    <row r="22353" spans="1:7" x14ac:dyDescent="0.25">
      <c r="A22353" s="1" t="str">
        <f>"862"</f>
        <v>862</v>
      </c>
      <c r="B22353" s="2" t="str">
        <f>"SOLUCAO LIMPEZA CIJ MEK 201BRA1702-WILLET"</f>
        <v>SOLUCAO LIMPEZA CIJ MEK 201BRA1702-WILLET</v>
      </c>
      <c r="C22353" s="2" t="str">
        <f>"LT"</f>
        <v>LT</v>
      </c>
      <c r="D22353" s="7">
        <v>305</v>
      </c>
      <c r="E22353" s="3">
        <v>3</v>
      </c>
      <c r="F22353" s="3">
        <v>3</v>
      </c>
      <c r="G22353" t="s">
        <v>513</v>
      </c>
    </row>
    <row r="22354" spans="1:7" x14ac:dyDescent="0.25">
      <c r="A22354" s="1" t="str">
        <f>"520819"</f>
        <v>520819</v>
      </c>
      <c r="B22354" s="2" t="str">
        <f>"SOLUÇÃO LIMPEZA DE ELETRODO 500ML"</f>
        <v>SOLUÇÃO LIMPEZA DE ELETRODO 500ML</v>
      </c>
      <c r="C22354" s="2" t="str">
        <f>"LT"</f>
        <v>LT</v>
      </c>
      <c r="D22354" s="7">
        <v>400</v>
      </c>
      <c r="E22354" s="3">
        <v>4</v>
      </c>
      <c r="F22354" s="3">
        <v>4</v>
      </c>
      <c r="G22354" t="s">
        <v>514</v>
      </c>
    </row>
    <row r="22355" spans="1:7" x14ac:dyDescent="0.25">
      <c r="A22355" s="1" t="str">
        <f>"515917"</f>
        <v>515917</v>
      </c>
      <c r="B22355" s="2" t="str">
        <f>"SOLUÇÃO LIMPEZA V901Q-WILLET"</f>
        <v>SOLUÇÃO LIMPEZA V901Q-WILLET</v>
      </c>
      <c r="C22355" s="2" t="str">
        <f>"LT"</f>
        <v>LT</v>
      </c>
      <c r="D22355" s="7">
        <v>305</v>
      </c>
      <c r="E22355" s="3">
        <v>3</v>
      </c>
      <c r="F22355" s="3">
        <v>3</v>
      </c>
      <c r="G22355" t="s">
        <v>514</v>
      </c>
    </row>
    <row r="22356" spans="1:7" x14ac:dyDescent="0.25">
      <c r="A22356" s="1" t="str">
        <f>"527152"</f>
        <v>527152</v>
      </c>
      <c r="B22356" s="2" t="str">
        <f>"SOLUÇÃO PEPSINA LIPEZA ELETRODOS PH (250ML) AKSO"</f>
        <v>SOLUÇÃO PEPSINA LIPEZA ELETRODOS PH (250ML) AKSO</v>
      </c>
      <c r="C22356" s="2" t="str">
        <f>"UN"</f>
        <v>UN</v>
      </c>
      <c r="D22356" s="7">
        <v>99999</v>
      </c>
      <c r="E22356" s="3">
        <v>99</v>
      </c>
      <c r="F22356" s="3">
        <v>99</v>
      </c>
      <c r="G22356" t="s">
        <v>512</v>
      </c>
    </row>
    <row r="22357" spans="1:7" x14ac:dyDescent="0.25">
      <c r="A22357" s="1" t="str">
        <f>"527150"</f>
        <v>527150</v>
      </c>
      <c r="B22357" s="2" t="str">
        <f>"SOLUÇÃO PH 10 (250ML) AKSO"</f>
        <v>SOLUÇÃO PH 10 (250ML) AKSO</v>
      </c>
      <c r="C22357" s="2" t="str">
        <f>"UN"</f>
        <v>UN</v>
      </c>
      <c r="D22357" s="7">
        <v>99999</v>
      </c>
      <c r="E22357" s="3">
        <v>99</v>
      </c>
      <c r="F22357" s="3">
        <v>99</v>
      </c>
      <c r="G22357" t="s">
        <v>513</v>
      </c>
    </row>
    <row r="22358" spans="1:7" x14ac:dyDescent="0.25">
      <c r="A22358" s="1" t="str">
        <f>"527149"</f>
        <v>527149</v>
      </c>
      <c r="B22358" s="2" t="str">
        <f>"SOLUÇÃO PH 4 (250ML) AKSO"</f>
        <v>SOLUÇÃO PH 4 (250ML) AKSO</v>
      </c>
      <c r="C22358" s="2" t="str">
        <f>"UN"</f>
        <v>UN</v>
      </c>
      <c r="D22358" s="7">
        <v>99999</v>
      </c>
      <c r="E22358" s="3">
        <v>99</v>
      </c>
      <c r="F22358" s="3">
        <v>99</v>
      </c>
      <c r="G22358" t="s">
        <v>514</v>
      </c>
    </row>
    <row r="22359" spans="1:7" x14ac:dyDescent="0.25">
      <c r="A22359" s="1" t="str">
        <f>"527151"</f>
        <v>527151</v>
      </c>
      <c r="B22359" s="2" t="str">
        <f>"SOLUÇÃO PH 7 (250ML) AKSO"</f>
        <v>SOLUÇÃO PH 7 (250ML) AKSO</v>
      </c>
      <c r="C22359" s="2" t="str">
        <f>"UN"</f>
        <v>UN</v>
      </c>
      <c r="D22359" s="7">
        <v>99999</v>
      </c>
      <c r="E22359" s="3">
        <v>99</v>
      </c>
      <c r="F22359" s="3">
        <v>99</v>
      </c>
      <c r="G22359" t="s">
        <v>514</v>
      </c>
    </row>
    <row r="22360" spans="1:7" x14ac:dyDescent="0.25">
      <c r="A22360" s="1" t="str">
        <f>"6062"</f>
        <v>6062</v>
      </c>
      <c r="B22360" s="2" t="str">
        <f>"SOLUCAO SULFOCROMICA - DINAMICA"</f>
        <v>SOLUCAO SULFOCROMICA - DINAMICA</v>
      </c>
      <c r="C22360" s="2" t="str">
        <f>"LT"</f>
        <v>LT</v>
      </c>
      <c r="D22360" s="7">
        <v>406</v>
      </c>
      <c r="E22360" s="3">
        <v>4</v>
      </c>
      <c r="F22360" s="3">
        <v>4</v>
      </c>
      <c r="G22360" t="s">
        <v>514</v>
      </c>
    </row>
    <row r="22361" spans="1:7" x14ac:dyDescent="0.25">
      <c r="A22361" s="1" t="str">
        <f>"522456"</f>
        <v>522456</v>
      </c>
      <c r="B22361" s="2" t="str">
        <f>"SOLUÇAO TAMPAO PH 10.00"</f>
        <v>SOLUÇAO TAMPAO PH 10.00</v>
      </c>
      <c r="C22361" s="2" t="str">
        <f>"LT"</f>
        <v>LT</v>
      </c>
      <c r="D22361" s="7">
        <v>400</v>
      </c>
      <c r="E22361" s="3">
        <v>4</v>
      </c>
      <c r="F22361" s="3">
        <v>4</v>
      </c>
      <c r="G22361" t="s">
        <v>513</v>
      </c>
    </row>
    <row r="22362" spans="1:7" x14ac:dyDescent="0.25">
      <c r="A22362" s="1" t="str">
        <f>"510785"</f>
        <v>510785</v>
      </c>
      <c r="B22362" s="2" t="str">
        <f>"SOLUÇAO TAMPAO PH 4.00"</f>
        <v>SOLUÇAO TAMPAO PH 4.00</v>
      </c>
      <c r="C22362" s="2" t="str">
        <f>"LT"</f>
        <v>LT</v>
      </c>
      <c r="D22362" s="7">
        <v>400</v>
      </c>
      <c r="E22362" s="3">
        <v>4</v>
      </c>
      <c r="F22362" s="3">
        <v>4</v>
      </c>
      <c r="G22362" t="s">
        <v>512</v>
      </c>
    </row>
    <row r="22363" spans="1:7" x14ac:dyDescent="0.25">
      <c r="A22363" s="1" t="str">
        <f>"510786"</f>
        <v>510786</v>
      </c>
      <c r="B22363" s="2" t="str">
        <f>"SOLUÇAO TAMPAO PH 7.00"</f>
        <v>SOLUÇAO TAMPAO PH 7.00</v>
      </c>
      <c r="C22363" s="2" t="str">
        <f>"LT"</f>
        <v>LT</v>
      </c>
      <c r="D22363" s="7">
        <v>400</v>
      </c>
      <c r="E22363" s="3">
        <v>4</v>
      </c>
      <c r="F22363" s="3">
        <v>4</v>
      </c>
      <c r="G22363" t="s">
        <v>513</v>
      </c>
    </row>
    <row r="22364" spans="1:7" x14ac:dyDescent="0.25">
      <c r="A22364" s="1" t="str">
        <f>"513908"</f>
        <v>513908</v>
      </c>
      <c r="B22364" s="2" t="str">
        <f>"SOLUPAN"</f>
        <v>SOLUPAN</v>
      </c>
      <c r="C22364" s="2" t="str">
        <f>"UN"</f>
        <v>UN</v>
      </c>
      <c r="D22364" s="7">
        <v>99999</v>
      </c>
      <c r="E22364" s="3">
        <v>99</v>
      </c>
      <c r="F22364" s="3">
        <v>99</v>
      </c>
      <c r="G22364" t="s">
        <v>514</v>
      </c>
    </row>
    <row r="22365" spans="1:7" x14ac:dyDescent="0.25">
      <c r="A22365" s="1" t="str">
        <f>"515566"</f>
        <v>515566</v>
      </c>
      <c r="B22365" s="2" t="str">
        <f>"SOLUTION 05 L - GEA"</f>
        <v>SOLUTION 05 L - GEA</v>
      </c>
      <c r="C22365" s="2" t="str">
        <f>"LT"</f>
        <v>LT</v>
      </c>
      <c r="D22365" s="7">
        <v>407</v>
      </c>
      <c r="E22365" s="3">
        <v>4</v>
      </c>
      <c r="F22365" s="3">
        <v>4</v>
      </c>
      <c r="G22365" t="s">
        <v>514</v>
      </c>
    </row>
    <row r="22366" spans="1:7" x14ac:dyDescent="0.25">
      <c r="A22366" s="1" t="str">
        <f>"505906"</f>
        <v>505906</v>
      </c>
      <c r="B22366" s="2" t="str">
        <f>"SOLVENTE 198L"</f>
        <v>SOLVENTE 198L</v>
      </c>
      <c r="C22366" s="2" t="str">
        <f>"UN"</f>
        <v>UN</v>
      </c>
      <c r="D22366" s="7">
        <v>804</v>
      </c>
      <c r="E22366" s="3">
        <v>10</v>
      </c>
      <c r="F22366" s="3">
        <v>10</v>
      </c>
      <c r="G22366" t="s">
        <v>514</v>
      </c>
    </row>
    <row r="22367" spans="1:7" x14ac:dyDescent="0.25">
      <c r="A22367" s="1" t="str">
        <f>"510802"</f>
        <v>510802</v>
      </c>
      <c r="B22367" s="2" t="str">
        <f>"SOLVENTE COLORSEAL"</f>
        <v>SOLVENTE COLORSEAL</v>
      </c>
      <c r="C22367" s="2" t="str">
        <f>"UN"</f>
        <v>UN</v>
      </c>
      <c r="D22367" s="7">
        <v>804</v>
      </c>
      <c r="E22367" s="3">
        <v>10</v>
      </c>
      <c r="F22367" s="3">
        <v>10</v>
      </c>
      <c r="G22367" t="s">
        <v>513</v>
      </c>
    </row>
    <row r="22368" spans="1:7" x14ac:dyDescent="0.25">
      <c r="A22368" s="1" t="str">
        <f>"2512"</f>
        <v>2512</v>
      </c>
      <c r="B22368" s="2" t="str">
        <f>"SOLVENTE M.S.MAC (MAKPLAN SISTMARC"</f>
        <v>SOLVENTE M.S.MAC (MAKPLAN SISTMARC</v>
      </c>
      <c r="C22368" s="2" t="str">
        <f>"UN"</f>
        <v>UN</v>
      </c>
      <c r="D22368" s="7">
        <v>408</v>
      </c>
      <c r="E22368" s="3">
        <v>4</v>
      </c>
      <c r="F22368" s="3">
        <v>4</v>
      </c>
      <c r="G22368" t="s">
        <v>513</v>
      </c>
    </row>
    <row r="22369" spans="1:7" x14ac:dyDescent="0.25">
      <c r="A22369" s="1" t="str">
        <f>"181"</f>
        <v>181</v>
      </c>
      <c r="B22369" s="2" t="str">
        <f>"SOLVENTE P/ INK-JET - COD. 16-8535Q"</f>
        <v>SOLVENTE P/ INK-JET - COD. 16-8535Q</v>
      </c>
      <c r="C22369" s="2" t="str">
        <f>"LT"</f>
        <v>LT</v>
      </c>
      <c r="D22369" s="7">
        <v>305</v>
      </c>
      <c r="E22369" s="3">
        <v>3</v>
      </c>
      <c r="F22369" s="3">
        <v>3</v>
      </c>
      <c r="G22369" t="s">
        <v>513</v>
      </c>
    </row>
    <row r="22370" spans="1:7" x14ac:dyDescent="0.25">
      <c r="A22370" s="1" t="str">
        <f>"775"</f>
        <v>775</v>
      </c>
      <c r="B22370" s="2" t="str">
        <f>"SOLVENTE P/ WILLIT-JET 201-BRA1 (401)"</f>
        <v>SOLVENTE P/ WILLIT-JET 201-BRA1 (401)</v>
      </c>
      <c r="C22370" s="2" t="str">
        <f>"LT"</f>
        <v>LT</v>
      </c>
      <c r="D22370" s="7">
        <v>305</v>
      </c>
      <c r="E22370" s="3">
        <v>3</v>
      </c>
      <c r="F22370" s="3">
        <v>3</v>
      </c>
      <c r="G22370" t="s">
        <v>512</v>
      </c>
    </row>
    <row r="22371" spans="1:7" x14ac:dyDescent="0.25">
      <c r="A22371" s="1" t="str">
        <f>"524534"</f>
        <v>524534</v>
      </c>
      <c r="B22371" s="2" t="str">
        <f>"SOLVENTE PARA EPOXI 18 LITROS"</f>
        <v>SOLVENTE PARA EPOXI 18 LITROS</v>
      </c>
      <c r="C22371" s="2" t="str">
        <f t="shared" ref="C22371:C22410" si="881">"UN"</f>
        <v>UN</v>
      </c>
      <c r="D22371" s="7">
        <v>917</v>
      </c>
      <c r="E22371" s="3">
        <v>4</v>
      </c>
      <c r="F22371" s="3">
        <v>4</v>
      </c>
      <c r="G22371" t="s">
        <v>513</v>
      </c>
    </row>
    <row r="22372" spans="1:7" x14ac:dyDescent="0.25">
      <c r="A22372" s="1" t="str">
        <f>"527807"</f>
        <v>527807</v>
      </c>
      <c r="B22372" s="2" t="str">
        <f>"SONDA"</f>
        <v>SONDA</v>
      </c>
      <c r="C22372" s="2" t="str">
        <f t="shared" si="881"/>
        <v>UN</v>
      </c>
      <c r="D22372" s="7">
        <v>704</v>
      </c>
      <c r="E22372" s="3">
        <v>9</v>
      </c>
      <c r="F22372" s="3">
        <v>9</v>
      </c>
      <c r="G22372" t="s">
        <v>514</v>
      </c>
    </row>
    <row r="22373" spans="1:7" x14ac:dyDescent="0.25">
      <c r="A22373" s="1" t="str">
        <f>"523554"</f>
        <v>523554</v>
      </c>
      <c r="B22373" s="2" t="str">
        <f>"SONDA DE OXIGENIO DISSOLVIDO HI9146 CABO DE 4M HI76407/4F"</f>
        <v>SONDA DE OXIGENIO DISSOLVIDO HI9146 CABO DE 4M HI76407/4F</v>
      </c>
      <c r="C22373" s="2" t="str">
        <f t="shared" si="881"/>
        <v>UN</v>
      </c>
      <c r="D22373" s="7">
        <v>811</v>
      </c>
      <c r="E22373" s="3">
        <v>8</v>
      </c>
      <c r="F22373" s="3">
        <v>8</v>
      </c>
      <c r="G22373" t="s">
        <v>515</v>
      </c>
    </row>
    <row r="22374" spans="1:7" x14ac:dyDescent="0.25">
      <c r="A22374" s="1" t="str">
        <f>"524603"</f>
        <v>524603</v>
      </c>
      <c r="B22374" s="8" t="s">
        <v>380</v>
      </c>
      <c r="C22374" s="2" t="str">
        <f t="shared" si="881"/>
        <v>UN</v>
      </c>
      <c r="D22374" s="7">
        <v>406</v>
      </c>
      <c r="E22374" s="3">
        <v>13</v>
      </c>
      <c r="F22374" s="3">
        <v>13</v>
      </c>
      <c r="G22374" t="s">
        <v>512</v>
      </c>
    </row>
    <row r="22375" spans="1:7" x14ac:dyDescent="0.25">
      <c r="A22375" s="1" t="str">
        <f>"517206"</f>
        <v>517206</v>
      </c>
      <c r="B22375" s="2" t="str">
        <f>"SONDA MEDIÇÃO CAPACITIVA SC404 6TRTL950N17 1 1/2""TC"</f>
        <v>SONDA MEDIÇÃO CAPACITIVA SC404 6TRTL950N17 1 1/2"TC</v>
      </c>
      <c r="C22375" s="2" t="str">
        <f t="shared" si="881"/>
        <v>UN</v>
      </c>
      <c r="D22375" s="7">
        <v>811</v>
      </c>
      <c r="E22375" s="3">
        <v>8</v>
      </c>
      <c r="F22375" s="3">
        <v>8</v>
      </c>
      <c r="G22375" t="s">
        <v>516</v>
      </c>
    </row>
    <row r="22376" spans="1:7" x14ac:dyDescent="0.25">
      <c r="A22376" s="1" t="str">
        <f>"526917"</f>
        <v>526917</v>
      </c>
      <c r="B22376" s="2" t="str">
        <f>"SONDA SENSOR FULL GAUGE 2MT C27062"</f>
        <v>SONDA SENSOR FULL GAUGE 2MT C27062</v>
      </c>
      <c r="C22376" s="2" t="str">
        <f t="shared" si="881"/>
        <v>UN</v>
      </c>
      <c r="D22376" s="7">
        <v>811</v>
      </c>
      <c r="E22376" s="3">
        <v>8</v>
      </c>
      <c r="F22376" s="3">
        <v>8</v>
      </c>
      <c r="G22376" t="s">
        <v>515</v>
      </c>
    </row>
    <row r="22377" spans="1:7" x14ac:dyDescent="0.25">
      <c r="A22377" s="1" t="str">
        <f>"509447"</f>
        <v>509447</v>
      </c>
      <c r="B22377" s="2" t="str">
        <f>"SONDA TEMPERATURA NTC"</f>
        <v>SONDA TEMPERATURA NTC</v>
      </c>
      <c r="C22377" s="2" t="str">
        <f t="shared" si="881"/>
        <v>UN</v>
      </c>
      <c r="D22377" s="7">
        <v>402</v>
      </c>
      <c r="E22377" s="3">
        <v>4</v>
      </c>
      <c r="F22377" s="3">
        <v>4</v>
      </c>
      <c r="G22377" t="s">
        <v>514</v>
      </c>
    </row>
    <row r="22378" spans="1:7" x14ac:dyDescent="0.25">
      <c r="A22378" s="1" t="str">
        <f>"523170"</f>
        <v>523170</v>
      </c>
      <c r="B22378" s="2" t="str">
        <f>"SONDA TIPO PT100 PARA P700, ALTA TEMP.-200. +650ºC 6000-1079"</f>
        <v>SONDA TIPO PT100 PARA P700, ALTA TEMP.-200. +650ºC 6000-1079</v>
      </c>
      <c r="C22378" s="2" t="str">
        <f t="shared" si="881"/>
        <v>UN</v>
      </c>
      <c r="D22378" s="7">
        <v>1500</v>
      </c>
      <c r="E22378" s="3">
        <v>10</v>
      </c>
      <c r="F22378" s="3">
        <v>10</v>
      </c>
      <c r="G22378" t="s">
        <v>512</v>
      </c>
    </row>
    <row r="22379" spans="1:7" x14ac:dyDescent="0.25">
      <c r="A22379" s="1" t="str">
        <f>"526013"</f>
        <v>526013</v>
      </c>
      <c r="B22379" s="2" t="str">
        <f>"SOPRADOR OMEGA 53P EB 421C C/ ACESSORIOS"</f>
        <v>SOPRADOR OMEGA 53P EB 421C C/ ACESSORIOS</v>
      </c>
      <c r="C22379" s="2" t="str">
        <f t="shared" si="881"/>
        <v>UN</v>
      </c>
      <c r="D22379" s="7">
        <v>1300</v>
      </c>
      <c r="E22379" s="3">
        <v>10</v>
      </c>
      <c r="F22379" s="3">
        <v>10</v>
      </c>
      <c r="G22379" t="s">
        <v>513</v>
      </c>
    </row>
    <row r="22380" spans="1:7" x14ac:dyDescent="0.25">
      <c r="A22380" s="1" t="str">
        <f>"518743"</f>
        <v>518743</v>
      </c>
      <c r="B22380" s="2" t="str">
        <f>"SOPRADOR TERMICO  MAKITA 1500W HG5012 220V"</f>
        <v>SOPRADOR TERMICO  MAKITA 1500W HG5012 220V</v>
      </c>
      <c r="C22380" s="2" t="str">
        <f t="shared" si="881"/>
        <v>UN</v>
      </c>
      <c r="D22380" s="7">
        <v>1500</v>
      </c>
      <c r="E22380" s="3">
        <v>4</v>
      </c>
      <c r="F22380" s="3">
        <v>4</v>
      </c>
      <c r="G22380" t="s">
        <v>514</v>
      </c>
    </row>
    <row r="22381" spans="1:7" x14ac:dyDescent="0.25">
      <c r="A22381" s="1" t="str">
        <f>"517361"</f>
        <v>517361</v>
      </c>
      <c r="B22381" s="2" t="str">
        <f>"SOPRADOR TERMICO 8003 1800W 220V"</f>
        <v>SOPRADOR TERMICO 8003 1800W 220V</v>
      </c>
      <c r="C22381" s="2" t="str">
        <f t="shared" si="881"/>
        <v>UN</v>
      </c>
      <c r="D22381" s="7">
        <v>1500</v>
      </c>
      <c r="E22381" s="3">
        <v>4</v>
      </c>
      <c r="F22381" s="3">
        <v>4</v>
      </c>
      <c r="G22381" t="s">
        <v>514</v>
      </c>
    </row>
    <row r="22382" spans="1:7" x14ac:dyDescent="0.25">
      <c r="A22382" s="1" t="str">
        <f>"528121"</f>
        <v>528121</v>
      </c>
      <c r="B22382" s="2" t="str">
        <f>"SOPRADORA JBL PET 850/800 GRS"</f>
        <v>SOPRADORA JBL PET 850/800 GRS</v>
      </c>
      <c r="C22382" s="2" t="str">
        <f t="shared" si="881"/>
        <v>UN</v>
      </c>
      <c r="D22382" s="7">
        <v>817</v>
      </c>
      <c r="E22382" s="3">
        <v>13</v>
      </c>
      <c r="F22382" s="3">
        <v>13</v>
      </c>
      <c r="G22382" t="s">
        <v>512</v>
      </c>
    </row>
    <row r="22383" spans="1:7" x14ac:dyDescent="0.25">
      <c r="A22383" s="1" t="str">
        <f>"528120"</f>
        <v>528120</v>
      </c>
      <c r="B22383" s="2" t="str">
        <f>"SOPRADORA MULTIPET ESA3000 1250GRS"</f>
        <v>SOPRADORA MULTIPET ESA3000 1250GRS</v>
      </c>
      <c r="C22383" s="2" t="str">
        <f t="shared" si="881"/>
        <v>UN</v>
      </c>
      <c r="D22383" s="7">
        <v>817</v>
      </c>
      <c r="E22383" s="3">
        <v>13</v>
      </c>
      <c r="F22383" s="3">
        <v>13</v>
      </c>
      <c r="G22383" t="s">
        <v>513</v>
      </c>
    </row>
    <row r="22384" spans="1:7" x14ac:dyDescent="0.25">
      <c r="A22384" s="1" t="str">
        <f>"505039"</f>
        <v>505039</v>
      </c>
      <c r="B22384" s="2" t="str">
        <f>"SOQUETE"</f>
        <v>SOQUETE</v>
      </c>
      <c r="C22384" s="2" t="str">
        <f t="shared" si="881"/>
        <v>UN</v>
      </c>
      <c r="D22384" s="7">
        <v>402</v>
      </c>
      <c r="E22384" s="3">
        <v>4</v>
      </c>
      <c r="F22384" s="3">
        <v>4</v>
      </c>
      <c r="G22384" t="s">
        <v>514</v>
      </c>
    </row>
    <row r="22385" spans="1:7" x14ac:dyDescent="0.25">
      <c r="A22385" s="1" t="str">
        <f>"519468"</f>
        <v>519468</v>
      </c>
      <c r="B22385" s="2" t="str">
        <f>"SOQUETE 10MM"</f>
        <v>SOQUETE 10MM</v>
      </c>
      <c r="C22385" s="2" t="str">
        <f t="shared" si="881"/>
        <v>UN</v>
      </c>
      <c r="D22385" s="7">
        <v>99999</v>
      </c>
      <c r="E22385" s="3">
        <v>99</v>
      </c>
      <c r="F22385" s="3">
        <v>99</v>
      </c>
      <c r="G22385" t="s">
        <v>514</v>
      </c>
    </row>
    <row r="22386" spans="1:7" x14ac:dyDescent="0.25">
      <c r="A22386" s="1" t="str">
        <f>"519469"</f>
        <v>519469</v>
      </c>
      <c r="B22386" s="2" t="str">
        <f>"SOQUETE 13MM"</f>
        <v>SOQUETE 13MM</v>
      </c>
      <c r="C22386" s="2" t="str">
        <f t="shared" si="881"/>
        <v>UN</v>
      </c>
      <c r="D22386" s="7">
        <v>99999</v>
      </c>
      <c r="E22386" s="3">
        <v>99</v>
      </c>
      <c r="F22386" s="3">
        <v>99</v>
      </c>
      <c r="G22386" t="s">
        <v>514</v>
      </c>
    </row>
    <row r="22387" spans="1:7" x14ac:dyDescent="0.25">
      <c r="A22387" s="1" t="str">
        <f>"519470"</f>
        <v>519470</v>
      </c>
      <c r="B22387" s="2" t="str">
        <f>"SOQUETE 14MM"</f>
        <v>SOQUETE 14MM</v>
      </c>
      <c r="C22387" s="2" t="str">
        <f t="shared" si="881"/>
        <v>UN</v>
      </c>
      <c r="D22387" s="7">
        <v>99999</v>
      </c>
      <c r="E22387" s="3">
        <v>99</v>
      </c>
      <c r="F22387" s="3">
        <v>99</v>
      </c>
      <c r="G22387" t="s">
        <v>513</v>
      </c>
    </row>
    <row r="22388" spans="1:7" x14ac:dyDescent="0.25">
      <c r="A22388" s="1" t="str">
        <f>"519471"</f>
        <v>519471</v>
      </c>
      <c r="B22388" s="2" t="str">
        <f>"SOQUETE 19MM"</f>
        <v>SOQUETE 19MM</v>
      </c>
      <c r="C22388" s="2" t="str">
        <f t="shared" si="881"/>
        <v>UN</v>
      </c>
      <c r="D22388" s="7">
        <v>99999</v>
      </c>
      <c r="E22388" s="3">
        <v>99</v>
      </c>
      <c r="F22388" s="3">
        <v>99</v>
      </c>
      <c r="G22388" t="s">
        <v>512</v>
      </c>
    </row>
    <row r="22389" spans="1:7" x14ac:dyDescent="0.25">
      <c r="A22389" s="1" t="str">
        <f>"519472"</f>
        <v>519472</v>
      </c>
      <c r="B22389" s="2" t="str">
        <f>"SOQUETE 24MM"</f>
        <v>SOQUETE 24MM</v>
      </c>
      <c r="C22389" s="2" t="str">
        <f t="shared" si="881"/>
        <v>UN</v>
      </c>
      <c r="D22389" s="7">
        <v>99999</v>
      </c>
      <c r="E22389" s="3">
        <v>99</v>
      </c>
      <c r="F22389" s="3">
        <v>99</v>
      </c>
      <c r="G22389" t="s">
        <v>513</v>
      </c>
    </row>
    <row r="22390" spans="1:7" x14ac:dyDescent="0.25">
      <c r="A22390" s="1" t="str">
        <f>"514213"</f>
        <v>514213</v>
      </c>
      <c r="B22390" s="2" t="str">
        <f>"SOQUETE CANHO MAGNETICO 3/8"</f>
        <v>SOQUETE CANHO MAGNETICO 3/8</v>
      </c>
      <c r="C22390" s="2" t="str">
        <f t="shared" si="881"/>
        <v>UN</v>
      </c>
      <c r="D22390" s="7">
        <v>817</v>
      </c>
      <c r="E22390" s="3">
        <v>13</v>
      </c>
      <c r="F22390" s="3">
        <v>13</v>
      </c>
      <c r="G22390" t="s">
        <v>514</v>
      </c>
    </row>
    <row r="22391" spans="1:7" x14ac:dyDescent="0.25">
      <c r="A22391" s="1" t="str">
        <f>"514212"</f>
        <v>514212</v>
      </c>
      <c r="B22391" s="2" t="str">
        <f>"SOQUETE CANHO MAGNETICO 5/16"</f>
        <v>SOQUETE CANHO MAGNETICO 5/16</v>
      </c>
      <c r="C22391" s="2" t="str">
        <f t="shared" si="881"/>
        <v>UN</v>
      </c>
      <c r="D22391" s="7">
        <v>817</v>
      </c>
      <c r="E22391" s="3">
        <v>13</v>
      </c>
      <c r="F22391" s="3">
        <v>13</v>
      </c>
      <c r="G22391" t="s">
        <v>514</v>
      </c>
    </row>
    <row r="22392" spans="1:7" x14ac:dyDescent="0.25">
      <c r="A22392" s="1" t="str">
        <f>"502014"</f>
        <v>502014</v>
      </c>
      <c r="B22392" s="2" t="str">
        <f>"SOQUETE ESTRIADO 1/2 X 19MM"</f>
        <v>SOQUETE ESTRIADO 1/2 X 19MM</v>
      </c>
      <c r="C22392" s="2" t="str">
        <f t="shared" si="881"/>
        <v>UN</v>
      </c>
      <c r="D22392" s="7">
        <v>919</v>
      </c>
      <c r="E22392" s="3">
        <v>13</v>
      </c>
      <c r="F22392" s="3">
        <v>13</v>
      </c>
      <c r="G22392" t="s">
        <v>514</v>
      </c>
    </row>
    <row r="22393" spans="1:7" x14ac:dyDescent="0.25">
      <c r="A22393" s="1" t="str">
        <f>"522238"</f>
        <v>522238</v>
      </c>
      <c r="B22393" s="2" t="str">
        <f>"SOQUETE GU10"</f>
        <v>SOQUETE GU10</v>
      </c>
      <c r="C22393" s="2" t="str">
        <f t="shared" si="881"/>
        <v>UN</v>
      </c>
      <c r="D22393" s="7">
        <v>811</v>
      </c>
      <c r="E22393" s="3">
        <v>10</v>
      </c>
      <c r="F22393" s="3">
        <v>10</v>
      </c>
      <c r="G22393" t="s">
        <v>513</v>
      </c>
    </row>
    <row r="22394" spans="1:7" x14ac:dyDescent="0.25">
      <c r="A22394" s="1" t="str">
        <f>"515909"</f>
        <v>515909</v>
      </c>
      <c r="B22394" s="2" t="str">
        <f>"SOQUETE I P/ LAMPADA HO FIXO"</f>
        <v>SOQUETE I P/ LAMPADA HO FIXO</v>
      </c>
      <c r="C22394" s="2" t="str">
        <f t="shared" si="881"/>
        <v>UN</v>
      </c>
      <c r="D22394" s="7">
        <v>99999</v>
      </c>
      <c r="E22394" s="3">
        <v>10</v>
      </c>
      <c r="F22394" s="3">
        <v>10</v>
      </c>
      <c r="G22394" t="s">
        <v>513</v>
      </c>
    </row>
    <row r="22395" spans="1:7" x14ac:dyDescent="0.25">
      <c r="A22395" s="1" t="str">
        <f>"515910"</f>
        <v>515910</v>
      </c>
      <c r="B22395" s="2" t="str">
        <f>"SOQUETE I P/ LAMPADA HO MOVEL"</f>
        <v>SOQUETE I P/ LAMPADA HO MOVEL</v>
      </c>
      <c r="C22395" s="2" t="str">
        <f t="shared" si="881"/>
        <v>UN</v>
      </c>
      <c r="D22395" s="7">
        <v>99999</v>
      </c>
      <c r="E22395" s="3">
        <v>10</v>
      </c>
      <c r="F22395" s="3">
        <v>10</v>
      </c>
      <c r="G22395" t="s">
        <v>513</v>
      </c>
    </row>
    <row r="22396" spans="1:7" x14ac:dyDescent="0.25">
      <c r="A22396" s="1" t="str">
        <f>"515631"</f>
        <v>515631</v>
      </c>
      <c r="B22396" s="2" t="str">
        <f>"SOQUETE IMPACTO"</f>
        <v>SOQUETE IMPACTO</v>
      </c>
      <c r="C22396" s="2" t="str">
        <f t="shared" si="881"/>
        <v>UN</v>
      </c>
      <c r="D22396" s="7">
        <v>920</v>
      </c>
      <c r="E22396" s="3">
        <v>4</v>
      </c>
      <c r="F22396" s="3">
        <v>4</v>
      </c>
      <c r="G22396" t="s">
        <v>512</v>
      </c>
    </row>
    <row r="22397" spans="1:7" x14ac:dyDescent="0.25">
      <c r="A22397" s="1" t="str">
        <f>"524428"</f>
        <v>524428</v>
      </c>
      <c r="B22397" s="2" t="str">
        <f>"SOQUETE MSSD-EB"</f>
        <v>SOQUETE MSSD-EB</v>
      </c>
      <c r="C22397" s="2" t="str">
        <f t="shared" si="881"/>
        <v>UN</v>
      </c>
      <c r="D22397" s="7">
        <v>913</v>
      </c>
      <c r="E22397" s="3">
        <v>11</v>
      </c>
      <c r="F22397" s="3">
        <v>11</v>
      </c>
      <c r="G22397" t="s">
        <v>513</v>
      </c>
    </row>
    <row r="22398" spans="1:7" x14ac:dyDescent="0.25">
      <c r="A22398" s="1" t="str">
        <f>"521856"</f>
        <v>521856</v>
      </c>
      <c r="B22398" s="8" t="s">
        <v>238</v>
      </c>
      <c r="C22398" s="2" t="str">
        <f t="shared" si="881"/>
        <v>UN</v>
      </c>
      <c r="D22398" s="7">
        <v>913</v>
      </c>
      <c r="E22398" s="3">
        <v>11</v>
      </c>
      <c r="F22398" s="3">
        <v>11</v>
      </c>
      <c r="G22398" t="s">
        <v>514</v>
      </c>
    </row>
    <row r="22399" spans="1:7" x14ac:dyDescent="0.25">
      <c r="A22399" s="1" t="str">
        <f>"503630"</f>
        <v>503630</v>
      </c>
      <c r="B22399" s="2" t="str">
        <f>"SOQUETE Nº41 CACHIMBO 3/4"</f>
        <v>SOQUETE Nº41 CACHIMBO 3/4</v>
      </c>
      <c r="C22399" s="2" t="str">
        <f t="shared" si="881"/>
        <v>UN</v>
      </c>
      <c r="D22399" s="7">
        <v>402</v>
      </c>
      <c r="E22399" s="3">
        <v>4</v>
      </c>
      <c r="F22399" s="3">
        <v>4</v>
      </c>
      <c r="G22399" t="s">
        <v>515</v>
      </c>
    </row>
    <row r="22400" spans="1:7" x14ac:dyDescent="0.25">
      <c r="A22400" s="1" t="str">
        <f>"514523"</f>
        <v>514523</v>
      </c>
      <c r="B22400" s="2" t="str">
        <f>"SOQUETE P/ LAMPADA DICROICA GU10 2A 250V"</f>
        <v>SOQUETE P/ LAMPADA DICROICA GU10 2A 250V</v>
      </c>
      <c r="C22400" s="2" t="str">
        <f t="shared" si="881"/>
        <v>UN</v>
      </c>
      <c r="D22400" s="7">
        <v>704</v>
      </c>
      <c r="E22400" s="3">
        <v>9</v>
      </c>
      <c r="F22400" s="3">
        <v>9</v>
      </c>
      <c r="G22400" t="s">
        <v>512</v>
      </c>
    </row>
    <row r="22401" spans="1:7" x14ac:dyDescent="0.25">
      <c r="A22401" s="1" t="str">
        <f>"500271"</f>
        <v>500271</v>
      </c>
      <c r="B22401" s="2" t="str">
        <f>"SOQUETE P/ LAMPADA FLUORESCENTE 20/40W"</f>
        <v>SOQUETE P/ LAMPADA FLUORESCENTE 20/40W</v>
      </c>
      <c r="C22401" s="2" t="str">
        <f t="shared" si="881"/>
        <v>UN</v>
      </c>
      <c r="D22401" s="7">
        <v>601</v>
      </c>
      <c r="E22401" s="3">
        <v>8</v>
      </c>
      <c r="F22401" s="3">
        <v>8</v>
      </c>
      <c r="G22401" t="s">
        <v>516</v>
      </c>
    </row>
    <row r="22402" spans="1:7" x14ac:dyDescent="0.25">
      <c r="A22402" s="1" t="str">
        <f>"512123"</f>
        <v>512123</v>
      </c>
      <c r="B22402" s="2" t="str">
        <f>"SOQUETE P/ LAMPADA FLUORESCENTE HO"</f>
        <v>SOQUETE P/ LAMPADA FLUORESCENTE HO</v>
      </c>
      <c r="C22402" s="2" t="str">
        <f t="shared" si="881"/>
        <v>UN</v>
      </c>
      <c r="D22402" s="7">
        <v>601</v>
      </c>
      <c r="E22402" s="3">
        <v>8</v>
      </c>
      <c r="F22402" s="3">
        <v>8</v>
      </c>
      <c r="G22402" t="s">
        <v>515</v>
      </c>
    </row>
    <row r="22403" spans="1:7" x14ac:dyDescent="0.25">
      <c r="A22403" s="1" t="str">
        <f>"527935"</f>
        <v>527935</v>
      </c>
      <c r="B22403" s="2" t="str">
        <f>"SOQUETE P/ LAMPADA GERMICIDA 2G11 - JPN"</f>
        <v>SOQUETE P/ LAMPADA GERMICIDA 2G11 - JPN</v>
      </c>
      <c r="C22403" s="2" t="str">
        <f t="shared" si="881"/>
        <v>UN</v>
      </c>
      <c r="D22403" s="7">
        <v>601</v>
      </c>
      <c r="E22403" s="3">
        <v>8</v>
      </c>
      <c r="F22403" s="3">
        <v>8</v>
      </c>
      <c r="G22403" t="s">
        <v>514</v>
      </c>
    </row>
    <row r="22404" spans="1:7" x14ac:dyDescent="0.25">
      <c r="A22404" s="1" t="str">
        <f>"513870"</f>
        <v>513870</v>
      </c>
      <c r="B22404" s="2" t="str">
        <f>"SOQUETE P/ LAMPADA P5"</f>
        <v>SOQUETE P/ LAMPADA P5</v>
      </c>
      <c r="C22404" s="2" t="str">
        <f t="shared" si="881"/>
        <v>UN</v>
      </c>
      <c r="D22404" s="7">
        <v>600</v>
      </c>
      <c r="E22404" s="3">
        <v>8</v>
      </c>
      <c r="F22404" s="3">
        <v>8</v>
      </c>
      <c r="G22404" t="s">
        <v>512</v>
      </c>
    </row>
    <row r="22405" spans="1:7" x14ac:dyDescent="0.25">
      <c r="A22405" s="1" t="str">
        <f>"501170"</f>
        <v>501170</v>
      </c>
      <c r="B22405" s="2" t="str">
        <f>"SOQUETE P/ PINO FEMEA AMP 206136-1"</f>
        <v>SOQUETE P/ PINO FEMEA AMP 206136-1</v>
      </c>
      <c r="C22405" s="2" t="str">
        <f t="shared" si="881"/>
        <v>UN</v>
      </c>
      <c r="D22405" s="7">
        <v>900</v>
      </c>
      <c r="E22405" s="3">
        <v>11</v>
      </c>
      <c r="F22405" s="3">
        <v>11</v>
      </c>
      <c r="G22405" t="s">
        <v>513</v>
      </c>
    </row>
    <row r="22406" spans="1:7" x14ac:dyDescent="0.25">
      <c r="A22406" s="1" t="str">
        <f>"501169"</f>
        <v>501169</v>
      </c>
      <c r="B22406" s="2" t="str">
        <f>"SOQUETE p/ PINO MACHO AMP 206137-1"</f>
        <v>SOQUETE p/ PINO MACHO AMP 206137-1</v>
      </c>
      <c r="C22406" s="2" t="str">
        <f t="shared" si="881"/>
        <v>UN</v>
      </c>
      <c r="D22406" s="7">
        <v>900</v>
      </c>
      <c r="E22406" s="3">
        <v>11</v>
      </c>
      <c r="F22406" s="3">
        <v>11</v>
      </c>
      <c r="G22406" t="s">
        <v>514</v>
      </c>
    </row>
    <row r="22407" spans="1:7" x14ac:dyDescent="0.25">
      <c r="A22407" s="1" t="str">
        <f>"517405"</f>
        <v>517405</v>
      </c>
      <c r="B22407" s="2" t="str">
        <f>"SOQUETE P/FLUOR. 16/20/32/40W MPS0QT00060 LUM. ABALUX"</f>
        <v>SOQUETE P/FLUOR. 16/20/32/40W MPS0QT00060 LUM. ABALUX</v>
      </c>
      <c r="C22407" s="2" t="str">
        <f t="shared" si="881"/>
        <v>UN</v>
      </c>
      <c r="D22407" s="7">
        <v>811</v>
      </c>
      <c r="E22407" s="3">
        <v>8</v>
      </c>
      <c r="F22407" s="3">
        <v>8</v>
      </c>
      <c r="G22407" t="s">
        <v>514</v>
      </c>
    </row>
    <row r="22408" spans="1:7" x14ac:dyDescent="0.25">
      <c r="A22408" s="1" t="str">
        <f>"521047"</f>
        <v>521047</v>
      </c>
      <c r="B22408" s="2" t="str">
        <f>"SOQUETE PARA LAMAPADA DE LED COM RABICHO"</f>
        <v>SOQUETE PARA LAMAPADA DE LED COM RABICHO</v>
      </c>
      <c r="C22408" s="2" t="str">
        <f t="shared" si="881"/>
        <v>UN</v>
      </c>
      <c r="D22408" s="7">
        <v>811</v>
      </c>
      <c r="E22408" s="3">
        <v>4</v>
      </c>
      <c r="F22408" s="3">
        <v>4</v>
      </c>
      <c r="G22408" t="s">
        <v>512</v>
      </c>
    </row>
    <row r="22409" spans="1:7" x14ac:dyDescent="0.25">
      <c r="A22409" s="1" t="str">
        <f>"500386"</f>
        <v>500386</v>
      </c>
      <c r="B22409" s="2" t="str">
        <f>"SOQUETE PORCELANA BASE E-27"</f>
        <v>SOQUETE PORCELANA BASE E-27</v>
      </c>
      <c r="C22409" s="2" t="str">
        <f t="shared" si="881"/>
        <v>UN</v>
      </c>
      <c r="D22409" s="7">
        <v>601</v>
      </c>
      <c r="E22409" s="3">
        <v>8</v>
      </c>
      <c r="F22409" s="3">
        <v>8</v>
      </c>
      <c r="G22409" t="s">
        <v>513</v>
      </c>
    </row>
    <row r="22410" spans="1:7" x14ac:dyDescent="0.25">
      <c r="A22410" s="1" t="str">
        <f>"500610"</f>
        <v>500610</v>
      </c>
      <c r="B22410" s="2" t="str">
        <f>"SOQUETE PORCELANA BASE E-40"</f>
        <v>SOQUETE PORCELANA BASE E-40</v>
      </c>
      <c r="C22410" s="2" t="str">
        <f t="shared" si="881"/>
        <v>UN</v>
      </c>
      <c r="D22410" s="7">
        <v>601</v>
      </c>
      <c r="E22410" s="3">
        <v>8</v>
      </c>
      <c r="F22410" s="3">
        <v>8</v>
      </c>
      <c r="G22410" t="s">
        <v>514</v>
      </c>
    </row>
    <row r="22411" spans="1:7" x14ac:dyDescent="0.25">
      <c r="A22411" s="1" t="str">
        <f>"37"</f>
        <v>37</v>
      </c>
      <c r="B22411" s="2" t="str">
        <f>"SORBATO DE POTASSIO"</f>
        <v>SORBATO DE POTASSIO</v>
      </c>
      <c r="C22411" s="2" t="str">
        <f>"KG"</f>
        <v>KG</v>
      </c>
      <c r="D22411" s="7">
        <v>224</v>
      </c>
      <c r="E22411" s="3">
        <v>2</v>
      </c>
      <c r="F22411" s="3">
        <v>2</v>
      </c>
      <c r="G22411" t="s">
        <v>514</v>
      </c>
    </row>
    <row r="22412" spans="1:7" x14ac:dyDescent="0.25">
      <c r="A22412" s="1" t="str">
        <f>"514351"</f>
        <v>514351</v>
      </c>
      <c r="B22412" s="2" t="str">
        <f>"SORBATO DE POTASSIO - QUALA"</f>
        <v>SORBATO DE POTASSIO - QUALA</v>
      </c>
      <c r="C22412" s="2" t="str">
        <f>"KG"</f>
        <v>KG</v>
      </c>
      <c r="D22412" s="7">
        <v>224</v>
      </c>
      <c r="E22412" s="3">
        <v>2</v>
      </c>
      <c r="F22412" s="3">
        <v>2</v>
      </c>
      <c r="G22412" t="s">
        <v>514</v>
      </c>
    </row>
    <row r="22413" spans="1:7" x14ac:dyDescent="0.25">
      <c r="A22413" s="1" t="str">
        <f>"6560"</f>
        <v>6560</v>
      </c>
      <c r="B22413" s="2" t="str">
        <f>"SORBATO DE POTASSIO - QUALA"</f>
        <v>SORBATO DE POTASSIO - QUALA</v>
      </c>
      <c r="C22413" s="2" t="str">
        <f>"KG"</f>
        <v>KG</v>
      </c>
      <c r="D22413" s="7">
        <v>224</v>
      </c>
      <c r="E22413" s="3">
        <v>2</v>
      </c>
      <c r="F22413" s="3">
        <v>2</v>
      </c>
      <c r="G22413" t="s">
        <v>513</v>
      </c>
    </row>
    <row r="22414" spans="1:7" x14ac:dyDescent="0.25">
      <c r="A22414" s="1" t="str">
        <f>"1332"</f>
        <v>1332</v>
      </c>
      <c r="B22414" s="2" t="str">
        <f>"SORO CRU TERCEIRIZADO"</f>
        <v>SORO CRU TERCEIRIZADO</v>
      </c>
      <c r="C22414" s="2" t="str">
        <f>"LT"</f>
        <v>LT</v>
      </c>
      <c r="D22414" s="7">
        <v>225</v>
      </c>
      <c r="E22414" s="3">
        <v>2</v>
      </c>
      <c r="F22414" s="3">
        <v>2</v>
      </c>
      <c r="G22414" t="s">
        <v>512</v>
      </c>
    </row>
    <row r="22415" spans="1:7" x14ac:dyDescent="0.25">
      <c r="A22415" s="1" t="str">
        <f>"1330"</f>
        <v>1330</v>
      </c>
      <c r="B22415" s="2" t="str">
        <f>"SORO DE LEITE"</f>
        <v>SORO DE LEITE</v>
      </c>
      <c r="C22415" s="2" t="str">
        <f>"LT"</f>
        <v>LT</v>
      </c>
      <c r="D22415" s="7">
        <v>225</v>
      </c>
      <c r="E22415" s="3">
        <v>2</v>
      </c>
      <c r="F22415" s="3">
        <v>2</v>
      </c>
      <c r="G22415" t="s">
        <v>513</v>
      </c>
    </row>
    <row r="22416" spans="1:7" x14ac:dyDescent="0.25">
      <c r="A22416" s="1" t="str">
        <f>"7125"</f>
        <v>7125</v>
      </c>
      <c r="B22416" s="2" t="str">
        <f>"SORO DE LEITE EM PO 40% DESMINERALIZADO"</f>
        <v>SORO DE LEITE EM PO 40% DESMINERALIZADO</v>
      </c>
      <c r="C22416" s="2" t="str">
        <f>"KG"</f>
        <v>KG</v>
      </c>
      <c r="D22416" s="7">
        <v>24</v>
      </c>
      <c r="E22416" s="3">
        <v>2</v>
      </c>
      <c r="F22416" s="3">
        <v>2</v>
      </c>
      <c r="G22416" t="s">
        <v>514</v>
      </c>
    </row>
    <row r="22417" spans="1:7" x14ac:dyDescent="0.25">
      <c r="A22417" s="1" t="str">
        <f>"1331"</f>
        <v>1331</v>
      </c>
      <c r="B22417" s="2" t="str">
        <f>"SORO DE LEITE PASTEURIZADO"</f>
        <v>SORO DE LEITE PASTEURIZADO</v>
      </c>
      <c r="C22417" s="2" t="str">
        <f>"KG"</f>
        <v>KG</v>
      </c>
      <c r="D22417" s="7">
        <v>225</v>
      </c>
      <c r="E22417" s="3">
        <v>2</v>
      </c>
      <c r="F22417" s="3">
        <v>2</v>
      </c>
      <c r="G22417" t="s">
        <v>514</v>
      </c>
    </row>
    <row r="22418" spans="1:7" x14ac:dyDescent="0.25">
      <c r="A22418" s="1" t="str">
        <f>"527825"</f>
        <v>527825</v>
      </c>
      <c r="B22418" s="2" t="str">
        <f>"SORO FISIOLOGICO"</f>
        <v>SORO FISIOLOGICO</v>
      </c>
      <c r="C22418" s="2" t="str">
        <f>"UN"</f>
        <v>UN</v>
      </c>
      <c r="D22418" s="7">
        <v>99999</v>
      </c>
      <c r="E22418" s="3">
        <v>99</v>
      </c>
      <c r="F22418" s="3">
        <v>99</v>
      </c>
      <c r="G22418" t="s">
        <v>514</v>
      </c>
    </row>
    <row r="22419" spans="1:7" x14ac:dyDescent="0.25">
      <c r="A22419" s="1" t="str">
        <f>"514520"</f>
        <v>514520</v>
      </c>
      <c r="B22419" s="2" t="str">
        <f>"SORVETE"</f>
        <v>SORVETE</v>
      </c>
      <c r="C22419" s="2" t="str">
        <f>"UN"</f>
        <v>UN</v>
      </c>
      <c r="D22419" s="7">
        <v>401</v>
      </c>
      <c r="E22419" s="3">
        <v>4</v>
      </c>
      <c r="F22419" s="3">
        <v>4</v>
      </c>
      <c r="G22419" t="s">
        <v>513</v>
      </c>
    </row>
    <row r="22420" spans="1:7" x14ac:dyDescent="0.25">
      <c r="A22420" s="1" t="str">
        <f>"522507"</f>
        <v>522507</v>
      </c>
      <c r="B22420" s="2" t="str">
        <f>"SOUNDSTATION 2 ANALOG CONFERENCE PHONE WITH DISPLAY 110/220V"</f>
        <v>SOUNDSTATION 2 ANALOG CONFERENCE PHONE WITH DISPLAY 110/220V</v>
      </c>
      <c r="C22420" s="2" t="str">
        <f>"UN"</f>
        <v>UN</v>
      </c>
      <c r="D22420" s="7">
        <v>99999</v>
      </c>
      <c r="E22420" s="3">
        <v>99</v>
      </c>
      <c r="F22420" s="3">
        <v>99</v>
      </c>
      <c r="G22420" t="s">
        <v>513</v>
      </c>
    </row>
    <row r="22421" spans="1:7" x14ac:dyDescent="0.25">
      <c r="A22421" s="1" t="str">
        <f>"500860"</f>
        <v>500860</v>
      </c>
      <c r="B22421" s="2" t="str">
        <f>"SPACER                   COD.78805266000"</f>
        <v>SPACER                   COD.78805266000</v>
      </c>
      <c r="C22421" s="2" t="str">
        <f>"UN"</f>
        <v>UN</v>
      </c>
      <c r="D22421" s="7">
        <v>918</v>
      </c>
      <c r="E22421" s="3">
        <v>11</v>
      </c>
      <c r="F22421" s="3">
        <v>11</v>
      </c>
      <c r="G22421" t="s">
        <v>513</v>
      </c>
    </row>
    <row r="22422" spans="1:7" x14ac:dyDescent="0.25">
      <c r="A22422" s="1" t="str">
        <f>"6172"</f>
        <v>6172</v>
      </c>
      <c r="B22422" s="2" t="str">
        <f>"SPECULOUS - SEM AROMA (MANIBOM)"</f>
        <v>SPECULOUS - SEM AROMA (MANIBOM)</v>
      </c>
      <c r="C22422" s="2" t="str">
        <f>"KG"</f>
        <v>KG</v>
      </c>
      <c r="D22422" s="7">
        <v>217</v>
      </c>
      <c r="E22422" s="3">
        <v>2</v>
      </c>
      <c r="F22422" s="3">
        <v>2</v>
      </c>
      <c r="G22422" t="s">
        <v>512</v>
      </c>
    </row>
    <row r="22423" spans="1:7" x14ac:dyDescent="0.25">
      <c r="A22423" s="1" t="str">
        <f>"524926"</f>
        <v>524926</v>
      </c>
      <c r="B22423" s="2" t="str">
        <f>"SPIRAL P/ FIO D 1/2-12MM PT DUTOPLAST"</f>
        <v>SPIRAL P/ FIO D 1/2-12MM PT DUTOPLAST</v>
      </c>
      <c r="C22423" s="2" t="str">
        <f t="shared" ref="C22423:C22445" si="882">"UN"</f>
        <v>UN</v>
      </c>
      <c r="D22423" s="7">
        <v>811</v>
      </c>
      <c r="E22423" s="3">
        <v>10</v>
      </c>
      <c r="F22423" s="3">
        <v>10</v>
      </c>
      <c r="G22423" t="s">
        <v>513</v>
      </c>
    </row>
    <row r="22424" spans="1:7" x14ac:dyDescent="0.25">
      <c r="A22424" s="1" t="str">
        <f>"511856"</f>
        <v>511856</v>
      </c>
      <c r="B22424" s="2" t="str">
        <f>"SPLAY BALL"</f>
        <v>SPLAY BALL</v>
      </c>
      <c r="C22424" s="2" t="str">
        <f t="shared" si="882"/>
        <v>UN</v>
      </c>
      <c r="D22424" s="7">
        <v>915</v>
      </c>
      <c r="E22424" s="3">
        <v>11</v>
      </c>
      <c r="F22424" s="3">
        <v>11</v>
      </c>
      <c r="G22424" t="s">
        <v>514</v>
      </c>
    </row>
    <row r="22425" spans="1:7" x14ac:dyDescent="0.25">
      <c r="A22425" s="1" t="str">
        <f>"521213"</f>
        <v>521213</v>
      </c>
      <c r="B22425" s="2" t="str">
        <f>"SPLIT 1800 HW Q/F LG SMILE - EVAP"</f>
        <v>SPLIT 1800 HW Q/F LG SMILE - EVAP</v>
      </c>
      <c r="C22425" s="2" t="str">
        <f t="shared" si="882"/>
        <v>UN</v>
      </c>
      <c r="D22425" s="7">
        <v>811</v>
      </c>
      <c r="E22425" s="3">
        <v>8</v>
      </c>
      <c r="F22425" s="3">
        <v>8</v>
      </c>
      <c r="G22425" t="s">
        <v>515</v>
      </c>
    </row>
    <row r="22426" spans="1:7" x14ac:dyDescent="0.25">
      <c r="A22426" s="1" t="str">
        <f>"521214"</f>
        <v>521214</v>
      </c>
      <c r="B22426" s="2" t="str">
        <f>"SPLIT 1800 HW Q/F LG SMILE 220V-1-COND"</f>
        <v>SPLIT 1800 HW Q/F LG SMILE 220V-1-COND</v>
      </c>
      <c r="C22426" s="2" t="str">
        <f t="shared" si="882"/>
        <v>UN</v>
      </c>
      <c r="D22426" s="7">
        <v>811</v>
      </c>
      <c r="E22426" s="3">
        <v>8</v>
      </c>
      <c r="F22426" s="3">
        <v>8</v>
      </c>
      <c r="G22426" t="s">
        <v>512</v>
      </c>
    </row>
    <row r="22427" spans="1:7" x14ac:dyDescent="0.25">
      <c r="A22427" s="1" t="str">
        <f>"524320"</f>
        <v>524320</v>
      </c>
      <c r="B22427" s="2" t="str">
        <f>"SPLIT 24000 HW Q/F ELGIN 220V-1-COND"</f>
        <v>SPLIT 24000 HW Q/F ELGIN 220V-1-COND</v>
      </c>
      <c r="C22427" s="2" t="str">
        <f t="shared" si="882"/>
        <v>UN</v>
      </c>
      <c r="D22427" s="7">
        <v>811</v>
      </c>
      <c r="E22427" s="3">
        <v>8</v>
      </c>
      <c r="F22427" s="3">
        <v>8</v>
      </c>
      <c r="G22427" t="s">
        <v>516</v>
      </c>
    </row>
    <row r="22428" spans="1:7" x14ac:dyDescent="0.25">
      <c r="A22428" s="1" t="str">
        <f>"524318"</f>
        <v>524318</v>
      </c>
      <c r="B22428" s="2" t="str">
        <f>"SPLIT 24000 HW Q/F ELGIN ECO POWER - EVAP"</f>
        <v>SPLIT 24000 HW Q/F ELGIN ECO POWER - EVAP</v>
      </c>
      <c r="C22428" s="2" t="str">
        <f t="shared" si="882"/>
        <v>UN</v>
      </c>
      <c r="D22428" s="7">
        <v>811</v>
      </c>
      <c r="E22428" s="3">
        <v>8</v>
      </c>
      <c r="F22428" s="3">
        <v>8</v>
      </c>
      <c r="G22428" t="s">
        <v>515</v>
      </c>
    </row>
    <row r="22429" spans="1:7" x14ac:dyDescent="0.25">
      <c r="A22429" s="1" t="str">
        <f>"524317"</f>
        <v>524317</v>
      </c>
      <c r="B22429" s="2" t="str">
        <f>"SPLIT 30000 HW Q/F ELGIN 220V-1-COND"</f>
        <v>SPLIT 30000 HW Q/F ELGIN 220V-1-COND</v>
      </c>
      <c r="C22429" s="2" t="str">
        <f t="shared" si="882"/>
        <v>UN</v>
      </c>
      <c r="D22429" s="7">
        <v>811</v>
      </c>
      <c r="E22429" s="3">
        <v>8</v>
      </c>
      <c r="F22429" s="3">
        <v>8</v>
      </c>
      <c r="G22429" t="s">
        <v>514</v>
      </c>
    </row>
    <row r="22430" spans="1:7" x14ac:dyDescent="0.25">
      <c r="A22430" s="1" t="str">
        <f>"524316"</f>
        <v>524316</v>
      </c>
      <c r="B22430" s="2" t="str">
        <f>"SPLIT 30000 HW Q/F ELGIN ECO POWER - EVAP"</f>
        <v>SPLIT 30000 HW Q/F ELGIN ECO POWER - EVAP</v>
      </c>
      <c r="C22430" s="2" t="str">
        <f t="shared" si="882"/>
        <v>UN</v>
      </c>
      <c r="D22430" s="7">
        <v>811</v>
      </c>
      <c r="E22430" s="3">
        <v>8</v>
      </c>
      <c r="F22430" s="3">
        <v>8</v>
      </c>
      <c r="G22430" t="s">
        <v>512</v>
      </c>
    </row>
    <row r="22431" spans="1:7" x14ac:dyDescent="0.25">
      <c r="A22431" s="1" t="str">
        <f>"522322"</f>
        <v>522322</v>
      </c>
      <c r="B22431" s="2" t="str">
        <f>"SPLIT 3600 PT Q/F ELGIN ECO PLUS - EVAP"</f>
        <v>SPLIT 3600 PT Q/F ELGIN ECO PLUS - EVAP</v>
      </c>
      <c r="C22431" s="2" t="str">
        <f t="shared" si="882"/>
        <v>UN</v>
      </c>
      <c r="D22431" s="7">
        <v>916</v>
      </c>
      <c r="E22431" s="3">
        <v>10</v>
      </c>
      <c r="F22431" s="3">
        <v>10</v>
      </c>
      <c r="G22431" t="s">
        <v>513</v>
      </c>
    </row>
    <row r="22432" spans="1:7" x14ac:dyDescent="0.25">
      <c r="A22432" s="1" t="str">
        <f>"522323"</f>
        <v>522323</v>
      </c>
      <c r="B22432" s="2" t="str">
        <f>"SPLIT 3600 PT Q/F ELGIN ECO PLUS 220V-1 - CONDENSADOR"</f>
        <v>SPLIT 3600 PT Q/F ELGIN ECO PLUS 220V-1 - CONDENSADOR</v>
      </c>
      <c r="C22432" s="2" t="str">
        <f t="shared" si="882"/>
        <v>UN</v>
      </c>
      <c r="D22432" s="7">
        <v>916</v>
      </c>
      <c r="E22432" s="3">
        <v>10</v>
      </c>
      <c r="F22432" s="3">
        <v>10</v>
      </c>
      <c r="G22432" t="s">
        <v>514</v>
      </c>
    </row>
    <row r="22433" spans="1:7" x14ac:dyDescent="0.25">
      <c r="A22433" s="1" t="str">
        <f>"521205"</f>
        <v>521205</v>
      </c>
      <c r="B22433" s="2" t="str">
        <f>"SPLIT 36000 K7 360° ELGIN 36K"</f>
        <v>SPLIT 36000 K7 360° ELGIN 36K</v>
      </c>
      <c r="C22433" s="2" t="str">
        <f t="shared" si="882"/>
        <v>UN</v>
      </c>
      <c r="D22433" s="7">
        <v>811</v>
      </c>
      <c r="E22433" s="3">
        <v>8</v>
      </c>
      <c r="F22433" s="3">
        <v>8</v>
      </c>
      <c r="G22433" t="s">
        <v>514</v>
      </c>
    </row>
    <row r="22434" spans="1:7" x14ac:dyDescent="0.25">
      <c r="A22434" s="1" t="str">
        <f>"521203"</f>
        <v>521203</v>
      </c>
      <c r="B22434" s="2" t="str">
        <f>"SPLIT 36000 K7 FRIO ELGIN - EVAP"</f>
        <v>SPLIT 36000 K7 FRIO ELGIN - EVAP</v>
      </c>
      <c r="C22434" s="2" t="str">
        <f t="shared" si="882"/>
        <v>UN</v>
      </c>
      <c r="D22434" s="7">
        <v>811</v>
      </c>
      <c r="E22434" s="3">
        <v>8</v>
      </c>
      <c r="F22434" s="3">
        <v>8</v>
      </c>
      <c r="G22434" t="s">
        <v>512</v>
      </c>
    </row>
    <row r="22435" spans="1:7" x14ac:dyDescent="0.25">
      <c r="A22435" s="1" t="str">
        <f>"521204"</f>
        <v>521204</v>
      </c>
      <c r="B22435" s="2" t="str">
        <f>"SPLIT 36000 K7 FRIO ELGIN 220V-1 COND"</f>
        <v>SPLIT 36000 K7 FRIO ELGIN 220V-1 COND</v>
      </c>
      <c r="C22435" s="2" t="str">
        <f t="shared" si="882"/>
        <v>UN</v>
      </c>
      <c r="D22435" s="7">
        <v>811</v>
      </c>
      <c r="E22435" s="3">
        <v>8</v>
      </c>
      <c r="F22435" s="3">
        <v>8</v>
      </c>
      <c r="G22435" t="s">
        <v>513</v>
      </c>
    </row>
    <row r="22436" spans="1:7" x14ac:dyDescent="0.25">
      <c r="A22436" s="1" t="str">
        <f>"521321"</f>
        <v>521321</v>
      </c>
      <c r="B22436" s="2" t="str">
        <f>"SPLIT 60000 K7 Q/F ELGIN - EVAP"</f>
        <v>SPLIT 60000 K7 Q/F ELGIN - EVAP</v>
      </c>
      <c r="C22436" s="2" t="str">
        <f t="shared" si="882"/>
        <v>UN</v>
      </c>
      <c r="D22436" s="7">
        <v>811</v>
      </c>
      <c r="E22436" s="3">
        <v>8</v>
      </c>
      <c r="F22436" s="3">
        <v>8</v>
      </c>
      <c r="G22436" t="s">
        <v>514</v>
      </c>
    </row>
    <row r="22437" spans="1:7" x14ac:dyDescent="0.25">
      <c r="A22437" s="1" t="str">
        <f>"521322"</f>
        <v>521322</v>
      </c>
      <c r="B22437" s="2" t="str">
        <f>"SPLIT 60000 K7 Q/F ELGIN 220V-3 COND"</f>
        <v>SPLIT 60000 K7 Q/F ELGIN 220V-3 COND</v>
      </c>
      <c r="C22437" s="2" t="str">
        <f t="shared" si="882"/>
        <v>UN</v>
      </c>
      <c r="D22437" s="7">
        <v>811</v>
      </c>
      <c r="E22437" s="3">
        <v>8</v>
      </c>
      <c r="F22437" s="3">
        <v>8</v>
      </c>
      <c r="G22437" t="s">
        <v>514</v>
      </c>
    </row>
    <row r="22438" spans="1:7" x14ac:dyDescent="0.25">
      <c r="A22438" s="1" t="str">
        <f>"525478"</f>
        <v>525478</v>
      </c>
      <c r="B22438" s="2" t="str">
        <f>"SPLIT 60000 PT FRIO ELGIN ECO PLUS - EVAP"</f>
        <v>SPLIT 60000 PT FRIO ELGIN ECO PLUS - EVAP</v>
      </c>
      <c r="C22438" s="2" t="str">
        <f t="shared" si="882"/>
        <v>UN</v>
      </c>
      <c r="D22438" s="7">
        <v>818</v>
      </c>
      <c r="E22438" s="3">
        <v>13</v>
      </c>
      <c r="F22438" s="3">
        <v>13</v>
      </c>
      <c r="G22438" t="s">
        <v>514</v>
      </c>
    </row>
    <row r="22439" spans="1:7" x14ac:dyDescent="0.25">
      <c r="A22439" s="1" t="str">
        <f>"525479"</f>
        <v>525479</v>
      </c>
      <c r="B22439" s="2" t="str">
        <f>"SPLIT 60000 PT/K7 FRIO ELGIN 380V-3 - COND"</f>
        <v>SPLIT 60000 PT/K7 FRIO ELGIN 380V-3 - COND</v>
      </c>
      <c r="C22439" s="2" t="str">
        <f t="shared" si="882"/>
        <v>UN</v>
      </c>
      <c r="D22439" s="7">
        <v>818</v>
      </c>
      <c r="E22439" s="3">
        <v>13</v>
      </c>
      <c r="F22439" s="3">
        <v>13</v>
      </c>
      <c r="G22439" t="s">
        <v>513</v>
      </c>
    </row>
    <row r="22440" spans="1:7" x14ac:dyDescent="0.25">
      <c r="A22440" s="1" t="str">
        <f>"521323"</f>
        <v>521323</v>
      </c>
      <c r="B22440" s="2" t="str">
        <f>"SPLIT PAINEL K7 360° ELGIN 60K"</f>
        <v>SPLIT PAINEL K7 360° ELGIN 60K</v>
      </c>
      <c r="C22440" s="2" t="str">
        <f t="shared" si="882"/>
        <v>UN</v>
      </c>
      <c r="D22440" s="7">
        <v>811</v>
      </c>
      <c r="E22440" s="3">
        <v>8</v>
      </c>
      <c r="F22440" s="3">
        <v>8</v>
      </c>
      <c r="G22440" t="s">
        <v>512</v>
      </c>
    </row>
    <row r="22441" spans="1:7" x14ac:dyDescent="0.25">
      <c r="A22441" s="1" t="str">
        <f>"511380"</f>
        <v>511380</v>
      </c>
      <c r="B22441" s="2" t="str">
        <f>"SPOILER"</f>
        <v>SPOILER</v>
      </c>
      <c r="C22441" s="2" t="str">
        <f t="shared" si="882"/>
        <v>UN</v>
      </c>
      <c r="D22441" s="7">
        <v>704</v>
      </c>
      <c r="E22441" s="3">
        <v>9</v>
      </c>
      <c r="F22441" s="3">
        <v>9</v>
      </c>
      <c r="G22441" t="s">
        <v>513</v>
      </c>
    </row>
    <row r="22442" spans="1:7" x14ac:dyDescent="0.25">
      <c r="A22442" s="1" t="str">
        <f>"514772"</f>
        <v>514772</v>
      </c>
      <c r="B22442" s="2" t="str">
        <f>"SPOT DE SOLO PAR 38"</f>
        <v>SPOT DE SOLO PAR 38</v>
      </c>
      <c r="C22442" s="2" t="str">
        <f t="shared" si="882"/>
        <v>UN</v>
      </c>
      <c r="D22442" s="7">
        <v>900</v>
      </c>
      <c r="E22442" s="3">
        <v>8</v>
      </c>
      <c r="F22442" s="3">
        <v>8</v>
      </c>
      <c r="G22442" t="s">
        <v>514</v>
      </c>
    </row>
    <row r="22443" spans="1:7" x14ac:dyDescent="0.25">
      <c r="A22443" s="1" t="str">
        <f>"514404"</f>
        <v>514404</v>
      </c>
      <c r="B22443" s="2" t="str">
        <f>"SPOT NYLON IE27"</f>
        <v>SPOT NYLON IE27</v>
      </c>
      <c r="C22443" s="2" t="str">
        <f t="shared" si="882"/>
        <v>UN</v>
      </c>
      <c r="D22443" s="7">
        <v>803</v>
      </c>
      <c r="E22443" s="3">
        <v>4</v>
      </c>
      <c r="F22443" s="3">
        <v>4</v>
      </c>
      <c r="G22443" t="s">
        <v>514</v>
      </c>
    </row>
    <row r="22444" spans="1:7" x14ac:dyDescent="0.25">
      <c r="A22444" s="1" t="str">
        <f>"511639"</f>
        <v>511639</v>
      </c>
      <c r="B22444" s="2" t="str">
        <f>"SPRAY ADVENTURE 400ML"</f>
        <v>SPRAY ADVENTURE 400ML</v>
      </c>
      <c r="C22444" s="2" t="str">
        <f t="shared" si="882"/>
        <v>UN</v>
      </c>
      <c r="D22444" s="7">
        <v>915</v>
      </c>
      <c r="E22444" s="3">
        <v>11</v>
      </c>
      <c r="F22444" s="3">
        <v>11</v>
      </c>
      <c r="G22444" t="s">
        <v>514</v>
      </c>
    </row>
    <row r="22445" spans="1:7" x14ac:dyDescent="0.25">
      <c r="A22445" s="1" t="str">
        <f>"500348"</f>
        <v>500348</v>
      </c>
      <c r="B22445" s="2" t="str">
        <f>"SPRAY ANTI FERRUGEM WD-40 REF. WD40300"</f>
        <v>SPRAY ANTI FERRUGEM WD-40 REF. WD40300</v>
      </c>
      <c r="C22445" s="2" t="str">
        <f t="shared" si="882"/>
        <v>UN</v>
      </c>
      <c r="D22445" s="7">
        <v>402</v>
      </c>
      <c r="E22445" s="3">
        <v>4</v>
      </c>
      <c r="F22445" s="3">
        <v>4</v>
      </c>
      <c r="G22445" t="s">
        <v>513</v>
      </c>
    </row>
    <row r="22446" spans="1:7" x14ac:dyDescent="0.25">
      <c r="A22446" s="1" t="str">
        <f>"505833"</f>
        <v>505833</v>
      </c>
      <c r="B22446" s="2" t="str">
        <f>"SPRAY BALL 360º  1"""</f>
        <v>SPRAY BALL 360º  1"</v>
      </c>
      <c r="C22446" s="2" t="str">
        <f>"BR"</f>
        <v>BR</v>
      </c>
      <c r="D22446" s="7">
        <v>807</v>
      </c>
      <c r="E22446" s="3">
        <v>10</v>
      </c>
      <c r="F22446" s="3">
        <v>10</v>
      </c>
      <c r="G22446" t="s">
        <v>513</v>
      </c>
    </row>
    <row r="22447" spans="1:7" x14ac:dyDescent="0.25">
      <c r="A22447" s="1" t="str">
        <f>"501771"</f>
        <v>501771</v>
      </c>
      <c r="B22447" s="2" t="str">
        <f>"SPRAY BALL 360º 2,5"" C/CUPILHA ( ESFERA)"</f>
        <v>SPRAY BALL 360º 2,5" C/CUPILHA ( ESFERA)</v>
      </c>
      <c r="C22447" s="2" t="str">
        <f t="shared" ref="C22447:C22485" si="883">"UN"</f>
        <v>UN</v>
      </c>
      <c r="D22447" s="7">
        <v>704</v>
      </c>
      <c r="E22447" s="3">
        <v>9</v>
      </c>
      <c r="F22447" s="3">
        <v>9</v>
      </c>
      <c r="G22447" t="s">
        <v>513</v>
      </c>
    </row>
    <row r="22448" spans="1:7" x14ac:dyDescent="0.25">
      <c r="A22448" s="1" t="str">
        <f>"517370"</f>
        <v>517370</v>
      </c>
      <c r="B22448" s="2" t="str">
        <f>"SPRAY DE CONGELAMENTO 200ML"</f>
        <v>SPRAY DE CONGELAMENTO 200ML</v>
      </c>
      <c r="C22448" s="2" t="str">
        <f t="shared" si="883"/>
        <v>UN</v>
      </c>
      <c r="D22448" s="7">
        <v>918</v>
      </c>
      <c r="E22448" s="3">
        <v>4</v>
      </c>
      <c r="F22448" s="3">
        <v>4</v>
      </c>
      <c r="G22448" t="s">
        <v>512</v>
      </c>
    </row>
    <row r="22449" spans="1:7" x14ac:dyDescent="0.25">
      <c r="A22449" s="1" t="str">
        <f>"518142"</f>
        <v>518142</v>
      </c>
      <c r="B22449" s="2" t="str">
        <f>"SPRAY INJEÇÃO"</f>
        <v>SPRAY INJEÇÃO</v>
      </c>
      <c r="C22449" s="2" t="str">
        <f t="shared" si="883"/>
        <v>UN</v>
      </c>
      <c r="D22449" s="7">
        <v>704</v>
      </c>
      <c r="E22449" s="3">
        <v>9</v>
      </c>
      <c r="F22449" s="3">
        <v>9</v>
      </c>
      <c r="G22449" t="s">
        <v>513</v>
      </c>
    </row>
    <row r="22450" spans="1:7" x14ac:dyDescent="0.25">
      <c r="A22450" s="1" t="str">
        <f>"527239"</f>
        <v>527239</v>
      </c>
      <c r="B22450" s="8" t="s">
        <v>490</v>
      </c>
      <c r="C22450" s="2" t="str">
        <f t="shared" si="883"/>
        <v>UN</v>
      </c>
      <c r="D22450" s="7">
        <v>8</v>
      </c>
      <c r="E22450" s="3">
        <v>4</v>
      </c>
      <c r="F22450" s="3">
        <v>4</v>
      </c>
      <c r="G22450" t="s">
        <v>514</v>
      </c>
    </row>
    <row r="22451" spans="1:7" x14ac:dyDescent="0.25">
      <c r="A22451" s="1" t="str">
        <f>"510791"</f>
        <v>510791</v>
      </c>
      <c r="B22451" s="2" t="str">
        <f>"SPRAY POLIURETANO 500CC C-12"</f>
        <v>SPRAY POLIURETANO 500CC C-12</v>
      </c>
      <c r="C22451" s="2" t="str">
        <f t="shared" si="883"/>
        <v>UN</v>
      </c>
      <c r="D22451" s="7">
        <v>402</v>
      </c>
      <c r="E22451" s="3">
        <v>4</v>
      </c>
      <c r="F22451" s="3">
        <v>4</v>
      </c>
      <c r="G22451" t="s">
        <v>515</v>
      </c>
    </row>
    <row r="22452" spans="1:7" x14ac:dyDescent="0.25">
      <c r="A22452" s="1" t="str">
        <f>"517561"</f>
        <v>517561</v>
      </c>
      <c r="B22452" s="2" t="str">
        <f>"SPRAY POLIURETANO 500ML"</f>
        <v>SPRAY POLIURETANO 500ML</v>
      </c>
      <c r="C22452" s="2" t="str">
        <f t="shared" si="883"/>
        <v>UN</v>
      </c>
      <c r="D22452" s="7">
        <v>918</v>
      </c>
      <c r="E22452" s="3">
        <v>10</v>
      </c>
      <c r="F22452" s="3">
        <v>10</v>
      </c>
      <c r="G22452" t="s">
        <v>512</v>
      </c>
    </row>
    <row r="22453" spans="1:7" x14ac:dyDescent="0.25">
      <c r="A22453" s="1" t="str">
        <f>"514245"</f>
        <v>514245</v>
      </c>
      <c r="B22453" s="2" t="str">
        <f>"SPRAY SUVINIL CORES SIMPLES"</f>
        <v>SPRAY SUVINIL CORES SIMPLES</v>
      </c>
      <c r="C22453" s="2" t="str">
        <f t="shared" si="883"/>
        <v>UN</v>
      </c>
      <c r="D22453" s="7">
        <v>403</v>
      </c>
      <c r="E22453" s="3">
        <v>4</v>
      </c>
      <c r="F22453" s="3">
        <v>4</v>
      </c>
      <c r="G22453" t="s">
        <v>516</v>
      </c>
    </row>
    <row r="22454" spans="1:7" x14ac:dyDescent="0.25">
      <c r="A22454" s="1" t="str">
        <f>"503384"</f>
        <v>503384</v>
      </c>
      <c r="B22454" s="2" t="str">
        <f>"SPRING - COMPRESSION     COD.78805265671"</f>
        <v>SPRING - COMPRESSION     COD.78805265671</v>
      </c>
      <c r="C22454" s="2" t="str">
        <f t="shared" si="883"/>
        <v>UN</v>
      </c>
      <c r="D22454" s="7">
        <v>918</v>
      </c>
      <c r="E22454" s="3">
        <v>11</v>
      </c>
      <c r="F22454" s="3">
        <v>11</v>
      </c>
      <c r="G22454" t="s">
        <v>515</v>
      </c>
    </row>
    <row r="22455" spans="1:7" x14ac:dyDescent="0.25">
      <c r="A22455" s="1" t="str">
        <f>"503389"</f>
        <v>503389</v>
      </c>
      <c r="B22455" s="2" t="str">
        <f>"SPRING - TORSION         COD.78811370309"</f>
        <v>SPRING - TORSION         COD.78811370309</v>
      </c>
      <c r="C22455" s="2" t="str">
        <f t="shared" si="883"/>
        <v>UN</v>
      </c>
      <c r="D22455" s="7">
        <v>918</v>
      </c>
      <c r="E22455" s="3">
        <v>11</v>
      </c>
      <c r="F22455" s="3">
        <v>11</v>
      </c>
      <c r="G22455" t="s">
        <v>514</v>
      </c>
    </row>
    <row r="22456" spans="1:7" x14ac:dyDescent="0.25">
      <c r="A22456" s="1" t="str">
        <f>"503383"</f>
        <v>503383</v>
      </c>
      <c r="B22456" s="2" t="str">
        <f>"SPRING - UPPER           COD.78807012741"</f>
        <v>SPRING - UPPER           COD.78807012741</v>
      </c>
      <c r="C22456" s="2" t="str">
        <f t="shared" si="883"/>
        <v>UN</v>
      </c>
      <c r="D22456" s="7">
        <v>918</v>
      </c>
      <c r="E22456" s="3">
        <v>11</v>
      </c>
      <c r="F22456" s="3">
        <v>11</v>
      </c>
      <c r="G22456" t="s">
        <v>512</v>
      </c>
    </row>
    <row r="22457" spans="1:7" x14ac:dyDescent="0.25">
      <c r="A22457" s="1" t="str">
        <f>"511206"</f>
        <v>511206</v>
      </c>
      <c r="B22457" s="2" t="str">
        <f>"SPRING COD. 221227"</f>
        <v>SPRING COD. 221227</v>
      </c>
      <c r="C22457" s="2" t="str">
        <f t="shared" si="883"/>
        <v>UN</v>
      </c>
      <c r="D22457" s="7">
        <v>918</v>
      </c>
      <c r="E22457" s="3">
        <v>11</v>
      </c>
      <c r="F22457" s="3">
        <v>11</v>
      </c>
      <c r="G22457" t="s">
        <v>513</v>
      </c>
    </row>
    <row r="22458" spans="1:7" x14ac:dyDescent="0.25">
      <c r="A22458" s="1" t="str">
        <f>"511193"</f>
        <v>511193</v>
      </c>
      <c r="B22458" s="2" t="str">
        <f>"SPRING COD. 227090"</f>
        <v>SPRING COD. 227090</v>
      </c>
      <c r="C22458" s="2" t="str">
        <f t="shared" si="883"/>
        <v>UN</v>
      </c>
      <c r="D22458" s="7">
        <v>918</v>
      </c>
      <c r="E22458" s="3">
        <v>11</v>
      </c>
      <c r="F22458" s="3">
        <v>11</v>
      </c>
      <c r="G22458" t="s">
        <v>514</v>
      </c>
    </row>
    <row r="22459" spans="1:7" x14ac:dyDescent="0.25">
      <c r="A22459" s="1" t="str">
        <f>"511198"</f>
        <v>511198</v>
      </c>
      <c r="B22459" s="2" t="str">
        <f>"SPRING COD. 39106"</f>
        <v>SPRING COD. 39106</v>
      </c>
      <c r="C22459" s="2" t="str">
        <f t="shared" si="883"/>
        <v>UN</v>
      </c>
      <c r="D22459" s="7">
        <v>918</v>
      </c>
      <c r="E22459" s="3">
        <v>11</v>
      </c>
      <c r="F22459" s="3">
        <v>11</v>
      </c>
      <c r="G22459" t="s">
        <v>514</v>
      </c>
    </row>
    <row r="22460" spans="1:7" x14ac:dyDescent="0.25">
      <c r="A22460" s="1" t="str">
        <f>"511213"</f>
        <v>511213</v>
      </c>
      <c r="B22460" s="2" t="str">
        <f>"SPRING COD. 47071"</f>
        <v>SPRING COD. 47071</v>
      </c>
      <c r="C22460" s="2" t="str">
        <f t="shared" si="883"/>
        <v>UN</v>
      </c>
      <c r="D22460" s="7">
        <v>918</v>
      </c>
      <c r="E22460" s="3">
        <v>11</v>
      </c>
      <c r="F22460" s="3">
        <v>11</v>
      </c>
      <c r="G22460" t="s">
        <v>512</v>
      </c>
    </row>
    <row r="22461" spans="1:7" x14ac:dyDescent="0.25">
      <c r="A22461" s="1" t="str">
        <f>"527210"</f>
        <v>527210</v>
      </c>
      <c r="B22461" s="2" t="str">
        <f>"SQUEEZE"</f>
        <v>SQUEEZE</v>
      </c>
      <c r="C22461" s="2" t="str">
        <f t="shared" si="883"/>
        <v>UN</v>
      </c>
      <c r="D22461" s="7">
        <v>99999</v>
      </c>
      <c r="E22461" s="3">
        <v>99</v>
      </c>
      <c r="F22461" s="3">
        <v>99</v>
      </c>
      <c r="G22461" t="s">
        <v>513</v>
      </c>
    </row>
    <row r="22462" spans="1:7" x14ac:dyDescent="0.25">
      <c r="A22462" s="1" t="str">
        <f>"517322"</f>
        <v>517322</v>
      </c>
      <c r="B22462" s="2" t="str">
        <f>"STAND ALONE 04 CANAIS VD4C120 INTELBRAS"</f>
        <v>STAND ALONE 04 CANAIS VD4C120 INTELBRAS</v>
      </c>
      <c r="C22462" s="2" t="str">
        <f t="shared" si="883"/>
        <v>UN</v>
      </c>
      <c r="D22462" s="7">
        <v>811</v>
      </c>
      <c r="E22462" s="3">
        <v>8</v>
      </c>
      <c r="F22462" s="3">
        <v>8</v>
      </c>
      <c r="G22462" t="s">
        <v>514</v>
      </c>
    </row>
    <row r="22463" spans="1:7" x14ac:dyDescent="0.25">
      <c r="A22463" s="1" t="str">
        <f>"517170"</f>
        <v>517170</v>
      </c>
      <c r="B22463" s="2" t="str">
        <f>"STAND ALONE 08 CANAIS VD8C240 INTELBRAS"</f>
        <v>STAND ALONE 08 CANAIS VD8C240 INTELBRAS</v>
      </c>
      <c r="C22463" s="2" t="str">
        <f t="shared" si="883"/>
        <v>UN</v>
      </c>
      <c r="D22463" s="7">
        <v>811</v>
      </c>
      <c r="E22463" s="3">
        <v>8</v>
      </c>
      <c r="F22463" s="3">
        <v>8</v>
      </c>
      <c r="G22463" t="s">
        <v>514</v>
      </c>
    </row>
    <row r="22464" spans="1:7" x14ac:dyDescent="0.25">
      <c r="A22464" s="1" t="str">
        <f>"506047"</f>
        <v>506047</v>
      </c>
      <c r="B22464" s="2" t="str">
        <f>"STAND ALONE 16C 480FPS 3716HS"</f>
        <v>STAND ALONE 16C 480FPS 3716HS</v>
      </c>
      <c r="C22464" s="2" t="str">
        <f t="shared" si="883"/>
        <v>UN</v>
      </c>
      <c r="D22464" s="7">
        <v>811</v>
      </c>
      <c r="E22464" s="3">
        <v>8</v>
      </c>
      <c r="F22464" s="3">
        <v>8</v>
      </c>
      <c r="G22464" t="s">
        <v>514</v>
      </c>
    </row>
    <row r="22465" spans="1:7" x14ac:dyDescent="0.25">
      <c r="A22465" s="1" t="str">
        <f>"514946"</f>
        <v>514946</v>
      </c>
      <c r="B22465" s="2" t="str">
        <f>"STAND ALONE ROTA SEG 16 CANAIS 9426"</f>
        <v>STAND ALONE ROTA SEG 16 CANAIS 9426</v>
      </c>
      <c r="C22465" s="2" t="str">
        <f t="shared" si="883"/>
        <v>UN</v>
      </c>
      <c r="D22465" s="7">
        <v>601</v>
      </c>
      <c r="E22465" s="3">
        <v>8</v>
      </c>
      <c r="F22465" s="3">
        <v>8</v>
      </c>
      <c r="G22465" t="s">
        <v>513</v>
      </c>
    </row>
    <row r="22466" spans="1:7" x14ac:dyDescent="0.25">
      <c r="A22466" s="1" t="str">
        <f>"517723"</f>
        <v>517723</v>
      </c>
      <c r="B22466" s="2" t="str">
        <f>"STANLEY DUPLO"</f>
        <v>STANLEY DUPLO</v>
      </c>
      <c r="C22466" s="2" t="str">
        <f t="shared" si="883"/>
        <v>UN</v>
      </c>
      <c r="D22466" s="7">
        <v>1700</v>
      </c>
      <c r="E22466" s="3">
        <v>10</v>
      </c>
      <c r="F22466" s="3">
        <v>10</v>
      </c>
      <c r="G22466" t="s">
        <v>512</v>
      </c>
    </row>
    <row r="22467" spans="1:7" x14ac:dyDescent="0.25">
      <c r="A22467" s="1" t="str">
        <f>"500273"</f>
        <v>500273</v>
      </c>
      <c r="B22467" s="2" t="str">
        <f>"START P/ LAMPADA DE 20W"</f>
        <v>START P/ LAMPADA DE 20W</v>
      </c>
      <c r="C22467" s="2" t="str">
        <f t="shared" si="883"/>
        <v>UN</v>
      </c>
      <c r="D22467" s="7">
        <v>601</v>
      </c>
      <c r="E22467" s="3">
        <v>8</v>
      </c>
      <c r="F22467" s="3">
        <v>8</v>
      </c>
      <c r="G22467" t="s">
        <v>513</v>
      </c>
    </row>
    <row r="22468" spans="1:7" x14ac:dyDescent="0.25">
      <c r="A22468" s="1" t="str">
        <f>"500303"</f>
        <v>500303</v>
      </c>
      <c r="B22468" s="2" t="str">
        <f>"START P/ LAMPADA DE 40W"</f>
        <v>START P/ LAMPADA DE 40W</v>
      </c>
      <c r="C22468" s="2" t="str">
        <f t="shared" si="883"/>
        <v>UN</v>
      </c>
      <c r="D22468" s="7">
        <v>601</v>
      </c>
      <c r="E22468" s="3">
        <v>8</v>
      </c>
      <c r="F22468" s="3">
        <v>8</v>
      </c>
      <c r="G22468" t="s">
        <v>514</v>
      </c>
    </row>
    <row r="22469" spans="1:7" x14ac:dyDescent="0.25">
      <c r="A22469" s="1" t="str">
        <f>"513206"</f>
        <v>513206</v>
      </c>
      <c r="B22469" s="2" t="str">
        <f>"STERIKON PLUS (15 AMPOLAS) MERCK 1102740"</f>
        <v>STERIKON PLUS (15 AMPOLAS) MERCK 1102740</v>
      </c>
      <c r="C22469" s="2" t="str">
        <f t="shared" si="883"/>
        <v>UN</v>
      </c>
      <c r="D22469" s="7">
        <v>406</v>
      </c>
      <c r="E22469" s="3">
        <v>4</v>
      </c>
      <c r="F22469" s="3">
        <v>4</v>
      </c>
      <c r="G22469" t="s">
        <v>514</v>
      </c>
    </row>
    <row r="22470" spans="1:7" x14ac:dyDescent="0.25">
      <c r="A22470" s="1" t="str">
        <f>"515083"</f>
        <v>515083</v>
      </c>
      <c r="B22470" s="2" t="str">
        <f>"STINGUARD"</f>
        <v>STINGUARD</v>
      </c>
      <c r="C22470" s="2" t="str">
        <f t="shared" si="883"/>
        <v>UN</v>
      </c>
      <c r="D22470" s="7">
        <v>401</v>
      </c>
      <c r="E22470" s="3">
        <v>4</v>
      </c>
      <c r="F22470" s="3">
        <v>4</v>
      </c>
      <c r="G22470" t="s">
        <v>514</v>
      </c>
    </row>
    <row r="22471" spans="1:7" x14ac:dyDescent="0.25">
      <c r="A22471" s="1" t="str">
        <f>"518778"</f>
        <v>518778</v>
      </c>
      <c r="B22471" s="2" t="str">
        <f>"STOP DE ENTRADA AMARELO 160GR"</f>
        <v>STOP DE ENTRADA AMARELO 160GR</v>
      </c>
      <c r="C22471" s="2" t="str">
        <f t="shared" si="883"/>
        <v>UN</v>
      </c>
      <c r="D22471" s="7">
        <v>918</v>
      </c>
      <c r="E22471" s="3">
        <v>11</v>
      </c>
      <c r="F22471" s="3">
        <v>11</v>
      </c>
      <c r="G22471" t="s">
        <v>513</v>
      </c>
    </row>
    <row r="22472" spans="1:7" x14ac:dyDescent="0.25">
      <c r="A22472" s="1" t="str">
        <f>"518765"</f>
        <v>518765</v>
      </c>
      <c r="B22472" s="2" t="str">
        <f>"STOP DE ENTRADA AZUL 180GR"</f>
        <v>STOP DE ENTRADA AZUL 180GR</v>
      </c>
      <c r="C22472" s="2" t="str">
        <f t="shared" si="883"/>
        <v>UN</v>
      </c>
      <c r="D22472" s="7">
        <v>918</v>
      </c>
      <c r="E22472" s="3">
        <v>11</v>
      </c>
      <c r="F22472" s="3">
        <v>11</v>
      </c>
      <c r="G22472" t="s">
        <v>513</v>
      </c>
    </row>
    <row r="22473" spans="1:7" x14ac:dyDescent="0.25">
      <c r="A22473" s="1" t="str">
        <f>"521711"</f>
        <v>521711</v>
      </c>
      <c r="B22473" s="2" t="str">
        <f>"STOPPER"</f>
        <v>STOPPER</v>
      </c>
      <c r="C22473" s="2" t="str">
        <f t="shared" si="883"/>
        <v>UN</v>
      </c>
      <c r="D22473" s="7">
        <v>99999</v>
      </c>
      <c r="E22473" s="3">
        <v>99</v>
      </c>
      <c r="F22473" s="3">
        <v>99</v>
      </c>
      <c r="G22473" t="s">
        <v>513</v>
      </c>
    </row>
    <row r="22474" spans="1:7" x14ac:dyDescent="0.25">
      <c r="A22474" s="1" t="str">
        <f>"521575"</f>
        <v>521575</v>
      </c>
      <c r="B22474" s="2" t="str">
        <f>"STOPPER PS 1MM IMP UV 4X4 CORES FORMATO 17X24CM CAROLINA"</f>
        <v>STOPPER PS 1MM IMP UV 4X4 CORES FORMATO 17X24CM CAROLINA</v>
      </c>
      <c r="C22474" s="2" t="str">
        <f t="shared" si="883"/>
        <v>UN</v>
      </c>
      <c r="D22474" s="7">
        <v>99999</v>
      </c>
      <c r="E22474" s="3">
        <v>99</v>
      </c>
      <c r="F22474" s="3">
        <v>99</v>
      </c>
      <c r="G22474" t="s">
        <v>512</v>
      </c>
    </row>
    <row r="22475" spans="1:7" x14ac:dyDescent="0.25">
      <c r="A22475" s="1" t="str">
        <f>"523671"</f>
        <v>523671</v>
      </c>
      <c r="B22475" s="2" t="str">
        <f>"STOPPER PS 1MM IMP UV 4X4 CORES FORMATO 17X24CM GREGO"</f>
        <v>STOPPER PS 1MM IMP UV 4X4 CORES FORMATO 17X24CM GREGO</v>
      </c>
      <c r="C22475" s="2" t="str">
        <f t="shared" si="883"/>
        <v>UN</v>
      </c>
      <c r="D22475" s="7">
        <v>99999</v>
      </c>
      <c r="E22475" s="3">
        <v>99</v>
      </c>
      <c r="F22475" s="3">
        <v>99</v>
      </c>
      <c r="G22475" t="s">
        <v>513</v>
      </c>
    </row>
    <row r="22476" spans="1:7" x14ac:dyDescent="0.25">
      <c r="A22476" s="1" t="str">
        <f>"514969"</f>
        <v>514969</v>
      </c>
      <c r="B22476" s="2" t="str">
        <f>"STORAGE FITA DE DADOS"</f>
        <v>STORAGE FITA DE DADOS</v>
      </c>
      <c r="C22476" s="2" t="str">
        <f t="shared" si="883"/>
        <v>UN</v>
      </c>
      <c r="D22476" s="7">
        <v>401</v>
      </c>
      <c r="E22476" s="3">
        <v>4</v>
      </c>
      <c r="F22476" s="3">
        <v>4</v>
      </c>
      <c r="G22476" t="s">
        <v>514</v>
      </c>
    </row>
    <row r="22477" spans="1:7" x14ac:dyDescent="0.25">
      <c r="A22477" s="1" t="str">
        <f>"573794"</f>
        <v>573794</v>
      </c>
      <c r="B22477" s="2" t="str">
        <f>"STORAGE SINOLOGY NAS DISKSTATION MARVELL"</f>
        <v>STORAGE SINOLOGY NAS DISKSTATION MARVELL</v>
      </c>
      <c r="C22477" s="2" t="str">
        <f t="shared" si="883"/>
        <v>UN</v>
      </c>
      <c r="D22477" s="7">
        <v>401</v>
      </c>
      <c r="E22477" s="3">
        <v>4</v>
      </c>
      <c r="F22477" s="3">
        <v>4</v>
      </c>
      <c r="G22477" t="s">
        <v>515</v>
      </c>
    </row>
    <row r="22478" spans="1:7" x14ac:dyDescent="0.25">
      <c r="A22478" s="1" t="str">
        <f>"515683"</f>
        <v>515683</v>
      </c>
      <c r="B22478" s="2" t="str">
        <f>"STP SC DIESEL FUEL LIMPADOR"</f>
        <v>STP SC DIESEL FUEL LIMPADOR</v>
      </c>
      <c r="C22478" s="2" t="str">
        <f t="shared" si="883"/>
        <v>UN</v>
      </c>
      <c r="D22478" s="7">
        <v>704</v>
      </c>
      <c r="E22478" s="3">
        <v>9</v>
      </c>
      <c r="F22478" s="3">
        <v>9</v>
      </c>
      <c r="G22478" t="s">
        <v>512</v>
      </c>
    </row>
    <row r="22479" spans="1:7" x14ac:dyDescent="0.25">
      <c r="A22479" s="1" t="str">
        <f>"515049"</f>
        <v>515049</v>
      </c>
      <c r="B22479" s="2" t="str">
        <f>"STRAIK MATA FORMIGA"</f>
        <v>STRAIK MATA FORMIGA</v>
      </c>
      <c r="C22479" s="2" t="str">
        <f t="shared" si="883"/>
        <v>UN</v>
      </c>
      <c r="D22479" s="7">
        <v>401</v>
      </c>
      <c r="E22479" s="3">
        <v>4</v>
      </c>
      <c r="F22479" s="3">
        <v>4</v>
      </c>
      <c r="G22479" t="s">
        <v>516</v>
      </c>
    </row>
    <row r="22480" spans="1:7" x14ac:dyDescent="0.25">
      <c r="A22480" s="1" t="str">
        <f>"503390"</f>
        <v>503390</v>
      </c>
      <c r="B22480" s="2" t="str">
        <f>"STUD - MOUNTING          COD.78807645003"</f>
        <v>STUD - MOUNTING          COD.78807645003</v>
      </c>
      <c r="C22480" s="2" t="str">
        <f t="shared" si="883"/>
        <v>UN</v>
      </c>
      <c r="D22480" s="7">
        <v>918</v>
      </c>
      <c r="E22480" s="3">
        <v>11</v>
      </c>
      <c r="F22480" s="3">
        <v>11</v>
      </c>
      <c r="G22480" t="s">
        <v>515</v>
      </c>
    </row>
    <row r="22481" spans="1:7" x14ac:dyDescent="0.25">
      <c r="A22481" s="1" t="str">
        <f>"517780"</f>
        <v>517780</v>
      </c>
      <c r="B22481" s="2" t="str">
        <f>"SUB-BASE C CON. VABV-S2-1S-G38-T1"</f>
        <v>SUB-BASE C CON. VABV-S2-1S-G38-T1</v>
      </c>
      <c r="C22481" s="2" t="str">
        <f t="shared" si="883"/>
        <v>UN</v>
      </c>
      <c r="D22481" s="7">
        <v>913</v>
      </c>
      <c r="E22481" s="3">
        <v>11</v>
      </c>
      <c r="F22481" s="3">
        <v>11</v>
      </c>
      <c r="G22481" t="s">
        <v>514</v>
      </c>
    </row>
    <row r="22482" spans="1:7" x14ac:dyDescent="0.25">
      <c r="A22482" s="1" t="str">
        <f>"524268"</f>
        <v>524268</v>
      </c>
      <c r="B22482" s="2" t="str">
        <f>"SUCATA ALUMINIO"</f>
        <v>SUCATA ALUMINIO</v>
      </c>
      <c r="C22482" s="2" t="str">
        <f t="shared" si="883"/>
        <v>UN</v>
      </c>
      <c r="D22482" s="7">
        <v>99999</v>
      </c>
      <c r="E22482" s="3">
        <v>12</v>
      </c>
      <c r="F22482" s="3">
        <v>12</v>
      </c>
      <c r="G22482" t="s">
        <v>512</v>
      </c>
    </row>
    <row r="22483" spans="1:7" x14ac:dyDescent="0.25">
      <c r="A22483" s="1" t="str">
        <f>"525328"</f>
        <v>525328</v>
      </c>
      <c r="B22483" s="2" t="str">
        <f>"SUCATA CERÂMICA"</f>
        <v>SUCATA CERÂMICA</v>
      </c>
      <c r="C22483" s="2" t="str">
        <f t="shared" si="883"/>
        <v>UN</v>
      </c>
      <c r="D22483" s="7">
        <v>99999</v>
      </c>
      <c r="E22483" s="3">
        <v>99</v>
      </c>
      <c r="F22483" s="3">
        <v>99</v>
      </c>
      <c r="G22483" t="s">
        <v>513</v>
      </c>
    </row>
    <row r="22484" spans="1:7" x14ac:dyDescent="0.25">
      <c r="A22484" s="1" t="str">
        <f>"523865"</f>
        <v>523865</v>
      </c>
      <c r="B22484" s="2" t="str">
        <f>"SUCATA COBRE"</f>
        <v>SUCATA COBRE</v>
      </c>
      <c r="C22484" s="2" t="str">
        <f t="shared" si="883"/>
        <v>UN</v>
      </c>
      <c r="D22484" s="7">
        <v>99999</v>
      </c>
      <c r="E22484" s="3">
        <v>12</v>
      </c>
      <c r="F22484" s="3">
        <v>12</v>
      </c>
      <c r="G22484" t="s">
        <v>514</v>
      </c>
    </row>
    <row r="22485" spans="1:7" x14ac:dyDescent="0.25">
      <c r="A22485" s="1" t="str">
        <f>"526933"</f>
        <v>526933</v>
      </c>
      <c r="B22485" s="2" t="str">
        <f>"SUCATA DE BUCHAS"</f>
        <v>SUCATA DE BUCHAS</v>
      </c>
      <c r="C22485" s="2" t="str">
        <f t="shared" si="883"/>
        <v>UN</v>
      </c>
      <c r="D22485" s="7">
        <v>99999</v>
      </c>
      <c r="E22485" s="3">
        <v>12</v>
      </c>
      <c r="F22485" s="3">
        <v>12</v>
      </c>
      <c r="G22485" t="s">
        <v>514</v>
      </c>
    </row>
    <row r="22486" spans="1:7" x14ac:dyDescent="0.25">
      <c r="A22486" s="1" t="str">
        <f>"6343"</f>
        <v>6343</v>
      </c>
      <c r="B22486" s="2" t="str">
        <f>"SUCATA DE CAIXA"</f>
        <v>SUCATA DE CAIXA</v>
      </c>
      <c r="C22486" s="2" t="str">
        <f>"KG"</f>
        <v>KG</v>
      </c>
      <c r="D22486" s="7">
        <v>1800</v>
      </c>
      <c r="E22486" s="3">
        <v>12</v>
      </c>
      <c r="F22486" s="3">
        <v>12</v>
      </c>
      <c r="G22486" t="s">
        <v>512</v>
      </c>
    </row>
    <row r="22487" spans="1:7" x14ac:dyDescent="0.25">
      <c r="A22487" s="1" t="str">
        <f>"514551"</f>
        <v>514551</v>
      </c>
      <c r="B22487" s="2" t="str">
        <f>"SUCATA DE CHAPAS"</f>
        <v>SUCATA DE CHAPAS</v>
      </c>
      <c r="C22487" s="2" t="str">
        <f t="shared" ref="C22487:C22492" si="884">"UN"</f>
        <v>UN</v>
      </c>
      <c r="D22487" s="7">
        <v>912</v>
      </c>
      <c r="E22487" s="3">
        <v>10</v>
      </c>
      <c r="F22487" s="3">
        <v>10</v>
      </c>
      <c r="G22487" t="s">
        <v>513</v>
      </c>
    </row>
    <row r="22488" spans="1:7" x14ac:dyDescent="0.25">
      <c r="A22488" s="1" t="str">
        <f>"526934"</f>
        <v>526934</v>
      </c>
      <c r="B22488" s="2" t="str">
        <f>"SUCATA DE EIXOS"</f>
        <v>SUCATA DE EIXOS</v>
      </c>
      <c r="C22488" s="2" t="str">
        <f t="shared" si="884"/>
        <v>UN</v>
      </c>
      <c r="D22488" s="7">
        <v>99999</v>
      </c>
      <c r="E22488" s="3">
        <v>12</v>
      </c>
      <c r="F22488" s="3">
        <v>12</v>
      </c>
      <c r="G22488" t="s">
        <v>514</v>
      </c>
    </row>
    <row r="22489" spans="1:7" x14ac:dyDescent="0.25">
      <c r="A22489" s="1" t="str">
        <f>"514552"</f>
        <v>514552</v>
      </c>
      <c r="B22489" s="2" t="str">
        <f>"SUCATA DE TUBOS"</f>
        <v>SUCATA DE TUBOS</v>
      </c>
      <c r="C22489" s="2" t="str">
        <f t="shared" si="884"/>
        <v>UN</v>
      </c>
      <c r="D22489" s="7">
        <v>912</v>
      </c>
      <c r="E22489" s="3">
        <v>10</v>
      </c>
      <c r="F22489" s="3">
        <v>10</v>
      </c>
      <c r="G22489" t="s">
        <v>514</v>
      </c>
    </row>
    <row r="22490" spans="1:7" x14ac:dyDescent="0.25">
      <c r="A22490" s="1" t="str">
        <f>"525326"</f>
        <v>525326</v>
      </c>
      <c r="B22490" s="2" t="str">
        <f>"SUCATA FERRO"</f>
        <v>SUCATA FERRO</v>
      </c>
      <c r="C22490" s="2" t="str">
        <f t="shared" si="884"/>
        <v>UN</v>
      </c>
      <c r="D22490" s="7">
        <v>99999</v>
      </c>
      <c r="E22490" s="3">
        <v>12</v>
      </c>
      <c r="F22490" s="3">
        <v>12</v>
      </c>
      <c r="G22490" t="s">
        <v>514</v>
      </c>
    </row>
    <row r="22491" spans="1:7" x14ac:dyDescent="0.25">
      <c r="A22491" s="1" t="str">
        <f>"525327"</f>
        <v>525327</v>
      </c>
      <c r="B22491" s="2" t="str">
        <f>"SUCATA INOX"</f>
        <v>SUCATA INOX</v>
      </c>
      <c r="C22491" s="2" t="str">
        <f t="shared" si="884"/>
        <v>UN</v>
      </c>
      <c r="D22491" s="7">
        <v>99999</v>
      </c>
      <c r="E22491" s="3">
        <v>12</v>
      </c>
      <c r="F22491" s="3">
        <v>12</v>
      </c>
      <c r="G22491" t="s">
        <v>513</v>
      </c>
    </row>
    <row r="22492" spans="1:7" x14ac:dyDescent="0.25">
      <c r="A22492" s="1" t="str">
        <f>"527532"</f>
        <v>527532</v>
      </c>
      <c r="B22492" s="2" t="str">
        <f>"SUCATA OLEO"</f>
        <v>SUCATA OLEO</v>
      </c>
      <c r="C22492" s="2" t="str">
        <f t="shared" si="884"/>
        <v>UN</v>
      </c>
      <c r="D22492" s="7">
        <v>99999</v>
      </c>
      <c r="E22492" s="3">
        <v>12</v>
      </c>
      <c r="F22492" s="3">
        <v>12</v>
      </c>
      <c r="G22492" t="s">
        <v>512</v>
      </c>
    </row>
    <row r="22493" spans="1:7" x14ac:dyDescent="0.25">
      <c r="A22493" s="1" t="str">
        <f>"3418"</f>
        <v>3418</v>
      </c>
      <c r="B22493" s="2" t="str">
        <f>"SUCATA OUTROS"</f>
        <v>SUCATA OUTROS</v>
      </c>
      <c r="C22493" s="2" t="str">
        <f>"KG"</f>
        <v>KG</v>
      </c>
      <c r="D22493" s="7">
        <v>1800</v>
      </c>
      <c r="E22493" s="3">
        <v>12</v>
      </c>
      <c r="F22493" s="3">
        <v>12</v>
      </c>
      <c r="G22493" t="s">
        <v>513</v>
      </c>
    </row>
    <row r="22494" spans="1:7" x14ac:dyDescent="0.25">
      <c r="A22494" s="1" t="str">
        <f>"2021"</f>
        <v>2021</v>
      </c>
      <c r="B22494" s="2" t="str">
        <f>"SUCATA PAPELAO"</f>
        <v>SUCATA PAPELAO</v>
      </c>
      <c r="C22494" s="2" t="str">
        <f>"KG"</f>
        <v>KG</v>
      </c>
      <c r="D22494" s="7">
        <v>1800</v>
      </c>
      <c r="E22494" s="3">
        <v>12</v>
      </c>
      <c r="F22494" s="3">
        <v>12</v>
      </c>
      <c r="G22494" t="s">
        <v>514</v>
      </c>
    </row>
    <row r="22495" spans="1:7" x14ac:dyDescent="0.25">
      <c r="A22495" s="1" t="str">
        <f>"2024"</f>
        <v>2024</v>
      </c>
      <c r="B22495" s="2" t="str">
        <f>"SUCATA PAPELAO (CAIXAS)"</f>
        <v>SUCATA PAPELAO (CAIXAS)</v>
      </c>
      <c r="C22495" s="2" t="str">
        <f>"KG"</f>
        <v>KG</v>
      </c>
      <c r="D22495" s="7">
        <v>1800</v>
      </c>
      <c r="E22495" s="3">
        <v>12</v>
      </c>
      <c r="F22495" s="3">
        <v>12</v>
      </c>
      <c r="G22495" t="s">
        <v>514</v>
      </c>
    </row>
    <row r="22496" spans="1:7" x14ac:dyDescent="0.25">
      <c r="A22496" s="1" t="str">
        <f>"2023"</f>
        <v>2023</v>
      </c>
      <c r="B22496" s="2" t="str">
        <f>"SUCATA PLASTICOS"</f>
        <v>SUCATA PLASTICOS</v>
      </c>
      <c r="C22496" s="2" t="str">
        <f>"KG"</f>
        <v>KG</v>
      </c>
      <c r="D22496" s="7">
        <v>1800</v>
      </c>
      <c r="E22496" s="3">
        <v>12</v>
      </c>
      <c r="F22496" s="3">
        <v>12</v>
      </c>
      <c r="G22496" t="s">
        <v>514</v>
      </c>
    </row>
    <row r="22497" spans="1:7" x14ac:dyDescent="0.25">
      <c r="A22497" s="1" t="str">
        <f>"2025"</f>
        <v>2025</v>
      </c>
      <c r="B22497" s="2" t="str">
        <f>"SUCATA PLASTICOS (P.S)"</f>
        <v>SUCATA PLASTICOS (P.S)</v>
      </c>
      <c r="C22497" s="2" t="str">
        <f>"KG"</f>
        <v>KG</v>
      </c>
      <c r="D22497" s="7">
        <v>1800</v>
      </c>
      <c r="E22497" s="3">
        <v>12</v>
      </c>
      <c r="F22497" s="3">
        <v>12</v>
      </c>
      <c r="G22497" t="s">
        <v>513</v>
      </c>
    </row>
    <row r="22498" spans="1:7" x14ac:dyDescent="0.25">
      <c r="A22498" s="1" t="str">
        <f>"511110"</f>
        <v>511110</v>
      </c>
      <c r="B22498" s="2" t="str">
        <f>"SUCATA VIGA"</f>
        <v>SUCATA VIGA</v>
      </c>
      <c r="C22498" s="2" t="str">
        <f>"PC"</f>
        <v>PC</v>
      </c>
      <c r="D22498" s="7">
        <v>806</v>
      </c>
      <c r="E22498" s="3">
        <v>10</v>
      </c>
      <c r="F22498" s="3">
        <v>10</v>
      </c>
      <c r="G22498" t="s">
        <v>513</v>
      </c>
    </row>
    <row r="22499" spans="1:7" x14ac:dyDescent="0.25">
      <c r="A22499" s="1" t="str">
        <f>"514519"</f>
        <v>514519</v>
      </c>
      <c r="B22499" s="2" t="str">
        <f>"SUCO"</f>
        <v>SUCO</v>
      </c>
      <c r="C22499" s="2" t="str">
        <f>"UN"</f>
        <v>UN</v>
      </c>
      <c r="D22499" s="7">
        <v>401</v>
      </c>
      <c r="E22499" s="3">
        <v>4</v>
      </c>
      <c r="F22499" s="3">
        <v>4</v>
      </c>
      <c r="G22499" t="s">
        <v>513</v>
      </c>
    </row>
    <row r="22500" spans="1:7" x14ac:dyDescent="0.25">
      <c r="A22500" s="1" t="str">
        <f>"523565"</f>
        <v>523565</v>
      </c>
      <c r="B22500" s="2" t="str">
        <f>"SUCO CONCENTRADO DE LARANJA"</f>
        <v>SUCO CONCENTRADO DE LARANJA</v>
      </c>
      <c r="C22500" s="2" t="str">
        <f>"UN"</f>
        <v>UN</v>
      </c>
      <c r="D22500" s="7">
        <v>99999</v>
      </c>
      <c r="E22500" s="3">
        <v>99</v>
      </c>
      <c r="F22500" s="3">
        <v>99</v>
      </c>
      <c r="G22500" t="s">
        <v>512</v>
      </c>
    </row>
    <row r="22501" spans="1:7" x14ac:dyDescent="0.25">
      <c r="A22501" s="1" t="str">
        <f>"514575"</f>
        <v>514575</v>
      </c>
      <c r="B22501" s="2" t="str">
        <f>"SUCRILHOS"</f>
        <v>SUCRILHOS</v>
      </c>
      <c r="C22501" s="2" t="str">
        <f>"UN"</f>
        <v>UN</v>
      </c>
      <c r="D22501" s="7">
        <v>401</v>
      </c>
      <c r="E22501" s="3">
        <v>4</v>
      </c>
      <c r="F22501" s="3">
        <v>4</v>
      </c>
      <c r="G22501" t="s">
        <v>513</v>
      </c>
    </row>
    <row r="22502" spans="1:7" x14ac:dyDescent="0.25">
      <c r="A22502" s="1" t="str">
        <f>"989"</f>
        <v>989</v>
      </c>
      <c r="B22502" s="2" t="str">
        <f>"SUCRILHOS SKARCHITOS SUPERBOM 24X500GR CX KELLOGGS"</f>
        <v>SUCRILHOS SKARCHITOS SUPERBOM 24X500GR CX KELLOGGS</v>
      </c>
      <c r="C22502" s="2" t="str">
        <f>"KG"</f>
        <v>KG</v>
      </c>
      <c r="D22502" s="7">
        <v>217</v>
      </c>
      <c r="E22502" s="3">
        <v>2</v>
      </c>
      <c r="F22502" s="3">
        <v>2</v>
      </c>
      <c r="G22502" t="s">
        <v>514</v>
      </c>
    </row>
    <row r="22503" spans="1:7" x14ac:dyDescent="0.25">
      <c r="A22503" s="1" t="str">
        <f>"515017"</f>
        <v>515017</v>
      </c>
      <c r="B22503" s="2" t="str">
        <f>"SULFADIAZINA DE PRATA"</f>
        <v>SULFADIAZINA DE PRATA</v>
      </c>
      <c r="C22503" s="2" t="str">
        <f>"UN"</f>
        <v>UN</v>
      </c>
      <c r="D22503" s="7">
        <v>401</v>
      </c>
      <c r="E22503" s="3">
        <v>4</v>
      </c>
      <c r="F22503" s="3">
        <v>4</v>
      </c>
      <c r="G22503" t="s">
        <v>515</v>
      </c>
    </row>
    <row r="22504" spans="1:7" x14ac:dyDescent="0.25">
      <c r="A22504" s="1" t="str">
        <f>"6144"</f>
        <v>6144</v>
      </c>
      <c r="B22504" s="2" t="str">
        <f>"SULFATO DE ALUMINIO EM PO"</f>
        <v>SULFATO DE ALUMINIO EM PO</v>
      </c>
      <c r="C22504" s="2" t="str">
        <f>"KG"</f>
        <v>KG</v>
      </c>
      <c r="D22504" s="7">
        <v>400</v>
      </c>
      <c r="E22504" s="3">
        <v>4</v>
      </c>
      <c r="F22504" s="3">
        <v>4</v>
      </c>
      <c r="G22504" t="s">
        <v>512</v>
      </c>
    </row>
    <row r="22505" spans="1:7" x14ac:dyDescent="0.25">
      <c r="A22505" s="1" t="str">
        <f>"6143"</f>
        <v>6143</v>
      </c>
      <c r="B22505" s="2" t="str">
        <f>"SULFATO DE ALUMINIO LIQUIDO"</f>
        <v>SULFATO DE ALUMINIO LIQUIDO</v>
      </c>
      <c r="C22505" s="2" t="str">
        <f>"UN"</f>
        <v>UN</v>
      </c>
      <c r="D22505" s="7">
        <v>400</v>
      </c>
      <c r="E22505" s="3">
        <v>4</v>
      </c>
      <c r="F22505" s="3">
        <v>4</v>
      </c>
      <c r="G22505" t="s">
        <v>516</v>
      </c>
    </row>
    <row r="22506" spans="1:7" x14ac:dyDescent="0.25">
      <c r="A22506" s="1" t="str">
        <f>"2328"</f>
        <v>2328</v>
      </c>
      <c r="B22506" s="2" t="str">
        <f>"SULFATO DE COBRE"</f>
        <v>SULFATO DE COBRE</v>
      </c>
      <c r="C22506" s="2" t="str">
        <f>"KG"</f>
        <v>KG</v>
      </c>
      <c r="D22506" s="7">
        <v>400</v>
      </c>
      <c r="E22506" s="3">
        <v>4</v>
      </c>
      <c r="F22506" s="3">
        <v>4</v>
      </c>
      <c r="G22506" t="s">
        <v>515</v>
      </c>
    </row>
    <row r="22507" spans="1:7" x14ac:dyDescent="0.25">
      <c r="A22507" s="1" t="str">
        <f>"510675"</f>
        <v>510675</v>
      </c>
      <c r="B22507" s="2" t="str">
        <f>"SULFATO DE NEOMICINA BACITRAC"</f>
        <v>SULFATO DE NEOMICINA BACITRAC</v>
      </c>
      <c r="C22507" s="2" t="str">
        <f t="shared" ref="C22507:C22512" si="885">"UN"</f>
        <v>UN</v>
      </c>
      <c r="D22507" s="7">
        <v>401</v>
      </c>
      <c r="E22507" s="3">
        <v>4</v>
      </c>
      <c r="F22507" s="3">
        <v>4</v>
      </c>
      <c r="G22507" t="s">
        <v>514</v>
      </c>
    </row>
    <row r="22508" spans="1:7" x14ac:dyDescent="0.25">
      <c r="A22508" s="1" t="str">
        <f>"514989"</f>
        <v>514989</v>
      </c>
      <c r="B22508" s="2" t="str">
        <f>"SULONIL 100MG"</f>
        <v>SULONIL 100MG</v>
      </c>
      <c r="C22508" s="2" t="str">
        <f t="shared" si="885"/>
        <v>UN</v>
      </c>
      <c r="D22508" s="7">
        <v>406</v>
      </c>
      <c r="E22508" s="3">
        <v>4</v>
      </c>
      <c r="F22508" s="3">
        <v>4</v>
      </c>
      <c r="G22508" t="s">
        <v>512</v>
      </c>
    </row>
    <row r="22509" spans="1:7" x14ac:dyDescent="0.25">
      <c r="A22509" s="1" t="str">
        <f>"520902"</f>
        <v>520902</v>
      </c>
      <c r="B22509" s="2" t="str">
        <f>"SUP. BASIC SUP/SUB VMWARE VSPHERE 6 ESS. PLUS KIT FOR 1 YEAR"</f>
        <v>SUP. BASIC SUP/SUB VMWARE VSPHERE 6 ESS. PLUS KIT FOR 1 YEAR</v>
      </c>
      <c r="C22509" s="2" t="str">
        <f t="shared" si="885"/>
        <v>UN</v>
      </c>
      <c r="D22509" s="7">
        <v>99999</v>
      </c>
      <c r="E22509" s="3">
        <v>99</v>
      </c>
      <c r="F22509" s="3">
        <v>99</v>
      </c>
      <c r="G22509" t="s">
        <v>513</v>
      </c>
    </row>
    <row r="22510" spans="1:7" x14ac:dyDescent="0.25">
      <c r="A22510" s="1" t="str">
        <f>"521705"</f>
        <v>521705</v>
      </c>
      <c r="B22510" s="2" t="str">
        <f>"SUP. BOTOEIRA PEBZ 22,5 161 490 S/ ADES. P/ ETIQ. 18,7X26,7"</f>
        <v>SUP. BOTOEIRA PEBZ 22,5 161 490 S/ ADES. P/ ETIQ. 18,7X26,7</v>
      </c>
      <c r="C22510" s="2" t="str">
        <f t="shared" si="885"/>
        <v>UN</v>
      </c>
      <c r="D22510" s="7">
        <v>811</v>
      </c>
      <c r="E22510" s="3">
        <v>10</v>
      </c>
      <c r="F22510" s="3">
        <v>10</v>
      </c>
      <c r="G22510" t="s">
        <v>514</v>
      </c>
    </row>
    <row r="22511" spans="1:7" x14ac:dyDescent="0.25">
      <c r="A22511" s="1" t="str">
        <f>"527035"</f>
        <v>527035</v>
      </c>
      <c r="B22511" s="2" t="str">
        <f>"SUP.BOTOEIRA C. ANEL 22,5 C/ ADESIVO P/ETQ 18,7X26,7MM PRETO"</f>
        <v>SUP.BOTOEIRA C. ANEL 22,5 C/ ADESIVO P/ETQ 18,7X26,7MM PRETO</v>
      </c>
      <c r="C22511" s="2" t="str">
        <f t="shared" si="885"/>
        <v>UN</v>
      </c>
      <c r="D22511" s="7">
        <v>811</v>
      </c>
      <c r="E22511" s="3">
        <v>10</v>
      </c>
      <c r="F22511" s="3">
        <v>10</v>
      </c>
      <c r="G22511" t="s">
        <v>514</v>
      </c>
    </row>
    <row r="22512" spans="1:7" x14ac:dyDescent="0.25">
      <c r="A22512" s="1" t="str">
        <f>"509472"</f>
        <v>509472</v>
      </c>
      <c r="B22512" s="2" t="str">
        <f>"SUPER BONDER 20G"</f>
        <v>SUPER BONDER 20G</v>
      </c>
      <c r="C22512" s="2" t="str">
        <f t="shared" si="885"/>
        <v>UN</v>
      </c>
      <c r="D22512" s="7">
        <v>402</v>
      </c>
      <c r="E22512" s="3">
        <v>4</v>
      </c>
      <c r="F22512" s="3">
        <v>4</v>
      </c>
      <c r="G22512" t="s">
        <v>512</v>
      </c>
    </row>
    <row r="22513" spans="1:7" x14ac:dyDescent="0.25">
      <c r="A22513" s="1" t="str">
        <f>"515897"</f>
        <v>515897</v>
      </c>
      <c r="B22513" s="2" t="str">
        <f>"SUPER LIMP."</f>
        <v>SUPER LIMP.</v>
      </c>
      <c r="C22513" s="2" t="str">
        <f>"LT"</f>
        <v>LT</v>
      </c>
      <c r="D22513" s="7">
        <v>99999</v>
      </c>
      <c r="E22513" s="3">
        <v>99</v>
      </c>
      <c r="F22513" s="3">
        <v>99</v>
      </c>
      <c r="G22513" t="s">
        <v>513</v>
      </c>
    </row>
    <row r="22514" spans="1:7" x14ac:dyDescent="0.25">
      <c r="A22514" s="1" t="str">
        <f>"526919"</f>
        <v>526919</v>
      </c>
      <c r="B22514" s="2" t="str">
        <f>"SUPLEMENTO"</f>
        <v>SUPLEMENTO</v>
      </c>
      <c r="C22514" s="2" t="str">
        <f t="shared" ref="C22514:C22536" si="886">"UN"</f>
        <v>UN</v>
      </c>
      <c r="D22514" s="7">
        <v>99999</v>
      </c>
      <c r="E22514" s="3">
        <v>99</v>
      </c>
      <c r="F22514" s="3">
        <v>99</v>
      </c>
      <c r="G22514" t="s">
        <v>514</v>
      </c>
    </row>
    <row r="22515" spans="1:7" x14ac:dyDescent="0.25">
      <c r="A22515" s="1" t="str">
        <f>"520610"</f>
        <v>520610</v>
      </c>
      <c r="B22515" s="2" t="str">
        <f>"SUPLEMENTO ENRIQUECIMENTO PETRIFILM SALX3M COD HEXIS SESUPOO"</f>
        <v>SUPLEMENTO ENRIQUECIMENTO PETRIFILM SALX3M COD HEXIS SESUPOO</v>
      </c>
      <c r="C22515" s="2" t="str">
        <f t="shared" si="886"/>
        <v>UN</v>
      </c>
      <c r="D22515" s="7">
        <v>406</v>
      </c>
      <c r="E22515" s="3">
        <v>4</v>
      </c>
      <c r="F22515" s="3">
        <v>4</v>
      </c>
      <c r="G22515" t="s">
        <v>514</v>
      </c>
    </row>
    <row r="22516" spans="1:7" x14ac:dyDescent="0.25">
      <c r="A22516" s="1" t="str">
        <f>"514166"</f>
        <v>514166</v>
      </c>
      <c r="B22516" s="2" t="str">
        <f>"SUPORTE"</f>
        <v>SUPORTE</v>
      </c>
      <c r="C22516" s="2" t="str">
        <f t="shared" si="886"/>
        <v>UN</v>
      </c>
      <c r="D22516" s="7">
        <v>704</v>
      </c>
      <c r="E22516" s="3">
        <v>9</v>
      </c>
      <c r="F22516" s="3">
        <v>9</v>
      </c>
      <c r="G22516" t="s">
        <v>514</v>
      </c>
    </row>
    <row r="22517" spans="1:7" x14ac:dyDescent="0.25">
      <c r="A22517" s="1" t="str">
        <f>"511848"</f>
        <v>511848</v>
      </c>
      <c r="B22517" s="2" t="str">
        <f>"SUPORTE 4"" 4 PIAL PLUS"</f>
        <v>SUPORTE 4" 4 PIAL PLUS</v>
      </c>
      <c r="C22517" s="2" t="str">
        <f t="shared" si="886"/>
        <v>UN</v>
      </c>
      <c r="D22517" s="7">
        <v>918</v>
      </c>
      <c r="E22517" s="3">
        <v>11</v>
      </c>
      <c r="F22517" s="3">
        <v>11</v>
      </c>
      <c r="G22517" t="s">
        <v>513</v>
      </c>
    </row>
    <row r="22518" spans="1:7" x14ac:dyDescent="0.25">
      <c r="A22518" s="1" t="str">
        <f>"527730"</f>
        <v>527730</v>
      </c>
      <c r="B22518" s="2" t="str">
        <f>"SUPORTE 4X2 P/ 3 MODULOS BR LUNARE  SCHNEIDER"</f>
        <v>SUPORTE 4X2 P/ 3 MODULOS BR LUNARE  SCHNEIDER</v>
      </c>
      <c r="C22518" s="2" t="str">
        <f t="shared" si="886"/>
        <v>UN</v>
      </c>
      <c r="D22518" s="7">
        <v>811</v>
      </c>
      <c r="E22518" s="3">
        <v>11</v>
      </c>
      <c r="F22518" s="3">
        <v>11</v>
      </c>
      <c r="G22518" t="s">
        <v>512</v>
      </c>
    </row>
    <row r="22519" spans="1:7" x14ac:dyDescent="0.25">
      <c r="A22519" s="1" t="str">
        <f>"523964"</f>
        <v>523964</v>
      </c>
      <c r="B22519" s="2" t="str">
        <f>"SUPORTE ACETADO CRISTAL A3 PAISAGEM REF1009 SACP-A3-MG"</f>
        <v>SUPORTE ACETADO CRISTAL A3 PAISAGEM REF1009 SACP-A3-MG</v>
      </c>
      <c r="C22519" s="2" t="str">
        <f t="shared" si="886"/>
        <v>UN</v>
      </c>
      <c r="D22519" s="7">
        <v>401</v>
      </c>
      <c r="E22519" s="3">
        <v>4</v>
      </c>
      <c r="F22519" s="3">
        <v>4</v>
      </c>
      <c r="G22519" t="s">
        <v>513</v>
      </c>
    </row>
    <row r="22520" spans="1:7" x14ac:dyDescent="0.25">
      <c r="A22520" s="1" t="str">
        <f>"523965"</f>
        <v>523965</v>
      </c>
      <c r="B22520" s="2" t="str">
        <f>"SUPORTE ACETADO CRISTAL A3 RETRATO REF1008 SACR-A3-MG"</f>
        <v>SUPORTE ACETADO CRISTAL A3 RETRATO REF1008 SACR-A3-MG</v>
      </c>
      <c r="C22520" s="2" t="str">
        <f t="shared" si="886"/>
        <v>UN</v>
      </c>
      <c r="D22520" s="7">
        <v>401</v>
      </c>
      <c r="E22520" s="3">
        <v>4</v>
      </c>
      <c r="F22520" s="3">
        <v>4</v>
      </c>
      <c r="G22520" t="s">
        <v>514</v>
      </c>
    </row>
    <row r="22521" spans="1:7" x14ac:dyDescent="0.25">
      <c r="A22521" s="1" t="str">
        <f>"519644"</f>
        <v>519644</v>
      </c>
      <c r="B22521" s="2" t="str">
        <f>"SUPORTE ACETADO CRISTAL A4 PAISAGEM REF1007 SACP-A4-AD"</f>
        <v>SUPORTE ACETADO CRISTAL A4 PAISAGEM REF1007 SACP-A4-AD</v>
      </c>
      <c r="C22521" s="2" t="str">
        <f t="shared" si="886"/>
        <v>UN</v>
      </c>
      <c r="D22521" s="7">
        <v>401</v>
      </c>
      <c r="E22521" s="3">
        <v>4</v>
      </c>
      <c r="F22521" s="3">
        <v>4</v>
      </c>
      <c r="G22521" t="s">
        <v>514</v>
      </c>
    </row>
    <row r="22522" spans="1:7" x14ac:dyDescent="0.25">
      <c r="A22522" s="1" t="str">
        <f>"519646"</f>
        <v>519646</v>
      </c>
      <c r="B22522" s="2" t="str">
        <f>"SUPORTE ACETADO CRISTAL A4 PAISAGEM REF1009 SACP-A4-MG"</f>
        <v>SUPORTE ACETADO CRISTAL A4 PAISAGEM REF1009 SACP-A4-MG</v>
      </c>
      <c r="C22522" s="2" t="str">
        <f t="shared" si="886"/>
        <v>UN</v>
      </c>
      <c r="D22522" s="7">
        <v>401</v>
      </c>
      <c r="E22522" s="3">
        <v>4</v>
      </c>
      <c r="F22522" s="3">
        <v>4</v>
      </c>
      <c r="G22522" t="s">
        <v>514</v>
      </c>
    </row>
    <row r="22523" spans="1:7" x14ac:dyDescent="0.25">
      <c r="A22523" s="1" t="str">
        <f>"512931"</f>
        <v>512931</v>
      </c>
      <c r="B22523" s="2" t="str">
        <f>"SUPORTE ACETADO CRISTAL A4 RETRATO REF1006 SACR-A4-AD"</f>
        <v>SUPORTE ACETADO CRISTAL A4 RETRATO REF1006 SACR-A4-AD</v>
      </c>
      <c r="C22523" s="2" t="str">
        <f t="shared" si="886"/>
        <v>UN</v>
      </c>
      <c r="D22523" s="7">
        <v>401</v>
      </c>
      <c r="E22523" s="3">
        <v>4</v>
      </c>
      <c r="F22523" s="3">
        <v>4</v>
      </c>
      <c r="G22523" t="s">
        <v>513</v>
      </c>
    </row>
    <row r="22524" spans="1:7" x14ac:dyDescent="0.25">
      <c r="A22524" s="1" t="str">
        <f>"513560"</f>
        <v>513560</v>
      </c>
      <c r="B22524" s="2" t="str">
        <f>"SUPORTE ACETADO CRISTAL A4 RETRATO REF1008 SACR-A4-MG"</f>
        <v>SUPORTE ACETADO CRISTAL A4 RETRATO REF1008 SACR-A4-MG</v>
      </c>
      <c r="C22524" s="2" t="str">
        <f t="shared" si="886"/>
        <v>UN</v>
      </c>
      <c r="D22524" s="7">
        <v>401</v>
      </c>
      <c r="E22524" s="3">
        <v>4</v>
      </c>
      <c r="F22524" s="3">
        <v>4</v>
      </c>
      <c r="G22524" t="s">
        <v>513</v>
      </c>
    </row>
    <row r="22525" spans="1:7" x14ac:dyDescent="0.25">
      <c r="A22525" s="1" t="str">
        <f>"519645"</f>
        <v>519645</v>
      </c>
      <c r="B22525" s="2" t="str">
        <f>"SUPORTE ACETADO CRISTAL TAMANHO A4 RETRATO REF 1008"</f>
        <v>SUPORTE ACETADO CRISTAL TAMANHO A4 RETRATO REF 1008</v>
      </c>
      <c r="C22525" s="2" t="str">
        <f t="shared" si="886"/>
        <v>UN</v>
      </c>
      <c r="D22525" s="7">
        <v>401</v>
      </c>
      <c r="E22525" s="3">
        <v>4</v>
      </c>
      <c r="F22525" s="3">
        <v>4</v>
      </c>
      <c r="G22525" t="s">
        <v>513</v>
      </c>
    </row>
    <row r="22526" spans="1:7" x14ac:dyDescent="0.25">
      <c r="A22526" s="1" t="str">
        <f>"527457"</f>
        <v>527457</v>
      </c>
      <c r="B22526" s="2" t="str">
        <f>"SUPORTE AÇO P/ SENSOR INDUTIVO PROXIMIDADE 2092664"</f>
        <v>SUPORTE AÇO P/ SENSOR INDUTIVO PROXIMIDADE 2092664</v>
      </c>
      <c r="C22526" s="2" t="str">
        <f t="shared" si="886"/>
        <v>UN</v>
      </c>
      <c r="D22526" s="7">
        <v>807</v>
      </c>
      <c r="E22526" s="3">
        <v>11</v>
      </c>
      <c r="F22526" s="3">
        <v>11</v>
      </c>
      <c r="G22526" t="s">
        <v>512</v>
      </c>
    </row>
    <row r="22527" spans="1:7" x14ac:dyDescent="0.25">
      <c r="A22527" s="1" t="str">
        <f>"524289"</f>
        <v>524289</v>
      </c>
      <c r="B22527" s="2" t="str">
        <f>"SUPORTE ACRILICO TAMANHO 8 X 12MM"</f>
        <v>SUPORTE ACRILICO TAMANHO 8 X 12MM</v>
      </c>
      <c r="C22527" s="2" t="str">
        <f t="shared" si="886"/>
        <v>UN</v>
      </c>
      <c r="D22527" s="7">
        <v>920</v>
      </c>
      <c r="E22527" s="3">
        <v>99</v>
      </c>
      <c r="F22527" s="3">
        <v>99</v>
      </c>
      <c r="G22527" t="s">
        <v>513</v>
      </c>
    </row>
    <row r="22528" spans="1:7" x14ac:dyDescent="0.25">
      <c r="A22528" s="1" t="str">
        <f>"524288"</f>
        <v>524288</v>
      </c>
      <c r="B22528" s="2" t="str">
        <f>"SUPORTE ACRILICO TAMANHO A-4"</f>
        <v>SUPORTE ACRILICO TAMANHO A-4</v>
      </c>
      <c r="C22528" s="2" t="str">
        <f t="shared" si="886"/>
        <v>UN</v>
      </c>
      <c r="D22528" s="7">
        <v>920</v>
      </c>
      <c r="E22528" s="3">
        <v>99</v>
      </c>
      <c r="F22528" s="3">
        <v>99</v>
      </c>
      <c r="G22528" t="s">
        <v>514</v>
      </c>
    </row>
    <row r="22529" spans="1:7" x14ac:dyDescent="0.25">
      <c r="A22529" s="1" t="str">
        <f>"519617"</f>
        <v>519617</v>
      </c>
      <c r="B22529" s="2" t="str">
        <f>"SUPORTE AGITADOR 5CV"</f>
        <v>SUPORTE AGITADOR 5CV</v>
      </c>
      <c r="C22529" s="2" t="str">
        <f t="shared" si="886"/>
        <v>UN</v>
      </c>
      <c r="D22529" s="7">
        <v>918</v>
      </c>
      <c r="E22529" s="3">
        <v>11</v>
      </c>
      <c r="F22529" s="3">
        <v>11</v>
      </c>
      <c r="G22529" t="s">
        <v>515</v>
      </c>
    </row>
    <row r="22530" spans="1:7" x14ac:dyDescent="0.25">
      <c r="A22530" s="1" t="str">
        <f>"510021"</f>
        <v>510021</v>
      </c>
      <c r="B22530" s="2" t="str">
        <f>"SUPORTE AMORT. DIANT. DIREITA 41013677"</f>
        <v>SUPORTE AMORT. DIANT. DIREITA 41013677</v>
      </c>
      <c r="C22530" s="2" t="str">
        <f t="shared" si="886"/>
        <v>UN</v>
      </c>
      <c r="D22530" s="7">
        <v>704</v>
      </c>
      <c r="E22530" s="3">
        <v>9</v>
      </c>
      <c r="F22530" s="3">
        <v>9</v>
      </c>
      <c r="G22530" t="s">
        <v>512</v>
      </c>
    </row>
    <row r="22531" spans="1:7" x14ac:dyDescent="0.25">
      <c r="A22531" s="1" t="str">
        <f>"519686"</f>
        <v>519686</v>
      </c>
      <c r="B22531" s="2" t="str">
        <f>"SUPORTE AR CONDICIONADO SPLIT 500MM"</f>
        <v>SUPORTE AR CONDICIONADO SPLIT 500MM</v>
      </c>
      <c r="C22531" s="2" t="str">
        <f t="shared" si="886"/>
        <v>UN</v>
      </c>
      <c r="D22531" s="7">
        <v>916</v>
      </c>
      <c r="E22531" s="3">
        <v>10</v>
      </c>
      <c r="F22531" s="3">
        <v>10</v>
      </c>
      <c r="G22531" t="s">
        <v>516</v>
      </c>
    </row>
    <row r="22532" spans="1:7" x14ac:dyDescent="0.25">
      <c r="A22532" s="1" t="str">
        <f>"525415"</f>
        <v>525415</v>
      </c>
      <c r="B22532" s="2" t="str">
        <f>"SUPORTE ARTICULADO P/ 2 MONITORES 13"" A 27"" SBRM721"</f>
        <v>SUPORTE ARTICULADO P/ 2 MONITORES 13" A 27" SBRM721</v>
      </c>
      <c r="C22532" s="2" t="str">
        <f t="shared" si="886"/>
        <v>UN</v>
      </c>
      <c r="D22532" s="7">
        <v>99999</v>
      </c>
      <c r="E22532" s="3">
        <v>99</v>
      </c>
      <c r="F22532" s="3">
        <v>99</v>
      </c>
      <c r="G22532" t="s">
        <v>515</v>
      </c>
    </row>
    <row r="22533" spans="1:7" x14ac:dyDescent="0.25">
      <c r="A22533" s="1" t="str">
        <f>"525416"</f>
        <v>525416</v>
      </c>
      <c r="B22533" s="2" t="str">
        <f>"SUPORTE ARTICULADO P/TV 4K/LCD/LED 23"" A 55"""</f>
        <v>SUPORTE ARTICULADO P/TV 4K/LCD/LED 23" A 55"</v>
      </c>
      <c r="C22533" s="2" t="str">
        <f t="shared" si="886"/>
        <v>UN</v>
      </c>
      <c r="D22533" s="7">
        <v>99999</v>
      </c>
      <c r="E22533" s="3">
        <v>99</v>
      </c>
      <c r="F22533" s="3">
        <v>99</v>
      </c>
      <c r="G22533" t="s">
        <v>514</v>
      </c>
    </row>
    <row r="22534" spans="1:7" x14ac:dyDescent="0.25">
      <c r="A22534" s="1" t="str">
        <f>"502440"</f>
        <v>502440</v>
      </c>
      <c r="B22534" s="2" t="str">
        <f>"SUPORTE AUXILIAR F14000/CARGO"</f>
        <v>SUPORTE AUXILIAR F14000/CARGO</v>
      </c>
      <c r="C22534" s="2" t="str">
        <f t="shared" si="886"/>
        <v>UN</v>
      </c>
      <c r="D22534" s="7">
        <v>704</v>
      </c>
      <c r="E22534" s="3">
        <v>9</v>
      </c>
      <c r="F22534" s="3">
        <v>9</v>
      </c>
      <c r="G22534" t="s">
        <v>512</v>
      </c>
    </row>
    <row r="22535" spans="1:7" x14ac:dyDescent="0.25">
      <c r="A22535" s="1" t="str">
        <f>"511631"</f>
        <v>511631</v>
      </c>
      <c r="B22535" s="2" t="str">
        <f>"SUPORTE BALIZA"</f>
        <v>SUPORTE BALIZA</v>
      </c>
      <c r="C22535" s="2" t="str">
        <f t="shared" si="886"/>
        <v>UN</v>
      </c>
      <c r="D22535" s="7">
        <v>918</v>
      </c>
      <c r="E22535" s="3">
        <v>11</v>
      </c>
      <c r="F22535" s="3">
        <v>11</v>
      </c>
      <c r="G22535" t="s">
        <v>513</v>
      </c>
    </row>
    <row r="22536" spans="1:7" x14ac:dyDescent="0.25">
      <c r="A22536" s="1" t="str">
        <f>"525142"</f>
        <v>525142</v>
      </c>
      <c r="B22536" s="2" t="str">
        <f>"SUPORTE BARRA DE ASPIRAÇÃO"</f>
        <v>SUPORTE BARRA DE ASPIRAÇÃO</v>
      </c>
      <c r="C22536" s="2" t="str">
        <f t="shared" si="886"/>
        <v>UN</v>
      </c>
      <c r="D22536" s="7">
        <v>99999</v>
      </c>
      <c r="E22536" s="3">
        <v>99</v>
      </c>
      <c r="F22536" s="3">
        <v>99</v>
      </c>
      <c r="G22536" t="s">
        <v>514</v>
      </c>
    </row>
    <row r="22537" spans="1:7" x14ac:dyDescent="0.25">
      <c r="A22537" s="1" t="str">
        <f>"511595"</f>
        <v>511595</v>
      </c>
      <c r="B22537" s="2" t="str">
        <f>"SUPORTE BOBINA PS"</f>
        <v>SUPORTE BOBINA PS</v>
      </c>
      <c r="C22537" s="2" t="str">
        <f>"PC"</f>
        <v>PC</v>
      </c>
      <c r="D22537" s="7">
        <v>806</v>
      </c>
      <c r="E22537" s="3">
        <v>10</v>
      </c>
      <c r="F22537" s="3">
        <v>10</v>
      </c>
      <c r="G22537" t="s">
        <v>514</v>
      </c>
    </row>
    <row r="22538" spans="1:7" x14ac:dyDescent="0.25">
      <c r="A22538" s="1" t="str">
        <f>"522325"</f>
        <v>522325</v>
      </c>
      <c r="B22538" s="2" t="str">
        <f>"SUPORTE BORRACHA 4 1/2"""</f>
        <v>SUPORTE BORRACHA 4 1/2"</v>
      </c>
      <c r="C22538" s="2" t="str">
        <f t="shared" ref="C22538:C22557" si="887">"UN"</f>
        <v>UN</v>
      </c>
      <c r="D22538" s="7">
        <v>802</v>
      </c>
      <c r="E22538" s="3">
        <v>4</v>
      </c>
      <c r="F22538" s="3">
        <v>4</v>
      </c>
      <c r="G22538" t="s">
        <v>512</v>
      </c>
    </row>
    <row r="22539" spans="1:7" x14ac:dyDescent="0.25">
      <c r="A22539" s="1" t="str">
        <f>"514209"</f>
        <v>514209</v>
      </c>
      <c r="B22539" s="2" t="str">
        <f>"SUPORTE BURETA BASE FERRO 70CM"</f>
        <v>SUPORTE BURETA BASE FERRO 70CM</v>
      </c>
      <c r="C22539" s="2" t="str">
        <f t="shared" si="887"/>
        <v>UN</v>
      </c>
      <c r="D22539" s="7">
        <v>406</v>
      </c>
      <c r="E22539" s="3">
        <v>4</v>
      </c>
      <c r="F22539" s="3">
        <v>4</v>
      </c>
      <c r="G22539" t="s">
        <v>513</v>
      </c>
    </row>
    <row r="22540" spans="1:7" x14ac:dyDescent="0.25">
      <c r="A22540" s="1" t="str">
        <f>"505505"</f>
        <v>505505</v>
      </c>
      <c r="B22540" s="2" t="str">
        <f>"SUPORTE C/ COXIM ESCAPAMENTO"</f>
        <v>SUPORTE C/ COXIM ESCAPAMENTO</v>
      </c>
      <c r="C22540" s="2" t="str">
        <f t="shared" si="887"/>
        <v>UN</v>
      </c>
      <c r="D22540" s="7">
        <v>704</v>
      </c>
      <c r="E22540" s="3">
        <v>9</v>
      </c>
      <c r="F22540" s="3">
        <v>9</v>
      </c>
      <c r="G22540" t="s">
        <v>514</v>
      </c>
    </row>
    <row r="22541" spans="1:7" x14ac:dyDescent="0.25">
      <c r="A22541" s="1" t="str">
        <f>"510360"</f>
        <v>510360</v>
      </c>
      <c r="B22541" s="2" t="str">
        <f>"SUPORTE C/ TAMPA P/ AÇUCAR"</f>
        <v>SUPORTE C/ TAMPA P/ AÇUCAR</v>
      </c>
      <c r="C22541" s="2" t="str">
        <f t="shared" si="887"/>
        <v>UN</v>
      </c>
      <c r="D22541" s="7">
        <v>402</v>
      </c>
      <c r="E22541" s="3">
        <v>4</v>
      </c>
      <c r="F22541" s="3">
        <v>4</v>
      </c>
      <c r="G22541" t="s">
        <v>514</v>
      </c>
    </row>
    <row r="22542" spans="1:7" x14ac:dyDescent="0.25">
      <c r="A22542" s="1" t="str">
        <f>"508123"</f>
        <v>508123</v>
      </c>
      <c r="B22542" s="2" t="str">
        <f>"SUPORTE CABEÇOTE CIJ PADRAO CROMADO"</f>
        <v>SUPORTE CABEÇOTE CIJ PADRAO CROMADO</v>
      </c>
      <c r="C22542" s="2" t="str">
        <f t="shared" si="887"/>
        <v>UN</v>
      </c>
      <c r="D22542" s="7">
        <v>918</v>
      </c>
      <c r="E22542" s="3">
        <v>11</v>
      </c>
      <c r="F22542" s="3">
        <v>11</v>
      </c>
      <c r="G22542" t="s">
        <v>514</v>
      </c>
    </row>
    <row r="22543" spans="1:7" x14ac:dyDescent="0.25">
      <c r="A22543" s="1" t="str">
        <f>"513149"</f>
        <v>513149</v>
      </c>
      <c r="B22543" s="2" t="str">
        <f>"SUPORTE CESTO 60L COM PEDAL"</f>
        <v>SUPORTE CESTO 60L COM PEDAL</v>
      </c>
      <c r="C22543" s="2" t="str">
        <f t="shared" si="887"/>
        <v>UN</v>
      </c>
      <c r="D22543" s="7">
        <v>406</v>
      </c>
      <c r="E22543" s="3">
        <v>4</v>
      </c>
      <c r="F22543" s="3">
        <v>4</v>
      </c>
      <c r="G22543" t="s">
        <v>513</v>
      </c>
    </row>
    <row r="22544" spans="1:7" x14ac:dyDescent="0.25">
      <c r="A22544" s="1" t="str">
        <f>"512573"</f>
        <v>512573</v>
      </c>
      <c r="B22544" s="2" t="str">
        <f>"SUPORTE CILINDRO"</f>
        <v>SUPORTE CILINDRO</v>
      </c>
      <c r="C22544" s="2" t="str">
        <f t="shared" si="887"/>
        <v>UN</v>
      </c>
      <c r="D22544" s="7">
        <v>918</v>
      </c>
      <c r="E22544" s="3">
        <v>11</v>
      </c>
      <c r="F22544" s="3">
        <v>11</v>
      </c>
      <c r="G22544" t="s">
        <v>512</v>
      </c>
    </row>
    <row r="22545" spans="1:7" x14ac:dyDescent="0.25">
      <c r="A22545" s="1" t="str">
        <f>"511628"</f>
        <v>511628</v>
      </c>
      <c r="B22545" s="2" t="str">
        <f>"SUPORTE CONTROLADOR TEMPERATURA"</f>
        <v>SUPORTE CONTROLADOR TEMPERATURA</v>
      </c>
      <c r="C22545" s="2" t="str">
        <f t="shared" si="887"/>
        <v>UN</v>
      </c>
      <c r="D22545" s="7">
        <v>918</v>
      </c>
      <c r="E22545" s="3">
        <v>11</v>
      </c>
      <c r="F22545" s="3">
        <v>11</v>
      </c>
      <c r="G22545" t="s">
        <v>513</v>
      </c>
    </row>
    <row r="22546" spans="1:7" x14ac:dyDescent="0.25">
      <c r="A22546" s="1" t="str">
        <f>"511846"</f>
        <v>511846</v>
      </c>
      <c r="B22546" s="2" t="str">
        <f>"SUPORTE CONTROLADOR TEMPERATURA"</f>
        <v>SUPORTE CONTROLADOR TEMPERATURA</v>
      </c>
      <c r="C22546" s="2" t="str">
        <f t="shared" si="887"/>
        <v>UN</v>
      </c>
      <c r="D22546" s="7">
        <v>918</v>
      </c>
      <c r="E22546" s="3">
        <v>11</v>
      </c>
      <c r="F22546" s="3">
        <v>11</v>
      </c>
      <c r="G22546" t="s">
        <v>514</v>
      </c>
    </row>
    <row r="22547" spans="1:7" x14ac:dyDescent="0.25">
      <c r="A22547" s="1" t="str">
        <f>"525587"</f>
        <v>525587</v>
      </c>
      <c r="B22547" s="2" t="str">
        <f>"SUPORTE DA BANDEIJA"</f>
        <v>SUPORTE DA BANDEIJA</v>
      </c>
      <c r="C22547" s="2" t="str">
        <f t="shared" si="887"/>
        <v>UN</v>
      </c>
      <c r="D22547" s="7">
        <v>1300</v>
      </c>
      <c r="E22547" s="3">
        <v>10</v>
      </c>
      <c r="F22547" s="3">
        <v>10</v>
      </c>
      <c r="G22547" t="s">
        <v>514</v>
      </c>
    </row>
    <row r="22548" spans="1:7" x14ac:dyDescent="0.25">
      <c r="A22548" s="1" t="str">
        <f>"520848"</f>
        <v>520848</v>
      </c>
      <c r="B22548" s="2" t="str">
        <f>"SUPORTE DA COLUNA E4199-54441"</f>
        <v>SUPORTE DA COLUNA E4199-54441</v>
      </c>
      <c r="C22548" s="2" t="str">
        <f t="shared" si="887"/>
        <v>UN</v>
      </c>
      <c r="D22548" s="7">
        <v>1300</v>
      </c>
      <c r="E22548" s="3">
        <v>11</v>
      </c>
      <c r="F22548" s="3">
        <v>11</v>
      </c>
      <c r="G22548" t="s">
        <v>514</v>
      </c>
    </row>
    <row r="22549" spans="1:7" x14ac:dyDescent="0.25">
      <c r="A22549" s="1" t="str">
        <f>"520851"</f>
        <v>520851</v>
      </c>
      <c r="B22549" s="2" t="str">
        <f>"SUPORTE DA COLUNA E4199-54471"</f>
        <v>SUPORTE DA COLUNA E4199-54471</v>
      </c>
      <c r="C22549" s="2" t="str">
        <f t="shared" si="887"/>
        <v>UN</v>
      </c>
      <c r="D22549" s="7">
        <v>1300</v>
      </c>
      <c r="E22549" s="3">
        <v>11</v>
      </c>
      <c r="F22549" s="3">
        <v>11</v>
      </c>
      <c r="G22549" t="s">
        <v>513</v>
      </c>
    </row>
    <row r="22550" spans="1:7" x14ac:dyDescent="0.25">
      <c r="A22550" s="1" t="str">
        <f>"501264"</f>
        <v>501264</v>
      </c>
      <c r="B22550" s="2" t="str">
        <f>"SUPORTE DA ESCOVA"</f>
        <v>SUPORTE DA ESCOVA</v>
      </c>
      <c r="C22550" s="2" t="str">
        <f t="shared" si="887"/>
        <v>UN</v>
      </c>
      <c r="D22550" s="7">
        <v>704</v>
      </c>
      <c r="E22550" s="3">
        <v>9</v>
      </c>
      <c r="F22550" s="3">
        <v>9</v>
      </c>
      <c r="G22550" t="s">
        <v>513</v>
      </c>
    </row>
    <row r="22551" spans="1:7" x14ac:dyDescent="0.25">
      <c r="A22551" s="1" t="str">
        <f>"525434"</f>
        <v>525434</v>
      </c>
      <c r="B22551" s="2" t="str">
        <f>"SUPORTE DA PINÇA C4399-31581"</f>
        <v>SUPORTE DA PINÇA C4399-31581</v>
      </c>
      <c r="C22551" s="2" t="str">
        <f t="shared" si="887"/>
        <v>UN</v>
      </c>
      <c r="D22551" s="7">
        <v>1300</v>
      </c>
      <c r="E22551" s="3">
        <v>11</v>
      </c>
      <c r="F22551" s="3">
        <v>11</v>
      </c>
      <c r="G22551" t="s">
        <v>513</v>
      </c>
    </row>
    <row r="22552" spans="1:7" x14ac:dyDescent="0.25">
      <c r="A22552" s="1" t="str">
        <f>"525431"</f>
        <v>525431</v>
      </c>
      <c r="B22552" s="2" t="str">
        <f>"SUPORTE DA PINÇA D4199-31071"</f>
        <v>SUPORTE DA PINÇA D4199-31071</v>
      </c>
      <c r="C22552" s="2" t="str">
        <f t="shared" si="887"/>
        <v>UN</v>
      </c>
      <c r="D22552" s="7">
        <v>1300</v>
      </c>
      <c r="E22552" s="3">
        <v>11</v>
      </c>
      <c r="F22552" s="3">
        <v>11</v>
      </c>
      <c r="G22552" t="s">
        <v>512</v>
      </c>
    </row>
    <row r="22553" spans="1:7" x14ac:dyDescent="0.25">
      <c r="A22553" s="1" t="str">
        <f>"525435"</f>
        <v>525435</v>
      </c>
      <c r="B22553" s="2" t="str">
        <f>"SUPORTE DA PINÇA OPOSTA C4399-54961"</f>
        <v>SUPORTE DA PINÇA OPOSTA C4399-54961</v>
      </c>
      <c r="C22553" s="2" t="str">
        <f t="shared" si="887"/>
        <v>UN</v>
      </c>
      <c r="D22553" s="7">
        <v>1300</v>
      </c>
      <c r="E22553" s="3">
        <v>11</v>
      </c>
      <c r="F22553" s="3">
        <v>11</v>
      </c>
      <c r="G22553" t="s">
        <v>513</v>
      </c>
    </row>
    <row r="22554" spans="1:7" x14ac:dyDescent="0.25">
      <c r="A22554" s="1" t="str">
        <f>"525432"</f>
        <v>525432</v>
      </c>
      <c r="B22554" s="2" t="str">
        <f>"SUPORTE DA PINÇA OPOSTA D4399-54962"</f>
        <v>SUPORTE DA PINÇA OPOSTA D4399-54962</v>
      </c>
      <c r="C22554" s="2" t="str">
        <f t="shared" si="887"/>
        <v>UN</v>
      </c>
      <c r="D22554" s="7">
        <v>1300</v>
      </c>
      <c r="E22554" s="3">
        <v>11</v>
      </c>
      <c r="F22554" s="3">
        <v>11</v>
      </c>
      <c r="G22554" t="s">
        <v>514</v>
      </c>
    </row>
    <row r="22555" spans="1:7" x14ac:dyDescent="0.25">
      <c r="A22555" s="1" t="str">
        <f>"516499"</f>
        <v>516499</v>
      </c>
      <c r="B22555" s="2" t="str">
        <f>"SUPORTE DARK 70MM VB 3"""</f>
        <v>SUPORTE DARK 70MM VB 3"</v>
      </c>
      <c r="C22555" s="2" t="str">
        <f t="shared" si="887"/>
        <v>UN</v>
      </c>
      <c r="D22555" s="7">
        <v>913</v>
      </c>
      <c r="E22555" s="3">
        <v>10</v>
      </c>
      <c r="F22555" s="3">
        <v>10</v>
      </c>
      <c r="G22555" t="s">
        <v>515</v>
      </c>
    </row>
    <row r="22556" spans="1:7" x14ac:dyDescent="0.25">
      <c r="A22556" s="1" t="str">
        <f>"516498"</f>
        <v>516498</v>
      </c>
      <c r="B22556" s="2" t="str">
        <f>"SUPORTE DARK-K-50F04-S14-R1 61MM VB 2"""</f>
        <v>SUPORTE DARK-K-50F04-S14-R1 61MM VB 2"</v>
      </c>
      <c r="C22556" s="2" t="str">
        <f t="shared" si="887"/>
        <v>UN</v>
      </c>
      <c r="D22556" s="7">
        <v>913</v>
      </c>
      <c r="E22556" s="3">
        <v>10</v>
      </c>
      <c r="F22556" s="3">
        <v>10</v>
      </c>
      <c r="G22556" t="s">
        <v>512</v>
      </c>
    </row>
    <row r="22557" spans="1:7" x14ac:dyDescent="0.25">
      <c r="A22557" s="1" t="str">
        <f>"522537"</f>
        <v>522537</v>
      </c>
      <c r="B22557" s="8" t="s">
        <v>313</v>
      </c>
      <c r="C22557" s="2" t="str">
        <f t="shared" si="887"/>
        <v>UN</v>
      </c>
      <c r="D22557" s="7">
        <v>918</v>
      </c>
      <c r="E22557" s="3">
        <v>11</v>
      </c>
      <c r="F22557" s="3">
        <v>11</v>
      </c>
      <c r="G22557" t="s">
        <v>516</v>
      </c>
    </row>
    <row r="22558" spans="1:7" x14ac:dyDescent="0.25">
      <c r="A22558" s="1" t="str">
        <f>"526571"</f>
        <v>526571</v>
      </c>
      <c r="B22558" s="2" t="str">
        <f>"SUPORTE DE IMERSÃO CYA112-12E7/0 -AB11C1AA"</f>
        <v>SUPORTE DE IMERSÃO CYA112-12E7/0 -AB11C1AA</v>
      </c>
      <c r="C22558" s="2" t="str">
        <f>"PC"</f>
        <v>PC</v>
      </c>
      <c r="D22558" s="7">
        <v>600</v>
      </c>
      <c r="E22558" s="3">
        <v>8</v>
      </c>
      <c r="F22558" s="3">
        <v>8</v>
      </c>
      <c r="G22558" t="s">
        <v>515</v>
      </c>
    </row>
    <row r="22559" spans="1:7" x14ac:dyDescent="0.25">
      <c r="A22559" s="1" t="str">
        <f>"526573"</f>
        <v>526573</v>
      </c>
      <c r="B22559" s="2" t="str">
        <f>"SUPORTE DE IMERSÃO CYH112-1014/0-AB60B70B1"</f>
        <v>SUPORTE DE IMERSÃO CYH112-1014/0-AB60B70B1</v>
      </c>
      <c r="C22559" s="2" t="str">
        <f>"PC"</f>
        <v>PC</v>
      </c>
      <c r="D22559" s="7">
        <v>600</v>
      </c>
      <c r="E22559" s="3">
        <v>8</v>
      </c>
      <c r="F22559" s="3">
        <v>8</v>
      </c>
      <c r="G22559" t="s">
        <v>514</v>
      </c>
    </row>
    <row r="22560" spans="1:7" x14ac:dyDescent="0.25">
      <c r="A22560" s="1" t="str">
        <f>"523496"</f>
        <v>523496</v>
      </c>
      <c r="B22560" s="2" t="str">
        <f>"SUPORTE DE MÃO E FIBRAS (COR AMARELO CÓD. 57101)"</f>
        <v>SUPORTE DE MÃO E FIBRAS (COR AMARELO CÓD. 57101)</v>
      </c>
      <c r="C22560" s="2" t="str">
        <f t="shared" ref="C22560:C22594" si="888">"UN"</f>
        <v>UN</v>
      </c>
      <c r="D22560" s="7">
        <v>400</v>
      </c>
      <c r="E22560" s="3">
        <v>4</v>
      </c>
      <c r="F22560" s="3">
        <v>4</v>
      </c>
      <c r="G22560" t="s">
        <v>512</v>
      </c>
    </row>
    <row r="22561" spans="1:7" x14ac:dyDescent="0.25">
      <c r="A22561" s="1" t="str">
        <f>"523497"</f>
        <v>523497</v>
      </c>
      <c r="B22561" s="2" t="str">
        <f>"SUPORTE DE MÃO E FIBRAS (COR VERDE CÓD. 57101)"</f>
        <v>SUPORTE DE MÃO E FIBRAS (COR VERDE CÓD. 57101)</v>
      </c>
      <c r="C22561" s="2" t="str">
        <f t="shared" si="888"/>
        <v>UN</v>
      </c>
      <c r="D22561" s="7">
        <v>400</v>
      </c>
      <c r="E22561" s="3">
        <v>4</v>
      </c>
      <c r="F22561" s="3">
        <v>4</v>
      </c>
      <c r="G22561" t="s">
        <v>513</v>
      </c>
    </row>
    <row r="22562" spans="1:7" x14ac:dyDescent="0.25">
      <c r="A22562" s="1" t="str">
        <f>"513385"</f>
        <v>513385</v>
      </c>
      <c r="B22562" s="2" t="str">
        <f>"SUPORTE DE PAREDE PARA 10 PASTAS SAP1-010"</f>
        <v>SUPORTE DE PAREDE PARA 10 PASTAS SAP1-010</v>
      </c>
      <c r="C22562" s="2" t="str">
        <f t="shared" si="888"/>
        <v>UN</v>
      </c>
      <c r="D22562" s="7">
        <v>401</v>
      </c>
      <c r="E22562" s="3">
        <v>4</v>
      </c>
      <c r="F22562" s="3">
        <v>4</v>
      </c>
      <c r="G22562" t="s">
        <v>514</v>
      </c>
    </row>
    <row r="22563" spans="1:7" x14ac:dyDescent="0.25">
      <c r="A22563" s="1" t="str">
        <f>"513386"</f>
        <v>513386</v>
      </c>
      <c r="B22563" s="2" t="str">
        <f>"SUPORTE DE PAREDE PARA 15 PASTAS SAP1-015"</f>
        <v>SUPORTE DE PAREDE PARA 15 PASTAS SAP1-015</v>
      </c>
      <c r="C22563" s="2" t="str">
        <f t="shared" si="888"/>
        <v>UN</v>
      </c>
      <c r="D22563" s="7">
        <v>401</v>
      </c>
      <c r="E22563" s="3">
        <v>4</v>
      </c>
      <c r="F22563" s="3">
        <v>4</v>
      </c>
      <c r="G22563" t="s">
        <v>514</v>
      </c>
    </row>
    <row r="22564" spans="1:7" x14ac:dyDescent="0.25">
      <c r="A22564" s="1" t="str">
        <f>"513384"</f>
        <v>513384</v>
      </c>
      <c r="B22564" s="2" t="str">
        <f>"SUPORTE DE PAREDE PARA 6 PASTAS SAP1-006"</f>
        <v>SUPORTE DE PAREDE PARA 6 PASTAS SAP1-006</v>
      </c>
      <c r="C22564" s="2" t="str">
        <f t="shared" si="888"/>
        <v>UN</v>
      </c>
      <c r="D22564" s="7">
        <v>401</v>
      </c>
      <c r="E22564" s="3">
        <v>4</v>
      </c>
      <c r="F22564" s="3">
        <v>4</v>
      </c>
      <c r="G22564" t="s">
        <v>512</v>
      </c>
    </row>
    <row r="22565" spans="1:7" x14ac:dyDescent="0.25">
      <c r="A22565" s="1" t="str">
        <f>"527563"</f>
        <v>527563</v>
      </c>
      <c r="B22565" s="2" t="str">
        <f>"SUPORTE DE PLASTICO PARA FIXAÇÃO DE SENSORES PROXIDADE IFM"</f>
        <v>SUPORTE DE PLASTICO PARA FIXAÇÃO DE SENSORES PROXIDADE IFM</v>
      </c>
      <c r="C22565" s="2" t="str">
        <f t="shared" si="888"/>
        <v>UN</v>
      </c>
      <c r="D22565" s="7">
        <v>811</v>
      </c>
      <c r="E22565" s="3">
        <v>8</v>
      </c>
      <c r="F22565" s="3">
        <v>8</v>
      </c>
      <c r="G22565" t="s">
        <v>513</v>
      </c>
    </row>
    <row r="22566" spans="1:7" x14ac:dyDescent="0.25">
      <c r="A22566" s="1" t="str">
        <f>"524743"</f>
        <v>524743</v>
      </c>
      <c r="B22566" s="2" t="str">
        <f>"SUPORTE DE SELO W60089 SPX"</f>
        <v>SUPORTE DE SELO W60089 SPX</v>
      </c>
      <c r="C22566" s="2" t="str">
        <f t="shared" si="888"/>
        <v>UN</v>
      </c>
      <c r="D22566" s="7">
        <v>807</v>
      </c>
      <c r="E22566" s="3">
        <v>11</v>
      </c>
      <c r="F22566" s="3">
        <v>11</v>
      </c>
      <c r="G22566" t="s">
        <v>514</v>
      </c>
    </row>
    <row r="22567" spans="1:7" x14ac:dyDescent="0.25">
      <c r="A22567" s="1" t="str">
        <f>"527054"</f>
        <v>527054</v>
      </c>
      <c r="B22567" s="2" t="str">
        <f>"SUPORTE DE VARANDA ALT 70MM DF 1/2 INOX"</f>
        <v>SUPORTE DE VARANDA ALT 70MM DF 1/2 INOX</v>
      </c>
      <c r="C22567" s="2" t="str">
        <f t="shared" si="888"/>
        <v>UN</v>
      </c>
      <c r="D22567" s="7">
        <v>918</v>
      </c>
      <c r="E22567" s="3">
        <v>11</v>
      </c>
      <c r="F22567" s="3">
        <v>11</v>
      </c>
      <c r="G22567" t="s">
        <v>514</v>
      </c>
    </row>
    <row r="22568" spans="1:7" x14ac:dyDescent="0.25">
      <c r="A22568" s="1" t="str">
        <f>"526523"</f>
        <v>526523</v>
      </c>
      <c r="B22568" s="2" t="str">
        <f>"SUPORTE DE VARANDA ALTURA 70MM DF 1/2 INOX"</f>
        <v>SUPORTE DE VARANDA ALTURA 70MM DF 1/2 INOX</v>
      </c>
      <c r="C22568" s="2" t="str">
        <f t="shared" si="888"/>
        <v>UN</v>
      </c>
      <c r="D22568" s="7">
        <v>904</v>
      </c>
      <c r="E22568" s="3">
        <v>11</v>
      </c>
      <c r="F22568" s="3">
        <v>11</v>
      </c>
      <c r="G22568" t="s">
        <v>514</v>
      </c>
    </row>
    <row r="22569" spans="1:7" x14ac:dyDescent="0.25">
      <c r="A22569" s="1" t="str">
        <f>"526624"</f>
        <v>526624</v>
      </c>
      <c r="B22569" s="2" t="str">
        <f>"SUPORTE DELL DUAL MONITOR STAND MDS19"</f>
        <v>SUPORTE DELL DUAL MONITOR STAND MDS19</v>
      </c>
      <c r="C22569" s="2" t="str">
        <f t="shared" si="888"/>
        <v>UN</v>
      </c>
      <c r="D22569" s="7">
        <v>99999</v>
      </c>
      <c r="E22569" s="3">
        <v>99</v>
      </c>
      <c r="F22569" s="3">
        <v>99</v>
      </c>
      <c r="G22569" t="s">
        <v>513</v>
      </c>
    </row>
    <row r="22570" spans="1:7" x14ac:dyDescent="0.25">
      <c r="A22570" s="1" t="str">
        <f>"524471"</f>
        <v>524471</v>
      </c>
      <c r="B22570" s="2" t="str">
        <f>"SUPORTE DESLIZANTE PONTO MOVEL TUB Ø3"""</f>
        <v>SUPORTE DESLIZANTE PONTO MOVEL TUB Ø3"</v>
      </c>
      <c r="C22570" s="2" t="str">
        <f t="shared" si="888"/>
        <v>UN</v>
      </c>
      <c r="D22570" s="7">
        <v>807</v>
      </c>
      <c r="E22570" s="3">
        <v>10</v>
      </c>
      <c r="F22570" s="3">
        <v>10</v>
      </c>
      <c r="G22570" t="s">
        <v>512</v>
      </c>
    </row>
    <row r="22571" spans="1:7" x14ac:dyDescent="0.25">
      <c r="A22571" s="1" t="str">
        <f>"524467"</f>
        <v>524467</v>
      </c>
      <c r="B22571" s="2" t="str">
        <f>"SUPORTE DESLIZANTE PONTO MOVEL TUB Ø4"""</f>
        <v>SUPORTE DESLIZANTE PONTO MOVEL TUB Ø4"</v>
      </c>
      <c r="C22571" s="2" t="str">
        <f t="shared" si="888"/>
        <v>UN</v>
      </c>
      <c r="D22571" s="7">
        <v>807</v>
      </c>
      <c r="E22571" s="3">
        <v>10</v>
      </c>
      <c r="F22571" s="3">
        <v>10</v>
      </c>
      <c r="G22571" t="s">
        <v>513</v>
      </c>
    </row>
    <row r="22572" spans="1:7" x14ac:dyDescent="0.25">
      <c r="A22572" s="1" t="str">
        <f>"524469"</f>
        <v>524469</v>
      </c>
      <c r="B22572" s="2" t="str">
        <f>"SUPORTE DESLIZANTE PONTO MOVEL TUB Ø6"""</f>
        <v>SUPORTE DESLIZANTE PONTO MOVEL TUB Ø6"</v>
      </c>
      <c r="C22572" s="2" t="str">
        <f t="shared" si="888"/>
        <v>UN</v>
      </c>
      <c r="D22572" s="7">
        <v>807</v>
      </c>
      <c r="E22572" s="3">
        <v>10</v>
      </c>
      <c r="F22572" s="3">
        <v>10</v>
      </c>
      <c r="G22572" t="s">
        <v>514</v>
      </c>
    </row>
    <row r="22573" spans="1:7" x14ac:dyDescent="0.25">
      <c r="A22573" s="1" t="str">
        <f>"514636"</f>
        <v>514636</v>
      </c>
      <c r="B22573" s="2" t="str">
        <f>"SUPORTE DO CONECTOR"</f>
        <v>SUPORTE DO CONECTOR</v>
      </c>
      <c r="C22573" s="2" t="str">
        <f t="shared" si="888"/>
        <v>UN</v>
      </c>
      <c r="D22573" s="7">
        <v>600</v>
      </c>
      <c r="E22573" s="3">
        <v>11</v>
      </c>
      <c r="F22573" s="3">
        <v>11</v>
      </c>
      <c r="G22573" t="s">
        <v>514</v>
      </c>
    </row>
    <row r="22574" spans="1:7" x14ac:dyDescent="0.25">
      <c r="A22574" s="1" t="str">
        <f>"514637"</f>
        <v>514637</v>
      </c>
      <c r="B22574" s="2" t="str">
        <f>"SUPORTE DO CONECTOR"</f>
        <v>SUPORTE DO CONECTOR</v>
      </c>
      <c r="C22574" s="2" t="str">
        <f t="shared" si="888"/>
        <v>UN</v>
      </c>
      <c r="D22574" s="7">
        <v>600</v>
      </c>
      <c r="E22574" s="3">
        <v>11</v>
      </c>
      <c r="F22574" s="3">
        <v>11</v>
      </c>
      <c r="G22574" t="s">
        <v>514</v>
      </c>
    </row>
    <row r="22575" spans="1:7" x14ac:dyDescent="0.25">
      <c r="A22575" s="1" t="str">
        <f>"501821"</f>
        <v>501821</v>
      </c>
      <c r="B22575" s="2" t="str">
        <f>"SUPORTE DO ESPELHO ESQ."</f>
        <v>SUPORTE DO ESPELHO ESQ.</v>
      </c>
      <c r="C22575" s="2" t="str">
        <f t="shared" si="888"/>
        <v>UN</v>
      </c>
      <c r="D22575" s="7">
        <v>704</v>
      </c>
      <c r="E22575" s="3">
        <v>9</v>
      </c>
      <c r="F22575" s="3">
        <v>9</v>
      </c>
      <c r="G22575" t="s">
        <v>513</v>
      </c>
    </row>
    <row r="22576" spans="1:7" x14ac:dyDescent="0.25">
      <c r="A22576" s="1" t="str">
        <f>"509517"</f>
        <v>509517</v>
      </c>
      <c r="B22576" s="2" t="str">
        <f>"SUPORTE DO ROLO 15175"</f>
        <v>SUPORTE DO ROLO 15175</v>
      </c>
      <c r="C22576" s="2" t="str">
        <f t="shared" si="888"/>
        <v>UN</v>
      </c>
      <c r="D22576" s="7">
        <v>918</v>
      </c>
      <c r="E22576" s="3">
        <v>11</v>
      </c>
      <c r="F22576" s="3">
        <v>11</v>
      </c>
      <c r="G22576" t="s">
        <v>513</v>
      </c>
    </row>
    <row r="22577" spans="1:7" x14ac:dyDescent="0.25">
      <c r="A22577" s="1" t="str">
        <f>"524748"</f>
        <v>524748</v>
      </c>
      <c r="B22577" s="2" t="str">
        <f>"SUPORTE DO SELO L194449 SPX"</f>
        <v>SUPORTE DO SELO L194449 SPX</v>
      </c>
      <c r="C22577" s="2" t="str">
        <f t="shared" si="888"/>
        <v>UN</v>
      </c>
      <c r="D22577" s="7">
        <v>807</v>
      </c>
      <c r="E22577" s="3">
        <v>11</v>
      </c>
      <c r="F22577" s="3">
        <v>11</v>
      </c>
      <c r="G22577" t="s">
        <v>513</v>
      </c>
    </row>
    <row r="22578" spans="1:7" x14ac:dyDescent="0.25">
      <c r="A22578" s="1" t="str">
        <f>"521470"</f>
        <v>521470</v>
      </c>
      <c r="B22578" s="2" t="str">
        <f>"SUPORTE DUPLO P/ CARREGAR BATERIA MED.1212 X 419MM FIXA"</f>
        <v>SUPORTE DUPLO P/ CARREGAR BATERIA MED.1212 X 419MM FIXA</v>
      </c>
      <c r="C22578" s="2" t="str">
        <f t="shared" si="888"/>
        <v>UN</v>
      </c>
      <c r="D22578" s="7">
        <v>918</v>
      </c>
      <c r="E22578" s="3">
        <v>11</v>
      </c>
      <c r="F22578" s="3">
        <v>11</v>
      </c>
      <c r="G22578" t="s">
        <v>512</v>
      </c>
    </row>
    <row r="22579" spans="1:7" x14ac:dyDescent="0.25">
      <c r="A22579" s="1" t="str">
        <f>"521471"</f>
        <v>521471</v>
      </c>
      <c r="B22579" s="2" t="str">
        <f>"SUPORTE DUPLO P/ CARREGAR BATERIA MED.645 X 245MM FIXA"</f>
        <v>SUPORTE DUPLO P/ CARREGAR BATERIA MED.645 X 245MM FIXA</v>
      </c>
      <c r="C22579" s="2" t="str">
        <f t="shared" si="888"/>
        <v>UN</v>
      </c>
      <c r="D22579" s="7">
        <v>918</v>
      </c>
      <c r="E22579" s="3">
        <v>11</v>
      </c>
      <c r="F22579" s="3">
        <v>11</v>
      </c>
      <c r="G22579" t="s">
        <v>513</v>
      </c>
    </row>
    <row r="22580" spans="1:7" x14ac:dyDescent="0.25">
      <c r="A22580" s="1" t="str">
        <f>"523860"</f>
        <v>523860</v>
      </c>
      <c r="B22580" s="2" t="str">
        <f>"SUPORTE ELETRODO HACH INTELLICAL E SENSION + HX0001-04315"</f>
        <v>SUPORTE ELETRODO HACH INTELLICAL E SENSION + HX0001-04315</v>
      </c>
      <c r="C22580" s="2" t="str">
        <f t="shared" si="888"/>
        <v>UN</v>
      </c>
      <c r="D22580" s="7">
        <v>406</v>
      </c>
      <c r="E22580" s="3">
        <v>13</v>
      </c>
      <c r="F22580" s="3">
        <v>13</v>
      </c>
      <c r="G22580" t="s">
        <v>514</v>
      </c>
    </row>
    <row r="22581" spans="1:7" x14ac:dyDescent="0.25">
      <c r="A22581" s="1" t="str">
        <f>"505277"</f>
        <v>505277</v>
      </c>
      <c r="B22581" s="2" t="str">
        <f>"SUPORTE EM MDF P/ COMPUTADOR"</f>
        <v>SUPORTE EM MDF P/ COMPUTADOR</v>
      </c>
      <c r="C22581" s="2" t="str">
        <f t="shared" si="888"/>
        <v>UN</v>
      </c>
      <c r="D22581" s="7">
        <v>1200</v>
      </c>
      <c r="E22581" s="3">
        <v>10</v>
      </c>
      <c r="F22581" s="3">
        <v>10</v>
      </c>
      <c r="G22581" t="s">
        <v>515</v>
      </c>
    </row>
    <row r="22582" spans="1:7" x14ac:dyDescent="0.25">
      <c r="A22582" s="1" t="str">
        <f>"527312"</f>
        <v>527312</v>
      </c>
      <c r="B22582" s="2" t="str">
        <f>"SUPORTE ERGONOMICO P/ NOTE C/ REGULAGEM"</f>
        <v>SUPORTE ERGONOMICO P/ NOTE C/ REGULAGEM</v>
      </c>
      <c r="C22582" s="2" t="str">
        <f t="shared" si="888"/>
        <v>UN</v>
      </c>
      <c r="D22582" s="7">
        <v>99999</v>
      </c>
      <c r="E22582" s="3">
        <v>99</v>
      </c>
      <c r="F22582" s="3">
        <v>99</v>
      </c>
      <c r="G22582" t="s">
        <v>512</v>
      </c>
    </row>
    <row r="22583" spans="1:7" x14ac:dyDescent="0.25">
      <c r="A22583" s="1" t="str">
        <f>"519025"</f>
        <v>519025</v>
      </c>
      <c r="B22583" s="2" t="str">
        <f>"SUPORTE ESTRIBO DUPLO LD CARGO 1722 ANO 2010"</f>
        <v>SUPORTE ESTRIBO DUPLO LD CARGO 1722 ANO 2010</v>
      </c>
      <c r="C22583" s="2" t="str">
        <f t="shared" si="888"/>
        <v>UN</v>
      </c>
      <c r="D22583" s="7">
        <v>704</v>
      </c>
      <c r="E22583" s="3">
        <v>9</v>
      </c>
      <c r="F22583" s="3">
        <v>9</v>
      </c>
      <c r="G22583" t="s">
        <v>516</v>
      </c>
    </row>
    <row r="22584" spans="1:7" x14ac:dyDescent="0.25">
      <c r="A22584" s="1" t="str">
        <f>"519024"</f>
        <v>519024</v>
      </c>
      <c r="B22584" s="2" t="str">
        <f>"SUPORTE ESTRIBO DUPLO LE CARGO 1722 ANO 2010"</f>
        <v>SUPORTE ESTRIBO DUPLO LE CARGO 1722 ANO 2010</v>
      </c>
      <c r="C22584" s="2" t="str">
        <f t="shared" si="888"/>
        <v>UN</v>
      </c>
      <c r="D22584" s="7">
        <v>704</v>
      </c>
      <c r="E22584" s="3">
        <v>9</v>
      </c>
      <c r="F22584" s="3">
        <v>9</v>
      </c>
      <c r="G22584" t="s">
        <v>515</v>
      </c>
    </row>
    <row r="22585" spans="1:7" x14ac:dyDescent="0.25">
      <c r="A22585" s="1" t="str">
        <f>"519022"</f>
        <v>519022</v>
      </c>
      <c r="B22585" s="2" t="str">
        <f>"SUPORTE ESTRIBO LD CARGO 1722 ANO 2010"</f>
        <v>SUPORTE ESTRIBO LD CARGO 1722 ANO 2010</v>
      </c>
      <c r="C22585" s="2" t="str">
        <f t="shared" si="888"/>
        <v>UN</v>
      </c>
      <c r="D22585" s="7">
        <v>704</v>
      </c>
      <c r="E22585" s="3">
        <v>9</v>
      </c>
      <c r="F22585" s="3">
        <v>9</v>
      </c>
      <c r="G22585" t="s">
        <v>514</v>
      </c>
    </row>
    <row r="22586" spans="1:7" x14ac:dyDescent="0.25">
      <c r="A22586" s="1" t="str">
        <f>"519023"</f>
        <v>519023</v>
      </c>
      <c r="B22586" s="2" t="str">
        <f>"SUPORTE ESTRIBO LE CARGO 1722 ANO 2010"</f>
        <v>SUPORTE ESTRIBO LE CARGO 1722 ANO 2010</v>
      </c>
      <c r="C22586" s="2" t="str">
        <f t="shared" si="888"/>
        <v>UN</v>
      </c>
      <c r="D22586" s="7">
        <v>704</v>
      </c>
      <c r="E22586" s="3">
        <v>9</v>
      </c>
      <c r="F22586" s="3">
        <v>9</v>
      </c>
      <c r="G22586" t="s">
        <v>512</v>
      </c>
    </row>
    <row r="22587" spans="1:7" x14ac:dyDescent="0.25">
      <c r="A22587" s="1" t="str">
        <f>"511625"</f>
        <v>511625</v>
      </c>
      <c r="B22587" s="2" t="str">
        <f>"SUPORTE EXTENSAO ROLO SEM IMPRESSAO"</f>
        <v>SUPORTE EXTENSAO ROLO SEM IMPRESSAO</v>
      </c>
      <c r="C22587" s="2" t="str">
        <f t="shared" si="888"/>
        <v>UN</v>
      </c>
      <c r="D22587" s="7">
        <v>918</v>
      </c>
      <c r="E22587" s="3">
        <v>11</v>
      </c>
      <c r="F22587" s="3">
        <v>11</v>
      </c>
      <c r="G22587" t="s">
        <v>513</v>
      </c>
    </row>
    <row r="22588" spans="1:7" x14ac:dyDescent="0.25">
      <c r="A22588" s="1" t="str">
        <f>"511843"</f>
        <v>511843</v>
      </c>
      <c r="B22588" s="2" t="str">
        <f>"SUPORTE EXTERNO PORTA ROLO"</f>
        <v>SUPORTE EXTERNO PORTA ROLO</v>
      </c>
      <c r="C22588" s="2" t="str">
        <f t="shared" si="888"/>
        <v>UN</v>
      </c>
      <c r="D22588" s="7">
        <v>918</v>
      </c>
      <c r="E22588" s="3">
        <v>11</v>
      </c>
      <c r="F22588" s="3">
        <v>11</v>
      </c>
      <c r="G22588" t="s">
        <v>514</v>
      </c>
    </row>
    <row r="22589" spans="1:7" x14ac:dyDescent="0.25">
      <c r="A22589" s="1" t="str">
        <f>"512872"</f>
        <v>512872</v>
      </c>
      <c r="B22589" s="2" t="str">
        <f>"SUPORTE FOTOCELULA"</f>
        <v>SUPORTE FOTOCELULA</v>
      </c>
      <c r="C22589" s="2" t="str">
        <f t="shared" si="888"/>
        <v>UN</v>
      </c>
      <c r="D22589" s="7">
        <v>918</v>
      </c>
      <c r="E22589" s="3">
        <v>11</v>
      </c>
      <c r="F22589" s="3">
        <v>11</v>
      </c>
      <c r="G22589" t="s">
        <v>514</v>
      </c>
    </row>
    <row r="22590" spans="1:7" x14ac:dyDescent="0.25">
      <c r="A22590" s="1" t="str">
        <f>"510920"</f>
        <v>510920</v>
      </c>
      <c r="B22590" s="2" t="str">
        <f>"SUPORTE GIRATORIO P/ 94 PIPETAS"</f>
        <v>SUPORTE GIRATORIO P/ 94 PIPETAS</v>
      </c>
      <c r="C22590" s="2" t="str">
        <f t="shared" si="888"/>
        <v>UN</v>
      </c>
      <c r="D22590" s="7">
        <v>402</v>
      </c>
      <c r="E22590" s="3">
        <v>4</v>
      </c>
      <c r="F22590" s="3">
        <v>4</v>
      </c>
      <c r="G22590" t="s">
        <v>512</v>
      </c>
    </row>
    <row r="22591" spans="1:7" x14ac:dyDescent="0.25">
      <c r="A22591" s="1" t="str">
        <f>"523919"</f>
        <v>523919</v>
      </c>
      <c r="B22591" s="2" t="str">
        <f>"SUPORTE HORIZONTAL P/ 10 PIPETAS 2710 NALGON"</f>
        <v>SUPORTE HORIZONTAL P/ 10 PIPETAS 2710 NALGON</v>
      </c>
      <c r="C22591" s="2" t="str">
        <f t="shared" si="888"/>
        <v>UN</v>
      </c>
      <c r="D22591" s="7">
        <v>99999</v>
      </c>
      <c r="E22591" s="3">
        <v>99</v>
      </c>
      <c r="F22591" s="3">
        <v>99</v>
      </c>
      <c r="G22591" t="s">
        <v>513</v>
      </c>
    </row>
    <row r="22592" spans="1:7" x14ac:dyDescent="0.25">
      <c r="A22592" s="1" t="str">
        <f>"522579"</f>
        <v>522579</v>
      </c>
      <c r="B22592" s="2" t="str">
        <f>"SUPORTE HORIZONTAL P/ ELETROCALHA 100X50MM"</f>
        <v>SUPORTE HORIZONTAL P/ ELETROCALHA 100X50MM</v>
      </c>
      <c r="C22592" s="2" t="str">
        <f t="shared" si="888"/>
        <v>UN</v>
      </c>
      <c r="D22592" s="7">
        <v>600</v>
      </c>
      <c r="E22592" s="3">
        <v>10</v>
      </c>
      <c r="F22592" s="3">
        <v>10</v>
      </c>
      <c r="G22592" t="s">
        <v>514</v>
      </c>
    </row>
    <row r="22593" spans="1:7" x14ac:dyDescent="0.25">
      <c r="A22593" s="1" t="str">
        <f>"502765"</f>
        <v>502765</v>
      </c>
      <c r="B22593" s="2" t="str">
        <f>"SUPORTE INFERIOR"</f>
        <v>SUPORTE INFERIOR</v>
      </c>
      <c r="C22593" s="2" t="str">
        <f t="shared" si="888"/>
        <v>UN</v>
      </c>
      <c r="D22593" s="7">
        <v>704</v>
      </c>
      <c r="E22593" s="3">
        <v>9</v>
      </c>
      <c r="F22593" s="3">
        <v>9</v>
      </c>
      <c r="G22593" t="s">
        <v>514</v>
      </c>
    </row>
    <row r="22594" spans="1:7" x14ac:dyDescent="0.25">
      <c r="A22594" s="1" t="str">
        <f>"505067"</f>
        <v>505067</v>
      </c>
      <c r="B22594" s="2" t="str">
        <f>"SUPORTE INFERIOR SELAGEM 24 CAVIDADES DINIEPER"</f>
        <v>SUPORTE INFERIOR SELAGEM 24 CAVIDADES DINIEPER</v>
      </c>
      <c r="C22594" s="2" t="str">
        <f t="shared" si="888"/>
        <v>UN</v>
      </c>
      <c r="D22594" s="7">
        <v>918</v>
      </c>
      <c r="E22594" s="3">
        <v>11</v>
      </c>
      <c r="F22594" s="3">
        <v>11</v>
      </c>
      <c r="G22594" t="s">
        <v>514</v>
      </c>
    </row>
    <row r="22595" spans="1:7" x14ac:dyDescent="0.25">
      <c r="A22595" s="1" t="str">
        <f>"511764"</f>
        <v>511764</v>
      </c>
      <c r="B22595" s="2" t="str">
        <f>"SUPORTE INOX 2MM"</f>
        <v>SUPORTE INOX 2MM</v>
      </c>
      <c r="C22595" s="2" t="str">
        <f>"PC"</f>
        <v>PC</v>
      </c>
      <c r="D22595" s="7">
        <v>806</v>
      </c>
      <c r="E22595" s="3">
        <v>10</v>
      </c>
      <c r="F22595" s="3">
        <v>10</v>
      </c>
      <c r="G22595" t="s">
        <v>513</v>
      </c>
    </row>
    <row r="22596" spans="1:7" x14ac:dyDescent="0.25">
      <c r="A22596" s="1" t="str">
        <f>"526857"</f>
        <v>526857</v>
      </c>
      <c r="B22596" s="2" t="str">
        <f>"SUPORTE IONIZADOR IZS40-BE"</f>
        <v>SUPORTE IONIZADOR IZS40-BE</v>
      </c>
      <c r="C22596" s="2" t="str">
        <f>"UN"</f>
        <v>UN</v>
      </c>
      <c r="D22596" s="7">
        <v>918</v>
      </c>
      <c r="E22596" s="3">
        <v>11</v>
      </c>
      <c r="F22596" s="3">
        <v>11</v>
      </c>
      <c r="G22596" t="s">
        <v>512</v>
      </c>
    </row>
    <row r="22597" spans="1:7" x14ac:dyDescent="0.25">
      <c r="A22597" s="1" t="str">
        <f>"502504"</f>
        <v>502504</v>
      </c>
      <c r="B22597" s="2" t="str">
        <f>"SUPORTE LAMPADA"</f>
        <v>SUPORTE LAMPADA</v>
      </c>
      <c r="C22597" s="2" t="str">
        <f>"UN"</f>
        <v>UN</v>
      </c>
      <c r="D22597" s="7">
        <v>704</v>
      </c>
      <c r="E22597" s="3">
        <v>9</v>
      </c>
      <c r="F22597" s="3">
        <v>9</v>
      </c>
      <c r="G22597" t="s">
        <v>513</v>
      </c>
    </row>
    <row r="22598" spans="1:7" x14ac:dyDescent="0.25">
      <c r="A22598" s="1" t="str">
        <f>"523631"</f>
        <v>523631</v>
      </c>
      <c r="B22598" s="2" t="str">
        <f>"SUPORTE LEITURA KENSINGTON TILIBRA"</f>
        <v>SUPORTE LEITURA KENSINGTON TILIBRA</v>
      </c>
      <c r="C22598" s="2" t="str">
        <f>"UN"</f>
        <v>UN</v>
      </c>
      <c r="D22598" s="7">
        <v>401</v>
      </c>
      <c r="E22598" s="3">
        <v>4</v>
      </c>
      <c r="F22598" s="3">
        <v>4</v>
      </c>
      <c r="G22598" t="s">
        <v>514</v>
      </c>
    </row>
    <row r="22599" spans="1:7" x14ac:dyDescent="0.25">
      <c r="A22599" s="1" t="str">
        <f>"3522"</f>
        <v>3522</v>
      </c>
      <c r="B22599" s="2" t="str">
        <f>"SUPORTE LT BRALIMPIA"</f>
        <v>SUPORTE LT BRALIMPIA</v>
      </c>
      <c r="C22599" s="2" t="str">
        <f>"PC"</f>
        <v>PC</v>
      </c>
      <c r="D22599" s="7">
        <v>408</v>
      </c>
      <c r="E22599" s="3">
        <v>4</v>
      </c>
      <c r="F22599" s="3">
        <v>4</v>
      </c>
      <c r="G22599" t="s">
        <v>514</v>
      </c>
    </row>
    <row r="22600" spans="1:7" x14ac:dyDescent="0.25">
      <c r="A22600" s="1" t="str">
        <f>"513069"</f>
        <v>513069</v>
      </c>
      <c r="B22600" s="2" t="str">
        <f>"SUPORTE LT BRALIMPIA EURO AZUL"</f>
        <v>SUPORTE LT BRALIMPIA EURO AZUL</v>
      </c>
      <c r="C22600" s="2" t="str">
        <f>"PC"</f>
        <v>PC</v>
      </c>
      <c r="D22600" s="7">
        <v>408</v>
      </c>
      <c r="E22600" s="3">
        <v>4</v>
      </c>
      <c r="F22600" s="3">
        <v>4</v>
      </c>
      <c r="G22600" t="s">
        <v>514</v>
      </c>
    </row>
    <row r="22601" spans="1:7" x14ac:dyDescent="0.25">
      <c r="A22601" s="1" t="str">
        <f>"513070"</f>
        <v>513070</v>
      </c>
      <c r="B22601" s="2" t="str">
        <f>"SUPORTE LT BRALIMPIA EURO VERMELHO"</f>
        <v>SUPORTE LT BRALIMPIA EURO VERMELHO</v>
      </c>
      <c r="C22601" s="2" t="str">
        <f>"PC"</f>
        <v>PC</v>
      </c>
      <c r="D22601" s="7">
        <v>408</v>
      </c>
      <c r="E22601" s="3">
        <v>4</v>
      </c>
      <c r="F22601" s="3">
        <v>4</v>
      </c>
      <c r="G22601" t="s">
        <v>513</v>
      </c>
    </row>
    <row r="22602" spans="1:7" x14ac:dyDescent="0.25">
      <c r="A22602" s="1" t="str">
        <f>"516003"</f>
        <v>516003</v>
      </c>
      <c r="B22602" s="2" t="str">
        <f>"SUPORTE LT C/ CABO ALUMINIO"</f>
        <v>SUPORTE LT C/ CABO ALUMINIO</v>
      </c>
      <c r="C22602" s="2" t="str">
        <f t="shared" ref="C22602:C22610" si="889">"UN"</f>
        <v>UN</v>
      </c>
      <c r="D22602" s="7">
        <v>400</v>
      </c>
      <c r="E22602" s="3">
        <v>10</v>
      </c>
      <c r="F22602" s="3">
        <v>10</v>
      </c>
      <c r="G22602" t="s">
        <v>513</v>
      </c>
    </row>
    <row r="22603" spans="1:7" x14ac:dyDescent="0.25">
      <c r="A22603" s="1" t="str">
        <f>"525405"</f>
        <v>525405</v>
      </c>
      <c r="B22603" s="2" t="str">
        <f>"SUPORTE LUVA SLZ 2/15"</f>
        <v>SUPORTE LUVA SLZ 2/15</v>
      </c>
      <c r="C22603" s="2" t="str">
        <f t="shared" si="889"/>
        <v>UN</v>
      </c>
      <c r="D22603" s="7">
        <v>811</v>
      </c>
      <c r="E22603" s="3">
        <v>10</v>
      </c>
      <c r="F22603" s="3">
        <v>10</v>
      </c>
      <c r="G22603" t="s">
        <v>513</v>
      </c>
    </row>
    <row r="22604" spans="1:7" x14ac:dyDescent="0.25">
      <c r="A22604" s="1" t="str">
        <f>"512374"</f>
        <v>512374</v>
      </c>
      <c r="B22604" s="2" t="str">
        <f>"SUPORTE MAQUINA SAQUINHO"</f>
        <v>SUPORTE MAQUINA SAQUINHO</v>
      </c>
      <c r="C22604" s="2" t="str">
        <f t="shared" si="889"/>
        <v>UN</v>
      </c>
      <c r="D22604" s="7">
        <v>918</v>
      </c>
      <c r="E22604" s="3">
        <v>11</v>
      </c>
      <c r="F22604" s="3">
        <v>11</v>
      </c>
      <c r="G22604" t="s">
        <v>512</v>
      </c>
    </row>
    <row r="22605" spans="1:7" x14ac:dyDescent="0.25">
      <c r="A22605" s="1" t="str">
        <f>"517305"</f>
        <v>517305</v>
      </c>
      <c r="B22605" s="2" t="str">
        <f>"SUPORTE MATRIZ CONTRA CORTE"</f>
        <v>SUPORTE MATRIZ CONTRA CORTE</v>
      </c>
      <c r="C22605" s="2" t="str">
        <f t="shared" si="889"/>
        <v>UN</v>
      </c>
      <c r="D22605" s="7">
        <v>918</v>
      </c>
      <c r="E22605" s="3">
        <v>11</v>
      </c>
      <c r="F22605" s="3">
        <v>11</v>
      </c>
      <c r="G22605" t="s">
        <v>513</v>
      </c>
    </row>
    <row r="22606" spans="1:7" x14ac:dyDescent="0.25">
      <c r="A22606" s="1" t="str">
        <f>"522454"</f>
        <v>522454</v>
      </c>
      <c r="B22606" s="8" t="s">
        <v>294</v>
      </c>
      <c r="C22606" s="2" t="str">
        <f t="shared" si="889"/>
        <v>UN</v>
      </c>
      <c r="D22606" s="7">
        <v>99999</v>
      </c>
      <c r="E22606" s="3">
        <v>99</v>
      </c>
      <c r="F22606" s="3">
        <v>99</v>
      </c>
      <c r="G22606" t="s">
        <v>514</v>
      </c>
    </row>
    <row r="22607" spans="1:7" x14ac:dyDescent="0.25">
      <c r="A22607" s="1" t="str">
        <f>"524045"</f>
        <v>524045</v>
      </c>
      <c r="B22607" s="2" t="str">
        <f>"SUPORTE MICRO MOTOR 007099.01"</f>
        <v>SUPORTE MICRO MOTOR 007099.01</v>
      </c>
      <c r="C22607" s="2" t="str">
        <f t="shared" si="889"/>
        <v>UN</v>
      </c>
      <c r="D22607" s="7">
        <v>918</v>
      </c>
      <c r="E22607" s="3">
        <v>4</v>
      </c>
      <c r="F22607" s="3">
        <v>4</v>
      </c>
      <c r="G22607" t="s">
        <v>515</v>
      </c>
    </row>
    <row r="22608" spans="1:7" x14ac:dyDescent="0.25">
      <c r="A22608" s="1" t="str">
        <f>"512195"</f>
        <v>512195</v>
      </c>
      <c r="B22608" s="2" t="str">
        <f>"SUPORTE MOLA POS.37"</f>
        <v>SUPORTE MOLA POS.37</v>
      </c>
      <c r="C22608" s="2" t="str">
        <f t="shared" si="889"/>
        <v>UN</v>
      </c>
      <c r="D22608" s="7">
        <v>918</v>
      </c>
      <c r="E22608" s="3">
        <v>11</v>
      </c>
      <c r="F22608" s="3">
        <v>11</v>
      </c>
      <c r="G22608" t="s">
        <v>512</v>
      </c>
    </row>
    <row r="22609" spans="1:7" x14ac:dyDescent="0.25">
      <c r="A22609" s="1" t="str">
        <f>"505219"</f>
        <v>505219</v>
      </c>
      <c r="B22609" s="2" t="str">
        <f>"SUPORTE MOLEJO"</f>
        <v>SUPORTE MOLEJO</v>
      </c>
      <c r="C22609" s="2" t="str">
        <f t="shared" si="889"/>
        <v>UN</v>
      </c>
      <c r="D22609" s="7">
        <v>99999</v>
      </c>
      <c r="E22609" s="3">
        <v>99</v>
      </c>
      <c r="F22609" s="3">
        <v>99</v>
      </c>
      <c r="G22609" t="s">
        <v>516</v>
      </c>
    </row>
    <row r="22610" spans="1:7" x14ac:dyDescent="0.25">
      <c r="A22610" s="1" t="str">
        <f>"523010"</f>
        <v>523010</v>
      </c>
      <c r="B22610" s="2" t="str">
        <f>"SUPORTE MONITOR MESA AC125 MULTILASER"</f>
        <v>SUPORTE MONITOR MESA AC125 MULTILASER</v>
      </c>
      <c r="C22610" s="2" t="str">
        <f t="shared" si="889"/>
        <v>UN</v>
      </c>
      <c r="D22610" s="7">
        <v>401</v>
      </c>
      <c r="E22610" s="3">
        <v>4</v>
      </c>
      <c r="F22610" s="3">
        <v>4</v>
      </c>
      <c r="G22610" t="s">
        <v>515</v>
      </c>
    </row>
    <row r="22611" spans="1:7" x14ac:dyDescent="0.25">
      <c r="A22611" s="1" t="str">
        <f>"526763"</f>
        <v>526763</v>
      </c>
      <c r="B22611" s="2" t="str">
        <f>"SUPORTE MONTAG MS4-WB"</f>
        <v>SUPORTE MONTAG MS4-WB</v>
      </c>
      <c r="C22611" s="2" t="str">
        <f>"PÇ"</f>
        <v>PÇ</v>
      </c>
      <c r="D22611" s="7">
        <v>808</v>
      </c>
      <c r="E22611" s="3">
        <v>11</v>
      </c>
      <c r="F22611" s="3">
        <v>11</v>
      </c>
      <c r="G22611" t="s">
        <v>514</v>
      </c>
    </row>
    <row r="22612" spans="1:7" x14ac:dyDescent="0.25">
      <c r="A22612" s="1" t="str">
        <f>"514661"</f>
        <v>514661</v>
      </c>
      <c r="B22612" s="2" t="str">
        <f>"SUPORTE NEREYA PIAL 4 X 2"</f>
        <v>SUPORTE NEREYA PIAL 4 X 2</v>
      </c>
      <c r="C22612" s="2" t="str">
        <f t="shared" ref="C22612:C22632" si="890">"UN"</f>
        <v>UN</v>
      </c>
      <c r="D22612" s="7">
        <v>601</v>
      </c>
      <c r="E22612" s="3">
        <v>8</v>
      </c>
      <c r="F22612" s="3">
        <v>8</v>
      </c>
      <c r="G22612" t="s">
        <v>512</v>
      </c>
    </row>
    <row r="22613" spans="1:7" x14ac:dyDescent="0.25">
      <c r="A22613" s="1" t="str">
        <f>"519851"</f>
        <v>519851</v>
      </c>
      <c r="B22613" s="2" t="str">
        <f>"SUPORTE NOTEBOOK C/ 2 COOLERS MULTILASER AC103"</f>
        <v>SUPORTE NOTEBOOK C/ 2 COOLERS MULTILASER AC103</v>
      </c>
      <c r="C22613" s="2" t="str">
        <f t="shared" si="890"/>
        <v>UN</v>
      </c>
      <c r="D22613" s="7">
        <v>401</v>
      </c>
      <c r="E22613" s="3">
        <v>4</v>
      </c>
      <c r="F22613" s="3">
        <v>4</v>
      </c>
      <c r="G22613" t="s">
        <v>513</v>
      </c>
    </row>
    <row r="22614" spans="1:7" x14ac:dyDescent="0.25">
      <c r="A22614" s="1" t="str">
        <f>"513002"</f>
        <v>513002</v>
      </c>
      <c r="B22614" s="2" t="str">
        <f>"SUPORTE P SECAGEM DE VIDRARIAS EM PP 16 PEÇAS"</f>
        <v>SUPORTE P SECAGEM DE VIDRARIAS EM PP 16 PEÇAS</v>
      </c>
      <c r="C22614" s="2" t="str">
        <f t="shared" si="890"/>
        <v>UN</v>
      </c>
      <c r="D22614" s="7">
        <v>406</v>
      </c>
      <c r="E22614" s="3">
        <v>4</v>
      </c>
      <c r="F22614" s="3">
        <v>4</v>
      </c>
      <c r="G22614" t="s">
        <v>514</v>
      </c>
    </row>
    <row r="22615" spans="1:7" x14ac:dyDescent="0.25">
      <c r="A22615" s="1" t="str">
        <f>"500586"</f>
        <v>500586</v>
      </c>
      <c r="B22615" s="2" t="str">
        <f>"SUPORTE P/ ATUADOR FESTO DFPB-20-090-S5-F05"</f>
        <v>SUPORTE P/ ATUADOR FESTO DFPB-20-090-S5-F05</v>
      </c>
      <c r="C22615" s="2" t="str">
        <f t="shared" si="890"/>
        <v>UN</v>
      </c>
      <c r="D22615" s="7">
        <v>918</v>
      </c>
      <c r="E22615" s="3">
        <v>11</v>
      </c>
      <c r="F22615" s="3">
        <v>11</v>
      </c>
      <c r="G22615" t="s">
        <v>514</v>
      </c>
    </row>
    <row r="22616" spans="1:7" x14ac:dyDescent="0.25">
      <c r="A22616" s="1" t="str">
        <f>"523239"</f>
        <v>523239</v>
      </c>
      <c r="B22616" s="2" t="str">
        <f>"SUPORTE P/ BALÕES"</f>
        <v>SUPORTE P/ BALÕES</v>
      </c>
      <c r="C22616" s="2" t="str">
        <f t="shared" si="890"/>
        <v>UN</v>
      </c>
      <c r="D22616" s="7">
        <v>99999</v>
      </c>
      <c r="E22616" s="3">
        <v>99</v>
      </c>
      <c r="F22616" s="3">
        <v>99</v>
      </c>
      <c r="G22616" t="s">
        <v>512</v>
      </c>
    </row>
    <row r="22617" spans="1:7" x14ac:dyDescent="0.25">
      <c r="A22617" s="1" t="str">
        <f>"522110"</f>
        <v>522110</v>
      </c>
      <c r="B22617" s="2" t="str">
        <f>"SUPORTE P/ BURETAS"</f>
        <v>SUPORTE P/ BURETAS</v>
      </c>
      <c r="C22617" s="2" t="str">
        <f t="shared" si="890"/>
        <v>UN</v>
      </c>
      <c r="D22617" s="7">
        <v>406</v>
      </c>
      <c r="E22617" s="3">
        <v>4</v>
      </c>
      <c r="F22617" s="3">
        <v>4</v>
      </c>
      <c r="G22617" t="s">
        <v>513</v>
      </c>
    </row>
    <row r="22618" spans="1:7" x14ac:dyDescent="0.25">
      <c r="A22618" s="1" t="str">
        <f>"521664"</f>
        <v>521664</v>
      </c>
      <c r="B22618" s="2" t="str">
        <f>"SUPORTE P/ CONDENSADOR DE AR 12.000 BTU"</f>
        <v>SUPORTE P/ CONDENSADOR DE AR 12.000 BTU</v>
      </c>
      <c r="C22618" s="2" t="str">
        <f t="shared" si="890"/>
        <v>UN</v>
      </c>
      <c r="D22618" s="7">
        <v>916</v>
      </c>
      <c r="E22618" s="3">
        <v>10</v>
      </c>
      <c r="F22618" s="3">
        <v>10</v>
      </c>
      <c r="G22618" t="s">
        <v>514</v>
      </c>
    </row>
    <row r="22619" spans="1:7" x14ac:dyDescent="0.25">
      <c r="A22619" s="1" t="str">
        <f>"525850"</f>
        <v>525850</v>
      </c>
      <c r="B22619" s="2" t="str">
        <f>"SUPORTE P/ CONDENSADOR DE AR 18.000 BTU"</f>
        <v>SUPORTE P/ CONDENSADOR DE AR 18.000 BTU</v>
      </c>
      <c r="C22619" s="2" t="str">
        <f t="shared" si="890"/>
        <v>UN</v>
      </c>
      <c r="D22619" s="7">
        <v>916</v>
      </c>
      <c r="E22619" s="3">
        <v>10</v>
      </c>
      <c r="F22619" s="3">
        <v>10</v>
      </c>
      <c r="G22619" t="s">
        <v>514</v>
      </c>
    </row>
    <row r="22620" spans="1:7" x14ac:dyDescent="0.25">
      <c r="A22620" s="1" t="str">
        <f>"526634"</f>
        <v>526634</v>
      </c>
      <c r="B22620" s="2" t="str">
        <f>"SUPORTE P/ CONDENSADOR DE AR 22.000 BTU"</f>
        <v>SUPORTE P/ CONDENSADOR DE AR 22.000 BTU</v>
      </c>
      <c r="C22620" s="2" t="str">
        <f t="shared" si="890"/>
        <v>UN</v>
      </c>
      <c r="D22620" s="7">
        <v>1200</v>
      </c>
      <c r="E22620" s="3">
        <v>13</v>
      </c>
      <c r="F22620" s="3">
        <v>13</v>
      </c>
      <c r="G22620" t="s">
        <v>514</v>
      </c>
    </row>
    <row r="22621" spans="1:7" x14ac:dyDescent="0.25">
      <c r="A22621" s="1" t="str">
        <f>"520933"</f>
        <v>520933</v>
      </c>
      <c r="B22621" s="2" t="str">
        <f>"SUPORTE P/ CONE INHOFF (2 CONES)"</f>
        <v>SUPORTE P/ CONE INHOFF (2 CONES)</v>
      </c>
      <c r="C22621" s="2" t="str">
        <f t="shared" si="890"/>
        <v>UN</v>
      </c>
      <c r="D22621" s="7">
        <v>406</v>
      </c>
      <c r="E22621" s="3">
        <v>4</v>
      </c>
      <c r="F22621" s="3">
        <v>4</v>
      </c>
      <c r="G22621" t="s">
        <v>513</v>
      </c>
    </row>
    <row r="22622" spans="1:7" x14ac:dyDescent="0.25">
      <c r="A22622" s="1" t="str">
        <f>"3520"</f>
        <v>3520</v>
      </c>
      <c r="B22622" s="2" t="str">
        <f>"SUPORTE P/ COPO 180 ML (INOX)"</f>
        <v>SUPORTE P/ COPO 180 ML (INOX)</v>
      </c>
      <c r="C22622" s="2" t="str">
        <f t="shared" si="890"/>
        <v>UN</v>
      </c>
      <c r="D22622" s="7">
        <v>400</v>
      </c>
      <c r="E22622" s="3">
        <v>4</v>
      </c>
      <c r="F22622" s="3">
        <v>4</v>
      </c>
      <c r="G22622" t="s">
        <v>512</v>
      </c>
    </row>
    <row r="22623" spans="1:7" x14ac:dyDescent="0.25">
      <c r="A22623" s="1" t="str">
        <f>"505278"</f>
        <v>505278</v>
      </c>
      <c r="B22623" s="2" t="str">
        <f>"SUPORTE P/ CPU EM MDF ENVERNIXADO"</f>
        <v>SUPORTE P/ CPU EM MDF ENVERNIXADO</v>
      </c>
      <c r="C22623" s="2" t="str">
        <f t="shared" si="890"/>
        <v>UN</v>
      </c>
      <c r="D22623" s="7">
        <v>1200</v>
      </c>
      <c r="E22623" s="3">
        <v>10</v>
      </c>
      <c r="F22623" s="3">
        <v>10</v>
      </c>
      <c r="G22623" t="s">
        <v>513</v>
      </c>
    </row>
    <row r="22624" spans="1:7" x14ac:dyDescent="0.25">
      <c r="A22624" s="1" t="str">
        <f>"523903"</f>
        <v>523903</v>
      </c>
      <c r="B22624" s="2" t="str">
        <f>"SUPORTE P/ ELETROCALHA E-32 100X100MM"</f>
        <v>SUPORTE P/ ELETROCALHA E-32 100X100MM</v>
      </c>
      <c r="C22624" s="2" t="str">
        <f t="shared" si="890"/>
        <v>UN</v>
      </c>
      <c r="D22624" s="7">
        <v>601</v>
      </c>
      <c r="E22624" s="3">
        <v>8</v>
      </c>
      <c r="F22624" s="3">
        <v>8</v>
      </c>
      <c r="G22624" t="s">
        <v>514</v>
      </c>
    </row>
    <row r="22625" spans="1:7" x14ac:dyDescent="0.25">
      <c r="A22625" s="1" t="str">
        <f>"505413"</f>
        <v>505413</v>
      </c>
      <c r="B22625" s="2" t="str">
        <f>"SUPORTE P/ ELETROCALHA E-32 100X50MM"</f>
        <v>SUPORTE P/ ELETROCALHA E-32 100X50MM</v>
      </c>
      <c r="C22625" s="2" t="str">
        <f t="shared" si="890"/>
        <v>UN</v>
      </c>
      <c r="D22625" s="7">
        <v>600</v>
      </c>
      <c r="E22625" s="3">
        <v>8</v>
      </c>
      <c r="F22625" s="3">
        <v>8</v>
      </c>
      <c r="G22625" t="s">
        <v>514</v>
      </c>
    </row>
    <row r="22626" spans="1:7" x14ac:dyDescent="0.25">
      <c r="A22626" s="1" t="str">
        <f>"523905"</f>
        <v>523905</v>
      </c>
      <c r="B22626" s="2" t="str">
        <f>"SUPORTE P/ ELETROCALHA E-32 120X120MM"</f>
        <v>SUPORTE P/ ELETROCALHA E-32 120X120MM</v>
      </c>
      <c r="C22626" s="2" t="str">
        <f t="shared" si="890"/>
        <v>UN</v>
      </c>
      <c r="D22626" s="7">
        <v>601</v>
      </c>
      <c r="E22626" s="3">
        <v>8</v>
      </c>
      <c r="F22626" s="3">
        <v>8</v>
      </c>
      <c r="G22626" t="s">
        <v>514</v>
      </c>
    </row>
    <row r="22627" spans="1:7" x14ac:dyDescent="0.25">
      <c r="A22627" s="1" t="str">
        <f>"523904"</f>
        <v>523904</v>
      </c>
      <c r="B22627" s="2" t="str">
        <f>"SUPORTE P/ ELETROCALHA E-32 120X60MM"</f>
        <v>SUPORTE P/ ELETROCALHA E-32 120X60MM</v>
      </c>
      <c r="C22627" s="2" t="str">
        <f t="shared" si="890"/>
        <v>UN</v>
      </c>
      <c r="D22627" s="7">
        <v>601</v>
      </c>
      <c r="E22627" s="3">
        <v>8</v>
      </c>
      <c r="F22627" s="3">
        <v>8</v>
      </c>
      <c r="G22627" t="s">
        <v>513</v>
      </c>
    </row>
    <row r="22628" spans="1:7" x14ac:dyDescent="0.25">
      <c r="A22628" s="1" t="str">
        <f>"502332"</f>
        <v>502332</v>
      </c>
      <c r="B22628" s="2" t="str">
        <f>"SUPORTE P/ ELETROCALHA E-32 200X100MM"</f>
        <v>SUPORTE P/ ELETROCALHA E-32 200X100MM</v>
      </c>
      <c r="C22628" s="2" t="str">
        <f t="shared" si="890"/>
        <v>UN</v>
      </c>
      <c r="D22628" s="7">
        <v>601</v>
      </c>
      <c r="E22628" s="3">
        <v>8</v>
      </c>
      <c r="F22628" s="3">
        <v>8</v>
      </c>
      <c r="G22628" t="s">
        <v>513</v>
      </c>
    </row>
    <row r="22629" spans="1:7" x14ac:dyDescent="0.25">
      <c r="A22629" s="1" t="str">
        <f>"527585"</f>
        <v>527585</v>
      </c>
      <c r="B22629" s="2" t="str">
        <f>"SUPORTE P/ FITA ADESIVA"</f>
        <v>SUPORTE P/ FITA ADESIVA</v>
      </c>
      <c r="C22629" s="2" t="str">
        <f t="shared" si="890"/>
        <v>UN</v>
      </c>
      <c r="D22629" s="7">
        <v>99999</v>
      </c>
      <c r="E22629" s="3">
        <v>99</v>
      </c>
      <c r="F22629" s="3">
        <v>99</v>
      </c>
      <c r="G22629" t="s">
        <v>513</v>
      </c>
    </row>
    <row r="22630" spans="1:7" x14ac:dyDescent="0.25">
      <c r="A22630" s="1" t="str">
        <f>"520756"</f>
        <v>520756</v>
      </c>
      <c r="B22630" s="8" t="s">
        <v>180</v>
      </c>
      <c r="C22630" s="2" t="str">
        <f t="shared" si="890"/>
        <v>UN</v>
      </c>
      <c r="D22630" s="7">
        <v>910</v>
      </c>
      <c r="E22630" s="3">
        <v>10</v>
      </c>
      <c r="F22630" s="3">
        <v>10</v>
      </c>
      <c r="G22630" t="s">
        <v>512</v>
      </c>
    </row>
    <row r="22631" spans="1:7" x14ac:dyDescent="0.25">
      <c r="A22631" s="1" t="str">
        <f>"507132"</f>
        <v>507132</v>
      </c>
      <c r="B22631" s="2" t="str">
        <f>"SUPORTE P/ GUIA FITA COD. 05.3420.048.54"</f>
        <v>SUPORTE P/ GUIA FITA COD. 05.3420.048.54</v>
      </c>
      <c r="C22631" s="2" t="str">
        <f t="shared" si="890"/>
        <v>UN</v>
      </c>
      <c r="D22631" s="7">
        <v>918</v>
      </c>
      <c r="E22631" s="3">
        <v>11</v>
      </c>
      <c r="F22631" s="3">
        <v>11</v>
      </c>
      <c r="G22631" t="s">
        <v>513</v>
      </c>
    </row>
    <row r="22632" spans="1:7" x14ac:dyDescent="0.25">
      <c r="A22632" s="1" t="str">
        <f>"524585"</f>
        <v>524585</v>
      </c>
      <c r="B22632" s="2" t="str">
        <f>"SUPORTE P/ LEITO 900X400 TIPO H"</f>
        <v>SUPORTE P/ LEITO 900X400 TIPO H</v>
      </c>
      <c r="C22632" s="2" t="str">
        <f t="shared" si="890"/>
        <v>UN</v>
      </c>
      <c r="D22632" s="7">
        <v>811</v>
      </c>
      <c r="E22632" s="3">
        <v>10</v>
      </c>
      <c r="F22632" s="3">
        <v>10</v>
      </c>
      <c r="G22632" t="s">
        <v>514</v>
      </c>
    </row>
    <row r="22633" spans="1:7" x14ac:dyDescent="0.25">
      <c r="A22633" s="1" t="str">
        <f>"511763"</f>
        <v>511763</v>
      </c>
      <c r="B22633" s="2" t="str">
        <f>"SUPORTE P/ MAQUINA COPO"</f>
        <v>SUPORTE P/ MAQUINA COPO</v>
      </c>
      <c r="C22633" s="2" t="str">
        <f>"PC"</f>
        <v>PC</v>
      </c>
      <c r="D22633" s="7">
        <v>806</v>
      </c>
      <c r="E22633" s="3">
        <v>10</v>
      </c>
      <c r="F22633" s="3">
        <v>10</v>
      </c>
      <c r="G22633" t="s">
        <v>515</v>
      </c>
    </row>
    <row r="22634" spans="1:7" x14ac:dyDescent="0.25">
      <c r="A22634" s="1" t="str">
        <f>"518601"</f>
        <v>518601</v>
      </c>
      <c r="B22634" s="2" t="str">
        <f>"SUPORTE P/ TOMADAS PIAL PLUS"</f>
        <v>SUPORTE P/ TOMADAS PIAL PLUS</v>
      </c>
      <c r="C22634" s="2" t="str">
        <f t="shared" ref="C22634:C22643" si="891">"UN"</f>
        <v>UN</v>
      </c>
      <c r="D22634" s="7">
        <v>811</v>
      </c>
      <c r="E22634" s="3">
        <v>8</v>
      </c>
      <c r="F22634" s="3">
        <v>8</v>
      </c>
      <c r="G22634" t="s">
        <v>512</v>
      </c>
    </row>
    <row r="22635" spans="1:7" x14ac:dyDescent="0.25">
      <c r="A22635" s="1" t="str">
        <f>"527967"</f>
        <v>527967</v>
      </c>
      <c r="B22635" s="2" t="str">
        <f>"SUPORTE P/ TRILHO DIN"</f>
        <v>SUPORTE P/ TRILHO DIN</v>
      </c>
      <c r="C22635" s="2" t="str">
        <f t="shared" si="891"/>
        <v>UN</v>
      </c>
      <c r="D22635" s="7">
        <v>600</v>
      </c>
      <c r="E22635" s="3">
        <v>10</v>
      </c>
      <c r="F22635" s="3">
        <v>10</v>
      </c>
      <c r="G22635" t="s">
        <v>516</v>
      </c>
    </row>
    <row r="22636" spans="1:7" x14ac:dyDescent="0.25">
      <c r="A22636" s="1" t="str">
        <f>"519982"</f>
        <v>519982</v>
      </c>
      <c r="B22636" s="2" t="str">
        <f>"SUPORTE P/ VB PN 304 1"""</f>
        <v>SUPORTE P/ VB PN 304 1"</v>
      </c>
      <c r="C22636" s="2" t="str">
        <f t="shared" si="891"/>
        <v>UN</v>
      </c>
      <c r="D22636" s="7">
        <v>918</v>
      </c>
      <c r="E22636" s="3">
        <v>11</v>
      </c>
      <c r="F22636" s="3">
        <v>11</v>
      </c>
      <c r="G22636" t="s">
        <v>515</v>
      </c>
    </row>
    <row r="22637" spans="1:7" x14ac:dyDescent="0.25">
      <c r="A22637" s="1" t="str">
        <f>"517581"</f>
        <v>517581</v>
      </c>
      <c r="B22637" s="2" t="str">
        <f>"SUPORTE P/VB PN 304 2"" (ADA/ASR-20/40)"</f>
        <v>SUPORTE P/VB PN 304 2" (ADA/ASR-20/40)</v>
      </c>
      <c r="C22637" s="2" t="str">
        <f t="shared" si="891"/>
        <v>UN</v>
      </c>
      <c r="D22637" s="7">
        <v>918</v>
      </c>
      <c r="E22637" s="3">
        <v>11</v>
      </c>
      <c r="F22637" s="3">
        <v>11</v>
      </c>
      <c r="G22637" t="s">
        <v>514</v>
      </c>
    </row>
    <row r="22638" spans="1:7" x14ac:dyDescent="0.25">
      <c r="A22638" s="1" t="str">
        <f>"526486"</f>
        <v>526486</v>
      </c>
      <c r="B22638" s="2" t="str">
        <f>"SUPORTE PARA 3 MODULOS"</f>
        <v>SUPORTE PARA 3 MODULOS</v>
      </c>
      <c r="C22638" s="2" t="str">
        <f t="shared" si="891"/>
        <v>UN</v>
      </c>
      <c r="D22638" s="7">
        <v>811</v>
      </c>
      <c r="E22638" s="3">
        <v>8</v>
      </c>
      <c r="F22638" s="3">
        <v>8</v>
      </c>
      <c r="G22638" t="s">
        <v>512</v>
      </c>
    </row>
    <row r="22639" spans="1:7" x14ac:dyDescent="0.25">
      <c r="A22639" s="1" t="str">
        <f>"526484"</f>
        <v>526484</v>
      </c>
      <c r="B22639" s="2" t="str">
        <f>"SUPORTE PARA 6 MODULOS"</f>
        <v>SUPORTE PARA 6 MODULOS</v>
      </c>
      <c r="C22639" s="2" t="str">
        <f t="shared" si="891"/>
        <v>UN</v>
      </c>
      <c r="D22639" s="7">
        <v>811</v>
      </c>
      <c r="E22639" s="3">
        <v>8</v>
      </c>
      <c r="F22639" s="3">
        <v>8</v>
      </c>
      <c r="G22639" t="s">
        <v>513</v>
      </c>
    </row>
    <row r="22640" spans="1:7" x14ac:dyDescent="0.25">
      <c r="A22640" s="1" t="str">
        <f>"509379"</f>
        <v>509379</v>
      </c>
      <c r="B22640" s="2" t="str">
        <f>"SUPORTE PARA AGUA MINERAL"</f>
        <v>SUPORTE PARA AGUA MINERAL</v>
      </c>
      <c r="C22640" s="2" t="str">
        <f t="shared" si="891"/>
        <v>UN</v>
      </c>
      <c r="D22640" s="7">
        <v>402</v>
      </c>
      <c r="E22640" s="3">
        <v>4</v>
      </c>
      <c r="F22640" s="3">
        <v>4</v>
      </c>
      <c r="G22640" t="s">
        <v>514</v>
      </c>
    </row>
    <row r="22641" spans="1:7" x14ac:dyDescent="0.25">
      <c r="A22641" s="1" t="str">
        <f>"521069"</f>
        <v>521069</v>
      </c>
      <c r="B22641" s="2" t="str">
        <f>"SUPORTE PARA CABO E FIBRAS (COR PRETO CÓD. 47101)"</f>
        <v>SUPORTE PARA CABO E FIBRAS (COR PRETO CÓD. 47101)</v>
      </c>
      <c r="C22641" s="2" t="str">
        <f t="shared" si="891"/>
        <v>UN</v>
      </c>
      <c r="D22641" s="7">
        <v>400</v>
      </c>
      <c r="E22641" s="3">
        <v>4</v>
      </c>
      <c r="F22641" s="3">
        <v>4</v>
      </c>
      <c r="G22641" t="s">
        <v>514</v>
      </c>
    </row>
    <row r="22642" spans="1:7" x14ac:dyDescent="0.25">
      <c r="A22642" s="1" t="str">
        <f>"6678"</f>
        <v>6678</v>
      </c>
      <c r="B22642" s="2" t="str">
        <f>"SUPORTE PARA COPO DE AGUA 180ML"</f>
        <v>SUPORTE PARA COPO DE AGUA 180ML</v>
      </c>
      <c r="C22642" s="2" t="str">
        <f t="shared" si="891"/>
        <v>UN</v>
      </c>
      <c r="D22642" s="7">
        <v>401</v>
      </c>
      <c r="E22642" s="3">
        <v>4</v>
      </c>
      <c r="F22642" s="3">
        <v>4</v>
      </c>
      <c r="G22642" t="s">
        <v>512</v>
      </c>
    </row>
    <row r="22643" spans="1:7" x14ac:dyDescent="0.25">
      <c r="A22643" s="1" t="str">
        <f>"6675"</f>
        <v>6675</v>
      </c>
      <c r="B22643" s="2" t="str">
        <f>"SUPORTE PARA COPO DE CAFE"</f>
        <v>SUPORTE PARA COPO DE CAFE</v>
      </c>
      <c r="C22643" s="2" t="str">
        <f t="shared" si="891"/>
        <v>UN</v>
      </c>
      <c r="D22643" s="7">
        <v>401</v>
      </c>
      <c r="E22643" s="3">
        <v>4</v>
      </c>
      <c r="F22643" s="3">
        <v>4</v>
      </c>
      <c r="G22643" t="s">
        <v>513</v>
      </c>
    </row>
    <row r="22644" spans="1:7" x14ac:dyDescent="0.25">
      <c r="A22644" s="1" t="str">
        <f>"524444"</f>
        <v>524444</v>
      </c>
      <c r="B22644" s="2" t="str">
        <f>"SUPORTE PARA ESCORAR CANOS DE AMONIA"</f>
        <v>SUPORTE PARA ESCORAR CANOS DE AMONIA</v>
      </c>
      <c r="C22644" s="2" t="str">
        <f>"PC"</f>
        <v>PC</v>
      </c>
      <c r="D22644" s="7">
        <v>806</v>
      </c>
      <c r="E22644" s="3">
        <v>10</v>
      </c>
      <c r="F22644" s="3">
        <v>10</v>
      </c>
      <c r="G22644" t="s">
        <v>514</v>
      </c>
    </row>
    <row r="22645" spans="1:7" x14ac:dyDescent="0.25">
      <c r="A22645" s="1" t="str">
        <f>"515697"</f>
        <v>515697</v>
      </c>
      <c r="B22645" s="2" t="str">
        <f>"SUPORTE PARA EXTINTORES"</f>
        <v>SUPORTE PARA EXTINTORES</v>
      </c>
      <c r="C22645" s="2" t="str">
        <f>"UN"</f>
        <v>UN</v>
      </c>
      <c r="D22645" s="7">
        <v>501</v>
      </c>
      <c r="E22645" s="3">
        <v>5</v>
      </c>
      <c r="F22645" s="3">
        <v>5</v>
      </c>
      <c r="G22645" t="s">
        <v>514</v>
      </c>
    </row>
    <row r="22646" spans="1:7" x14ac:dyDescent="0.25">
      <c r="A22646" s="1" t="str">
        <f>"510905"</f>
        <v>510905</v>
      </c>
      <c r="B22646" s="2" t="str">
        <f>"SUPORTE PARA FITA EMPACOTAMENTO"</f>
        <v>SUPORTE PARA FITA EMPACOTAMENTO</v>
      </c>
      <c r="C22646" s="2" t="str">
        <f>"UN"</f>
        <v>UN</v>
      </c>
      <c r="D22646" s="7">
        <v>402</v>
      </c>
      <c r="E22646" s="3">
        <v>4</v>
      </c>
      <c r="F22646" s="3">
        <v>4</v>
      </c>
      <c r="G22646" t="s">
        <v>514</v>
      </c>
    </row>
    <row r="22647" spans="1:7" x14ac:dyDescent="0.25">
      <c r="A22647" s="1" t="str">
        <f>"524536"</f>
        <v>524536</v>
      </c>
      <c r="B22647" s="2" t="str">
        <f>"SUPORTE PARA ROLO ATLAS"</f>
        <v>SUPORTE PARA ROLO ATLAS</v>
      </c>
      <c r="C22647" s="2" t="str">
        <f>"UN"</f>
        <v>UN</v>
      </c>
      <c r="D22647" s="7">
        <v>917</v>
      </c>
      <c r="E22647" s="3">
        <v>4</v>
      </c>
      <c r="F22647" s="3">
        <v>4</v>
      </c>
      <c r="G22647" t="s">
        <v>513</v>
      </c>
    </row>
    <row r="22648" spans="1:7" x14ac:dyDescent="0.25">
      <c r="A22648" s="1" t="str">
        <f>"513151"</f>
        <v>513151</v>
      </c>
      <c r="B22648" s="2" t="str">
        <f>"SUPORTE PARA TOALHA TRILHA BOBINA"</f>
        <v>SUPORTE PARA TOALHA TRILHA BOBINA</v>
      </c>
      <c r="C22648" s="2" t="str">
        <f>"UN"</f>
        <v>UN</v>
      </c>
      <c r="D22648" s="7">
        <v>406</v>
      </c>
      <c r="E22648" s="3">
        <v>4</v>
      </c>
      <c r="F22648" s="3">
        <v>4</v>
      </c>
      <c r="G22648" t="s">
        <v>512</v>
      </c>
    </row>
    <row r="22649" spans="1:7" x14ac:dyDescent="0.25">
      <c r="A22649" s="1" t="str">
        <f>"526144"</f>
        <v>526144</v>
      </c>
      <c r="B22649" s="2" t="str">
        <f>"SUPORTE PARA TUBO"</f>
        <v>SUPORTE PARA TUBO</v>
      </c>
      <c r="C22649" s="2" t="str">
        <f>"BR"</f>
        <v>BR</v>
      </c>
      <c r="D22649" s="7">
        <v>808</v>
      </c>
      <c r="E22649" s="3">
        <v>10</v>
      </c>
      <c r="F22649" s="3">
        <v>10</v>
      </c>
      <c r="G22649" t="s">
        <v>513</v>
      </c>
    </row>
    <row r="22650" spans="1:7" x14ac:dyDescent="0.25">
      <c r="A22650" s="1" t="str">
        <f>"527721"</f>
        <v>527721</v>
      </c>
      <c r="B22650" s="2" t="str">
        <f>"SUPORTE PARA TUBO 1/4"" INOX 316"</f>
        <v>SUPORTE PARA TUBO 1/4" INOX 316</v>
      </c>
      <c r="C22650" s="2" t="str">
        <f t="shared" ref="C22650:C22667" si="892">"UN"</f>
        <v>UN</v>
      </c>
      <c r="D22650" s="7">
        <v>807</v>
      </c>
      <c r="E22650" s="3">
        <v>10</v>
      </c>
      <c r="F22650" s="3">
        <v>10</v>
      </c>
      <c r="G22650" t="s">
        <v>514</v>
      </c>
    </row>
    <row r="22651" spans="1:7" x14ac:dyDescent="0.25">
      <c r="A22651" s="1" t="str">
        <f>"519819"</f>
        <v>519819</v>
      </c>
      <c r="B22651" s="2" t="str">
        <f>"SUPORTE PARACHOQUE TRAÇADO NOVO 1722 2010"</f>
        <v>SUPORTE PARACHOQUE TRAÇADO NOVO 1722 2010</v>
      </c>
      <c r="C22651" s="2" t="str">
        <f t="shared" si="892"/>
        <v>UN</v>
      </c>
      <c r="D22651" s="7">
        <v>704</v>
      </c>
      <c r="E22651" s="3">
        <v>4</v>
      </c>
      <c r="F22651" s="3">
        <v>4</v>
      </c>
      <c r="G22651" t="s">
        <v>514</v>
      </c>
    </row>
    <row r="22652" spans="1:7" x14ac:dyDescent="0.25">
      <c r="A22652" s="1" t="str">
        <f>"511855"</f>
        <v>511855</v>
      </c>
      <c r="B22652" s="2" t="str">
        <f>"SUPORTE PE MAQUINA"</f>
        <v>SUPORTE PE MAQUINA</v>
      </c>
      <c r="C22652" s="2" t="str">
        <f t="shared" si="892"/>
        <v>UN</v>
      </c>
      <c r="D22652" s="7">
        <v>918</v>
      </c>
      <c r="E22652" s="3">
        <v>11</v>
      </c>
      <c r="F22652" s="3">
        <v>11</v>
      </c>
      <c r="G22652" t="s">
        <v>514</v>
      </c>
    </row>
    <row r="22653" spans="1:7" x14ac:dyDescent="0.25">
      <c r="A22653" s="1" t="str">
        <f>"511638"</f>
        <v>511638</v>
      </c>
      <c r="B22653" s="2" t="str">
        <f>"SUPORTE PES DA MAQUINA"</f>
        <v>SUPORTE PES DA MAQUINA</v>
      </c>
      <c r="C22653" s="2" t="str">
        <f t="shared" si="892"/>
        <v>UN</v>
      </c>
      <c r="D22653" s="7">
        <v>918</v>
      </c>
      <c r="E22653" s="3">
        <v>11</v>
      </c>
      <c r="F22653" s="3">
        <v>11</v>
      </c>
      <c r="G22653" t="s">
        <v>513</v>
      </c>
    </row>
    <row r="22654" spans="1:7" x14ac:dyDescent="0.25">
      <c r="A22654" s="1" t="str">
        <f>"505706"</f>
        <v>505706</v>
      </c>
      <c r="B22654" s="2" t="str">
        <f>"SUPORTE PIVO P/VISCOSIMETRO"</f>
        <v>SUPORTE PIVO P/VISCOSIMETRO</v>
      </c>
      <c r="C22654" s="2" t="str">
        <f t="shared" si="892"/>
        <v>UN</v>
      </c>
      <c r="D22654" s="7">
        <v>918</v>
      </c>
      <c r="E22654" s="3">
        <v>11</v>
      </c>
      <c r="F22654" s="3">
        <v>11</v>
      </c>
      <c r="G22654" t="s">
        <v>513</v>
      </c>
    </row>
    <row r="22655" spans="1:7" x14ac:dyDescent="0.25">
      <c r="A22655" s="1" t="str">
        <f>"501916"</f>
        <v>501916</v>
      </c>
      <c r="B22655" s="2" t="str">
        <f>"SUPORTE PLACA DIANTEIRA"</f>
        <v>SUPORTE PLACA DIANTEIRA</v>
      </c>
      <c r="C22655" s="2" t="str">
        <f t="shared" si="892"/>
        <v>UN</v>
      </c>
      <c r="D22655" s="7">
        <v>704</v>
      </c>
      <c r="E22655" s="3">
        <v>9</v>
      </c>
      <c r="F22655" s="3">
        <v>9</v>
      </c>
      <c r="G22655" t="s">
        <v>513</v>
      </c>
    </row>
    <row r="22656" spans="1:7" x14ac:dyDescent="0.25">
      <c r="A22656" s="1" t="str">
        <f>"524472"</f>
        <v>524472</v>
      </c>
      <c r="B22656" s="2" t="str">
        <f>"SUPORTE PONTO FIXO TUB Ø3"""</f>
        <v>SUPORTE PONTO FIXO TUB Ø3"</v>
      </c>
      <c r="C22656" s="2" t="str">
        <f t="shared" si="892"/>
        <v>UN</v>
      </c>
      <c r="D22656" s="7">
        <v>807</v>
      </c>
      <c r="E22656" s="3">
        <v>10</v>
      </c>
      <c r="F22656" s="3">
        <v>10</v>
      </c>
      <c r="G22656" t="s">
        <v>512</v>
      </c>
    </row>
    <row r="22657" spans="1:7" x14ac:dyDescent="0.25">
      <c r="A22657" s="1" t="str">
        <f>"524468"</f>
        <v>524468</v>
      </c>
      <c r="B22657" s="2" t="str">
        <f>"SUPORTE PONTO FIXO TUB Ø4"""</f>
        <v>SUPORTE PONTO FIXO TUB Ø4"</v>
      </c>
      <c r="C22657" s="2" t="str">
        <f t="shared" si="892"/>
        <v>UN</v>
      </c>
      <c r="D22657" s="7">
        <v>807</v>
      </c>
      <c r="E22657" s="3">
        <v>10</v>
      </c>
      <c r="F22657" s="3">
        <v>10</v>
      </c>
      <c r="G22657" t="s">
        <v>513</v>
      </c>
    </row>
    <row r="22658" spans="1:7" x14ac:dyDescent="0.25">
      <c r="A22658" s="1" t="str">
        <f>"524470"</f>
        <v>524470</v>
      </c>
      <c r="B22658" s="2" t="str">
        <f>"SUPORTE PONTO FIXO TUB Ø6"""</f>
        <v>SUPORTE PONTO FIXO TUB Ø6"</v>
      </c>
      <c r="C22658" s="2" t="str">
        <f t="shared" si="892"/>
        <v>UN</v>
      </c>
      <c r="D22658" s="7">
        <v>807</v>
      </c>
      <c r="E22658" s="3">
        <v>10</v>
      </c>
      <c r="F22658" s="3">
        <v>10</v>
      </c>
      <c r="G22658" t="s">
        <v>514</v>
      </c>
    </row>
    <row r="22659" spans="1:7" x14ac:dyDescent="0.25">
      <c r="A22659" s="1" t="str">
        <f>"515616"</f>
        <v>515616</v>
      </c>
      <c r="B22659" s="2" t="str">
        <f>"SUPORTE PRATELEIRA GSTO GSHF"</f>
        <v>SUPORTE PRATELEIRA GSTO GSHF</v>
      </c>
      <c r="C22659" s="2" t="str">
        <f t="shared" si="892"/>
        <v>UN</v>
      </c>
      <c r="D22659" s="7">
        <v>818</v>
      </c>
      <c r="E22659" s="3">
        <v>4</v>
      </c>
      <c r="F22659" s="3">
        <v>4</v>
      </c>
      <c r="G22659" t="s">
        <v>515</v>
      </c>
    </row>
    <row r="22660" spans="1:7" x14ac:dyDescent="0.25">
      <c r="A22660" s="1" t="str">
        <f>"527919"</f>
        <v>527919</v>
      </c>
      <c r="B22660" s="2" t="str">
        <f>"SUPORTE PROTEÇÃO BOMBA DETECTOR GAS BW MAX XT II"</f>
        <v>SUPORTE PROTEÇÃO BOMBA DETECTOR GAS BW MAX XT II</v>
      </c>
      <c r="C22660" s="2" t="str">
        <f t="shared" si="892"/>
        <v>UN</v>
      </c>
      <c r="D22660" s="7">
        <v>99999</v>
      </c>
      <c r="E22660" s="3">
        <v>99</v>
      </c>
      <c r="F22660" s="3">
        <v>99</v>
      </c>
      <c r="G22660" t="s">
        <v>512</v>
      </c>
    </row>
    <row r="22661" spans="1:7" x14ac:dyDescent="0.25">
      <c r="A22661" s="1" t="str">
        <f>"507137"</f>
        <v>507137</v>
      </c>
      <c r="B22661" s="2" t="str">
        <f>"SUPORTE PROTEÇAO FACA COD 05.3420.207.50"</f>
        <v>SUPORTE PROTEÇAO FACA COD 05.3420.207.50</v>
      </c>
      <c r="C22661" s="2" t="str">
        <f t="shared" si="892"/>
        <v>UN</v>
      </c>
      <c r="D22661" s="7">
        <v>918</v>
      </c>
      <c r="E22661" s="3">
        <v>11</v>
      </c>
      <c r="F22661" s="3">
        <v>11</v>
      </c>
      <c r="G22661" t="s">
        <v>516</v>
      </c>
    </row>
    <row r="22662" spans="1:7" x14ac:dyDescent="0.25">
      <c r="A22662" s="1" t="str">
        <f>"515477"</f>
        <v>515477</v>
      </c>
      <c r="B22662" s="2" t="str">
        <f>"SUPORTE PX/PTT"</f>
        <v>SUPORTE PX/PTT</v>
      </c>
      <c r="C22662" s="2" t="str">
        <f t="shared" si="892"/>
        <v>UN</v>
      </c>
      <c r="D22662" s="7">
        <v>704</v>
      </c>
      <c r="E22662" s="3">
        <v>9</v>
      </c>
      <c r="F22662" s="3">
        <v>9</v>
      </c>
      <c r="G22662" t="s">
        <v>515</v>
      </c>
    </row>
    <row r="22663" spans="1:7" x14ac:dyDescent="0.25">
      <c r="A22663" s="1" t="str">
        <f>"502587"</f>
        <v>502587</v>
      </c>
      <c r="B22663" s="2" t="str">
        <f>"SUPORTE REI C/ ROLAMENTO"</f>
        <v>SUPORTE REI C/ ROLAMENTO</v>
      </c>
      <c r="C22663" s="2" t="str">
        <f t="shared" si="892"/>
        <v>UN</v>
      </c>
      <c r="D22663" s="7">
        <v>704</v>
      </c>
      <c r="E22663" s="3">
        <v>9</v>
      </c>
      <c r="F22663" s="3">
        <v>9</v>
      </c>
      <c r="G22663" t="s">
        <v>514</v>
      </c>
    </row>
    <row r="22664" spans="1:7" x14ac:dyDescent="0.25">
      <c r="A22664" s="1" t="str">
        <f>"511633"</f>
        <v>511633</v>
      </c>
      <c r="B22664" s="2" t="str">
        <f>"SUPORTE RESISTENCIA IMAR"</f>
        <v>SUPORTE RESISTENCIA IMAR</v>
      </c>
      <c r="C22664" s="2" t="str">
        <f t="shared" si="892"/>
        <v>UN</v>
      </c>
      <c r="D22664" s="7">
        <v>918</v>
      </c>
      <c r="E22664" s="3">
        <v>11</v>
      </c>
      <c r="F22664" s="3">
        <v>11</v>
      </c>
      <c r="G22664" t="s">
        <v>512</v>
      </c>
    </row>
    <row r="22665" spans="1:7" x14ac:dyDescent="0.25">
      <c r="A22665" s="1" t="str">
        <f>"511850"</f>
        <v>511850</v>
      </c>
      <c r="B22665" s="2" t="str">
        <f>"SUPORTE RESISTENCIA IMAR"</f>
        <v>SUPORTE RESISTENCIA IMAR</v>
      </c>
      <c r="C22665" s="2" t="str">
        <f t="shared" si="892"/>
        <v>UN</v>
      </c>
      <c r="D22665" s="7">
        <v>918</v>
      </c>
      <c r="E22665" s="3">
        <v>11</v>
      </c>
      <c r="F22665" s="3">
        <v>11</v>
      </c>
      <c r="G22665" t="s">
        <v>513</v>
      </c>
    </row>
    <row r="22666" spans="1:7" x14ac:dyDescent="0.25">
      <c r="A22666" s="1" t="str">
        <f>"509408"</f>
        <v>509408</v>
      </c>
      <c r="B22666" s="2" t="str">
        <f>"SUPORTE RODA DUPLA 008300019 APOS03/2008"</f>
        <v>SUPORTE RODA DUPLA 008300019 APOS03/2008</v>
      </c>
      <c r="C22666" s="2" t="str">
        <f t="shared" si="892"/>
        <v>UN</v>
      </c>
      <c r="D22666" s="7">
        <v>918</v>
      </c>
      <c r="E22666" s="3">
        <v>11</v>
      </c>
      <c r="F22666" s="3">
        <v>11</v>
      </c>
      <c r="G22666" t="s">
        <v>514</v>
      </c>
    </row>
    <row r="22667" spans="1:7" x14ac:dyDescent="0.25">
      <c r="A22667" s="1" t="str">
        <f>"506417"</f>
        <v>506417</v>
      </c>
      <c r="B22667" s="2" t="str">
        <f>"SUPORTE RODA PALETEIRO COD. 008300030"</f>
        <v>SUPORTE RODA PALETEIRO COD. 008300030</v>
      </c>
      <c r="C22667" s="2" t="str">
        <f t="shared" si="892"/>
        <v>UN</v>
      </c>
      <c r="D22667" s="7">
        <v>918</v>
      </c>
      <c r="E22667" s="3">
        <v>11</v>
      </c>
      <c r="F22667" s="3">
        <v>11</v>
      </c>
      <c r="G22667" t="s">
        <v>514</v>
      </c>
    </row>
    <row r="22668" spans="1:7" x14ac:dyDescent="0.25">
      <c r="A22668" s="1" t="str">
        <f>"5965"</f>
        <v>5965</v>
      </c>
      <c r="B22668" s="2" t="str">
        <f>"SUPORTE ROLAO 300MTS(PAPEL HIGIENICO)"</f>
        <v>SUPORTE ROLAO 300MTS(PAPEL HIGIENICO)</v>
      </c>
      <c r="C22668" s="2" t="str">
        <f>"PC"</f>
        <v>PC</v>
      </c>
      <c r="D22668" s="7">
        <v>400</v>
      </c>
      <c r="E22668" s="3">
        <v>4</v>
      </c>
      <c r="F22668" s="3">
        <v>4</v>
      </c>
      <c r="G22668" t="s">
        <v>512</v>
      </c>
    </row>
    <row r="22669" spans="1:7" x14ac:dyDescent="0.25">
      <c r="A22669" s="1" t="str">
        <f>"503658"</f>
        <v>503658</v>
      </c>
      <c r="B22669" s="2" t="str">
        <f>"SUPORTE ROLO TINTA DATADOR DINIEPER"</f>
        <v>SUPORTE ROLO TINTA DATADOR DINIEPER</v>
      </c>
      <c r="C22669" s="2" t="str">
        <f t="shared" ref="C22669:C22680" si="893">"UN"</f>
        <v>UN</v>
      </c>
      <c r="D22669" s="7">
        <v>918</v>
      </c>
      <c r="E22669" s="3">
        <v>11</v>
      </c>
      <c r="F22669" s="3">
        <v>11</v>
      </c>
      <c r="G22669" t="s">
        <v>513</v>
      </c>
    </row>
    <row r="22670" spans="1:7" x14ac:dyDescent="0.25">
      <c r="A22670" s="1" t="str">
        <f>"513252"</f>
        <v>513252</v>
      </c>
      <c r="B22670" s="2" t="str">
        <f>"SUPORTE SABÃO P/ PIA"</f>
        <v>SUPORTE SABÃO P/ PIA</v>
      </c>
      <c r="C22670" s="2" t="str">
        <f t="shared" si="893"/>
        <v>UN</v>
      </c>
      <c r="D22670" s="7">
        <v>99999</v>
      </c>
      <c r="E22670" s="3">
        <v>99</v>
      </c>
      <c r="F22670" s="3">
        <v>99</v>
      </c>
      <c r="G22670" t="s">
        <v>514</v>
      </c>
    </row>
    <row r="22671" spans="1:7" x14ac:dyDescent="0.25">
      <c r="A22671" s="1" t="str">
        <f>"509281"</f>
        <v>509281</v>
      </c>
      <c r="B22671" s="2" t="str">
        <f>"SUPORTE SENSOR FOTOCELULA"</f>
        <v>SUPORTE SENSOR FOTOCELULA</v>
      </c>
      <c r="C22671" s="2" t="str">
        <f t="shared" si="893"/>
        <v>UN</v>
      </c>
      <c r="D22671" s="7">
        <v>918</v>
      </c>
      <c r="E22671" s="3">
        <v>11</v>
      </c>
      <c r="F22671" s="3">
        <v>11</v>
      </c>
      <c r="G22671" t="s">
        <v>514</v>
      </c>
    </row>
    <row r="22672" spans="1:7" x14ac:dyDescent="0.25">
      <c r="A22672" s="1" t="str">
        <f>"509178"</f>
        <v>509178</v>
      </c>
      <c r="B22672" s="2" t="str">
        <f>"SUPORTE SERRA COPO 6,35MM"</f>
        <v>SUPORTE SERRA COPO 6,35MM</v>
      </c>
      <c r="C22672" s="2" t="str">
        <f t="shared" si="893"/>
        <v>UN</v>
      </c>
      <c r="D22672" s="7">
        <v>920</v>
      </c>
      <c r="E22672" s="3">
        <v>11</v>
      </c>
      <c r="F22672" s="3">
        <v>11</v>
      </c>
      <c r="G22672" t="s">
        <v>514</v>
      </c>
    </row>
    <row r="22673" spans="1:7" x14ac:dyDescent="0.25">
      <c r="A22673" s="1" t="str">
        <f>"509179"</f>
        <v>509179</v>
      </c>
      <c r="B22673" s="2" t="str">
        <f>"SUPORTE SERRA COPO MAIOR"</f>
        <v>SUPORTE SERRA COPO MAIOR</v>
      </c>
      <c r="C22673" s="2" t="str">
        <f t="shared" si="893"/>
        <v>UN</v>
      </c>
      <c r="D22673" s="7">
        <v>920</v>
      </c>
      <c r="E22673" s="3">
        <v>11</v>
      </c>
      <c r="F22673" s="3">
        <v>11</v>
      </c>
      <c r="G22673" t="s">
        <v>513</v>
      </c>
    </row>
    <row r="22674" spans="1:7" x14ac:dyDescent="0.25">
      <c r="A22674" s="1" t="str">
        <f>"501654"</f>
        <v>501654</v>
      </c>
      <c r="B22674" s="2" t="str">
        <f>"SUPORTE SERRA COPO MENOR"</f>
        <v>SUPORTE SERRA COPO MENOR</v>
      </c>
      <c r="C22674" s="2" t="str">
        <f t="shared" si="893"/>
        <v>UN</v>
      </c>
      <c r="D22674" s="7">
        <v>402</v>
      </c>
      <c r="E22674" s="3">
        <v>4</v>
      </c>
      <c r="F22674" s="3">
        <v>4</v>
      </c>
      <c r="G22674" t="s">
        <v>512</v>
      </c>
    </row>
    <row r="22675" spans="1:7" x14ac:dyDescent="0.25">
      <c r="A22675" s="1" t="str">
        <f>"515532"</f>
        <v>515532</v>
      </c>
      <c r="B22675" s="2" t="str">
        <f>"SUPORTE SH1"</f>
        <v>SUPORTE SH1</v>
      </c>
      <c r="C22675" s="2" t="str">
        <f t="shared" si="893"/>
        <v>UN</v>
      </c>
      <c r="D22675" s="7">
        <v>811</v>
      </c>
      <c r="E22675" s="3">
        <v>8</v>
      </c>
      <c r="F22675" s="3">
        <v>8</v>
      </c>
      <c r="G22675" t="s">
        <v>513</v>
      </c>
    </row>
    <row r="22676" spans="1:7" x14ac:dyDescent="0.25">
      <c r="A22676" s="1" t="str">
        <f>"517483"</f>
        <v>517483</v>
      </c>
      <c r="B22676" s="2" t="str">
        <f>"SUPORTE SPLIT COND 900MM 48/60 2,0MM C/ REFORÇO"</f>
        <v>SUPORTE SPLIT COND 900MM 48/60 2,0MM C/ REFORÇO</v>
      </c>
      <c r="C22676" s="2" t="str">
        <f t="shared" si="893"/>
        <v>UN</v>
      </c>
      <c r="D22676" s="7">
        <v>918</v>
      </c>
      <c r="E22676" s="3">
        <v>10</v>
      </c>
      <c r="F22676" s="3">
        <v>10</v>
      </c>
      <c r="G22676" t="s">
        <v>514</v>
      </c>
    </row>
    <row r="22677" spans="1:7" x14ac:dyDescent="0.25">
      <c r="A22677" s="1" t="str">
        <f>"502766"</f>
        <v>502766</v>
      </c>
      <c r="B22677" s="2" t="str">
        <f>"SUPORTE SUPERIOR"</f>
        <v>SUPORTE SUPERIOR</v>
      </c>
      <c r="C22677" s="2" t="str">
        <f t="shared" si="893"/>
        <v>UN</v>
      </c>
      <c r="D22677" s="7">
        <v>704</v>
      </c>
      <c r="E22677" s="3">
        <v>9</v>
      </c>
      <c r="F22677" s="3">
        <v>9</v>
      </c>
      <c r="G22677" t="s">
        <v>514</v>
      </c>
    </row>
    <row r="22678" spans="1:7" x14ac:dyDescent="0.25">
      <c r="A22678" s="1" t="str">
        <f>"517727"</f>
        <v>517727</v>
      </c>
      <c r="B22678" s="2" t="str">
        <f>"SUPORTE TANQUE 300L PLASTICO RETANGULAR"</f>
        <v>SUPORTE TANQUE 300L PLASTICO RETANGULAR</v>
      </c>
      <c r="C22678" s="2" t="str">
        <f t="shared" si="893"/>
        <v>UN</v>
      </c>
      <c r="D22678" s="7">
        <v>704</v>
      </c>
      <c r="E22678" s="3">
        <v>16</v>
      </c>
      <c r="F22678" s="3">
        <v>16</v>
      </c>
      <c r="G22678" t="s">
        <v>514</v>
      </c>
    </row>
    <row r="22679" spans="1:7" x14ac:dyDescent="0.25">
      <c r="A22679" s="1" t="str">
        <f>"519848"</f>
        <v>519848</v>
      </c>
      <c r="B22679" s="2" t="str">
        <f>"SUPORTE TEFLON SOLDADOR MAQUINA 8000"</f>
        <v>SUPORTE TEFLON SOLDADOR MAQUINA 8000</v>
      </c>
      <c r="C22679" s="2" t="str">
        <f t="shared" si="893"/>
        <v>UN</v>
      </c>
      <c r="D22679" s="7">
        <v>918</v>
      </c>
      <c r="E22679" s="3">
        <v>11</v>
      </c>
      <c r="F22679" s="3">
        <v>11</v>
      </c>
      <c r="G22679" t="s">
        <v>513</v>
      </c>
    </row>
    <row r="22680" spans="1:7" x14ac:dyDescent="0.25">
      <c r="A22680" s="1" t="str">
        <f>"502870"</f>
        <v>502870</v>
      </c>
      <c r="B22680" s="2" t="str">
        <f>"SUPORTE TRASEIRO TRUCK MODERNO"</f>
        <v>SUPORTE TRASEIRO TRUCK MODERNO</v>
      </c>
      <c r="C22680" s="2" t="str">
        <f t="shared" si="893"/>
        <v>UN</v>
      </c>
      <c r="D22680" s="7">
        <v>704</v>
      </c>
      <c r="E22680" s="3">
        <v>9</v>
      </c>
      <c r="F22680" s="3">
        <v>9</v>
      </c>
      <c r="G22680" t="s">
        <v>513</v>
      </c>
    </row>
    <row r="22681" spans="1:7" x14ac:dyDescent="0.25">
      <c r="A22681" s="1" t="str">
        <f>"524914"</f>
        <v>524914</v>
      </c>
      <c r="B22681" s="2" t="str">
        <f>"SUPORTE TRILHO 45GR CABUR Z121311"</f>
        <v>SUPORTE TRILHO 45GR CABUR Z121311</v>
      </c>
      <c r="C22681" s="2" t="str">
        <f>"MT"</f>
        <v>MT</v>
      </c>
      <c r="D22681" s="7">
        <v>602</v>
      </c>
      <c r="E22681" s="3">
        <v>8</v>
      </c>
      <c r="F22681" s="3">
        <v>8</v>
      </c>
      <c r="G22681" t="s">
        <v>513</v>
      </c>
    </row>
    <row r="22682" spans="1:7" x14ac:dyDescent="0.25">
      <c r="A22682" s="1" t="str">
        <f>"517440"</f>
        <v>517440</v>
      </c>
      <c r="B22682" s="2" t="str">
        <f>"SUPORTE TRIPÉ CROMADO P12/AP"</f>
        <v>SUPORTE TRIPÉ CROMADO P12/AP</v>
      </c>
      <c r="C22682" s="2" t="str">
        <f t="shared" ref="C22682:C22707" si="894">"UN"</f>
        <v>UN</v>
      </c>
      <c r="D22682" s="7">
        <v>402</v>
      </c>
      <c r="E22682" s="3">
        <v>4</v>
      </c>
      <c r="F22682" s="3">
        <v>4</v>
      </c>
      <c r="G22682" t="s">
        <v>512</v>
      </c>
    </row>
    <row r="22683" spans="1:7" x14ac:dyDescent="0.25">
      <c r="A22683" s="1" t="str">
        <f>"519816"</f>
        <v>519816</v>
      </c>
      <c r="B22683" s="2" t="str">
        <f>"SUPORTE TRIPÉ S/ HASTE PQ"</f>
        <v>SUPORTE TRIPÉ S/ HASTE PQ</v>
      </c>
      <c r="C22683" s="2" t="str">
        <f t="shared" si="894"/>
        <v>UN</v>
      </c>
      <c r="D22683" s="7">
        <v>402</v>
      </c>
      <c r="E22683" s="3">
        <v>4</v>
      </c>
      <c r="F22683" s="3">
        <v>4</v>
      </c>
      <c r="G22683" t="s">
        <v>513</v>
      </c>
    </row>
    <row r="22684" spans="1:7" x14ac:dyDescent="0.25">
      <c r="A22684" s="1" t="str">
        <f>"523185"</f>
        <v>523185</v>
      </c>
      <c r="B22684" s="2" t="str">
        <f>"SUPORTE TUBO 100X100#1/8"""</f>
        <v>SUPORTE TUBO 100X100#1/8"</v>
      </c>
      <c r="C22684" s="2" t="str">
        <f t="shared" si="894"/>
        <v>UN</v>
      </c>
      <c r="D22684" s="7">
        <v>99999</v>
      </c>
      <c r="E22684" s="3">
        <v>99</v>
      </c>
      <c r="F22684" s="3">
        <v>99</v>
      </c>
      <c r="G22684" t="s">
        <v>514</v>
      </c>
    </row>
    <row r="22685" spans="1:7" x14ac:dyDescent="0.25">
      <c r="A22685" s="1" t="str">
        <f>"522199"</f>
        <v>522199</v>
      </c>
      <c r="B22685" s="2" t="str">
        <f>"SUPORTE TV"</f>
        <v>SUPORTE TV</v>
      </c>
      <c r="C22685" s="2" t="str">
        <f t="shared" si="894"/>
        <v>UN</v>
      </c>
      <c r="D22685" s="7">
        <v>99999</v>
      </c>
      <c r="E22685" s="3">
        <v>99</v>
      </c>
      <c r="F22685" s="3">
        <v>99</v>
      </c>
      <c r="G22685" t="s">
        <v>515</v>
      </c>
    </row>
    <row r="22686" spans="1:7" x14ac:dyDescent="0.25">
      <c r="A22686" s="1" t="str">
        <f>"525236"</f>
        <v>525236</v>
      </c>
      <c r="B22686" s="2" t="str">
        <f>"SUPORTE UNIVERSAL DE PASTAS"</f>
        <v>SUPORTE UNIVERSAL DE PASTAS</v>
      </c>
      <c r="C22686" s="2" t="str">
        <f t="shared" si="894"/>
        <v>UN</v>
      </c>
      <c r="D22686" s="7">
        <v>99999</v>
      </c>
      <c r="E22686" s="3">
        <v>99</v>
      </c>
      <c r="F22686" s="3">
        <v>99</v>
      </c>
      <c r="G22686" t="s">
        <v>512</v>
      </c>
    </row>
    <row r="22687" spans="1:7" x14ac:dyDescent="0.25">
      <c r="A22687" s="1" t="str">
        <f>"525271"</f>
        <v>525271</v>
      </c>
      <c r="B22687" s="2" t="str">
        <f>"SUPORTE UNIVERSAL PAREDE"</f>
        <v>SUPORTE UNIVERSAL PAREDE</v>
      </c>
      <c r="C22687" s="2" t="str">
        <f t="shared" si="894"/>
        <v>UN</v>
      </c>
      <c r="D22687" s="7">
        <v>99999</v>
      </c>
      <c r="E22687" s="3">
        <v>99</v>
      </c>
      <c r="F22687" s="3">
        <v>99</v>
      </c>
      <c r="G22687" t="s">
        <v>516</v>
      </c>
    </row>
    <row r="22688" spans="1:7" x14ac:dyDescent="0.25">
      <c r="A22688" s="1" t="str">
        <f>"503364"</f>
        <v>503364</v>
      </c>
      <c r="B22688" s="2" t="str">
        <f>"SUPORTE VARANDA 32,5MM INOX"</f>
        <v>SUPORTE VARANDA 32,5MM INOX</v>
      </c>
      <c r="C22688" s="2" t="str">
        <f t="shared" si="894"/>
        <v>UN</v>
      </c>
      <c r="D22688" s="7">
        <v>918</v>
      </c>
      <c r="E22688" s="3">
        <v>11</v>
      </c>
      <c r="F22688" s="3">
        <v>11</v>
      </c>
      <c r="G22688" t="s">
        <v>515</v>
      </c>
    </row>
    <row r="22689" spans="1:7" x14ac:dyDescent="0.25">
      <c r="A22689" s="1" t="str">
        <f>"503356"</f>
        <v>503356</v>
      </c>
      <c r="B22689" s="2" t="str">
        <f>"SUPORTE VARANDA DF 1/2"" INOX"</f>
        <v>SUPORTE VARANDA DF 1/2" INOX</v>
      </c>
      <c r="C22689" s="2" t="str">
        <f t="shared" si="894"/>
        <v>UN</v>
      </c>
      <c r="D22689" s="7">
        <v>812</v>
      </c>
      <c r="E22689" s="3">
        <v>10</v>
      </c>
      <c r="F22689" s="3">
        <v>10</v>
      </c>
      <c r="G22689" t="s">
        <v>514</v>
      </c>
    </row>
    <row r="22690" spans="1:7" x14ac:dyDescent="0.25">
      <c r="A22690" s="1" t="str">
        <f>"520383"</f>
        <v>520383</v>
      </c>
      <c r="B22690" s="2" t="str">
        <f>"SUPORTE VARANDA POLIAM. A125 DF12,7"</f>
        <v>SUPORTE VARANDA POLIAM. A125 DF12,7</v>
      </c>
      <c r="C22690" s="2" t="str">
        <f t="shared" si="894"/>
        <v>UN</v>
      </c>
      <c r="D22690" s="7">
        <v>812</v>
      </c>
      <c r="E22690" s="3">
        <v>10</v>
      </c>
      <c r="F22690" s="3">
        <v>10</v>
      </c>
      <c r="G22690" t="s">
        <v>512</v>
      </c>
    </row>
    <row r="22691" spans="1:7" x14ac:dyDescent="0.25">
      <c r="A22691" s="1" t="str">
        <f>"520385"</f>
        <v>520385</v>
      </c>
      <c r="B22691" s="2" t="str">
        <f>"SUPORTE VARANDA POLIAM. A190 DF12,7"</f>
        <v>SUPORTE VARANDA POLIAM. A190 DF12,7</v>
      </c>
      <c r="C22691" s="2" t="str">
        <f t="shared" si="894"/>
        <v>UN</v>
      </c>
      <c r="D22691" s="7">
        <v>812</v>
      </c>
      <c r="E22691" s="3">
        <v>10</v>
      </c>
      <c r="F22691" s="3">
        <v>10</v>
      </c>
      <c r="G22691" t="s">
        <v>513</v>
      </c>
    </row>
    <row r="22692" spans="1:7" x14ac:dyDescent="0.25">
      <c r="A22692" s="1" t="str">
        <f>"520380"</f>
        <v>520380</v>
      </c>
      <c r="B22692" s="8" t="s">
        <v>130</v>
      </c>
      <c r="C22692" s="2" t="str">
        <f t="shared" si="894"/>
        <v>UN</v>
      </c>
      <c r="D22692" s="7">
        <v>812</v>
      </c>
      <c r="E22692" s="3">
        <v>10</v>
      </c>
      <c r="F22692" s="3">
        <v>10</v>
      </c>
      <c r="G22692" t="s">
        <v>514</v>
      </c>
    </row>
    <row r="22693" spans="1:7" x14ac:dyDescent="0.25">
      <c r="A22693" s="1" t="str">
        <f>"522051"</f>
        <v>522051</v>
      </c>
      <c r="B22693" s="2" t="str">
        <f>"SUPP PAST. LACTEOS"</f>
        <v>SUPP PAST. LACTEOS</v>
      </c>
      <c r="C22693" s="2" t="str">
        <f t="shared" si="894"/>
        <v>UN</v>
      </c>
      <c r="D22693" s="7">
        <v>408</v>
      </c>
      <c r="E22693" s="3">
        <v>13</v>
      </c>
      <c r="F22693" s="3">
        <v>13</v>
      </c>
      <c r="G22693" t="s">
        <v>514</v>
      </c>
    </row>
    <row r="22694" spans="1:7" x14ac:dyDescent="0.25">
      <c r="A22694" s="1" t="str">
        <f>"518377"</f>
        <v>518377</v>
      </c>
      <c r="B22694" s="2" t="str">
        <f>"SUPRESS. DIODO W9315 SM6T33CA"</f>
        <v>SUPRESS. DIODO W9315 SM6T33CA</v>
      </c>
      <c r="C22694" s="2" t="str">
        <f t="shared" si="894"/>
        <v>UN</v>
      </c>
      <c r="D22694" s="7">
        <v>811</v>
      </c>
      <c r="E22694" s="3">
        <v>8</v>
      </c>
      <c r="F22694" s="3">
        <v>8</v>
      </c>
      <c r="G22694" t="s">
        <v>512</v>
      </c>
    </row>
    <row r="22695" spans="1:7" x14ac:dyDescent="0.25">
      <c r="A22695" s="1" t="str">
        <f>"510645"</f>
        <v>510645</v>
      </c>
      <c r="B22695" s="2" t="str">
        <f>"SUPRESSOR DE SURTOS 40KA 220V"</f>
        <v>SUPRESSOR DE SURTOS 40KA 220V</v>
      </c>
      <c r="C22695" s="2" t="str">
        <f t="shared" si="894"/>
        <v>UN</v>
      </c>
      <c r="D22695" s="7">
        <v>600</v>
      </c>
      <c r="E22695" s="3">
        <v>8</v>
      </c>
      <c r="F22695" s="3">
        <v>8</v>
      </c>
      <c r="G22695" t="s">
        <v>513</v>
      </c>
    </row>
    <row r="22696" spans="1:7" x14ac:dyDescent="0.25">
      <c r="A22696" s="1" t="str">
        <f>"525214"</f>
        <v>525214</v>
      </c>
      <c r="B22696" s="2" t="str">
        <f>"SUPRIMENTO DA LANÇA"</f>
        <v>SUPRIMENTO DA LANÇA</v>
      </c>
      <c r="C22696" s="2" t="str">
        <f t="shared" si="894"/>
        <v>UN</v>
      </c>
      <c r="D22696" s="7">
        <v>99999</v>
      </c>
      <c r="E22696" s="3">
        <v>99</v>
      </c>
      <c r="F22696" s="3">
        <v>99</v>
      </c>
      <c r="G22696" t="s">
        <v>514</v>
      </c>
    </row>
    <row r="22697" spans="1:7" x14ac:dyDescent="0.25">
      <c r="A22697" s="1" t="str">
        <f>"523543"</f>
        <v>523543</v>
      </c>
      <c r="B22697" s="2" t="str">
        <f>"SUSPENSÃO CAPACETE MODELO PUSH-KEY JUGULAR MSA"</f>
        <v>SUSPENSÃO CAPACETE MODELO PUSH-KEY JUGULAR MSA</v>
      </c>
      <c r="C22697" s="2" t="str">
        <f t="shared" si="894"/>
        <v>UN</v>
      </c>
      <c r="D22697" s="7">
        <v>501</v>
      </c>
      <c r="E22697" s="3">
        <v>5</v>
      </c>
      <c r="F22697" s="3">
        <v>5</v>
      </c>
      <c r="G22697" t="s">
        <v>514</v>
      </c>
    </row>
    <row r="22698" spans="1:7" x14ac:dyDescent="0.25">
      <c r="A22698" s="1" t="str">
        <f>"518468"</f>
        <v>518468</v>
      </c>
      <c r="B22698" s="2" t="str">
        <f>"SUSPENSOR DO TRUCK"</f>
        <v>SUSPENSOR DO TRUCK</v>
      </c>
      <c r="C22698" s="2" t="str">
        <f t="shared" si="894"/>
        <v>UN</v>
      </c>
      <c r="D22698" s="7">
        <v>918</v>
      </c>
      <c r="E22698" s="3">
        <v>10</v>
      </c>
      <c r="F22698" s="3">
        <v>10</v>
      </c>
      <c r="G22698" t="s">
        <v>514</v>
      </c>
    </row>
    <row r="22699" spans="1:7" x14ac:dyDescent="0.25">
      <c r="A22699" s="1" t="str">
        <f>"527517"</f>
        <v>527517</v>
      </c>
      <c r="B22699" s="2" t="str">
        <f>"SUSPENSOR ESPAÇO CONFINADO INOX 3M ALTISEG REF 1229052"</f>
        <v>SUSPENSOR ESPAÇO CONFINADO INOX 3M ALTISEG REF 1229052</v>
      </c>
      <c r="C22699" s="2" t="str">
        <f t="shared" si="894"/>
        <v>UN</v>
      </c>
      <c r="D22699" s="7">
        <v>501</v>
      </c>
      <c r="E22699" s="3">
        <v>5</v>
      </c>
      <c r="F22699" s="3">
        <v>5</v>
      </c>
      <c r="G22699" t="s">
        <v>513</v>
      </c>
    </row>
    <row r="22700" spans="1:7" x14ac:dyDescent="0.25">
      <c r="A22700" s="1" t="str">
        <f>"508736"</f>
        <v>508736</v>
      </c>
      <c r="B22700" s="2" t="str">
        <f>"SUSPIRO TANQUE RODOVIARIO 9000LT 1998"</f>
        <v>SUSPIRO TANQUE RODOVIARIO 9000LT 1998</v>
      </c>
      <c r="C22700" s="2" t="str">
        <f t="shared" si="894"/>
        <v>UN</v>
      </c>
      <c r="D22700" s="7">
        <v>918</v>
      </c>
      <c r="E22700" s="3">
        <v>10</v>
      </c>
      <c r="F22700" s="3">
        <v>10</v>
      </c>
      <c r="G22700" t="s">
        <v>512</v>
      </c>
    </row>
    <row r="22701" spans="1:7" x14ac:dyDescent="0.25">
      <c r="A22701" s="1" t="str">
        <f>"524597"</f>
        <v>524597</v>
      </c>
      <c r="B22701" s="2" t="str">
        <f>"SV STEP 7 PROFESSIONAL V15 6ES78221AA05"</f>
        <v>SV STEP 7 PROFESSIONAL V15 6ES78221AA05</v>
      </c>
      <c r="C22701" s="2" t="str">
        <f t="shared" si="894"/>
        <v>UN</v>
      </c>
      <c r="D22701" s="7">
        <v>811</v>
      </c>
      <c r="E22701" s="3">
        <v>10</v>
      </c>
      <c r="F22701" s="3">
        <v>10</v>
      </c>
      <c r="G22701" t="s">
        <v>513</v>
      </c>
    </row>
    <row r="22702" spans="1:7" x14ac:dyDescent="0.25">
      <c r="A22702" s="1" t="str">
        <f>"523559"</f>
        <v>523559</v>
      </c>
      <c r="B22702" s="2" t="str">
        <f>"SW ATTENDANT - OPENSCAPE BUSINESS"</f>
        <v>SW ATTENDANT - OPENSCAPE BUSINESS</v>
      </c>
      <c r="C22702" s="2" t="str">
        <f t="shared" si="894"/>
        <v>UN</v>
      </c>
      <c r="D22702" s="7">
        <v>811</v>
      </c>
      <c r="E22702" s="3">
        <v>8</v>
      </c>
      <c r="F22702" s="3">
        <v>8</v>
      </c>
      <c r="G22702" t="s">
        <v>514</v>
      </c>
    </row>
    <row r="22703" spans="1:7" x14ac:dyDescent="0.25">
      <c r="A22703" s="1" t="str">
        <f>"523556"</f>
        <v>523556</v>
      </c>
      <c r="B22703" s="2" t="str">
        <f>"SW COMPANY AUTOATTENDANT OPENSCAPE BUSINESS"</f>
        <v>SW COMPANY AUTOATTENDANT OPENSCAPE BUSINESS</v>
      </c>
      <c r="C22703" s="2" t="str">
        <f t="shared" si="894"/>
        <v>UN</v>
      </c>
      <c r="D22703" s="7">
        <v>811</v>
      </c>
      <c r="E22703" s="3">
        <v>8</v>
      </c>
      <c r="F22703" s="3">
        <v>8</v>
      </c>
      <c r="G22703" t="s">
        <v>514</v>
      </c>
    </row>
    <row r="22704" spans="1:7" x14ac:dyDescent="0.25">
      <c r="A22704" s="1" t="str">
        <f>"523562"</f>
        <v>523562</v>
      </c>
      <c r="B22704" s="2" t="str">
        <f>"SW NETWORKING OPENSCAPE BUSINESS"</f>
        <v>SW NETWORKING OPENSCAPE BUSINESS</v>
      </c>
      <c r="C22704" s="2" t="str">
        <f t="shared" si="894"/>
        <v>UN</v>
      </c>
      <c r="D22704" s="7">
        <v>811</v>
      </c>
      <c r="E22704" s="3">
        <v>8</v>
      </c>
      <c r="F22704" s="3">
        <v>8</v>
      </c>
      <c r="G22704" t="s">
        <v>514</v>
      </c>
    </row>
    <row r="22705" spans="1:7" x14ac:dyDescent="0.25">
      <c r="A22705" s="1" t="str">
        <f>"523563"</f>
        <v>523563</v>
      </c>
      <c r="B22705" s="2" t="str">
        <f>"SW NETWORKING OPENSCAPE BUSINESS"</f>
        <v>SW NETWORKING OPENSCAPE BUSINESS</v>
      </c>
      <c r="C22705" s="2" t="str">
        <f t="shared" si="894"/>
        <v>UN</v>
      </c>
      <c r="D22705" s="7">
        <v>811</v>
      </c>
      <c r="E22705" s="3">
        <v>8</v>
      </c>
      <c r="F22705" s="3">
        <v>8</v>
      </c>
      <c r="G22705" t="s">
        <v>513</v>
      </c>
    </row>
    <row r="22706" spans="1:7" x14ac:dyDescent="0.25">
      <c r="A22706" s="1" t="str">
        <f>"523560"</f>
        <v>523560</v>
      </c>
      <c r="B22706" s="2" t="str">
        <f>"SW RAMAL IP OPENSCAPE BUSINESS"</f>
        <v>SW RAMAL IP OPENSCAPE BUSINESS</v>
      </c>
      <c r="C22706" s="2" t="str">
        <f t="shared" si="894"/>
        <v>UN</v>
      </c>
      <c r="D22706" s="7">
        <v>811</v>
      </c>
      <c r="E22706" s="3">
        <v>8</v>
      </c>
      <c r="F22706" s="3">
        <v>8</v>
      </c>
      <c r="G22706" t="s">
        <v>513</v>
      </c>
    </row>
    <row r="22707" spans="1:7" x14ac:dyDescent="0.25">
      <c r="A22707" s="1" t="str">
        <f>"523558"</f>
        <v>523558</v>
      </c>
      <c r="B22707" s="2" t="str">
        <f>"SW UPGRADE H3K V9 P/ OPENSCAPE BUSINESS"</f>
        <v>SW UPGRADE H3K V9 P/ OPENSCAPE BUSINESS</v>
      </c>
      <c r="C22707" s="2" t="str">
        <f t="shared" si="894"/>
        <v>UN</v>
      </c>
      <c r="D22707" s="7">
        <v>811</v>
      </c>
      <c r="E22707" s="3">
        <v>8</v>
      </c>
      <c r="F22707" s="3">
        <v>8</v>
      </c>
      <c r="G22707" t="s">
        <v>513</v>
      </c>
    </row>
    <row r="22708" spans="1:7" x14ac:dyDescent="0.25">
      <c r="A22708" s="1" t="str">
        <f>"527693"</f>
        <v>527693</v>
      </c>
      <c r="B22708" s="2" t="str">
        <f>"SWAB C/ MEIO ESK 10ML MARCA BIO-ESK CX25UN"</f>
        <v>SWAB C/ MEIO ESK 10ML MARCA BIO-ESK CX25UN</v>
      </c>
      <c r="C22708" s="2" t="str">
        <f>"CX"</f>
        <v>CX</v>
      </c>
      <c r="D22708" s="7">
        <v>406</v>
      </c>
      <c r="E22708" s="3">
        <v>4</v>
      </c>
      <c r="F22708" s="3">
        <v>4</v>
      </c>
      <c r="G22708" t="s">
        <v>512</v>
      </c>
    </row>
    <row r="22709" spans="1:7" x14ac:dyDescent="0.25">
      <c r="A22709" s="1" t="str">
        <f>"513880"</f>
        <v>513880</v>
      </c>
      <c r="B22709" s="2" t="str">
        <f>"SWAB HASTE PLASTICA (COTONETE P/ SWAB) (PCT C/100 UNIDADES)"</f>
        <v>SWAB HASTE PLASTICA (COTONETE P/ SWAB) (PCT C/100 UNIDADES)</v>
      </c>
      <c r="C22709" s="2" t="str">
        <f t="shared" ref="C22709:C22740" si="895">"UN"</f>
        <v>UN</v>
      </c>
      <c r="D22709" s="7">
        <v>406</v>
      </c>
      <c r="E22709" s="3">
        <v>4</v>
      </c>
      <c r="F22709" s="3">
        <v>4</v>
      </c>
      <c r="G22709" t="s">
        <v>513</v>
      </c>
    </row>
    <row r="22710" spans="1:7" x14ac:dyDescent="0.25">
      <c r="A22710" s="1" t="str">
        <f>"528018"</f>
        <v>528018</v>
      </c>
      <c r="B22710" s="2" t="str">
        <f>"SWAB P/ LUMINOMETRO SYSTEM SURE/ ULTRASNAP- 100 TESTES"</f>
        <v>SWAB P/ LUMINOMETRO SYSTEM SURE/ ULTRASNAP- 100 TESTES</v>
      </c>
      <c r="C22710" s="2" t="str">
        <f t="shared" si="895"/>
        <v>UN</v>
      </c>
      <c r="D22710" s="7">
        <v>406</v>
      </c>
      <c r="E22710" s="3">
        <v>4</v>
      </c>
      <c r="F22710" s="3">
        <v>4</v>
      </c>
      <c r="G22710" t="s">
        <v>514</v>
      </c>
    </row>
    <row r="22711" spans="1:7" x14ac:dyDescent="0.25">
      <c r="A22711" s="1" t="str">
        <f>"522898"</f>
        <v>522898</v>
      </c>
      <c r="B22711" s="2" t="str">
        <f>"SWAB RINSE KITS SRK C/ ÁGUA PEPT TAMP 10ML CX25UN 902C COPAN"</f>
        <v>SWAB RINSE KITS SRK C/ ÁGUA PEPT TAMP 10ML CX25UN 902C COPAN</v>
      </c>
      <c r="C22711" s="2" t="str">
        <f t="shared" si="895"/>
        <v>UN</v>
      </c>
      <c r="D22711" s="7">
        <v>406</v>
      </c>
      <c r="E22711" s="3">
        <v>4</v>
      </c>
      <c r="F22711" s="3">
        <v>4</v>
      </c>
      <c r="G22711" t="s">
        <v>515</v>
      </c>
    </row>
    <row r="22712" spans="1:7" x14ac:dyDescent="0.25">
      <c r="A22712" s="1" t="str">
        <f>"522303"</f>
        <v>522303</v>
      </c>
      <c r="B22712" s="2" t="str">
        <f>"SWAB SAMPLER 10ML BR APT - PEPT WATER"</f>
        <v>SWAB SAMPLER 10ML BR APT - PEPT WATER</v>
      </c>
      <c r="C22712" s="2" t="str">
        <f t="shared" si="895"/>
        <v>UN</v>
      </c>
      <c r="D22712" s="7">
        <v>406</v>
      </c>
      <c r="E22712" s="3">
        <v>4</v>
      </c>
      <c r="F22712" s="3">
        <v>4</v>
      </c>
      <c r="G22712" t="s">
        <v>512</v>
      </c>
    </row>
    <row r="22713" spans="1:7" x14ac:dyDescent="0.25">
      <c r="A22713" s="1" t="str">
        <f>"513157"</f>
        <v>513157</v>
      </c>
      <c r="B22713" s="2" t="str">
        <f>"SWITCH 16 PORTAS 10/100MBS ENCORE"</f>
        <v>SWITCH 16 PORTAS 10/100MBS ENCORE</v>
      </c>
      <c r="C22713" s="2" t="str">
        <f t="shared" si="895"/>
        <v>UN</v>
      </c>
      <c r="D22713" s="7">
        <v>401</v>
      </c>
      <c r="E22713" s="3">
        <v>4</v>
      </c>
      <c r="F22713" s="3">
        <v>4</v>
      </c>
      <c r="G22713" t="s">
        <v>516</v>
      </c>
    </row>
    <row r="22714" spans="1:7" x14ac:dyDescent="0.25">
      <c r="A22714" s="1" t="str">
        <f>"573783"</f>
        <v>573783</v>
      </c>
      <c r="B22714" s="2" t="str">
        <f>"SWITCH 24 PORTAS 10/100/1000 GERENCIAVEL - HP"</f>
        <v>SWITCH 24 PORTAS 10/100/1000 GERENCIAVEL - HP</v>
      </c>
      <c r="C22714" s="2" t="str">
        <f t="shared" si="895"/>
        <v>UN</v>
      </c>
      <c r="D22714" s="7">
        <v>401</v>
      </c>
      <c r="E22714" s="3">
        <v>4</v>
      </c>
      <c r="F22714" s="3">
        <v>4</v>
      </c>
      <c r="G22714" t="s">
        <v>515</v>
      </c>
    </row>
    <row r="22715" spans="1:7" x14ac:dyDescent="0.25">
      <c r="A22715" s="1" t="str">
        <f>"512396"</f>
        <v>512396</v>
      </c>
      <c r="B22715" s="2" t="str">
        <f>"SWITCH 3 COM 28 PORTAS 10/100/1000P0E"</f>
        <v>SWITCH 3 COM 28 PORTAS 10/100/1000P0E</v>
      </c>
      <c r="C22715" s="2" t="str">
        <f t="shared" si="895"/>
        <v>UN</v>
      </c>
      <c r="D22715" s="7">
        <v>401</v>
      </c>
      <c r="E22715" s="3">
        <v>4</v>
      </c>
      <c r="F22715" s="3">
        <v>4</v>
      </c>
      <c r="G22715" t="s">
        <v>514</v>
      </c>
    </row>
    <row r="22716" spans="1:7" x14ac:dyDescent="0.25">
      <c r="A22716" s="1" t="str">
        <f>"573784"</f>
        <v>573784</v>
      </c>
      <c r="B22716" s="2" t="str">
        <f>"SWITCH 8 PORTAS 10/100/1000 POE 2 SFP TI-SG2210P TP-LINK"</f>
        <v>SWITCH 8 PORTAS 10/100/1000 POE 2 SFP TI-SG2210P TP-LINK</v>
      </c>
      <c r="C22716" s="2" t="str">
        <f t="shared" si="895"/>
        <v>UN</v>
      </c>
      <c r="D22716" s="7">
        <v>401</v>
      </c>
      <c r="E22716" s="3">
        <v>4</v>
      </c>
      <c r="F22716" s="3">
        <v>4</v>
      </c>
      <c r="G22716" t="s">
        <v>512</v>
      </c>
    </row>
    <row r="22717" spans="1:7" x14ac:dyDescent="0.25">
      <c r="A22717" s="1" t="str">
        <f>"573785"</f>
        <v>573785</v>
      </c>
      <c r="B22717" s="2" t="str">
        <f>"SWITCH 8 PORTAS 10/100/1000 SG 800 C INTELBRAS"</f>
        <v>SWITCH 8 PORTAS 10/100/1000 SG 800 C INTELBRAS</v>
      </c>
      <c r="C22717" s="2" t="str">
        <f t="shared" si="895"/>
        <v>UN</v>
      </c>
      <c r="D22717" s="7">
        <v>401</v>
      </c>
      <c r="E22717" s="3">
        <v>4</v>
      </c>
      <c r="F22717" s="3">
        <v>4</v>
      </c>
      <c r="G22717" t="s">
        <v>513</v>
      </c>
    </row>
    <row r="22718" spans="1:7" x14ac:dyDescent="0.25">
      <c r="A22718" s="1" t="str">
        <f>"513946"</f>
        <v>513946</v>
      </c>
      <c r="B22718" s="2" t="str">
        <f>"SWITCH HP24 GIGABIT PORTS"</f>
        <v>SWITCH HP24 GIGABIT PORTS</v>
      </c>
      <c r="C22718" s="2" t="str">
        <f t="shared" si="895"/>
        <v>UN</v>
      </c>
      <c r="D22718" s="7">
        <v>1500</v>
      </c>
      <c r="E22718" s="3">
        <v>13</v>
      </c>
      <c r="F22718" s="3">
        <v>13</v>
      </c>
      <c r="G22718" t="s">
        <v>514</v>
      </c>
    </row>
    <row r="22719" spans="1:7" x14ac:dyDescent="0.25">
      <c r="A22719" s="1" t="str">
        <f>"513425"</f>
        <v>513425</v>
      </c>
      <c r="B22719" s="2" t="str">
        <f>"SWITCH JE 007A-HP V1910-24G-POE 365W"</f>
        <v>SWITCH JE 007A-HP V1910-24G-POE 365W</v>
      </c>
      <c r="C22719" s="2" t="str">
        <f t="shared" si="895"/>
        <v>UN</v>
      </c>
      <c r="D22719" s="7">
        <v>1300</v>
      </c>
      <c r="E22719" s="3">
        <v>13</v>
      </c>
      <c r="F22719" s="3">
        <v>13</v>
      </c>
      <c r="G22719" t="s">
        <v>514</v>
      </c>
    </row>
    <row r="22720" spans="1:7" x14ac:dyDescent="0.25">
      <c r="A22720" s="1" t="str">
        <f>"512400"</f>
        <v>512400</v>
      </c>
      <c r="B22720" s="2" t="str">
        <f>"SWITCH KVM 8 PORTAS PS2/USB RACK TREND."</f>
        <v>SWITCH KVM 8 PORTAS PS2/USB RACK TREND.</v>
      </c>
      <c r="C22720" s="2" t="str">
        <f t="shared" si="895"/>
        <v>UN</v>
      </c>
      <c r="D22720" s="7">
        <v>401</v>
      </c>
      <c r="E22720" s="3">
        <v>4</v>
      </c>
      <c r="F22720" s="3">
        <v>4</v>
      </c>
      <c r="G22720" t="s">
        <v>512</v>
      </c>
    </row>
    <row r="22721" spans="1:7" x14ac:dyDescent="0.25">
      <c r="A22721" s="1" t="str">
        <f>"526594"</f>
        <v>526594</v>
      </c>
      <c r="B22721" s="2" t="str">
        <f>"SWITCH SCALANCE XB008 6GK50080BA101AB2"</f>
        <v>SWITCH SCALANCE XB008 6GK50080BA101AB2</v>
      </c>
      <c r="C22721" s="2" t="str">
        <f t="shared" si="895"/>
        <v>UN</v>
      </c>
      <c r="D22721" s="7">
        <v>811</v>
      </c>
      <c r="E22721" s="3">
        <v>8</v>
      </c>
      <c r="F22721" s="3">
        <v>8</v>
      </c>
      <c r="G22721" t="s">
        <v>513</v>
      </c>
    </row>
    <row r="22722" spans="1:7" x14ac:dyDescent="0.25">
      <c r="A22722" s="1" t="str">
        <f>"515202"</f>
        <v>515202</v>
      </c>
      <c r="B22722" s="2" t="str">
        <f>"SYSTANE UL LUB"</f>
        <v>SYSTANE UL LUB</v>
      </c>
      <c r="C22722" s="2" t="str">
        <f t="shared" si="895"/>
        <v>UN</v>
      </c>
      <c r="D22722" s="7">
        <v>401</v>
      </c>
      <c r="E22722" s="3">
        <v>4</v>
      </c>
      <c r="F22722" s="3">
        <v>4</v>
      </c>
      <c r="G22722" t="s">
        <v>514</v>
      </c>
    </row>
    <row r="22723" spans="1:7" x14ac:dyDescent="0.25">
      <c r="A22723" s="1" t="str">
        <f>"521458"</f>
        <v>521458</v>
      </c>
      <c r="B22723" s="2" t="str">
        <f>"T DESCIDA 90° 50 POR 50MM AI"</f>
        <v>T DESCIDA 90° 50 POR 50MM AI</v>
      </c>
      <c r="C22723" s="2" t="str">
        <f t="shared" si="895"/>
        <v>UN</v>
      </c>
      <c r="D22723" s="7">
        <v>811</v>
      </c>
      <c r="E22723" s="3">
        <v>8</v>
      </c>
      <c r="F22723" s="3">
        <v>8</v>
      </c>
      <c r="G22723" t="s">
        <v>514</v>
      </c>
    </row>
    <row r="22724" spans="1:7" x14ac:dyDescent="0.25">
      <c r="A22724" s="1" t="str">
        <f>"521461"</f>
        <v>521461</v>
      </c>
      <c r="B22724" s="2" t="str">
        <f>"T HORIZONTAL 50 POR 50MM AI"</f>
        <v>T HORIZONTAL 50 POR 50MM AI</v>
      </c>
      <c r="C22724" s="2" t="str">
        <f t="shared" si="895"/>
        <v>UN</v>
      </c>
      <c r="D22724" s="7">
        <v>811</v>
      </c>
      <c r="E22724" s="3">
        <v>8</v>
      </c>
      <c r="F22724" s="3">
        <v>8</v>
      </c>
      <c r="G22724" t="s">
        <v>514</v>
      </c>
    </row>
    <row r="22725" spans="1:7" x14ac:dyDescent="0.25">
      <c r="A22725" s="1" t="str">
        <f>"520992"</f>
        <v>520992</v>
      </c>
      <c r="B22725" s="2" t="str">
        <f>"T. H 90º R= 320MM"</f>
        <v>T. H 90º R= 320MM</v>
      </c>
      <c r="C22725" s="2" t="str">
        <f t="shared" si="895"/>
        <v>UN</v>
      </c>
      <c r="D22725" s="7">
        <v>811</v>
      </c>
      <c r="E22725" s="3">
        <v>8</v>
      </c>
      <c r="F22725" s="3">
        <v>8</v>
      </c>
      <c r="G22725" t="s">
        <v>513</v>
      </c>
    </row>
    <row r="22726" spans="1:7" x14ac:dyDescent="0.25">
      <c r="A22726" s="1" t="str">
        <f>"520996"</f>
        <v>520996</v>
      </c>
      <c r="B22726" s="2" t="str">
        <f>"T. H 90º R= 320MM"</f>
        <v>T. H 90º R= 320MM</v>
      </c>
      <c r="C22726" s="2" t="str">
        <f t="shared" si="895"/>
        <v>UN</v>
      </c>
      <c r="D22726" s="7">
        <v>811</v>
      </c>
      <c r="E22726" s="3">
        <v>8</v>
      </c>
      <c r="F22726" s="3">
        <v>8</v>
      </c>
      <c r="G22726" t="s">
        <v>512</v>
      </c>
    </row>
    <row r="22727" spans="1:7" x14ac:dyDescent="0.25">
      <c r="A22727" s="1" t="str">
        <f>"522643"</f>
        <v>522643</v>
      </c>
      <c r="B22727" s="2" t="str">
        <f>"T. H AI DC 400X100MM"</f>
        <v>T. H AI DC 400X100MM</v>
      </c>
      <c r="C22727" s="2" t="str">
        <f t="shared" si="895"/>
        <v>UN</v>
      </c>
      <c r="D22727" s="7">
        <v>811</v>
      </c>
      <c r="E22727" s="3">
        <v>8</v>
      </c>
      <c r="F22727" s="3">
        <v>8</v>
      </c>
      <c r="G22727" t="s">
        <v>513</v>
      </c>
    </row>
    <row r="22728" spans="1:7" x14ac:dyDescent="0.25">
      <c r="A22728" s="1" t="str">
        <f>"527406"</f>
        <v>527406</v>
      </c>
      <c r="B22728" s="2" t="str">
        <f>"T.H. 90° AI 200X50MM"</f>
        <v>T.H. 90° AI 200X50MM</v>
      </c>
      <c r="C22728" s="2" t="str">
        <f t="shared" si="895"/>
        <v>UN</v>
      </c>
      <c r="D22728" s="7">
        <v>811</v>
      </c>
      <c r="E22728" s="3">
        <v>8</v>
      </c>
      <c r="F22728" s="3">
        <v>8</v>
      </c>
      <c r="G22728" t="s">
        <v>514</v>
      </c>
    </row>
    <row r="22729" spans="1:7" x14ac:dyDescent="0.25">
      <c r="A22729" s="1" t="str">
        <f>"524942"</f>
        <v>524942</v>
      </c>
      <c r="B22729" s="2" t="str">
        <f>"T.H. 90° GF 100X50MM"</f>
        <v>T.H. 90° GF 100X50MM</v>
      </c>
      <c r="C22729" s="2" t="str">
        <f t="shared" si="895"/>
        <v>UN</v>
      </c>
      <c r="D22729" s="7">
        <v>811</v>
      </c>
      <c r="E22729" s="3">
        <v>10</v>
      </c>
      <c r="F22729" s="3">
        <v>10</v>
      </c>
      <c r="G22729" t="s">
        <v>514</v>
      </c>
    </row>
    <row r="22730" spans="1:7" x14ac:dyDescent="0.25">
      <c r="A22730" s="1" t="str">
        <f>"524955"</f>
        <v>524955</v>
      </c>
      <c r="B22730" s="2" t="str">
        <f>"T.H. 90° GF 100X50MM / 50X50MM"</f>
        <v>T.H. 90° GF 100X50MM / 50X50MM</v>
      </c>
      <c r="C22730" s="2" t="str">
        <f t="shared" si="895"/>
        <v>UN</v>
      </c>
      <c r="D22730" s="7">
        <v>811</v>
      </c>
      <c r="E22730" s="3">
        <v>10</v>
      </c>
      <c r="F22730" s="3">
        <v>10</v>
      </c>
      <c r="G22730" t="s">
        <v>514</v>
      </c>
    </row>
    <row r="22731" spans="1:7" x14ac:dyDescent="0.25">
      <c r="A22731" s="1" t="str">
        <f>"524943"</f>
        <v>524943</v>
      </c>
      <c r="B22731" s="2" t="str">
        <f>"T.H. 90° GF 200X50MM/100X50MM"</f>
        <v>T.H. 90° GF 200X50MM/100X50MM</v>
      </c>
      <c r="C22731" s="2" t="str">
        <f t="shared" si="895"/>
        <v>UN</v>
      </c>
      <c r="D22731" s="7">
        <v>811</v>
      </c>
      <c r="E22731" s="3">
        <v>10</v>
      </c>
      <c r="F22731" s="3">
        <v>10</v>
      </c>
      <c r="G22731" t="s">
        <v>513</v>
      </c>
    </row>
    <row r="22732" spans="1:7" x14ac:dyDescent="0.25">
      <c r="A22732" s="1" t="str">
        <f>"524760"</f>
        <v>524760</v>
      </c>
      <c r="B22732" s="2" t="str">
        <f>"T.H. AI DC 100X50MM"</f>
        <v>T.H. AI DC 100X50MM</v>
      </c>
      <c r="C22732" s="2" t="str">
        <f t="shared" si="895"/>
        <v>UN</v>
      </c>
      <c r="D22732" s="7">
        <v>811</v>
      </c>
      <c r="E22732" s="3">
        <v>8</v>
      </c>
      <c r="F22732" s="3">
        <v>8</v>
      </c>
      <c r="G22732" t="s">
        <v>513</v>
      </c>
    </row>
    <row r="22733" spans="1:7" x14ac:dyDescent="0.25">
      <c r="A22733" s="1" t="str">
        <f>"524761"</f>
        <v>524761</v>
      </c>
      <c r="B22733" s="2" t="str">
        <f>"T.H. AI DC 100X50MM C/RED. 50X50MM"</f>
        <v>T.H. AI DC 100X50MM C/RED. 50X50MM</v>
      </c>
      <c r="C22733" s="2" t="str">
        <f t="shared" si="895"/>
        <v>UN</v>
      </c>
      <c r="D22733" s="7">
        <v>811</v>
      </c>
      <c r="E22733" s="3">
        <v>8</v>
      </c>
      <c r="F22733" s="3">
        <v>8</v>
      </c>
      <c r="G22733" t="s">
        <v>513</v>
      </c>
    </row>
    <row r="22734" spans="1:7" x14ac:dyDescent="0.25">
      <c r="A22734" s="1" t="str">
        <f>"524758"</f>
        <v>524758</v>
      </c>
      <c r="B22734" s="2" t="str">
        <f>"T.H. AI DC 200X500MM C/RED. 100X50MM"</f>
        <v>T.H. AI DC 200X500MM C/RED. 100X50MM</v>
      </c>
      <c r="C22734" s="2" t="str">
        <f t="shared" si="895"/>
        <v>UN</v>
      </c>
      <c r="D22734" s="7">
        <v>811</v>
      </c>
      <c r="E22734" s="3">
        <v>8</v>
      </c>
      <c r="F22734" s="3">
        <v>8</v>
      </c>
      <c r="G22734" t="s">
        <v>512</v>
      </c>
    </row>
    <row r="22735" spans="1:7" x14ac:dyDescent="0.25">
      <c r="A22735" s="1" t="str">
        <f>"522277"</f>
        <v>522277</v>
      </c>
      <c r="B22735" s="2" t="str">
        <f>"T.H.90° AI DC 200X100MM"</f>
        <v>T.H.90° AI DC 200X100MM</v>
      </c>
      <c r="C22735" s="2" t="str">
        <f t="shared" si="895"/>
        <v>UN</v>
      </c>
      <c r="D22735" s="7">
        <v>811</v>
      </c>
      <c r="E22735" s="3">
        <v>8</v>
      </c>
      <c r="F22735" s="3">
        <v>8</v>
      </c>
      <c r="G22735" t="s">
        <v>513</v>
      </c>
    </row>
    <row r="22736" spans="1:7" x14ac:dyDescent="0.25">
      <c r="A22736" s="1" t="str">
        <f>"523194"</f>
        <v>523194</v>
      </c>
      <c r="B22736" s="2" t="str">
        <f>"T.H.90° AI DC 50X50MM"</f>
        <v>T.H.90° AI DC 50X50MM</v>
      </c>
      <c r="C22736" s="2" t="str">
        <f t="shared" si="895"/>
        <v>UN</v>
      </c>
      <c r="D22736" s="7">
        <v>811</v>
      </c>
      <c r="E22736" s="3">
        <v>8</v>
      </c>
      <c r="F22736" s="3">
        <v>8</v>
      </c>
      <c r="G22736" t="s">
        <v>514</v>
      </c>
    </row>
    <row r="22737" spans="1:7" x14ac:dyDescent="0.25">
      <c r="A22737" s="1" t="str">
        <f>"524918"</f>
        <v>524918</v>
      </c>
      <c r="B22737" s="2" t="str">
        <f>"T.H.90° GF 100X100MM"</f>
        <v>T.H.90° GF 100X100MM</v>
      </c>
      <c r="C22737" s="2" t="str">
        <f t="shared" si="895"/>
        <v>UN</v>
      </c>
      <c r="D22737" s="7">
        <v>811</v>
      </c>
      <c r="E22737" s="3">
        <v>10</v>
      </c>
      <c r="F22737" s="3">
        <v>10</v>
      </c>
      <c r="G22737" t="s">
        <v>515</v>
      </c>
    </row>
    <row r="22738" spans="1:7" x14ac:dyDescent="0.25">
      <c r="A22738" s="1" t="str">
        <f>"526239"</f>
        <v>526239</v>
      </c>
      <c r="B22738" s="2" t="str">
        <f>"T.H.90°GF.100X50MM C/ RED.100X50MM"</f>
        <v>T.H.90°GF.100X50MM C/ RED.100X50MM</v>
      </c>
      <c r="C22738" s="2" t="str">
        <f t="shared" si="895"/>
        <v>UN</v>
      </c>
      <c r="D22738" s="7">
        <v>811</v>
      </c>
      <c r="E22738" s="3">
        <v>10</v>
      </c>
      <c r="F22738" s="3">
        <v>10</v>
      </c>
      <c r="G22738" t="s">
        <v>512</v>
      </c>
    </row>
    <row r="22739" spans="1:7" x14ac:dyDescent="0.25">
      <c r="A22739" s="1" t="str">
        <f>"526605"</f>
        <v>526605</v>
      </c>
      <c r="B22739" s="2" t="str">
        <f>"T.H.90º GE 30X30MM"</f>
        <v>T.H.90º GE 30X30MM</v>
      </c>
      <c r="C22739" s="2" t="str">
        <f t="shared" si="895"/>
        <v>UN</v>
      </c>
      <c r="D22739" s="7">
        <v>811</v>
      </c>
      <c r="E22739" s="3">
        <v>8</v>
      </c>
      <c r="F22739" s="3">
        <v>8</v>
      </c>
      <c r="G22739" t="s">
        <v>516</v>
      </c>
    </row>
    <row r="22740" spans="1:7" x14ac:dyDescent="0.25">
      <c r="A22740" s="1" t="str">
        <f>"526606"</f>
        <v>526606</v>
      </c>
      <c r="B22740" s="2" t="str">
        <f>"T.H.90º GE 50X50MM"</f>
        <v>T.H.90º GE 50X50MM</v>
      </c>
      <c r="C22740" s="2" t="str">
        <f t="shared" si="895"/>
        <v>UN</v>
      </c>
      <c r="D22740" s="7">
        <v>811</v>
      </c>
      <c r="E22740" s="3">
        <v>8</v>
      </c>
      <c r="F22740" s="3">
        <v>8</v>
      </c>
      <c r="G22740" t="s">
        <v>515</v>
      </c>
    </row>
    <row r="22741" spans="1:7" x14ac:dyDescent="0.25">
      <c r="A22741" s="1" t="str">
        <f>"522766"</f>
        <v>522766</v>
      </c>
      <c r="B22741" s="2" t="str">
        <f>"T.H.90º GF 50X50MM"</f>
        <v>T.H.90º GF 50X50MM</v>
      </c>
      <c r="C22741" s="2" t="str">
        <f t="shared" ref="C22741:C22774" si="896">"UN"</f>
        <v>UN</v>
      </c>
      <c r="D22741" s="7">
        <v>811</v>
      </c>
      <c r="E22741" s="3">
        <v>8</v>
      </c>
      <c r="F22741" s="3">
        <v>8</v>
      </c>
      <c r="G22741" t="s">
        <v>514</v>
      </c>
    </row>
    <row r="22742" spans="1:7" x14ac:dyDescent="0.25">
      <c r="A22742" s="1" t="str">
        <f>"522282"</f>
        <v>522282</v>
      </c>
      <c r="B22742" s="2" t="str">
        <f>"T.V.D. AI DC 100X50MM"</f>
        <v>T.V.D. AI DC 100X50MM</v>
      </c>
      <c r="C22742" s="2" t="str">
        <f t="shared" si="896"/>
        <v>UN</v>
      </c>
      <c r="D22742" s="7">
        <v>811</v>
      </c>
      <c r="E22742" s="3">
        <v>8</v>
      </c>
      <c r="F22742" s="3">
        <v>8</v>
      </c>
      <c r="G22742" t="s">
        <v>512</v>
      </c>
    </row>
    <row r="22743" spans="1:7" x14ac:dyDescent="0.25">
      <c r="A22743" s="1" t="str">
        <f>"522274"</f>
        <v>522274</v>
      </c>
      <c r="B22743" s="2" t="str">
        <f>"T.V.D. AL DC 200X100MM"</f>
        <v>T.V.D. AL DC 200X100MM</v>
      </c>
      <c r="C22743" s="2" t="str">
        <f t="shared" si="896"/>
        <v>UN</v>
      </c>
      <c r="D22743" s="7">
        <v>811</v>
      </c>
      <c r="E22743" s="3">
        <v>8</v>
      </c>
      <c r="F22743" s="3">
        <v>8</v>
      </c>
      <c r="G22743" t="s">
        <v>513</v>
      </c>
    </row>
    <row r="22744" spans="1:7" x14ac:dyDescent="0.25">
      <c r="A22744" s="1" t="str">
        <f>"522638"</f>
        <v>522638</v>
      </c>
      <c r="B22744" s="2" t="str">
        <f>"TABELA CONVERSÃO"</f>
        <v>TABELA CONVERSÃO</v>
      </c>
      <c r="C22744" s="2" t="str">
        <f t="shared" si="896"/>
        <v>UN</v>
      </c>
      <c r="D22744" s="7">
        <v>920</v>
      </c>
      <c r="E22744" s="3">
        <v>11</v>
      </c>
      <c r="F22744" s="3">
        <v>11</v>
      </c>
      <c r="G22744" t="s">
        <v>514</v>
      </c>
    </row>
    <row r="22745" spans="1:7" x14ac:dyDescent="0.25">
      <c r="A22745" s="1" t="str">
        <f>"502380"</f>
        <v>502380</v>
      </c>
      <c r="B22745" s="2" t="str">
        <f>"TABELA DO TANQUE RESF.MOD.PRVS 830 LTS"</f>
        <v>TABELA DO TANQUE RESF.MOD.PRVS 830 LTS</v>
      </c>
      <c r="C22745" s="2" t="str">
        <f t="shared" si="896"/>
        <v>UN</v>
      </c>
      <c r="D22745" s="7">
        <v>920</v>
      </c>
      <c r="E22745" s="3">
        <v>11</v>
      </c>
      <c r="F22745" s="3">
        <v>11</v>
      </c>
      <c r="G22745" t="s">
        <v>514</v>
      </c>
    </row>
    <row r="22746" spans="1:7" x14ac:dyDescent="0.25">
      <c r="A22746" s="1" t="str">
        <f>"526782"</f>
        <v>526782</v>
      </c>
      <c r="B22746" s="2" t="str">
        <f>"TABLOIDE 20X28"</f>
        <v>TABLOIDE 20X28</v>
      </c>
      <c r="C22746" s="2" t="str">
        <f t="shared" si="896"/>
        <v>UN</v>
      </c>
      <c r="D22746" s="7">
        <v>99999</v>
      </c>
      <c r="E22746" s="3">
        <v>99</v>
      </c>
      <c r="F22746" s="3">
        <v>99</v>
      </c>
      <c r="G22746" t="s">
        <v>512</v>
      </c>
    </row>
    <row r="22747" spans="1:7" x14ac:dyDescent="0.25">
      <c r="A22747" s="1" t="str">
        <f>"500669"</f>
        <v>500669</v>
      </c>
      <c r="B22747" s="2" t="str">
        <f>"TABUA  3MT X 30CM"</f>
        <v>TABUA  3MT X 30CM</v>
      </c>
      <c r="C22747" s="2" t="str">
        <f t="shared" si="896"/>
        <v>UN</v>
      </c>
      <c r="D22747" s="7">
        <v>403</v>
      </c>
      <c r="E22747" s="3">
        <v>4</v>
      </c>
      <c r="F22747" s="3">
        <v>4</v>
      </c>
      <c r="G22747" t="s">
        <v>513</v>
      </c>
    </row>
    <row r="22748" spans="1:7" x14ac:dyDescent="0.25">
      <c r="A22748" s="1" t="str">
        <f>"522909"</f>
        <v>522909</v>
      </c>
      <c r="B22748" s="2" t="str">
        <f>"TABUA 2,5 X 30"</f>
        <v>TABUA 2,5 X 30</v>
      </c>
      <c r="C22748" s="2" t="str">
        <f t="shared" si="896"/>
        <v>UN</v>
      </c>
      <c r="D22748" s="7">
        <v>917</v>
      </c>
      <c r="E22748" s="3">
        <v>10</v>
      </c>
      <c r="F22748" s="3">
        <v>10</v>
      </c>
      <c r="G22748" t="s">
        <v>514</v>
      </c>
    </row>
    <row r="22749" spans="1:7" x14ac:dyDescent="0.25">
      <c r="A22749" s="1" t="str">
        <f>"500668"</f>
        <v>500668</v>
      </c>
      <c r="B22749" s="2" t="str">
        <f>"TABUA 2X30-2,5MM"</f>
        <v>TABUA 2X30-2,5MM</v>
      </c>
      <c r="C22749" s="2" t="str">
        <f t="shared" si="896"/>
        <v>UN</v>
      </c>
      <c r="D22749" s="7">
        <v>403</v>
      </c>
      <c r="E22749" s="3">
        <v>4</v>
      </c>
      <c r="F22749" s="3">
        <v>4</v>
      </c>
      <c r="G22749" t="s">
        <v>514</v>
      </c>
    </row>
    <row r="22750" spans="1:7" x14ac:dyDescent="0.25">
      <c r="A22750" s="1" t="str">
        <f>"522383"</f>
        <v>522383</v>
      </c>
      <c r="B22750" s="2" t="str">
        <f>"TABUA CUMARU 4MT X 30CM (APARELHADA)"</f>
        <v>TABUA CUMARU 4MT X 30CM (APARELHADA)</v>
      </c>
      <c r="C22750" s="2" t="str">
        <f t="shared" si="896"/>
        <v>UN</v>
      </c>
      <c r="D22750" s="7">
        <v>402</v>
      </c>
      <c r="E22750" s="3">
        <v>4</v>
      </c>
      <c r="F22750" s="3">
        <v>4</v>
      </c>
      <c r="G22750" t="s">
        <v>514</v>
      </c>
    </row>
    <row r="22751" spans="1:7" x14ac:dyDescent="0.25">
      <c r="A22751" s="1" t="str">
        <f>"522384"</f>
        <v>522384</v>
      </c>
      <c r="B22751" s="2" t="str">
        <f>"TABUA CUMARU 5MT X 30CM (APARELHADA)"</f>
        <v>TABUA CUMARU 5MT X 30CM (APARELHADA)</v>
      </c>
      <c r="C22751" s="2" t="str">
        <f t="shared" si="896"/>
        <v>UN</v>
      </c>
      <c r="D22751" s="7">
        <v>402</v>
      </c>
      <c r="E22751" s="3">
        <v>4</v>
      </c>
      <c r="F22751" s="3">
        <v>4</v>
      </c>
      <c r="G22751" t="s">
        <v>513</v>
      </c>
    </row>
    <row r="22752" spans="1:7" x14ac:dyDescent="0.25">
      <c r="A22752" s="1" t="str">
        <f>"500584"</f>
        <v>500584</v>
      </c>
      <c r="B22752" s="2" t="str">
        <f>"TABUA DE CANAF. (2,5 M X 15 CM)"</f>
        <v>TABUA DE CANAF. (2,5 M X 15 CM)</v>
      </c>
      <c r="C22752" s="2" t="str">
        <f t="shared" si="896"/>
        <v>UN</v>
      </c>
      <c r="D22752" s="7">
        <v>403</v>
      </c>
      <c r="E22752" s="3">
        <v>4</v>
      </c>
      <c r="F22752" s="3">
        <v>4</v>
      </c>
      <c r="G22752" t="s">
        <v>512</v>
      </c>
    </row>
    <row r="22753" spans="1:7" x14ac:dyDescent="0.25">
      <c r="A22753" s="1" t="str">
        <f>"500583"</f>
        <v>500583</v>
      </c>
      <c r="B22753" s="2" t="str">
        <f>"TABUA DE CANAF. (2,5 M X 30 CM)"</f>
        <v>TABUA DE CANAF. (2,5 M X 30 CM)</v>
      </c>
      <c r="C22753" s="2" t="str">
        <f t="shared" si="896"/>
        <v>UN</v>
      </c>
      <c r="D22753" s="7">
        <v>403</v>
      </c>
      <c r="E22753" s="3">
        <v>4</v>
      </c>
      <c r="F22753" s="3">
        <v>4</v>
      </c>
      <c r="G22753" t="s">
        <v>513</v>
      </c>
    </row>
    <row r="22754" spans="1:7" x14ac:dyDescent="0.25">
      <c r="A22754" s="1" t="str">
        <f>"507920"</f>
        <v>507920</v>
      </c>
      <c r="B22754" s="2" t="str">
        <f>"TABUA DE CEDRILHO 3,5M X 30CM"</f>
        <v>TABUA DE CEDRILHO 3,5M X 30CM</v>
      </c>
      <c r="C22754" s="2" t="str">
        <f t="shared" si="896"/>
        <v>UN</v>
      </c>
      <c r="D22754" s="7">
        <v>402</v>
      </c>
      <c r="E22754" s="3">
        <v>4</v>
      </c>
      <c r="F22754" s="3">
        <v>4</v>
      </c>
      <c r="G22754" t="s">
        <v>514</v>
      </c>
    </row>
    <row r="22755" spans="1:7" x14ac:dyDescent="0.25">
      <c r="A22755" s="1" t="str">
        <f>"500110"</f>
        <v>500110</v>
      </c>
      <c r="B22755" s="2" t="str">
        <f>"TABUA DE GREVILHA 3 X 20 CM"</f>
        <v>TABUA DE GREVILHA 3 X 20 CM</v>
      </c>
      <c r="C22755" s="2" t="str">
        <f t="shared" si="896"/>
        <v>UN</v>
      </c>
      <c r="D22755" s="7">
        <v>403</v>
      </c>
      <c r="E22755" s="3">
        <v>4</v>
      </c>
      <c r="F22755" s="3">
        <v>4</v>
      </c>
      <c r="G22755" t="s">
        <v>514</v>
      </c>
    </row>
    <row r="22756" spans="1:7" x14ac:dyDescent="0.25">
      <c r="A22756" s="1" t="str">
        <f>"500670"</f>
        <v>500670</v>
      </c>
      <c r="B22756" s="2" t="str">
        <f>"TABUA DE GREVILHA 3 X 25 CM"</f>
        <v>TABUA DE GREVILHA 3 X 25 CM</v>
      </c>
      <c r="C22756" s="2" t="str">
        <f t="shared" si="896"/>
        <v>UN</v>
      </c>
      <c r="D22756" s="7">
        <v>403</v>
      </c>
      <c r="E22756" s="3">
        <v>4</v>
      </c>
      <c r="F22756" s="3">
        <v>4</v>
      </c>
      <c r="G22756" t="s">
        <v>514</v>
      </c>
    </row>
    <row r="22757" spans="1:7" x14ac:dyDescent="0.25">
      <c r="A22757" s="1" t="str">
        <f>"527615"</f>
        <v>527615</v>
      </c>
      <c r="B22757" s="2" t="str">
        <f>"TABUA DE RODAPÉ INTERNO"</f>
        <v>TABUA DE RODAPÉ INTERNO</v>
      </c>
      <c r="C22757" s="2" t="str">
        <f t="shared" si="896"/>
        <v>UN</v>
      </c>
      <c r="D22757" s="7">
        <v>99999</v>
      </c>
      <c r="E22757" s="3">
        <v>99</v>
      </c>
      <c r="F22757" s="3">
        <v>99</v>
      </c>
      <c r="G22757" t="s">
        <v>513</v>
      </c>
    </row>
    <row r="22758" spans="1:7" x14ac:dyDescent="0.25">
      <c r="A22758" s="1" t="str">
        <f>"522938"</f>
        <v>522938</v>
      </c>
      <c r="B22758" s="2" t="str">
        <f>"TABUA PINUS 3MT X 10CM"</f>
        <v>TABUA PINUS 3MT X 10CM</v>
      </c>
      <c r="C22758" s="2" t="str">
        <f t="shared" si="896"/>
        <v>UN</v>
      </c>
      <c r="D22758" s="7">
        <v>917</v>
      </c>
      <c r="E22758" s="3">
        <v>4</v>
      </c>
      <c r="F22758" s="3">
        <v>4</v>
      </c>
      <c r="G22758" t="s">
        <v>513</v>
      </c>
    </row>
    <row r="22759" spans="1:7" x14ac:dyDescent="0.25">
      <c r="A22759" s="1" t="str">
        <f>"519871"</f>
        <v>519871</v>
      </c>
      <c r="B22759" s="2" t="str">
        <f>"TABUA PINUS 3MT X 15CM"</f>
        <v>TABUA PINUS 3MT X 15CM</v>
      </c>
      <c r="C22759" s="2" t="str">
        <f t="shared" si="896"/>
        <v>UN</v>
      </c>
      <c r="D22759" s="7">
        <v>402</v>
      </c>
      <c r="E22759" s="3">
        <v>4</v>
      </c>
      <c r="F22759" s="3">
        <v>4</v>
      </c>
      <c r="G22759" t="s">
        <v>513</v>
      </c>
    </row>
    <row r="22760" spans="1:7" x14ac:dyDescent="0.25">
      <c r="A22760" s="1" t="str">
        <f>"525272"</f>
        <v>525272</v>
      </c>
      <c r="B22760" s="2" t="str">
        <f>"TABUA PINUS 3MT X 20CM"</f>
        <v>TABUA PINUS 3MT X 20CM</v>
      </c>
      <c r="C22760" s="2" t="str">
        <f t="shared" si="896"/>
        <v>UN</v>
      </c>
      <c r="D22760" s="7">
        <v>402</v>
      </c>
      <c r="E22760" s="3">
        <v>4</v>
      </c>
      <c r="F22760" s="3">
        <v>4</v>
      </c>
      <c r="G22760" t="s">
        <v>512</v>
      </c>
    </row>
    <row r="22761" spans="1:7" x14ac:dyDescent="0.25">
      <c r="A22761" s="1" t="str">
        <f>"503022"</f>
        <v>503022</v>
      </c>
      <c r="B22761" s="2" t="str">
        <f>"TABUA PINUS 3MT X 25CM"</f>
        <v>TABUA PINUS 3MT X 25CM</v>
      </c>
      <c r="C22761" s="2" t="str">
        <f t="shared" si="896"/>
        <v>UN</v>
      </c>
      <c r="D22761" s="7">
        <v>403</v>
      </c>
      <c r="E22761" s="3">
        <v>4</v>
      </c>
      <c r="F22761" s="3">
        <v>4</v>
      </c>
      <c r="G22761" t="s">
        <v>513</v>
      </c>
    </row>
    <row r="22762" spans="1:7" x14ac:dyDescent="0.25">
      <c r="A22762" s="1" t="str">
        <f>"505042"</f>
        <v>505042</v>
      </c>
      <c r="B22762" s="2" t="str">
        <f>"TABUA PINUS 3MT X 30CM"</f>
        <v>TABUA PINUS 3MT X 30CM</v>
      </c>
      <c r="C22762" s="2" t="str">
        <f t="shared" si="896"/>
        <v>UN</v>
      </c>
      <c r="D22762" s="7">
        <v>402</v>
      </c>
      <c r="E22762" s="3">
        <v>4</v>
      </c>
      <c r="F22762" s="3">
        <v>4</v>
      </c>
      <c r="G22762" t="s">
        <v>514</v>
      </c>
    </row>
    <row r="22763" spans="1:7" x14ac:dyDescent="0.25">
      <c r="A22763" s="1" t="str">
        <f>"3327"</f>
        <v>3327</v>
      </c>
      <c r="B22763" s="2" t="str">
        <f>"TABULEIRO 1.000 X 1.200MM (BASE BANDEIJA)"</f>
        <v>TABULEIRO 1.000 X 1.200MM (BASE BANDEIJA)</v>
      </c>
      <c r="C22763" s="2" t="str">
        <f t="shared" si="896"/>
        <v>UN</v>
      </c>
      <c r="D22763" s="7">
        <v>301</v>
      </c>
      <c r="E22763" s="3">
        <v>1</v>
      </c>
      <c r="F22763" s="3">
        <v>1</v>
      </c>
      <c r="G22763" t="s">
        <v>515</v>
      </c>
    </row>
    <row r="22764" spans="1:7" x14ac:dyDescent="0.25">
      <c r="A22764" s="1" t="str">
        <f>"3326"</f>
        <v>3326</v>
      </c>
      <c r="B22764" s="2" t="str">
        <f>"TABULEIRO 610 X 465 (CAIXA USO INTERNO)"</f>
        <v>TABULEIRO 610 X 465 (CAIXA USO INTERNO)</v>
      </c>
      <c r="C22764" s="2" t="str">
        <f t="shared" si="896"/>
        <v>UN</v>
      </c>
      <c r="D22764" s="7">
        <v>301</v>
      </c>
      <c r="E22764" s="3">
        <v>1</v>
      </c>
      <c r="F22764" s="3">
        <v>1</v>
      </c>
      <c r="G22764" t="s">
        <v>512</v>
      </c>
    </row>
    <row r="22765" spans="1:7" x14ac:dyDescent="0.25">
      <c r="A22765" s="1" t="str">
        <f>"7160"</f>
        <v>7160</v>
      </c>
      <c r="B22765" s="8" t="s">
        <v>511</v>
      </c>
      <c r="C22765" s="2" t="str">
        <f t="shared" si="896"/>
        <v>UN</v>
      </c>
      <c r="D22765" s="7">
        <v>301</v>
      </c>
      <c r="E22765" s="3">
        <v>1</v>
      </c>
      <c r="F22765" s="3">
        <v>1</v>
      </c>
      <c r="G22765" t="s">
        <v>516</v>
      </c>
    </row>
    <row r="22766" spans="1:7" x14ac:dyDescent="0.25">
      <c r="A22766" s="1" t="str">
        <f>"3325"</f>
        <v>3325</v>
      </c>
      <c r="B22766" s="8" t="s">
        <v>9</v>
      </c>
      <c r="C22766" s="2" t="str">
        <f t="shared" si="896"/>
        <v>UN</v>
      </c>
      <c r="D22766" s="7">
        <v>301</v>
      </c>
      <c r="E22766" s="3">
        <v>1</v>
      </c>
      <c r="F22766" s="3">
        <v>1</v>
      </c>
      <c r="G22766" t="s">
        <v>515</v>
      </c>
    </row>
    <row r="22767" spans="1:7" x14ac:dyDescent="0.25">
      <c r="A22767" s="1" t="str">
        <f>"7150"</f>
        <v>7150</v>
      </c>
      <c r="B22767" s="8" t="s">
        <v>510</v>
      </c>
      <c r="C22767" s="2" t="str">
        <f t="shared" si="896"/>
        <v>UN</v>
      </c>
      <c r="D22767" s="7">
        <v>301</v>
      </c>
      <c r="E22767" s="3">
        <v>1</v>
      </c>
      <c r="F22767" s="3">
        <v>1</v>
      </c>
      <c r="G22767" t="s">
        <v>514</v>
      </c>
    </row>
    <row r="22768" spans="1:7" x14ac:dyDescent="0.25">
      <c r="A22768" s="1" t="str">
        <f>"4081"</f>
        <v>4081</v>
      </c>
      <c r="B22768" s="8" t="s">
        <v>10</v>
      </c>
      <c r="C22768" s="2" t="str">
        <f t="shared" si="896"/>
        <v>UN</v>
      </c>
      <c r="D22768" s="7">
        <v>301</v>
      </c>
      <c r="E22768" s="3">
        <v>1</v>
      </c>
      <c r="F22768" s="3">
        <v>1</v>
      </c>
      <c r="G22768" t="s">
        <v>512</v>
      </c>
    </row>
    <row r="22769" spans="1:7" x14ac:dyDescent="0.25">
      <c r="A22769" s="1" t="str">
        <f>"513177"</f>
        <v>513177</v>
      </c>
      <c r="B22769" s="2" t="str">
        <f>"TAÇA"</f>
        <v>TAÇA</v>
      </c>
      <c r="C22769" s="2" t="str">
        <f t="shared" si="896"/>
        <v>UN</v>
      </c>
      <c r="D22769" s="7">
        <v>401</v>
      </c>
      <c r="E22769" s="3">
        <v>4</v>
      </c>
      <c r="F22769" s="3">
        <v>4</v>
      </c>
      <c r="G22769" t="s">
        <v>513</v>
      </c>
    </row>
    <row r="22770" spans="1:7" x14ac:dyDescent="0.25">
      <c r="A22770" s="1" t="str">
        <f>"515418"</f>
        <v>515418</v>
      </c>
      <c r="B22770" s="2" t="str">
        <f>"TACHO EM AÇO INOX 100 LTS"</f>
        <v>TACHO EM AÇO INOX 100 LTS</v>
      </c>
      <c r="C22770" s="2" t="str">
        <f t="shared" si="896"/>
        <v>UN</v>
      </c>
      <c r="D22770" s="7">
        <v>1300</v>
      </c>
      <c r="E22770" s="3">
        <v>13</v>
      </c>
      <c r="F22770" s="3">
        <v>13</v>
      </c>
      <c r="G22770" t="s">
        <v>514</v>
      </c>
    </row>
    <row r="22771" spans="1:7" x14ac:dyDescent="0.25">
      <c r="A22771" s="1" t="str">
        <f>"515419"</f>
        <v>515419</v>
      </c>
      <c r="B22771" s="2" t="str">
        <f>"TACHO EM AÇO INOX 70 LTS"</f>
        <v>TACHO EM AÇO INOX 70 LTS</v>
      </c>
      <c r="C22771" s="2" t="str">
        <f t="shared" si="896"/>
        <v>UN</v>
      </c>
      <c r="D22771" s="7">
        <v>1300</v>
      </c>
      <c r="E22771" s="3">
        <v>13</v>
      </c>
      <c r="F22771" s="3">
        <v>13</v>
      </c>
      <c r="G22771" t="s">
        <v>514</v>
      </c>
    </row>
    <row r="22772" spans="1:7" x14ac:dyDescent="0.25">
      <c r="A22772" s="1" t="str">
        <f>"527494"</f>
        <v>527494</v>
      </c>
      <c r="B22772" s="2" t="str">
        <f>"TACOMETRO DIGIT.MDT-2238B FOTO/CONT. MDT-2238B MINIPA"</f>
        <v>TACOMETRO DIGIT.MDT-2238B FOTO/CONT. MDT-2238B MINIPA</v>
      </c>
      <c r="C22772" s="2" t="str">
        <f t="shared" si="896"/>
        <v>UN</v>
      </c>
      <c r="D22772" s="7">
        <v>99999</v>
      </c>
      <c r="E22772" s="3">
        <v>99</v>
      </c>
      <c r="F22772" s="3">
        <v>99</v>
      </c>
      <c r="G22772" t="s">
        <v>512</v>
      </c>
    </row>
    <row r="22773" spans="1:7" x14ac:dyDescent="0.25">
      <c r="A22773" s="1" t="str">
        <f>"517175"</f>
        <v>517175</v>
      </c>
      <c r="B22773" s="2" t="str">
        <f>"TACOMETRO DIGITAL MDT2244A"</f>
        <v>TACOMETRO DIGITAL MDT2244A</v>
      </c>
      <c r="C22773" s="2" t="str">
        <f t="shared" si="896"/>
        <v>UN</v>
      </c>
      <c r="D22773" s="7">
        <v>920</v>
      </c>
      <c r="E22773" s="3">
        <v>4</v>
      </c>
      <c r="F22773" s="3">
        <v>4</v>
      </c>
      <c r="G22773" t="s">
        <v>513</v>
      </c>
    </row>
    <row r="22774" spans="1:7" x14ac:dyDescent="0.25">
      <c r="A22774" s="1" t="str">
        <f>"522431"</f>
        <v>522431</v>
      </c>
      <c r="B22774" s="2" t="str">
        <f>"TALA 100MM"</f>
        <v>TALA 100MM</v>
      </c>
      <c r="C22774" s="2" t="str">
        <f t="shared" si="896"/>
        <v>UN</v>
      </c>
      <c r="D22774" s="7">
        <v>811</v>
      </c>
      <c r="E22774" s="3">
        <v>10</v>
      </c>
      <c r="F22774" s="3">
        <v>10</v>
      </c>
      <c r="G22774" t="s">
        <v>514</v>
      </c>
    </row>
    <row r="22775" spans="1:7" x14ac:dyDescent="0.25">
      <c r="A22775" s="1" t="str">
        <f>"573796"</f>
        <v>573796</v>
      </c>
      <c r="B22775" s="2" t="str">
        <f>"TALA MUNHEQUEIRA PULSO PUNHO BILATERAL"</f>
        <v>TALA MUNHEQUEIRA PULSO PUNHO BILATERAL</v>
      </c>
      <c r="C22775" s="2" t="str">
        <f>"PR"</f>
        <v>PR</v>
      </c>
      <c r="D22775" s="7">
        <v>501</v>
      </c>
      <c r="E22775" s="3">
        <v>5</v>
      </c>
      <c r="F22775" s="3">
        <v>5</v>
      </c>
      <c r="G22775" t="s">
        <v>514</v>
      </c>
    </row>
    <row r="22776" spans="1:7" x14ac:dyDescent="0.25">
      <c r="A22776" s="1" t="str">
        <f>"521001"</f>
        <v>521001</v>
      </c>
      <c r="B22776" s="2" t="str">
        <f>"TALA P/EMENDA GF COMPLETA"</f>
        <v>TALA P/EMENDA GF COMPLETA</v>
      </c>
      <c r="C22776" s="2" t="str">
        <f t="shared" ref="C22776:C22805" si="897">"UN"</f>
        <v>UN</v>
      </c>
      <c r="D22776" s="7">
        <v>811</v>
      </c>
      <c r="E22776" s="3">
        <v>8</v>
      </c>
      <c r="F22776" s="3">
        <v>8</v>
      </c>
      <c r="G22776" t="s">
        <v>514</v>
      </c>
    </row>
    <row r="22777" spans="1:7" x14ac:dyDescent="0.25">
      <c r="A22777" s="1" t="str">
        <f>"521007"</f>
        <v>521007</v>
      </c>
      <c r="B22777" s="2" t="str">
        <f>"TALA P/EMENDA GF COMPLETA"</f>
        <v>TALA P/EMENDA GF COMPLETA</v>
      </c>
      <c r="C22777" s="2" t="str">
        <f t="shared" si="897"/>
        <v>UN</v>
      </c>
      <c r="D22777" s="7">
        <v>811</v>
      </c>
      <c r="E22777" s="3">
        <v>8</v>
      </c>
      <c r="F22777" s="3">
        <v>8</v>
      </c>
      <c r="G22777" t="s">
        <v>513</v>
      </c>
    </row>
    <row r="22778" spans="1:7" x14ac:dyDescent="0.25">
      <c r="A22778" s="1" t="str">
        <f>"523703"</f>
        <v>523703</v>
      </c>
      <c r="B22778" s="2" t="str">
        <f>"TALA TECIDO P/ PUNHO"</f>
        <v>TALA TECIDO P/ PUNHO</v>
      </c>
      <c r="C22778" s="2" t="str">
        <f t="shared" si="897"/>
        <v>UN</v>
      </c>
      <c r="D22778" s="7">
        <v>99999</v>
      </c>
      <c r="E22778" s="3">
        <v>99</v>
      </c>
      <c r="F22778" s="3">
        <v>99</v>
      </c>
      <c r="G22778" t="s">
        <v>512</v>
      </c>
    </row>
    <row r="22779" spans="1:7" x14ac:dyDescent="0.25">
      <c r="A22779" s="1" t="str">
        <f>"515110"</f>
        <v>515110</v>
      </c>
      <c r="B22779" s="2" t="str">
        <f>"TALABARTE CA 27064"</f>
        <v>TALABARTE CA 27064</v>
      </c>
      <c r="C22779" s="2" t="str">
        <f t="shared" si="897"/>
        <v>UN</v>
      </c>
      <c r="D22779" s="7">
        <v>401</v>
      </c>
      <c r="E22779" s="3">
        <v>4</v>
      </c>
      <c r="F22779" s="3">
        <v>4</v>
      </c>
      <c r="G22779" t="s">
        <v>513</v>
      </c>
    </row>
    <row r="22780" spans="1:7" x14ac:dyDescent="0.25">
      <c r="A22780" s="1" t="str">
        <f>"517357"</f>
        <v>517357</v>
      </c>
      <c r="B22780" s="2" t="str">
        <f>"TALABARTE EM Y ABERTURA 55MM"</f>
        <v>TALABARTE EM Y ABERTURA 55MM</v>
      </c>
      <c r="C22780" s="2" t="str">
        <f t="shared" si="897"/>
        <v>UN</v>
      </c>
      <c r="D22780" s="7">
        <v>501</v>
      </c>
      <c r="E22780" s="3">
        <v>5</v>
      </c>
      <c r="F22780" s="3">
        <v>5</v>
      </c>
      <c r="G22780" t="s">
        <v>514</v>
      </c>
    </row>
    <row r="22781" spans="1:7" x14ac:dyDescent="0.25">
      <c r="A22781" s="1" t="str">
        <f>"527116"</f>
        <v>527116</v>
      </c>
      <c r="B22781" s="2" t="str">
        <f>"TALABARTE POSCION AJUST CORDA 16MM HERCULES HL032AJ"</f>
        <v>TALABARTE POSCION AJUST CORDA 16MM HERCULES HL032AJ</v>
      </c>
      <c r="C22781" s="2" t="str">
        <f t="shared" si="897"/>
        <v>UN</v>
      </c>
      <c r="D22781" s="7">
        <v>501</v>
      </c>
      <c r="E22781" s="3">
        <v>5</v>
      </c>
      <c r="F22781" s="3">
        <v>5</v>
      </c>
      <c r="G22781" t="s">
        <v>514</v>
      </c>
    </row>
    <row r="22782" spans="1:7" x14ac:dyDescent="0.25">
      <c r="A22782" s="1" t="str">
        <f>"523123"</f>
        <v>523123</v>
      </c>
      <c r="B22782" s="2" t="str">
        <f>"TALABARTE Y AMARELO TUBUL C/ELAST ABSORV MOSQ 53MM HL03259YE"</f>
        <v>TALABARTE Y AMARELO TUBUL C/ELAST ABSORV MOSQ 53MM HL03259YE</v>
      </c>
      <c r="C22782" s="2" t="str">
        <f t="shared" si="897"/>
        <v>UN</v>
      </c>
      <c r="D22782" s="7">
        <v>402</v>
      </c>
      <c r="E22782" s="3">
        <v>4</v>
      </c>
      <c r="F22782" s="3">
        <v>4</v>
      </c>
      <c r="G22782" t="s">
        <v>514</v>
      </c>
    </row>
    <row r="22783" spans="1:7" x14ac:dyDescent="0.25">
      <c r="A22783" s="1" t="str">
        <f>"515465"</f>
        <v>515465</v>
      </c>
      <c r="B22783" s="2" t="str">
        <f>"TALAO ATESTADO"</f>
        <v>TALAO ATESTADO</v>
      </c>
      <c r="C22783" s="2" t="str">
        <f t="shared" si="897"/>
        <v>UN</v>
      </c>
      <c r="D22783" s="7">
        <v>401</v>
      </c>
      <c r="E22783" s="3">
        <v>4</v>
      </c>
      <c r="F22783" s="3">
        <v>4</v>
      </c>
      <c r="G22783" t="s">
        <v>513</v>
      </c>
    </row>
    <row r="22784" spans="1:7" x14ac:dyDescent="0.25">
      <c r="A22784" s="1" t="str">
        <f>"515466"</f>
        <v>515466</v>
      </c>
      <c r="B22784" s="2" t="str">
        <f>"TALAO RECEITUARIO"</f>
        <v>TALAO RECEITUARIO</v>
      </c>
      <c r="C22784" s="2" t="str">
        <f t="shared" si="897"/>
        <v>UN</v>
      </c>
      <c r="D22784" s="7">
        <v>401</v>
      </c>
      <c r="E22784" s="3">
        <v>4</v>
      </c>
      <c r="F22784" s="3">
        <v>4</v>
      </c>
      <c r="G22784" t="s">
        <v>513</v>
      </c>
    </row>
    <row r="22785" spans="1:7" x14ac:dyDescent="0.25">
      <c r="A22785" s="1" t="str">
        <f>"515467"</f>
        <v>515467</v>
      </c>
      <c r="B22785" s="2" t="str">
        <f>"TALAO REQUISICOES"</f>
        <v>TALAO REQUISICOES</v>
      </c>
      <c r="C22785" s="2" t="str">
        <f t="shared" si="897"/>
        <v>UN</v>
      </c>
      <c r="D22785" s="7">
        <v>401</v>
      </c>
      <c r="E22785" s="3">
        <v>4</v>
      </c>
      <c r="F22785" s="3">
        <v>4</v>
      </c>
      <c r="G22785" t="s">
        <v>513</v>
      </c>
    </row>
    <row r="22786" spans="1:7" x14ac:dyDescent="0.25">
      <c r="A22786" s="1" t="str">
        <f>"516973"</f>
        <v>516973</v>
      </c>
      <c r="B22786" s="2" t="str">
        <f>"TALHA ELETRICA 4MT CORRENTE 5MT CABO 380V TRIFASICA"</f>
        <v>TALHA ELETRICA 4MT CORRENTE 5MT CABO 380V TRIFASICA</v>
      </c>
      <c r="C22786" s="2" t="str">
        <f t="shared" si="897"/>
        <v>UN</v>
      </c>
      <c r="D22786" s="7">
        <v>811</v>
      </c>
      <c r="E22786" s="3">
        <v>8</v>
      </c>
      <c r="F22786" s="3">
        <v>8</v>
      </c>
      <c r="G22786" t="s">
        <v>512</v>
      </c>
    </row>
    <row r="22787" spans="1:7" x14ac:dyDescent="0.25">
      <c r="A22787" s="1" t="str">
        <f>"516080"</f>
        <v>516080</v>
      </c>
      <c r="B22787" s="2" t="str">
        <f>"TALHA ELETRICA 500KG C/ 15MT CABO AÇO 220V"</f>
        <v>TALHA ELETRICA 500KG C/ 15MT CABO AÇO 220V</v>
      </c>
      <c r="C22787" s="2" t="str">
        <f t="shared" si="897"/>
        <v>UN</v>
      </c>
      <c r="D22787" s="7">
        <v>918</v>
      </c>
      <c r="E22787" s="3">
        <v>8</v>
      </c>
      <c r="F22787" s="3">
        <v>8</v>
      </c>
      <c r="G22787" t="s">
        <v>513</v>
      </c>
    </row>
    <row r="22788" spans="1:7" x14ac:dyDescent="0.25">
      <c r="A22788" s="1" t="str">
        <f>"516972"</f>
        <v>516972</v>
      </c>
      <c r="B22788" s="2" t="str">
        <f>"TALHA ELETRICA 6MT CORRENTE 11MT CABO 380V TRIFASICA"</f>
        <v>TALHA ELETRICA 6MT CORRENTE 11MT CABO 380V TRIFASICA</v>
      </c>
      <c r="C22788" s="2" t="str">
        <f t="shared" si="897"/>
        <v>UN</v>
      </c>
      <c r="D22788" s="7">
        <v>811</v>
      </c>
      <c r="E22788" s="3">
        <v>8</v>
      </c>
      <c r="F22788" s="3">
        <v>8</v>
      </c>
      <c r="G22788" t="s">
        <v>514</v>
      </c>
    </row>
    <row r="22789" spans="1:7" x14ac:dyDescent="0.25">
      <c r="A22789" s="1" t="str">
        <f>"521661"</f>
        <v>521661</v>
      </c>
      <c r="B22789" s="2" t="str">
        <f>"TALHA MANUAL 1000KG CORRENTE 5M"</f>
        <v>TALHA MANUAL 1000KG CORRENTE 5M</v>
      </c>
      <c r="C22789" s="2" t="str">
        <f t="shared" si="897"/>
        <v>UN</v>
      </c>
      <c r="D22789" s="7">
        <v>811</v>
      </c>
      <c r="E22789" s="3">
        <v>8</v>
      </c>
      <c r="F22789" s="3">
        <v>8</v>
      </c>
      <c r="G22789" t="s">
        <v>515</v>
      </c>
    </row>
    <row r="22790" spans="1:7" x14ac:dyDescent="0.25">
      <c r="A22790" s="1" t="str">
        <f>"527426"</f>
        <v>527426</v>
      </c>
      <c r="B22790" s="2" t="str">
        <f>"TALHA MANUAL 500KG CORRENTE"</f>
        <v>TALHA MANUAL 500KG CORRENTE</v>
      </c>
      <c r="C22790" s="2" t="str">
        <f t="shared" si="897"/>
        <v>UN</v>
      </c>
      <c r="D22790" s="7">
        <v>99999</v>
      </c>
      <c r="E22790" s="3">
        <v>99</v>
      </c>
      <c r="F22790" s="3">
        <v>99</v>
      </c>
      <c r="G22790" t="s">
        <v>512</v>
      </c>
    </row>
    <row r="22791" spans="1:7" x14ac:dyDescent="0.25">
      <c r="A22791" s="1" t="str">
        <f>"521688"</f>
        <v>521688</v>
      </c>
      <c r="B22791" s="2" t="str">
        <f>"TALHADEIRA"</f>
        <v>TALHADEIRA</v>
      </c>
      <c r="C22791" s="2" t="str">
        <f t="shared" si="897"/>
        <v>UN</v>
      </c>
      <c r="D22791" s="7">
        <v>99999</v>
      </c>
      <c r="E22791" s="3">
        <v>99</v>
      </c>
      <c r="F22791" s="3">
        <v>99</v>
      </c>
      <c r="G22791" t="s">
        <v>516</v>
      </c>
    </row>
    <row r="22792" spans="1:7" x14ac:dyDescent="0.25">
      <c r="A22792" s="1" t="str">
        <f>"513916"</f>
        <v>513916</v>
      </c>
      <c r="B22792" s="2" t="str">
        <f>"TALHADEIRA 3/4 X 12"</f>
        <v>TALHADEIRA 3/4 X 12</v>
      </c>
      <c r="C22792" s="2" t="str">
        <f t="shared" si="897"/>
        <v>UN</v>
      </c>
      <c r="D22792" s="7">
        <v>919</v>
      </c>
      <c r="E22792" s="3">
        <v>4</v>
      </c>
      <c r="F22792" s="3">
        <v>4</v>
      </c>
      <c r="G22792" t="s">
        <v>515</v>
      </c>
    </row>
    <row r="22793" spans="1:7" x14ac:dyDescent="0.25">
      <c r="A22793" s="1" t="str">
        <f>"526158"</f>
        <v>526158</v>
      </c>
      <c r="B22793" s="2" t="str">
        <f>"TALHADEIRA ENGATE RAPIDO SDS PLUS 10MM X 300MM"</f>
        <v>TALHADEIRA ENGATE RAPIDO SDS PLUS 10MM X 300MM</v>
      </c>
      <c r="C22793" s="2" t="str">
        <f t="shared" si="897"/>
        <v>UN</v>
      </c>
      <c r="D22793" s="7">
        <v>402</v>
      </c>
      <c r="E22793" s="3">
        <v>4</v>
      </c>
      <c r="F22793" s="3">
        <v>4</v>
      </c>
      <c r="G22793" t="s">
        <v>514</v>
      </c>
    </row>
    <row r="22794" spans="1:7" x14ac:dyDescent="0.25">
      <c r="A22794" s="1" t="str">
        <f>"526965"</f>
        <v>526965</v>
      </c>
      <c r="B22794" s="2" t="str">
        <f>"TALHADEIRA ENGATE RAPIDO SDS PLUS 20MM X 300MM"</f>
        <v>TALHADEIRA ENGATE RAPIDO SDS PLUS 20MM X 300MM</v>
      </c>
      <c r="C22794" s="2" t="str">
        <f t="shared" si="897"/>
        <v>UN</v>
      </c>
      <c r="D22794" s="7">
        <v>402</v>
      </c>
      <c r="E22794" s="3">
        <v>4</v>
      </c>
      <c r="F22794" s="3">
        <v>4</v>
      </c>
      <c r="G22794" t="s">
        <v>512</v>
      </c>
    </row>
    <row r="22795" spans="1:7" x14ac:dyDescent="0.25">
      <c r="A22795" s="1" t="str">
        <f>"514599"</f>
        <v>514599</v>
      </c>
      <c r="B22795" s="2" t="str">
        <f>"TALHERES"</f>
        <v>TALHERES</v>
      </c>
      <c r="C22795" s="2" t="str">
        <f t="shared" si="897"/>
        <v>UN</v>
      </c>
      <c r="D22795" s="7">
        <v>401</v>
      </c>
      <c r="E22795" s="3">
        <v>4</v>
      </c>
      <c r="F22795" s="3">
        <v>4</v>
      </c>
      <c r="G22795" t="s">
        <v>513</v>
      </c>
    </row>
    <row r="22796" spans="1:7" x14ac:dyDescent="0.25">
      <c r="A22796" s="1" t="str">
        <f>"525241"</f>
        <v>525241</v>
      </c>
      <c r="B22796" s="2" t="str">
        <f>"TAMBOR"</f>
        <v>TAMBOR</v>
      </c>
      <c r="C22796" s="2" t="str">
        <f t="shared" si="897"/>
        <v>UN</v>
      </c>
      <c r="D22796" s="7">
        <v>99999</v>
      </c>
      <c r="E22796" s="3">
        <v>99</v>
      </c>
      <c r="F22796" s="3">
        <v>99</v>
      </c>
      <c r="G22796" t="s">
        <v>514</v>
      </c>
    </row>
    <row r="22797" spans="1:7" x14ac:dyDescent="0.25">
      <c r="A22797" s="1" t="str">
        <f>"509145"</f>
        <v>509145</v>
      </c>
      <c r="B22797" s="2" t="str">
        <f>"TAMBOR 200LTS"</f>
        <v>TAMBOR 200LTS</v>
      </c>
      <c r="C22797" s="2" t="str">
        <f t="shared" si="897"/>
        <v>UN</v>
      </c>
      <c r="D22797" s="7">
        <v>402</v>
      </c>
      <c r="E22797" s="3">
        <v>4</v>
      </c>
      <c r="F22797" s="3">
        <v>4</v>
      </c>
      <c r="G22797" t="s">
        <v>514</v>
      </c>
    </row>
    <row r="22798" spans="1:7" x14ac:dyDescent="0.25">
      <c r="A22798" s="1" t="str">
        <f>"514110"</f>
        <v>514110</v>
      </c>
      <c r="B22798" s="2" t="str">
        <f>"TAMBOR 30LT BRANCO C/ TAMPA"</f>
        <v>TAMBOR 30LT BRANCO C/ TAMPA</v>
      </c>
      <c r="C22798" s="2" t="str">
        <f t="shared" si="897"/>
        <v>UN</v>
      </c>
      <c r="D22798" s="7">
        <v>704</v>
      </c>
      <c r="E22798" s="3">
        <v>9</v>
      </c>
      <c r="F22798" s="3">
        <v>9</v>
      </c>
      <c r="G22798" t="s">
        <v>512</v>
      </c>
    </row>
    <row r="22799" spans="1:7" x14ac:dyDescent="0.25">
      <c r="A22799" s="1" t="str">
        <f>"521584"</f>
        <v>521584</v>
      </c>
      <c r="B22799" s="2" t="str">
        <f>"TAMBOR FREIO"</f>
        <v>TAMBOR FREIO</v>
      </c>
      <c r="C22799" s="2" t="str">
        <f t="shared" si="897"/>
        <v>UN</v>
      </c>
      <c r="D22799" s="7">
        <v>99999</v>
      </c>
      <c r="E22799" s="3">
        <v>99</v>
      </c>
      <c r="F22799" s="3">
        <v>99</v>
      </c>
      <c r="G22799" t="s">
        <v>513</v>
      </c>
    </row>
    <row r="22800" spans="1:7" x14ac:dyDescent="0.25">
      <c r="A22800" s="1" t="str">
        <f>"515352"</f>
        <v>515352</v>
      </c>
      <c r="B22800" s="2" t="str">
        <f>"TAMBOR PLASTICO BRANCO P/ LEITE IN NATURA 50 LITROS C/ TAMPA"</f>
        <v>TAMBOR PLASTICO BRANCO P/ LEITE IN NATURA 50 LITROS C/ TAMPA</v>
      </c>
      <c r="C22800" s="2" t="str">
        <f t="shared" si="897"/>
        <v>UN</v>
      </c>
      <c r="D22800" s="7">
        <v>408</v>
      </c>
      <c r="E22800" s="3">
        <v>4</v>
      </c>
      <c r="F22800" s="3">
        <v>4</v>
      </c>
      <c r="G22800" t="s">
        <v>514</v>
      </c>
    </row>
    <row r="22801" spans="1:7" x14ac:dyDescent="0.25">
      <c r="A22801" s="1" t="str">
        <f>"519214"</f>
        <v>519214</v>
      </c>
      <c r="B22801" s="2" t="str">
        <f>"TAMBOR PLASTICO P/ LEITE IN NATURA 20 LITROS"</f>
        <v>TAMBOR PLASTICO P/ LEITE IN NATURA 20 LITROS</v>
      </c>
      <c r="C22801" s="2" t="str">
        <f t="shared" si="897"/>
        <v>UN</v>
      </c>
      <c r="D22801" s="7">
        <v>408</v>
      </c>
      <c r="E22801" s="3">
        <v>4</v>
      </c>
      <c r="F22801" s="3">
        <v>4</v>
      </c>
      <c r="G22801" t="s">
        <v>514</v>
      </c>
    </row>
    <row r="22802" spans="1:7" x14ac:dyDescent="0.25">
      <c r="A22802" s="1" t="str">
        <f>"519215"</f>
        <v>519215</v>
      </c>
      <c r="B22802" s="2" t="str">
        <f>"TAMBOR PLASTICO P/ LEITE IN NATURA 30 LITROS"</f>
        <v>TAMBOR PLASTICO P/ LEITE IN NATURA 30 LITROS</v>
      </c>
      <c r="C22802" s="2" t="str">
        <f t="shared" si="897"/>
        <v>UN</v>
      </c>
      <c r="D22802" s="7">
        <v>408</v>
      </c>
      <c r="E22802" s="3">
        <v>4</v>
      </c>
      <c r="F22802" s="3">
        <v>4</v>
      </c>
      <c r="G22802" t="s">
        <v>514</v>
      </c>
    </row>
    <row r="22803" spans="1:7" x14ac:dyDescent="0.25">
      <c r="A22803" s="1" t="str">
        <f>"506389"</f>
        <v>506389</v>
      </c>
      <c r="B22803" s="2" t="str">
        <f>"TAMPA"</f>
        <v>TAMPA</v>
      </c>
      <c r="C22803" s="2" t="str">
        <f t="shared" si="897"/>
        <v>UN</v>
      </c>
      <c r="D22803" s="7">
        <v>918</v>
      </c>
      <c r="E22803" s="3">
        <v>11</v>
      </c>
      <c r="F22803" s="3">
        <v>11</v>
      </c>
      <c r="G22803" t="s">
        <v>513</v>
      </c>
    </row>
    <row r="22804" spans="1:7" x14ac:dyDescent="0.25">
      <c r="A22804" s="1" t="str">
        <f>"514925"</f>
        <v>514925</v>
      </c>
      <c r="B22804" s="2" t="str">
        <f>"TAMPA 200GR"</f>
        <v>TAMPA 200GR</v>
      </c>
      <c r="C22804" s="2" t="str">
        <f t="shared" si="897"/>
        <v>UN</v>
      </c>
      <c r="D22804" s="7">
        <v>104</v>
      </c>
      <c r="E22804" s="3">
        <v>1</v>
      </c>
      <c r="F22804" s="3">
        <v>1</v>
      </c>
      <c r="G22804" t="s">
        <v>512</v>
      </c>
    </row>
    <row r="22805" spans="1:7" x14ac:dyDescent="0.25">
      <c r="A22805" s="1" t="str">
        <f>"503787"</f>
        <v>503787</v>
      </c>
      <c r="B22805" s="2" t="str">
        <f>"TAMPA 2X4 P/2 RJ 45"</f>
        <v>TAMPA 2X4 P/2 RJ 45</v>
      </c>
      <c r="C22805" s="2" t="str">
        <f t="shared" si="897"/>
        <v>UN</v>
      </c>
      <c r="D22805" s="7">
        <v>601</v>
      </c>
      <c r="E22805" s="3">
        <v>8</v>
      </c>
      <c r="F22805" s="3">
        <v>8</v>
      </c>
      <c r="G22805" t="s">
        <v>513</v>
      </c>
    </row>
    <row r="22806" spans="1:7" x14ac:dyDescent="0.25">
      <c r="A22806" s="1" t="str">
        <f>"511072"</f>
        <v>511072</v>
      </c>
      <c r="B22806" s="2" t="str">
        <f>"TAMPA 6"" CHAPA AÇO"</f>
        <v>TAMPA 6" CHAPA AÇO</v>
      </c>
      <c r="C22806" s="2" t="str">
        <f>"BR"</f>
        <v>BR</v>
      </c>
      <c r="D22806" s="7">
        <v>808</v>
      </c>
      <c r="E22806" s="3">
        <v>10</v>
      </c>
      <c r="F22806" s="3">
        <v>10</v>
      </c>
      <c r="G22806" t="s">
        <v>514</v>
      </c>
    </row>
    <row r="22807" spans="1:7" x14ac:dyDescent="0.25">
      <c r="A22807" s="1" t="str">
        <f>"517352"</f>
        <v>517352</v>
      </c>
      <c r="B22807" s="2" t="str">
        <f>"TAMPA ABRAÇADEIRA TIPO CUNHA (PADRÃO)"</f>
        <v>TAMPA ABRAÇADEIRA TIPO CUNHA (PADRÃO)</v>
      </c>
      <c r="C22807" s="2" t="str">
        <f t="shared" ref="C22807:C22816" si="898">"UN"</f>
        <v>UN</v>
      </c>
      <c r="D22807" s="7">
        <v>811</v>
      </c>
      <c r="E22807" s="3">
        <v>8</v>
      </c>
      <c r="F22807" s="3">
        <v>8</v>
      </c>
      <c r="G22807" t="s">
        <v>514</v>
      </c>
    </row>
    <row r="22808" spans="1:7" x14ac:dyDescent="0.25">
      <c r="A22808" s="1" t="str">
        <f>"1062"</f>
        <v>1062</v>
      </c>
      <c r="B22808" s="2" t="str">
        <f>"TAMPA AL.COPO 185GR 68MM (COMPREBEM)"</f>
        <v>TAMPA AL.COPO 185GR 68MM (COMPREBEM)</v>
      </c>
      <c r="C22808" s="2" t="str">
        <f t="shared" si="898"/>
        <v>UN</v>
      </c>
      <c r="D22808" s="7">
        <v>104</v>
      </c>
      <c r="E22808" s="3">
        <v>1</v>
      </c>
      <c r="F22808" s="3">
        <v>1</v>
      </c>
      <c r="G22808" t="s">
        <v>514</v>
      </c>
    </row>
    <row r="22809" spans="1:7" x14ac:dyDescent="0.25">
      <c r="A22809" s="1" t="str">
        <f>"3016"</f>
        <v>3016</v>
      </c>
      <c r="B22809" s="2" t="str">
        <f>"TAMPA AL.COPO 185GR 68MM (SENDAS)"</f>
        <v>TAMPA AL.COPO 185GR 68MM (SENDAS)</v>
      </c>
      <c r="C22809" s="2" t="str">
        <f t="shared" si="898"/>
        <v>UN</v>
      </c>
      <c r="D22809" s="7">
        <v>104</v>
      </c>
      <c r="E22809" s="3">
        <v>1</v>
      </c>
      <c r="F22809" s="3">
        <v>1</v>
      </c>
      <c r="G22809" t="s">
        <v>513</v>
      </c>
    </row>
    <row r="22810" spans="1:7" x14ac:dyDescent="0.25">
      <c r="A22810" s="1" t="str">
        <f>"6317"</f>
        <v>6317</v>
      </c>
      <c r="B22810" s="2" t="str">
        <f>"TAMPA AL.COPO 185GR 68MM IMPR.COR VERDE"</f>
        <v>TAMPA AL.COPO 185GR 68MM IMPR.COR VERDE</v>
      </c>
      <c r="C22810" s="2" t="str">
        <f t="shared" si="898"/>
        <v>UN</v>
      </c>
      <c r="D22810" s="7">
        <v>104</v>
      </c>
      <c r="E22810" s="3">
        <v>1</v>
      </c>
      <c r="F22810" s="3">
        <v>1</v>
      </c>
      <c r="G22810" t="s">
        <v>513</v>
      </c>
    </row>
    <row r="22811" spans="1:7" x14ac:dyDescent="0.25">
      <c r="A22811" s="1" t="str">
        <f>"1328"</f>
        <v>1328</v>
      </c>
      <c r="B22811" s="2" t="str">
        <f>"TAMPA AL.COPO 185GR COALHOAD 68MM(EXTRA)"</f>
        <v>TAMPA AL.COPO 185GR COALHOAD 68MM(EXTRA)</v>
      </c>
      <c r="C22811" s="2" t="str">
        <f t="shared" si="898"/>
        <v>UN</v>
      </c>
      <c r="D22811" s="7">
        <v>104</v>
      </c>
      <c r="E22811" s="3">
        <v>1</v>
      </c>
      <c r="F22811" s="3">
        <v>1</v>
      </c>
      <c r="G22811" t="s">
        <v>513</v>
      </c>
    </row>
    <row r="22812" spans="1:7" x14ac:dyDescent="0.25">
      <c r="A22812" s="1" t="str">
        <f>"3430"</f>
        <v>3430</v>
      </c>
      <c r="B22812" s="2" t="str">
        <f>"TAMPA ALUMINIO FRASCO 160/170/180GR"</f>
        <v>TAMPA ALUMINIO FRASCO 160/170/180GR</v>
      </c>
      <c r="C22812" s="2" t="str">
        <f t="shared" si="898"/>
        <v>UN</v>
      </c>
      <c r="D22812" s="7">
        <v>38</v>
      </c>
      <c r="E22812" s="3">
        <v>1</v>
      </c>
      <c r="F22812" s="3">
        <v>1</v>
      </c>
      <c r="G22812" t="s">
        <v>512</v>
      </c>
    </row>
    <row r="22813" spans="1:7" x14ac:dyDescent="0.25">
      <c r="A22813" s="1" t="str">
        <f>"517795"</f>
        <v>517795</v>
      </c>
      <c r="B22813" s="2" t="str">
        <f>"TAMPA AP PA DLD DB2 1784210000 CONEXTEL"</f>
        <v>TAMPA AP PA DLD DB2 1784210000 CONEXTEL</v>
      </c>
      <c r="C22813" s="2" t="str">
        <f t="shared" si="898"/>
        <v>UN</v>
      </c>
      <c r="D22813" s="7">
        <v>811</v>
      </c>
      <c r="E22813" s="3">
        <v>8</v>
      </c>
      <c r="F22813" s="3">
        <v>8</v>
      </c>
      <c r="G22813" t="s">
        <v>513</v>
      </c>
    </row>
    <row r="22814" spans="1:7" x14ac:dyDescent="0.25">
      <c r="A22814" s="1" t="str">
        <f>"517796"</f>
        <v>517796</v>
      </c>
      <c r="B22814" s="2" t="str">
        <f>"TAMPA AP PA DLI/DLA 1783550000 CONEXTEL"</f>
        <v>TAMPA AP PA DLI/DLA 1783550000 CONEXTEL</v>
      </c>
      <c r="C22814" s="2" t="str">
        <f t="shared" si="898"/>
        <v>UN</v>
      </c>
      <c r="D22814" s="7">
        <v>811</v>
      </c>
      <c r="E22814" s="3">
        <v>8</v>
      </c>
      <c r="F22814" s="3">
        <v>8</v>
      </c>
      <c r="G22814" t="s">
        <v>514</v>
      </c>
    </row>
    <row r="22815" spans="1:7" x14ac:dyDescent="0.25">
      <c r="A22815" s="1" t="str">
        <f>"525247"</f>
        <v>525247</v>
      </c>
      <c r="B22815" s="2" t="str">
        <f>"TAMPA AP PA SAK 16MM ENBG C027116.1 CONEXTEL"</f>
        <v>TAMPA AP PA SAK 16MM ENBG C027116.1 CONEXTEL</v>
      </c>
      <c r="C22815" s="2" t="str">
        <f t="shared" si="898"/>
        <v>UN</v>
      </c>
      <c r="D22815" s="7">
        <v>811</v>
      </c>
      <c r="E22815" s="3">
        <v>8</v>
      </c>
      <c r="F22815" s="3">
        <v>8</v>
      </c>
      <c r="G22815" t="s">
        <v>515</v>
      </c>
    </row>
    <row r="22816" spans="1:7" x14ac:dyDescent="0.25">
      <c r="A22816" s="1" t="str">
        <f>"517797"</f>
        <v>517797</v>
      </c>
      <c r="B22816" s="2" t="str">
        <f>"TAMPA AP PA SAK 2,5MM ENBG C0279560100 CONEXTEL"</f>
        <v>TAMPA AP PA SAK 2,5MM ENBG C0279560100 CONEXTEL</v>
      </c>
      <c r="C22816" s="2" t="str">
        <f t="shared" si="898"/>
        <v>UN</v>
      </c>
      <c r="D22816" s="7">
        <v>811</v>
      </c>
      <c r="E22816" s="3">
        <v>8</v>
      </c>
      <c r="F22816" s="3">
        <v>8</v>
      </c>
      <c r="G22816" t="s">
        <v>512</v>
      </c>
    </row>
    <row r="22817" spans="1:7" x14ac:dyDescent="0.25">
      <c r="A22817" s="1" t="str">
        <f>"527534"</f>
        <v>527534</v>
      </c>
      <c r="B22817" s="2" t="str">
        <f>"TAMPA AVULSA  P/ DUTO DUTOPLAST 30MM 107081B.2"</f>
        <v>TAMPA AVULSA  P/ DUTO DUTOPLAST 30MM 107081B.2</v>
      </c>
      <c r="C22817" s="2" t="str">
        <f>"BR"</f>
        <v>BR</v>
      </c>
      <c r="D22817" s="7">
        <v>918</v>
      </c>
      <c r="E22817" s="3">
        <v>11</v>
      </c>
      <c r="F22817" s="3">
        <v>11</v>
      </c>
      <c r="G22817" t="s">
        <v>516</v>
      </c>
    </row>
    <row r="22818" spans="1:7" x14ac:dyDescent="0.25">
      <c r="A22818" s="1" t="str">
        <f>"527535"</f>
        <v>527535</v>
      </c>
      <c r="B22818" s="2" t="str">
        <f>"TAMPA AVULSA  P/ DUTO DUTOPLAST 50MM 107082B.2"</f>
        <v>TAMPA AVULSA  P/ DUTO DUTOPLAST 50MM 107082B.2</v>
      </c>
      <c r="C22818" s="2" t="str">
        <f>"BR"</f>
        <v>BR</v>
      </c>
      <c r="D22818" s="7">
        <v>918</v>
      </c>
      <c r="E22818" s="3">
        <v>11</v>
      </c>
      <c r="F22818" s="3">
        <v>11</v>
      </c>
      <c r="G22818" t="s">
        <v>515</v>
      </c>
    </row>
    <row r="22819" spans="1:7" x14ac:dyDescent="0.25">
      <c r="A22819" s="1" t="str">
        <f>"517045"</f>
        <v>517045</v>
      </c>
      <c r="B22819" s="2" t="str">
        <f>"TAMPA BI PARTIDA"</f>
        <v>TAMPA BI PARTIDA</v>
      </c>
      <c r="C22819" s="2" t="str">
        <f t="shared" ref="C22819:C22866" si="899">"UN"</f>
        <v>UN</v>
      </c>
      <c r="D22819" s="7">
        <v>811</v>
      </c>
      <c r="E22819" s="3">
        <v>8</v>
      </c>
      <c r="F22819" s="3">
        <v>8</v>
      </c>
      <c r="G22819" t="s">
        <v>514</v>
      </c>
    </row>
    <row r="22820" spans="1:7" x14ac:dyDescent="0.25">
      <c r="A22820" s="1" t="str">
        <f>"522156"</f>
        <v>522156</v>
      </c>
      <c r="B22820" s="2" t="str">
        <f>"TAMPA C/ GARRAS 300MM FERRO FUNDIDO"</f>
        <v>TAMPA C/ GARRAS 300MM FERRO FUNDIDO</v>
      </c>
      <c r="C22820" s="2" t="str">
        <f t="shared" si="899"/>
        <v>UN</v>
      </c>
      <c r="D22820" s="7">
        <v>918</v>
      </c>
      <c r="E22820" s="3">
        <v>11</v>
      </c>
      <c r="F22820" s="3">
        <v>11</v>
      </c>
      <c r="G22820" t="s">
        <v>512</v>
      </c>
    </row>
    <row r="22821" spans="1:7" x14ac:dyDescent="0.25">
      <c r="A22821" s="1" t="str">
        <f>"502747"</f>
        <v>502747</v>
      </c>
      <c r="B22821" s="2" t="str">
        <f>"TAMPA CEGA DE ALUMINIO P/ CONDULETE 3/4"""</f>
        <v>TAMPA CEGA DE ALUMINIO P/ CONDULETE 3/4"</v>
      </c>
      <c r="C22821" s="2" t="str">
        <f t="shared" si="899"/>
        <v>UN</v>
      </c>
      <c r="D22821" s="7">
        <v>601</v>
      </c>
      <c r="E22821" s="3">
        <v>8</v>
      </c>
      <c r="F22821" s="3">
        <v>8</v>
      </c>
      <c r="G22821" t="s">
        <v>513</v>
      </c>
    </row>
    <row r="22822" spans="1:7" x14ac:dyDescent="0.25">
      <c r="A22822" s="1" t="str">
        <f>"523206"</f>
        <v>523206</v>
      </c>
      <c r="B22822" s="2" t="str">
        <f>"TAMPA CEGA P/ CAIXA 3/4 TIPO ""E"""</f>
        <v>TAMPA CEGA P/ CAIXA 3/4 TIPO "E"</v>
      </c>
      <c r="C22822" s="2" t="str">
        <f t="shared" si="899"/>
        <v>UN</v>
      </c>
      <c r="D22822" s="7">
        <v>811</v>
      </c>
      <c r="E22822" s="3">
        <v>10</v>
      </c>
      <c r="F22822" s="3">
        <v>10</v>
      </c>
      <c r="G22822" t="s">
        <v>514</v>
      </c>
    </row>
    <row r="22823" spans="1:7" x14ac:dyDescent="0.25">
      <c r="A22823" s="1" t="str">
        <f>"523205"</f>
        <v>523205</v>
      </c>
      <c r="B22823" s="2" t="str">
        <f>"TAMPA CEGA P/ CAIXA 3/4 TIPO ""LB"""</f>
        <v>TAMPA CEGA P/ CAIXA 3/4 TIPO "LB"</v>
      </c>
      <c r="C22823" s="2" t="str">
        <f t="shared" si="899"/>
        <v>UN</v>
      </c>
      <c r="D22823" s="7">
        <v>811</v>
      </c>
      <c r="E22823" s="3">
        <v>10</v>
      </c>
      <c r="F22823" s="3">
        <v>10</v>
      </c>
      <c r="G22823" t="s">
        <v>514</v>
      </c>
    </row>
    <row r="22824" spans="1:7" x14ac:dyDescent="0.25">
      <c r="A22824" s="1" t="str">
        <f>"523202"</f>
        <v>523202</v>
      </c>
      <c r="B22824" s="2" t="str">
        <f>"TAMPA CEGA P/ CAIXA 3/4 TIPO ""LL"""</f>
        <v>TAMPA CEGA P/ CAIXA 3/4 TIPO "LL"</v>
      </c>
      <c r="C22824" s="2" t="str">
        <f t="shared" si="899"/>
        <v>UN</v>
      </c>
      <c r="D22824" s="7">
        <v>811</v>
      </c>
      <c r="E22824" s="3">
        <v>10</v>
      </c>
      <c r="F22824" s="3">
        <v>10</v>
      </c>
      <c r="G22824" t="s">
        <v>512</v>
      </c>
    </row>
    <row r="22825" spans="1:7" x14ac:dyDescent="0.25">
      <c r="A22825" s="1" t="str">
        <f>"523204"</f>
        <v>523204</v>
      </c>
      <c r="B22825" s="2" t="str">
        <f>"TAMPA CEGA P/ CAIXA 3/4 TIPO ""LR"""</f>
        <v>TAMPA CEGA P/ CAIXA 3/4 TIPO "LR"</v>
      </c>
      <c r="C22825" s="2" t="str">
        <f t="shared" si="899"/>
        <v>UN</v>
      </c>
      <c r="D22825" s="7">
        <v>811</v>
      </c>
      <c r="E22825" s="3">
        <v>10</v>
      </c>
      <c r="F22825" s="3">
        <v>10</v>
      </c>
      <c r="G22825" t="s">
        <v>513</v>
      </c>
    </row>
    <row r="22826" spans="1:7" x14ac:dyDescent="0.25">
      <c r="A22826" s="1" t="str">
        <f>"523203"</f>
        <v>523203</v>
      </c>
      <c r="B22826" s="2" t="str">
        <f>"TAMPA CEGA P/ CAIXA 3/4 TIPO ""T"""</f>
        <v>TAMPA CEGA P/ CAIXA 3/4 TIPO "T"</v>
      </c>
      <c r="C22826" s="2" t="str">
        <f t="shared" si="899"/>
        <v>UN</v>
      </c>
      <c r="D22826" s="7">
        <v>811</v>
      </c>
      <c r="E22826" s="3">
        <v>10</v>
      </c>
      <c r="F22826" s="3">
        <v>10</v>
      </c>
      <c r="G22826" t="s">
        <v>514</v>
      </c>
    </row>
    <row r="22827" spans="1:7" x14ac:dyDescent="0.25">
      <c r="A22827" s="1" t="str">
        <f>"522869"</f>
        <v>522869</v>
      </c>
      <c r="B22827" s="2" t="str">
        <f>"TAMPA CEGA P/ CX 4 X 2"</f>
        <v>TAMPA CEGA P/ CX 4 X 2</v>
      </c>
      <c r="C22827" s="2" t="str">
        <f t="shared" si="899"/>
        <v>UN</v>
      </c>
      <c r="D22827" s="7">
        <v>601</v>
      </c>
      <c r="E22827" s="3">
        <v>8</v>
      </c>
      <c r="F22827" s="3">
        <v>8</v>
      </c>
      <c r="G22827" t="s">
        <v>514</v>
      </c>
    </row>
    <row r="22828" spans="1:7" x14ac:dyDescent="0.25">
      <c r="A22828" s="1" t="str">
        <f>"523132"</f>
        <v>523132</v>
      </c>
      <c r="B22828" s="2" t="str">
        <f>"TAMPA CILINDRO CENTRAL"</f>
        <v>TAMPA CILINDRO CENTRAL</v>
      </c>
      <c r="C22828" s="2" t="str">
        <f t="shared" si="899"/>
        <v>UN</v>
      </c>
      <c r="D22828" s="7">
        <v>914</v>
      </c>
      <c r="E22828" s="3">
        <v>10</v>
      </c>
      <c r="F22828" s="3">
        <v>10</v>
      </c>
      <c r="G22828" t="s">
        <v>514</v>
      </c>
    </row>
    <row r="22829" spans="1:7" x14ac:dyDescent="0.25">
      <c r="A22829" s="1" t="str">
        <f>"523131"</f>
        <v>523131</v>
      </c>
      <c r="B22829" s="2" t="str">
        <f>"TAMPA CILINDRO LATERAL"</f>
        <v>TAMPA CILINDRO LATERAL</v>
      </c>
      <c r="C22829" s="2" t="str">
        <f t="shared" si="899"/>
        <v>UN</v>
      </c>
      <c r="D22829" s="7">
        <v>914</v>
      </c>
      <c r="E22829" s="3">
        <v>10</v>
      </c>
      <c r="F22829" s="3">
        <v>10</v>
      </c>
      <c r="G22829" t="s">
        <v>513</v>
      </c>
    </row>
    <row r="22830" spans="1:7" x14ac:dyDescent="0.25">
      <c r="A22830" s="1" t="str">
        <f>"517362"</f>
        <v>517362</v>
      </c>
      <c r="B22830" s="2" t="str">
        <f>"TAMPA CUICA FREIO"</f>
        <v>TAMPA CUICA FREIO</v>
      </c>
      <c r="C22830" s="2" t="str">
        <f t="shared" si="899"/>
        <v>UN</v>
      </c>
      <c r="D22830" s="7">
        <v>918</v>
      </c>
      <c r="E22830" s="3">
        <v>9</v>
      </c>
      <c r="F22830" s="3">
        <v>9</v>
      </c>
      <c r="G22830" t="s">
        <v>512</v>
      </c>
    </row>
    <row r="22831" spans="1:7" x14ac:dyDescent="0.25">
      <c r="A22831" s="1" t="str">
        <f>"512043"</f>
        <v>512043</v>
      </c>
      <c r="B22831" s="2" t="str">
        <f>"TAMPA DA BOMBA  BTAM 203.000"</f>
        <v>TAMPA DA BOMBA  BTAM 203.000</v>
      </c>
      <c r="C22831" s="2" t="str">
        <f t="shared" si="899"/>
        <v>UN</v>
      </c>
      <c r="D22831" s="7">
        <v>918</v>
      </c>
      <c r="E22831" s="3">
        <v>11</v>
      </c>
      <c r="F22831" s="3">
        <v>11</v>
      </c>
      <c r="G22831" t="s">
        <v>513</v>
      </c>
    </row>
    <row r="22832" spans="1:7" x14ac:dyDescent="0.25">
      <c r="A22832" s="1" t="str">
        <f>"504386"</f>
        <v>504386</v>
      </c>
      <c r="B22832" s="2" t="str">
        <f>"TAMPA DA CAIXA"</f>
        <v>TAMPA DA CAIXA</v>
      </c>
      <c r="C22832" s="2" t="str">
        <f t="shared" si="899"/>
        <v>UN</v>
      </c>
      <c r="D22832" s="7">
        <v>704</v>
      </c>
      <c r="E22832" s="3">
        <v>9</v>
      </c>
      <c r="F22832" s="3">
        <v>9</v>
      </c>
      <c r="G22832" t="s">
        <v>514</v>
      </c>
    </row>
    <row r="22833" spans="1:7" x14ac:dyDescent="0.25">
      <c r="A22833" s="1" t="str">
        <f>"509080"</f>
        <v>509080</v>
      </c>
      <c r="B22833" s="2" t="str">
        <f>"TAMPA DA RODA - EVOLUTION 007102000"</f>
        <v>TAMPA DA RODA - EVOLUTION 007102000</v>
      </c>
      <c r="C22833" s="2" t="str">
        <f t="shared" si="899"/>
        <v>UN</v>
      </c>
      <c r="D22833" s="7">
        <v>918</v>
      </c>
      <c r="E22833" s="3">
        <v>11</v>
      </c>
      <c r="F22833" s="3">
        <v>11</v>
      </c>
      <c r="G22833" t="s">
        <v>514</v>
      </c>
    </row>
    <row r="22834" spans="1:7" x14ac:dyDescent="0.25">
      <c r="A22834" s="1" t="str">
        <f>"527100"</f>
        <v>527100</v>
      </c>
      <c r="B22834" s="2" t="str">
        <f>"TAMPA DA TURBINA BTAM 204.2254"</f>
        <v>TAMPA DA TURBINA BTAM 204.2254</v>
      </c>
      <c r="C22834" s="2" t="str">
        <f t="shared" si="899"/>
        <v>UN</v>
      </c>
      <c r="D22834" s="7">
        <v>403</v>
      </c>
      <c r="E22834" s="3">
        <v>4</v>
      </c>
      <c r="F22834" s="3">
        <v>4</v>
      </c>
      <c r="G22834" t="s">
        <v>514</v>
      </c>
    </row>
    <row r="22835" spans="1:7" x14ac:dyDescent="0.25">
      <c r="A22835" s="1" t="str">
        <f>"508772"</f>
        <v>508772</v>
      </c>
      <c r="B22835" s="2" t="str">
        <f>"TAMPA DE BALDE"</f>
        <v>TAMPA DE BALDE</v>
      </c>
      <c r="C22835" s="2" t="str">
        <f t="shared" si="899"/>
        <v>UN</v>
      </c>
      <c r="D22835" s="7">
        <v>400</v>
      </c>
      <c r="E22835" s="3">
        <v>4</v>
      </c>
      <c r="F22835" s="3">
        <v>4</v>
      </c>
      <c r="G22835" t="s">
        <v>513</v>
      </c>
    </row>
    <row r="22836" spans="1:7" x14ac:dyDescent="0.25">
      <c r="A22836" s="1" t="str">
        <f>"515121"</f>
        <v>515121</v>
      </c>
      <c r="B22836" s="2" t="str">
        <f>"TAMPA DE CAIXA PARA EMBALAGEM"</f>
        <v>TAMPA DE CAIXA PARA EMBALAGEM</v>
      </c>
      <c r="C22836" s="2" t="str">
        <f t="shared" si="899"/>
        <v>UN</v>
      </c>
      <c r="D22836" s="7">
        <v>301</v>
      </c>
      <c r="E22836" s="3">
        <v>1</v>
      </c>
      <c r="F22836" s="3">
        <v>1</v>
      </c>
      <c r="G22836" t="s">
        <v>513</v>
      </c>
    </row>
    <row r="22837" spans="1:7" x14ac:dyDescent="0.25">
      <c r="A22837" s="1" t="str">
        <f>"522588"</f>
        <v>522588</v>
      </c>
      <c r="B22837" s="2" t="str">
        <f>"TAMPA DE ENCAIXE 400X3000MM GF"</f>
        <v>TAMPA DE ENCAIXE 400X3000MM GF</v>
      </c>
      <c r="C22837" s="2" t="str">
        <f t="shared" si="899"/>
        <v>UN</v>
      </c>
      <c r="D22837" s="7">
        <v>811</v>
      </c>
      <c r="E22837" s="3">
        <v>10</v>
      </c>
      <c r="F22837" s="3">
        <v>10</v>
      </c>
      <c r="G22837" t="s">
        <v>513</v>
      </c>
    </row>
    <row r="22838" spans="1:7" x14ac:dyDescent="0.25">
      <c r="A22838" s="1" t="str">
        <f>"526716"</f>
        <v>526716</v>
      </c>
      <c r="B22838" s="2" t="str">
        <f>"TAMPA DE EXTRAÇÃO"</f>
        <v>TAMPA DE EXTRAÇÃO</v>
      </c>
      <c r="C22838" s="2" t="str">
        <f t="shared" si="899"/>
        <v>UN</v>
      </c>
      <c r="D22838" s="7">
        <v>918</v>
      </c>
      <c r="E22838" s="3">
        <v>11</v>
      </c>
      <c r="F22838" s="3">
        <v>11</v>
      </c>
      <c r="G22838" t="s">
        <v>512</v>
      </c>
    </row>
    <row r="22839" spans="1:7" x14ac:dyDescent="0.25">
      <c r="A22839" s="1" t="str">
        <f>"524917"</f>
        <v>524917</v>
      </c>
      <c r="B22839" s="2" t="str">
        <f>"TAMPA DE FECHAMENTO CZA TF-BTWP 2,5-10-CZ WEG"</f>
        <v>TAMPA DE FECHAMENTO CZA TF-BTWP 2,5-10-CZ WEG</v>
      </c>
      <c r="C22839" s="2" t="str">
        <f t="shared" si="899"/>
        <v>UN</v>
      </c>
      <c r="D22839" s="7">
        <v>918</v>
      </c>
      <c r="E22839" s="3">
        <v>11</v>
      </c>
      <c r="F22839" s="3">
        <v>11</v>
      </c>
      <c r="G22839" t="s">
        <v>513</v>
      </c>
    </row>
    <row r="22840" spans="1:7" x14ac:dyDescent="0.25">
      <c r="A22840" s="1" t="str">
        <f>"510453"</f>
        <v>510453</v>
      </c>
      <c r="B22840" s="2" t="str">
        <f>"TAMPA DE FECHAMENTO DO BLOCO DO MOTOR"</f>
        <v>TAMPA DE FECHAMENTO DO BLOCO DO MOTOR</v>
      </c>
      <c r="C22840" s="2" t="str">
        <f t="shared" si="899"/>
        <v>UN</v>
      </c>
      <c r="D22840" s="7">
        <v>918</v>
      </c>
      <c r="E22840" s="3">
        <v>11</v>
      </c>
      <c r="F22840" s="3">
        <v>11</v>
      </c>
      <c r="G22840" t="s">
        <v>514</v>
      </c>
    </row>
    <row r="22841" spans="1:7" x14ac:dyDescent="0.25">
      <c r="A22841" s="1" t="str">
        <f>"510452"</f>
        <v>510452</v>
      </c>
      <c r="B22841" s="2" t="str">
        <f>"TAMPA DE FECHAMENTO DO MOTOR DE IGNICAO"</f>
        <v>TAMPA DE FECHAMENTO DO MOTOR DE IGNICAO</v>
      </c>
      <c r="C22841" s="2" t="str">
        <f t="shared" si="899"/>
        <v>UN</v>
      </c>
      <c r="D22841" s="7">
        <v>918</v>
      </c>
      <c r="E22841" s="3">
        <v>11</v>
      </c>
      <c r="F22841" s="3">
        <v>11</v>
      </c>
      <c r="G22841" t="s">
        <v>515</v>
      </c>
    </row>
    <row r="22842" spans="1:7" x14ac:dyDescent="0.25">
      <c r="A22842" s="1" t="str">
        <f>"517044"</f>
        <v>517044</v>
      </c>
      <c r="B22842" s="2" t="str">
        <f>"TAMPA DE PAINEL"</f>
        <v>TAMPA DE PAINEL</v>
      </c>
      <c r="C22842" s="2" t="str">
        <f t="shared" si="899"/>
        <v>UN</v>
      </c>
      <c r="D22842" s="7">
        <v>811</v>
      </c>
      <c r="E22842" s="3">
        <v>8</v>
      </c>
      <c r="F22842" s="3">
        <v>8</v>
      </c>
      <c r="G22842" t="s">
        <v>512</v>
      </c>
    </row>
    <row r="22843" spans="1:7" x14ac:dyDescent="0.25">
      <c r="A22843" s="1" t="str">
        <f>"524545"</f>
        <v>524545</v>
      </c>
      <c r="B22843" s="2" t="str">
        <f>"TAMPA DE PRESSÃO KSB MEGABLOC 32-200 15CV 106803515 02186058"</f>
        <v>TAMPA DE PRESSÃO KSB MEGABLOC 32-200 15CV 106803515 02186058</v>
      </c>
      <c r="C22843" s="2" t="str">
        <f t="shared" si="899"/>
        <v>UN</v>
      </c>
      <c r="D22843" s="7">
        <v>813</v>
      </c>
      <c r="E22843" s="3">
        <v>10</v>
      </c>
      <c r="F22843" s="3">
        <v>10</v>
      </c>
      <c r="G22843" t="s">
        <v>516</v>
      </c>
    </row>
    <row r="22844" spans="1:7" x14ac:dyDescent="0.25">
      <c r="A22844" s="1" t="str">
        <f>"524546"</f>
        <v>524546</v>
      </c>
      <c r="B22844" s="2" t="str">
        <f>"TAMPA DE PRESSÃO KSB MEGABLOC 32-200 20CV 106803516 02186060"</f>
        <v>TAMPA DE PRESSÃO KSB MEGABLOC 32-200 20CV 106803516 02186060</v>
      </c>
      <c r="C22844" s="2" t="str">
        <f t="shared" si="899"/>
        <v>UN</v>
      </c>
      <c r="D22844" s="7">
        <v>813</v>
      </c>
      <c r="E22844" s="3">
        <v>10</v>
      </c>
      <c r="F22844" s="3">
        <v>10</v>
      </c>
      <c r="G22844" t="s">
        <v>515</v>
      </c>
    </row>
    <row r="22845" spans="1:7" x14ac:dyDescent="0.25">
      <c r="A22845" s="1" t="str">
        <f>"517421"</f>
        <v>517421</v>
      </c>
      <c r="B22845" s="2" t="str">
        <f>"TAMPA DEFLETORA"</f>
        <v>TAMPA DEFLETORA</v>
      </c>
      <c r="C22845" s="2" t="str">
        <f t="shared" si="899"/>
        <v>UN</v>
      </c>
      <c r="D22845" s="7">
        <v>918</v>
      </c>
      <c r="E22845" s="3">
        <v>11</v>
      </c>
      <c r="F22845" s="3">
        <v>11</v>
      </c>
      <c r="G22845" t="s">
        <v>514</v>
      </c>
    </row>
    <row r="22846" spans="1:7" x14ac:dyDescent="0.25">
      <c r="A22846" s="1" t="str">
        <f>"516402"</f>
        <v>516402</v>
      </c>
      <c r="B22846" s="2" t="str">
        <f>"TAMPA DIANTEIRA BOMBA FVA-BL 5CV 2 X 1 1/2"""</f>
        <v>TAMPA DIANTEIRA BOMBA FVA-BL 5CV 2 X 1 1/2"</v>
      </c>
      <c r="C22846" s="2" t="str">
        <f t="shared" si="899"/>
        <v>UN</v>
      </c>
      <c r="D22846" s="7">
        <v>813</v>
      </c>
      <c r="E22846" s="3">
        <v>11</v>
      </c>
      <c r="F22846" s="3">
        <v>11</v>
      </c>
      <c r="G22846" t="s">
        <v>512</v>
      </c>
    </row>
    <row r="22847" spans="1:7" x14ac:dyDescent="0.25">
      <c r="A22847" s="1" t="str">
        <f>"513380"</f>
        <v>513380</v>
      </c>
      <c r="B22847" s="2" t="str">
        <f>"TAMPA DIANTEIRA MOD 132"</f>
        <v>TAMPA DIANTEIRA MOD 132</v>
      </c>
      <c r="C22847" s="2" t="str">
        <f t="shared" si="899"/>
        <v>UN</v>
      </c>
      <c r="D22847" s="7">
        <v>1000</v>
      </c>
      <c r="E22847" s="3">
        <v>11</v>
      </c>
      <c r="F22847" s="3">
        <v>11</v>
      </c>
      <c r="G22847" t="s">
        <v>513</v>
      </c>
    </row>
    <row r="22848" spans="1:7" x14ac:dyDescent="0.25">
      <c r="A22848" s="1" t="str">
        <f>"519054"</f>
        <v>519054</v>
      </c>
      <c r="B22848" s="2" t="str">
        <f>"TAMPA DISTRIBUIÇÃO TOYOTA 8FGU25"</f>
        <v>TAMPA DISTRIBUIÇÃO TOYOTA 8FGU25</v>
      </c>
      <c r="C22848" s="2" t="str">
        <f t="shared" si="899"/>
        <v>UN</v>
      </c>
      <c r="D22848" s="7">
        <v>918</v>
      </c>
      <c r="E22848" s="3">
        <v>11</v>
      </c>
      <c r="F22848" s="3">
        <v>11</v>
      </c>
      <c r="G22848" t="s">
        <v>514</v>
      </c>
    </row>
    <row r="22849" spans="1:7" x14ac:dyDescent="0.25">
      <c r="A22849" s="1" t="str">
        <f>"509432"</f>
        <v>509432</v>
      </c>
      <c r="B22849" s="2" t="str">
        <f>"TAMPA DISTRIBUIDOR BOSCH"</f>
        <v>TAMPA DISTRIBUIDOR BOSCH</v>
      </c>
      <c r="C22849" s="2" t="str">
        <f t="shared" si="899"/>
        <v>UN</v>
      </c>
      <c r="D22849" s="7">
        <v>918</v>
      </c>
      <c r="E22849" s="3">
        <v>11</v>
      </c>
      <c r="F22849" s="3">
        <v>11</v>
      </c>
      <c r="G22849" t="s">
        <v>514</v>
      </c>
    </row>
    <row r="22850" spans="1:7" x14ac:dyDescent="0.25">
      <c r="A22850" s="1" t="str">
        <f>"504211"</f>
        <v>504211</v>
      </c>
      <c r="B22850" s="2" t="str">
        <f>"TAMPA DO CABECOTE 665 SABROE"</f>
        <v>TAMPA DO CABECOTE 665 SABROE</v>
      </c>
      <c r="C22850" s="2" t="str">
        <f t="shared" si="899"/>
        <v>UN</v>
      </c>
      <c r="D22850" s="7">
        <v>918</v>
      </c>
      <c r="E22850" s="3">
        <v>11</v>
      </c>
      <c r="F22850" s="3">
        <v>11</v>
      </c>
      <c r="G22850" t="s">
        <v>512</v>
      </c>
    </row>
    <row r="22851" spans="1:7" x14ac:dyDescent="0.25">
      <c r="A22851" s="1" t="str">
        <f>"508543"</f>
        <v>508543</v>
      </c>
      <c r="B22851" s="2" t="str">
        <f>"TAMPA DO CABEÇOTE K4M F4R G"</f>
        <v>TAMPA DO CABEÇOTE K4M F4R G</v>
      </c>
      <c r="C22851" s="2" t="str">
        <f t="shared" si="899"/>
        <v>UN</v>
      </c>
      <c r="D22851" s="7">
        <v>704</v>
      </c>
      <c r="E22851" s="3">
        <v>9</v>
      </c>
      <c r="F22851" s="3">
        <v>9</v>
      </c>
      <c r="G22851" t="s">
        <v>513</v>
      </c>
    </row>
    <row r="22852" spans="1:7" x14ac:dyDescent="0.25">
      <c r="A22852" s="1" t="str">
        <f>"508544"</f>
        <v>508544</v>
      </c>
      <c r="B22852" s="2" t="str">
        <f>"TAMPA DO CABEÇOTE K4M F4R P"</f>
        <v>TAMPA DO CABEÇOTE K4M F4R P</v>
      </c>
      <c r="C22852" s="2" t="str">
        <f t="shared" si="899"/>
        <v>UN</v>
      </c>
      <c r="D22852" s="7">
        <v>704</v>
      </c>
      <c r="E22852" s="3">
        <v>9</v>
      </c>
      <c r="F22852" s="3">
        <v>9</v>
      </c>
      <c r="G22852" t="s">
        <v>514</v>
      </c>
    </row>
    <row r="22853" spans="1:7" x14ac:dyDescent="0.25">
      <c r="A22853" s="1" t="str">
        <f>"510821"</f>
        <v>510821</v>
      </c>
      <c r="B22853" s="2" t="str">
        <f>"TAMPA DO TANQUE 201-0330"</f>
        <v>TAMPA DO TANQUE 201-0330</v>
      </c>
      <c r="C22853" s="2" t="str">
        <f t="shared" si="899"/>
        <v>UN</v>
      </c>
      <c r="D22853" s="7">
        <v>704</v>
      </c>
      <c r="E22853" s="3">
        <v>9</v>
      </c>
      <c r="F22853" s="3">
        <v>9</v>
      </c>
      <c r="G22853" t="s">
        <v>514</v>
      </c>
    </row>
    <row r="22854" spans="1:7" x14ac:dyDescent="0.25">
      <c r="A22854" s="1" t="str">
        <f>"510180"</f>
        <v>510180</v>
      </c>
      <c r="B22854" s="2" t="str">
        <f>"TAMPA DO TANQUE SR420"</f>
        <v>TAMPA DO TANQUE SR420</v>
      </c>
      <c r="C22854" s="2" t="str">
        <f t="shared" si="899"/>
        <v>UN</v>
      </c>
      <c r="D22854" s="7">
        <v>402</v>
      </c>
      <c r="E22854" s="3">
        <v>4</v>
      </c>
      <c r="F22854" s="3">
        <v>4</v>
      </c>
      <c r="G22854" t="s">
        <v>514</v>
      </c>
    </row>
    <row r="22855" spans="1:7" x14ac:dyDescent="0.25">
      <c r="A22855" s="1" t="str">
        <f>"514791"</f>
        <v>514791</v>
      </c>
      <c r="B22855" s="2" t="str">
        <f>"TAMPA DO TANQUE TC 1020"</f>
        <v>TAMPA DO TANQUE TC 1020</v>
      </c>
      <c r="C22855" s="2" t="str">
        <f t="shared" si="899"/>
        <v>UN</v>
      </c>
      <c r="D22855" s="7">
        <v>704</v>
      </c>
      <c r="E22855" s="3">
        <v>9</v>
      </c>
      <c r="F22855" s="3">
        <v>9</v>
      </c>
      <c r="G22855" t="s">
        <v>513</v>
      </c>
    </row>
    <row r="22856" spans="1:7" x14ac:dyDescent="0.25">
      <c r="A22856" s="1" t="str">
        <f>"522335"</f>
        <v>522335</v>
      </c>
      <c r="B22856" s="2" t="str">
        <f>"TAMPA E P/ PERF.38X38MM AI L3000MM"</f>
        <v>TAMPA E P/ PERF.38X38MM AI L3000MM</v>
      </c>
      <c r="C22856" s="2" t="str">
        <f t="shared" si="899"/>
        <v>UN</v>
      </c>
      <c r="D22856" s="7">
        <v>1700</v>
      </c>
      <c r="E22856" s="3">
        <v>10</v>
      </c>
      <c r="F22856" s="3">
        <v>10</v>
      </c>
      <c r="G22856" t="s">
        <v>512</v>
      </c>
    </row>
    <row r="22857" spans="1:7" x14ac:dyDescent="0.25">
      <c r="A22857" s="1" t="str">
        <f>"523548"</f>
        <v>523548</v>
      </c>
      <c r="B22857" s="2" t="str">
        <f>"TAMPA FINALIZADORA PARA BORNE SAK 2,5 CONEXEL"</f>
        <v>TAMPA FINALIZADORA PARA BORNE SAK 2,5 CONEXEL</v>
      </c>
      <c r="C22857" s="2" t="str">
        <f t="shared" si="899"/>
        <v>UN</v>
      </c>
      <c r="D22857" s="7">
        <v>811</v>
      </c>
      <c r="E22857" s="3">
        <v>8</v>
      </c>
      <c r="F22857" s="3">
        <v>8</v>
      </c>
      <c r="G22857" t="s">
        <v>513</v>
      </c>
    </row>
    <row r="22858" spans="1:7" x14ac:dyDescent="0.25">
      <c r="A22858" s="1" t="str">
        <f>"512557"</f>
        <v>512557</v>
      </c>
      <c r="B22858" s="2" t="str">
        <f>"TAMPA FIXA TRASEIRA BOMBA GI"</f>
        <v>TAMPA FIXA TRASEIRA BOMBA GI</v>
      </c>
      <c r="C22858" s="2" t="str">
        <f t="shared" si="899"/>
        <v>UN</v>
      </c>
      <c r="D22858" s="7">
        <v>918</v>
      </c>
      <c r="E22858" s="3">
        <v>11</v>
      </c>
      <c r="F22858" s="3">
        <v>11</v>
      </c>
      <c r="G22858" t="s">
        <v>514</v>
      </c>
    </row>
    <row r="22859" spans="1:7" x14ac:dyDescent="0.25">
      <c r="A22859" s="1" t="str">
        <f>"513378"</f>
        <v>513378</v>
      </c>
      <c r="B22859" s="2" t="str">
        <f>"TAMPA FLANGEADA FF MOD 100"</f>
        <v>TAMPA FLANGEADA FF MOD 100</v>
      </c>
      <c r="C22859" s="2" t="str">
        <f t="shared" si="899"/>
        <v>UN</v>
      </c>
      <c r="D22859" s="7">
        <v>1000</v>
      </c>
      <c r="E22859" s="3">
        <v>11</v>
      </c>
      <c r="F22859" s="3">
        <v>11</v>
      </c>
      <c r="G22859" t="s">
        <v>514</v>
      </c>
    </row>
    <row r="22860" spans="1:7" x14ac:dyDescent="0.25">
      <c r="A22860" s="1" t="str">
        <f>"6065"</f>
        <v>6065</v>
      </c>
      <c r="B22860" s="2" t="str">
        <f>"TAMPA FRASCO 38MM VERMELHA COM BATOQUE LACRE (YOPLAIT)"</f>
        <v>TAMPA FRASCO 38MM VERMELHA COM BATOQUE LACRE (YOPLAIT)</v>
      </c>
      <c r="C22860" s="2" t="str">
        <f t="shared" si="899"/>
        <v>UN</v>
      </c>
      <c r="D22860" s="7">
        <v>105</v>
      </c>
      <c r="E22860" s="3">
        <v>1</v>
      </c>
      <c r="F22860" s="3">
        <v>1</v>
      </c>
      <c r="G22860" t="s">
        <v>514</v>
      </c>
    </row>
    <row r="22861" spans="1:7" x14ac:dyDescent="0.25">
      <c r="A22861" s="1" t="str">
        <f>"512013"</f>
        <v>512013</v>
      </c>
      <c r="B22861" s="2" t="str">
        <f>"TAMPA FRONTAL BC-21R SCHNEIDER 1 1/2"""</f>
        <v>TAMPA FRONTAL BC-21R SCHNEIDER 1 1/2"</v>
      </c>
      <c r="C22861" s="2" t="str">
        <f t="shared" si="899"/>
        <v>UN</v>
      </c>
      <c r="D22861" s="7">
        <v>918</v>
      </c>
      <c r="E22861" s="3">
        <v>11</v>
      </c>
      <c r="F22861" s="3">
        <v>11</v>
      </c>
      <c r="G22861" t="s">
        <v>513</v>
      </c>
    </row>
    <row r="22862" spans="1:7" x14ac:dyDescent="0.25">
      <c r="A22862" s="1" t="str">
        <f>"527918"</f>
        <v>527918</v>
      </c>
      <c r="B22862" s="2" t="str">
        <f>"TAMPA FRONTAL DETECTOR GAS BW MAX XT II"</f>
        <v>TAMPA FRONTAL DETECTOR GAS BW MAX XT II</v>
      </c>
      <c r="C22862" s="2" t="str">
        <f t="shared" si="899"/>
        <v>UN</v>
      </c>
      <c r="D22862" s="7">
        <v>99999</v>
      </c>
      <c r="E22862" s="3">
        <v>99</v>
      </c>
      <c r="F22862" s="3">
        <v>99</v>
      </c>
      <c r="G22862" t="s">
        <v>513</v>
      </c>
    </row>
    <row r="22863" spans="1:7" x14ac:dyDescent="0.25">
      <c r="A22863" s="1" t="str">
        <f>"504147"</f>
        <v>504147</v>
      </c>
      <c r="B22863" s="2" t="str">
        <f>"TAMPA FRONTAL FF215 ROL.6307 MOTOR 112M"</f>
        <v>TAMPA FRONTAL FF215 ROL.6307 MOTOR 112M</v>
      </c>
      <c r="C22863" s="2" t="str">
        <f t="shared" si="899"/>
        <v>UN</v>
      </c>
      <c r="D22863" s="7">
        <v>601</v>
      </c>
      <c r="E22863" s="3">
        <v>8</v>
      </c>
      <c r="F22863" s="3">
        <v>8</v>
      </c>
      <c r="G22863" t="s">
        <v>513</v>
      </c>
    </row>
    <row r="22864" spans="1:7" x14ac:dyDescent="0.25">
      <c r="A22864" s="1" t="str">
        <f>"519884"</f>
        <v>519884</v>
      </c>
      <c r="B22864" s="2" t="str">
        <f>"TAMPA FURO PARACHOQUE CARGO"</f>
        <v>TAMPA FURO PARACHOQUE CARGO</v>
      </c>
      <c r="C22864" s="2" t="str">
        <f t="shared" si="899"/>
        <v>UN</v>
      </c>
      <c r="D22864" s="7">
        <v>704</v>
      </c>
      <c r="E22864" s="3">
        <v>9</v>
      </c>
      <c r="F22864" s="3">
        <v>9</v>
      </c>
      <c r="G22864" t="s">
        <v>512</v>
      </c>
    </row>
    <row r="22865" spans="1:7" x14ac:dyDescent="0.25">
      <c r="A22865" s="1" t="str">
        <f>"522549"</f>
        <v>522549</v>
      </c>
      <c r="B22865" s="2" t="str">
        <f>"TAMPA HP 1120"</f>
        <v>TAMPA HP 1120</v>
      </c>
      <c r="C22865" s="2" t="str">
        <f t="shared" si="899"/>
        <v>UN</v>
      </c>
      <c r="D22865" s="7">
        <v>401</v>
      </c>
      <c r="E22865" s="3">
        <v>4</v>
      </c>
      <c r="F22865" s="3">
        <v>4</v>
      </c>
      <c r="G22865" t="s">
        <v>513</v>
      </c>
    </row>
    <row r="22866" spans="1:7" x14ac:dyDescent="0.25">
      <c r="A22866" s="1" t="str">
        <f>"522065"</f>
        <v>522065</v>
      </c>
      <c r="B22866" s="2" t="str">
        <f>"TAMPA INOX 130 MM # 1/4"</f>
        <v>TAMPA INOX 130 MM # 1/4</v>
      </c>
      <c r="C22866" s="2" t="str">
        <f t="shared" si="899"/>
        <v>UN</v>
      </c>
      <c r="D22866" s="7">
        <v>807</v>
      </c>
      <c r="E22866" s="3">
        <v>10</v>
      </c>
      <c r="F22866" s="3">
        <v>10</v>
      </c>
      <c r="G22866" t="s">
        <v>514</v>
      </c>
    </row>
    <row r="22867" spans="1:7" x14ac:dyDescent="0.25">
      <c r="A22867" s="1" t="str">
        <f>"512372"</f>
        <v>512372</v>
      </c>
      <c r="B22867" s="2" t="str">
        <f>"TAMPA LATAO MENOR"</f>
        <v>TAMPA LATAO MENOR</v>
      </c>
      <c r="C22867" s="2" t="str">
        <f>"BR"</f>
        <v>BR</v>
      </c>
      <c r="D22867" s="7">
        <v>807</v>
      </c>
      <c r="E22867" s="3">
        <v>10</v>
      </c>
      <c r="F22867" s="3">
        <v>10</v>
      </c>
      <c r="G22867" t="s">
        <v>515</v>
      </c>
    </row>
    <row r="22868" spans="1:7" x14ac:dyDescent="0.25">
      <c r="A22868" s="1" t="str">
        <f>"524938"</f>
        <v>524938</v>
      </c>
      <c r="B22868" s="2" t="str">
        <f>"TAMPA LATERAL TRIFASICO A9XPE310 SCHNEIDER"</f>
        <v>TAMPA LATERAL TRIFASICO A9XPE310 SCHNEIDER</v>
      </c>
      <c r="C22868" s="2" t="str">
        <f t="shared" ref="C22868:C22879" si="900">"UN"</f>
        <v>UN</v>
      </c>
      <c r="D22868" s="7">
        <v>811</v>
      </c>
      <c r="E22868" s="3">
        <v>8</v>
      </c>
      <c r="F22868" s="3">
        <v>8</v>
      </c>
      <c r="G22868" t="s">
        <v>512</v>
      </c>
    </row>
    <row r="22869" spans="1:7" x14ac:dyDescent="0.25">
      <c r="A22869" s="1" t="str">
        <f>"826"</f>
        <v>826</v>
      </c>
      <c r="B22869" s="2" t="str">
        <f>"TAMPA LITRO 113 AMARELA COD.9496-1"</f>
        <v>TAMPA LITRO 113 AMARELA COD.9496-1</v>
      </c>
      <c r="C22869" s="2" t="str">
        <f t="shared" si="900"/>
        <v>UN</v>
      </c>
      <c r="D22869" s="7">
        <v>104</v>
      </c>
      <c r="E22869" s="3">
        <v>1</v>
      </c>
      <c r="F22869" s="3">
        <v>1</v>
      </c>
      <c r="G22869" t="s">
        <v>516</v>
      </c>
    </row>
    <row r="22870" spans="1:7" x14ac:dyDescent="0.25">
      <c r="A22870" s="1" t="str">
        <f>"6009"</f>
        <v>6009</v>
      </c>
      <c r="B22870" s="2" t="str">
        <f>"TAMPA LITRO 114 AZUL COD.A280C"</f>
        <v>TAMPA LITRO 114 AZUL COD.A280C</v>
      </c>
      <c r="C22870" s="2" t="str">
        <f t="shared" si="900"/>
        <v>UN</v>
      </c>
      <c r="D22870" s="7">
        <v>104</v>
      </c>
      <c r="E22870" s="3">
        <v>1</v>
      </c>
      <c r="F22870" s="3">
        <v>1</v>
      </c>
      <c r="G22870" t="s">
        <v>515</v>
      </c>
    </row>
    <row r="22871" spans="1:7" x14ac:dyDescent="0.25">
      <c r="A22871" s="1" t="str">
        <f>"3140"</f>
        <v>3140</v>
      </c>
      <c r="B22871" s="2" t="str">
        <f>"TAMPA LITRO 114 BRANCA COM SELO INDUCAO"</f>
        <v>TAMPA LITRO 114 BRANCA COM SELO INDUCAO</v>
      </c>
      <c r="C22871" s="2" t="str">
        <f t="shared" si="900"/>
        <v>UN</v>
      </c>
      <c r="D22871" s="7">
        <v>104</v>
      </c>
      <c r="E22871" s="3">
        <v>1</v>
      </c>
      <c r="F22871" s="3">
        <v>1</v>
      </c>
      <c r="G22871" t="s">
        <v>514</v>
      </c>
    </row>
    <row r="22872" spans="1:7" x14ac:dyDescent="0.25">
      <c r="A22872" s="1" t="str">
        <f>"6012"</f>
        <v>6012</v>
      </c>
      <c r="B22872" s="2" t="str">
        <f>"TAMPA LITRO 114 VERDE"</f>
        <v>TAMPA LITRO 114 VERDE</v>
      </c>
      <c r="C22872" s="2" t="str">
        <f t="shared" si="900"/>
        <v>UN</v>
      </c>
      <c r="D22872" s="7">
        <v>104</v>
      </c>
      <c r="E22872" s="3">
        <v>1</v>
      </c>
      <c r="F22872" s="3">
        <v>1</v>
      </c>
      <c r="G22872" t="s">
        <v>512</v>
      </c>
    </row>
    <row r="22873" spans="1:7" x14ac:dyDescent="0.25">
      <c r="A22873" s="1" t="str">
        <f>"6028"</f>
        <v>6028</v>
      </c>
      <c r="B22873" s="2" t="str">
        <f>"TAMPA LITRO 38MM AZUL CLARO COM SELO PE"</f>
        <v>TAMPA LITRO 38MM AZUL CLARO COM SELO PE</v>
      </c>
      <c r="C22873" s="2" t="str">
        <f t="shared" si="900"/>
        <v>UN</v>
      </c>
      <c r="D22873" s="7">
        <v>105</v>
      </c>
      <c r="E22873" s="3">
        <v>1</v>
      </c>
      <c r="F22873" s="3">
        <v>1</v>
      </c>
      <c r="G22873" t="s">
        <v>513</v>
      </c>
    </row>
    <row r="22874" spans="1:7" x14ac:dyDescent="0.25">
      <c r="A22874" s="1" t="str">
        <f>"6058"</f>
        <v>6058</v>
      </c>
      <c r="B22874" s="2" t="str">
        <f>"TAMPA LITRO 38MM AZUL COM BATOQUE LACRE"</f>
        <v>TAMPA LITRO 38MM AZUL COM BATOQUE LACRE</v>
      </c>
      <c r="C22874" s="2" t="str">
        <f t="shared" si="900"/>
        <v>UN</v>
      </c>
      <c r="D22874" s="7">
        <v>105</v>
      </c>
      <c r="E22874" s="3">
        <v>1</v>
      </c>
      <c r="F22874" s="3">
        <v>1</v>
      </c>
      <c r="G22874" t="s">
        <v>514</v>
      </c>
    </row>
    <row r="22875" spans="1:7" x14ac:dyDescent="0.25">
      <c r="A22875" s="1" t="str">
        <f>"6010"</f>
        <v>6010</v>
      </c>
      <c r="B22875" s="2" t="str">
        <f>"TAMPA LITRO 38MM AZUL COM SELO PE"</f>
        <v>TAMPA LITRO 38MM AZUL COM SELO PE</v>
      </c>
      <c r="C22875" s="2" t="str">
        <f t="shared" si="900"/>
        <v>UN</v>
      </c>
      <c r="D22875" s="7">
        <v>105</v>
      </c>
      <c r="E22875" s="3">
        <v>1</v>
      </c>
      <c r="F22875" s="3">
        <v>1</v>
      </c>
      <c r="G22875" t="s">
        <v>514</v>
      </c>
    </row>
    <row r="22876" spans="1:7" x14ac:dyDescent="0.25">
      <c r="A22876" s="1" t="str">
        <f>"6011"</f>
        <v>6011</v>
      </c>
      <c r="B22876" s="2" t="str">
        <f>"TAMPA LITRO 38MM VERMELHA COM SELO PE"</f>
        <v>TAMPA LITRO 38MM VERMELHA COM SELO PE</v>
      </c>
      <c r="C22876" s="2" t="str">
        <f t="shared" si="900"/>
        <v>UN</v>
      </c>
      <c r="D22876" s="7">
        <v>104</v>
      </c>
      <c r="E22876" s="3">
        <v>1</v>
      </c>
      <c r="F22876" s="3">
        <v>1</v>
      </c>
      <c r="G22876" t="s">
        <v>512</v>
      </c>
    </row>
    <row r="22877" spans="1:7" x14ac:dyDescent="0.25">
      <c r="A22877" s="1" t="str">
        <f>"6115"</f>
        <v>6115</v>
      </c>
      <c r="B22877" s="2" t="str">
        <f>"TAMPA LITRO 38MM VERMELHO CLARO COM BATOQUE LACRE"</f>
        <v>TAMPA LITRO 38MM VERMELHO CLARO COM BATOQUE LACRE</v>
      </c>
      <c r="C22877" s="2" t="str">
        <f t="shared" si="900"/>
        <v>UN</v>
      </c>
      <c r="D22877" s="7">
        <v>105</v>
      </c>
      <c r="E22877" s="3">
        <v>1</v>
      </c>
      <c r="F22877" s="3">
        <v>1</v>
      </c>
      <c r="G22877" t="s">
        <v>513</v>
      </c>
    </row>
    <row r="22878" spans="1:7" x14ac:dyDescent="0.25">
      <c r="A22878" s="1" t="str">
        <f>"518493"</f>
        <v>518493</v>
      </c>
      <c r="B22878" s="2" t="str">
        <f>"TAMPA LIXEIRA JSN BASCULANTE BRANCA"</f>
        <v>TAMPA LIXEIRA JSN BASCULANTE BRANCA</v>
      </c>
      <c r="C22878" s="2" t="str">
        <f t="shared" si="900"/>
        <v>UN</v>
      </c>
      <c r="D22878" s="7">
        <v>400</v>
      </c>
      <c r="E22878" s="3">
        <v>4</v>
      </c>
      <c r="F22878" s="3">
        <v>4</v>
      </c>
      <c r="G22878" t="s">
        <v>514</v>
      </c>
    </row>
    <row r="22879" spans="1:7" x14ac:dyDescent="0.25">
      <c r="A22879" s="1" t="str">
        <f>"518020"</f>
        <v>518020</v>
      </c>
      <c r="B22879" s="2" t="str">
        <f>"TAMPA MANCAL KSB MEGACHEM FOFO A50140900649"</f>
        <v>TAMPA MANCAL KSB MEGACHEM FOFO A50140900649</v>
      </c>
      <c r="C22879" s="2" t="str">
        <f t="shared" si="900"/>
        <v>UN</v>
      </c>
      <c r="D22879" s="7">
        <v>1400</v>
      </c>
      <c r="E22879" s="3">
        <v>11</v>
      </c>
      <c r="F22879" s="3">
        <v>11</v>
      </c>
      <c r="G22879" t="s">
        <v>514</v>
      </c>
    </row>
    <row r="22880" spans="1:7" x14ac:dyDescent="0.25">
      <c r="A22880" s="1" t="str">
        <f>"505300"</f>
        <v>505300</v>
      </c>
      <c r="B22880" s="2" t="str">
        <f>"TAMPA METALON 20X30MM"</f>
        <v>TAMPA METALON 20X30MM</v>
      </c>
      <c r="C22880" s="2" t="str">
        <f>"PC"</f>
        <v>PC</v>
      </c>
      <c r="D22880" s="7">
        <v>806</v>
      </c>
      <c r="E22880" s="3">
        <v>10</v>
      </c>
      <c r="F22880" s="3">
        <v>10</v>
      </c>
      <c r="G22880" t="s">
        <v>514</v>
      </c>
    </row>
    <row r="22881" spans="1:7" x14ac:dyDescent="0.25">
      <c r="A22881" s="1" t="str">
        <f>"518855"</f>
        <v>518855</v>
      </c>
      <c r="B22881" s="2" t="str">
        <f>"TAMPA P/ CONDULETE 1"" P TOMADA 2P+T 2 MODULO WETZEL"</f>
        <v>TAMPA P/ CONDULETE 1" P TOMADA 2P+T 2 MODULO WETZEL</v>
      </c>
      <c r="C22881" s="2" t="str">
        <f t="shared" ref="C22881:C22920" si="901">"UN"</f>
        <v>UN</v>
      </c>
      <c r="D22881" s="7">
        <v>811</v>
      </c>
      <c r="E22881" s="3">
        <v>8</v>
      </c>
      <c r="F22881" s="3">
        <v>8</v>
      </c>
      <c r="G22881" t="s">
        <v>513</v>
      </c>
    </row>
    <row r="22882" spans="1:7" x14ac:dyDescent="0.25">
      <c r="A22882" s="1" t="str">
        <f>"517349"</f>
        <v>517349</v>
      </c>
      <c r="B22882" s="2" t="str">
        <f>"TAMPA P/ CONDULETE 1"" P/ INTERRUPTOR 1 TECLA"</f>
        <v>TAMPA P/ CONDULETE 1" P/ INTERRUPTOR 1 TECLA</v>
      </c>
      <c r="C22882" s="2" t="str">
        <f t="shared" si="901"/>
        <v>UN</v>
      </c>
      <c r="D22882" s="7">
        <v>811</v>
      </c>
      <c r="E22882" s="3">
        <v>8</v>
      </c>
      <c r="F22882" s="3">
        <v>8</v>
      </c>
      <c r="G22882" t="s">
        <v>512</v>
      </c>
    </row>
    <row r="22883" spans="1:7" x14ac:dyDescent="0.25">
      <c r="A22883" s="1" t="str">
        <f>"517350"</f>
        <v>517350</v>
      </c>
      <c r="B22883" s="2" t="str">
        <f>"TAMPA P/ CONDULETE 1"" P/ INTERRUPTOR 2 TECLA"</f>
        <v>TAMPA P/ CONDULETE 1" P/ INTERRUPTOR 2 TECLA</v>
      </c>
      <c r="C22883" s="2" t="str">
        <f t="shared" si="901"/>
        <v>UN</v>
      </c>
      <c r="D22883" s="7">
        <v>811</v>
      </c>
      <c r="E22883" s="3">
        <v>8</v>
      </c>
      <c r="F22883" s="3">
        <v>8</v>
      </c>
      <c r="G22883" t="s">
        <v>513</v>
      </c>
    </row>
    <row r="22884" spans="1:7" x14ac:dyDescent="0.25">
      <c r="A22884" s="1" t="str">
        <f>"518576"</f>
        <v>518576</v>
      </c>
      <c r="B22884" s="2" t="str">
        <f>"TAMPA P/ CONDULETE 1"" P/ INTERRUPTOR 3 TECLA"</f>
        <v>TAMPA P/ CONDULETE 1" P/ INTERRUPTOR 3 TECLA</v>
      </c>
      <c r="C22884" s="2" t="str">
        <f t="shared" si="901"/>
        <v>UN</v>
      </c>
      <c r="D22884" s="7">
        <v>811</v>
      </c>
      <c r="E22884" s="3">
        <v>8</v>
      </c>
      <c r="F22884" s="3">
        <v>8</v>
      </c>
      <c r="G22884" t="s">
        <v>514</v>
      </c>
    </row>
    <row r="22885" spans="1:7" x14ac:dyDescent="0.25">
      <c r="A22885" s="1" t="str">
        <f>"512102"</f>
        <v>512102</v>
      </c>
      <c r="B22885" s="2" t="str">
        <f>"TAMPA P/ CONDULETE 1"" TOMADA 2P+T"</f>
        <v>TAMPA P/ CONDULETE 1" TOMADA 2P+T</v>
      </c>
      <c r="C22885" s="2" t="str">
        <f t="shared" si="901"/>
        <v>UN</v>
      </c>
      <c r="D22885" s="7">
        <v>601</v>
      </c>
      <c r="E22885" s="3">
        <v>8</v>
      </c>
      <c r="F22885" s="3">
        <v>8</v>
      </c>
      <c r="G22885" t="s">
        <v>514</v>
      </c>
    </row>
    <row r="22886" spans="1:7" x14ac:dyDescent="0.25">
      <c r="A22886" s="1" t="str">
        <f>"511541"</f>
        <v>511541</v>
      </c>
      <c r="B22886" s="2" t="str">
        <f>"TAMPA P/ CONDULETE 1"" TOMADA 2P+T + INTERRUPTOR"</f>
        <v>TAMPA P/ CONDULETE 1" TOMADA 2P+T + INTERRUPTOR</v>
      </c>
      <c r="C22886" s="2" t="str">
        <f t="shared" si="901"/>
        <v>UN</v>
      </c>
      <c r="D22886" s="7">
        <v>601</v>
      </c>
      <c r="E22886" s="3">
        <v>8</v>
      </c>
      <c r="F22886" s="3">
        <v>8</v>
      </c>
      <c r="G22886" t="s">
        <v>514</v>
      </c>
    </row>
    <row r="22887" spans="1:7" x14ac:dyDescent="0.25">
      <c r="A22887" s="1" t="str">
        <f>"511446"</f>
        <v>511446</v>
      </c>
      <c r="B22887" s="2" t="str">
        <f>"TAMPA P/ CONDULETE 1/2"" CEGA"</f>
        <v>TAMPA P/ CONDULETE 1/2" CEGA</v>
      </c>
      <c r="C22887" s="2" t="str">
        <f t="shared" si="901"/>
        <v>UN</v>
      </c>
      <c r="D22887" s="7">
        <v>601</v>
      </c>
      <c r="E22887" s="3">
        <v>8</v>
      </c>
      <c r="F22887" s="3">
        <v>8</v>
      </c>
      <c r="G22887" t="s">
        <v>513</v>
      </c>
    </row>
    <row r="22888" spans="1:7" x14ac:dyDescent="0.25">
      <c r="A22888" s="1" t="str">
        <f>"505623"</f>
        <v>505623</v>
      </c>
      <c r="B22888" s="2" t="str">
        <f>"TAMPA P/ CONDULETE 1/2"" TOMADA REDONDA"</f>
        <v>TAMPA P/ CONDULETE 1/2" TOMADA REDONDA</v>
      </c>
      <c r="C22888" s="2" t="str">
        <f t="shared" si="901"/>
        <v>UN</v>
      </c>
      <c r="D22888" s="7">
        <v>601</v>
      </c>
      <c r="E22888" s="3">
        <v>8</v>
      </c>
      <c r="F22888" s="3">
        <v>8</v>
      </c>
      <c r="G22888" t="s">
        <v>513</v>
      </c>
    </row>
    <row r="22889" spans="1:7" x14ac:dyDescent="0.25">
      <c r="A22889" s="1" t="str">
        <f>"511447"</f>
        <v>511447</v>
      </c>
      <c r="B22889" s="2" t="str">
        <f>"TAMPA P/ CONDULETE 3/4"" 2 TOMADAS 2P+T"</f>
        <v>TAMPA P/ CONDULETE 3/4" 2 TOMADAS 2P+T</v>
      </c>
      <c r="C22889" s="2" t="str">
        <f t="shared" si="901"/>
        <v>UN</v>
      </c>
      <c r="D22889" s="7">
        <v>601</v>
      </c>
      <c r="E22889" s="3">
        <v>8</v>
      </c>
      <c r="F22889" s="3">
        <v>8</v>
      </c>
      <c r="G22889" t="s">
        <v>513</v>
      </c>
    </row>
    <row r="22890" spans="1:7" x14ac:dyDescent="0.25">
      <c r="A22890" s="1" t="str">
        <f>"511577"</f>
        <v>511577</v>
      </c>
      <c r="B22890" s="2" t="str">
        <f>"TAMPA P/ CONDULETE 3/4"" P TOMADA 2P+T 1 MODULO WETZEL"</f>
        <v>TAMPA P/ CONDULETE 3/4" P TOMADA 2P+T 1 MODULO WETZEL</v>
      </c>
      <c r="C22890" s="2" t="str">
        <f t="shared" si="901"/>
        <v>UN</v>
      </c>
      <c r="D22890" s="7">
        <v>811</v>
      </c>
      <c r="E22890" s="3">
        <v>8</v>
      </c>
      <c r="F22890" s="3">
        <v>8</v>
      </c>
      <c r="G22890" t="s">
        <v>512</v>
      </c>
    </row>
    <row r="22891" spans="1:7" x14ac:dyDescent="0.25">
      <c r="A22891" s="1" t="str">
        <f>"518854"</f>
        <v>518854</v>
      </c>
      <c r="B22891" s="2" t="str">
        <f>"TAMPA P/ CONDULETE 3/4"" P TOMADA 2P+T 2 MODULO WETZEL"</f>
        <v>TAMPA P/ CONDULETE 3/4" P TOMADA 2P+T 2 MODULO WETZEL</v>
      </c>
      <c r="C22891" s="2" t="str">
        <f t="shared" si="901"/>
        <v>UN</v>
      </c>
      <c r="D22891" s="7">
        <v>811</v>
      </c>
      <c r="E22891" s="3">
        <v>8</v>
      </c>
      <c r="F22891" s="3">
        <v>8</v>
      </c>
      <c r="G22891" t="s">
        <v>513</v>
      </c>
    </row>
    <row r="22892" spans="1:7" x14ac:dyDescent="0.25">
      <c r="A22892" s="1" t="str">
        <f>"511574"</f>
        <v>511574</v>
      </c>
      <c r="B22892" s="2" t="str">
        <f>"TAMPA P/ CONDULETE 3/4"" P TOMADA 2P+T 3 MODULOS WETZEL"</f>
        <v>TAMPA P/ CONDULETE 3/4" P TOMADA 2P+T 3 MODULOS WETZEL</v>
      </c>
      <c r="C22892" s="2" t="str">
        <f t="shared" si="901"/>
        <v>UN</v>
      </c>
      <c r="D22892" s="7">
        <v>601</v>
      </c>
      <c r="E22892" s="3">
        <v>8</v>
      </c>
      <c r="F22892" s="3">
        <v>8</v>
      </c>
      <c r="G22892" t="s">
        <v>514</v>
      </c>
    </row>
    <row r="22893" spans="1:7" x14ac:dyDescent="0.25">
      <c r="A22893" s="1" t="str">
        <f>"517891"</f>
        <v>517891</v>
      </c>
      <c r="B22893" s="2" t="str">
        <f>"TAMPA P/ CONDULETE 3/4"" P/ 1T (RJ45)"</f>
        <v>TAMPA P/ CONDULETE 3/4" P/ 1T (RJ45)</v>
      </c>
      <c r="C22893" s="2" t="str">
        <f t="shared" si="901"/>
        <v>UN</v>
      </c>
      <c r="D22893" s="7">
        <v>811</v>
      </c>
      <c r="E22893" s="3">
        <v>8</v>
      </c>
      <c r="F22893" s="3">
        <v>8</v>
      </c>
      <c r="G22893" t="s">
        <v>515</v>
      </c>
    </row>
    <row r="22894" spans="1:7" x14ac:dyDescent="0.25">
      <c r="A22894" s="1" t="str">
        <f>"518599"</f>
        <v>518599</v>
      </c>
      <c r="B22894" s="2" t="str">
        <f>"TAMPA P/ CONDULETE 3/4"" P/ 2T (RJ45)"</f>
        <v>TAMPA P/ CONDULETE 3/4" P/ 2T (RJ45)</v>
      </c>
      <c r="C22894" s="2" t="str">
        <f t="shared" si="901"/>
        <v>UN</v>
      </c>
      <c r="D22894" s="7">
        <v>811</v>
      </c>
      <c r="E22894" s="3">
        <v>8</v>
      </c>
      <c r="F22894" s="3">
        <v>8</v>
      </c>
      <c r="G22894" t="s">
        <v>512</v>
      </c>
    </row>
    <row r="22895" spans="1:7" x14ac:dyDescent="0.25">
      <c r="A22895" s="1" t="str">
        <f>"517338"</f>
        <v>517338</v>
      </c>
      <c r="B22895" s="2" t="str">
        <f>"TAMPA P/ CONDULETE 3/4"" P/ INTERRUPTOR 1 TECLA"</f>
        <v>TAMPA P/ CONDULETE 3/4" P/ INTERRUPTOR 1 TECLA</v>
      </c>
      <c r="C22895" s="2" t="str">
        <f t="shared" si="901"/>
        <v>UN</v>
      </c>
      <c r="D22895" s="7">
        <v>811</v>
      </c>
      <c r="E22895" s="3">
        <v>8</v>
      </c>
      <c r="F22895" s="3">
        <v>8</v>
      </c>
      <c r="G22895" t="s">
        <v>516</v>
      </c>
    </row>
    <row r="22896" spans="1:7" x14ac:dyDescent="0.25">
      <c r="A22896" s="1" t="str">
        <f>"517339"</f>
        <v>517339</v>
      </c>
      <c r="B22896" s="2" t="str">
        <f>"TAMPA P/ CONDULETE 3/4"" P/ INTERRUPTOR 3 TECLAS"</f>
        <v>TAMPA P/ CONDULETE 3/4" P/ INTERRUPTOR 3 TECLAS</v>
      </c>
      <c r="C22896" s="2" t="str">
        <f t="shared" si="901"/>
        <v>UN</v>
      </c>
      <c r="D22896" s="7">
        <v>811</v>
      </c>
      <c r="E22896" s="3">
        <v>8</v>
      </c>
      <c r="F22896" s="3">
        <v>8</v>
      </c>
      <c r="G22896" t="s">
        <v>515</v>
      </c>
    </row>
    <row r="22897" spans="1:7" x14ac:dyDescent="0.25">
      <c r="A22897" s="1" t="str">
        <f>"510169"</f>
        <v>510169</v>
      </c>
      <c r="B22897" s="2" t="str">
        <f>"TAMPA P/ CONDULETE P/ INTERR. 02 TECLAS"</f>
        <v>TAMPA P/ CONDULETE P/ INTERR. 02 TECLAS</v>
      </c>
      <c r="C22897" s="2" t="str">
        <f t="shared" si="901"/>
        <v>UN</v>
      </c>
      <c r="D22897" s="7">
        <v>601</v>
      </c>
      <c r="E22897" s="3">
        <v>8</v>
      </c>
      <c r="F22897" s="3">
        <v>8</v>
      </c>
      <c r="G22897" t="s">
        <v>514</v>
      </c>
    </row>
    <row r="22898" spans="1:7" x14ac:dyDescent="0.25">
      <c r="A22898" s="1" t="str">
        <f>"522593"</f>
        <v>522593</v>
      </c>
      <c r="B22898" s="2" t="str">
        <f>"TAMPA P/ CURVA HORIZONTAL 90 400MM GF"</f>
        <v>TAMPA P/ CURVA HORIZONTAL 90 400MM GF</v>
      </c>
      <c r="C22898" s="2" t="str">
        <f t="shared" si="901"/>
        <v>UN</v>
      </c>
      <c r="D22898" s="7">
        <v>811</v>
      </c>
      <c r="E22898" s="3">
        <v>10</v>
      </c>
      <c r="F22898" s="3">
        <v>10</v>
      </c>
      <c r="G22898" t="s">
        <v>512</v>
      </c>
    </row>
    <row r="22899" spans="1:7" x14ac:dyDescent="0.25">
      <c r="A22899" s="1" t="str">
        <f>"522594"</f>
        <v>522594</v>
      </c>
      <c r="B22899" s="2" t="str">
        <f>"TAMPA P/ CURVA VERTICAL EXT. 90 400MM GF"</f>
        <v>TAMPA P/ CURVA VERTICAL EXT. 90 400MM GF</v>
      </c>
      <c r="C22899" s="2" t="str">
        <f t="shared" si="901"/>
        <v>UN</v>
      </c>
      <c r="D22899" s="7">
        <v>811</v>
      </c>
      <c r="E22899" s="3">
        <v>10</v>
      </c>
      <c r="F22899" s="3">
        <v>10</v>
      </c>
      <c r="G22899" t="s">
        <v>513</v>
      </c>
    </row>
    <row r="22900" spans="1:7" x14ac:dyDescent="0.25">
      <c r="A22900" s="1" t="str">
        <f>"522595"</f>
        <v>522595</v>
      </c>
      <c r="B22900" s="2" t="str">
        <f>"TAMPA P/ CURVA VERTICAL INT. 90 400MM GF"</f>
        <v>TAMPA P/ CURVA VERTICAL INT. 90 400MM GF</v>
      </c>
      <c r="C22900" s="2" t="str">
        <f t="shared" si="901"/>
        <v>UN</v>
      </c>
      <c r="D22900" s="7">
        <v>811</v>
      </c>
      <c r="E22900" s="3">
        <v>10</v>
      </c>
      <c r="F22900" s="3">
        <v>10</v>
      </c>
      <c r="G22900" t="s">
        <v>514</v>
      </c>
    </row>
    <row r="22901" spans="1:7" x14ac:dyDescent="0.25">
      <c r="A22901" s="1" t="str">
        <f>"515614"</f>
        <v>515614</v>
      </c>
      <c r="B22901" s="2" t="str">
        <f>"TAMPA P/ DAILET"</f>
        <v>TAMPA P/ DAILET</v>
      </c>
      <c r="C22901" s="2" t="str">
        <f t="shared" si="901"/>
        <v>UN</v>
      </c>
      <c r="D22901" s="7">
        <v>401</v>
      </c>
      <c r="E22901" s="3">
        <v>4</v>
      </c>
      <c r="F22901" s="3">
        <v>4</v>
      </c>
      <c r="G22901" t="s">
        <v>514</v>
      </c>
    </row>
    <row r="22902" spans="1:7" x14ac:dyDescent="0.25">
      <c r="A22902" s="1" t="str">
        <f>"525093"</f>
        <v>525093</v>
      </c>
      <c r="B22902" s="2" t="str">
        <f>"TAMPA P/ PENEIRA INOX 8X2"</f>
        <v>TAMPA P/ PENEIRA INOX 8X2</v>
      </c>
      <c r="C22902" s="2" t="str">
        <f t="shared" si="901"/>
        <v>UN</v>
      </c>
      <c r="D22902" s="7">
        <v>406</v>
      </c>
      <c r="E22902" s="3">
        <v>10</v>
      </c>
      <c r="F22902" s="3">
        <v>10</v>
      </c>
      <c r="G22902" t="s">
        <v>512</v>
      </c>
    </row>
    <row r="22903" spans="1:7" x14ac:dyDescent="0.25">
      <c r="A22903" s="1" t="str">
        <f>"510621"</f>
        <v>510621</v>
      </c>
      <c r="B22903" s="2" t="str">
        <f>"TAMPA P/ PERFILADO 38X38X6000MM"</f>
        <v>TAMPA P/ PERFILADO 38X38X6000MM</v>
      </c>
      <c r="C22903" s="2" t="str">
        <f t="shared" si="901"/>
        <v>UN</v>
      </c>
      <c r="D22903" s="7">
        <v>601</v>
      </c>
      <c r="E22903" s="3">
        <v>8</v>
      </c>
      <c r="F22903" s="3">
        <v>8</v>
      </c>
      <c r="G22903" t="s">
        <v>513</v>
      </c>
    </row>
    <row r="22904" spans="1:7" x14ac:dyDescent="0.25">
      <c r="A22904" s="1" t="str">
        <f>"512373"</f>
        <v>512373</v>
      </c>
      <c r="B22904" s="2" t="str">
        <f>"TAMPA P/ TAMBOR PLASTICO P/ LEITE IN NATURA 50 LITROS"</f>
        <v>TAMPA P/ TAMBOR PLASTICO P/ LEITE IN NATURA 50 LITROS</v>
      </c>
      <c r="C22904" s="2" t="str">
        <f t="shared" si="901"/>
        <v>UN</v>
      </c>
      <c r="D22904" s="7">
        <v>408</v>
      </c>
      <c r="E22904" s="3">
        <v>4</v>
      </c>
      <c r="F22904" s="3">
        <v>4</v>
      </c>
      <c r="G22904" t="s">
        <v>514</v>
      </c>
    </row>
    <row r="22905" spans="1:7" x14ac:dyDescent="0.25">
      <c r="A22905" s="1" t="str">
        <f>"522596"</f>
        <v>522596</v>
      </c>
      <c r="B22905" s="2" t="str">
        <f>"TAMPA P/ TEE HORIZONTAL 90 400MM GF"</f>
        <v>TAMPA P/ TEE HORIZONTAL 90 400MM GF</v>
      </c>
      <c r="C22905" s="2" t="str">
        <f t="shared" si="901"/>
        <v>UN</v>
      </c>
      <c r="D22905" s="7">
        <v>811</v>
      </c>
      <c r="E22905" s="3">
        <v>10</v>
      </c>
      <c r="F22905" s="3">
        <v>10</v>
      </c>
      <c r="G22905" t="s">
        <v>514</v>
      </c>
    </row>
    <row r="22906" spans="1:7" x14ac:dyDescent="0.25">
      <c r="A22906" s="1" t="str">
        <f>"511427"</f>
        <v>511427</v>
      </c>
      <c r="B22906" s="2" t="str">
        <f>"TAMPA P/ TOMADA TELEFONE CONDULETE 3/4"""</f>
        <v>TAMPA P/ TOMADA TELEFONE CONDULETE 3/4"</v>
      </c>
      <c r="C22906" s="2" t="str">
        <f t="shared" si="901"/>
        <v>UN</v>
      </c>
      <c r="D22906" s="7">
        <v>704</v>
      </c>
      <c r="E22906" s="3">
        <v>9</v>
      </c>
      <c r="F22906" s="3">
        <v>9</v>
      </c>
      <c r="G22906" t="s">
        <v>514</v>
      </c>
    </row>
    <row r="22907" spans="1:7" x14ac:dyDescent="0.25">
      <c r="A22907" s="1" t="str">
        <f>"6137"</f>
        <v>6137</v>
      </c>
      <c r="B22907" s="2" t="str">
        <f>"TAMPA P/COPO BOCA 68MM REQUEIJAO COR AZUL"</f>
        <v>TAMPA P/COPO BOCA 68MM REQUEIJAO COR AZUL</v>
      </c>
      <c r="C22907" s="2" t="str">
        <f t="shared" si="901"/>
        <v>UN</v>
      </c>
      <c r="D22907" s="7">
        <v>115</v>
      </c>
      <c r="E22907" s="3">
        <v>1</v>
      </c>
      <c r="F22907" s="3">
        <v>1</v>
      </c>
      <c r="G22907" t="s">
        <v>513</v>
      </c>
    </row>
    <row r="22908" spans="1:7" x14ac:dyDescent="0.25">
      <c r="A22908" s="1" t="str">
        <f>"6138"</f>
        <v>6138</v>
      </c>
      <c r="B22908" s="2" t="str">
        <f>"TAMPA P/COPO BOCA 68MM REQUEIJAO COR VERDE"</f>
        <v>TAMPA P/COPO BOCA 68MM REQUEIJAO COR VERDE</v>
      </c>
      <c r="C22908" s="2" t="str">
        <f t="shared" si="901"/>
        <v>UN</v>
      </c>
      <c r="D22908" s="7">
        <v>115</v>
      </c>
      <c r="E22908" s="3">
        <v>1</v>
      </c>
      <c r="F22908" s="3">
        <v>1</v>
      </c>
      <c r="G22908" t="s">
        <v>512</v>
      </c>
    </row>
    <row r="22909" spans="1:7" x14ac:dyDescent="0.25">
      <c r="A22909" s="1" t="str">
        <f>"6139"</f>
        <v>6139</v>
      </c>
      <c r="B22909" s="2" t="str">
        <f>"TAMPA P/COPO BOCA 68MM REQUEIJÃO COR VERM 33026"</f>
        <v>TAMPA P/COPO BOCA 68MM REQUEIJÃO COR VERM 33026</v>
      </c>
      <c r="C22909" s="2" t="str">
        <f t="shared" si="901"/>
        <v>UN</v>
      </c>
      <c r="D22909" s="7">
        <v>104</v>
      </c>
      <c r="E22909" s="3">
        <v>1</v>
      </c>
      <c r="F22909" s="3">
        <v>1</v>
      </c>
      <c r="G22909" t="s">
        <v>513</v>
      </c>
    </row>
    <row r="22910" spans="1:7" x14ac:dyDescent="0.25">
      <c r="A22910" s="1" t="str">
        <f>"5964"</f>
        <v>5964</v>
      </c>
      <c r="B22910" s="2" t="str">
        <f>"TAMPA P/COPO REQ. 180GR VERM 33026"</f>
        <v>TAMPA P/COPO REQ. 180GR VERM 33026</v>
      </c>
      <c r="C22910" s="2" t="str">
        <f t="shared" si="901"/>
        <v>UN</v>
      </c>
      <c r="D22910" s="7">
        <v>104</v>
      </c>
      <c r="E22910" s="3">
        <v>1</v>
      </c>
      <c r="F22910" s="3">
        <v>1</v>
      </c>
      <c r="G22910" t="s">
        <v>514</v>
      </c>
    </row>
    <row r="22911" spans="1:7" x14ac:dyDescent="0.25">
      <c r="A22911" s="1" t="str">
        <f>"5956"</f>
        <v>5956</v>
      </c>
      <c r="B22911" s="2" t="str">
        <f>"TAMPA P/COPO REQUEIJAO 200GR COR AZUL"</f>
        <v>TAMPA P/COPO REQUEIJAO 200GR COR AZUL</v>
      </c>
      <c r="C22911" s="2" t="str">
        <f t="shared" si="901"/>
        <v>UN</v>
      </c>
      <c r="D22911" s="7">
        <v>104</v>
      </c>
      <c r="E22911" s="3">
        <v>1</v>
      </c>
      <c r="F22911" s="3">
        <v>1</v>
      </c>
      <c r="G22911" t="s">
        <v>514</v>
      </c>
    </row>
    <row r="22912" spans="1:7" x14ac:dyDescent="0.25">
      <c r="A22912" s="1" t="str">
        <f>"5960"</f>
        <v>5960</v>
      </c>
      <c r="B22912" s="2" t="str">
        <f>"TAMPA P/COPO REQUEIJAO 200GR COR AZUL CLARA"</f>
        <v>TAMPA P/COPO REQUEIJAO 200GR COR AZUL CLARA</v>
      </c>
      <c r="C22912" s="2" t="str">
        <f t="shared" si="901"/>
        <v>UN</v>
      </c>
      <c r="D22912" s="7">
        <v>104</v>
      </c>
      <c r="E22912" s="3">
        <v>1</v>
      </c>
      <c r="F22912" s="3">
        <v>1</v>
      </c>
      <c r="G22912" t="s">
        <v>514</v>
      </c>
    </row>
    <row r="22913" spans="1:7" x14ac:dyDescent="0.25">
      <c r="A22913" s="1" t="str">
        <f>"2545"</f>
        <v>2545</v>
      </c>
      <c r="B22913" s="2" t="str">
        <f>"TAMPA P/COPO REQUEIJAO 200GR COR VERDE"</f>
        <v>TAMPA P/COPO REQUEIJAO 200GR COR VERDE</v>
      </c>
      <c r="C22913" s="2" t="str">
        <f t="shared" si="901"/>
        <v>UN</v>
      </c>
      <c r="D22913" s="7">
        <v>104</v>
      </c>
      <c r="E22913" s="3">
        <v>1</v>
      </c>
      <c r="F22913" s="3">
        <v>1</v>
      </c>
      <c r="G22913" t="s">
        <v>513</v>
      </c>
    </row>
    <row r="22914" spans="1:7" x14ac:dyDescent="0.25">
      <c r="A22914" s="1" t="str">
        <f>"5944"</f>
        <v>5944</v>
      </c>
      <c r="B22914" s="2" t="str">
        <f>"TAMPA P/COPO REQUEIJAO 200GR COR VERDE"</f>
        <v>TAMPA P/COPO REQUEIJAO 200GR COR VERDE</v>
      </c>
      <c r="C22914" s="2" t="str">
        <f t="shared" si="901"/>
        <v>UN</v>
      </c>
      <c r="D22914" s="7">
        <v>104</v>
      </c>
      <c r="E22914" s="3">
        <v>1</v>
      </c>
      <c r="F22914" s="3">
        <v>1</v>
      </c>
      <c r="G22914" t="s">
        <v>513</v>
      </c>
    </row>
    <row r="22915" spans="1:7" x14ac:dyDescent="0.25">
      <c r="A22915" s="1" t="str">
        <f>"2505"</f>
        <v>2505</v>
      </c>
      <c r="B22915" s="2" t="str">
        <f>"TAMPA P/COPO REQUEIJAO 201/202 AZUL"</f>
        <v>TAMPA P/COPO REQUEIJAO 201/202 AZUL</v>
      </c>
      <c r="C22915" s="2" t="str">
        <f t="shared" si="901"/>
        <v>UN</v>
      </c>
      <c r="D22915" s="7">
        <v>104</v>
      </c>
      <c r="E22915" s="3">
        <v>1</v>
      </c>
      <c r="F22915" s="3">
        <v>1</v>
      </c>
      <c r="G22915" t="s">
        <v>513</v>
      </c>
    </row>
    <row r="22916" spans="1:7" x14ac:dyDescent="0.25">
      <c r="A22916" s="1" t="str">
        <f>"6778"</f>
        <v>6778</v>
      </c>
      <c r="B22916" s="2" t="str">
        <f>"TAMPA P/COPO REQUEIJAO 220GR COR VERM"</f>
        <v>TAMPA P/COPO REQUEIJAO 220GR COR VERM</v>
      </c>
      <c r="C22916" s="2" t="str">
        <f t="shared" si="901"/>
        <v>UN</v>
      </c>
      <c r="D22916" s="7">
        <v>104</v>
      </c>
      <c r="E22916" s="3">
        <v>1</v>
      </c>
      <c r="F22916" s="3">
        <v>1</v>
      </c>
      <c r="G22916" t="s">
        <v>512</v>
      </c>
    </row>
    <row r="22917" spans="1:7" x14ac:dyDescent="0.25">
      <c r="A22917" s="1" t="str">
        <f>"2447"</f>
        <v>2447</v>
      </c>
      <c r="B22917" s="2" t="str">
        <f>"TAMPA P/COPO REQUEIJAO 250GR COR VERDE"</f>
        <v>TAMPA P/COPO REQUEIJAO 250GR COR VERDE</v>
      </c>
      <c r="C22917" s="2" t="str">
        <f t="shared" si="901"/>
        <v>UN</v>
      </c>
      <c r="D22917" s="7">
        <v>104</v>
      </c>
      <c r="E22917" s="3">
        <v>1</v>
      </c>
      <c r="F22917" s="3">
        <v>1</v>
      </c>
      <c r="G22917" t="s">
        <v>513</v>
      </c>
    </row>
    <row r="22918" spans="1:7" x14ac:dyDescent="0.25">
      <c r="A22918" s="1" t="str">
        <f>"521445"</f>
        <v>521445</v>
      </c>
      <c r="B22918" s="2" t="str">
        <f>"TAMPA PARA BALDE (COR BRANCO CÓD. 80111)"</f>
        <v>TAMPA PARA BALDE (COR BRANCO CÓD. 80111)</v>
      </c>
      <c r="C22918" s="2" t="str">
        <f t="shared" si="901"/>
        <v>UN</v>
      </c>
      <c r="D22918" s="7">
        <v>400</v>
      </c>
      <c r="E22918" s="3">
        <v>4</v>
      </c>
      <c r="F22918" s="3">
        <v>4</v>
      </c>
      <c r="G22918" t="s">
        <v>514</v>
      </c>
    </row>
    <row r="22919" spans="1:7" x14ac:dyDescent="0.25">
      <c r="A22919" s="1" t="str">
        <f>"522206"</f>
        <v>522206</v>
      </c>
      <c r="B22919" s="2" t="str">
        <f>"TAMPA PARA BALDE (COR PRETO CÓD. 80111)"</f>
        <v>TAMPA PARA BALDE (COR PRETO CÓD. 80111)</v>
      </c>
      <c r="C22919" s="2" t="str">
        <f t="shared" si="901"/>
        <v>UN</v>
      </c>
      <c r="D22919" s="7">
        <v>400</v>
      </c>
      <c r="E22919" s="3">
        <v>4</v>
      </c>
      <c r="F22919" s="3">
        <v>4</v>
      </c>
      <c r="G22919" t="s">
        <v>515</v>
      </c>
    </row>
    <row r="22920" spans="1:7" x14ac:dyDescent="0.25">
      <c r="A22920" s="1" t="str">
        <f>"4072"</f>
        <v>4072</v>
      </c>
      <c r="B22920" s="2" t="str">
        <f>"TAMPA PP PTE REQ 400/500 AZUL ESC C/1000 CX 1500 CÓD 14076"</f>
        <v>TAMPA PP PTE REQ 400/500 AZUL ESC C/1000 CX 1500 CÓD 14076</v>
      </c>
      <c r="C22920" s="2" t="str">
        <f t="shared" si="901"/>
        <v>UN</v>
      </c>
      <c r="D22920" s="7">
        <v>115</v>
      </c>
      <c r="E22920" s="3">
        <v>1</v>
      </c>
      <c r="F22920" s="3">
        <v>1</v>
      </c>
      <c r="G22920" t="s">
        <v>512</v>
      </c>
    </row>
    <row r="22921" spans="1:7" x14ac:dyDescent="0.25">
      <c r="A22921" s="1" t="str">
        <f>"501543"</f>
        <v>501543</v>
      </c>
      <c r="B22921" s="2" t="str">
        <f>"TAMPA PVC 100MM"</f>
        <v>TAMPA PVC 100MM</v>
      </c>
      <c r="C22921" s="2" t="str">
        <f>"BR"</f>
        <v>BR</v>
      </c>
      <c r="D22921" s="7">
        <v>809</v>
      </c>
      <c r="E22921" s="3">
        <v>10</v>
      </c>
      <c r="F22921" s="3">
        <v>10</v>
      </c>
      <c r="G22921" t="s">
        <v>516</v>
      </c>
    </row>
    <row r="22922" spans="1:7" x14ac:dyDescent="0.25">
      <c r="A22922" s="1" t="str">
        <f>"504996"</f>
        <v>504996</v>
      </c>
      <c r="B22922" s="2" t="str">
        <f>"TAMPA RADIADOR"</f>
        <v>TAMPA RADIADOR</v>
      </c>
      <c r="C22922" s="2" t="str">
        <f t="shared" ref="C22922:C22946" si="902">"UN"</f>
        <v>UN</v>
      </c>
      <c r="D22922" s="7">
        <v>704</v>
      </c>
      <c r="E22922" s="3">
        <v>9</v>
      </c>
      <c r="F22922" s="3">
        <v>9</v>
      </c>
      <c r="G22922" t="s">
        <v>515</v>
      </c>
    </row>
    <row r="22923" spans="1:7" x14ac:dyDescent="0.25">
      <c r="A22923" s="1" t="str">
        <f>"5974"</f>
        <v>5974</v>
      </c>
      <c r="B22923" s="2" t="str">
        <f>"TAMPA REQUEIJAO 200GR DIA%  AZUL CLARA CÓD. 512"</f>
        <v>TAMPA REQUEIJAO 200GR DIA%  AZUL CLARA CÓD. 512</v>
      </c>
      <c r="C22923" s="2" t="str">
        <f t="shared" si="902"/>
        <v>UN</v>
      </c>
      <c r="D22923" s="7">
        <v>115</v>
      </c>
      <c r="E22923" s="3">
        <v>1</v>
      </c>
      <c r="F22923" s="3">
        <v>1</v>
      </c>
      <c r="G22923" t="s">
        <v>514</v>
      </c>
    </row>
    <row r="22924" spans="1:7" x14ac:dyDescent="0.25">
      <c r="A22924" s="1" t="str">
        <f>"5975"</f>
        <v>5975</v>
      </c>
      <c r="B22924" s="2" t="str">
        <f>"TAMPA REQUEIJAO 200GR DIA% VERMELHA CÓD.33026"</f>
        <v>TAMPA REQUEIJAO 200GR DIA% VERMELHA CÓD.33026</v>
      </c>
      <c r="C22924" s="2" t="str">
        <f t="shared" si="902"/>
        <v>UN</v>
      </c>
      <c r="D22924" s="7">
        <v>115</v>
      </c>
      <c r="E22924" s="3">
        <v>1</v>
      </c>
      <c r="F22924" s="3">
        <v>1</v>
      </c>
      <c r="G22924" t="s">
        <v>512</v>
      </c>
    </row>
    <row r="22925" spans="1:7" x14ac:dyDescent="0.25">
      <c r="A22925" s="1" t="str">
        <f>"514782"</f>
        <v>514782</v>
      </c>
      <c r="B22925" s="2" t="str">
        <f>"TAMPA SELO 100MK 1/2/3 MOD. NOVO"</f>
        <v>TAMPA SELO 100MK 1/2/3 MOD. NOVO</v>
      </c>
      <c r="C22925" s="2" t="str">
        <f t="shared" si="902"/>
        <v>UN</v>
      </c>
      <c r="D22925" s="7">
        <v>918</v>
      </c>
      <c r="E22925" s="3">
        <v>11</v>
      </c>
      <c r="F22925" s="3">
        <v>11</v>
      </c>
      <c r="G22925" t="s">
        <v>513</v>
      </c>
    </row>
    <row r="22926" spans="1:7" x14ac:dyDescent="0.25">
      <c r="A22926" s="1" t="str">
        <f>"AG7607200"</f>
        <v>AG7607200</v>
      </c>
      <c r="B22926" s="2" t="str">
        <f>"TAMPA SEM IMPRESSÃO"</f>
        <v>TAMPA SEM IMPRESSÃO</v>
      </c>
      <c r="C22926" s="2" t="str">
        <f t="shared" si="902"/>
        <v>UN</v>
      </c>
      <c r="D22926" s="7">
        <v>99999</v>
      </c>
      <c r="E22926" s="3">
        <v>99</v>
      </c>
      <c r="F22926" s="3">
        <v>99</v>
      </c>
      <c r="G22926" t="s">
        <v>514</v>
      </c>
    </row>
    <row r="22927" spans="1:7" x14ac:dyDescent="0.25">
      <c r="A22927" s="1" t="str">
        <f>"6117"</f>
        <v>6117</v>
      </c>
      <c r="B22927" s="2" t="str">
        <f>"TAMPA ST 102 REQUEIJAO 500GR COR AZUL - AZE 20741"</f>
        <v>TAMPA ST 102 REQUEIJAO 500GR COR AZUL - AZE 20741</v>
      </c>
      <c r="C22927" s="2" t="str">
        <f t="shared" si="902"/>
        <v>UN</v>
      </c>
      <c r="D22927" s="7">
        <v>115</v>
      </c>
      <c r="E22927" s="3">
        <v>1</v>
      </c>
      <c r="F22927" s="3">
        <v>1</v>
      </c>
      <c r="G22927" t="s">
        <v>514</v>
      </c>
    </row>
    <row r="22928" spans="1:7" x14ac:dyDescent="0.25">
      <c r="A22928" s="1" t="str">
        <f>"7010"</f>
        <v>7010</v>
      </c>
      <c r="B22928" s="2" t="str">
        <f>"TAMPA ST 102 REQUEIJAO 500GR COR AZUL - AZE 20741"</f>
        <v>TAMPA ST 102 REQUEIJAO 500GR COR AZUL - AZE 20741</v>
      </c>
      <c r="C22928" s="2" t="str">
        <f t="shared" si="902"/>
        <v>UN</v>
      </c>
      <c r="D22928" s="7">
        <v>115</v>
      </c>
      <c r="E22928" s="3">
        <v>1</v>
      </c>
      <c r="F22928" s="3">
        <v>1</v>
      </c>
      <c r="G22928" t="s">
        <v>512</v>
      </c>
    </row>
    <row r="22929" spans="1:7" x14ac:dyDescent="0.25">
      <c r="A22929" s="1" t="str">
        <f>"6110"</f>
        <v>6110</v>
      </c>
      <c r="B22929" s="2" t="str">
        <f>"TAMPA ST 102 REQUEIJAO 500GR COR VERDE - VDM 410"</f>
        <v>TAMPA ST 102 REQUEIJAO 500GR COR VERDE - VDM 410</v>
      </c>
      <c r="C22929" s="2" t="str">
        <f t="shared" si="902"/>
        <v>UN</v>
      </c>
      <c r="D22929" s="7">
        <v>115</v>
      </c>
      <c r="E22929" s="3">
        <v>1</v>
      </c>
      <c r="F22929" s="3">
        <v>1</v>
      </c>
      <c r="G22929" t="s">
        <v>513</v>
      </c>
    </row>
    <row r="22930" spans="1:7" x14ac:dyDescent="0.25">
      <c r="A22930" s="1" t="str">
        <f>"513522"</f>
        <v>513522</v>
      </c>
      <c r="B22930" s="2" t="str">
        <f>"TAMPA SUPERIOR CLIMATIZADOR UNIVERSAL SLIM"</f>
        <v>TAMPA SUPERIOR CLIMATIZADOR UNIVERSAL SLIM</v>
      </c>
      <c r="C22930" s="2" t="str">
        <f t="shared" si="902"/>
        <v>UN</v>
      </c>
      <c r="D22930" s="7">
        <v>99999</v>
      </c>
      <c r="E22930" s="3">
        <v>99</v>
      </c>
      <c r="F22930" s="3">
        <v>99</v>
      </c>
      <c r="G22930" t="s">
        <v>514</v>
      </c>
    </row>
    <row r="22931" spans="1:7" x14ac:dyDescent="0.25">
      <c r="A22931" s="1" t="str">
        <f>"524009"</f>
        <v>524009</v>
      </c>
      <c r="B22931" s="2" t="str">
        <f>"TAMPA SUPERIOR CX PLASTICA HX0001-04043"</f>
        <v>TAMPA SUPERIOR CX PLASTICA HX0001-04043</v>
      </c>
      <c r="C22931" s="2" t="str">
        <f t="shared" si="902"/>
        <v>UN</v>
      </c>
      <c r="D22931" s="7">
        <v>99999</v>
      </c>
      <c r="E22931" s="3">
        <v>99</v>
      </c>
      <c r="F22931" s="3">
        <v>99</v>
      </c>
      <c r="G22931" t="s">
        <v>514</v>
      </c>
    </row>
    <row r="22932" spans="1:7" x14ac:dyDescent="0.25">
      <c r="A22932" s="1" t="str">
        <f>"526138"</f>
        <v>526138</v>
      </c>
      <c r="B22932" s="2" t="str">
        <f>"TAMPA TERMINAL STANDARD 25MM"</f>
        <v>TAMPA TERMINAL STANDARD 25MM</v>
      </c>
      <c r="C22932" s="2" t="str">
        <f t="shared" si="902"/>
        <v>UN</v>
      </c>
      <c r="D22932" s="7">
        <v>601</v>
      </c>
      <c r="E22932" s="3">
        <v>8</v>
      </c>
      <c r="F22932" s="3">
        <v>8</v>
      </c>
      <c r="G22932" t="s">
        <v>514</v>
      </c>
    </row>
    <row r="22933" spans="1:7" x14ac:dyDescent="0.25">
      <c r="A22933" s="1" t="str">
        <f>"501834"</f>
        <v>501834</v>
      </c>
      <c r="B22933" s="2" t="str">
        <f>"TAMPA TERMOSTATO TG IV USADA 995635"</f>
        <v>TAMPA TERMOSTATO TG IV USADA 995635</v>
      </c>
      <c r="C22933" s="2" t="str">
        <f t="shared" si="902"/>
        <v>UN</v>
      </c>
      <c r="D22933" s="7">
        <v>918</v>
      </c>
      <c r="E22933" s="3">
        <v>9</v>
      </c>
      <c r="F22933" s="3">
        <v>9</v>
      </c>
      <c r="G22933" t="s">
        <v>513</v>
      </c>
    </row>
    <row r="22934" spans="1:7" x14ac:dyDescent="0.25">
      <c r="A22934" s="1" t="str">
        <f>"511836"</f>
        <v>511836</v>
      </c>
      <c r="B22934" s="2" t="str">
        <f>"TAMPA TRANSFERENCIA TANQUE COMBUSTIVEL"</f>
        <v>TAMPA TRANSFERENCIA TANQUE COMBUSTIVEL</v>
      </c>
      <c r="C22934" s="2" t="str">
        <f t="shared" si="902"/>
        <v>UN</v>
      </c>
      <c r="D22934" s="7">
        <v>601</v>
      </c>
      <c r="E22934" s="3">
        <v>8</v>
      </c>
      <c r="F22934" s="3">
        <v>8</v>
      </c>
      <c r="G22934" t="s">
        <v>512</v>
      </c>
    </row>
    <row r="22935" spans="1:7" x14ac:dyDescent="0.25">
      <c r="A22935" s="1" t="str">
        <f>"516403"</f>
        <v>516403</v>
      </c>
      <c r="B22935" s="2" t="str">
        <f>"TAMPA TRASEIRA BOMBA FVA-BL 5CV 2 X 1 1/2"""</f>
        <v>TAMPA TRASEIRA BOMBA FVA-BL 5CV 2 X 1 1/2"</v>
      </c>
      <c r="C22935" s="2" t="str">
        <f t="shared" si="902"/>
        <v>UN</v>
      </c>
      <c r="D22935" s="7">
        <v>813</v>
      </c>
      <c r="E22935" s="3">
        <v>11</v>
      </c>
      <c r="F22935" s="3">
        <v>11</v>
      </c>
      <c r="G22935" t="s">
        <v>513</v>
      </c>
    </row>
    <row r="22936" spans="1:7" x14ac:dyDescent="0.25">
      <c r="A22936" s="1" t="str">
        <f>"527234"</f>
        <v>527234</v>
      </c>
      <c r="B22936" s="2" t="str">
        <f>"TAMPA TRASEIRA DETECTOR GAS BW MAX XT II"</f>
        <v>TAMPA TRASEIRA DETECTOR GAS BW MAX XT II</v>
      </c>
      <c r="C22936" s="2" t="str">
        <f t="shared" si="902"/>
        <v>UN</v>
      </c>
      <c r="D22936" s="7">
        <v>99999</v>
      </c>
      <c r="E22936" s="3">
        <v>99</v>
      </c>
      <c r="F22936" s="3">
        <v>99</v>
      </c>
      <c r="G22936" t="s">
        <v>514</v>
      </c>
    </row>
    <row r="22937" spans="1:7" x14ac:dyDescent="0.25">
      <c r="A22937" s="1" t="str">
        <f>"513379"</f>
        <v>513379</v>
      </c>
      <c r="B22937" s="2" t="str">
        <f>"TAMPA TRASEIRA MOD 132"</f>
        <v>TAMPA TRASEIRA MOD 132</v>
      </c>
      <c r="C22937" s="2" t="str">
        <f t="shared" si="902"/>
        <v>UN</v>
      </c>
      <c r="D22937" s="7">
        <v>1000</v>
      </c>
      <c r="E22937" s="3">
        <v>11</v>
      </c>
      <c r="F22937" s="3">
        <v>11</v>
      </c>
      <c r="G22937" t="s">
        <v>514</v>
      </c>
    </row>
    <row r="22938" spans="1:7" x14ac:dyDescent="0.25">
      <c r="A22938" s="1" t="str">
        <f>"6309"</f>
        <v>6309</v>
      </c>
      <c r="B22938" s="2" t="str">
        <f>"TAMPA USO INTERNO"</f>
        <v>TAMPA USO INTERNO</v>
      </c>
      <c r="C22938" s="2" t="str">
        <f t="shared" si="902"/>
        <v>UN</v>
      </c>
      <c r="D22938" s="7">
        <v>301</v>
      </c>
      <c r="E22938" s="3">
        <v>1</v>
      </c>
      <c r="F22938" s="3">
        <v>1</v>
      </c>
      <c r="G22938" t="s">
        <v>514</v>
      </c>
    </row>
    <row r="22939" spans="1:7" x14ac:dyDescent="0.25">
      <c r="A22939" s="1" t="str">
        <f>"504941"</f>
        <v>504941</v>
      </c>
      <c r="B22939" s="2" t="str">
        <f>"TAMPA VALVULA TERMOSTATICA"</f>
        <v>TAMPA VALVULA TERMOSTATICA</v>
      </c>
      <c r="C22939" s="2" t="str">
        <f t="shared" si="902"/>
        <v>UN</v>
      </c>
      <c r="D22939" s="7">
        <v>918</v>
      </c>
      <c r="E22939" s="3">
        <v>11</v>
      </c>
      <c r="F22939" s="3">
        <v>11</v>
      </c>
      <c r="G22939" t="s">
        <v>513</v>
      </c>
    </row>
    <row r="22940" spans="1:7" x14ac:dyDescent="0.25">
      <c r="A22940" s="1" t="str">
        <f>"516311"</f>
        <v>516311</v>
      </c>
      <c r="B22940" s="2" t="str">
        <f>"TAMPA WEG FLANGE FF-215 MODELO 112"</f>
        <v>TAMPA WEG FLANGE FF-215 MODELO 112</v>
      </c>
      <c r="C22940" s="2" t="str">
        <f t="shared" si="902"/>
        <v>UN</v>
      </c>
      <c r="D22940" s="7">
        <v>600</v>
      </c>
      <c r="E22940" s="3">
        <v>8</v>
      </c>
      <c r="F22940" s="3">
        <v>8</v>
      </c>
      <c r="G22940" t="s">
        <v>513</v>
      </c>
    </row>
    <row r="22941" spans="1:7" x14ac:dyDescent="0.25">
      <c r="A22941" s="1" t="str">
        <f>"524566"</f>
        <v>524566</v>
      </c>
      <c r="B22941" s="2" t="str">
        <f>"TAMPÃO  RL AÇO CARBONO Ø 1.1/4 ASTM A234 WPB SCH 40"</f>
        <v>TAMPÃO  RL AÇO CARBONO Ø 1.1/4 ASTM A234 WPB SCH 40</v>
      </c>
      <c r="C22941" s="2" t="str">
        <f t="shared" si="902"/>
        <v>UN</v>
      </c>
      <c r="D22941" s="7">
        <v>807</v>
      </c>
      <c r="E22941" s="3">
        <v>10</v>
      </c>
      <c r="F22941" s="3">
        <v>10</v>
      </c>
      <c r="G22941" t="s">
        <v>513</v>
      </c>
    </row>
    <row r="22942" spans="1:7" x14ac:dyDescent="0.25">
      <c r="A22942" s="1" t="str">
        <f>"524568"</f>
        <v>524568</v>
      </c>
      <c r="B22942" s="2" t="str">
        <f>"TAMPÃO  RL AÇO CARBONO Ø 2 ASTM A234 WPB SCH 40"</f>
        <v>TAMPÃO  RL AÇO CARBONO Ø 2 ASTM A234 WPB SCH 40</v>
      </c>
      <c r="C22942" s="2" t="str">
        <f t="shared" si="902"/>
        <v>UN</v>
      </c>
      <c r="D22942" s="7">
        <v>807</v>
      </c>
      <c r="E22942" s="3">
        <v>10</v>
      </c>
      <c r="F22942" s="3">
        <v>10</v>
      </c>
      <c r="G22942" t="s">
        <v>512</v>
      </c>
    </row>
    <row r="22943" spans="1:7" x14ac:dyDescent="0.25">
      <c r="A22943" s="1" t="str">
        <f>"524567"</f>
        <v>524567</v>
      </c>
      <c r="B22943" s="2" t="str">
        <f>"TAMPÃO  RL AÇO CARBONO Ø 2.1/2 ASTM A234 WPB SCH 40"</f>
        <v>TAMPÃO  RL AÇO CARBONO Ø 2.1/2 ASTM A234 WPB SCH 40</v>
      </c>
      <c r="C22943" s="2" t="str">
        <f t="shared" si="902"/>
        <v>UN</v>
      </c>
      <c r="D22943" s="7">
        <v>807</v>
      </c>
      <c r="E22943" s="3">
        <v>10</v>
      </c>
      <c r="F22943" s="3">
        <v>10</v>
      </c>
      <c r="G22943" t="s">
        <v>513</v>
      </c>
    </row>
    <row r="22944" spans="1:7" x14ac:dyDescent="0.25">
      <c r="A22944" s="1" t="str">
        <f>"524569"</f>
        <v>524569</v>
      </c>
      <c r="B22944" s="2" t="str">
        <f>"TAMPÃO  RL AÇO CARBONO Ø 4 ASTM A234 WPB SCH 40"</f>
        <v>TAMPÃO  RL AÇO CARBONO Ø 4 ASTM A234 WPB SCH 40</v>
      </c>
      <c r="C22944" s="2" t="str">
        <f t="shared" si="902"/>
        <v>UN</v>
      </c>
      <c r="D22944" s="7">
        <v>807</v>
      </c>
      <c r="E22944" s="3">
        <v>10</v>
      </c>
      <c r="F22944" s="3">
        <v>10</v>
      </c>
      <c r="G22944" t="s">
        <v>514</v>
      </c>
    </row>
    <row r="22945" spans="1:7" x14ac:dyDescent="0.25">
      <c r="A22945" s="1" t="str">
        <f>"508289"</f>
        <v>508289</v>
      </c>
      <c r="B22945" s="2" t="str">
        <f>"TAMPAO 1/4 DE METAL"</f>
        <v>TAMPAO 1/4 DE METAL</v>
      </c>
      <c r="C22945" s="2" t="str">
        <f t="shared" si="902"/>
        <v>UN</v>
      </c>
      <c r="D22945" s="7">
        <v>704</v>
      </c>
      <c r="E22945" s="3">
        <v>9</v>
      </c>
      <c r="F22945" s="3">
        <v>9</v>
      </c>
      <c r="G22945" t="s">
        <v>515</v>
      </c>
    </row>
    <row r="22946" spans="1:7" x14ac:dyDescent="0.25">
      <c r="A22946" s="1" t="str">
        <f>"501831"</f>
        <v>501831</v>
      </c>
      <c r="B22946" s="2" t="str">
        <f>"TAMPÃO 1/4 VTM 1/4"</f>
        <v>TAMPÃO 1/4 VTM 1/4</v>
      </c>
      <c r="C22946" s="2" t="str">
        <f t="shared" si="902"/>
        <v>UN</v>
      </c>
      <c r="D22946" s="7">
        <v>918</v>
      </c>
      <c r="E22946" s="3">
        <v>9</v>
      </c>
      <c r="F22946" s="3">
        <v>9</v>
      </c>
      <c r="G22946" t="s">
        <v>512</v>
      </c>
    </row>
    <row r="22947" spans="1:7" x14ac:dyDescent="0.25">
      <c r="A22947" s="1" t="str">
        <f>"521116"</f>
        <v>521116</v>
      </c>
      <c r="B22947" s="2" t="str">
        <f>"TAMPAO 135MMX1/4 INOX"</f>
        <v>TAMPAO 135MMX1/4 INOX</v>
      </c>
      <c r="C22947" s="2" t="str">
        <f>"MT"</f>
        <v>MT</v>
      </c>
      <c r="D22947" s="7">
        <v>803</v>
      </c>
      <c r="E22947" s="3">
        <v>10</v>
      </c>
      <c r="F22947" s="3">
        <v>10</v>
      </c>
      <c r="G22947" t="s">
        <v>516</v>
      </c>
    </row>
    <row r="22948" spans="1:7" x14ac:dyDescent="0.25">
      <c r="A22948" s="1" t="str">
        <f>"526534"</f>
        <v>526534</v>
      </c>
      <c r="B22948" s="2" t="str">
        <f>"TAMPÃO 52X10"</f>
        <v>TAMPÃO 52X10</v>
      </c>
      <c r="C22948" s="2" t="str">
        <f>"UN"</f>
        <v>UN</v>
      </c>
      <c r="D22948" s="7">
        <v>918</v>
      </c>
      <c r="E22948" s="3">
        <v>11</v>
      </c>
      <c r="F22948" s="3">
        <v>11</v>
      </c>
      <c r="G22948" t="s">
        <v>515</v>
      </c>
    </row>
    <row r="22949" spans="1:7" x14ac:dyDescent="0.25">
      <c r="A22949" s="1" t="str">
        <f>"514296"</f>
        <v>514296</v>
      </c>
      <c r="B22949" s="2" t="str">
        <f>"TAMPÃO CHINES INOX 304 ALT. 200MM DIAM. 1700MM BORDA 30MM"</f>
        <v>TAMPÃO CHINES INOX 304 ALT. 200MM DIAM. 1700MM BORDA 30MM</v>
      </c>
      <c r="C22949" s="2" t="str">
        <f>"UN"</f>
        <v>UN</v>
      </c>
      <c r="D22949" s="7">
        <v>704</v>
      </c>
      <c r="E22949" s="3">
        <v>9</v>
      </c>
      <c r="F22949" s="3">
        <v>9</v>
      </c>
      <c r="G22949" t="s">
        <v>514</v>
      </c>
    </row>
    <row r="22950" spans="1:7" x14ac:dyDescent="0.25">
      <c r="A22950" s="1" t="str">
        <f>"519964"</f>
        <v>519964</v>
      </c>
      <c r="B22950" s="2" t="str">
        <f>"TAMPÃO COM ROSCA 1""1/4 - PVC"</f>
        <v>TAMPÃO COM ROSCA 1"1/4 - PVC</v>
      </c>
      <c r="C22950" s="2" t="str">
        <f>"UN"</f>
        <v>UN</v>
      </c>
      <c r="D22950" s="7">
        <v>808</v>
      </c>
      <c r="E22950" s="3">
        <v>10</v>
      </c>
      <c r="F22950" s="3">
        <v>10</v>
      </c>
      <c r="G22950" t="s">
        <v>512</v>
      </c>
    </row>
    <row r="22951" spans="1:7" x14ac:dyDescent="0.25">
      <c r="A22951" s="1" t="str">
        <f>"524788"</f>
        <v>524788</v>
      </c>
      <c r="B22951" s="2" t="str">
        <f>"TAMPÃO DA RODA"</f>
        <v>TAMPÃO DA RODA</v>
      </c>
      <c r="C22951" s="2" t="str">
        <f>"UN"</f>
        <v>UN</v>
      </c>
      <c r="D22951" s="7">
        <v>99999</v>
      </c>
      <c r="E22951" s="3">
        <v>99</v>
      </c>
      <c r="F22951" s="3">
        <v>99</v>
      </c>
      <c r="G22951" t="s">
        <v>513</v>
      </c>
    </row>
    <row r="22952" spans="1:7" x14ac:dyDescent="0.25">
      <c r="A22952" s="1" t="str">
        <f>"513582"</f>
        <v>513582</v>
      </c>
      <c r="B22952" s="2" t="str">
        <f>"TAMPAO F.G C/ ROSCA INTERNA 2"""</f>
        <v>TAMPAO F.G C/ ROSCA INTERNA 2"</v>
      </c>
      <c r="C22952" s="2" t="str">
        <f>"BR"</f>
        <v>BR</v>
      </c>
      <c r="D22952" s="7">
        <v>807</v>
      </c>
      <c r="E22952" s="3">
        <v>10</v>
      </c>
      <c r="F22952" s="3">
        <v>10</v>
      </c>
      <c r="G22952" t="s">
        <v>514</v>
      </c>
    </row>
    <row r="22953" spans="1:7" x14ac:dyDescent="0.25">
      <c r="A22953" s="1" t="str">
        <f>"509544"</f>
        <v>509544</v>
      </c>
      <c r="B22953" s="2" t="str">
        <f>"TAMPAO LATERAL P/ CONDULETE 1"""</f>
        <v>TAMPAO LATERAL P/ CONDULETE 1"</v>
      </c>
      <c r="C22953" s="2" t="str">
        <f t="shared" ref="C22953:C22958" si="903">"UN"</f>
        <v>UN</v>
      </c>
      <c r="D22953" s="7">
        <v>601</v>
      </c>
      <c r="E22953" s="3">
        <v>8</v>
      </c>
      <c r="F22953" s="3">
        <v>8</v>
      </c>
      <c r="G22953" t="s">
        <v>514</v>
      </c>
    </row>
    <row r="22954" spans="1:7" x14ac:dyDescent="0.25">
      <c r="A22954" s="1" t="str">
        <f>"509595"</f>
        <v>509595</v>
      </c>
      <c r="B22954" s="2" t="str">
        <f>"TAMPAO LATERAL P/ CONDULETE 3/4"</f>
        <v>TAMPAO LATERAL P/ CONDULETE 3/4</v>
      </c>
      <c r="C22954" s="2" t="str">
        <f t="shared" si="903"/>
        <v>UN</v>
      </c>
      <c r="D22954" s="7">
        <v>601</v>
      </c>
      <c r="E22954" s="3">
        <v>8</v>
      </c>
      <c r="F22954" s="3">
        <v>8</v>
      </c>
      <c r="G22954" t="s">
        <v>512</v>
      </c>
    </row>
    <row r="22955" spans="1:7" x14ac:dyDescent="0.25">
      <c r="A22955" s="1" t="str">
        <f>"524052"</f>
        <v>524052</v>
      </c>
      <c r="B22955" s="2" t="str">
        <f>"TAMPAO P/ TETEIRA PLASTICO AZUL"</f>
        <v>TAMPAO P/ TETEIRA PLASTICO AZUL</v>
      </c>
      <c r="C22955" s="2" t="str">
        <f t="shared" si="903"/>
        <v>UN</v>
      </c>
      <c r="D22955" s="7">
        <v>99999</v>
      </c>
      <c r="E22955" s="3">
        <v>99</v>
      </c>
      <c r="F22955" s="3">
        <v>99</v>
      </c>
      <c r="G22955" t="s">
        <v>513</v>
      </c>
    </row>
    <row r="22956" spans="1:7" x14ac:dyDescent="0.25">
      <c r="A22956" s="1" t="str">
        <f>"505475"</f>
        <v>505475</v>
      </c>
      <c r="B22956" s="2" t="str">
        <f>"TAMPAO PAINEL ELETRICO 22MM DIAM."</f>
        <v>TAMPAO PAINEL ELETRICO 22MM DIAM.</v>
      </c>
      <c r="C22956" s="2" t="str">
        <f t="shared" si="903"/>
        <v>UN</v>
      </c>
      <c r="D22956" s="7">
        <v>600</v>
      </c>
      <c r="E22956" s="3">
        <v>8</v>
      </c>
      <c r="F22956" s="3">
        <v>8</v>
      </c>
      <c r="G22956" t="s">
        <v>514</v>
      </c>
    </row>
    <row r="22957" spans="1:7" x14ac:dyDescent="0.25">
      <c r="A22957" s="1" t="str">
        <f>"516555"</f>
        <v>516555</v>
      </c>
      <c r="B22957" s="2" t="str">
        <f>"TAMPAO PAINEL ELETRICO 28MM DIAM."</f>
        <v>TAMPAO PAINEL ELETRICO 28MM DIAM.</v>
      </c>
      <c r="C22957" s="2" t="str">
        <f t="shared" si="903"/>
        <v>UN</v>
      </c>
      <c r="D22957" s="7">
        <v>811</v>
      </c>
      <c r="E22957" s="3">
        <v>8</v>
      </c>
      <c r="F22957" s="3">
        <v>8</v>
      </c>
      <c r="G22957" t="s">
        <v>514</v>
      </c>
    </row>
    <row r="22958" spans="1:7" x14ac:dyDescent="0.25">
      <c r="A22958" s="1" t="str">
        <f>"505476"</f>
        <v>505476</v>
      </c>
      <c r="B22958" s="2" t="str">
        <f>"TAMPAO PAINEL ELETRICO 30,5MM DIAM."</f>
        <v>TAMPAO PAINEL ELETRICO 30,5MM DIAM.</v>
      </c>
      <c r="C22958" s="2" t="str">
        <f t="shared" si="903"/>
        <v>UN</v>
      </c>
      <c r="D22958" s="7">
        <v>600</v>
      </c>
      <c r="E22958" s="3">
        <v>8</v>
      </c>
      <c r="F22958" s="3">
        <v>8</v>
      </c>
      <c r="G22958" t="s">
        <v>514</v>
      </c>
    </row>
    <row r="22959" spans="1:7" x14ac:dyDescent="0.25">
      <c r="A22959" s="1" t="str">
        <f>"502253"</f>
        <v>502253</v>
      </c>
      <c r="B22959" s="2" t="str">
        <f>"TAMPAO PLANO SMS 304 2"""</f>
        <v>TAMPAO PLANO SMS 304 2"</v>
      </c>
      <c r="C22959" s="2" t="str">
        <f t="shared" ref="C22959:C22964" si="904">"BR"</f>
        <v>BR</v>
      </c>
      <c r="D22959" s="7">
        <v>807</v>
      </c>
      <c r="E22959" s="3">
        <v>10</v>
      </c>
      <c r="F22959" s="3">
        <v>10</v>
      </c>
      <c r="G22959" t="s">
        <v>513</v>
      </c>
    </row>
    <row r="22960" spans="1:7" x14ac:dyDescent="0.25">
      <c r="A22960" s="1" t="str">
        <f>"503957"</f>
        <v>503957</v>
      </c>
      <c r="B22960" s="2" t="str">
        <f>"TAMPAO PLANO SMS 304 2""1/2"</f>
        <v>TAMPAO PLANO SMS 304 2"1/2</v>
      </c>
      <c r="C22960" s="2" t="str">
        <f t="shared" si="904"/>
        <v>BR</v>
      </c>
      <c r="D22960" s="7">
        <v>807</v>
      </c>
      <c r="E22960" s="3">
        <v>10</v>
      </c>
      <c r="F22960" s="3">
        <v>10</v>
      </c>
      <c r="G22960" t="s">
        <v>512</v>
      </c>
    </row>
    <row r="22961" spans="1:7" x14ac:dyDescent="0.25">
      <c r="A22961" s="1" t="str">
        <f>"501775"</f>
        <v>501775</v>
      </c>
      <c r="B22961" s="2" t="str">
        <f>"TAMPAO PLANO SMS 304 3"""</f>
        <v>TAMPAO PLANO SMS 304 3"</v>
      </c>
      <c r="C22961" s="2" t="str">
        <f t="shared" si="904"/>
        <v>BR</v>
      </c>
      <c r="D22961" s="7">
        <v>807</v>
      </c>
      <c r="E22961" s="3">
        <v>10</v>
      </c>
      <c r="F22961" s="3">
        <v>10</v>
      </c>
      <c r="G22961" t="s">
        <v>513</v>
      </c>
    </row>
    <row r="22962" spans="1:7" x14ac:dyDescent="0.25">
      <c r="A22962" s="1" t="str">
        <f>"502486"</f>
        <v>502486</v>
      </c>
      <c r="B22962" s="2" t="str">
        <f>"TAMPAO PLANO SMS 304 4"""</f>
        <v>TAMPAO PLANO SMS 304 4"</v>
      </c>
      <c r="C22962" s="2" t="str">
        <f t="shared" si="904"/>
        <v>BR</v>
      </c>
      <c r="D22962" s="7">
        <v>807</v>
      </c>
      <c r="E22962" s="3">
        <v>10</v>
      </c>
      <c r="F22962" s="3">
        <v>10</v>
      </c>
      <c r="G22962" t="s">
        <v>514</v>
      </c>
    </row>
    <row r="22963" spans="1:7" x14ac:dyDescent="0.25">
      <c r="A22963" s="1" t="str">
        <f>"511967"</f>
        <v>511967</v>
      </c>
      <c r="B22963" s="2" t="str">
        <f>"TAMPAO PLANO SMS 304 6"""</f>
        <v>TAMPAO PLANO SMS 304 6"</v>
      </c>
      <c r="C22963" s="2" t="str">
        <f t="shared" si="904"/>
        <v>BR</v>
      </c>
      <c r="D22963" s="7">
        <v>807</v>
      </c>
      <c r="E22963" s="3">
        <v>10</v>
      </c>
      <c r="F22963" s="3">
        <v>10</v>
      </c>
      <c r="G22963" t="s">
        <v>514</v>
      </c>
    </row>
    <row r="22964" spans="1:7" x14ac:dyDescent="0.25">
      <c r="A22964" s="1" t="str">
        <f>"523427"</f>
        <v>523427</v>
      </c>
      <c r="B22964" s="2" t="str">
        <f>"TAMPAO PLANO TC 304 4"""</f>
        <v>TAMPAO PLANO TC 304 4"</v>
      </c>
      <c r="C22964" s="2" t="str">
        <f t="shared" si="904"/>
        <v>BR</v>
      </c>
      <c r="D22964" s="7">
        <v>807</v>
      </c>
      <c r="E22964" s="3">
        <v>10</v>
      </c>
      <c r="F22964" s="3">
        <v>10</v>
      </c>
      <c r="G22964" t="s">
        <v>514</v>
      </c>
    </row>
    <row r="22965" spans="1:7" x14ac:dyDescent="0.25">
      <c r="A22965" s="1" t="str">
        <f>"524549"</f>
        <v>524549</v>
      </c>
      <c r="B22965" s="2" t="str">
        <f>"TAMPÃO PLANO TC 304 SEM CORRENTE 4"" C/ FURO PASSANTE DE 2"""</f>
        <v>TAMPÃO PLANO TC 304 SEM CORRENTE 4" C/ FURO PASSANTE DE 2"</v>
      </c>
      <c r="C22965" s="2" t="str">
        <f t="shared" ref="C22965:C22971" si="905">"UN"</f>
        <v>UN</v>
      </c>
      <c r="D22965" s="7">
        <v>807</v>
      </c>
      <c r="E22965" s="3">
        <v>10</v>
      </c>
      <c r="F22965" s="3">
        <v>10</v>
      </c>
      <c r="G22965" t="s">
        <v>513</v>
      </c>
    </row>
    <row r="22966" spans="1:7" x14ac:dyDescent="0.25">
      <c r="A22966" s="1" t="str">
        <f>"515972"</f>
        <v>515972</v>
      </c>
      <c r="B22966" s="2" t="str">
        <f>"TAMPAO PROTETOR SENSOR DE FLUXO"</f>
        <v>TAMPAO PROTETOR SENSOR DE FLUXO</v>
      </c>
      <c r="C22966" s="2" t="str">
        <f t="shared" si="905"/>
        <v>UN</v>
      </c>
      <c r="D22966" s="7">
        <v>99999</v>
      </c>
      <c r="E22966" s="3">
        <v>99</v>
      </c>
      <c r="F22966" s="3">
        <v>99</v>
      </c>
      <c r="G22966" t="s">
        <v>513</v>
      </c>
    </row>
    <row r="22967" spans="1:7" x14ac:dyDescent="0.25">
      <c r="A22967" s="1" t="str">
        <f>"510471"</f>
        <v>510471</v>
      </c>
      <c r="B22967" s="2" t="str">
        <f>"TAMPAO RESISTENCIA B209-011A"</f>
        <v>TAMPAO RESISTENCIA B209-011A</v>
      </c>
      <c r="C22967" s="2" t="str">
        <f t="shared" si="905"/>
        <v>UN</v>
      </c>
      <c r="D22967" s="7">
        <v>918</v>
      </c>
      <c r="E22967" s="3">
        <v>11</v>
      </c>
      <c r="F22967" s="3">
        <v>11</v>
      </c>
      <c r="G22967" t="s">
        <v>513</v>
      </c>
    </row>
    <row r="22968" spans="1:7" x14ac:dyDescent="0.25">
      <c r="A22968" s="1" t="str">
        <f>"524436"</f>
        <v>524436</v>
      </c>
      <c r="B22968" s="2" t="str">
        <f>"TAMPÃO SMS 2"" C/ CORRENTE P/ MANGUEIRAS TRELLEBORG"</f>
        <v>TAMPÃO SMS 2" C/ CORRENTE P/ MANGUEIRAS TRELLEBORG</v>
      </c>
      <c r="C22968" s="2" t="str">
        <f t="shared" si="905"/>
        <v>UN</v>
      </c>
      <c r="D22968" s="7">
        <v>807</v>
      </c>
      <c r="E22968" s="3">
        <v>10</v>
      </c>
      <c r="F22968" s="3">
        <v>10</v>
      </c>
      <c r="G22968" t="s">
        <v>512</v>
      </c>
    </row>
    <row r="22969" spans="1:7" x14ac:dyDescent="0.25">
      <c r="A22969" s="1" t="str">
        <f>"526229"</f>
        <v>526229</v>
      </c>
      <c r="B22969" s="2" t="str">
        <f>"TAMPAO STORZ COM CORRENTE 2.1/2"""</f>
        <v>TAMPAO STORZ COM CORRENTE 2.1/2"</v>
      </c>
      <c r="C22969" s="2" t="str">
        <f t="shared" si="905"/>
        <v>UN</v>
      </c>
      <c r="D22969" s="7">
        <v>807</v>
      </c>
      <c r="E22969" s="3">
        <v>11</v>
      </c>
      <c r="F22969" s="3">
        <v>11</v>
      </c>
      <c r="G22969" t="s">
        <v>513</v>
      </c>
    </row>
    <row r="22970" spans="1:7" x14ac:dyDescent="0.25">
      <c r="A22970" s="1" t="str">
        <f>"527040"</f>
        <v>527040</v>
      </c>
      <c r="B22970" s="2" t="str">
        <f>"TAMPÃO TC 1.1/2"""</f>
        <v>TAMPÃO TC 1.1/2"</v>
      </c>
      <c r="C22970" s="2" t="str">
        <f t="shared" si="905"/>
        <v>UN</v>
      </c>
      <c r="D22970" s="7">
        <v>807</v>
      </c>
      <c r="E22970" s="3">
        <v>10</v>
      </c>
      <c r="F22970" s="3">
        <v>10</v>
      </c>
      <c r="G22970" t="s">
        <v>514</v>
      </c>
    </row>
    <row r="22971" spans="1:7" x14ac:dyDescent="0.25">
      <c r="A22971" s="1" t="str">
        <f>"573797"</f>
        <v>573797</v>
      </c>
      <c r="B22971" s="2" t="str">
        <f>"TAMPAS P/ FRASCOS THP 38 DESENVOLVIMENTO"</f>
        <v>TAMPAS P/ FRASCOS THP 38 DESENVOLVIMENTO</v>
      </c>
      <c r="C22971" s="2" t="str">
        <f t="shared" si="905"/>
        <v>UN</v>
      </c>
      <c r="D22971" s="7">
        <v>99999</v>
      </c>
      <c r="E22971" s="3">
        <v>1</v>
      </c>
      <c r="F22971" s="3">
        <v>1</v>
      </c>
      <c r="G22971" t="s">
        <v>515</v>
      </c>
    </row>
    <row r="22972" spans="1:7" x14ac:dyDescent="0.25">
      <c r="A22972" s="1" t="str">
        <f>"508407"</f>
        <v>508407</v>
      </c>
      <c r="B22972" s="2" t="str">
        <f>"TAMPO ABAULADO CHAPA 1/2"" A-285 DIAMETRO 800MM"</f>
        <v>TAMPO ABAULADO CHAPA 1/2" A-285 DIAMETRO 800MM</v>
      </c>
      <c r="C22972" s="2" t="str">
        <f>"PC"</f>
        <v>PC</v>
      </c>
      <c r="D22972" s="7">
        <v>806</v>
      </c>
      <c r="E22972" s="3">
        <v>10</v>
      </c>
      <c r="F22972" s="3">
        <v>10</v>
      </c>
      <c r="G22972" t="s">
        <v>512</v>
      </c>
    </row>
    <row r="22973" spans="1:7" x14ac:dyDescent="0.25">
      <c r="A22973" s="1" t="str">
        <f>"512425"</f>
        <v>512425</v>
      </c>
      <c r="B22973" s="2" t="str">
        <f>"TAMPO MESA FORMICA ACAB.VERNIZ 2500X1200"</f>
        <v>TAMPO MESA FORMICA ACAB.VERNIZ 2500X1200</v>
      </c>
      <c r="C22973" s="2" t="str">
        <f t="shared" ref="C22973:C23004" si="906">"UN"</f>
        <v>UN</v>
      </c>
      <c r="D22973" s="7">
        <v>1200</v>
      </c>
      <c r="E22973" s="3">
        <v>13</v>
      </c>
      <c r="F22973" s="3">
        <v>13</v>
      </c>
      <c r="G22973" t="s">
        <v>516</v>
      </c>
    </row>
    <row r="22974" spans="1:7" x14ac:dyDescent="0.25">
      <c r="A22974" s="1" t="str">
        <f>"518256"</f>
        <v>518256</v>
      </c>
      <c r="B22974" s="2" t="str">
        <f>"TAMPO RETANGULAR"</f>
        <v>TAMPO RETANGULAR</v>
      </c>
      <c r="C22974" s="2" t="str">
        <f t="shared" si="906"/>
        <v>UN</v>
      </c>
      <c r="D22974" s="7">
        <v>1200</v>
      </c>
      <c r="E22974" s="3">
        <v>4</v>
      </c>
      <c r="F22974" s="3">
        <v>4</v>
      </c>
      <c r="G22974" t="s">
        <v>515</v>
      </c>
    </row>
    <row r="22975" spans="1:7" x14ac:dyDescent="0.25">
      <c r="A22975" s="1" t="str">
        <f>"521678"</f>
        <v>521678</v>
      </c>
      <c r="B22975" s="2" t="str">
        <f>"TAMPOS EM AÇO INOX 304 1,2MM"</f>
        <v>TAMPOS EM AÇO INOX 304 1,2MM</v>
      </c>
      <c r="C22975" s="2" t="str">
        <f t="shared" si="906"/>
        <v>UN</v>
      </c>
      <c r="D22975" s="7">
        <v>99999</v>
      </c>
      <c r="E22975" s="3">
        <v>99</v>
      </c>
      <c r="F22975" s="3">
        <v>99</v>
      </c>
      <c r="G22975" t="s">
        <v>514</v>
      </c>
    </row>
    <row r="22976" spans="1:7" x14ac:dyDescent="0.25">
      <c r="A22976" s="1" t="str">
        <f>"520815"</f>
        <v>520815</v>
      </c>
      <c r="B22976" s="2" t="str">
        <f>"TAMPULHO 24MM"</f>
        <v>TAMPULHO 24MM</v>
      </c>
      <c r="C22976" s="2" t="str">
        <f t="shared" si="906"/>
        <v>UN</v>
      </c>
      <c r="D22976" s="7">
        <v>812</v>
      </c>
      <c r="E22976" s="3">
        <v>10</v>
      </c>
      <c r="F22976" s="3">
        <v>10</v>
      </c>
      <c r="G22976" t="s">
        <v>512</v>
      </c>
    </row>
    <row r="22977" spans="1:7" x14ac:dyDescent="0.25">
      <c r="A22977" s="1" t="str">
        <f>"525284"</f>
        <v>525284</v>
      </c>
      <c r="B22977" s="2" t="str">
        <f>"TANDRILAX CX C/ 30 COMP."</f>
        <v>TANDRILAX CX C/ 30 COMP.</v>
      </c>
      <c r="C22977" s="2" t="str">
        <f t="shared" si="906"/>
        <v>UN</v>
      </c>
      <c r="D22977" s="7">
        <v>99999</v>
      </c>
      <c r="E22977" s="3">
        <v>99</v>
      </c>
      <c r="F22977" s="3">
        <v>99</v>
      </c>
      <c r="G22977" t="s">
        <v>513</v>
      </c>
    </row>
    <row r="22978" spans="1:7" x14ac:dyDescent="0.25">
      <c r="A22978" s="1" t="str">
        <f>"521474"</f>
        <v>521474</v>
      </c>
      <c r="B22978" s="2" t="str">
        <f>"TANQUE"</f>
        <v>TANQUE</v>
      </c>
      <c r="C22978" s="2" t="str">
        <f t="shared" si="906"/>
        <v>UN</v>
      </c>
      <c r="D22978" s="7">
        <v>99999</v>
      </c>
      <c r="E22978" s="3">
        <v>99</v>
      </c>
      <c r="F22978" s="3">
        <v>99</v>
      </c>
      <c r="G22978" t="s">
        <v>514</v>
      </c>
    </row>
    <row r="22979" spans="1:7" x14ac:dyDescent="0.25">
      <c r="A22979" s="1" t="str">
        <f>"521697"</f>
        <v>521697</v>
      </c>
      <c r="B22979" s="2" t="str">
        <f>"TANQUE 15M³ DE FERMENTAÇÃO E ESTOCAGEM"</f>
        <v>TANQUE 15M³ DE FERMENTAÇÃO E ESTOCAGEM</v>
      </c>
      <c r="C22979" s="2" t="str">
        <f t="shared" si="906"/>
        <v>UN</v>
      </c>
      <c r="D22979" s="7">
        <v>99999</v>
      </c>
      <c r="E22979" s="3">
        <v>99</v>
      </c>
      <c r="F22979" s="3">
        <v>99</v>
      </c>
      <c r="G22979" t="s">
        <v>514</v>
      </c>
    </row>
    <row r="22980" spans="1:7" x14ac:dyDescent="0.25">
      <c r="A22980" s="1" t="str">
        <f>"524872"</f>
        <v>524872</v>
      </c>
      <c r="B22980" s="2" t="str">
        <f>"TANQUE 2M3 VERTICAL U"</f>
        <v>TANQUE 2M3 VERTICAL U</v>
      </c>
      <c r="C22980" s="2" t="str">
        <f t="shared" si="906"/>
        <v>UN</v>
      </c>
      <c r="D22980" s="7">
        <v>99999</v>
      </c>
      <c r="E22980" s="3">
        <v>99</v>
      </c>
      <c r="F22980" s="3">
        <v>99</v>
      </c>
      <c r="G22980" t="s">
        <v>512</v>
      </c>
    </row>
    <row r="22981" spans="1:7" x14ac:dyDescent="0.25">
      <c r="A22981" s="1" t="str">
        <f>"518887"</f>
        <v>518887</v>
      </c>
      <c r="B22981" s="2" t="str">
        <f>"TANQUE 42 X 72 COM CREPINA SUPERIOR E INFERIOR 3"""</f>
        <v>TANQUE 42 X 72 COM CREPINA SUPERIOR E INFERIOR 3"</v>
      </c>
      <c r="C22981" s="2" t="str">
        <f t="shared" si="906"/>
        <v>UN</v>
      </c>
      <c r="D22981" s="7">
        <v>1600</v>
      </c>
      <c r="E22981" s="3">
        <v>13</v>
      </c>
      <c r="F22981" s="3">
        <v>13</v>
      </c>
      <c r="G22981" t="s">
        <v>513</v>
      </c>
    </row>
    <row r="22982" spans="1:7" x14ac:dyDescent="0.25">
      <c r="A22982" s="1" t="str">
        <f>"527938"</f>
        <v>527938</v>
      </c>
      <c r="B22982" s="2" t="str">
        <f>"TANQUE 60L PE FUNDO PLANO ROTOMOLDADO"</f>
        <v>TANQUE 60L PE FUNDO PLANO ROTOMOLDADO</v>
      </c>
      <c r="C22982" s="2" t="str">
        <f t="shared" si="906"/>
        <v>UN</v>
      </c>
      <c r="D22982" s="7">
        <v>1500</v>
      </c>
      <c r="E22982" s="3">
        <v>13</v>
      </c>
      <c r="F22982" s="3">
        <v>13</v>
      </c>
      <c r="G22982" t="s">
        <v>514</v>
      </c>
    </row>
    <row r="22983" spans="1:7" x14ac:dyDescent="0.25">
      <c r="A22983" s="1" t="str">
        <f>"515295"</f>
        <v>515295</v>
      </c>
      <c r="B22983" s="2" t="str">
        <f>"TANQUE AÇO INOX P/ AQUECIMENTO AGUA 500 LITROS"</f>
        <v>TANQUE AÇO INOX P/ AQUECIMENTO AGUA 500 LITROS</v>
      </c>
      <c r="C22983" s="2" t="str">
        <f t="shared" si="906"/>
        <v>UN</v>
      </c>
      <c r="D22983" s="7">
        <v>1600</v>
      </c>
      <c r="E22983" s="3">
        <v>13</v>
      </c>
      <c r="F22983" s="3">
        <v>13</v>
      </c>
      <c r="G22983" t="s">
        <v>514</v>
      </c>
    </row>
    <row r="22984" spans="1:7" x14ac:dyDescent="0.25">
      <c r="A22984" s="1" t="str">
        <f>"526384"</f>
        <v>526384</v>
      </c>
      <c r="B22984" s="2" t="str">
        <f>"TANQUE AEREO HORIZONTAL 15000LT LINHA SILVER D19"</f>
        <v>TANQUE AEREO HORIZONTAL 15000LT LINHA SILVER D19</v>
      </c>
      <c r="C22984" s="2" t="str">
        <f t="shared" si="906"/>
        <v>UN</v>
      </c>
      <c r="D22984" s="7">
        <v>1600</v>
      </c>
      <c r="E22984" s="3">
        <v>13</v>
      </c>
      <c r="F22984" s="3">
        <v>13</v>
      </c>
      <c r="G22984" t="s">
        <v>514</v>
      </c>
    </row>
    <row r="22985" spans="1:7" x14ac:dyDescent="0.25">
      <c r="A22985" s="1" t="str">
        <f>"525316"</f>
        <v>525316</v>
      </c>
      <c r="B22985" s="2" t="str">
        <f>"TANQUE CIMENTO COM BASE"</f>
        <v>TANQUE CIMENTO COM BASE</v>
      </c>
      <c r="C22985" s="2" t="str">
        <f t="shared" si="906"/>
        <v>UN</v>
      </c>
      <c r="D22985" s="7">
        <v>99999</v>
      </c>
      <c r="E22985" s="3">
        <v>99</v>
      </c>
      <c r="F22985" s="3">
        <v>99</v>
      </c>
      <c r="G22985" t="s">
        <v>513</v>
      </c>
    </row>
    <row r="22986" spans="1:7" x14ac:dyDescent="0.25">
      <c r="A22986" s="1" t="str">
        <f>"522345"</f>
        <v>522345</v>
      </c>
      <c r="B22986" s="2" t="str">
        <f>"TANQUE CIP 1.000LTS AGUIA INOX"</f>
        <v>TANQUE CIP 1.000LTS AGUIA INOX</v>
      </c>
      <c r="C22986" s="2" t="str">
        <f t="shared" si="906"/>
        <v>UN</v>
      </c>
      <c r="D22986" s="7">
        <v>1600</v>
      </c>
      <c r="E22986" s="3">
        <v>10</v>
      </c>
      <c r="F22986" s="3">
        <v>10</v>
      </c>
      <c r="G22986" t="s">
        <v>512</v>
      </c>
    </row>
    <row r="22987" spans="1:7" x14ac:dyDescent="0.25">
      <c r="A22987" s="1" t="str">
        <f>"509222"</f>
        <v>509222</v>
      </c>
      <c r="B22987" s="2" t="str">
        <f>"TANQUE CIP 1000LT"</f>
        <v>TANQUE CIP 1000LT</v>
      </c>
      <c r="C22987" s="2" t="str">
        <f t="shared" si="906"/>
        <v>UN</v>
      </c>
      <c r="D22987" s="7">
        <v>1600</v>
      </c>
      <c r="E22987" s="3">
        <v>13</v>
      </c>
      <c r="F22987" s="3">
        <v>13</v>
      </c>
      <c r="G22987" t="s">
        <v>513</v>
      </c>
    </row>
    <row r="22988" spans="1:7" x14ac:dyDescent="0.25">
      <c r="A22988" s="1" t="str">
        <f>"522344"</f>
        <v>522344</v>
      </c>
      <c r="B22988" s="2" t="str">
        <f>"TANQUE CIP 6.000LTS AGUIA INOX"</f>
        <v>TANQUE CIP 6.000LTS AGUIA INOX</v>
      </c>
      <c r="C22988" s="2" t="str">
        <f t="shared" si="906"/>
        <v>UN</v>
      </c>
      <c r="D22988" s="7">
        <v>1600</v>
      </c>
      <c r="E22988" s="3">
        <v>10</v>
      </c>
      <c r="F22988" s="3">
        <v>10</v>
      </c>
      <c r="G22988" t="s">
        <v>514</v>
      </c>
    </row>
    <row r="22989" spans="1:7" x14ac:dyDescent="0.25">
      <c r="A22989" s="1" t="str">
        <f>"525021"</f>
        <v>525021</v>
      </c>
      <c r="B22989" s="2" t="str">
        <f>"TANQUE COLETOR DE LODO 4M3 AÇO CARB. C/ AGITAÇÃO"</f>
        <v>TANQUE COLETOR DE LODO 4M3 AÇO CARB. C/ AGITAÇÃO</v>
      </c>
      <c r="C22989" s="2" t="str">
        <f t="shared" si="906"/>
        <v>UN</v>
      </c>
      <c r="D22989" s="7">
        <v>1300</v>
      </c>
      <c r="E22989" s="3">
        <v>13</v>
      </c>
      <c r="F22989" s="3">
        <v>13</v>
      </c>
      <c r="G22989" t="s">
        <v>514</v>
      </c>
    </row>
    <row r="22990" spans="1:7" x14ac:dyDescent="0.25">
      <c r="A22990" s="1" t="str">
        <f>"509403"</f>
        <v>509403</v>
      </c>
      <c r="B22990" s="2" t="str">
        <f>"TANQUE COMBUSTIVEL C/ SAPATA 15000L"</f>
        <v>TANQUE COMBUSTIVEL C/ SAPATA 15000L</v>
      </c>
      <c r="C22990" s="2" t="str">
        <f t="shared" si="906"/>
        <v>UN</v>
      </c>
      <c r="D22990" s="7">
        <v>1600</v>
      </c>
      <c r="E22990" s="3">
        <v>13</v>
      </c>
      <c r="F22990" s="3">
        <v>13</v>
      </c>
      <c r="G22990" t="s">
        <v>514</v>
      </c>
    </row>
    <row r="22991" spans="1:7" x14ac:dyDescent="0.25">
      <c r="A22991" s="1" t="str">
        <f>"501911"</f>
        <v>501911</v>
      </c>
      <c r="B22991" s="2" t="str">
        <f>"TANQUE COMBUSTIVEL PLASTICO 300 L"</f>
        <v>TANQUE COMBUSTIVEL PLASTICO 300 L</v>
      </c>
      <c r="C22991" s="2" t="str">
        <f t="shared" si="906"/>
        <v>UN</v>
      </c>
      <c r="D22991" s="7">
        <v>704</v>
      </c>
      <c r="E22991" s="3">
        <v>9</v>
      </c>
      <c r="F22991" s="3">
        <v>9</v>
      </c>
      <c r="G22991" t="s">
        <v>513</v>
      </c>
    </row>
    <row r="22992" spans="1:7" x14ac:dyDescent="0.25">
      <c r="A22992" s="1" t="str">
        <f>"515192"</f>
        <v>515192</v>
      </c>
      <c r="B22992" s="2" t="str">
        <f>"TANQUE CVFP EM PE 2000L"</f>
        <v>TANQUE CVFP EM PE 2000L</v>
      </c>
      <c r="C22992" s="2" t="str">
        <f t="shared" si="906"/>
        <v>UN</v>
      </c>
      <c r="D22992" s="7">
        <v>400</v>
      </c>
      <c r="E22992" s="3">
        <v>4</v>
      </c>
      <c r="F22992" s="3">
        <v>4</v>
      </c>
      <c r="G22992" t="s">
        <v>513</v>
      </c>
    </row>
    <row r="22993" spans="1:7" x14ac:dyDescent="0.25">
      <c r="A22993" s="1" t="str">
        <f>"515193"</f>
        <v>515193</v>
      </c>
      <c r="B22993" s="2" t="str">
        <f>"TANQUE CVFP EM PE 6000L"</f>
        <v>TANQUE CVFP EM PE 6000L</v>
      </c>
      <c r="C22993" s="2" t="str">
        <f t="shared" si="906"/>
        <v>UN</v>
      </c>
      <c r="D22993" s="7">
        <v>400</v>
      </c>
      <c r="E22993" s="3">
        <v>4</v>
      </c>
      <c r="F22993" s="3">
        <v>4</v>
      </c>
      <c r="G22993" t="s">
        <v>513</v>
      </c>
    </row>
    <row r="22994" spans="1:7" x14ac:dyDescent="0.25">
      <c r="A22994" s="1" t="str">
        <f>"507082"</f>
        <v>507082</v>
      </c>
      <c r="B22994" s="2" t="str">
        <f>"TANQUE DE EQUILIBRIO"</f>
        <v>TANQUE DE EQUILIBRIO</v>
      </c>
      <c r="C22994" s="2" t="str">
        <f t="shared" si="906"/>
        <v>UN</v>
      </c>
      <c r="D22994" s="7">
        <v>915</v>
      </c>
      <c r="E22994" s="3">
        <v>10</v>
      </c>
      <c r="F22994" s="3">
        <v>10</v>
      </c>
      <c r="G22994" t="s">
        <v>512</v>
      </c>
    </row>
    <row r="22995" spans="1:7" x14ac:dyDescent="0.25">
      <c r="A22995" s="1" t="str">
        <f>"522490"</f>
        <v>522490</v>
      </c>
      <c r="B22995" s="2" t="str">
        <f>"TANQUE DE PLASTICO P/ REAGENTES 10 LITROS (FOSS)"</f>
        <v>TANQUE DE PLASTICO P/ REAGENTES 10 LITROS (FOSS)</v>
      </c>
      <c r="C22995" s="2" t="str">
        <f t="shared" si="906"/>
        <v>UN</v>
      </c>
      <c r="D22995" s="7">
        <v>406</v>
      </c>
      <c r="E22995" s="3">
        <v>4</v>
      </c>
      <c r="F22995" s="3">
        <v>4</v>
      </c>
      <c r="G22995" t="s">
        <v>513</v>
      </c>
    </row>
    <row r="22996" spans="1:7" x14ac:dyDescent="0.25">
      <c r="A22996" s="1" t="str">
        <f>"511839"</f>
        <v>511839</v>
      </c>
      <c r="B22996" s="2" t="str">
        <f>"TANQUE DOSADO GRAVIDADE"</f>
        <v>TANQUE DOSADO GRAVIDADE</v>
      </c>
      <c r="C22996" s="2" t="str">
        <f t="shared" si="906"/>
        <v>UN</v>
      </c>
      <c r="D22996" s="7">
        <v>915</v>
      </c>
      <c r="E22996" s="3">
        <v>11</v>
      </c>
      <c r="F22996" s="3">
        <v>11</v>
      </c>
      <c r="G22996" t="s">
        <v>514</v>
      </c>
    </row>
    <row r="22997" spans="1:7" x14ac:dyDescent="0.25">
      <c r="A22997" s="1" t="str">
        <f>"511621"</f>
        <v>511621</v>
      </c>
      <c r="B22997" s="2" t="str">
        <f>"TANQUE DOSADOR POR GRAVIDADE"</f>
        <v>TANQUE DOSADOR POR GRAVIDADE</v>
      </c>
      <c r="C22997" s="2" t="str">
        <f t="shared" si="906"/>
        <v>UN</v>
      </c>
      <c r="D22997" s="7">
        <v>915</v>
      </c>
      <c r="E22997" s="3">
        <v>11</v>
      </c>
      <c r="F22997" s="3">
        <v>11</v>
      </c>
      <c r="G22997" t="s">
        <v>515</v>
      </c>
    </row>
    <row r="22998" spans="1:7" x14ac:dyDescent="0.25">
      <c r="A22998" s="1" t="str">
        <f>"515420"</f>
        <v>515420</v>
      </c>
      <c r="B22998" s="2" t="str">
        <f>"TANQUE EM AÇO INOX 3200 LTS"</f>
        <v>TANQUE EM AÇO INOX 3200 LTS</v>
      </c>
      <c r="C22998" s="2" t="str">
        <f t="shared" si="906"/>
        <v>UN</v>
      </c>
      <c r="D22998" s="7">
        <v>1600</v>
      </c>
      <c r="E22998" s="3">
        <v>13</v>
      </c>
      <c r="F22998" s="3">
        <v>13</v>
      </c>
      <c r="G22998" t="s">
        <v>512</v>
      </c>
    </row>
    <row r="22999" spans="1:7" x14ac:dyDescent="0.25">
      <c r="A22999" s="1" t="str">
        <f>"515423"</f>
        <v>515423</v>
      </c>
      <c r="B22999" s="2" t="str">
        <f>"TANQUE EM AÇO INOX ELC VERTICAL 800LTS"</f>
        <v>TANQUE EM AÇO INOX ELC VERTICAL 800LTS</v>
      </c>
      <c r="C22999" s="2" t="str">
        <f t="shared" si="906"/>
        <v>UN</v>
      </c>
      <c r="D22999" s="7">
        <v>1600</v>
      </c>
      <c r="E22999" s="3">
        <v>13</v>
      </c>
      <c r="F22999" s="3">
        <v>13</v>
      </c>
      <c r="G22999" t="s">
        <v>516</v>
      </c>
    </row>
    <row r="23000" spans="1:7" x14ac:dyDescent="0.25">
      <c r="A23000" s="1" t="str">
        <f>"515320"</f>
        <v>515320</v>
      </c>
      <c r="B23000" s="2" t="str">
        <f>"TANQUE EM AÇO INOX P/ SALGA DE QUEIJO 250 LITROS"</f>
        <v>TANQUE EM AÇO INOX P/ SALGA DE QUEIJO 250 LITROS</v>
      </c>
      <c r="C23000" s="2" t="str">
        <f t="shared" si="906"/>
        <v>UN</v>
      </c>
      <c r="D23000" s="7">
        <v>1300</v>
      </c>
      <c r="E23000" s="3">
        <v>13</v>
      </c>
      <c r="F23000" s="3">
        <v>13</v>
      </c>
      <c r="G23000" t="s">
        <v>515</v>
      </c>
    </row>
    <row r="23001" spans="1:7" x14ac:dyDescent="0.25">
      <c r="A23001" s="1" t="str">
        <f>"515319"</f>
        <v>515319</v>
      </c>
      <c r="B23001" s="2" t="str">
        <f>"TANQUE EM AÇO INOX P/ SALGA DE QUEIJO 500 LITROS"</f>
        <v>TANQUE EM AÇO INOX P/ SALGA DE QUEIJO 500 LITROS</v>
      </c>
      <c r="C23001" s="2" t="str">
        <f t="shared" si="906"/>
        <v>UN</v>
      </c>
      <c r="D23001" s="7">
        <v>1300</v>
      </c>
      <c r="E23001" s="3">
        <v>13</v>
      </c>
      <c r="F23001" s="3">
        <v>13</v>
      </c>
      <c r="G23001" t="s">
        <v>514</v>
      </c>
    </row>
    <row r="23002" spans="1:7" x14ac:dyDescent="0.25">
      <c r="A23002" s="1" t="str">
        <f>"515421"</f>
        <v>515421</v>
      </c>
      <c r="B23002" s="2" t="str">
        <f>"TANQUE EM AÇO INOX P/ SALGA DE QUEIJO RETANGULAR"</f>
        <v>TANQUE EM AÇO INOX P/ SALGA DE QUEIJO RETANGULAR</v>
      </c>
      <c r="C23002" s="2" t="str">
        <f t="shared" si="906"/>
        <v>UN</v>
      </c>
      <c r="D23002" s="7">
        <v>1600</v>
      </c>
      <c r="E23002" s="3">
        <v>13</v>
      </c>
      <c r="F23002" s="3">
        <v>13</v>
      </c>
      <c r="G23002" t="s">
        <v>512</v>
      </c>
    </row>
    <row r="23003" spans="1:7" x14ac:dyDescent="0.25">
      <c r="A23003" s="1" t="str">
        <f>"515422"</f>
        <v>515422</v>
      </c>
      <c r="B23003" s="2" t="str">
        <f>"TANQUE EM AÇO INOX P/ SALGA DE QUEIJO RETANGULAR 300LTS"</f>
        <v>TANQUE EM AÇO INOX P/ SALGA DE QUEIJO RETANGULAR 300LTS</v>
      </c>
      <c r="C23003" s="2" t="str">
        <f t="shared" si="906"/>
        <v>UN</v>
      </c>
      <c r="D23003" s="7">
        <v>1600</v>
      </c>
      <c r="E23003" s="3">
        <v>13</v>
      </c>
      <c r="F23003" s="3">
        <v>13</v>
      </c>
      <c r="G23003" t="s">
        <v>513</v>
      </c>
    </row>
    <row r="23004" spans="1:7" x14ac:dyDescent="0.25">
      <c r="A23004" s="1" t="str">
        <f>"515426"</f>
        <v>515426</v>
      </c>
      <c r="B23004" s="2" t="str">
        <f>"TANQUE EM AÇO INOX RETANGULAR"</f>
        <v>TANQUE EM AÇO INOX RETANGULAR</v>
      </c>
      <c r="C23004" s="2" t="str">
        <f t="shared" si="906"/>
        <v>UN</v>
      </c>
      <c r="D23004" s="7">
        <v>1600</v>
      </c>
      <c r="E23004" s="3">
        <v>13</v>
      </c>
      <c r="F23004" s="3">
        <v>13</v>
      </c>
      <c r="G23004" t="s">
        <v>514</v>
      </c>
    </row>
    <row r="23005" spans="1:7" x14ac:dyDescent="0.25">
      <c r="A23005" s="1" t="str">
        <f>"515425"</f>
        <v>515425</v>
      </c>
      <c r="B23005" s="2" t="str">
        <f>"TANQUE EM AÇO INOX RETANGULAR 2000 LTS"</f>
        <v>TANQUE EM AÇO INOX RETANGULAR 2000 LTS</v>
      </c>
      <c r="C23005" s="2" t="str">
        <f t="shared" ref="C23005:C23022" si="907">"UN"</f>
        <v>UN</v>
      </c>
      <c r="D23005" s="7">
        <v>1600</v>
      </c>
      <c r="E23005" s="3">
        <v>13</v>
      </c>
      <c r="F23005" s="3">
        <v>13</v>
      </c>
      <c r="G23005" t="s">
        <v>514</v>
      </c>
    </row>
    <row r="23006" spans="1:7" x14ac:dyDescent="0.25">
      <c r="A23006" s="1" t="str">
        <f>"515424"</f>
        <v>515424</v>
      </c>
      <c r="B23006" s="2" t="str">
        <f>"TANQUE EM AÇO INOX RETANGULAR POLINOX 3000LTS"</f>
        <v>TANQUE EM AÇO INOX RETANGULAR POLINOX 3000LTS</v>
      </c>
      <c r="C23006" s="2" t="str">
        <f t="shared" si="907"/>
        <v>UN</v>
      </c>
      <c r="D23006" s="7">
        <v>1600</v>
      </c>
      <c r="E23006" s="3">
        <v>13</v>
      </c>
      <c r="F23006" s="3">
        <v>13</v>
      </c>
      <c r="G23006" t="s">
        <v>512</v>
      </c>
    </row>
    <row r="23007" spans="1:7" x14ac:dyDescent="0.25">
      <c r="A23007" s="1" t="str">
        <f>"515953"</f>
        <v>515953</v>
      </c>
      <c r="B23007" s="2" t="str">
        <f>"TANQUE EM FIBRA DE VIDRO (PRVF)"</f>
        <v>TANQUE EM FIBRA DE VIDRO (PRVF)</v>
      </c>
      <c r="C23007" s="2" t="str">
        <f t="shared" si="907"/>
        <v>UN</v>
      </c>
      <c r="D23007" s="7">
        <v>99999</v>
      </c>
      <c r="E23007" s="3">
        <v>99</v>
      </c>
      <c r="F23007" s="3">
        <v>99</v>
      </c>
      <c r="G23007" t="s">
        <v>513</v>
      </c>
    </row>
    <row r="23008" spans="1:7" x14ac:dyDescent="0.25">
      <c r="A23008" s="1" t="str">
        <f>"515629"</f>
        <v>515629</v>
      </c>
      <c r="B23008" s="2" t="str">
        <f>"TANQUE ETSCHEID KW800-1 1X220V 26AHZ GA15006"</f>
        <v>TANQUE ETSCHEID KW800-1 1X220V 26AHZ GA15006</v>
      </c>
      <c r="C23008" s="2" t="str">
        <f t="shared" si="907"/>
        <v>UN</v>
      </c>
      <c r="D23008" s="7">
        <v>1600</v>
      </c>
      <c r="E23008" s="3">
        <v>13</v>
      </c>
      <c r="F23008" s="3">
        <v>13</v>
      </c>
      <c r="G23008" t="s">
        <v>514</v>
      </c>
    </row>
    <row r="23009" spans="1:7" x14ac:dyDescent="0.25">
      <c r="A23009" s="1" t="str">
        <f>"503398"</f>
        <v>503398</v>
      </c>
      <c r="B23009" s="2" t="str">
        <f>"TANQUE EXPANSAO"</f>
        <v>TANQUE EXPANSAO</v>
      </c>
      <c r="C23009" s="2" t="str">
        <f t="shared" si="907"/>
        <v>UN</v>
      </c>
      <c r="D23009" s="7">
        <v>704</v>
      </c>
      <c r="E23009" s="3">
        <v>9</v>
      </c>
      <c r="F23009" s="3">
        <v>9</v>
      </c>
      <c r="G23009" t="s">
        <v>514</v>
      </c>
    </row>
    <row r="23010" spans="1:7" x14ac:dyDescent="0.25">
      <c r="A23010" s="1" t="str">
        <f>"521963"</f>
        <v>521963</v>
      </c>
      <c r="B23010" s="2" t="str">
        <f>"TANQUE EXPANSÃO PACKO PLURINOX 1000L"</f>
        <v>TANQUE EXPANSÃO PACKO PLURINOX 1000L</v>
      </c>
      <c r="C23010" s="2" t="str">
        <f t="shared" si="907"/>
        <v>UN</v>
      </c>
      <c r="D23010" s="7">
        <v>1600</v>
      </c>
      <c r="E23010" s="3">
        <v>13</v>
      </c>
      <c r="F23010" s="3">
        <v>13</v>
      </c>
      <c r="G23010" t="s">
        <v>514</v>
      </c>
    </row>
    <row r="23011" spans="1:7" x14ac:dyDescent="0.25">
      <c r="A23011" s="1" t="str">
        <f>"515293"</f>
        <v>515293</v>
      </c>
      <c r="B23011" s="2" t="str">
        <f>"TANQUE FABRICACAO DE QUEIJO AÇO INOX C/ CAMISA 2500 LITROS"</f>
        <v>TANQUE FABRICACAO DE QUEIJO AÇO INOX C/ CAMISA 2500 LITROS</v>
      </c>
      <c r="C23011" s="2" t="str">
        <f t="shared" si="907"/>
        <v>UN</v>
      </c>
      <c r="D23011" s="7">
        <v>1600</v>
      </c>
      <c r="E23011" s="3">
        <v>13</v>
      </c>
      <c r="F23011" s="3">
        <v>13</v>
      </c>
      <c r="G23011" t="s">
        <v>513</v>
      </c>
    </row>
    <row r="23012" spans="1:7" x14ac:dyDescent="0.25">
      <c r="A23012" s="1" t="str">
        <f>"515294"</f>
        <v>515294</v>
      </c>
      <c r="B23012" s="2" t="str">
        <f>"TANQUE FABRICACAO DE QUEIJO AÇO INOX C/ CAMISA 3000 LITROS"</f>
        <v>TANQUE FABRICACAO DE QUEIJO AÇO INOX C/ CAMISA 3000 LITROS</v>
      </c>
      <c r="C23012" s="2" t="str">
        <f t="shared" si="907"/>
        <v>UN</v>
      </c>
      <c r="D23012" s="7">
        <v>1600</v>
      </c>
      <c r="E23012" s="3">
        <v>13</v>
      </c>
      <c r="F23012" s="3">
        <v>13</v>
      </c>
      <c r="G23012" t="s">
        <v>512</v>
      </c>
    </row>
    <row r="23013" spans="1:7" x14ac:dyDescent="0.25">
      <c r="A23013" s="1" t="str">
        <f>"515292"</f>
        <v>515292</v>
      </c>
      <c r="B23013" s="2" t="str">
        <f>"TANQUE FABRICACAO DE QUEIJO AÇO INOX PAREDE SIMPLES 2000 L"</f>
        <v>TANQUE FABRICACAO DE QUEIJO AÇO INOX PAREDE SIMPLES 2000 L</v>
      </c>
      <c r="C23013" s="2" t="str">
        <f t="shared" si="907"/>
        <v>UN</v>
      </c>
      <c r="D23013" s="7">
        <v>1600</v>
      </c>
      <c r="E23013" s="3">
        <v>13</v>
      </c>
      <c r="F23013" s="3">
        <v>13</v>
      </c>
      <c r="G23013" t="s">
        <v>513</v>
      </c>
    </row>
    <row r="23014" spans="1:7" x14ac:dyDescent="0.25">
      <c r="A23014" s="1" t="str">
        <f>"515427"</f>
        <v>515427</v>
      </c>
      <c r="B23014" s="2" t="str">
        <f>"TANQUE HORIZONTAL EM AÇO INOX 20.000 LTS"</f>
        <v>TANQUE HORIZONTAL EM AÇO INOX 20.000 LTS</v>
      </c>
      <c r="C23014" s="2" t="str">
        <f t="shared" si="907"/>
        <v>UN</v>
      </c>
      <c r="D23014" s="7">
        <v>1600</v>
      </c>
      <c r="E23014" s="3">
        <v>13</v>
      </c>
      <c r="F23014" s="3">
        <v>13</v>
      </c>
      <c r="G23014" t="s">
        <v>514</v>
      </c>
    </row>
    <row r="23015" spans="1:7" x14ac:dyDescent="0.25">
      <c r="A23015" s="1" t="str">
        <f>"515428"</f>
        <v>515428</v>
      </c>
      <c r="B23015" s="2" t="str">
        <f>"TANQUE HORIZONTAL EM AÇO INOX 5000 LTS BRANCA COM MOTOR WEG"</f>
        <v>TANQUE HORIZONTAL EM AÇO INOX 5000 LTS BRANCA COM MOTOR WEG</v>
      </c>
      <c r="C23015" s="2" t="str">
        <f t="shared" si="907"/>
        <v>UN</v>
      </c>
      <c r="D23015" s="7">
        <v>1600</v>
      </c>
      <c r="E23015" s="3">
        <v>13</v>
      </c>
      <c r="F23015" s="3">
        <v>13</v>
      </c>
      <c r="G23015" t="s">
        <v>514</v>
      </c>
    </row>
    <row r="23016" spans="1:7" x14ac:dyDescent="0.25">
      <c r="A23016" s="1" t="str">
        <f>"527951"</f>
        <v>527951</v>
      </c>
      <c r="B23016" s="2" t="str">
        <f>"TANQUE INOX 8000LT MED 1,90 X 6,50MT INOX 304"</f>
        <v>TANQUE INOX 8000LT MED 1,90 X 6,50MT INOX 304</v>
      </c>
      <c r="C23016" s="2" t="str">
        <f t="shared" si="907"/>
        <v>UN</v>
      </c>
      <c r="D23016" s="7">
        <v>1600</v>
      </c>
      <c r="E23016" s="3">
        <v>13</v>
      </c>
      <c r="F23016" s="3">
        <v>13</v>
      </c>
      <c r="G23016" t="s">
        <v>514</v>
      </c>
    </row>
    <row r="23017" spans="1:7" x14ac:dyDescent="0.25">
      <c r="A23017" s="1" t="str">
        <f>"521513"</f>
        <v>521513</v>
      </c>
      <c r="B23017" s="2" t="str">
        <f>"TANQUE INOX GERADOR ESPUMA (IMP)"</f>
        <v>TANQUE INOX GERADOR ESPUMA (IMP)</v>
      </c>
      <c r="C23017" s="2" t="str">
        <f t="shared" si="907"/>
        <v>UN</v>
      </c>
      <c r="D23017" s="7">
        <v>99999</v>
      </c>
      <c r="E23017" s="3">
        <v>99</v>
      </c>
      <c r="F23017" s="3">
        <v>99</v>
      </c>
      <c r="G23017" t="s">
        <v>513</v>
      </c>
    </row>
    <row r="23018" spans="1:7" x14ac:dyDescent="0.25">
      <c r="A23018" s="1" t="str">
        <f>"509556"</f>
        <v>509556</v>
      </c>
      <c r="B23018" s="2" t="str">
        <f>"TANQUE INOX MODELO VCCCMI - 15000L"</f>
        <v>TANQUE INOX MODELO VCCCMI - 15000L</v>
      </c>
      <c r="C23018" s="2" t="str">
        <f t="shared" si="907"/>
        <v>UN</v>
      </c>
      <c r="D23018" s="7">
        <v>1600</v>
      </c>
      <c r="E23018" s="3">
        <v>13</v>
      </c>
      <c r="F23018" s="3">
        <v>13</v>
      </c>
      <c r="G23018" t="s">
        <v>513</v>
      </c>
    </row>
    <row r="23019" spans="1:7" x14ac:dyDescent="0.25">
      <c r="A23019" s="1" t="str">
        <f>"509117"</f>
        <v>509117</v>
      </c>
      <c r="B23019" s="2" t="str">
        <f>"TANQUE INOX MODELO VCCCMI - 2000L"</f>
        <v>TANQUE INOX MODELO VCCCMI - 2000L</v>
      </c>
      <c r="C23019" s="2" t="str">
        <f t="shared" si="907"/>
        <v>UN</v>
      </c>
      <c r="D23019" s="7">
        <v>1600</v>
      </c>
      <c r="E23019" s="3">
        <v>13</v>
      </c>
      <c r="F23019" s="3">
        <v>13</v>
      </c>
      <c r="G23019" t="s">
        <v>513</v>
      </c>
    </row>
    <row r="23020" spans="1:7" x14ac:dyDescent="0.25">
      <c r="A23020" s="1" t="str">
        <f>"509115"</f>
        <v>509115</v>
      </c>
      <c r="B23020" s="2" t="str">
        <f>"TANQUE INOX MODELO VCCCOI - 10000L"</f>
        <v>TANQUE INOX MODELO VCCCOI - 10000L</v>
      </c>
      <c r="C23020" s="2" t="str">
        <f t="shared" si="907"/>
        <v>UN</v>
      </c>
      <c r="D23020" s="7">
        <v>1600</v>
      </c>
      <c r="E23020" s="3">
        <v>13</v>
      </c>
      <c r="F23020" s="3">
        <v>13</v>
      </c>
      <c r="G23020" t="s">
        <v>512</v>
      </c>
    </row>
    <row r="23021" spans="1:7" x14ac:dyDescent="0.25">
      <c r="A23021" s="1" t="str">
        <f>"509116"</f>
        <v>509116</v>
      </c>
      <c r="B23021" s="2" t="str">
        <f>"TANQUE INOX MODELO VCCCOI - 15000L"</f>
        <v>TANQUE INOX MODELO VCCCOI - 15000L</v>
      </c>
      <c r="C23021" s="2" t="str">
        <f t="shared" si="907"/>
        <v>UN</v>
      </c>
      <c r="D23021" s="7">
        <v>1600</v>
      </c>
      <c r="E23021" s="3">
        <v>13</v>
      </c>
      <c r="F23021" s="3">
        <v>13</v>
      </c>
      <c r="G23021" t="s">
        <v>513</v>
      </c>
    </row>
    <row r="23022" spans="1:7" x14ac:dyDescent="0.25">
      <c r="A23022" s="1" t="str">
        <f>"509557"</f>
        <v>509557</v>
      </c>
      <c r="B23022" s="2" t="str">
        <f>"TANQUE INOX MODELO VCCCOI - 30000L"</f>
        <v>TANQUE INOX MODELO VCCCOI - 30000L</v>
      </c>
      <c r="C23022" s="2" t="str">
        <f t="shared" si="907"/>
        <v>UN</v>
      </c>
      <c r="D23022" s="7">
        <v>1600</v>
      </c>
      <c r="E23022" s="3">
        <v>13</v>
      </c>
      <c r="F23022" s="3">
        <v>13</v>
      </c>
      <c r="G23022" t="s">
        <v>514</v>
      </c>
    </row>
    <row r="23023" spans="1:7" x14ac:dyDescent="0.25">
      <c r="A23023" s="1" t="str">
        <f>"512270"</f>
        <v>512270</v>
      </c>
      <c r="B23023" s="2" t="str">
        <f>"TANQUE INOX MODELO VCCMI - 5000LT"</f>
        <v>TANQUE INOX MODELO VCCMI - 5000LT</v>
      </c>
      <c r="C23023" s="2" t="str">
        <f>"BR"</f>
        <v>BR</v>
      </c>
      <c r="D23023" s="7">
        <v>807</v>
      </c>
      <c r="E23023" s="3">
        <v>10</v>
      </c>
      <c r="F23023" s="3">
        <v>10</v>
      </c>
      <c r="G23023" t="s">
        <v>515</v>
      </c>
    </row>
    <row r="23024" spans="1:7" x14ac:dyDescent="0.25">
      <c r="A23024" s="1" t="str">
        <f>"514057"</f>
        <v>514057</v>
      </c>
      <c r="B23024" s="2" t="str">
        <f>"TANQUE ISOT. ESTAC. VERT. 5000LT BRASHOLAND"</f>
        <v>TANQUE ISOT. ESTAC. VERT. 5000LT BRASHOLAND</v>
      </c>
      <c r="C23024" s="2" t="str">
        <f t="shared" ref="C23024:C23055" si="908">"UN"</f>
        <v>UN</v>
      </c>
      <c r="D23024" s="7">
        <v>1600</v>
      </c>
      <c r="E23024" s="3">
        <v>13</v>
      </c>
      <c r="F23024" s="3">
        <v>13</v>
      </c>
      <c r="G23024" t="s">
        <v>512</v>
      </c>
    </row>
    <row r="23025" spans="1:7" x14ac:dyDescent="0.25">
      <c r="A23025" s="1" t="str">
        <f>"515682"</f>
        <v>515682</v>
      </c>
      <c r="B23025" s="2" t="str">
        <f>"TANQUE ISOT. ROD. 15 MIL LITROS"</f>
        <v>TANQUE ISOT. ROD. 15 MIL LITROS</v>
      </c>
      <c r="C23025" s="2" t="str">
        <f t="shared" si="908"/>
        <v>UN</v>
      </c>
      <c r="D23025" s="7">
        <v>1600</v>
      </c>
      <c r="E23025" s="3">
        <v>13</v>
      </c>
      <c r="F23025" s="3">
        <v>13</v>
      </c>
      <c r="G23025" t="s">
        <v>516</v>
      </c>
    </row>
    <row r="23026" spans="1:7" x14ac:dyDescent="0.25">
      <c r="A23026" s="1" t="str">
        <f>"512499"</f>
        <v>512499</v>
      </c>
      <c r="B23026" s="2" t="str">
        <f>"TANQUE ISOT. RODOLEITE 10200LTS ETSCHEID"</f>
        <v>TANQUE ISOT. RODOLEITE 10200LTS ETSCHEID</v>
      </c>
      <c r="C23026" s="2" t="str">
        <f t="shared" si="908"/>
        <v>UN</v>
      </c>
      <c r="D23026" s="7">
        <v>704</v>
      </c>
      <c r="E23026" s="3">
        <v>9</v>
      </c>
      <c r="F23026" s="3">
        <v>9</v>
      </c>
      <c r="G23026" t="s">
        <v>515</v>
      </c>
    </row>
    <row r="23027" spans="1:7" x14ac:dyDescent="0.25">
      <c r="A23027" s="1" t="str">
        <f>"514053"</f>
        <v>514053</v>
      </c>
      <c r="B23027" s="2" t="str">
        <f>"TANQUE ISOT. RODOVIARIO 10000LT EUGAPEC"</f>
        <v>TANQUE ISOT. RODOVIARIO 10000LT EUGAPEC</v>
      </c>
      <c r="C23027" s="2" t="str">
        <f t="shared" si="908"/>
        <v>UN</v>
      </c>
      <c r="D23027" s="7">
        <v>1600</v>
      </c>
      <c r="E23027" s="3">
        <v>13</v>
      </c>
      <c r="F23027" s="3">
        <v>13</v>
      </c>
      <c r="G23027" t="s">
        <v>514</v>
      </c>
    </row>
    <row r="23028" spans="1:7" x14ac:dyDescent="0.25">
      <c r="A23028" s="1" t="str">
        <f>"522559"</f>
        <v>522559</v>
      </c>
      <c r="B23028" s="2" t="str">
        <f>"TANQUE ISOT. RODOVIARIO 16000 LTS ETSCHEID"</f>
        <v>TANQUE ISOT. RODOVIARIO 16000 LTS ETSCHEID</v>
      </c>
      <c r="C23028" s="2" t="str">
        <f t="shared" si="908"/>
        <v>UN</v>
      </c>
      <c r="D23028" s="7">
        <v>1600</v>
      </c>
      <c r="E23028" s="3">
        <v>13</v>
      </c>
      <c r="F23028" s="3">
        <v>13</v>
      </c>
      <c r="G23028" t="s">
        <v>512</v>
      </c>
    </row>
    <row r="23029" spans="1:7" x14ac:dyDescent="0.25">
      <c r="A23029" s="1" t="str">
        <f>"518613"</f>
        <v>518613</v>
      </c>
      <c r="B23029" s="2" t="str">
        <f>"TANQUE ISOT. RODOVIARIO 28000LT"</f>
        <v>TANQUE ISOT. RODOVIARIO 28000LT</v>
      </c>
      <c r="C23029" s="2" t="str">
        <f t="shared" si="908"/>
        <v>UN</v>
      </c>
      <c r="D23029" s="7">
        <v>1600</v>
      </c>
      <c r="E23029" s="3">
        <v>13</v>
      </c>
      <c r="F23029" s="3">
        <v>13</v>
      </c>
      <c r="G23029" t="s">
        <v>513</v>
      </c>
    </row>
    <row r="23030" spans="1:7" x14ac:dyDescent="0.25">
      <c r="A23030" s="1" t="str">
        <f>"514055"</f>
        <v>514055</v>
      </c>
      <c r="B23030" s="2" t="str">
        <f>"TANQUE ISOT. RODOVIARIO 8000LT FRIODINAL"</f>
        <v>TANQUE ISOT. RODOVIARIO 8000LT FRIODINAL</v>
      </c>
      <c r="C23030" s="2" t="str">
        <f t="shared" si="908"/>
        <v>UN</v>
      </c>
      <c r="D23030" s="7">
        <v>1600</v>
      </c>
      <c r="E23030" s="3">
        <v>13</v>
      </c>
      <c r="F23030" s="3">
        <v>13</v>
      </c>
      <c r="G23030" t="s">
        <v>514</v>
      </c>
    </row>
    <row r="23031" spans="1:7" x14ac:dyDescent="0.25">
      <c r="A23031" s="1" t="str">
        <f>"514051"</f>
        <v>514051</v>
      </c>
      <c r="B23031" s="2" t="str">
        <f>"TANQUE ISOT. RODOVIARIO 8000LT GLOBOINOX"</f>
        <v>TANQUE ISOT. RODOVIARIO 8000LT GLOBOINOX</v>
      </c>
      <c r="C23031" s="2" t="str">
        <f t="shared" si="908"/>
        <v>UN</v>
      </c>
      <c r="D23031" s="7">
        <v>1600</v>
      </c>
      <c r="E23031" s="3">
        <v>13</v>
      </c>
      <c r="F23031" s="3">
        <v>13</v>
      </c>
      <c r="G23031" t="s">
        <v>514</v>
      </c>
    </row>
    <row r="23032" spans="1:7" x14ac:dyDescent="0.25">
      <c r="A23032" s="1" t="str">
        <f>"514052"</f>
        <v>514052</v>
      </c>
      <c r="B23032" s="2" t="str">
        <f>"TANQUE ISOT. RODOVIARIO 9000LT FRIODINAL"</f>
        <v>TANQUE ISOT. RODOVIARIO 9000LT FRIODINAL</v>
      </c>
      <c r="C23032" s="2" t="str">
        <f t="shared" si="908"/>
        <v>UN</v>
      </c>
      <c r="D23032" s="7">
        <v>1600</v>
      </c>
      <c r="E23032" s="3">
        <v>13</v>
      </c>
      <c r="F23032" s="3">
        <v>13</v>
      </c>
      <c r="G23032" t="s">
        <v>512</v>
      </c>
    </row>
    <row r="23033" spans="1:7" x14ac:dyDescent="0.25">
      <c r="A23033" s="1" t="str">
        <f>"515491"</f>
        <v>515491</v>
      </c>
      <c r="B23033" s="2" t="str">
        <f>"TANQUE LIQUIDO VERT 6,3"</f>
        <v>TANQUE LIQUIDO VERT 6,3</v>
      </c>
      <c r="C23033" s="2" t="str">
        <f t="shared" si="908"/>
        <v>UN</v>
      </c>
      <c r="D23033" s="7">
        <v>704</v>
      </c>
      <c r="E23033" s="3">
        <v>9</v>
      </c>
      <c r="F23033" s="3">
        <v>9</v>
      </c>
      <c r="G23033" t="s">
        <v>513</v>
      </c>
    </row>
    <row r="23034" spans="1:7" x14ac:dyDescent="0.25">
      <c r="A23034" s="1" t="str">
        <f>"518963"</f>
        <v>518963</v>
      </c>
      <c r="B23034" s="2" t="str">
        <f>"TANQUE PE CIL FD PLANO 700L TP SOBR"</f>
        <v>TANQUE PE CIL FD PLANO 700L TP SOBR</v>
      </c>
      <c r="C23034" s="2" t="str">
        <f t="shared" si="908"/>
        <v>UN</v>
      </c>
      <c r="D23034" s="7">
        <v>1600</v>
      </c>
      <c r="E23034" s="3">
        <v>13</v>
      </c>
      <c r="F23034" s="3">
        <v>13</v>
      </c>
      <c r="G23034" t="s">
        <v>514</v>
      </c>
    </row>
    <row r="23035" spans="1:7" x14ac:dyDescent="0.25">
      <c r="A23035" s="1" t="str">
        <f>"519247"</f>
        <v>519247</v>
      </c>
      <c r="B23035" s="8" t="s">
        <v>111</v>
      </c>
      <c r="C23035" s="2" t="str">
        <f t="shared" si="908"/>
        <v>UN</v>
      </c>
      <c r="D23035" s="7">
        <v>1600</v>
      </c>
      <c r="E23035" s="3">
        <v>10</v>
      </c>
      <c r="F23035" s="3">
        <v>10</v>
      </c>
      <c r="G23035" t="s">
        <v>514</v>
      </c>
    </row>
    <row r="23036" spans="1:7" x14ac:dyDescent="0.25">
      <c r="A23036" s="1" t="str">
        <f>"519321"</f>
        <v>519321</v>
      </c>
      <c r="B23036" s="2" t="str">
        <f>"TANQUE POLIETILENO CIL. VERT. FUNDO PLANO 6000 LT P/ SODA"</f>
        <v>TANQUE POLIETILENO CIL. VERT. FUNDO PLANO 6000 LT P/ SODA</v>
      </c>
      <c r="C23036" s="2" t="str">
        <f t="shared" si="908"/>
        <v>UN</v>
      </c>
      <c r="D23036" s="7">
        <v>1600</v>
      </c>
      <c r="E23036" s="3">
        <v>10</v>
      </c>
      <c r="F23036" s="3">
        <v>10</v>
      </c>
      <c r="G23036" t="s">
        <v>514</v>
      </c>
    </row>
    <row r="23037" spans="1:7" x14ac:dyDescent="0.25">
      <c r="A23037" s="1" t="str">
        <f>"515298"</f>
        <v>515298</v>
      </c>
      <c r="B23037" s="2" t="str">
        <f>"TANQUE PULMAO AÇO INOX 50 LITROS S/ TAMPA"</f>
        <v>TANQUE PULMAO AÇO INOX 50 LITROS S/ TAMPA</v>
      </c>
      <c r="C23037" s="2" t="str">
        <f t="shared" si="908"/>
        <v>UN</v>
      </c>
      <c r="D23037" s="7">
        <v>1600</v>
      </c>
      <c r="E23037" s="3">
        <v>13</v>
      </c>
      <c r="F23037" s="3">
        <v>13</v>
      </c>
      <c r="G23037" t="s">
        <v>513</v>
      </c>
    </row>
    <row r="23038" spans="1:7" x14ac:dyDescent="0.25">
      <c r="A23038" s="1" t="str">
        <f>"515297"</f>
        <v>515297</v>
      </c>
      <c r="B23038" s="2" t="str">
        <f>"TANQUE PULMAO AÇO INOX C/ TAMPA 270 LITROS"</f>
        <v>TANQUE PULMAO AÇO INOX C/ TAMPA 270 LITROS</v>
      </c>
      <c r="C23038" s="2" t="str">
        <f t="shared" si="908"/>
        <v>UN</v>
      </c>
      <c r="D23038" s="7">
        <v>1600</v>
      </c>
      <c r="E23038" s="3">
        <v>13</v>
      </c>
      <c r="F23038" s="3">
        <v>13</v>
      </c>
      <c r="G23038" t="s">
        <v>512</v>
      </c>
    </row>
    <row r="23039" spans="1:7" x14ac:dyDescent="0.25">
      <c r="A23039" s="1" t="str">
        <f>"515291"</f>
        <v>515291</v>
      </c>
      <c r="B23039" s="2" t="str">
        <f>"TANQUE PULMAO AÇO INOX E AÇO CARBONO 3000 LITROS"</f>
        <v>TANQUE PULMAO AÇO INOX E AÇO CARBONO 3000 LITROS</v>
      </c>
      <c r="C23039" s="2" t="str">
        <f t="shared" si="908"/>
        <v>UN</v>
      </c>
      <c r="D23039" s="7">
        <v>1600</v>
      </c>
      <c r="E23039" s="3">
        <v>13</v>
      </c>
      <c r="F23039" s="3">
        <v>13</v>
      </c>
      <c r="G23039" t="s">
        <v>513</v>
      </c>
    </row>
    <row r="23040" spans="1:7" x14ac:dyDescent="0.25">
      <c r="A23040" s="1" t="str">
        <f>"515296"</f>
        <v>515296</v>
      </c>
      <c r="B23040" s="2" t="str">
        <f>"TANQUE PULMAO AÇO INOX P/ PASTEURIZADOR 50 LITROS"</f>
        <v>TANQUE PULMAO AÇO INOX P/ PASTEURIZADOR 50 LITROS</v>
      </c>
      <c r="C23040" s="2" t="str">
        <f t="shared" si="908"/>
        <v>UN</v>
      </c>
      <c r="D23040" s="7">
        <v>1600</v>
      </c>
      <c r="E23040" s="3">
        <v>13</v>
      </c>
      <c r="F23040" s="3">
        <v>13</v>
      </c>
      <c r="G23040" t="s">
        <v>514</v>
      </c>
    </row>
    <row r="23041" spans="1:7" x14ac:dyDescent="0.25">
      <c r="A23041" s="1" t="str">
        <f>"515429"</f>
        <v>515429</v>
      </c>
      <c r="B23041" s="2" t="str">
        <f>"TANQUE REDONDO AÇO INOX 300 LTS"</f>
        <v>TANQUE REDONDO AÇO INOX 300 LTS</v>
      </c>
      <c r="C23041" s="2" t="str">
        <f t="shared" si="908"/>
        <v>UN</v>
      </c>
      <c r="D23041" s="7">
        <v>1600</v>
      </c>
      <c r="E23041" s="3">
        <v>13</v>
      </c>
      <c r="F23041" s="3">
        <v>13</v>
      </c>
      <c r="G23041" t="s">
        <v>514</v>
      </c>
    </row>
    <row r="23042" spans="1:7" x14ac:dyDescent="0.25">
      <c r="A23042" s="1" t="str">
        <f>"515430"</f>
        <v>515430</v>
      </c>
      <c r="B23042" s="2" t="str">
        <f>"TANQUE REDONDO AÇO INOX 60 LTS"</f>
        <v>TANQUE REDONDO AÇO INOX 60 LTS</v>
      </c>
      <c r="C23042" s="2" t="str">
        <f t="shared" si="908"/>
        <v>UN</v>
      </c>
      <c r="D23042" s="7">
        <v>1600</v>
      </c>
      <c r="E23042" s="3">
        <v>13</v>
      </c>
      <c r="F23042" s="3">
        <v>13</v>
      </c>
      <c r="G23042" t="s">
        <v>514</v>
      </c>
    </row>
    <row r="23043" spans="1:7" x14ac:dyDescent="0.25">
      <c r="A23043" s="1" t="str">
        <f>"513100"</f>
        <v>513100</v>
      </c>
      <c r="B23043" s="2" t="str">
        <f>"TANQUE REFRIG. LEITE EXP 1000LT REAFRIO"</f>
        <v>TANQUE REFRIG. LEITE EXP 1000LT REAFRIO</v>
      </c>
      <c r="C23043" s="2" t="str">
        <f t="shared" si="908"/>
        <v>UN</v>
      </c>
      <c r="D23043" s="7">
        <v>916</v>
      </c>
      <c r="E23043" s="3">
        <v>13</v>
      </c>
      <c r="F23043" s="3">
        <v>13</v>
      </c>
      <c r="G23043" t="s">
        <v>513</v>
      </c>
    </row>
    <row r="23044" spans="1:7" x14ac:dyDescent="0.25">
      <c r="A23044" s="1" t="str">
        <f>"523655"</f>
        <v>523655</v>
      </c>
      <c r="B23044" s="2" t="str">
        <f>"TANQUE REFRIG. LEITE EXP. 1000LT"</f>
        <v>TANQUE REFRIG. LEITE EXP. 1000LT</v>
      </c>
      <c r="C23044" s="2" t="str">
        <f t="shared" si="908"/>
        <v>UN</v>
      </c>
      <c r="D23044" s="7">
        <v>99999</v>
      </c>
      <c r="E23044" s="3">
        <v>99</v>
      </c>
      <c r="F23044" s="3">
        <v>99</v>
      </c>
      <c r="G23044" t="s">
        <v>513</v>
      </c>
    </row>
    <row r="23045" spans="1:7" x14ac:dyDescent="0.25">
      <c r="A23045" s="1" t="str">
        <f>"514047"</f>
        <v>514047</v>
      </c>
      <c r="B23045" s="2" t="str">
        <f>"TANQUE REFRIG. LEITE EXP. 1000LT ETSCHEID"</f>
        <v>TANQUE REFRIG. LEITE EXP. 1000LT ETSCHEID</v>
      </c>
      <c r="C23045" s="2" t="str">
        <f t="shared" si="908"/>
        <v>UN</v>
      </c>
      <c r="D23045" s="7">
        <v>1600</v>
      </c>
      <c r="E23045" s="3">
        <v>13</v>
      </c>
      <c r="F23045" s="3">
        <v>13</v>
      </c>
      <c r="G23045" t="s">
        <v>513</v>
      </c>
    </row>
    <row r="23046" spans="1:7" x14ac:dyDescent="0.25">
      <c r="A23046" s="1" t="str">
        <f>"514046"</f>
        <v>514046</v>
      </c>
      <c r="B23046" s="2" t="str">
        <f>"TANQUE REFRIG. LEITE EXP. 1000LT INCOMAR"</f>
        <v>TANQUE REFRIG. LEITE EXP. 1000LT INCOMAR</v>
      </c>
      <c r="C23046" s="2" t="str">
        <f t="shared" si="908"/>
        <v>UN</v>
      </c>
      <c r="D23046" s="7">
        <v>1600</v>
      </c>
      <c r="E23046" s="3">
        <v>13</v>
      </c>
      <c r="F23046" s="3">
        <v>13</v>
      </c>
      <c r="G23046" t="s">
        <v>512</v>
      </c>
    </row>
    <row r="23047" spans="1:7" x14ac:dyDescent="0.25">
      <c r="A23047" s="1" t="str">
        <f>"514043"</f>
        <v>514043</v>
      </c>
      <c r="B23047" s="2" t="str">
        <f>"TANQUE REFRIG. LEITE EXP. 1000LT MILKPART"</f>
        <v>TANQUE REFRIG. LEITE EXP. 1000LT MILKPART</v>
      </c>
      <c r="C23047" s="2" t="str">
        <f t="shared" si="908"/>
        <v>UN</v>
      </c>
      <c r="D23047" s="7">
        <v>1600</v>
      </c>
      <c r="E23047" s="3">
        <v>13</v>
      </c>
      <c r="F23047" s="3">
        <v>13</v>
      </c>
      <c r="G23047" t="s">
        <v>513</v>
      </c>
    </row>
    <row r="23048" spans="1:7" x14ac:dyDescent="0.25">
      <c r="A23048" s="1" t="str">
        <f>"514044"</f>
        <v>514044</v>
      </c>
      <c r="B23048" s="2" t="str">
        <f>"TANQUE REFRIG. LEITE EXP. 1000LT RODEG"</f>
        <v>TANQUE REFRIG. LEITE EXP. 1000LT RODEG</v>
      </c>
      <c r="C23048" s="2" t="str">
        <f t="shared" si="908"/>
        <v>UN</v>
      </c>
      <c r="D23048" s="7">
        <v>1600</v>
      </c>
      <c r="E23048" s="3">
        <v>13</v>
      </c>
      <c r="F23048" s="3">
        <v>13</v>
      </c>
      <c r="G23048" t="s">
        <v>514</v>
      </c>
    </row>
    <row r="23049" spans="1:7" x14ac:dyDescent="0.25">
      <c r="A23049" s="1" t="str">
        <f>"512734"</f>
        <v>512734</v>
      </c>
      <c r="B23049" s="2" t="str">
        <f>"TANQUE REFRIG. LEITE EXP. 1000LT TROPICAL"</f>
        <v>TANQUE REFRIG. LEITE EXP. 1000LT TROPICAL</v>
      </c>
      <c r="C23049" s="2" t="str">
        <f t="shared" si="908"/>
        <v>UN</v>
      </c>
      <c r="D23049" s="7">
        <v>1600</v>
      </c>
      <c r="E23049" s="3">
        <v>99</v>
      </c>
      <c r="F23049" s="3">
        <v>99</v>
      </c>
      <c r="G23049" t="s">
        <v>515</v>
      </c>
    </row>
    <row r="23050" spans="1:7" x14ac:dyDescent="0.25">
      <c r="A23050" s="1" t="str">
        <f>"514041"</f>
        <v>514041</v>
      </c>
      <c r="B23050" s="2" t="str">
        <f>"TANQUE REFRIG. LEITE EXP. 1050LT GLOBINOX"</f>
        <v>TANQUE REFRIG. LEITE EXP. 1050LT GLOBINOX</v>
      </c>
      <c r="C23050" s="2" t="str">
        <f t="shared" si="908"/>
        <v>UN</v>
      </c>
      <c r="D23050" s="7">
        <v>1600</v>
      </c>
      <c r="E23050" s="3">
        <v>13</v>
      </c>
      <c r="F23050" s="3">
        <v>13</v>
      </c>
      <c r="G23050" t="s">
        <v>512</v>
      </c>
    </row>
    <row r="23051" spans="1:7" x14ac:dyDescent="0.25">
      <c r="A23051" s="1" t="str">
        <f>"521079"</f>
        <v>521079</v>
      </c>
      <c r="B23051" s="2" t="str">
        <f>"TANQUE REFRIG. LEITE EXP. 1270LT"</f>
        <v>TANQUE REFRIG. LEITE EXP. 1270LT</v>
      </c>
      <c r="C23051" s="2" t="str">
        <f t="shared" si="908"/>
        <v>UN</v>
      </c>
      <c r="D23051" s="7">
        <v>1600</v>
      </c>
      <c r="E23051" s="3">
        <v>13</v>
      </c>
      <c r="F23051" s="3">
        <v>13</v>
      </c>
      <c r="G23051" t="s">
        <v>516</v>
      </c>
    </row>
    <row r="23052" spans="1:7" x14ac:dyDescent="0.25">
      <c r="A23052" s="1" t="str">
        <f>"513254"</f>
        <v>513254</v>
      </c>
      <c r="B23052" s="2" t="str">
        <f>"TANQUE REFRIG. LEITE EXP. 1400LT ALFA-LAVAL"</f>
        <v>TANQUE REFRIG. LEITE EXP. 1400LT ALFA-LAVAL</v>
      </c>
      <c r="C23052" s="2" t="str">
        <f t="shared" si="908"/>
        <v>UN</v>
      </c>
      <c r="D23052" s="7">
        <v>1600</v>
      </c>
      <c r="E23052" s="3">
        <v>99</v>
      </c>
      <c r="F23052" s="3">
        <v>99</v>
      </c>
      <c r="G23052" t="s">
        <v>515</v>
      </c>
    </row>
    <row r="23053" spans="1:7" x14ac:dyDescent="0.25">
      <c r="A23053" s="1" t="str">
        <f>"514054"</f>
        <v>514054</v>
      </c>
      <c r="B23053" s="2" t="str">
        <f>"TANQUE REFRIG. LEITE EXP. 1400LT FOCKINK"</f>
        <v>TANQUE REFRIG. LEITE EXP. 1400LT FOCKINK</v>
      </c>
      <c r="C23053" s="2" t="str">
        <f t="shared" si="908"/>
        <v>UN</v>
      </c>
      <c r="D23053" s="7">
        <v>1600</v>
      </c>
      <c r="E23053" s="3">
        <v>13</v>
      </c>
      <c r="F23053" s="3">
        <v>13</v>
      </c>
      <c r="G23053" t="s">
        <v>514</v>
      </c>
    </row>
    <row r="23054" spans="1:7" x14ac:dyDescent="0.25">
      <c r="A23054" s="1" t="str">
        <f>"514036"</f>
        <v>514036</v>
      </c>
      <c r="B23054" s="2" t="str">
        <f>"TANQUE REFRIG. LEITE EXP. 1600LT ETSCHEID"</f>
        <v>TANQUE REFRIG. LEITE EXP. 1600LT ETSCHEID</v>
      </c>
      <c r="C23054" s="2" t="str">
        <f t="shared" si="908"/>
        <v>UN</v>
      </c>
      <c r="D23054" s="7">
        <v>1600</v>
      </c>
      <c r="E23054" s="3">
        <v>13</v>
      </c>
      <c r="F23054" s="3">
        <v>13</v>
      </c>
      <c r="G23054" t="s">
        <v>512</v>
      </c>
    </row>
    <row r="23055" spans="1:7" x14ac:dyDescent="0.25">
      <c r="A23055" s="1" t="str">
        <f>"514045"</f>
        <v>514045</v>
      </c>
      <c r="B23055" s="2" t="str">
        <f>"TANQUE REFRIG. LEITE EXP. 2000LT MILKPART"</f>
        <v>TANQUE REFRIG. LEITE EXP. 2000LT MILKPART</v>
      </c>
      <c r="C23055" s="2" t="str">
        <f t="shared" si="908"/>
        <v>UN</v>
      </c>
      <c r="D23055" s="7">
        <v>1600</v>
      </c>
      <c r="E23055" s="3">
        <v>13</v>
      </c>
      <c r="F23055" s="3">
        <v>13</v>
      </c>
      <c r="G23055" t="s">
        <v>513</v>
      </c>
    </row>
    <row r="23056" spans="1:7" x14ac:dyDescent="0.25">
      <c r="A23056" s="1" t="str">
        <f>"516631"</f>
        <v>516631</v>
      </c>
      <c r="B23056" s="2" t="str">
        <f>"TANQUE REFRIG. LEITE EXP. 2000LT TROPICAL"</f>
        <v>TANQUE REFRIG. LEITE EXP. 2000LT TROPICAL</v>
      </c>
      <c r="C23056" s="2" t="str">
        <f t="shared" ref="C23056:C23087" si="909">"UN"</f>
        <v>UN</v>
      </c>
      <c r="D23056" s="7">
        <v>1300</v>
      </c>
      <c r="E23056" s="3">
        <v>13</v>
      </c>
      <c r="F23056" s="3">
        <v>13</v>
      </c>
      <c r="G23056" t="s">
        <v>514</v>
      </c>
    </row>
    <row r="23057" spans="1:7" x14ac:dyDescent="0.25">
      <c r="A23057" s="1" t="str">
        <f>"523653"</f>
        <v>523653</v>
      </c>
      <c r="B23057" s="2" t="str">
        <f>"TANQUE REFRIG. LEITE EXP. 200LT"</f>
        <v>TANQUE REFRIG. LEITE EXP. 200LT</v>
      </c>
      <c r="C23057" s="2" t="str">
        <f t="shared" si="909"/>
        <v>UN</v>
      </c>
      <c r="D23057" s="7">
        <v>99999</v>
      </c>
      <c r="E23057" s="3">
        <v>99</v>
      </c>
      <c r="F23057" s="3">
        <v>99</v>
      </c>
      <c r="G23057" t="s">
        <v>514</v>
      </c>
    </row>
    <row r="23058" spans="1:7" x14ac:dyDescent="0.25">
      <c r="A23058" s="1" t="str">
        <f>"516341"</f>
        <v>516341</v>
      </c>
      <c r="B23058" s="2" t="str">
        <f>"TANQUE REFRIG. LEITE EXP. 5.000LT REAFRIO"</f>
        <v>TANQUE REFRIG. LEITE EXP. 5.000LT REAFRIO</v>
      </c>
      <c r="C23058" s="2" t="str">
        <f t="shared" si="909"/>
        <v>UN</v>
      </c>
      <c r="D23058" s="7">
        <v>1600</v>
      </c>
      <c r="E23058" s="3">
        <v>13</v>
      </c>
      <c r="F23058" s="3">
        <v>13</v>
      </c>
      <c r="G23058" t="s">
        <v>512</v>
      </c>
    </row>
    <row r="23059" spans="1:7" x14ac:dyDescent="0.25">
      <c r="A23059" s="1" t="str">
        <f>"520718"</f>
        <v>520718</v>
      </c>
      <c r="B23059" s="2" t="str">
        <f>"TANQUE REFRIG. LEITE EXP. 500LT"</f>
        <v>TANQUE REFRIG. LEITE EXP. 500LT</v>
      </c>
      <c r="C23059" s="2" t="str">
        <f t="shared" si="909"/>
        <v>UN</v>
      </c>
      <c r="D23059" s="7">
        <v>1600</v>
      </c>
      <c r="E23059" s="3">
        <v>13</v>
      </c>
      <c r="F23059" s="3">
        <v>13</v>
      </c>
      <c r="G23059" t="s">
        <v>513</v>
      </c>
    </row>
    <row r="23060" spans="1:7" x14ac:dyDescent="0.25">
      <c r="A23060" s="1" t="str">
        <f>"514040"</f>
        <v>514040</v>
      </c>
      <c r="B23060" s="2" t="str">
        <f>"TANQUE REFRIG. LEITE EXP. 500LT INCOMAR"</f>
        <v>TANQUE REFRIG. LEITE EXP. 500LT INCOMAR</v>
      </c>
      <c r="C23060" s="2" t="str">
        <f t="shared" si="909"/>
        <v>UN</v>
      </c>
      <c r="D23060" s="7">
        <v>1600</v>
      </c>
      <c r="E23060" s="3">
        <v>13</v>
      </c>
      <c r="F23060" s="3">
        <v>13</v>
      </c>
      <c r="G23060" t="s">
        <v>514</v>
      </c>
    </row>
    <row r="23061" spans="1:7" x14ac:dyDescent="0.25">
      <c r="A23061" s="1" t="str">
        <f>"521022"</f>
        <v>521022</v>
      </c>
      <c r="B23061" s="2" t="str">
        <f>"TANQUE REFRIG. LEITE EXP. 510LT"</f>
        <v>TANQUE REFRIG. LEITE EXP. 510LT</v>
      </c>
      <c r="C23061" s="2" t="str">
        <f t="shared" si="909"/>
        <v>UN</v>
      </c>
      <c r="D23061" s="7">
        <v>1600</v>
      </c>
      <c r="E23061" s="3">
        <v>13</v>
      </c>
      <c r="F23061" s="3">
        <v>13</v>
      </c>
      <c r="G23061" t="s">
        <v>514</v>
      </c>
    </row>
    <row r="23062" spans="1:7" x14ac:dyDescent="0.25">
      <c r="A23062" s="1" t="str">
        <f>"521179"</f>
        <v>521179</v>
      </c>
      <c r="B23062" s="2" t="str">
        <f>"TANQUE REFRIG. LEITE EXP. 600LT"</f>
        <v>TANQUE REFRIG. LEITE EXP. 600LT</v>
      </c>
      <c r="C23062" s="2" t="str">
        <f t="shared" si="909"/>
        <v>UN</v>
      </c>
      <c r="D23062" s="7">
        <v>1600</v>
      </c>
      <c r="E23062" s="3">
        <v>13</v>
      </c>
      <c r="F23062" s="3">
        <v>13</v>
      </c>
      <c r="G23062" t="s">
        <v>514</v>
      </c>
    </row>
    <row r="23063" spans="1:7" x14ac:dyDescent="0.25">
      <c r="A23063" s="1" t="str">
        <f>"514038"</f>
        <v>514038</v>
      </c>
      <c r="B23063" s="2" t="str">
        <f>"TANQUE REFRIG. LEITE EXP. 600LT ELGIN"</f>
        <v>TANQUE REFRIG. LEITE EXP. 600LT ELGIN</v>
      </c>
      <c r="C23063" s="2" t="str">
        <f t="shared" si="909"/>
        <v>UN</v>
      </c>
      <c r="D23063" s="7">
        <v>1600</v>
      </c>
      <c r="E23063" s="3">
        <v>13</v>
      </c>
      <c r="F23063" s="3">
        <v>13</v>
      </c>
      <c r="G23063" t="s">
        <v>513</v>
      </c>
    </row>
    <row r="23064" spans="1:7" x14ac:dyDescent="0.25">
      <c r="A23064" s="1" t="str">
        <f>"523647"</f>
        <v>523647</v>
      </c>
      <c r="B23064" s="2" t="str">
        <f>"TANQUE REFRIG. LEITE EXP. 700LT"</f>
        <v>TANQUE REFRIG. LEITE EXP. 700LT</v>
      </c>
      <c r="C23064" s="2" t="str">
        <f t="shared" si="909"/>
        <v>UN</v>
      </c>
      <c r="D23064" s="7">
        <v>1300</v>
      </c>
      <c r="E23064" s="3">
        <v>13</v>
      </c>
      <c r="F23064" s="3">
        <v>13</v>
      </c>
      <c r="G23064" t="s">
        <v>512</v>
      </c>
    </row>
    <row r="23065" spans="1:7" x14ac:dyDescent="0.25">
      <c r="A23065" s="1" t="str">
        <f>"520660"</f>
        <v>520660</v>
      </c>
      <c r="B23065" s="2" t="str">
        <f>"TANQUE REFRIG. LEITE EXP. 700LT DELAVAL"</f>
        <v>TANQUE REFRIG. LEITE EXP. 700LT DELAVAL</v>
      </c>
      <c r="C23065" s="2" t="str">
        <f t="shared" si="909"/>
        <v>UN</v>
      </c>
      <c r="D23065" s="7">
        <v>1300</v>
      </c>
      <c r="E23065" s="3">
        <v>13</v>
      </c>
      <c r="F23065" s="3">
        <v>13</v>
      </c>
      <c r="G23065" t="s">
        <v>513</v>
      </c>
    </row>
    <row r="23066" spans="1:7" x14ac:dyDescent="0.25">
      <c r="A23066" s="1" t="str">
        <f>"514042"</f>
        <v>514042</v>
      </c>
      <c r="B23066" s="2" t="str">
        <f>"TANQUE REFRIG. LEITE EXP. 750LT ETSCHEID"</f>
        <v>TANQUE REFRIG. LEITE EXP. 750LT ETSCHEID</v>
      </c>
      <c r="C23066" s="2" t="str">
        <f t="shared" si="909"/>
        <v>UN</v>
      </c>
      <c r="D23066" s="7">
        <v>1600</v>
      </c>
      <c r="E23066" s="3">
        <v>13</v>
      </c>
      <c r="F23066" s="3">
        <v>13</v>
      </c>
      <c r="G23066" t="s">
        <v>514</v>
      </c>
    </row>
    <row r="23067" spans="1:7" x14ac:dyDescent="0.25">
      <c r="A23067" s="1" t="str">
        <f>"523654"</f>
        <v>523654</v>
      </c>
      <c r="B23067" s="2" t="str">
        <f>"TANQUE REFRIG. LEITE EXP. 800LT"</f>
        <v>TANQUE REFRIG. LEITE EXP. 800LT</v>
      </c>
      <c r="C23067" s="2" t="str">
        <f t="shared" si="909"/>
        <v>UN</v>
      </c>
      <c r="D23067" s="7">
        <v>99999</v>
      </c>
      <c r="E23067" s="3">
        <v>99</v>
      </c>
      <c r="F23067" s="3">
        <v>99</v>
      </c>
      <c r="G23067" t="s">
        <v>514</v>
      </c>
    </row>
    <row r="23068" spans="1:7" x14ac:dyDescent="0.25">
      <c r="A23068" s="1" t="str">
        <f>"522141"</f>
        <v>522141</v>
      </c>
      <c r="B23068" s="2" t="str">
        <f>"TANQUE REFRIG. LEITE EXP. 800LT ETSCHEID"</f>
        <v>TANQUE REFRIG. LEITE EXP. 800LT ETSCHEID</v>
      </c>
      <c r="C23068" s="2" t="str">
        <f t="shared" si="909"/>
        <v>UN</v>
      </c>
      <c r="D23068" s="7">
        <v>1600</v>
      </c>
      <c r="E23068" s="3">
        <v>13</v>
      </c>
      <c r="F23068" s="3">
        <v>13</v>
      </c>
      <c r="G23068" t="s">
        <v>514</v>
      </c>
    </row>
    <row r="23069" spans="1:7" x14ac:dyDescent="0.25">
      <c r="A23069" s="1" t="str">
        <f>"514048"</f>
        <v>514048</v>
      </c>
      <c r="B23069" s="2" t="str">
        <f>"TANQUE REFRIG. LEITE EXP. 810LT PACKOPLU"</f>
        <v>TANQUE REFRIG. LEITE EXP. 810LT PACKOPLU</v>
      </c>
      <c r="C23069" s="2" t="str">
        <f t="shared" si="909"/>
        <v>UN</v>
      </c>
      <c r="D23069" s="7">
        <v>1600</v>
      </c>
      <c r="E23069" s="3">
        <v>13</v>
      </c>
      <c r="F23069" s="3">
        <v>13</v>
      </c>
      <c r="G23069" t="s">
        <v>513</v>
      </c>
    </row>
    <row r="23070" spans="1:7" x14ac:dyDescent="0.25">
      <c r="A23070" s="1" t="str">
        <f>"521023"</f>
        <v>521023</v>
      </c>
      <c r="B23070" s="2" t="str">
        <f>"TANQUE REFRIG. LEITE EXP. 830LT"</f>
        <v>TANQUE REFRIG. LEITE EXP. 830LT</v>
      </c>
      <c r="C23070" s="2" t="str">
        <f t="shared" si="909"/>
        <v>UN</v>
      </c>
      <c r="D23070" s="7">
        <v>1600</v>
      </c>
      <c r="E23070" s="3">
        <v>13</v>
      </c>
      <c r="F23070" s="3">
        <v>13</v>
      </c>
      <c r="G23070" t="s">
        <v>513</v>
      </c>
    </row>
    <row r="23071" spans="1:7" x14ac:dyDescent="0.25">
      <c r="A23071" s="1" t="str">
        <f>"514050"</f>
        <v>514050</v>
      </c>
      <c r="B23071" s="2" t="str">
        <f>"TANQUE REFRIG. LEITE IME. 200LT COPEL"</f>
        <v>TANQUE REFRIG. LEITE IME. 200LT COPEL</v>
      </c>
      <c r="C23071" s="2" t="str">
        <f t="shared" si="909"/>
        <v>UN</v>
      </c>
      <c r="D23071" s="7">
        <v>1600</v>
      </c>
      <c r="E23071" s="3">
        <v>13</v>
      </c>
      <c r="F23071" s="3">
        <v>13</v>
      </c>
      <c r="G23071" t="s">
        <v>513</v>
      </c>
    </row>
    <row r="23072" spans="1:7" x14ac:dyDescent="0.25">
      <c r="A23072" s="1" t="str">
        <f>"514049"</f>
        <v>514049</v>
      </c>
      <c r="B23072" s="2" t="str">
        <f>"TANQUE REFRIG. LEITE IME. 300LT REFRIMAR"</f>
        <v>TANQUE REFRIG. LEITE IME. 300LT REFRIMAR</v>
      </c>
      <c r="C23072" s="2" t="str">
        <f t="shared" si="909"/>
        <v>UN</v>
      </c>
      <c r="D23072" s="7">
        <v>1600</v>
      </c>
      <c r="E23072" s="3">
        <v>13</v>
      </c>
      <c r="F23072" s="3">
        <v>13</v>
      </c>
      <c r="G23072" t="s">
        <v>512</v>
      </c>
    </row>
    <row r="23073" spans="1:7" x14ac:dyDescent="0.25">
      <c r="A23073" s="1" t="str">
        <f>"514039"</f>
        <v>514039</v>
      </c>
      <c r="B23073" s="2" t="str">
        <f>"TANQUE REFRIG. LEITE IME. 400LT REFRIMAR"</f>
        <v>TANQUE REFRIG. LEITE IME. 400LT REFRIMAR</v>
      </c>
      <c r="C23073" s="2" t="str">
        <f t="shared" si="909"/>
        <v>UN</v>
      </c>
      <c r="D23073" s="7">
        <v>1600</v>
      </c>
      <c r="E23073" s="3">
        <v>13</v>
      </c>
      <c r="F23073" s="3">
        <v>13</v>
      </c>
      <c r="G23073" t="s">
        <v>513</v>
      </c>
    </row>
    <row r="23074" spans="1:7" x14ac:dyDescent="0.25">
      <c r="A23074" s="1" t="str">
        <f>"514037"</f>
        <v>514037</v>
      </c>
      <c r="B23074" s="2" t="str">
        <f>"TANQUE REFRIG. LEITE IME. 500LT COPEL"</f>
        <v>TANQUE REFRIG. LEITE IME. 500LT COPEL</v>
      </c>
      <c r="C23074" s="2" t="str">
        <f t="shared" si="909"/>
        <v>UN</v>
      </c>
      <c r="D23074" s="7">
        <v>1600</v>
      </c>
      <c r="E23074" s="3">
        <v>13</v>
      </c>
      <c r="F23074" s="3">
        <v>13</v>
      </c>
      <c r="G23074" t="s">
        <v>514</v>
      </c>
    </row>
    <row r="23075" spans="1:7" x14ac:dyDescent="0.25">
      <c r="A23075" s="1" t="str">
        <f>"515689"</f>
        <v>515689</v>
      </c>
      <c r="B23075" s="2" t="str">
        <f>"TANQUE REFRIGERACAO LEITE ETSCHEID 800LT"</f>
        <v>TANQUE REFRIGERACAO LEITE ETSCHEID 800LT</v>
      </c>
      <c r="C23075" s="2" t="str">
        <f t="shared" si="909"/>
        <v>UN</v>
      </c>
      <c r="D23075" s="7">
        <v>1600</v>
      </c>
      <c r="E23075" s="3">
        <v>13</v>
      </c>
      <c r="F23075" s="3">
        <v>13</v>
      </c>
      <c r="G23075" t="s">
        <v>515</v>
      </c>
    </row>
    <row r="23076" spans="1:7" x14ac:dyDescent="0.25">
      <c r="A23076" s="1" t="str">
        <f>"510628"</f>
        <v>510628</v>
      </c>
      <c r="B23076" s="2" t="str">
        <f>"TANQUE RESFRIADOR DE 200L DE IMERSAO"</f>
        <v>TANQUE RESFRIADOR DE 200L DE IMERSAO</v>
      </c>
      <c r="C23076" s="2" t="str">
        <f t="shared" si="909"/>
        <v>UN</v>
      </c>
      <c r="D23076" s="7">
        <v>402</v>
      </c>
      <c r="E23076" s="3">
        <v>4</v>
      </c>
      <c r="F23076" s="3">
        <v>4</v>
      </c>
      <c r="G23076" t="s">
        <v>512</v>
      </c>
    </row>
    <row r="23077" spans="1:7" x14ac:dyDescent="0.25">
      <c r="A23077" s="1" t="str">
        <f>"516021"</f>
        <v>516021</v>
      </c>
      <c r="B23077" s="2" t="str">
        <f>"TANQUE RESFRIADOR DE LEITE A GRANEL TR 1000LT 04 ORDENHAS"</f>
        <v>TANQUE RESFRIADOR DE LEITE A GRANEL TR 1000LT 04 ORDENHAS</v>
      </c>
      <c r="C23077" s="2" t="str">
        <f t="shared" si="909"/>
        <v>UN</v>
      </c>
      <c r="D23077" s="7">
        <v>99999</v>
      </c>
      <c r="E23077" s="3">
        <v>99</v>
      </c>
      <c r="F23077" s="3">
        <v>99</v>
      </c>
      <c r="G23077" t="s">
        <v>516</v>
      </c>
    </row>
    <row r="23078" spans="1:7" x14ac:dyDescent="0.25">
      <c r="A23078" s="1" t="str">
        <f>"520741"</f>
        <v>520741</v>
      </c>
      <c r="B23078" s="2" t="str">
        <f>"TANQUE RODOVIARIO ACO INOX 15000L 03 COMP"</f>
        <v>TANQUE RODOVIARIO ACO INOX 15000L 03 COMP</v>
      </c>
      <c r="C23078" s="2" t="str">
        <f t="shared" si="909"/>
        <v>UN</v>
      </c>
      <c r="D23078" s="7">
        <v>1300</v>
      </c>
      <c r="E23078" s="3">
        <v>13</v>
      </c>
      <c r="F23078" s="3">
        <v>13</v>
      </c>
      <c r="G23078" t="s">
        <v>515</v>
      </c>
    </row>
    <row r="23079" spans="1:7" x14ac:dyDescent="0.25">
      <c r="A23079" s="1" t="str">
        <f>"515630"</f>
        <v>515630</v>
      </c>
      <c r="B23079" s="2" t="str">
        <f>"TANQUE RODOVIARIO ACO INOX 9000L 03 COMP"</f>
        <v>TANQUE RODOVIARIO ACO INOX 9000L 03 COMP</v>
      </c>
      <c r="C23079" s="2" t="str">
        <f t="shared" si="909"/>
        <v>UN</v>
      </c>
      <c r="D23079" s="7">
        <v>1300</v>
      </c>
      <c r="E23079" s="3">
        <v>13</v>
      </c>
      <c r="F23079" s="3">
        <v>13</v>
      </c>
      <c r="G23079" t="s">
        <v>514</v>
      </c>
    </row>
    <row r="23080" spans="1:7" x14ac:dyDescent="0.25">
      <c r="A23080" s="1" t="str">
        <f>"514691"</f>
        <v>514691</v>
      </c>
      <c r="B23080" s="2" t="str">
        <f>"TAPA ESTRIBO"</f>
        <v>TAPA ESTRIBO</v>
      </c>
      <c r="C23080" s="2" t="str">
        <f t="shared" si="909"/>
        <v>UN</v>
      </c>
      <c r="D23080" s="7">
        <v>704</v>
      </c>
      <c r="E23080" s="3">
        <v>9</v>
      </c>
      <c r="F23080" s="3">
        <v>9</v>
      </c>
      <c r="G23080" t="s">
        <v>512</v>
      </c>
    </row>
    <row r="23081" spans="1:7" x14ac:dyDescent="0.25">
      <c r="A23081" s="1" t="str">
        <f>"511308"</f>
        <v>511308</v>
      </c>
      <c r="B23081" s="2" t="str">
        <f>"TAPA ESTRIBO MB 1938S FRONTAL (PLASTICO)"</f>
        <v>TAPA ESTRIBO MB 1938S FRONTAL (PLASTICO)</v>
      </c>
      <c r="C23081" s="2" t="str">
        <f t="shared" si="909"/>
        <v>UN</v>
      </c>
      <c r="D23081" s="7">
        <v>704</v>
      </c>
      <c r="E23081" s="3">
        <v>9</v>
      </c>
      <c r="F23081" s="3">
        <v>9</v>
      </c>
      <c r="G23081" t="s">
        <v>513</v>
      </c>
    </row>
    <row r="23082" spans="1:7" x14ac:dyDescent="0.25">
      <c r="A23082" s="1" t="str">
        <f>"519930"</f>
        <v>519930</v>
      </c>
      <c r="B23082" s="2" t="str">
        <f>"TAPA FURO AZUL 3/4"</f>
        <v>TAPA FURO AZUL 3/4</v>
      </c>
      <c r="C23082" s="2" t="str">
        <f t="shared" si="909"/>
        <v>UN</v>
      </c>
      <c r="D23082" s="7">
        <v>808</v>
      </c>
      <c r="E23082" s="3">
        <v>10</v>
      </c>
      <c r="F23082" s="3">
        <v>10</v>
      </c>
      <c r="G23082" t="s">
        <v>514</v>
      </c>
    </row>
    <row r="23083" spans="1:7" x14ac:dyDescent="0.25">
      <c r="A23083" s="1" t="str">
        <f>"519929"</f>
        <v>519929</v>
      </c>
      <c r="B23083" s="2" t="str">
        <f>"TAPA FURO AZUL 50MM"</f>
        <v>TAPA FURO AZUL 50MM</v>
      </c>
      <c r="C23083" s="2" t="str">
        <f t="shared" si="909"/>
        <v>UN</v>
      </c>
      <c r="D23083" s="7">
        <v>808</v>
      </c>
      <c r="E23083" s="3">
        <v>10</v>
      </c>
      <c r="F23083" s="3">
        <v>10</v>
      </c>
      <c r="G23083" t="s">
        <v>514</v>
      </c>
    </row>
    <row r="23084" spans="1:7" x14ac:dyDescent="0.25">
      <c r="A23084" s="1" t="str">
        <f>"501925"</f>
        <v>501925</v>
      </c>
      <c r="B23084" s="2" t="str">
        <f>"TAPA SOL"</f>
        <v>TAPA SOL</v>
      </c>
      <c r="C23084" s="2" t="str">
        <f t="shared" si="909"/>
        <v>UN</v>
      </c>
      <c r="D23084" s="7">
        <v>704</v>
      </c>
      <c r="E23084" s="3">
        <v>9</v>
      </c>
      <c r="F23084" s="3">
        <v>9</v>
      </c>
      <c r="G23084" t="s">
        <v>512</v>
      </c>
    </row>
    <row r="23085" spans="1:7" x14ac:dyDescent="0.25">
      <c r="A23085" s="1" t="str">
        <f>"504321"</f>
        <v>504321</v>
      </c>
      <c r="B23085" s="2" t="str">
        <f>"TAPETE CARGO"</f>
        <v>TAPETE CARGO</v>
      </c>
      <c r="C23085" s="2" t="str">
        <f t="shared" si="909"/>
        <v>UN</v>
      </c>
      <c r="D23085" s="7">
        <v>99999</v>
      </c>
      <c r="E23085" s="3">
        <v>99</v>
      </c>
      <c r="F23085" s="3">
        <v>99</v>
      </c>
      <c r="G23085" t="s">
        <v>513</v>
      </c>
    </row>
    <row r="23086" spans="1:7" x14ac:dyDescent="0.25">
      <c r="A23086" s="1" t="str">
        <f>"502463"</f>
        <v>502463</v>
      </c>
      <c r="B23086" s="2" t="str">
        <f>"TAPETE COMPLETO COM VERNIZ"</f>
        <v>TAPETE COMPLETO COM VERNIZ</v>
      </c>
      <c r="C23086" s="2" t="str">
        <f t="shared" si="909"/>
        <v>UN</v>
      </c>
      <c r="D23086" s="7">
        <v>704</v>
      </c>
      <c r="E23086" s="3">
        <v>9</v>
      </c>
      <c r="F23086" s="3">
        <v>9</v>
      </c>
      <c r="G23086" t="s">
        <v>514</v>
      </c>
    </row>
    <row r="23087" spans="1:7" x14ac:dyDescent="0.25">
      <c r="A23087" s="1" t="str">
        <f>"525303"</f>
        <v>525303</v>
      </c>
      <c r="B23087" s="2" t="str">
        <f>"TAPETE DE ISOLAMENTO ELÉTRICO"</f>
        <v>TAPETE DE ISOLAMENTO ELÉTRICO</v>
      </c>
      <c r="C23087" s="2" t="str">
        <f t="shared" si="909"/>
        <v>UN</v>
      </c>
      <c r="D23087" s="7">
        <v>811</v>
      </c>
      <c r="E23087" s="3">
        <v>8</v>
      </c>
      <c r="F23087" s="3">
        <v>8</v>
      </c>
      <c r="G23087" t="s">
        <v>514</v>
      </c>
    </row>
    <row r="23088" spans="1:7" x14ac:dyDescent="0.25">
      <c r="A23088" s="1" t="str">
        <f>"525243"</f>
        <v>525243</v>
      </c>
      <c r="B23088" s="2" t="str">
        <f>"TAPETE DE PLÁSTICO"</f>
        <v>TAPETE DE PLÁSTICO</v>
      </c>
      <c r="C23088" s="2" t="str">
        <f t="shared" ref="C23088:C23113" si="910">"UN"</f>
        <v>UN</v>
      </c>
      <c r="D23088" s="7">
        <v>704</v>
      </c>
      <c r="E23088" s="3">
        <v>9</v>
      </c>
      <c r="F23088" s="3">
        <v>9</v>
      </c>
      <c r="G23088" t="s">
        <v>514</v>
      </c>
    </row>
    <row r="23089" spans="1:7" x14ac:dyDescent="0.25">
      <c r="A23089" s="1" t="str">
        <f>"519639"</f>
        <v>519639</v>
      </c>
      <c r="B23089" s="2" t="str">
        <f>"TAPETE ESTRIBO CARGO"</f>
        <v>TAPETE ESTRIBO CARGO</v>
      </c>
      <c r="C23089" s="2" t="str">
        <f t="shared" si="910"/>
        <v>UN</v>
      </c>
      <c r="D23089" s="7">
        <v>704</v>
      </c>
      <c r="E23089" s="3">
        <v>9</v>
      </c>
      <c r="F23089" s="3">
        <v>9</v>
      </c>
      <c r="G23089" t="s">
        <v>513</v>
      </c>
    </row>
    <row r="23090" spans="1:7" x14ac:dyDescent="0.25">
      <c r="A23090" s="1" t="str">
        <f>"519028"</f>
        <v>519028</v>
      </c>
      <c r="B23090" s="2" t="str">
        <f>"TAPETE LD FORD CARGO 1722 ANO 2010"</f>
        <v>TAPETE LD FORD CARGO 1722 ANO 2010</v>
      </c>
      <c r="C23090" s="2" t="str">
        <f t="shared" si="910"/>
        <v>UN</v>
      </c>
      <c r="D23090" s="7">
        <v>704</v>
      </c>
      <c r="E23090" s="3">
        <v>9</v>
      </c>
      <c r="F23090" s="3">
        <v>9</v>
      </c>
      <c r="G23090" t="s">
        <v>512</v>
      </c>
    </row>
    <row r="23091" spans="1:7" x14ac:dyDescent="0.25">
      <c r="A23091" s="1" t="str">
        <f>"519027"</f>
        <v>519027</v>
      </c>
      <c r="B23091" s="2" t="str">
        <f>"TAPETE LE FORD CARGO 1722 ANO 2010"</f>
        <v>TAPETE LE FORD CARGO 1722 ANO 2010</v>
      </c>
      <c r="C23091" s="2" t="str">
        <f t="shared" si="910"/>
        <v>UN</v>
      </c>
      <c r="D23091" s="7">
        <v>704</v>
      </c>
      <c r="E23091" s="3">
        <v>9</v>
      </c>
      <c r="F23091" s="3">
        <v>9</v>
      </c>
      <c r="G23091" t="s">
        <v>513</v>
      </c>
    </row>
    <row r="23092" spans="1:7" x14ac:dyDescent="0.25">
      <c r="A23092" s="1" t="str">
        <f>"521959"</f>
        <v>521959</v>
      </c>
      <c r="B23092" s="2" t="str">
        <f>"TAPETE NOMAD ACQUA AZUL 3M GRANDE (0,88 X 1,49)"</f>
        <v>TAPETE NOMAD ACQUA AZUL 3M GRANDE (0,88 X 1,49)</v>
      </c>
      <c r="C23092" s="2" t="str">
        <f t="shared" si="910"/>
        <v>UN</v>
      </c>
      <c r="D23092" s="7">
        <v>408</v>
      </c>
      <c r="E23092" s="3">
        <v>4</v>
      </c>
      <c r="F23092" s="3">
        <v>4</v>
      </c>
      <c r="G23092" t="s">
        <v>514</v>
      </c>
    </row>
    <row r="23093" spans="1:7" x14ac:dyDescent="0.25">
      <c r="A23093" s="1" t="str">
        <f>"521958"</f>
        <v>521958</v>
      </c>
      <c r="B23093" s="2" t="str">
        <f>"TAPETE NOMAD ACQUA AZUL 3M MEDIO (0,90 X 1,20)"</f>
        <v>TAPETE NOMAD ACQUA AZUL 3M MEDIO (0,90 X 1,20)</v>
      </c>
      <c r="C23093" s="2" t="str">
        <f t="shared" si="910"/>
        <v>UN</v>
      </c>
      <c r="D23093" s="7">
        <v>408</v>
      </c>
      <c r="E23093" s="3">
        <v>4</v>
      </c>
      <c r="F23093" s="3">
        <v>4</v>
      </c>
      <c r="G23093" t="s">
        <v>514</v>
      </c>
    </row>
    <row r="23094" spans="1:7" x14ac:dyDescent="0.25">
      <c r="A23094" s="1" t="str">
        <f>"521957"</f>
        <v>521957</v>
      </c>
      <c r="B23094" s="2" t="str">
        <f>"TAPETE NOMAD ACQUA AZUL 3M PEQUENO (0,60X0,90)"</f>
        <v>TAPETE NOMAD ACQUA AZUL 3M PEQUENO (0,60X0,90)</v>
      </c>
      <c r="C23094" s="2" t="str">
        <f t="shared" si="910"/>
        <v>UN</v>
      </c>
      <c r="D23094" s="7">
        <v>408</v>
      </c>
      <c r="E23094" s="3">
        <v>4</v>
      </c>
      <c r="F23094" s="3">
        <v>4</v>
      </c>
      <c r="G23094" t="s">
        <v>514</v>
      </c>
    </row>
    <row r="23095" spans="1:7" x14ac:dyDescent="0.25">
      <c r="A23095" s="1" t="str">
        <f>"520794"</f>
        <v>520794</v>
      </c>
      <c r="B23095" s="2" t="str">
        <f>"TAPETE P/ MICTORIO"</f>
        <v>TAPETE P/ MICTORIO</v>
      </c>
      <c r="C23095" s="2" t="str">
        <f t="shared" si="910"/>
        <v>UN</v>
      </c>
      <c r="D23095" s="7">
        <v>400</v>
      </c>
      <c r="E23095" s="3">
        <v>10</v>
      </c>
      <c r="F23095" s="3">
        <v>10</v>
      </c>
      <c r="G23095" t="s">
        <v>513</v>
      </c>
    </row>
    <row r="23096" spans="1:7" x14ac:dyDescent="0.25">
      <c r="A23096" s="1" t="str">
        <f>"509265"</f>
        <v>509265</v>
      </c>
      <c r="B23096" s="2" t="str">
        <f>"TAPETE PERSONALIZADO"</f>
        <v>TAPETE PERSONALIZADO</v>
      </c>
      <c r="C23096" s="2" t="str">
        <f t="shared" si="910"/>
        <v>UN</v>
      </c>
      <c r="D23096" s="7">
        <v>403</v>
      </c>
      <c r="E23096" s="3">
        <v>4</v>
      </c>
      <c r="F23096" s="3">
        <v>4</v>
      </c>
      <c r="G23096" t="s">
        <v>513</v>
      </c>
    </row>
    <row r="23097" spans="1:7" x14ac:dyDescent="0.25">
      <c r="A23097" s="1" t="str">
        <f>"520927"</f>
        <v>520927</v>
      </c>
      <c r="B23097" s="2" t="str">
        <f>"TAPETE PERSONALIZADO 0,84 X 0,69 MT"</f>
        <v>TAPETE PERSONALIZADO 0,84 X 0,69 MT</v>
      </c>
      <c r="C23097" s="2" t="str">
        <f t="shared" si="910"/>
        <v>UN</v>
      </c>
      <c r="D23097" s="7">
        <v>403</v>
      </c>
      <c r="E23097" s="3">
        <v>4</v>
      </c>
      <c r="F23097" s="3">
        <v>4</v>
      </c>
      <c r="G23097" t="s">
        <v>513</v>
      </c>
    </row>
    <row r="23098" spans="1:7" x14ac:dyDescent="0.25">
      <c r="A23098" s="1" t="str">
        <f>"520926"</f>
        <v>520926</v>
      </c>
      <c r="B23098" s="2" t="str">
        <f>"TAPETE PERSONALIZADO 1,20 X 1,00 MT"</f>
        <v>TAPETE PERSONALIZADO 1,20 X 1,00 MT</v>
      </c>
      <c r="C23098" s="2" t="str">
        <f t="shared" si="910"/>
        <v>UN</v>
      </c>
      <c r="D23098" s="7">
        <v>403</v>
      </c>
      <c r="E23098" s="3">
        <v>4</v>
      </c>
      <c r="F23098" s="3">
        <v>4</v>
      </c>
      <c r="G23098" t="s">
        <v>512</v>
      </c>
    </row>
    <row r="23099" spans="1:7" x14ac:dyDescent="0.25">
      <c r="A23099" s="1" t="str">
        <f>"514334"</f>
        <v>514334</v>
      </c>
      <c r="B23099" s="2" t="str">
        <f>"TAPETE PES"</f>
        <v>TAPETE PES</v>
      </c>
      <c r="C23099" s="2" t="str">
        <f t="shared" si="910"/>
        <v>UN</v>
      </c>
      <c r="D23099" s="7">
        <v>704</v>
      </c>
      <c r="E23099" s="3">
        <v>9</v>
      </c>
      <c r="F23099" s="3">
        <v>9</v>
      </c>
      <c r="G23099" t="s">
        <v>513</v>
      </c>
    </row>
    <row r="23100" spans="1:7" x14ac:dyDescent="0.25">
      <c r="A23100" s="1" t="str">
        <f>"516877"</f>
        <v>516877</v>
      </c>
      <c r="B23100" s="2" t="str">
        <f>"TAPETE SANITARIO 9,00M X 1,20M"</f>
        <v>TAPETE SANITARIO 9,00M X 1,20M</v>
      </c>
      <c r="C23100" s="2" t="str">
        <f t="shared" si="910"/>
        <v>UN</v>
      </c>
      <c r="D23100" s="7">
        <v>400</v>
      </c>
      <c r="E23100" s="3">
        <v>10</v>
      </c>
      <c r="F23100" s="3">
        <v>10</v>
      </c>
      <c r="G23100" t="s">
        <v>514</v>
      </c>
    </row>
    <row r="23101" spans="1:7" x14ac:dyDescent="0.25">
      <c r="A23101" s="1" t="str">
        <f>"523626"</f>
        <v>523626</v>
      </c>
      <c r="B23101" s="2" t="str">
        <f>"TAPETE VINIL STARMIX ALTO TRÁFEGO 14MM TOP DE LINHA COR AZUL"</f>
        <v>TAPETE VINIL STARMIX ALTO TRÁFEGO 14MM TOP DE LINHA COR AZUL</v>
      </c>
      <c r="C23101" s="2" t="str">
        <f t="shared" si="910"/>
        <v>UN</v>
      </c>
      <c r="D23101" s="7">
        <v>408</v>
      </c>
      <c r="E23101" s="3">
        <v>4</v>
      </c>
      <c r="F23101" s="3">
        <v>4</v>
      </c>
      <c r="G23101" t="s">
        <v>515</v>
      </c>
    </row>
    <row r="23102" spans="1:7" x14ac:dyDescent="0.25">
      <c r="A23102" s="1" t="str">
        <f>"526315"</f>
        <v>526315</v>
      </c>
      <c r="B23102" s="2" t="str">
        <f>"TAPETE/ESTRADO IND ERGONOMICO ANTIFADIGA 1500X900X14MM"</f>
        <v>TAPETE/ESTRADO IND ERGONOMICO ANTIFADIGA 1500X900X14MM</v>
      </c>
      <c r="C23102" s="2" t="str">
        <f t="shared" si="910"/>
        <v>UN</v>
      </c>
      <c r="D23102" s="7">
        <v>408</v>
      </c>
      <c r="E23102" s="3">
        <v>4</v>
      </c>
      <c r="F23102" s="3">
        <v>4</v>
      </c>
      <c r="G23102" t="s">
        <v>512</v>
      </c>
    </row>
    <row r="23103" spans="1:7" x14ac:dyDescent="0.25">
      <c r="A23103" s="1" t="str">
        <f>"515601"</f>
        <v>515601</v>
      </c>
      <c r="B23103" s="2" t="str">
        <f>"TAPUME"</f>
        <v>TAPUME</v>
      </c>
      <c r="C23103" s="2" t="str">
        <f t="shared" si="910"/>
        <v>UN</v>
      </c>
      <c r="D23103" s="7">
        <v>401</v>
      </c>
      <c r="E23103" s="3">
        <v>4</v>
      </c>
      <c r="F23103" s="3">
        <v>4</v>
      </c>
      <c r="G23103" t="s">
        <v>516</v>
      </c>
    </row>
    <row r="23104" spans="1:7" x14ac:dyDescent="0.25">
      <c r="A23104" s="1" t="str">
        <f>"514564"</f>
        <v>514564</v>
      </c>
      <c r="B23104" s="2" t="str">
        <f>"TARJETA"</f>
        <v>TARJETA</v>
      </c>
      <c r="C23104" s="2" t="str">
        <f t="shared" si="910"/>
        <v>UN</v>
      </c>
      <c r="D23104" s="7">
        <v>403</v>
      </c>
      <c r="E23104" s="3">
        <v>4</v>
      </c>
      <c r="F23104" s="3">
        <v>4</v>
      </c>
      <c r="G23104" t="s">
        <v>515</v>
      </c>
    </row>
    <row r="23105" spans="1:7" x14ac:dyDescent="0.25">
      <c r="A23105" s="1" t="str">
        <f>"520711"</f>
        <v>520711</v>
      </c>
      <c r="B23105" s="2" t="str">
        <f>"TARRACHA P/ ELETRODUTO GALVANIZADO 3/4"</f>
        <v>TARRACHA P/ ELETRODUTO GALVANIZADO 3/4</v>
      </c>
      <c r="C23105" s="2" t="str">
        <f t="shared" si="910"/>
        <v>UN</v>
      </c>
      <c r="D23105" s="7">
        <v>919</v>
      </c>
      <c r="E23105" s="3">
        <v>11</v>
      </c>
      <c r="F23105" s="3">
        <v>11</v>
      </c>
      <c r="G23105" t="s">
        <v>514</v>
      </c>
    </row>
    <row r="23106" spans="1:7" x14ac:dyDescent="0.25">
      <c r="A23106" s="1" t="str">
        <f>"506971"</f>
        <v>506971</v>
      </c>
      <c r="B23106" s="2" t="str">
        <f>"TARRACHA P/ TUBO DE PVC 1"""</f>
        <v>TARRACHA P/ TUBO DE PVC 1"</v>
      </c>
      <c r="C23106" s="2" t="str">
        <f t="shared" si="910"/>
        <v>UN</v>
      </c>
      <c r="D23106" s="7">
        <v>919</v>
      </c>
      <c r="E23106" s="3">
        <v>11</v>
      </c>
      <c r="F23106" s="3">
        <v>11</v>
      </c>
      <c r="G23106" t="s">
        <v>512</v>
      </c>
    </row>
    <row r="23107" spans="1:7" x14ac:dyDescent="0.25">
      <c r="A23107" s="1" t="str">
        <f>"506970"</f>
        <v>506970</v>
      </c>
      <c r="B23107" s="2" t="str">
        <f>"TARRACHA P/ TUBO DE PVC 2"""</f>
        <v>TARRACHA P/ TUBO DE PVC 2"</v>
      </c>
      <c r="C23107" s="2" t="str">
        <f t="shared" si="910"/>
        <v>UN</v>
      </c>
      <c r="D23107" s="7">
        <v>919</v>
      </c>
      <c r="E23107" s="3">
        <v>11</v>
      </c>
      <c r="F23107" s="3">
        <v>11</v>
      </c>
      <c r="G23107" t="s">
        <v>513</v>
      </c>
    </row>
    <row r="23108" spans="1:7" x14ac:dyDescent="0.25">
      <c r="A23108" s="1" t="str">
        <f>"515481"</f>
        <v>515481</v>
      </c>
      <c r="B23108" s="2" t="str">
        <f>"TARTARUGA SUPREMA"</f>
        <v>TARTARUGA SUPREMA</v>
      </c>
      <c r="C23108" s="2" t="str">
        <f t="shared" si="910"/>
        <v>UN</v>
      </c>
      <c r="D23108" s="7">
        <v>803</v>
      </c>
      <c r="E23108" s="3">
        <v>4</v>
      </c>
      <c r="F23108" s="3">
        <v>4</v>
      </c>
      <c r="G23108" t="s">
        <v>514</v>
      </c>
    </row>
    <row r="23109" spans="1:7" x14ac:dyDescent="0.25">
      <c r="A23109" s="1" t="str">
        <f>"523379"</f>
        <v>523379</v>
      </c>
      <c r="B23109" s="2" t="str">
        <f>"TARUCEL"</f>
        <v>TARUCEL</v>
      </c>
      <c r="C23109" s="2" t="str">
        <f t="shared" si="910"/>
        <v>UN</v>
      </c>
      <c r="D23109" s="7">
        <v>803</v>
      </c>
      <c r="E23109" s="3">
        <v>10</v>
      </c>
      <c r="F23109" s="3">
        <v>10</v>
      </c>
      <c r="G23109" t="s">
        <v>514</v>
      </c>
    </row>
    <row r="23110" spans="1:7" x14ac:dyDescent="0.25">
      <c r="A23110" s="1" t="str">
        <f>"519668"</f>
        <v>519668</v>
      </c>
      <c r="B23110" s="2" t="str">
        <f>"TARUGO A/I 304 1 1/2"" DIAMETRO"</f>
        <v>TARUGO A/I 304 1 1/2" DIAMETRO</v>
      </c>
      <c r="C23110" s="2" t="str">
        <f t="shared" si="910"/>
        <v>UN</v>
      </c>
      <c r="D23110" s="7">
        <v>918</v>
      </c>
      <c r="E23110" s="3">
        <v>11</v>
      </c>
      <c r="F23110" s="3">
        <v>11</v>
      </c>
      <c r="G23110" t="s">
        <v>512</v>
      </c>
    </row>
    <row r="23111" spans="1:7" x14ac:dyDescent="0.25">
      <c r="A23111" s="1" t="str">
        <f>"513247"</f>
        <v>513247</v>
      </c>
      <c r="B23111" s="2" t="str">
        <f>"TARUGO A/I 304 100MM DIAMETRO"</f>
        <v>TARUGO A/I 304 100MM DIAMETRO</v>
      </c>
      <c r="C23111" s="2" t="str">
        <f t="shared" si="910"/>
        <v>UN</v>
      </c>
      <c r="D23111" s="7">
        <v>918</v>
      </c>
      <c r="E23111" s="3">
        <v>11</v>
      </c>
      <c r="F23111" s="3">
        <v>11</v>
      </c>
      <c r="G23111" t="s">
        <v>513</v>
      </c>
    </row>
    <row r="23112" spans="1:7" x14ac:dyDescent="0.25">
      <c r="A23112" s="1" t="str">
        <f>"516027"</f>
        <v>516027</v>
      </c>
      <c r="B23112" s="2" t="str">
        <f>"TARUGO A/I 304 2000MM X 2"""</f>
        <v>TARUGO A/I 304 2000MM X 2"</v>
      </c>
      <c r="C23112" s="2" t="str">
        <f t="shared" si="910"/>
        <v>UN</v>
      </c>
      <c r="D23112" s="7">
        <v>918</v>
      </c>
      <c r="E23112" s="3">
        <v>10</v>
      </c>
      <c r="F23112" s="3">
        <v>10</v>
      </c>
      <c r="G23112" t="s">
        <v>514</v>
      </c>
    </row>
    <row r="23113" spans="1:7" x14ac:dyDescent="0.25">
      <c r="A23113" s="1" t="str">
        <f>"513246"</f>
        <v>513246</v>
      </c>
      <c r="B23113" s="2" t="str">
        <f>"TARUGO A/I 304 50MM DIAMETRO"</f>
        <v>TARUGO A/I 304 50MM DIAMETRO</v>
      </c>
      <c r="C23113" s="2" t="str">
        <f t="shared" si="910"/>
        <v>UN</v>
      </c>
      <c r="D23113" s="7">
        <v>918</v>
      </c>
      <c r="E23113" s="3">
        <v>11</v>
      </c>
      <c r="F23113" s="3">
        <v>11</v>
      </c>
      <c r="G23113" t="s">
        <v>514</v>
      </c>
    </row>
    <row r="23114" spans="1:7" x14ac:dyDescent="0.25">
      <c r="A23114" s="1" t="str">
        <f>"509948"</f>
        <v>509948</v>
      </c>
      <c r="B23114" s="2" t="str">
        <f>"TARUGO AÇO INOX 1200X32MM"</f>
        <v>TARUGO AÇO INOX 1200X32MM</v>
      </c>
      <c r="C23114" s="2" t="str">
        <f>"BR"</f>
        <v>BR</v>
      </c>
      <c r="D23114" s="7">
        <v>807</v>
      </c>
      <c r="E23114" s="3">
        <v>10</v>
      </c>
      <c r="F23114" s="3">
        <v>10</v>
      </c>
      <c r="G23114" t="s">
        <v>514</v>
      </c>
    </row>
    <row r="23115" spans="1:7" x14ac:dyDescent="0.25">
      <c r="A23115" s="1" t="str">
        <f>"513231"</f>
        <v>513231</v>
      </c>
      <c r="B23115" s="2" t="str">
        <f>"TARUGO AÇO INOX 85MM DIAMETRO 280MM COMP"</f>
        <v>TARUGO AÇO INOX 85MM DIAMETRO 280MM COMP</v>
      </c>
      <c r="C23115" s="2" t="str">
        <f>"UN"</f>
        <v>UN</v>
      </c>
      <c r="D23115" s="7">
        <v>918</v>
      </c>
      <c r="E23115" s="3">
        <v>11</v>
      </c>
      <c r="F23115" s="3">
        <v>11</v>
      </c>
      <c r="G23115" t="s">
        <v>513</v>
      </c>
    </row>
    <row r="23116" spans="1:7" x14ac:dyDescent="0.25">
      <c r="A23116" s="1" t="str">
        <f>"519853"</f>
        <v>519853</v>
      </c>
      <c r="B23116" s="2" t="str">
        <f>"TARUGO ALUMINIO 3"""</f>
        <v>TARUGO ALUMINIO 3"</v>
      </c>
      <c r="C23116" s="2" t="str">
        <f>"UN"</f>
        <v>UN</v>
      </c>
      <c r="D23116" s="7">
        <v>918</v>
      </c>
      <c r="E23116" s="3">
        <v>11</v>
      </c>
      <c r="F23116" s="3">
        <v>11</v>
      </c>
      <c r="G23116" t="s">
        <v>512</v>
      </c>
    </row>
    <row r="23117" spans="1:7" x14ac:dyDescent="0.25">
      <c r="A23117" s="1" t="str">
        <f>"522762"</f>
        <v>522762</v>
      </c>
      <c r="B23117" s="2" t="str">
        <f>"TARUGO APORTE PEAD 4MM PRETO"</f>
        <v>TARUGO APORTE PEAD 4MM PRETO</v>
      </c>
      <c r="C23117" s="2" t="str">
        <f>"KG"</f>
        <v>KG</v>
      </c>
      <c r="D23117" s="7">
        <v>918</v>
      </c>
      <c r="E23117" s="3">
        <v>10</v>
      </c>
      <c r="F23117" s="3">
        <v>10</v>
      </c>
      <c r="G23117" t="s">
        <v>513</v>
      </c>
    </row>
    <row r="23118" spans="1:7" x14ac:dyDescent="0.25">
      <c r="A23118" s="1" t="str">
        <f>"506119"</f>
        <v>506119</v>
      </c>
      <c r="B23118" s="2" t="str">
        <f>"TARUGO BRONZE"</f>
        <v>TARUGO BRONZE</v>
      </c>
      <c r="C23118" s="2" t="str">
        <f>"UN"</f>
        <v>UN</v>
      </c>
      <c r="D23118" s="7">
        <v>402</v>
      </c>
      <c r="E23118" s="3">
        <v>4</v>
      </c>
      <c r="F23118" s="3">
        <v>4</v>
      </c>
      <c r="G23118" t="s">
        <v>514</v>
      </c>
    </row>
    <row r="23119" spans="1:7" x14ac:dyDescent="0.25">
      <c r="A23119" s="1" t="str">
        <f>"510485"</f>
        <v>510485</v>
      </c>
      <c r="B23119" s="2" t="str">
        <f>"TARUGO BRONZE 25,4 X 300MM"</f>
        <v>TARUGO BRONZE 25,4 X 300MM</v>
      </c>
      <c r="C23119" s="2" t="str">
        <f>"UN"</f>
        <v>UN</v>
      </c>
      <c r="D23119" s="7">
        <v>918</v>
      </c>
      <c r="E23119" s="3">
        <v>11</v>
      </c>
      <c r="F23119" s="3">
        <v>11</v>
      </c>
      <c r="G23119" t="s">
        <v>514</v>
      </c>
    </row>
    <row r="23120" spans="1:7" x14ac:dyDescent="0.25">
      <c r="A23120" s="1" t="str">
        <f>"505095"</f>
        <v>505095</v>
      </c>
      <c r="B23120" s="2" t="str">
        <f>"TARUGO DE FERRO"</f>
        <v>TARUGO DE FERRO</v>
      </c>
      <c r="C23120" s="2" t="str">
        <f>"UN"</f>
        <v>UN</v>
      </c>
      <c r="D23120" s="7">
        <v>402</v>
      </c>
      <c r="E23120" s="3">
        <v>4</v>
      </c>
      <c r="F23120" s="3">
        <v>4</v>
      </c>
      <c r="G23120" t="s">
        <v>514</v>
      </c>
    </row>
    <row r="23121" spans="1:7" x14ac:dyDescent="0.25">
      <c r="A23121" s="1" t="str">
        <f>"503925"</f>
        <v>503925</v>
      </c>
      <c r="B23121" s="2" t="str">
        <f>"TARUGO DE INOX 2""X 250MM"</f>
        <v>TARUGO DE INOX 2"X 250MM</v>
      </c>
      <c r="C23121" s="2" t="str">
        <f>"BR"</f>
        <v>BR</v>
      </c>
      <c r="D23121" s="7">
        <v>807</v>
      </c>
      <c r="E23121" s="3">
        <v>10</v>
      </c>
      <c r="F23121" s="3">
        <v>10</v>
      </c>
      <c r="G23121" t="s">
        <v>513</v>
      </c>
    </row>
    <row r="23122" spans="1:7" x14ac:dyDescent="0.25">
      <c r="A23122" s="1" t="str">
        <f>"517011"</f>
        <v>517011</v>
      </c>
      <c r="B23122" s="2" t="str">
        <f>"TARUGO INOX 316L 5""X350MM"</f>
        <v>TARUGO INOX 316L 5"X350MM</v>
      </c>
      <c r="C23122" s="2" t="str">
        <f t="shared" ref="C23122:C23137" si="911">"UN"</f>
        <v>UN</v>
      </c>
      <c r="D23122" s="7">
        <v>915</v>
      </c>
      <c r="E23122" s="3">
        <v>10</v>
      </c>
      <c r="F23122" s="3">
        <v>10</v>
      </c>
      <c r="G23122" t="s">
        <v>513</v>
      </c>
    </row>
    <row r="23123" spans="1:7" x14ac:dyDescent="0.25">
      <c r="A23123" s="1" t="str">
        <f>"510382"</f>
        <v>510382</v>
      </c>
      <c r="B23123" s="2" t="str">
        <f>"TARUGO LATAO"</f>
        <v>TARUGO LATAO</v>
      </c>
      <c r="C23123" s="2" t="str">
        <f t="shared" si="911"/>
        <v>UN</v>
      </c>
      <c r="D23123" s="7">
        <v>402</v>
      </c>
      <c r="E23123" s="3">
        <v>4</v>
      </c>
      <c r="F23123" s="3">
        <v>4</v>
      </c>
      <c r="G23123" t="s">
        <v>513</v>
      </c>
    </row>
    <row r="23124" spans="1:7" x14ac:dyDescent="0.25">
      <c r="A23124" s="1" t="str">
        <f>"510991"</f>
        <v>510991</v>
      </c>
      <c r="B23124" s="2" t="str">
        <f>"TARUGO LATAO QUADRADO 20X20X1000MM"</f>
        <v>TARUGO LATAO QUADRADO 20X20X1000MM</v>
      </c>
      <c r="C23124" s="2" t="str">
        <f t="shared" si="911"/>
        <v>UN</v>
      </c>
      <c r="D23124" s="7">
        <v>402</v>
      </c>
      <c r="E23124" s="3">
        <v>4</v>
      </c>
      <c r="F23124" s="3">
        <v>4</v>
      </c>
      <c r="G23124" t="s">
        <v>512</v>
      </c>
    </row>
    <row r="23125" spans="1:7" x14ac:dyDescent="0.25">
      <c r="A23125" s="1" t="str">
        <f>"501329"</f>
        <v>501329</v>
      </c>
      <c r="B23125" s="2" t="str">
        <f>"TARUGO NYLON"</f>
        <v>TARUGO NYLON</v>
      </c>
      <c r="C23125" s="2" t="str">
        <f t="shared" si="911"/>
        <v>UN</v>
      </c>
      <c r="D23125" s="7">
        <v>918</v>
      </c>
      <c r="E23125" s="3">
        <v>10</v>
      </c>
      <c r="F23125" s="3">
        <v>10</v>
      </c>
      <c r="G23125" t="s">
        <v>513</v>
      </c>
    </row>
    <row r="23126" spans="1:7" x14ac:dyDescent="0.25">
      <c r="A23126" s="1" t="str">
        <f>"511971"</f>
        <v>511971</v>
      </c>
      <c r="B23126" s="2" t="str">
        <f>"TARUGO NYLON 30 X 1000MM"</f>
        <v>TARUGO NYLON 30 X 1000MM</v>
      </c>
      <c r="C23126" s="2" t="str">
        <f t="shared" si="911"/>
        <v>UN</v>
      </c>
      <c r="D23126" s="7">
        <v>918</v>
      </c>
      <c r="E23126" s="3">
        <v>11</v>
      </c>
      <c r="F23126" s="3">
        <v>11</v>
      </c>
      <c r="G23126" t="s">
        <v>514</v>
      </c>
    </row>
    <row r="23127" spans="1:7" x14ac:dyDescent="0.25">
      <c r="A23127" s="1" t="str">
        <f>"511526"</f>
        <v>511526</v>
      </c>
      <c r="B23127" s="2" t="str">
        <f>"TARUGO NYLON 60 X 500MM"</f>
        <v>TARUGO NYLON 60 X 500MM</v>
      </c>
      <c r="C23127" s="2" t="str">
        <f t="shared" si="911"/>
        <v>UN</v>
      </c>
      <c r="D23127" s="7">
        <v>918</v>
      </c>
      <c r="E23127" s="3">
        <v>11</v>
      </c>
      <c r="F23127" s="3">
        <v>11</v>
      </c>
      <c r="G23127" t="s">
        <v>515</v>
      </c>
    </row>
    <row r="23128" spans="1:7" x14ac:dyDescent="0.25">
      <c r="A23128" s="1" t="str">
        <f>"507625"</f>
        <v>507625</v>
      </c>
      <c r="B23128" s="2" t="str">
        <f>"TARUGO POLIURETANO 3"" X 500MM"</f>
        <v>TARUGO POLIURETANO 3" X 500MM</v>
      </c>
      <c r="C23128" s="2" t="str">
        <f t="shared" si="911"/>
        <v>UN</v>
      </c>
      <c r="D23128" s="7">
        <v>918</v>
      </c>
      <c r="E23128" s="3">
        <v>10</v>
      </c>
      <c r="F23128" s="3">
        <v>10</v>
      </c>
      <c r="G23128" t="s">
        <v>512</v>
      </c>
    </row>
    <row r="23129" spans="1:7" x14ac:dyDescent="0.25">
      <c r="A23129" s="1" t="str">
        <f>"512920"</f>
        <v>512920</v>
      </c>
      <c r="B23129" s="2" t="str">
        <f>"TARUGO REDONDO VHMW 70MM TEFLON"</f>
        <v>TARUGO REDONDO VHMW 70MM TEFLON</v>
      </c>
      <c r="C23129" s="2" t="str">
        <f t="shared" si="911"/>
        <v>UN</v>
      </c>
      <c r="D23129" s="7">
        <v>918</v>
      </c>
      <c r="E23129" s="3">
        <v>10</v>
      </c>
      <c r="F23129" s="3">
        <v>10</v>
      </c>
      <c r="G23129" t="s">
        <v>516</v>
      </c>
    </row>
    <row r="23130" spans="1:7" x14ac:dyDescent="0.25">
      <c r="A23130" s="1" t="str">
        <f>"524513"</f>
        <v>524513</v>
      </c>
      <c r="B23130" s="2" t="str">
        <f>"TARUGO TECNIL 45"</f>
        <v>TARUGO TECNIL 45</v>
      </c>
      <c r="C23130" s="2" t="str">
        <f t="shared" si="911"/>
        <v>UN</v>
      </c>
      <c r="D23130" s="7">
        <v>812</v>
      </c>
      <c r="E23130" s="3">
        <v>10</v>
      </c>
      <c r="F23130" s="3">
        <v>10</v>
      </c>
      <c r="G23130" t="s">
        <v>515</v>
      </c>
    </row>
    <row r="23131" spans="1:7" x14ac:dyDescent="0.25">
      <c r="A23131" s="1" t="str">
        <f>"516161"</f>
        <v>516161</v>
      </c>
      <c r="B23131" s="2" t="str">
        <f>"TARUGO TEFLON 1"" X 500MM"</f>
        <v>TARUGO TEFLON 1" X 500MM</v>
      </c>
      <c r="C23131" s="2" t="str">
        <f t="shared" si="911"/>
        <v>UN</v>
      </c>
      <c r="D23131" s="7">
        <v>918</v>
      </c>
      <c r="E23131" s="3">
        <v>10</v>
      </c>
      <c r="F23131" s="3">
        <v>10</v>
      </c>
      <c r="G23131" t="s">
        <v>514</v>
      </c>
    </row>
    <row r="23132" spans="1:7" x14ac:dyDescent="0.25">
      <c r="A23132" s="1" t="str">
        <f>"516162"</f>
        <v>516162</v>
      </c>
      <c r="B23132" s="2" t="str">
        <f>"TARUGO TEFLON 2"" X 500MM"</f>
        <v>TARUGO TEFLON 2" X 500MM</v>
      </c>
      <c r="C23132" s="2" t="str">
        <f t="shared" si="911"/>
        <v>UN</v>
      </c>
      <c r="D23132" s="7">
        <v>918</v>
      </c>
      <c r="E23132" s="3">
        <v>10</v>
      </c>
      <c r="F23132" s="3">
        <v>10</v>
      </c>
      <c r="G23132" t="s">
        <v>512</v>
      </c>
    </row>
    <row r="23133" spans="1:7" x14ac:dyDescent="0.25">
      <c r="A23133" s="1" t="str">
        <f>"512964"</f>
        <v>512964</v>
      </c>
      <c r="B23133" s="2" t="str">
        <f>"TARUGO TEFLON 3"" X 500MM"</f>
        <v>TARUGO TEFLON 3" X 500MM</v>
      </c>
      <c r="C23133" s="2" t="str">
        <f t="shared" si="911"/>
        <v>UN</v>
      </c>
      <c r="D23133" s="7">
        <v>918</v>
      </c>
      <c r="E23133" s="3">
        <v>10</v>
      </c>
      <c r="F23133" s="3">
        <v>10</v>
      </c>
      <c r="G23133" t="s">
        <v>513</v>
      </c>
    </row>
    <row r="23134" spans="1:7" x14ac:dyDescent="0.25">
      <c r="A23134" s="1" t="str">
        <f>"517564"</f>
        <v>517564</v>
      </c>
      <c r="B23134" s="2" t="str">
        <f>"TC 25 AMP. P/5"</f>
        <v>TC 25 AMP. P/5</v>
      </c>
      <c r="C23134" s="2" t="str">
        <f t="shared" si="911"/>
        <v>UN</v>
      </c>
      <c r="D23134" s="7">
        <v>811</v>
      </c>
      <c r="E23134" s="3">
        <v>8</v>
      </c>
      <c r="F23134" s="3">
        <v>8</v>
      </c>
      <c r="G23134" t="s">
        <v>514</v>
      </c>
    </row>
    <row r="23135" spans="1:7" x14ac:dyDescent="0.25">
      <c r="A23135" s="1" t="str">
        <f>"522943"</f>
        <v>522943</v>
      </c>
      <c r="B23135" s="2" t="str">
        <f>"TDS52 3/4 NPT - PERGADOR TERMODINAMICO C/ FILTRO 301020401"</f>
        <v>TDS52 3/4 NPT - PERGADOR TERMODINAMICO C/ FILTRO 301020401</v>
      </c>
      <c r="C23135" s="2" t="str">
        <f t="shared" si="911"/>
        <v>UN</v>
      </c>
      <c r="D23135" s="7">
        <v>912</v>
      </c>
      <c r="E23135" s="3">
        <v>10</v>
      </c>
      <c r="F23135" s="3">
        <v>10</v>
      </c>
      <c r="G23135" t="s">
        <v>514</v>
      </c>
    </row>
    <row r="23136" spans="1:7" x14ac:dyDescent="0.25">
      <c r="A23136" s="1" t="str">
        <f>"502399"</f>
        <v>502399</v>
      </c>
      <c r="B23136" s="2" t="str">
        <f>"TECALON 8MM"</f>
        <v>TECALON 8MM</v>
      </c>
      <c r="C23136" s="2" t="str">
        <f t="shared" si="911"/>
        <v>UN</v>
      </c>
      <c r="D23136" s="7">
        <v>704</v>
      </c>
      <c r="E23136" s="3">
        <v>9</v>
      </c>
      <c r="F23136" s="3">
        <v>9</v>
      </c>
      <c r="G23136" t="s">
        <v>512</v>
      </c>
    </row>
    <row r="23137" spans="1:7" x14ac:dyDescent="0.25">
      <c r="A23137" s="1" t="str">
        <f>"514597"</f>
        <v>514597</v>
      </c>
      <c r="B23137" s="2" t="str">
        <f>"TECBRIL LIMPA PNEU"</f>
        <v>TECBRIL LIMPA PNEU</v>
      </c>
      <c r="C23137" s="2" t="str">
        <f t="shared" si="911"/>
        <v>UN</v>
      </c>
      <c r="D23137" s="7">
        <v>704</v>
      </c>
      <c r="E23137" s="3">
        <v>9</v>
      </c>
      <c r="F23137" s="3">
        <v>9</v>
      </c>
      <c r="G23137" t="s">
        <v>513</v>
      </c>
    </row>
    <row r="23138" spans="1:7" x14ac:dyDescent="0.25">
      <c r="A23138" s="1" t="str">
        <f>"515030"</f>
        <v>515030</v>
      </c>
      <c r="B23138" s="2" t="str">
        <f>"TECGEM AA 061 PP MIX"</f>
        <v>TECGEM AA 061 PP MIX</v>
      </c>
      <c r="C23138" s="2" t="str">
        <f>"KG"</f>
        <v>KG</v>
      </c>
      <c r="D23138" s="7">
        <v>217</v>
      </c>
      <c r="E23138" s="3">
        <v>2</v>
      </c>
      <c r="F23138" s="3">
        <v>2</v>
      </c>
      <c r="G23138" t="s">
        <v>514</v>
      </c>
    </row>
    <row r="23139" spans="1:7" x14ac:dyDescent="0.25">
      <c r="A23139" s="1" t="str">
        <f>"515032"</f>
        <v>515032</v>
      </c>
      <c r="B23139" s="2" t="str">
        <f>"TECGEM AA 385 PROTEINA LACTEA"</f>
        <v>TECGEM AA 385 PROTEINA LACTEA</v>
      </c>
      <c r="C23139" s="2" t="str">
        <f>"KG"</f>
        <v>KG</v>
      </c>
      <c r="D23139" s="7">
        <v>217</v>
      </c>
      <c r="E23139" s="3">
        <v>2</v>
      </c>
      <c r="F23139" s="3">
        <v>2</v>
      </c>
      <c r="G23139" t="s">
        <v>514</v>
      </c>
    </row>
    <row r="23140" spans="1:7" x14ac:dyDescent="0.25">
      <c r="A23140" s="1" t="str">
        <f>"515031"</f>
        <v>515031</v>
      </c>
      <c r="B23140" s="2" t="str">
        <f>"TECGEM AA 718 TRADICIONAL SAIS ESTABILIZANTES"</f>
        <v>TECGEM AA 718 TRADICIONAL SAIS ESTABILIZANTES</v>
      </c>
      <c r="C23140" s="2" t="str">
        <f>"KG"</f>
        <v>KG</v>
      </c>
      <c r="D23140" s="7">
        <v>217</v>
      </c>
      <c r="E23140" s="3">
        <v>2</v>
      </c>
      <c r="F23140" s="3">
        <v>2</v>
      </c>
      <c r="G23140" t="s">
        <v>514</v>
      </c>
    </row>
    <row r="23141" spans="1:7" x14ac:dyDescent="0.25">
      <c r="A23141" s="1" t="str">
        <f>"6088"</f>
        <v>6088</v>
      </c>
      <c r="B23141" s="2" t="str">
        <f>"TECGEM AA 95.290GM - CALDA DE MORANGO - T16/322"</f>
        <v>TECGEM AA 95.290GM - CALDA DE MORANGO - T16/322</v>
      </c>
      <c r="C23141" s="2" t="str">
        <f>"KG"</f>
        <v>KG</v>
      </c>
      <c r="D23141" s="7">
        <v>219</v>
      </c>
      <c r="E23141" s="3">
        <v>2</v>
      </c>
      <c r="F23141" s="3">
        <v>2</v>
      </c>
      <c r="G23141" t="s">
        <v>513</v>
      </c>
    </row>
    <row r="23142" spans="1:7" x14ac:dyDescent="0.25">
      <c r="A23142" s="1" t="str">
        <f>"910"</f>
        <v>910</v>
      </c>
      <c r="B23142" s="2" t="str">
        <f>"TECGEM AA 95.515GM - CALDA DE AMEIXA - T16-369"</f>
        <v>TECGEM AA 95.515GM - CALDA DE AMEIXA - T16-369</v>
      </c>
      <c r="C23142" s="2" t="str">
        <f>"KG"</f>
        <v>KG</v>
      </c>
      <c r="D23142" s="7">
        <v>219</v>
      </c>
      <c r="E23142" s="3">
        <v>2</v>
      </c>
      <c r="F23142" s="3">
        <v>2</v>
      </c>
      <c r="G23142" t="s">
        <v>512</v>
      </c>
    </row>
    <row r="23143" spans="1:7" x14ac:dyDescent="0.25">
      <c r="A23143" s="1" t="str">
        <f>"522519"</f>
        <v>522519</v>
      </c>
      <c r="B23143" s="2" t="str">
        <f>"TECGEM AA 95290 CA"</f>
        <v>TECGEM AA 95290 CA</v>
      </c>
      <c r="C23143" s="2" t="str">
        <f>"UN"</f>
        <v>UN</v>
      </c>
      <c r="D23143" s="7">
        <v>99999</v>
      </c>
      <c r="E23143" s="3">
        <v>99</v>
      </c>
      <c r="F23143" s="3">
        <v>99</v>
      </c>
      <c r="G23143" t="s">
        <v>513</v>
      </c>
    </row>
    <row r="23144" spans="1:7" x14ac:dyDescent="0.25">
      <c r="A23144" s="1" t="str">
        <f>"6245"</f>
        <v>6245</v>
      </c>
      <c r="B23144" s="2" t="str">
        <f>"TECGEM AA 96.955GM - CALDA DE FRUTAS VERMELHAS T16-368"</f>
        <v>TECGEM AA 96.955GM - CALDA DE FRUTAS VERMELHAS T16-368</v>
      </c>
      <c r="C23144" s="2" t="str">
        <f>"KG"</f>
        <v>KG</v>
      </c>
      <c r="D23144" s="7">
        <v>219</v>
      </c>
      <c r="E23144" s="3">
        <v>2</v>
      </c>
      <c r="F23144" s="3">
        <v>2</v>
      </c>
      <c r="G23144" t="s">
        <v>514</v>
      </c>
    </row>
    <row r="23145" spans="1:7" x14ac:dyDescent="0.25">
      <c r="A23145" s="1" t="str">
        <f>"522246"</f>
        <v>522246</v>
      </c>
      <c r="B23145" s="2" t="str">
        <f>"TECIDO"</f>
        <v>TECIDO</v>
      </c>
      <c r="C23145" s="2" t="str">
        <f t="shared" ref="C23145:C23175" si="912">"UN"</f>
        <v>UN</v>
      </c>
      <c r="D23145" s="7">
        <v>704</v>
      </c>
      <c r="E23145" s="3">
        <v>9</v>
      </c>
      <c r="F23145" s="3">
        <v>9</v>
      </c>
      <c r="G23145" t="s">
        <v>514</v>
      </c>
    </row>
    <row r="23146" spans="1:7" x14ac:dyDescent="0.25">
      <c r="A23146" s="1" t="str">
        <f>"515189"</f>
        <v>515189</v>
      </c>
      <c r="B23146" s="2" t="str">
        <f>"TECIDO BLECAUTE"</f>
        <v>TECIDO BLECAUTE</v>
      </c>
      <c r="C23146" s="2" t="str">
        <f t="shared" si="912"/>
        <v>UN</v>
      </c>
      <c r="D23146" s="7">
        <v>401</v>
      </c>
      <c r="E23146" s="3">
        <v>4</v>
      </c>
      <c r="F23146" s="3">
        <v>4</v>
      </c>
      <c r="G23146" t="s">
        <v>514</v>
      </c>
    </row>
    <row r="23147" spans="1:7" x14ac:dyDescent="0.25">
      <c r="A23147" s="1" t="str">
        <f>"519362"</f>
        <v>519362</v>
      </c>
      <c r="B23147" s="2" t="str">
        <f>"TECIDO TAM P"</f>
        <v>TECIDO TAM P</v>
      </c>
      <c r="C23147" s="2" t="str">
        <f t="shared" si="912"/>
        <v>UN</v>
      </c>
      <c r="D23147" s="7">
        <v>500</v>
      </c>
      <c r="E23147" s="3">
        <v>5</v>
      </c>
      <c r="F23147" s="3">
        <v>5</v>
      </c>
      <c r="G23147" t="s">
        <v>513</v>
      </c>
    </row>
    <row r="23148" spans="1:7" x14ac:dyDescent="0.25">
      <c r="A23148" s="1" t="str">
        <f>"527431"</f>
        <v>527431</v>
      </c>
      <c r="B23148" s="8" t="s">
        <v>501</v>
      </c>
      <c r="C23148" s="2" t="str">
        <f t="shared" si="912"/>
        <v>UN</v>
      </c>
      <c r="D23148" s="7">
        <v>900</v>
      </c>
      <c r="E23148" s="3">
        <v>11</v>
      </c>
      <c r="F23148" s="3">
        <v>11</v>
      </c>
      <c r="G23148" t="s">
        <v>513</v>
      </c>
    </row>
    <row r="23149" spans="1:7" x14ac:dyDescent="0.25">
      <c r="A23149" s="1" t="str">
        <f>"511455"</f>
        <v>511455</v>
      </c>
      <c r="B23149" s="2" t="str">
        <f>"TECLADO ABNT USB REF. K1-338D YINS"</f>
        <v>TECLADO ABNT USB REF. K1-338D YINS</v>
      </c>
      <c r="C23149" s="2" t="str">
        <f t="shared" si="912"/>
        <v>UN</v>
      </c>
      <c r="D23149" s="7">
        <v>401</v>
      </c>
      <c r="E23149" s="3">
        <v>4</v>
      </c>
      <c r="F23149" s="3">
        <v>4</v>
      </c>
      <c r="G23149" t="s">
        <v>513</v>
      </c>
    </row>
    <row r="23150" spans="1:7" x14ac:dyDescent="0.25">
      <c r="A23150" s="1" t="str">
        <f>"514913"</f>
        <v>514913</v>
      </c>
      <c r="B23150" s="2" t="str">
        <f>"TECLADO ALFANUMERICO"</f>
        <v>TECLADO ALFANUMERICO</v>
      </c>
      <c r="C23150" s="2" t="str">
        <f t="shared" si="912"/>
        <v>UN</v>
      </c>
      <c r="D23150" s="7">
        <v>401</v>
      </c>
      <c r="E23150" s="3">
        <v>4</v>
      </c>
      <c r="F23150" s="3">
        <v>4</v>
      </c>
      <c r="G23150" t="s">
        <v>512</v>
      </c>
    </row>
    <row r="23151" spans="1:7" x14ac:dyDescent="0.25">
      <c r="A23151" s="1" t="str">
        <f>"505564"</f>
        <v>505564</v>
      </c>
      <c r="B23151" s="2" t="str">
        <f>"TECLADO COLETEK MULTIMIDIA"</f>
        <v>TECLADO COLETEK MULTIMIDIA</v>
      </c>
      <c r="C23151" s="2" t="str">
        <f t="shared" si="912"/>
        <v>UN</v>
      </c>
      <c r="D23151" s="7">
        <v>402</v>
      </c>
      <c r="E23151" s="3">
        <v>4</v>
      </c>
      <c r="F23151" s="3">
        <v>4</v>
      </c>
      <c r="G23151" t="s">
        <v>513</v>
      </c>
    </row>
    <row r="23152" spans="1:7" x14ac:dyDescent="0.25">
      <c r="A23152" s="1" t="str">
        <f>"518409"</f>
        <v>518409</v>
      </c>
      <c r="B23152" s="2" t="str">
        <f>"TECLADO DELL EM PORTUGUÊS KB216"</f>
        <v>TECLADO DELL EM PORTUGUÊS KB216</v>
      </c>
      <c r="C23152" s="2" t="str">
        <f t="shared" si="912"/>
        <v>UN</v>
      </c>
      <c r="D23152" s="7">
        <v>401</v>
      </c>
      <c r="E23152" s="3">
        <v>4</v>
      </c>
      <c r="F23152" s="3">
        <v>4</v>
      </c>
      <c r="G23152" t="s">
        <v>514</v>
      </c>
    </row>
    <row r="23153" spans="1:7" x14ac:dyDescent="0.25">
      <c r="A23153" s="1" t="str">
        <f>"526961"</f>
        <v>526961</v>
      </c>
      <c r="B23153" s="2" t="str">
        <f>"TECLADO E MOUSE C/ FIO"</f>
        <v>TECLADO E MOUSE C/ FIO</v>
      </c>
      <c r="C23153" s="2" t="str">
        <f t="shared" si="912"/>
        <v>UN</v>
      </c>
      <c r="D23153" s="7">
        <v>401</v>
      </c>
      <c r="E23153" s="3">
        <v>4</v>
      </c>
      <c r="F23153" s="3">
        <v>4</v>
      </c>
      <c r="G23153" t="s">
        <v>515</v>
      </c>
    </row>
    <row r="23154" spans="1:7" x14ac:dyDescent="0.25">
      <c r="A23154" s="1" t="str">
        <f>"516627"</f>
        <v>516627</v>
      </c>
      <c r="B23154" s="2" t="str">
        <f>"TECLADO E MOUSE WIRELLESS"</f>
        <v>TECLADO E MOUSE WIRELLESS</v>
      </c>
      <c r="C23154" s="2" t="str">
        <f t="shared" si="912"/>
        <v>UN</v>
      </c>
      <c r="D23154" s="7">
        <v>401</v>
      </c>
      <c r="E23154" s="3">
        <v>4</v>
      </c>
      <c r="F23154" s="3">
        <v>4</v>
      </c>
      <c r="G23154" t="s">
        <v>512</v>
      </c>
    </row>
    <row r="23155" spans="1:7" x14ac:dyDescent="0.25">
      <c r="A23155" s="1" t="str">
        <f>"515761"</f>
        <v>515761</v>
      </c>
      <c r="B23155" s="2" t="str">
        <f>"TECLADO HP"</f>
        <v>TECLADO HP</v>
      </c>
      <c r="C23155" s="2" t="str">
        <f t="shared" si="912"/>
        <v>UN</v>
      </c>
      <c r="D23155" s="7">
        <v>99999</v>
      </c>
      <c r="E23155" s="3">
        <v>13</v>
      </c>
      <c r="F23155" s="3">
        <v>13</v>
      </c>
      <c r="G23155" t="s">
        <v>516</v>
      </c>
    </row>
    <row r="23156" spans="1:7" x14ac:dyDescent="0.25">
      <c r="A23156" s="1" t="str">
        <f>"514033"</f>
        <v>514033</v>
      </c>
      <c r="B23156" s="2" t="str">
        <f>"TECLADO HP USB STANDART JB3130"</f>
        <v>TECLADO HP USB STANDART JB3130</v>
      </c>
      <c r="C23156" s="2" t="str">
        <f t="shared" si="912"/>
        <v>UN</v>
      </c>
      <c r="D23156" s="7">
        <v>1300</v>
      </c>
      <c r="E23156" s="3">
        <v>13</v>
      </c>
      <c r="F23156" s="3">
        <v>13</v>
      </c>
      <c r="G23156" t="s">
        <v>515</v>
      </c>
    </row>
    <row r="23157" spans="1:7" x14ac:dyDescent="0.25">
      <c r="A23157" s="1" t="str">
        <f>"506526"</f>
        <v>506526</v>
      </c>
      <c r="B23157" s="2" t="str">
        <f>"TECLADO INVERS.FREQ.SIEM MICROMASTER 420"</f>
        <v>TECLADO INVERS.FREQ.SIEM MICROMASTER 420</v>
      </c>
      <c r="C23157" s="2" t="str">
        <f t="shared" si="912"/>
        <v>UN</v>
      </c>
      <c r="D23157" s="7">
        <v>900</v>
      </c>
      <c r="E23157" s="3">
        <v>11</v>
      </c>
      <c r="F23157" s="3">
        <v>11</v>
      </c>
      <c r="G23157" t="s">
        <v>514</v>
      </c>
    </row>
    <row r="23158" spans="1:7" x14ac:dyDescent="0.25">
      <c r="A23158" s="1" t="str">
        <f>"523763"</f>
        <v>523763</v>
      </c>
      <c r="B23158" s="2" t="str">
        <f>"TECLADO KEYBOARD DP BL 14 US CIRCUS"</f>
        <v>TECLADO KEYBOARD DP BL 14 US CIRCUS</v>
      </c>
      <c r="C23158" s="2" t="str">
        <f t="shared" si="912"/>
        <v>UN</v>
      </c>
      <c r="D23158" s="7">
        <v>99999</v>
      </c>
      <c r="E23158" s="3">
        <v>99</v>
      </c>
      <c r="F23158" s="3">
        <v>99</v>
      </c>
      <c r="G23158" t="s">
        <v>512</v>
      </c>
    </row>
    <row r="23159" spans="1:7" x14ac:dyDescent="0.25">
      <c r="A23159" s="1" t="str">
        <f>"518645"</f>
        <v>518645</v>
      </c>
      <c r="B23159" s="2" t="str">
        <f>"TECLADO LENOVO USBTHINKCENTRE"</f>
        <v>TECLADO LENOVO USBTHINKCENTRE</v>
      </c>
      <c r="C23159" s="2" t="str">
        <f t="shared" si="912"/>
        <v>UN</v>
      </c>
      <c r="D23159" s="7">
        <v>401</v>
      </c>
      <c r="E23159" s="3">
        <v>4</v>
      </c>
      <c r="F23159" s="3">
        <v>4</v>
      </c>
      <c r="G23159" t="s">
        <v>513</v>
      </c>
    </row>
    <row r="23160" spans="1:7" x14ac:dyDescent="0.25">
      <c r="A23160" s="1" t="str">
        <f>"513005"</f>
        <v>513005</v>
      </c>
      <c r="B23160" s="2" t="str">
        <f>"TECLADO MEMBRANA"</f>
        <v>TECLADO MEMBRANA</v>
      </c>
      <c r="C23160" s="2" t="str">
        <f t="shared" si="912"/>
        <v>UN</v>
      </c>
      <c r="D23160" s="7">
        <v>811</v>
      </c>
      <c r="E23160" s="3">
        <v>8</v>
      </c>
      <c r="F23160" s="3">
        <v>8</v>
      </c>
      <c r="G23160" t="s">
        <v>514</v>
      </c>
    </row>
    <row r="23161" spans="1:7" x14ac:dyDescent="0.25">
      <c r="A23161" s="1" t="str">
        <f>"514194"</f>
        <v>514194</v>
      </c>
      <c r="B23161" s="2" t="str">
        <f>"TECLADO NUMERICO"</f>
        <v>TECLADO NUMERICO</v>
      </c>
      <c r="C23161" s="2" t="str">
        <f t="shared" si="912"/>
        <v>UN</v>
      </c>
      <c r="D23161" s="7">
        <v>401</v>
      </c>
      <c r="E23161" s="3">
        <v>4</v>
      </c>
      <c r="F23161" s="3">
        <v>4</v>
      </c>
      <c r="G23161" t="s">
        <v>514</v>
      </c>
    </row>
    <row r="23162" spans="1:7" x14ac:dyDescent="0.25">
      <c r="A23162" s="1" t="str">
        <f>"510956"</f>
        <v>510956</v>
      </c>
      <c r="B23162" s="2" t="str">
        <f>"TECLADO USB PTO P/PC HP"</f>
        <v>TECLADO USB PTO P/PC HP</v>
      </c>
      <c r="C23162" s="2" t="str">
        <f t="shared" si="912"/>
        <v>UN</v>
      </c>
      <c r="D23162" s="7">
        <v>99999</v>
      </c>
      <c r="E23162" s="3">
        <v>99</v>
      </c>
      <c r="F23162" s="3">
        <v>99</v>
      </c>
      <c r="G23162" t="s">
        <v>512</v>
      </c>
    </row>
    <row r="23163" spans="1:7" x14ac:dyDescent="0.25">
      <c r="A23163" s="1" t="str">
        <f>"513228"</f>
        <v>513228</v>
      </c>
      <c r="B23163" s="2" t="str">
        <f>"TECLADO WILLETT"</f>
        <v>TECLADO WILLETT</v>
      </c>
      <c r="C23163" s="2" t="str">
        <f t="shared" si="912"/>
        <v>UN</v>
      </c>
      <c r="D23163" s="7">
        <v>900</v>
      </c>
      <c r="E23163" s="3">
        <v>11</v>
      </c>
      <c r="F23163" s="2">
        <v>8</v>
      </c>
      <c r="G23163" t="s">
        <v>513</v>
      </c>
    </row>
    <row r="23164" spans="1:7" x14ac:dyDescent="0.25">
      <c r="A23164" s="1" t="str">
        <f>"514473"</f>
        <v>514473</v>
      </c>
      <c r="B23164" s="2" t="str">
        <f>"TECLADO/PAINEL P9091 WEB"</f>
        <v>TECLADO/PAINEL P9091 WEB</v>
      </c>
      <c r="C23164" s="2" t="str">
        <f t="shared" si="912"/>
        <v>UN</v>
      </c>
      <c r="D23164" s="7">
        <v>811</v>
      </c>
      <c r="E23164" s="3">
        <v>11</v>
      </c>
      <c r="F23164" s="2">
        <v>6</v>
      </c>
      <c r="G23164" t="s">
        <v>514</v>
      </c>
    </row>
    <row r="23165" spans="1:7" x14ac:dyDescent="0.25">
      <c r="A23165" s="1" t="str">
        <f>"524481"</f>
        <v>524481</v>
      </c>
      <c r="B23165" s="2" t="str">
        <f>"TEE 3"" AÇO CARBONO ASMI B16,5 SCH40"</f>
        <v>TEE 3" AÇO CARBONO ASMI B16,5 SCH40</v>
      </c>
      <c r="C23165" s="2" t="str">
        <f t="shared" si="912"/>
        <v>UN</v>
      </c>
      <c r="D23165" s="7">
        <v>807</v>
      </c>
      <c r="E23165" s="3">
        <v>10</v>
      </c>
      <c r="F23165" s="2">
        <v>4</v>
      </c>
      <c r="G23165" t="s">
        <v>514</v>
      </c>
    </row>
    <row r="23166" spans="1:7" x14ac:dyDescent="0.25">
      <c r="A23166" s="1" t="str">
        <f>"527712"</f>
        <v>527712</v>
      </c>
      <c r="B23166" s="2" t="str">
        <f>"TEE 3/8"" INOX 316"</f>
        <v>TEE 3/8" INOX 316</v>
      </c>
      <c r="C23166" s="2" t="str">
        <f t="shared" si="912"/>
        <v>UN</v>
      </c>
      <c r="D23166" s="7">
        <v>807</v>
      </c>
      <c r="E23166" s="3">
        <v>10</v>
      </c>
      <c r="F23166" s="2">
        <v>1</v>
      </c>
      <c r="G23166" t="s">
        <v>514</v>
      </c>
    </row>
    <row r="23167" spans="1:7" x14ac:dyDescent="0.25">
      <c r="A23167" s="1" t="str">
        <f>"524477"</f>
        <v>524477</v>
      </c>
      <c r="B23167" s="2" t="str">
        <f>"TEE 4"" AÇO CARBONO ASMI B16,5 SCH40"</f>
        <v>TEE 4" AÇO CARBONO ASMI B16,5 SCH40</v>
      </c>
      <c r="C23167" s="2" t="str">
        <f t="shared" si="912"/>
        <v>UN</v>
      </c>
      <c r="D23167" s="7">
        <v>807</v>
      </c>
      <c r="E23167" s="3">
        <v>10</v>
      </c>
      <c r="F23167" s="2">
        <v>2</v>
      </c>
      <c r="G23167" t="s">
        <v>513</v>
      </c>
    </row>
    <row r="23168" spans="1:7" x14ac:dyDescent="0.25">
      <c r="A23168" s="1" t="str">
        <f>"523284"</f>
        <v>523284</v>
      </c>
      <c r="B23168" s="2" t="str">
        <f>"TEE 45º 304 S/C SCH10 6"""</f>
        <v>TEE 45º 304 S/C SCH10 6"</v>
      </c>
      <c r="C23168" s="2" t="str">
        <f t="shared" si="912"/>
        <v>UN</v>
      </c>
      <c r="D23168" s="7">
        <v>915</v>
      </c>
      <c r="E23168" s="3">
        <v>11</v>
      </c>
      <c r="F23168" s="2">
        <v>7</v>
      </c>
      <c r="G23168" t="s">
        <v>512</v>
      </c>
    </row>
    <row r="23169" spans="1:7" x14ac:dyDescent="0.25">
      <c r="A23169" s="1" t="str">
        <f>"523283"</f>
        <v>523283</v>
      </c>
      <c r="B23169" s="2" t="str">
        <f>"TEE 90º 304 S/C SCH10 6 X 4"""</f>
        <v>TEE 90º 304 S/C SCH10 6 X 4"</v>
      </c>
      <c r="C23169" s="2" t="str">
        <f t="shared" si="912"/>
        <v>UN</v>
      </c>
      <c r="D23169" s="7">
        <v>915</v>
      </c>
      <c r="E23169" s="3">
        <v>11</v>
      </c>
      <c r="F23169" s="2">
        <v>9</v>
      </c>
      <c r="G23169" t="s">
        <v>513</v>
      </c>
    </row>
    <row r="23170" spans="1:7" x14ac:dyDescent="0.25">
      <c r="A23170" s="1" t="str">
        <f>"523252"</f>
        <v>523252</v>
      </c>
      <c r="B23170" s="2" t="str">
        <f>"TEE AÇO CARBONO 1 1/4"" SH40 SOLDA"</f>
        <v>TEE AÇO CARBONO 1 1/4" SH40 SOLDA</v>
      </c>
      <c r="C23170" s="2" t="str">
        <f t="shared" si="912"/>
        <v>UN</v>
      </c>
      <c r="D23170" s="7">
        <v>99999</v>
      </c>
      <c r="E23170" s="3">
        <v>99</v>
      </c>
      <c r="F23170" s="2">
        <v>0</v>
      </c>
      <c r="G23170" t="s">
        <v>514</v>
      </c>
    </row>
    <row r="23171" spans="1:7" x14ac:dyDescent="0.25">
      <c r="A23171" s="1" t="str">
        <f>"515979"</f>
        <v>515979</v>
      </c>
      <c r="B23171" s="2" t="str">
        <f>"TEE AÇO CARBONO 1"" SH40 SOLDA"</f>
        <v>TEE AÇO CARBONO 1" SH40 SOLDA</v>
      </c>
      <c r="C23171" s="2" t="str">
        <f t="shared" si="912"/>
        <v>UN</v>
      </c>
      <c r="D23171" s="7">
        <v>99999</v>
      </c>
      <c r="E23171" s="3">
        <v>99</v>
      </c>
      <c r="F23171" s="2">
        <v>0</v>
      </c>
      <c r="G23171" t="s">
        <v>514</v>
      </c>
    </row>
    <row r="23172" spans="1:7" x14ac:dyDescent="0.25">
      <c r="A23172" s="1" t="str">
        <f>"523253"</f>
        <v>523253</v>
      </c>
      <c r="B23172" s="2" t="str">
        <f>"TEE AÇO CARBONO 1"" SH40 SOLDA"</f>
        <v>TEE AÇO CARBONO 1" SH40 SOLDA</v>
      </c>
      <c r="C23172" s="2" t="str">
        <f t="shared" si="912"/>
        <v>UN</v>
      </c>
      <c r="D23172" s="7">
        <v>99999</v>
      </c>
      <c r="E23172" s="3">
        <v>99</v>
      </c>
      <c r="F23172" s="2">
        <v>2</v>
      </c>
      <c r="G23172" t="s">
        <v>514</v>
      </c>
    </row>
    <row r="23173" spans="1:7" x14ac:dyDescent="0.25">
      <c r="A23173" s="1" t="str">
        <f>"523251"</f>
        <v>523251</v>
      </c>
      <c r="B23173" s="2" t="str">
        <f>"TEE AÇO CARBONO 2 1/2"" SH40 SOLDA"</f>
        <v>TEE AÇO CARBONO 2 1/2" SH40 SOLDA</v>
      </c>
      <c r="C23173" s="2" t="str">
        <f t="shared" si="912"/>
        <v>UN</v>
      </c>
      <c r="D23173" s="7">
        <v>99999</v>
      </c>
      <c r="E23173" s="3">
        <v>99</v>
      </c>
      <c r="F23173" s="2">
        <v>5</v>
      </c>
      <c r="G23173" t="s">
        <v>513</v>
      </c>
    </row>
    <row r="23174" spans="1:7" x14ac:dyDescent="0.25">
      <c r="A23174" s="1" t="str">
        <f>"523250"</f>
        <v>523250</v>
      </c>
      <c r="B23174" s="2" t="str">
        <f>"TEE AÇO CARBONO 2"" SH40 SOLDA"</f>
        <v>TEE AÇO CARBONO 2" SH40 SOLDA</v>
      </c>
      <c r="C23174" s="2" t="str">
        <f t="shared" si="912"/>
        <v>UN</v>
      </c>
      <c r="D23174" s="7">
        <v>99999</v>
      </c>
      <c r="E23174" s="3">
        <v>99</v>
      </c>
      <c r="F23174" s="2">
        <v>6</v>
      </c>
      <c r="G23174" t="s">
        <v>513</v>
      </c>
    </row>
    <row r="23175" spans="1:7" x14ac:dyDescent="0.25">
      <c r="A23175" s="1" t="str">
        <f>"523249"</f>
        <v>523249</v>
      </c>
      <c r="B23175" s="2" t="str">
        <f>"TEE AÇO CARBONO 3"" SH40 SOLDA"</f>
        <v>TEE AÇO CARBONO 3" SH40 SOLDA</v>
      </c>
      <c r="C23175" s="2" t="str">
        <f t="shared" si="912"/>
        <v>UN</v>
      </c>
      <c r="D23175" s="7">
        <v>99999</v>
      </c>
      <c r="E23175" s="3">
        <v>99</v>
      </c>
      <c r="F23175" s="2">
        <v>9</v>
      </c>
      <c r="G23175" t="s">
        <v>513</v>
      </c>
    </row>
    <row r="23176" spans="1:7" x14ac:dyDescent="0.25">
      <c r="A23176" s="1" t="str">
        <f>"523248"</f>
        <v>523248</v>
      </c>
      <c r="B23176" s="2" t="str">
        <f>"TEE AÇO CARBONO 4"" X 1 1/2"" SCH40"</f>
        <v>TEE AÇO CARBONO 4" X 1 1/2" SCH40</v>
      </c>
      <c r="C23176" s="2" t="str">
        <f>"BR"</f>
        <v>BR</v>
      </c>
      <c r="D23176" s="7">
        <v>808</v>
      </c>
      <c r="E23176" s="3">
        <v>10</v>
      </c>
      <c r="F23176" s="2">
        <v>5</v>
      </c>
      <c r="G23176" t="s">
        <v>512</v>
      </c>
    </row>
    <row r="23177" spans="1:7" x14ac:dyDescent="0.25">
      <c r="A23177" s="1" t="str">
        <f>"523247"</f>
        <v>523247</v>
      </c>
      <c r="B23177" s="2" t="str">
        <f>"TEE AÇO CARBONO 4"" X 3"" SCH40"</f>
        <v>TEE AÇO CARBONO 4" X 3" SCH40</v>
      </c>
      <c r="C23177" s="2" t="str">
        <f>"BR"</f>
        <v>BR</v>
      </c>
      <c r="D23177" s="7">
        <v>808</v>
      </c>
      <c r="E23177" s="3">
        <v>10</v>
      </c>
      <c r="F23177" s="2">
        <v>3</v>
      </c>
      <c r="G23177" t="s">
        <v>513</v>
      </c>
    </row>
    <row r="23178" spans="1:7" x14ac:dyDescent="0.25">
      <c r="A23178" s="1" t="str">
        <f>"517695"</f>
        <v>517695</v>
      </c>
      <c r="B23178" s="2" t="str">
        <f>"TEE ALUMINIO P/ FORRO"</f>
        <v>TEE ALUMINIO P/ FORRO</v>
      </c>
      <c r="C23178" s="2" t="str">
        <f>"UN"</f>
        <v>UN</v>
      </c>
      <c r="D23178" s="7">
        <v>916</v>
      </c>
      <c r="E23178" s="3">
        <v>10</v>
      </c>
      <c r="F23178" s="2">
        <v>3</v>
      </c>
      <c r="G23178" t="s">
        <v>514</v>
      </c>
    </row>
    <row r="23179" spans="1:7" x14ac:dyDescent="0.25">
      <c r="A23179" s="1" t="str">
        <f>"509002"</f>
        <v>509002</v>
      </c>
      <c r="B23179" s="2" t="str">
        <f>"TEE AZUL 25MM X 1/2"""</f>
        <v>TEE AZUL 25MM X 1/2"</v>
      </c>
      <c r="C23179" s="2" t="str">
        <f>"UN"</f>
        <v>UN</v>
      </c>
      <c r="D23179" s="7">
        <v>912</v>
      </c>
      <c r="E23179" s="3">
        <v>11</v>
      </c>
      <c r="F23179" s="2">
        <v>2</v>
      </c>
      <c r="G23179" t="s">
        <v>515</v>
      </c>
    </row>
    <row r="23180" spans="1:7" x14ac:dyDescent="0.25">
      <c r="A23180" s="1" t="str">
        <f>"517834"</f>
        <v>517834</v>
      </c>
      <c r="B23180" s="2" t="str">
        <f>"TEE AZUL 25MM X 3/4"""</f>
        <v>TEE AZUL 25MM X 3/4"</v>
      </c>
      <c r="C23180" s="2" t="str">
        <f>"UN"</f>
        <v>UN</v>
      </c>
      <c r="D23180" s="7">
        <v>912</v>
      </c>
      <c r="E23180" s="3">
        <v>10</v>
      </c>
      <c r="F23180" s="2">
        <v>1</v>
      </c>
      <c r="G23180" t="s">
        <v>512</v>
      </c>
    </row>
    <row r="23181" spans="1:7" x14ac:dyDescent="0.25">
      <c r="A23181" s="1" t="str">
        <f>"520338"</f>
        <v>520338</v>
      </c>
      <c r="B23181" s="2" t="str">
        <f>"TEE AZUL 3/4 C/ ROSCA 1/2"</f>
        <v>TEE AZUL 3/4 C/ ROSCA 1/2</v>
      </c>
      <c r="C23181" s="2" t="str">
        <f>"BR"</f>
        <v>BR</v>
      </c>
      <c r="D23181" s="7">
        <v>807</v>
      </c>
      <c r="E23181" s="3">
        <v>10</v>
      </c>
      <c r="F23181" s="2">
        <v>4</v>
      </c>
      <c r="G23181" t="s">
        <v>516</v>
      </c>
    </row>
    <row r="23182" spans="1:7" x14ac:dyDescent="0.25">
      <c r="A23182" s="1" t="str">
        <f>"519918"</f>
        <v>519918</v>
      </c>
      <c r="B23182" s="2" t="str">
        <f>"TEE C/ REDUÇÃO 100X50MM  - PVC BRANCO ESGOTO"</f>
        <v>TEE C/ REDUÇÃO 100X50MM  - PVC BRANCO ESGOTO</v>
      </c>
      <c r="C23182" s="2" t="str">
        <f>"UN"</f>
        <v>UN</v>
      </c>
      <c r="D23182" s="7">
        <v>808</v>
      </c>
      <c r="E23182" s="3">
        <v>10</v>
      </c>
      <c r="F23182" s="2">
        <v>1</v>
      </c>
      <c r="G23182" t="s">
        <v>515</v>
      </c>
    </row>
    <row r="23183" spans="1:7" x14ac:dyDescent="0.25">
      <c r="A23183" s="1" t="str">
        <f>"519909"</f>
        <v>519909</v>
      </c>
      <c r="B23183" s="2" t="str">
        <f>"TEE C/ ROSCA 3"" - PVC"</f>
        <v>TEE C/ ROSCA 3" - PVC</v>
      </c>
      <c r="C23183" s="2" t="str">
        <f>"BR"</f>
        <v>BR</v>
      </c>
      <c r="D23183" s="7">
        <v>808</v>
      </c>
      <c r="E23183" s="3">
        <v>10</v>
      </c>
      <c r="F23183" s="2">
        <v>2</v>
      </c>
      <c r="G23183" t="s">
        <v>514</v>
      </c>
    </row>
    <row r="23184" spans="1:7" x14ac:dyDescent="0.25">
      <c r="A23184" s="1" t="str">
        <f>"517640"</f>
        <v>517640</v>
      </c>
      <c r="B23184" s="2" t="str">
        <f>"TEE COBRE 1/2 SOLDA"</f>
        <v>TEE COBRE 1/2 SOLDA</v>
      </c>
      <c r="C23184" s="2" t="str">
        <f>"UN"</f>
        <v>UN</v>
      </c>
      <c r="D23184" s="7">
        <v>916</v>
      </c>
      <c r="E23184" s="3">
        <v>11</v>
      </c>
      <c r="F23184" s="2">
        <v>7</v>
      </c>
      <c r="G23184" t="s">
        <v>512</v>
      </c>
    </row>
    <row r="23185" spans="1:7" x14ac:dyDescent="0.25">
      <c r="A23185" s="1" t="str">
        <f>"517839"</f>
        <v>517839</v>
      </c>
      <c r="B23185" s="2" t="str">
        <f>"TEE ESGOTO - 100 X 40MM"</f>
        <v>TEE ESGOTO - 100 X 40MM</v>
      </c>
      <c r="C23185" s="2" t="str">
        <f>"UN"</f>
        <v>UN</v>
      </c>
      <c r="D23185" s="7">
        <v>912</v>
      </c>
      <c r="E23185" s="3">
        <v>10</v>
      </c>
      <c r="F23185" s="2">
        <v>9</v>
      </c>
      <c r="G23185" t="s">
        <v>513</v>
      </c>
    </row>
    <row r="23186" spans="1:7" x14ac:dyDescent="0.25">
      <c r="A23186" s="1" t="str">
        <f>"500264"</f>
        <v>500264</v>
      </c>
      <c r="B23186" s="2" t="str">
        <f>"TEE ESGOTO - 100MM"</f>
        <v>TEE ESGOTO - 100MM</v>
      </c>
      <c r="C23186" s="2" t="str">
        <f>"BR"</f>
        <v>BR</v>
      </c>
      <c r="D23186" s="7">
        <v>809</v>
      </c>
      <c r="E23186" s="3">
        <v>10</v>
      </c>
      <c r="F23186" s="2">
        <v>0</v>
      </c>
      <c r="G23186" t="s">
        <v>514</v>
      </c>
    </row>
    <row r="23187" spans="1:7" x14ac:dyDescent="0.25">
      <c r="A23187" s="1" t="str">
        <f>"518403"</f>
        <v>518403</v>
      </c>
      <c r="B23187" s="2" t="str">
        <f>"TEE ESGOTO - 150 X 100MM PVC"</f>
        <v>TEE ESGOTO - 150 X 100MM PVC</v>
      </c>
      <c r="C23187" s="2" t="str">
        <f>"PÇ"</f>
        <v>PÇ</v>
      </c>
      <c r="D23187" s="7">
        <v>809</v>
      </c>
      <c r="E23187" s="3">
        <v>10</v>
      </c>
      <c r="F23187" s="2">
        <v>0</v>
      </c>
      <c r="G23187" t="s">
        <v>514</v>
      </c>
    </row>
    <row r="23188" spans="1:7" x14ac:dyDescent="0.25">
      <c r="A23188" s="1" t="str">
        <f>"504303"</f>
        <v>504303</v>
      </c>
      <c r="B23188" s="2" t="str">
        <f>"TEE ESGOTO - 150MM"</f>
        <v>TEE ESGOTO - 150MM</v>
      </c>
      <c r="C23188" s="2" t="str">
        <f>"BR"</f>
        <v>BR</v>
      </c>
      <c r="D23188" s="7">
        <v>809</v>
      </c>
      <c r="E23188" s="3">
        <v>10</v>
      </c>
      <c r="F23188" s="2">
        <v>4</v>
      </c>
      <c r="G23188" t="s">
        <v>512</v>
      </c>
    </row>
    <row r="23189" spans="1:7" x14ac:dyDescent="0.25">
      <c r="A23189" s="1" t="str">
        <f>"503950"</f>
        <v>503950</v>
      </c>
      <c r="B23189" s="2" t="str">
        <f>"TEE ESGOTO - 40MM"</f>
        <v>TEE ESGOTO - 40MM</v>
      </c>
      <c r="C23189" s="2" t="str">
        <f>"BR"</f>
        <v>BR</v>
      </c>
      <c r="D23189" s="7">
        <v>809</v>
      </c>
      <c r="E23189" s="3">
        <v>10</v>
      </c>
      <c r="F23189" s="2">
        <v>1</v>
      </c>
      <c r="G23189" t="s">
        <v>513</v>
      </c>
    </row>
    <row r="23190" spans="1:7" x14ac:dyDescent="0.25">
      <c r="A23190" s="1" t="str">
        <f>"517956"</f>
        <v>517956</v>
      </c>
      <c r="B23190" s="2" t="str">
        <f>"TEE ESGOTO - 50MM"</f>
        <v>TEE ESGOTO - 50MM</v>
      </c>
      <c r="C23190" s="2" t="str">
        <f>"UN"</f>
        <v>UN</v>
      </c>
      <c r="D23190" s="7">
        <v>809</v>
      </c>
      <c r="E23190" s="3">
        <v>10</v>
      </c>
      <c r="F23190" s="2">
        <v>2</v>
      </c>
      <c r="G23190" t="s">
        <v>514</v>
      </c>
    </row>
    <row r="23191" spans="1:7" x14ac:dyDescent="0.25">
      <c r="A23191" s="1" t="str">
        <f>"500710"</f>
        <v>500710</v>
      </c>
      <c r="B23191" s="2" t="str">
        <f>"TEE F.G. 1"""</f>
        <v>TEE F.G. 1"</v>
      </c>
      <c r="C23191" s="2" t="str">
        <f>"BR"</f>
        <v>BR</v>
      </c>
      <c r="D23191" s="7">
        <v>808</v>
      </c>
      <c r="E23191" s="3">
        <v>10</v>
      </c>
      <c r="F23191" s="2">
        <v>7</v>
      </c>
      <c r="G23191" t="s">
        <v>514</v>
      </c>
    </row>
    <row r="23192" spans="1:7" x14ac:dyDescent="0.25">
      <c r="A23192" s="1" t="str">
        <f>"501511"</f>
        <v>501511</v>
      </c>
      <c r="B23192" s="2" t="str">
        <f>"TEE F.G. 1.1/2"""</f>
        <v>TEE F.G. 1.1/2"</v>
      </c>
      <c r="C23192" s="2" t="str">
        <f>"BR"</f>
        <v>BR</v>
      </c>
      <c r="D23192" s="7">
        <v>808</v>
      </c>
      <c r="E23192" s="3">
        <v>10</v>
      </c>
      <c r="F23192" s="2">
        <v>9</v>
      </c>
      <c r="G23192" t="s">
        <v>514</v>
      </c>
    </row>
    <row r="23193" spans="1:7" x14ac:dyDescent="0.25">
      <c r="A23193" s="1" t="str">
        <f>"500153"</f>
        <v>500153</v>
      </c>
      <c r="B23193" s="2" t="str">
        <f>"TEE F.G. 1/2"""</f>
        <v>TEE F.G. 1/2"</v>
      </c>
      <c r="C23193" s="2" t="str">
        <f>"BR"</f>
        <v>BR</v>
      </c>
      <c r="D23193" s="7">
        <v>808</v>
      </c>
      <c r="E23193" s="3">
        <v>10</v>
      </c>
      <c r="F23193" s="5">
        <v>5</v>
      </c>
      <c r="G23193" t="s">
        <v>513</v>
      </c>
    </row>
    <row r="23194" spans="1:7" x14ac:dyDescent="0.25">
      <c r="A23194" s="1" t="str">
        <f>"518864"</f>
        <v>518864</v>
      </c>
      <c r="B23194" s="2" t="str">
        <f>"TEE F.G. 1/4"""</f>
        <v>TEE F.G. 1/4"</v>
      </c>
      <c r="C23194" s="2" t="str">
        <f>"BR"</f>
        <v>BR</v>
      </c>
      <c r="D23194" s="7">
        <v>808</v>
      </c>
      <c r="E23194" s="3">
        <v>10</v>
      </c>
      <c r="F23194" s="2">
        <v>3</v>
      </c>
      <c r="G23194" t="s">
        <v>512</v>
      </c>
    </row>
    <row r="23195" spans="1:7" x14ac:dyDescent="0.25">
      <c r="A23195" s="1" t="str">
        <f>"519993"</f>
        <v>519993</v>
      </c>
      <c r="B23195" s="2" t="str">
        <f>"TEE F.G. 2"""</f>
        <v>TEE F.G. 2"</v>
      </c>
      <c r="C23195" s="2" t="str">
        <f>"UN"</f>
        <v>UN</v>
      </c>
      <c r="D23195" s="7">
        <v>808</v>
      </c>
      <c r="E23195" s="3">
        <v>10</v>
      </c>
      <c r="F23195" s="2">
        <v>8</v>
      </c>
      <c r="G23195" t="s">
        <v>513</v>
      </c>
    </row>
    <row r="23196" spans="1:7" x14ac:dyDescent="0.25">
      <c r="A23196" s="1" t="str">
        <f>"504270"</f>
        <v>504270</v>
      </c>
      <c r="B23196" s="2" t="str">
        <f>"TEE F.G. 2.1/2"""</f>
        <v>TEE F.G. 2.1/2"</v>
      </c>
      <c r="C23196" s="2" t="str">
        <f>"BR"</f>
        <v>BR</v>
      </c>
      <c r="D23196" s="7">
        <v>808</v>
      </c>
      <c r="E23196" s="3">
        <v>10</v>
      </c>
      <c r="F23196" s="2">
        <v>6</v>
      </c>
      <c r="G23196" t="s">
        <v>514</v>
      </c>
    </row>
    <row r="23197" spans="1:7" x14ac:dyDescent="0.25">
      <c r="A23197" s="1" t="str">
        <f>"500061"</f>
        <v>500061</v>
      </c>
      <c r="B23197" s="2" t="str">
        <f>"TEE F.G. 3/4"""</f>
        <v>TEE F.G. 3/4"</v>
      </c>
      <c r="C23197" s="2" t="str">
        <f>"PC"</f>
        <v>PC</v>
      </c>
      <c r="D23197" s="7">
        <v>808</v>
      </c>
      <c r="E23197" s="3">
        <v>10</v>
      </c>
      <c r="F23197" s="2">
        <v>4</v>
      </c>
      <c r="G23197" t="s">
        <v>514</v>
      </c>
    </row>
    <row r="23198" spans="1:7" x14ac:dyDescent="0.25">
      <c r="A23198" s="1" t="str">
        <f>"500881"</f>
        <v>500881</v>
      </c>
      <c r="B23198" s="2" t="str">
        <f>"TEE F.G. 3/8"""</f>
        <v>TEE F.G. 3/8"</v>
      </c>
      <c r="C23198" s="2" t="str">
        <f>"BR"</f>
        <v>BR</v>
      </c>
      <c r="D23198" s="7">
        <v>808</v>
      </c>
      <c r="E23198" s="3">
        <v>10</v>
      </c>
      <c r="F23198" s="2">
        <v>1</v>
      </c>
      <c r="G23198" t="s">
        <v>514</v>
      </c>
    </row>
    <row r="23199" spans="1:7" x14ac:dyDescent="0.25">
      <c r="A23199" s="1" t="str">
        <f>"513549"</f>
        <v>513549</v>
      </c>
      <c r="B23199" s="2" t="str">
        <f>"TEE GALVANIZADO 3"""</f>
        <v>TEE GALVANIZADO 3"</v>
      </c>
      <c r="C23199" s="2" t="str">
        <f>"BR"</f>
        <v>BR</v>
      </c>
      <c r="D23199" s="7">
        <v>808</v>
      </c>
      <c r="E23199" s="3">
        <v>10</v>
      </c>
      <c r="F23199" s="2">
        <v>2</v>
      </c>
      <c r="G23199" t="s">
        <v>513</v>
      </c>
    </row>
    <row r="23200" spans="1:7" x14ac:dyDescent="0.25">
      <c r="A23200" s="1" t="str">
        <f>"513537"</f>
        <v>513537</v>
      </c>
      <c r="B23200" s="2" t="str">
        <f>"TEE GALVANIZADO 4"""</f>
        <v>TEE GALVANIZADO 4"</v>
      </c>
      <c r="C23200" s="2" t="str">
        <f>"BR"</f>
        <v>BR</v>
      </c>
      <c r="D23200" s="7">
        <v>808</v>
      </c>
      <c r="E23200" s="3">
        <v>10</v>
      </c>
      <c r="F23200" s="2">
        <v>7</v>
      </c>
      <c r="G23200" t="s">
        <v>513</v>
      </c>
    </row>
    <row r="23201" spans="1:7" x14ac:dyDescent="0.25">
      <c r="A23201" s="1" t="str">
        <f>"522417"</f>
        <v>522417</v>
      </c>
      <c r="B23201" s="2" t="str">
        <f>"TEE HOR. BM014 DE 400X200"</f>
        <v>TEE HOR. BM014 DE 400X200</v>
      </c>
      <c r="C23201" s="2" t="str">
        <f t="shared" ref="C23201:C23210" si="913">"UN"</f>
        <v>UN</v>
      </c>
      <c r="D23201" s="7">
        <v>811</v>
      </c>
      <c r="E23201" s="3">
        <v>10</v>
      </c>
      <c r="F23201" s="2">
        <v>9</v>
      </c>
      <c r="G23201" t="s">
        <v>513</v>
      </c>
    </row>
    <row r="23202" spans="1:7" x14ac:dyDescent="0.25">
      <c r="A23202" s="1" t="str">
        <f>"522421"</f>
        <v>522421</v>
      </c>
      <c r="B23202" s="2" t="str">
        <f>"TEE HOR. BM014 P/ BM004"</f>
        <v>TEE HOR. BM014 P/ BM004</v>
      </c>
      <c r="C23202" s="2" t="str">
        <f t="shared" si="913"/>
        <v>UN</v>
      </c>
      <c r="D23202" s="7">
        <v>811</v>
      </c>
      <c r="E23202" s="3">
        <v>10</v>
      </c>
      <c r="F23202" s="2">
        <v>0</v>
      </c>
      <c r="G23202" t="s">
        <v>512</v>
      </c>
    </row>
    <row r="23203" spans="1:7" x14ac:dyDescent="0.25">
      <c r="A23203" s="1" t="str">
        <f>"522592"</f>
        <v>522592</v>
      </c>
      <c r="B23203" s="2" t="str">
        <f>"TEE HORIZONTAL  90 PTC 400X100MM GF"</f>
        <v>TEE HORIZONTAL  90 PTC 400X100MM GF</v>
      </c>
      <c r="C23203" s="2" t="str">
        <f t="shared" si="913"/>
        <v>UN</v>
      </c>
      <c r="D23203" s="7">
        <v>811</v>
      </c>
      <c r="E23203" s="3">
        <v>10</v>
      </c>
      <c r="F23203" s="2">
        <v>0</v>
      </c>
      <c r="G23203" t="s">
        <v>513</v>
      </c>
    </row>
    <row r="23204" spans="1:7" x14ac:dyDescent="0.25">
      <c r="A23204" s="1" t="str">
        <f>"518050"</f>
        <v>518050</v>
      </c>
      <c r="B23204" s="2" t="str">
        <f>"TEE HORIZONTAL 100X50MM 7011"</f>
        <v>TEE HORIZONTAL 100X50MM 7011</v>
      </c>
      <c r="C23204" s="2" t="str">
        <f t="shared" si="913"/>
        <v>UN</v>
      </c>
      <c r="D23204" s="7">
        <v>811</v>
      </c>
      <c r="E23204" s="3">
        <v>8</v>
      </c>
      <c r="F23204" s="2">
        <v>2</v>
      </c>
      <c r="G23204" t="s">
        <v>514</v>
      </c>
    </row>
    <row r="23205" spans="1:7" x14ac:dyDescent="0.25">
      <c r="A23205" s="1" t="str">
        <f>"518949"</f>
        <v>518949</v>
      </c>
      <c r="B23205" s="2" t="str">
        <f>"TEE HORIZONTAL 400X50MM"</f>
        <v>TEE HORIZONTAL 400X50MM</v>
      </c>
      <c r="C23205" s="2" t="str">
        <f t="shared" si="913"/>
        <v>UN</v>
      </c>
      <c r="D23205" s="7">
        <v>811</v>
      </c>
      <c r="E23205" s="3">
        <v>8</v>
      </c>
      <c r="F23205" s="2">
        <v>5</v>
      </c>
      <c r="G23205" t="s">
        <v>515</v>
      </c>
    </row>
    <row r="23206" spans="1:7" x14ac:dyDescent="0.25">
      <c r="A23206" s="1" t="str">
        <f>"520499"</f>
        <v>520499</v>
      </c>
      <c r="B23206" s="2" t="str">
        <f>"TEE HORIZONTAL 50X50MM"</f>
        <v>TEE HORIZONTAL 50X50MM</v>
      </c>
      <c r="C23206" s="2" t="str">
        <f t="shared" si="913"/>
        <v>UN</v>
      </c>
      <c r="D23206" s="7">
        <v>811</v>
      </c>
      <c r="E23206" s="3">
        <v>8</v>
      </c>
      <c r="F23206" s="2">
        <v>6</v>
      </c>
      <c r="G23206" t="s">
        <v>512</v>
      </c>
    </row>
    <row r="23207" spans="1:7" x14ac:dyDescent="0.25">
      <c r="A23207" s="1" t="str">
        <f>"527654"</f>
        <v>527654</v>
      </c>
      <c r="B23207" s="2" t="str">
        <f>"TEE HORIZONTAL AI 30X30"</f>
        <v>TEE HORIZONTAL AI 30X30</v>
      </c>
      <c r="C23207" s="2" t="str">
        <f t="shared" si="913"/>
        <v>UN</v>
      </c>
      <c r="D23207" s="7">
        <v>917</v>
      </c>
      <c r="E23207" s="3">
        <v>11</v>
      </c>
      <c r="F23207" s="2">
        <v>9</v>
      </c>
      <c r="G23207" t="s">
        <v>516</v>
      </c>
    </row>
    <row r="23208" spans="1:7" x14ac:dyDescent="0.25">
      <c r="A23208" s="1" t="str">
        <f>"516273"</f>
        <v>516273</v>
      </c>
      <c r="B23208" s="2" t="str">
        <f>"TEE INOX 304 SCHEDULE PI/PE 2"" PAREDE 4MM"</f>
        <v>TEE INOX 304 SCHEDULE PI/PE 2" PAREDE 4MM</v>
      </c>
      <c r="C23208" s="2" t="str">
        <f t="shared" si="913"/>
        <v>UN</v>
      </c>
      <c r="D23208" s="7">
        <v>915</v>
      </c>
      <c r="E23208" s="3">
        <v>10</v>
      </c>
      <c r="F23208" s="2">
        <v>5</v>
      </c>
      <c r="G23208" t="s">
        <v>515</v>
      </c>
    </row>
    <row r="23209" spans="1:7" x14ac:dyDescent="0.25">
      <c r="A23209" s="1" t="str">
        <f>"518707"</f>
        <v>518707</v>
      </c>
      <c r="B23209" s="2" t="str">
        <f>"TEE LATÃO REGULAR 1/4 SAE M"</f>
        <v>TEE LATÃO REGULAR 1/4 SAE M</v>
      </c>
      <c r="C23209" s="2" t="str">
        <f t="shared" si="913"/>
        <v>UN</v>
      </c>
      <c r="D23209" s="7">
        <v>818</v>
      </c>
      <c r="E23209" s="3">
        <v>11</v>
      </c>
      <c r="F23209" s="2">
        <v>3</v>
      </c>
      <c r="G23209" t="s">
        <v>514</v>
      </c>
    </row>
    <row r="23210" spans="1:7" x14ac:dyDescent="0.25">
      <c r="A23210" s="1" t="str">
        <f>"525462"</f>
        <v>525462</v>
      </c>
      <c r="B23210" s="2" t="str">
        <f>"TEE PVC  MARRON 75MM"</f>
        <v>TEE PVC  MARRON 75MM</v>
      </c>
      <c r="C23210" s="2" t="str">
        <f t="shared" si="913"/>
        <v>UN</v>
      </c>
      <c r="D23210" s="7">
        <v>917</v>
      </c>
      <c r="E23210" s="3">
        <v>10</v>
      </c>
      <c r="F23210" s="2">
        <v>3</v>
      </c>
      <c r="G23210" t="s">
        <v>512</v>
      </c>
    </row>
    <row r="23211" spans="1:7" x14ac:dyDescent="0.25">
      <c r="A23211" s="1" t="str">
        <f>"522261"</f>
        <v>522261</v>
      </c>
      <c r="B23211" s="2" t="str">
        <f>"TEE PVC  SERIE R C/ DN 150MM"</f>
        <v>TEE PVC  SERIE R C/ DN 150MM</v>
      </c>
      <c r="C23211" s="2" t="str">
        <f>"BR"</f>
        <v>BR</v>
      </c>
      <c r="D23211" s="7">
        <v>809</v>
      </c>
      <c r="E23211" s="3">
        <v>10</v>
      </c>
      <c r="F23211" s="2">
        <v>2</v>
      </c>
      <c r="G23211" t="s">
        <v>513</v>
      </c>
    </row>
    <row r="23212" spans="1:7" x14ac:dyDescent="0.25">
      <c r="A23212" s="1" t="str">
        <f>"518354"</f>
        <v>518354</v>
      </c>
      <c r="B23212" s="2" t="str">
        <f>"TEE PVC BRANCO ROSCA 1/2"</f>
        <v>TEE PVC BRANCO ROSCA 1/2</v>
      </c>
      <c r="C23212" s="2" t="str">
        <f>"UN"</f>
        <v>UN</v>
      </c>
      <c r="D23212" s="7">
        <v>912</v>
      </c>
      <c r="E23212" s="3">
        <v>10</v>
      </c>
      <c r="F23212" s="2">
        <v>1</v>
      </c>
      <c r="G23212" t="s">
        <v>514</v>
      </c>
    </row>
    <row r="23213" spans="1:7" x14ac:dyDescent="0.25">
      <c r="A23213" s="1" t="str">
        <f>"520521"</f>
        <v>520521</v>
      </c>
      <c r="B23213" s="2" t="str">
        <f>"TEE PVC C/ REDUÇÃO MARRON 32 X 25MM"</f>
        <v>TEE PVC C/ REDUÇÃO MARRON 32 X 25MM</v>
      </c>
      <c r="C23213" s="2" t="str">
        <f>"UN"</f>
        <v>UN</v>
      </c>
      <c r="D23213" s="7">
        <v>808</v>
      </c>
      <c r="E23213" s="3">
        <v>10</v>
      </c>
      <c r="F23213" s="2">
        <v>4</v>
      </c>
      <c r="G23213" t="s">
        <v>514</v>
      </c>
    </row>
    <row r="23214" spans="1:7" x14ac:dyDescent="0.25">
      <c r="A23214" s="1" t="str">
        <f>"528029"</f>
        <v>528029</v>
      </c>
      <c r="B23214" s="2" t="str">
        <f>"TEE PVC MARROM 75 MM"</f>
        <v>TEE PVC MARROM 75 MM</v>
      </c>
      <c r="C23214" s="2" t="str">
        <f t="shared" ref="C23214:C23229" si="914">"BR"</f>
        <v>BR</v>
      </c>
      <c r="D23214" s="7">
        <v>808</v>
      </c>
      <c r="E23214" s="3">
        <v>10</v>
      </c>
      <c r="F23214" s="2">
        <v>6</v>
      </c>
      <c r="G23214" t="s">
        <v>512</v>
      </c>
    </row>
    <row r="23215" spans="1:7" x14ac:dyDescent="0.25">
      <c r="A23215" s="1" t="str">
        <f>"500371"</f>
        <v>500371</v>
      </c>
      <c r="B23215" s="2" t="str">
        <f>"TEE PVC MARRON 1 1/2"""</f>
        <v>TEE PVC MARRON 1 1/2"</v>
      </c>
      <c r="C23215" s="2" t="str">
        <f t="shared" si="914"/>
        <v>BR</v>
      </c>
      <c r="D23215" s="7">
        <v>808</v>
      </c>
      <c r="E23215" s="3">
        <v>10</v>
      </c>
      <c r="F23215" s="2">
        <v>8</v>
      </c>
      <c r="G23215" t="s">
        <v>513</v>
      </c>
    </row>
    <row r="23216" spans="1:7" x14ac:dyDescent="0.25">
      <c r="A23216" s="1" t="str">
        <f>"503043"</f>
        <v>503043</v>
      </c>
      <c r="B23216" s="2" t="str">
        <f>"TEE PVC MARRON 1"""</f>
        <v>TEE PVC MARRON 1"</v>
      </c>
      <c r="C23216" s="2" t="str">
        <f t="shared" si="914"/>
        <v>BR</v>
      </c>
      <c r="D23216" s="7">
        <v>808</v>
      </c>
      <c r="E23216" s="3">
        <v>10</v>
      </c>
      <c r="F23216" s="2">
        <v>7</v>
      </c>
      <c r="G23216" t="s">
        <v>514</v>
      </c>
    </row>
    <row r="23217" spans="1:7" x14ac:dyDescent="0.25">
      <c r="A23217" s="1" t="str">
        <f>"511389"</f>
        <v>511389</v>
      </c>
      <c r="B23217" s="2" t="str">
        <f>"TEE PVC MARRON 1/2"""</f>
        <v>TEE PVC MARRON 1/2"</v>
      </c>
      <c r="C23217" s="2" t="str">
        <f t="shared" si="914"/>
        <v>BR</v>
      </c>
      <c r="D23217" s="7">
        <v>808</v>
      </c>
      <c r="E23217" s="3">
        <v>10</v>
      </c>
      <c r="F23217" s="2">
        <v>6</v>
      </c>
      <c r="G23217" t="s">
        <v>514</v>
      </c>
    </row>
    <row r="23218" spans="1:7" x14ac:dyDescent="0.25">
      <c r="A23218" s="1" t="str">
        <f>"501883"</f>
        <v>501883</v>
      </c>
      <c r="B23218" s="2" t="str">
        <f>"TEE PVC MARRON 1/4"""</f>
        <v>TEE PVC MARRON 1/4"</v>
      </c>
      <c r="C23218" s="2" t="str">
        <f t="shared" si="914"/>
        <v>BR</v>
      </c>
      <c r="D23218" s="7">
        <v>808</v>
      </c>
      <c r="E23218" s="3">
        <v>10</v>
      </c>
      <c r="F23218" s="2">
        <v>6</v>
      </c>
      <c r="G23218" t="s">
        <v>514</v>
      </c>
    </row>
    <row r="23219" spans="1:7" x14ac:dyDescent="0.25">
      <c r="A23219" s="1" t="str">
        <f>"519328"</f>
        <v>519328</v>
      </c>
      <c r="B23219" s="2" t="str">
        <f>"TEE PVC MARRON 3/4 X 1/2"""</f>
        <v>TEE PVC MARRON 3/4 X 1/2"</v>
      </c>
      <c r="C23219" s="2" t="str">
        <f t="shared" si="914"/>
        <v>BR</v>
      </c>
      <c r="D23219" s="7">
        <v>808</v>
      </c>
      <c r="E23219" s="3">
        <v>10</v>
      </c>
      <c r="F23219" s="2">
        <v>2</v>
      </c>
      <c r="G23219" t="s">
        <v>513</v>
      </c>
    </row>
    <row r="23220" spans="1:7" x14ac:dyDescent="0.25">
      <c r="A23220" s="1" t="str">
        <f>"501309"</f>
        <v>501309</v>
      </c>
      <c r="B23220" s="2" t="str">
        <f>"TEE PVC MARRON 3/4"""</f>
        <v>TEE PVC MARRON 3/4"</v>
      </c>
      <c r="C23220" s="2" t="str">
        <f t="shared" si="914"/>
        <v>BR</v>
      </c>
      <c r="D23220" s="7">
        <v>808</v>
      </c>
      <c r="E23220" s="3">
        <v>10</v>
      </c>
      <c r="F23220" s="2">
        <v>1</v>
      </c>
      <c r="G23220" t="s">
        <v>512</v>
      </c>
    </row>
    <row r="23221" spans="1:7" x14ac:dyDescent="0.25">
      <c r="A23221" s="1" t="str">
        <f>"511315"</f>
        <v>511315</v>
      </c>
      <c r="B23221" s="2" t="str">
        <f>"TEE PVC MARRON 50MM"</f>
        <v>TEE PVC MARRON 50MM</v>
      </c>
      <c r="C23221" s="2" t="str">
        <f t="shared" si="914"/>
        <v>BR</v>
      </c>
      <c r="D23221" s="7">
        <v>808</v>
      </c>
      <c r="E23221" s="3">
        <v>10</v>
      </c>
      <c r="F23221" s="2">
        <v>0</v>
      </c>
      <c r="G23221" t="s">
        <v>513</v>
      </c>
    </row>
    <row r="23222" spans="1:7" x14ac:dyDescent="0.25">
      <c r="A23222" s="1" t="str">
        <f>"520516"</f>
        <v>520516</v>
      </c>
      <c r="B23222" s="2" t="str">
        <f>"TEE PVC MARRON 50MM X 1 1/4"""</f>
        <v>TEE PVC MARRON 50MM X 1 1/4"</v>
      </c>
      <c r="C23222" s="2" t="str">
        <f t="shared" si="914"/>
        <v>BR</v>
      </c>
      <c r="D23222" s="7">
        <v>808</v>
      </c>
      <c r="E23222" s="3">
        <v>10</v>
      </c>
      <c r="F23222" s="2">
        <v>0</v>
      </c>
      <c r="G23222" t="s">
        <v>514</v>
      </c>
    </row>
    <row r="23223" spans="1:7" x14ac:dyDescent="0.25">
      <c r="A23223" s="1" t="str">
        <f>"510593"</f>
        <v>510593</v>
      </c>
      <c r="B23223" s="2" t="str">
        <f>"TEE PVC MARRON 50MM X 1"""</f>
        <v>TEE PVC MARRON 50MM X 1"</v>
      </c>
      <c r="C23223" s="2" t="str">
        <f t="shared" si="914"/>
        <v>BR</v>
      </c>
      <c r="D23223" s="7">
        <v>808</v>
      </c>
      <c r="E23223" s="3">
        <v>10</v>
      </c>
      <c r="F23223" s="2">
        <v>0</v>
      </c>
      <c r="G23223" t="s">
        <v>514</v>
      </c>
    </row>
    <row r="23224" spans="1:7" x14ac:dyDescent="0.25">
      <c r="A23224" s="1" t="str">
        <f>"502735"</f>
        <v>502735</v>
      </c>
      <c r="B23224" s="2" t="str">
        <f>"TEE PVC MARRON 50MM X 1/2"""</f>
        <v>TEE PVC MARRON 50MM X 1/2"</v>
      </c>
      <c r="C23224" s="2" t="str">
        <f t="shared" si="914"/>
        <v>BR</v>
      </c>
      <c r="D23224" s="7">
        <v>808</v>
      </c>
      <c r="E23224" s="3">
        <v>10</v>
      </c>
      <c r="F23224" s="2">
        <v>3</v>
      </c>
      <c r="G23224" t="s">
        <v>514</v>
      </c>
    </row>
    <row r="23225" spans="1:7" x14ac:dyDescent="0.25">
      <c r="A23225" s="1" t="str">
        <f>"504038"</f>
        <v>504038</v>
      </c>
      <c r="B23225" s="2" t="str">
        <f>"TEE PVC MARRON 50MM X 3/4"""</f>
        <v>TEE PVC MARRON 50MM X 3/4"</v>
      </c>
      <c r="C23225" s="2" t="str">
        <f t="shared" si="914"/>
        <v>BR</v>
      </c>
      <c r="D23225" s="7">
        <v>808</v>
      </c>
      <c r="E23225" s="3">
        <v>10</v>
      </c>
      <c r="F23225" s="5">
        <v>5</v>
      </c>
      <c r="G23225" t="s">
        <v>513</v>
      </c>
    </row>
    <row r="23226" spans="1:7" x14ac:dyDescent="0.25">
      <c r="A23226" s="1" t="str">
        <f>"511699"</f>
        <v>511699</v>
      </c>
      <c r="B23226" s="2" t="str">
        <f>"TEE PVC MARRON 6"""</f>
        <v>TEE PVC MARRON 6"</v>
      </c>
      <c r="C23226" s="2" t="str">
        <f t="shared" si="914"/>
        <v>BR</v>
      </c>
      <c r="D23226" s="7">
        <v>808</v>
      </c>
      <c r="E23226" s="3">
        <v>10</v>
      </c>
      <c r="F23226" s="2">
        <v>3</v>
      </c>
      <c r="G23226" t="s">
        <v>513</v>
      </c>
    </row>
    <row r="23227" spans="1:7" x14ac:dyDescent="0.25">
      <c r="A23227" s="1" t="str">
        <f>"512756"</f>
        <v>512756</v>
      </c>
      <c r="B23227" s="2" t="str">
        <f>"TEE PVC MARRON 85MM"</f>
        <v>TEE PVC MARRON 85MM</v>
      </c>
      <c r="C23227" s="2" t="str">
        <f t="shared" si="914"/>
        <v>BR</v>
      </c>
      <c r="D23227" s="7">
        <v>808</v>
      </c>
      <c r="E23227" s="3">
        <v>10</v>
      </c>
      <c r="F23227" s="2">
        <v>8</v>
      </c>
      <c r="G23227" t="s">
        <v>513</v>
      </c>
    </row>
    <row r="23228" spans="1:7" x14ac:dyDescent="0.25">
      <c r="A23228" s="1" t="str">
        <f>"526850"</f>
        <v>526850</v>
      </c>
      <c r="B23228" s="2" t="str">
        <f>"TEE PVC MARRON 85x50 MM"</f>
        <v>TEE PVC MARRON 85x50 MM</v>
      </c>
      <c r="C23228" s="2" t="str">
        <f t="shared" si="914"/>
        <v>BR</v>
      </c>
      <c r="D23228" s="7">
        <v>808</v>
      </c>
      <c r="E23228" s="3">
        <v>10</v>
      </c>
      <c r="F23228" s="2">
        <v>6</v>
      </c>
      <c r="G23228" t="s">
        <v>512</v>
      </c>
    </row>
    <row r="23229" spans="1:7" x14ac:dyDescent="0.25">
      <c r="A23229" s="1" t="str">
        <f>"526854"</f>
        <v>526854</v>
      </c>
      <c r="B23229" s="2" t="str">
        <f>"TEE PVC MARRON 85X60MM"</f>
        <v>TEE PVC MARRON 85X60MM</v>
      </c>
      <c r="C23229" s="2" t="str">
        <f t="shared" si="914"/>
        <v>BR</v>
      </c>
      <c r="D23229" s="7">
        <v>808</v>
      </c>
      <c r="E23229" s="3">
        <v>10</v>
      </c>
      <c r="F23229" s="2">
        <v>4</v>
      </c>
      <c r="G23229" t="s">
        <v>513</v>
      </c>
    </row>
    <row r="23230" spans="1:7" x14ac:dyDescent="0.25">
      <c r="A23230" s="1" t="str">
        <f>"524479"</f>
        <v>524479</v>
      </c>
      <c r="B23230" s="2" t="str">
        <f>"TEE RED 4""X2"" AÇO CARBONO ASMI B16,5 SCH40"</f>
        <v>TEE RED 4"X2" AÇO CARBONO ASMI B16,5 SCH40</v>
      </c>
      <c r="C23230" s="2" t="str">
        <f>"UN"</f>
        <v>UN</v>
      </c>
      <c r="D23230" s="7">
        <v>807</v>
      </c>
      <c r="E23230" s="3">
        <v>10</v>
      </c>
      <c r="F23230" s="2">
        <v>1</v>
      </c>
      <c r="G23230" t="s">
        <v>514</v>
      </c>
    </row>
    <row r="23231" spans="1:7" x14ac:dyDescent="0.25">
      <c r="A23231" s="1" t="str">
        <f>"524480"</f>
        <v>524480</v>
      </c>
      <c r="B23231" s="2" t="str">
        <f>"TEE RED 4""X3"" AÇO CARBONO ASMI B16,5 SCH40"</f>
        <v>TEE RED 4"X3" AÇO CARBONO ASMI B16,5 SCH40</v>
      </c>
      <c r="C23231" s="2" t="str">
        <f>"UN"</f>
        <v>UN</v>
      </c>
      <c r="D23231" s="7">
        <v>807</v>
      </c>
      <c r="E23231" s="3">
        <v>10</v>
      </c>
      <c r="F23231" s="2">
        <v>2</v>
      </c>
      <c r="G23231" t="s">
        <v>515</v>
      </c>
    </row>
    <row r="23232" spans="1:7" x14ac:dyDescent="0.25">
      <c r="A23232" s="1" t="str">
        <f>"519974"</f>
        <v>519974</v>
      </c>
      <c r="B23232" s="2" t="str">
        <f>"TEE RED SMS 1 1/2"" X 1/2"""</f>
        <v>TEE RED SMS 1 1/2" X 1/2"</v>
      </c>
      <c r="C23232" s="2" t="str">
        <f>"UN"</f>
        <v>UN</v>
      </c>
      <c r="D23232" s="7">
        <v>807</v>
      </c>
      <c r="E23232" s="3">
        <v>10</v>
      </c>
      <c r="F23232" s="2">
        <v>7</v>
      </c>
      <c r="G23232" t="s">
        <v>512</v>
      </c>
    </row>
    <row r="23233" spans="1:7" x14ac:dyDescent="0.25">
      <c r="A23233" s="1" t="str">
        <f>"502069"</f>
        <v>502069</v>
      </c>
      <c r="B23233" s="2" t="str">
        <f>"TEE RED SMS 2 1/2"" X 2"""</f>
        <v>TEE RED SMS 2 1/2" X 2"</v>
      </c>
      <c r="C23233" s="2" t="str">
        <f>"BR"</f>
        <v>BR</v>
      </c>
      <c r="D23233" s="7">
        <v>807</v>
      </c>
      <c r="E23233" s="3">
        <v>10</v>
      </c>
      <c r="F23233" s="2">
        <v>9</v>
      </c>
      <c r="G23233" t="s">
        <v>516</v>
      </c>
    </row>
    <row r="23234" spans="1:7" x14ac:dyDescent="0.25">
      <c r="A23234" s="1" t="str">
        <f>"523400"</f>
        <v>523400</v>
      </c>
      <c r="B23234" s="2" t="str">
        <f>"TEE RED SMS 2 1/2"" X 2"""</f>
        <v>TEE RED SMS 2 1/2" X 2"</v>
      </c>
      <c r="C23234" s="2" t="str">
        <f>"UN"</f>
        <v>UN</v>
      </c>
      <c r="D23234" s="7">
        <v>99999</v>
      </c>
      <c r="E23234" s="3">
        <v>10</v>
      </c>
      <c r="F23234" s="2">
        <v>0</v>
      </c>
      <c r="G23234" t="s">
        <v>515</v>
      </c>
    </row>
    <row r="23235" spans="1:7" x14ac:dyDescent="0.25">
      <c r="A23235" s="1" t="str">
        <f>"510148"</f>
        <v>510148</v>
      </c>
      <c r="B23235" s="2" t="str">
        <f>"TEE RED SMS 2 X 1 1/2"""</f>
        <v>TEE RED SMS 2 X 1 1/2"</v>
      </c>
      <c r="C23235" s="2" t="str">
        <f>"BR"</f>
        <v>BR</v>
      </c>
      <c r="D23235" s="7">
        <v>807</v>
      </c>
      <c r="E23235" s="3">
        <v>10</v>
      </c>
      <c r="F23235" s="2">
        <v>0</v>
      </c>
      <c r="G23235" t="s">
        <v>514</v>
      </c>
    </row>
    <row r="23236" spans="1:7" x14ac:dyDescent="0.25">
      <c r="A23236" s="1" t="str">
        <f>"502070"</f>
        <v>502070</v>
      </c>
      <c r="B23236" s="2" t="str">
        <f>"TEE RED SMS 2"" X 1"""</f>
        <v>TEE RED SMS 2" X 1"</v>
      </c>
      <c r="C23236" s="2" t="str">
        <f>"BR"</f>
        <v>BR</v>
      </c>
      <c r="D23236" s="7">
        <v>807</v>
      </c>
      <c r="E23236" s="3">
        <v>10</v>
      </c>
      <c r="F23236" s="2">
        <v>2</v>
      </c>
      <c r="G23236" t="s">
        <v>512</v>
      </c>
    </row>
    <row r="23237" spans="1:7" x14ac:dyDescent="0.25">
      <c r="A23237" s="1" t="str">
        <f>"501312"</f>
        <v>501312</v>
      </c>
      <c r="B23237" s="2" t="str">
        <f>"TEE RED SMS 2""1/2 X 1"""</f>
        <v>TEE RED SMS 2"1/2 X 1"</v>
      </c>
      <c r="C23237" s="2" t="str">
        <f>"BR"</f>
        <v>BR</v>
      </c>
      <c r="D23237" s="7">
        <v>807</v>
      </c>
      <c r="E23237" s="3">
        <v>10</v>
      </c>
      <c r="F23237" s="2">
        <v>5</v>
      </c>
      <c r="G23237" t="s">
        <v>513</v>
      </c>
    </row>
    <row r="23238" spans="1:7" x14ac:dyDescent="0.25">
      <c r="A23238" s="1" t="str">
        <f>"523399"</f>
        <v>523399</v>
      </c>
      <c r="B23238" s="2" t="str">
        <f>"TEE RED SMS 3"" X 1 1/2"""</f>
        <v>TEE RED SMS 3" X 1 1/2"</v>
      </c>
      <c r="C23238" s="2" t="str">
        <f>"UN"</f>
        <v>UN</v>
      </c>
      <c r="D23238" s="7">
        <v>99999</v>
      </c>
      <c r="E23238" s="3">
        <v>10</v>
      </c>
      <c r="F23238" s="2">
        <v>6</v>
      </c>
      <c r="G23238" t="s">
        <v>514</v>
      </c>
    </row>
    <row r="23239" spans="1:7" x14ac:dyDescent="0.25">
      <c r="A23239" s="1" t="str">
        <f>"502106"</f>
        <v>502106</v>
      </c>
      <c r="B23239" s="2" t="str">
        <f>"TEE RED SMS 3"" X 2"""</f>
        <v>TEE RED SMS 3" X 2"</v>
      </c>
      <c r="C23239" s="2" t="str">
        <f>"BR"</f>
        <v>BR</v>
      </c>
      <c r="D23239" s="7">
        <v>807</v>
      </c>
      <c r="E23239" s="3">
        <v>10</v>
      </c>
      <c r="F23239" s="2">
        <v>9</v>
      </c>
      <c r="G23239" t="s">
        <v>514</v>
      </c>
    </row>
    <row r="23240" spans="1:7" x14ac:dyDescent="0.25">
      <c r="A23240" s="1" t="str">
        <f>"519984"</f>
        <v>519984</v>
      </c>
      <c r="B23240" s="2" t="str">
        <f>"TEE RED SMS 4"" X 1""1/2"</f>
        <v>TEE RED SMS 4" X 1"1/2</v>
      </c>
      <c r="C23240" s="2" t="str">
        <f>"UN"</f>
        <v>UN</v>
      </c>
      <c r="D23240" s="7">
        <v>807</v>
      </c>
      <c r="E23240" s="3">
        <v>10</v>
      </c>
      <c r="F23240" s="2">
        <v>5</v>
      </c>
      <c r="G23240" t="s">
        <v>512</v>
      </c>
    </row>
    <row r="23241" spans="1:7" x14ac:dyDescent="0.25">
      <c r="A23241" s="1" t="str">
        <f>"503901"</f>
        <v>503901</v>
      </c>
      <c r="B23241" s="2" t="str">
        <f>"TEE RED SMS 4"" X 2""1/2"</f>
        <v>TEE RED SMS 4" X 2"1/2</v>
      </c>
      <c r="C23241" s="2" t="str">
        <f>"BR"</f>
        <v>BR</v>
      </c>
      <c r="D23241" s="7">
        <v>807</v>
      </c>
      <c r="E23241" s="3">
        <v>10</v>
      </c>
      <c r="F23241" s="2">
        <v>3</v>
      </c>
      <c r="G23241" t="s">
        <v>513</v>
      </c>
    </row>
    <row r="23242" spans="1:7" x14ac:dyDescent="0.25">
      <c r="A23242" s="1" t="str">
        <f>"524482"</f>
        <v>524482</v>
      </c>
      <c r="B23242" s="2" t="str">
        <f>"TEE RED. 3""X1"" AÇO CARBONO ASMI B16,5 SCH40"</f>
        <v>TEE RED. 3"X1" AÇO CARBONO ASMI B16,5 SCH40</v>
      </c>
      <c r="C23242" s="2" t="str">
        <f>"UN"</f>
        <v>UN</v>
      </c>
      <c r="D23242" s="7">
        <v>807</v>
      </c>
      <c r="E23242" s="3">
        <v>10</v>
      </c>
      <c r="F23242" s="2">
        <v>3</v>
      </c>
      <c r="G23242" t="s">
        <v>514</v>
      </c>
    </row>
    <row r="23243" spans="1:7" x14ac:dyDescent="0.25">
      <c r="A23243" s="1" t="str">
        <f>"524478"</f>
        <v>524478</v>
      </c>
      <c r="B23243" s="2" t="str">
        <f>"TEE RED. 4""X1 1/2 AÇO CARBONO ASMI B16,5 SCH40"</f>
        <v>TEE RED. 4"X1 1/2 AÇO CARBONO ASMI B16,5 SCH40</v>
      </c>
      <c r="C23243" s="2" t="str">
        <f>"UN"</f>
        <v>UN</v>
      </c>
      <c r="D23243" s="7">
        <v>807</v>
      </c>
      <c r="E23243" s="3">
        <v>10</v>
      </c>
      <c r="F23243" s="2">
        <v>2</v>
      </c>
      <c r="G23243" t="s">
        <v>514</v>
      </c>
    </row>
    <row r="23244" spans="1:7" x14ac:dyDescent="0.25">
      <c r="A23244" s="1" t="str">
        <f>"524483"</f>
        <v>524483</v>
      </c>
      <c r="B23244" s="2" t="str">
        <f>"TEE RED. 6""X3"" AÇO CARBONO ASMI B16,5 SCH40"</f>
        <v>TEE RED. 6"X3" AÇO CARBONO ASMI B16,5 SCH40</v>
      </c>
      <c r="C23244" s="2" t="str">
        <f>"UN"</f>
        <v>UN</v>
      </c>
      <c r="D23244" s="7">
        <v>807</v>
      </c>
      <c r="E23244" s="3">
        <v>10</v>
      </c>
      <c r="F23244" s="2">
        <v>1</v>
      </c>
      <c r="G23244" t="s">
        <v>514</v>
      </c>
    </row>
    <row r="23245" spans="1:7" x14ac:dyDescent="0.25">
      <c r="A23245" s="1" t="str">
        <f>"524484"</f>
        <v>524484</v>
      </c>
      <c r="B23245" s="2" t="str">
        <f>"TEE RED. 6""X4"" AÇO CARBONO ASMI B16,5 SCH40"</f>
        <v>TEE RED. 6"X4" AÇO CARBONO ASMI B16,5 SCH40</v>
      </c>
      <c r="C23245" s="2" t="str">
        <f>"UN"</f>
        <v>UN</v>
      </c>
      <c r="D23245" s="7">
        <v>807</v>
      </c>
      <c r="E23245" s="3">
        <v>10</v>
      </c>
      <c r="F23245" s="2">
        <v>4</v>
      </c>
      <c r="G23245" t="s">
        <v>513</v>
      </c>
    </row>
    <row r="23246" spans="1:7" x14ac:dyDescent="0.25">
      <c r="A23246" s="1" t="str">
        <f>"519994"</f>
        <v>519994</v>
      </c>
      <c r="B23246" s="2" t="str">
        <f>"TEE RED. F.G. 1""1/2 X 3/4"</f>
        <v>TEE RED. F.G. 1"1/2 X 3/4</v>
      </c>
      <c r="C23246" s="2" t="str">
        <f>"UN"</f>
        <v>UN</v>
      </c>
      <c r="D23246" s="7">
        <v>808</v>
      </c>
      <c r="E23246" s="3">
        <v>10</v>
      </c>
      <c r="F23246" s="2">
        <v>1</v>
      </c>
      <c r="G23246" t="s">
        <v>512</v>
      </c>
    </row>
    <row r="23247" spans="1:7" x14ac:dyDescent="0.25">
      <c r="A23247" s="1" t="str">
        <f>"526781"</f>
        <v>526781</v>
      </c>
      <c r="B23247" s="2" t="str">
        <f>"TEE REDUÇÃO 90 OD 304 PIPE 2""X1.1/2"</f>
        <v>TEE REDUÇÃO 90 OD 304 PIPE 2"X1.1/2</v>
      </c>
      <c r="C23247" s="2" t="str">
        <f>"PC"</f>
        <v>PC</v>
      </c>
      <c r="D23247" s="7">
        <v>806</v>
      </c>
      <c r="E23247" s="3">
        <v>10</v>
      </c>
      <c r="F23247" s="2">
        <v>2</v>
      </c>
      <c r="G23247" t="s">
        <v>513</v>
      </c>
    </row>
    <row r="23248" spans="1:7" x14ac:dyDescent="0.25">
      <c r="A23248" s="1" t="str">
        <f>"526780"</f>
        <v>526780</v>
      </c>
      <c r="B23248" s="2" t="str">
        <f>"TEE REDUÇÃO 90 OD 304 PIPE 3""X2"</f>
        <v>TEE REDUÇÃO 90 OD 304 PIPE 3"X2</v>
      </c>
      <c r="C23248" s="2" t="str">
        <f>"PC"</f>
        <v>PC</v>
      </c>
      <c r="D23248" s="7">
        <v>806</v>
      </c>
      <c r="E23248" s="3">
        <v>10</v>
      </c>
      <c r="F23248" s="2">
        <v>7</v>
      </c>
      <c r="G23248" t="s">
        <v>514</v>
      </c>
    </row>
    <row r="23249" spans="1:7" x14ac:dyDescent="0.25">
      <c r="A23249" s="1" t="str">
        <f>"523051"</f>
        <v>523051</v>
      </c>
      <c r="B23249" s="2" t="str">
        <f>"TEE REDUÇÃO 90 OD 304 PIPI 2 1/2""  X 1/2 BSP L"</f>
        <v>TEE REDUÇÃO 90 OD 304 PIPI 2 1/2"  X 1/2 BSP L</v>
      </c>
      <c r="C23249" s="2" t="str">
        <f>"UN"</f>
        <v>UN</v>
      </c>
      <c r="D23249" s="7">
        <v>807</v>
      </c>
      <c r="E23249" s="3">
        <v>10</v>
      </c>
      <c r="F23249" s="2">
        <v>9</v>
      </c>
      <c r="G23249" t="s">
        <v>514</v>
      </c>
    </row>
    <row r="23250" spans="1:7" x14ac:dyDescent="0.25">
      <c r="A23250" s="1" t="str">
        <f>"523050"</f>
        <v>523050</v>
      </c>
      <c r="B23250" s="2" t="str">
        <f>"TEE REDUÇÃO 90 OD 304 PIPI 2"" X 1/2 BSP L"</f>
        <v>TEE REDUÇÃO 90 OD 304 PIPI 2" X 1/2 BSP L</v>
      </c>
      <c r="C23250" s="2" t="str">
        <f>"UN"</f>
        <v>UN</v>
      </c>
      <c r="D23250" s="7">
        <v>807</v>
      </c>
      <c r="E23250" s="3">
        <v>10</v>
      </c>
      <c r="F23250" s="2">
        <v>0</v>
      </c>
      <c r="G23250" t="s">
        <v>514</v>
      </c>
    </row>
    <row r="23251" spans="1:7" x14ac:dyDescent="0.25">
      <c r="A23251" s="1" t="str">
        <f>"523052"</f>
        <v>523052</v>
      </c>
      <c r="B23251" s="2" t="str">
        <f>"TEE REDUÇÃO 90 OD 304 PIPI 3""  X 1/2 BSP L"</f>
        <v>TEE REDUÇÃO 90 OD 304 PIPI 3"  X 1/2 BSP L</v>
      </c>
      <c r="C23251" s="2" t="str">
        <f>"UN"</f>
        <v>UN</v>
      </c>
      <c r="D23251" s="7">
        <v>807</v>
      </c>
      <c r="E23251" s="3">
        <v>10</v>
      </c>
      <c r="F23251" s="2">
        <v>0</v>
      </c>
      <c r="G23251" t="s">
        <v>513</v>
      </c>
    </row>
    <row r="23252" spans="1:7" x14ac:dyDescent="0.25">
      <c r="A23252" s="1" t="str">
        <f>"502705"</f>
        <v>502705</v>
      </c>
      <c r="B23252" s="2" t="str">
        <f>"TEE RETO 304 1"""</f>
        <v>TEE RETO 304 1"</v>
      </c>
      <c r="C23252" s="2" t="str">
        <f>"BR"</f>
        <v>BR</v>
      </c>
      <c r="D23252" s="7">
        <v>807</v>
      </c>
      <c r="E23252" s="3">
        <v>10</v>
      </c>
      <c r="F23252" s="2">
        <v>4</v>
      </c>
      <c r="G23252" t="s">
        <v>513</v>
      </c>
    </row>
    <row r="23253" spans="1:7" x14ac:dyDescent="0.25">
      <c r="A23253" s="1" t="str">
        <f>"502031"</f>
        <v>502031</v>
      </c>
      <c r="B23253" s="2" t="str">
        <f>"TEE RETO 304 1""1/2"</f>
        <v>TEE RETO 304 1"1/2</v>
      </c>
      <c r="C23253" s="2" t="str">
        <f>"BR"</f>
        <v>BR</v>
      </c>
      <c r="D23253" s="7">
        <v>807</v>
      </c>
      <c r="E23253" s="3">
        <v>10</v>
      </c>
      <c r="F23253" s="2">
        <v>1</v>
      </c>
      <c r="G23253" t="s">
        <v>513</v>
      </c>
    </row>
    <row r="23254" spans="1:7" x14ac:dyDescent="0.25">
      <c r="A23254" s="1" t="str">
        <f>"524778"</f>
        <v>524778</v>
      </c>
      <c r="B23254" s="2" t="str">
        <f>"TEE RETO 304 1/2"""</f>
        <v>TEE RETO 304 1/2"</v>
      </c>
      <c r="C23254" s="2" t="str">
        <f>"UN"</f>
        <v>UN</v>
      </c>
      <c r="D23254" s="7">
        <v>807</v>
      </c>
      <c r="E23254" s="3">
        <v>10</v>
      </c>
      <c r="F23254" s="2">
        <v>2</v>
      </c>
      <c r="G23254" t="s">
        <v>512</v>
      </c>
    </row>
    <row r="23255" spans="1:7" x14ac:dyDescent="0.25">
      <c r="A23255" s="1" t="str">
        <f>"502105"</f>
        <v>502105</v>
      </c>
      <c r="B23255" s="2" t="str">
        <f>"TEE RETO 304 2 1/2"""</f>
        <v>TEE RETO 304 2 1/2"</v>
      </c>
      <c r="C23255" s="2" t="str">
        <f>"BR"</f>
        <v>BR</v>
      </c>
      <c r="D23255" s="7">
        <v>808</v>
      </c>
      <c r="E23255" s="3">
        <v>10</v>
      </c>
      <c r="F23255" s="2">
        <v>7</v>
      </c>
      <c r="G23255" t="s">
        <v>513</v>
      </c>
    </row>
    <row r="23256" spans="1:7" x14ac:dyDescent="0.25">
      <c r="A23256" s="1" t="str">
        <f>"519975"</f>
        <v>519975</v>
      </c>
      <c r="B23256" s="2" t="str">
        <f>"TEE RETO 304 2""""1/2 C/ ENTRADA PT100"</f>
        <v>TEE RETO 304 2""1/2 C/ ENTRADA PT100</v>
      </c>
      <c r="C23256" s="2" t="str">
        <f>"UN"</f>
        <v>UN</v>
      </c>
      <c r="D23256" s="7">
        <v>807</v>
      </c>
      <c r="E23256" s="3">
        <v>10</v>
      </c>
      <c r="F23256" s="2">
        <v>9</v>
      </c>
      <c r="G23256" t="s">
        <v>514</v>
      </c>
    </row>
    <row r="23257" spans="1:7" x14ac:dyDescent="0.25">
      <c r="A23257" s="1" t="str">
        <f>"504037"</f>
        <v>504037</v>
      </c>
      <c r="B23257" s="2" t="str">
        <f>"TEE RETO 304 3"""</f>
        <v>TEE RETO 304 3"</v>
      </c>
      <c r="C23257" s="2" t="str">
        <f>"BR"</f>
        <v>BR</v>
      </c>
      <c r="D23257" s="7">
        <v>807</v>
      </c>
      <c r="E23257" s="3">
        <v>10</v>
      </c>
      <c r="F23257" s="5">
        <v>5</v>
      </c>
      <c r="G23257" t="s">
        <v>515</v>
      </c>
    </row>
    <row r="23258" spans="1:7" x14ac:dyDescent="0.25">
      <c r="A23258" s="1" t="str">
        <f>"503324"</f>
        <v>503324</v>
      </c>
      <c r="B23258" s="2" t="str">
        <f>"TEE RETO 304 4"""</f>
        <v>TEE RETO 304 4"</v>
      </c>
      <c r="C23258" s="2" t="str">
        <f>"BR"</f>
        <v>BR</v>
      </c>
      <c r="D23258" s="7">
        <v>807</v>
      </c>
      <c r="E23258" s="3">
        <v>10</v>
      </c>
      <c r="F23258" s="2">
        <v>3</v>
      </c>
      <c r="G23258" t="s">
        <v>512</v>
      </c>
    </row>
    <row r="23259" spans="1:7" x14ac:dyDescent="0.25">
      <c r="A23259" s="1" t="str">
        <f>"524517"</f>
        <v>524517</v>
      </c>
      <c r="B23259" s="2" t="str">
        <f>"TEE RETO 304 6"""</f>
        <v>TEE RETO 304 6"</v>
      </c>
      <c r="C23259" s="2" t="str">
        <f>"UN"</f>
        <v>UN</v>
      </c>
      <c r="D23259" s="7">
        <v>807</v>
      </c>
      <c r="E23259" s="3">
        <v>10</v>
      </c>
      <c r="F23259" s="2">
        <v>8</v>
      </c>
      <c r="G23259" t="s">
        <v>516</v>
      </c>
    </row>
    <row r="23260" spans="1:7" x14ac:dyDescent="0.25">
      <c r="A23260" s="1" t="str">
        <f>"520766"</f>
        <v>520766</v>
      </c>
      <c r="B23260" s="2" t="str">
        <f>"TEE RETO AÇO CARBONO 3"" SCH40"</f>
        <v>TEE RETO AÇO CARBONO 3" SCH40</v>
      </c>
      <c r="C23260" s="2" t="str">
        <f>"UN"</f>
        <v>UN</v>
      </c>
      <c r="D23260" s="7">
        <v>808</v>
      </c>
      <c r="E23260" s="3">
        <v>10</v>
      </c>
      <c r="F23260" s="2">
        <v>6</v>
      </c>
      <c r="G23260" t="s">
        <v>515</v>
      </c>
    </row>
    <row r="23261" spans="1:7" x14ac:dyDescent="0.25">
      <c r="A23261" s="1" t="str">
        <f>"520006"</f>
        <v>520006</v>
      </c>
      <c r="B23261" s="2" t="str">
        <f>"TEE RETO AÇO CARBONO OLDAVEL 1"""</f>
        <v>TEE RETO AÇO CARBONO OLDAVEL 1"</v>
      </c>
      <c r="C23261" s="2" t="str">
        <f>"UN"</f>
        <v>UN</v>
      </c>
      <c r="D23261" s="7">
        <v>808</v>
      </c>
      <c r="E23261" s="3">
        <v>10</v>
      </c>
      <c r="F23261" s="2">
        <v>4</v>
      </c>
      <c r="G23261" t="s">
        <v>514</v>
      </c>
    </row>
    <row r="23262" spans="1:7" x14ac:dyDescent="0.25">
      <c r="A23262" s="1" t="str">
        <f>"503890"</f>
        <v>503890</v>
      </c>
      <c r="B23262" s="2" t="str">
        <f>"TEE RETO INOX  2"""</f>
        <v>TEE RETO INOX  2"</v>
      </c>
      <c r="C23262" s="2" t="str">
        <f>"BR"</f>
        <v>BR</v>
      </c>
      <c r="D23262" s="7">
        <v>807</v>
      </c>
      <c r="E23262" s="3">
        <v>10</v>
      </c>
      <c r="F23262" s="2">
        <v>1</v>
      </c>
      <c r="G23262" t="s">
        <v>512</v>
      </c>
    </row>
    <row r="23263" spans="1:7" x14ac:dyDescent="0.25">
      <c r="A23263" s="1" t="str">
        <f>"519569"</f>
        <v>519569</v>
      </c>
      <c r="B23263" s="2" t="str">
        <f>"TEE RETO INOX 2"" C/ REDUÇAO 1"""</f>
        <v>TEE RETO INOX 2" C/ REDUÇAO 1"</v>
      </c>
      <c r="C23263" s="2" t="str">
        <f>"UN"</f>
        <v>UN</v>
      </c>
      <c r="D23263" s="7">
        <v>807</v>
      </c>
      <c r="E23263" s="3">
        <v>10</v>
      </c>
      <c r="F23263" s="2">
        <v>2</v>
      </c>
      <c r="G23263" t="s">
        <v>513</v>
      </c>
    </row>
    <row r="23264" spans="1:7" x14ac:dyDescent="0.25">
      <c r="A23264" s="1" t="str">
        <f>"527504"</f>
        <v>527504</v>
      </c>
      <c r="B23264" s="2" t="str">
        <f>"TEE RETO INOX 304 4"" X 3"""</f>
        <v>TEE RETO INOX 304 4" X 3"</v>
      </c>
      <c r="C23264" s="2" t="str">
        <f>"BR"</f>
        <v>BR</v>
      </c>
      <c r="D23264" s="7">
        <v>807</v>
      </c>
      <c r="E23264" s="3">
        <v>10</v>
      </c>
      <c r="F23264" s="2">
        <v>7</v>
      </c>
      <c r="G23264" t="s">
        <v>514</v>
      </c>
    </row>
    <row r="23265" spans="1:7" x14ac:dyDescent="0.25">
      <c r="A23265" s="1" t="str">
        <f>"525500"</f>
        <v>525500</v>
      </c>
      <c r="B23265" s="2" t="str">
        <f>"TEE RETO INOX RED 2 1/2"" X 2"</f>
        <v>TEE RETO INOX RED 2 1/2" X 2</v>
      </c>
      <c r="C23265" s="2" t="str">
        <f>"UN"</f>
        <v>UN</v>
      </c>
      <c r="D23265" s="7">
        <v>915</v>
      </c>
      <c r="E23265" s="3">
        <v>11</v>
      </c>
      <c r="F23265" s="2">
        <v>9</v>
      </c>
      <c r="G23265" t="s">
        <v>514</v>
      </c>
    </row>
    <row r="23266" spans="1:7" x14ac:dyDescent="0.25">
      <c r="A23266" s="1" t="str">
        <f>"509197"</f>
        <v>509197</v>
      </c>
      <c r="B23266" s="2" t="str">
        <f>"TEE RETO INOX SMS 2"""</f>
        <v>TEE RETO INOX SMS 2"</v>
      </c>
      <c r="C23266" s="2" t="str">
        <f>"UN"</f>
        <v>UN</v>
      </c>
      <c r="D23266" s="7">
        <v>915</v>
      </c>
      <c r="E23266" s="3">
        <v>11</v>
      </c>
      <c r="F23266" s="2">
        <v>0</v>
      </c>
      <c r="G23266" t="s">
        <v>512</v>
      </c>
    </row>
    <row r="23267" spans="1:7" x14ac:dyDescent="0.25">
      <c r="A23267" s="1" t="str">
        <f>"502361"</f>
        <v>502361</v>
      </c>
      <c r="B23267" s="2" t="str">
        <f>"TEE RETO INOX SMS 2""1/2"</f>
        <v>TEE RETO INOX SMS 2"1/2</v>
      </c>
      <c r="C23267" s="2" t="str">
        <f>"BR"</f>
        <v>BR</v>
      </c>
      <c r="D23267" s="7">
        <v>807</v>
      </c>
      <c r="E23267" s="3">
        <v>10</v>
      </c>
      <c r="F23267" s="2">
        <v>0</v>
      </c>
      <c r="G23267" t="s">
        <v>513</v>
      </c>
    </row>
    <row r="23268" spans="1:7" x14ac:dyDescent="0.25">
      <c r="A23268" s="1" t="str">
        <f>"509198"</f>
        <v>509198</v>
      </c>
      <c r="B23268" s="2" t="str">
        <f>"TEE RETO INOX SMS 4"" 3M"</f>
        <v>TEE RETO INOX SMS 4" 3M</v>
      </c>
      <c r="C23268" s="2" t="str">
        <f>"UN"</f>
        <v>UN</v>
      </c>
      <c r="D23268" s="7">
        <v>915</v>
      </c>
      <c r="E23268" s="3">
        <v>11</v>
      </c>
      <c r="F23268" s="2">
        <v>2</v>
      </c>
      <c r="G23268" t="s">
        <v>514</v>
      </c>
    </row>
    <row r="23269" spans="1:7" x14ac:dyDescent="0.25">
      <c r="A23269" s="1" t="str">
        <f>"522015"</f>
        <v>522015</v>
      </c>
      <c r="B23269" s="2" t="str">
        <f>"TEE RETO INOX TC 3"""</f>
        <v>TEE RETO INOX TC 3"</v>
      </c>
      <c r="C23269" s="2" t="str">
        <f>"BR"</f>
        <v>BR</v>
      </c>
      <c r="D23269" s="7">
        <v>807</v>
      </c>
      <c r="E23269" s="3">
        <v>10</v>
      </c>
      <c r="F23269" s="2">
        <v>5</v>
      </c>
      <c r="G23269" t="s">
        <v>514</v>
      </c>
    </row>
    <row r="23270" spans="1:7" x14ac:dyDescent="0.25">
      <c r="A23270" s="1" t="str">
        <f>"519985"</f>
        <v>519985</v>
      </c>
      <c r="B23270" s="2" t="str">
        <f>"TEE RETO MNP 304 4"""</f>
        <v>TEE RETO MNP 304 4"</v>
      </c>
      <c r="C23270" s="2" t="str">
        <f t="shared" ref="C23270:C23276" si="915">"UN"</f>
        <v>UN</v>
      </c>
      <c r="D23270" s="7">
        <v>807</v>
      </c>
      <c r="E23270" s="3">
        <v>10</v>
      </c>
      <c r="F23270" s="2">
        <v>6</v>
      </c>
      <c r="G23270" t="s">
        <v>514</v>
      </c>
    </row>
    <row r="23271" spans="1:7" x14ac:dyDescent="0.25">
      <c r="A23271" s="1" t="str">
        <f>"516458"</f>
        <v>516458</v>
      </c>
      <c r="B23271" s="2" t="str">
        <f>"TEE RETO OD POLIDO SCH 40 INOX 304"</f>
        <v>TEE RETO OD POLIDO SCH 40 INOX 304</v>
      </c>
      <c r="C23271" s="2" t="str">
        <f t="shared" si="915"/>
        <v>UN</v>
      </c>
      <c r="D23271" s="7">
        <v>915</v>
      </c>
      <c r="E23271" s="3">
        <v>10</v>
      </c>
      <c r="F23271" s="2">
        <v>9</v>
      </c>
      <c r="G23271" t="s">
        <v>513</v>
      </c>
    </row>
    <row r="23272" spans="1:7" x14ac:dyDescent="0.25">
      <c r="A23272" s="1" t="str">
        <f>"517545"</f>
        <v>517545</v>
      </c>
      <c r="B23272" s="2" t="str">
        <f>"TEE RETO P/ LEITO 90ª 100X300MM INOX"</f>
        <v>TEE RETO P/ LEITO 90ª 100X300MM INOX</v>
      </c>
      <c r="C23272" s="2" t="str">
        <f t="shared" si="915"/>
        <v>UN</v>
      </c>
      <c r="D23272" s="7">
        <v>811</v>
      </c>
      <c r="E23272" s="3">
        <v>8</v>
      </c>
      <c r="F23272" s="2">
        <v>5</v>
      </c>
      <c r="G23272" t="s">
        <v>512</v>
      </c>
    </row>
    <row r="23273" spans="1:7" x14ac:dyDescent="0.25">
      <c r="A23273" s="1" t="str">
        <f>"510806"</f>
        <v>510806</v>
      </c>
      <c r="B23273" s="2" t="str">
        <f>"TEE RETO PVC COLA 2"""</f>
        <v>TEE RETO PVC COLA 2"</v>
      </c>
      <c r="C23273" s="2" t="str">
        <f t="shared" si="915"/>
        <v>UN</v>
      </c>
      <c r="D23273" s="7">
        <v>912</v>
      </c>
      <c r="E23273" s="3">
        <v>11</v>
      </c>
      <c r="F23273" s="2">
        <v>3</v>
      </c>
      <c r="G23273" t="s">
        <v>513</v>
      </c>
    </row>
    <row r="23274" spans="1:7" x14ac:dyDescent="0.25">
      <c r="A23274" s="1" t="str">
        <f>"524564"</f>
        <v>524564</v>
      </c>
      <c r="B23274" s="2" t="str">
        <f>"TEE RL AÇO CARBONO Ø 1.1/4 ASTM A234 WPB SCH 40"</f>
        <v>TEE RL AÇO CARBONO Ø 1.1/4 ASTM A234 WPB SCH 40</v>
      </c>
      <c r="C23274" s="2" t="str">
        <f t="shared" si="915"/>
        <v>UN</v>
      </c>
      <c r="D23274" s="7">
        <v>807</v>
      </c>
      <c r="E23274" s="3">
        <v>10</v>
      </c>
      <c r="F23274" s="2">
        <v>3</v>
      </c>
      <c r="G23274" t="s">
        <v>514</v>
      </c>
    </row>
    <row r="23275" spans="1:7" x14ac:dyDescent="0.25">
      <c r="A23275" s="1" t="str">
        <f>"516608"</f>
        <v>516608</v>
      </c>
      <c r="B23275" s="2" t="str">
        <f>"TEE RODOAR"</f>
        <v>TEE RODOAR</v>
      </c>
      <c r="C23275" s="2" t="str">
        <f t="shared" si="915"/>
        <v>UN</v>
      </c>
      <c r="D23275" s="7">
        <v>704</v>
      </c>
      <c r="E23275" s="3">
        <v>9</v>
      </c>
      <c r="F23275" s="2">
        <v>2</v>
      </c>
      <c r="G23275" t="s">
        <v>514</v>
      </c>
    </row>
    <row r="23276" spans="1:7" x14ac:dyDescent="0.25">
      <c r="A23276" s="1" t="str">
        <f>"519976"</f>
        <v>519976</v>
      </c>
      <c r="B23276" s="2" t="str">
        <f>"TEE SMS 1"" C/ ROSCA MACHO/FEMEA"</f>
        <v>TEE SMS 1" C/ ROSCA MACHO/FEMEA</v>
      </c>
      <c r="C23276" s="2" t="str">
        <f t="shared" si="915"/>
        <v>UN</v>
      </c>
      <c r="D23276" s="7">
        <v>807</v>
      </c>
      <c r="E23276" s="3">
        <v>10</v>
      </c>
      <c r="F23276" s="2">
        <v>1</v>
      </c>
      <c r="G23276" t="s">
        <v>514</v>
      </c>
    </row>
    <row r="23277" spans="1:7" x14ac:dyDescent="0.25">
      <c r="A23277" s="1" t="str">
        <f>"503323"</f>
        <v>503323</v>
      </c>
      <c r="B23277" s="2" t="str">
        <f>"TEE SOLDA DE 3"" PARA TOMADA PT-100 BSP1/"</f>
        <v>TEE SOLDA DE 3" PARA TOMADA PT-100 BSP1/</v>
      </c>
      <c r="C23277" s="2" t="str">
        <f>"BR"</f>
        <v>BR</v>
      </c>
      <c r="D23277" s="7">
        <v>807</v>
      </c>
      <c r="E23277" s="3">
        <v>10</v>
      </c>
      <c r="F23277" s="2">
        <v>4</v>
      </c>
      <c r="G23277" t="s">
        <v>513</v>
      </c>
    </row>
    <row r="23278" spans="1:7" x14ac:dyDescent="0.25">
      <c r="A23278" s="1" t="str">
        <f>"526613"</f>
        <v>526613</v>
      </c>
      <c r="B23278" s="2" t="str">
        <f>"TEE SOLDA OD 1"" 316L"</f>
        <v>TEE SOLDA OD 1" 316L</v>
      </c>
      <c r="C23278" s="2" t="str">
        <f t="shared" ref="C23278:C23305" si="916">"UN"</f>
        <v>UN</v>
      </c>
      <c r="D23278" s="7">
        <v>915</v>
      </c>
      <c r="E23278" s="3">
        <v>10</v>
      </c>
      <c r="F23278" s="2">
        <v>6</v>
      </c>
      <c r="G23278" t="s">
        <v>513</v>
      </c>
    </row>
    <row r="23279" spans="1:7" x14ac:dyDescent="0.25">
      <c r="A23279" s="1" t="str">
        <f>"519914"</f>
        <v>519914</v>
      </c>
      <c r="B23279" s="2" t="str">
        <f>"TEE SOLDAVEL 60MM - PVC"</f>
        <v>TEE SOLDAVEL 60MM - PVC</v>
      </c>
      <c r="C23279" s="2" t="str">
        <f t="shared" si="916"/>
        <v>UN</v>
      </c>
      <c r="D23279" s="7">
        <v>808</v>
      </c>
      <c r="E23279" s="3">
        <v>10</v>
      </c>
      <c r="F23279" s="2">
        <v>8</v>
      </c>
      <c r="G23279" t="s">
        <v>513</v>
      </c>
    </row>
    <row r="23280" spans="1:7" x14ac:dyDescent="0.25">
      <c r="A23280" s="1" t="str">
        <f>"520162"</f>
        <v>520162</v>
      </c>
      <c r="B23280" s="2" t="str">
        <f>"TEE TOMADA 2P + T"</f>
        <v>TEE TOMADA 2P + T</v>
      </c>
      <c r="C23280" s="2" t="str">
        <f t="shared" si="916"/>
        <v>UN</v>
      </c>
      <c r="D23280" s="7">
        <v>811</v>
      </c>
      <c r="E23280" s="3">
        <v>10</v>
      </c>
      <c r="F23280" s="2">
        <v>7</v>
      </c>
      <c r="G23280" t="s">
        <v>512</v>
      </c>
    </row>
    <row r="23281" spans="1:7" x14ac:dyDescent="0.25">
      <c r="A23281" s="1" t="str">
        <f>"510974"</f>
        <v>510974</v>
      </c>
      <c r="B23281" s="2" t="str">
        <f>"TEE UNIAO FEMEA 8MM"</f>
        <v>TEE UNIAO FEMEA 8MM</v>
      </c>
      <c r="C23281" s="2" t="str">
        <f t="shared" si="916"/>
        <v>UN</v>
      </c>
      <c r="D23281" s="7">
        <v>913</v>
      </c>
      <c r="E23281" s="3">
        <v>11</v>
      </c>
      <c r="F23281" s="2">
        <v>6</v>
      </c>
      <c r="G23281" t="s">
        <v>513</v>
      </c>
    </row>
    <row r="23282" spans="1:7" x14ac:dyDescent="0.25">
      <c r="A23282" s="1" t="str">
        <f>"520501"</f>
        <v>520501</v>
      </c>
      <c r="B23282" s="2" t="str">
        <f>"TEE VERTICAL 100X50MM"</f>
        <v>TEE VERTICAL 100X50MM</v>
      </c>
      <c r="C23282" s="2" t="str">
        <f t="shared" si="916"/>
        <v>UN</v>
      </c>
      <c r="D23282" s="7">
        <v>811</v>
      </c>
      <c r="E23282" s="3">
        <v>8</v>
      </c>
      <c r="F23282" s="2">
        <v>6</v>
      </c>
      <c r="G23282" t="s">
        <v>514</v>
      </c>
    </row>
    <row r="23283" spans="1:7" x14ac:dyDescent="0.25">
      <c r="A23283" s="1" t="str">
        <f>"520500"</f>
        <v>520500</v>
      </c>
      <c r="B23283" s="2" t="str">
        <f>"TEE VERTICAL 50X50MM"</f>
        <v>TEE VERTICAL 50X50MM</v>
      </c>
      <c r="C23283" s="2" t="str">
        <f t="shared" si="916"/>
        <v>UN</v>
      </c>
      <c r="D23283" s="7">
        <v>811</v>
      </c>
      <c r="E23283" s="3">
        <v>8</v>
      </c>
      <c r="F23283" s="2">
        <v>2</v>
      </c>
      <c r="G23283" t="s">
        <v>515</v>
      </c>
    </row>
    <row r="23284" spans="1:7" x14ac:dyDescent="0.25">
      <c r="A23284" s="1" t="str">
        <f>"518951"</f>
        <v>518951</v>
      </c>
      <c r="B23284" s="2" t="str">
        <f>"TEE VERTICAL DESCIDA 400MM"</f>
        <v>TEE VERTICAL DESCIDA 400MM</v>
      </c>
      <c r="C23284" s="2" t="str">
        <f t="shared" si="916"/>
        <v>UN</v>
      </c>
      <c r="D23284" s="7">
        <v>811</v>
      </c>
      <c r="E23284" s="3">
        <v>8</v>
      </c>
      <c r="F23284" s="2">
        <v>1</v>
      </c>
      <c r="G23284" t="s">
        <v>512</v>
      </c>
    </row>
    <row r="23285" spans="1:7" x14ac:dyDescent="0.25">
      <c r="A23285" s="1" t="str">
        <f>"518051"</f>
        <v>518051</v>
      </c>
      <c r="B23285" s="2" t="str">
        <f>"TEE VERTICAL DESCIDA 7014"</f>
        <v>TEE VERTICAL DESCIDA 7014</v>
      </c>
      <c r="C23285" s="2" t="str">
        <f t="shared" si="916"/>
        <v>UN</v>
      </c>
      <c r="D23285" s="7">
        <v>811</v>
      </c>
      <c r="E23285" s="3">
        <v>8</v>
      </c>
      <c r="F23285" s="2">
        <v>0</v>
      </c>
      <c r="G23285" t="s">
        <v>516</v>
      </c>
    </row>
    <row r="23286" spans="1:7" x14ac:dyDescent="0.25">
      <c r="A23286" s="1" t="str">
        <f>"517547"</f>
        <v>517547</v>
      </c>
      <c r="B23286" s="2" t="str">
        <f>"TEE VERTICAL DESCIDA 90º P/ LEITO 100X300MM INOX"</f>
        <v>TEE VERTICAL DESCIDA 90º P/ LEITO 100X300MM INOX</v>
      </c>
      <c r="C23286" s="2" t="str">
        <f t="shared" si="916"/>
        <v>UN</v>
      </c>
      <c r="D23286" s="7">
        <v>811</v>
      </c>
      <c r="E23286" s="3">
        <v>8</v>
      </c>
      <c r="F23286" s="2">
        <v>0</v>
      </c>
      <c r="G23286" t="s">
        <v>515</v>
      </c>
    </row>
    <row r="23287" spans="1:7" x14ac:dyDescent="0.25">
      <c r="A23287" s="1" t="str">
        <f>"513789"</f>
        <v>513789</v>
      </c>
      <c r="B23287" s="2" t="str">
        <f>"TEFLON 3? X 0,5MT"</f>
        <v>TEFLON 3? X 0,5MT</v>
      </c>
      <c r="C23287" s="2" t="str">
        <f t="shared" si="916"/>
        <v>UN</v>
      </c>
      <c r="D23287" s="7">
        <v>900</v>
      </c>
      <c r="E23287" s="3">
        <v>11</v>
      </c>
      <c r="F23287" s="2">
        <v>0</v>
      </c>
      <c r="G23287" t="s">
        <v>514</v>
      </c>
    </row>
    <row r="23288" spans="1:7" x14ac:dyDescent="0.25">
      <c r="A23288" s="1" t="str">
        <f>"513790"</f>
        <v>513790</v>
      </c>
      <c r="B23288" s="2" t="str">
        <f>"TEFLON ADESIVO 0,15MM - 50MM X 30M"</f>
        <v>TEFLON ADESIVO 0,15MM - 50MM X 30M</v>
      </c>
      <c r="C23288" s="2" t="str">
        <f t="shared" si="916"/>
        <v>UN</v>
      </c>
      <c r="D23288" s="7">
        <v>900</v>
      </c>
      <c r="E23288" s="3">
        <v>11</v>
      </c>
      <c r="F23288" s="2">
        <v>3</v>
      </c>
      <c r="G23288" t="s">
        <v>512</v>
      </c>
    </row>
    <row r="23289" spans="1:7" x14ac:dyDescent="0.25">
      <c r="A23289" s="1" t="str">
        <f>"523243"</f>
        <v>523243</v>
      </c>
      <c r="B23289" s="2" t="str">
        <f>"TELA 2X3MT MALHA 10X10"" FIO 4,2MM"</f>
        <v>TELA 2X3MT MALHA 10X10" FIO 4,2MM</v>
      </c>
      <c r="C23289" s="2" t="str">
        <f t="shared" si="916"/>
        <v>UN</v>
      </c>
      <c r="D23289" s="7">
        <v>807</v>
      </c>
      <c r="E23289" s="3">
        <v>10</v>
      </c>
      <c r="F23289" s="5">
        <v>5</v>
      </c>
      <c r="G23289" t="s">
        <v>513</v>
      </c>
    </row>
    <row r="23290" spans="1:7" x14ac:dyDescent="0.25">
      <c r="A23290" s="1" t="str">
        <f>"524442"</f>
        <v>524442</v>
      </c>
      <c r="B23290" s="2" t="str">
        <f>"TELA 3X2MT MALHA 15X15"" FIO 4,2MM"</f>
        <v>TELA 3X2MT MALHA 15X15" FIO 4,2MM</v>
      </c>
      <c r="C23290" s="2" t="str">
        <f t="shared" si="916"/>
        <v>UN</v>
      </c>
      <c r="D23290" s="7">
        <v>807</v>
      </c>
      <c r="E23290" s="3">
        <v>10</v>
      </c>
      <c r="F23290" s="2">
        <v>3</v>
      </c>
      <c r="G23290" t="s">
        <v>514</v>
      </c>
    </row>
    <row r="23291" spans="1:7" x14ac:dyDescent="0.25">
      <c r="A23291" s="1" t="str">
        <f>"526385"</f>
        <v>526385</v>
      </c>
      <c r="B23291" s="8" t="s">
        <v>473</v>
      </c>
      <c r="C23291" s="2" t="str">
        <f t="shared" si="916"/>
        <v>UN</v>
      </c>
      <c r="D23291" s="7">
        <v>807</v>
      </c>
      <c r="E23291" s="3">
        <v>10</v>
      </c>
      <c r="F23291" s="2">
        <v>8</v>
      </c>
      <c r="G23291" t="s">
        <v>514</v>
      </c>
    </row>
    <row r="23292" spans="1:7" x14ac:dyDescent="0.25">
      <c r="A23292" s="1" t="str">
        <f>"525053"</f>
        <v>525053</v>
      </c>
      <c r="B23292" s="2" t="str">
        <f>"TELA ALAMBRADO 2 MT #16"</f>
        <v>TELA ALAMBRADO 2 MT #16</v>
      </c>
      <c r="C23292" s="2" t="str">
        <f t="shared" si="916"/>
        <v>UN</v>
      </c>
      <c r="D23292" s="7">
        <v>99999</v>
      </c>
      <c r="E23292" s="3">
        <v>10</v>
      </c>
      <c r="F23292" s="2">
        <v>6</v>
      </c>
      <c r="G23292" t="s">
        <v>512</v>
      </c>
    </row>
    <row r="23293" spans="1:7" x14ac:dyDescent="0.25">
      <c r="A23293" s="1" t="str">
        <f>"523077"</f>
        <v>523077</v>
      </c>
      <c r="B23293" s="2" t="str">
        <f>"TELA ALAMBRADO 2M X 20 M X 1/8 AÇO CARBONO"</f>
        <v>TELA ALAMBRADO 2M X 20 M X 1/8 AÇO CARBONO</v>
      </c>
      <c r="C23293" s="2" t="str">
        <f t="shared" si="916"/>
        <v>UN</v>
      </c>
      <c r="D23293" s="7">
        <v>803</v>
      </c>
      <c r="E23293" s="3">
        <v>10</v>
      </c>
      <c r="F23293" s="2">
        <v>4</v>
      </c>
      <c r="G23293" t="s">
        <v>513</v>
      </c>
    </row>
    <row r="23294" spans="1:7" x14ac:dyDescent="0.25">
      <c r="A23294" s="1" t="str">
        <f>"510045"</f>
        <v>510045</v>
      </c>
      <c r="B23294" s="2" t="str">
        <f>"TELA ALAMBRADO 3"" FIO 10"</f>
        <v>TELA ALAMBRADO 3" FIO 10</v>
      </c>
      <c r="C23294" s="2" t="str">
        <f t="shared" si="916"/>
        <v>UN</v>
      </c>
      <c r="D23294" s="7">
        <v>803</v>
      </c>
      <c r="E23294" s="3">
        <v>10</v>
      </c>
      <c r="F23294" s="2">
        <v>1</v>
      </c>
      <c r="G23294" t="s">
        <v>514</v>
      </c>
    </row>
    <row r="23295" spans="1:7" x14ac:dyDescent="0.25">
      <c r="A23295" s="1" t="str">
        <f>"518231"</f>
        <v>518231</v>
      </c>
      <c r="B23295" s="2" t="str">
        <f>"TELA ALAMBRADO 3"" FIO 12"</f>
        <v>TELA ALAMBRADO 3" FIO 12</v>
      </c>
      <c r="C23295" s="2" t="str">
        <f t="shared" si="916"/>
        <v>UN</v>
      </c>
      <c r="D23295" s="7">
        <v>803</v>
      </c>
      <c r="E23295" s="3">
        <v>10</v>
      </c>
      <c r="F23295" s="2">
        <v>2</v>
      </c>
      <c r="G23295" t="s">
        <v>514</v>
      </c>
    </row>
    <row r="23296" spans="1:7" x14ac:dyDescent="0.25">
      <c r="A23296" s="1" t="str">
        <f>"524527"</f>
        <v>524527</v>
      </c>
      <c r="B23296" s="2" t="str">
        <f>"TELA ALAMBRADO 3"" FIO 14"</f>
        <v>TELA ALAMBRADO 3" FIO 14</v>
      </c>
      <c r="C23296" s="2" t="str">
        <f t="shared" si="916"/>
        <v>UN</v>
      </c>
      <c r="D23296" s="7">
        <v>803</v>
      </c>
      <c r="E23296" s="3">
        <v>10</v>
      </c>
      <c r="F23296" s="2">
        <v>7</v>
      </c>
      <c r="G23296" t="s">
        <v>514</v>
      </c>
    </row>
    <row r="23297" spans="1:7" x14ac:dyDescent="0.25">
      <c r="A23297" s="1" t="str">
        <f>"517404"</f>
        <v>517404</v>
      </c>
      <c r="B23297" s="2" t="str">
        <f>"TELA ARTIRSTICA 1MTX50MT ARAME 12 MALHA 1"""</f>
        <v>TELA ARTIRSTICA 1MTX50MT ARAME 12 MALHA 1"</v>
      </c>
      <c r="C23297" s="2" t="str">
        <f t="shared" si="916"/>
        <v>UN</v>
      </c>
      <c r="D23297" s="7">
        <v>1700</v>
      </c>
      <c r="E23297" s="3">
        <v>10</v>
      </c>
      <c r="F23297" s="2">
        <v>9</v>
      </c>
      <c r="G23297" t="s">
        <v>513</v>
      </c>
    </row>
    <row r="23298" spans="1:7" x14ac:dyDescent="0.25">
      <c r="A23298" s="1" t="str">
        <f>"518466"</f>
        <v>518466</v>
      </c>
      <c r="B23298" s="2" t="str">
        <f>"TELA ARTISTICA 1 1/2"" F.12"</f>
        <v>TELA ARTISTICA 1 1/2" F.12</v>
      </c>
      <c r="C23298" s="2" t="str">
        <f t="shared" si="916"/>
        <v>UN</v>
      </c>
      <c r="D23298" s="7">
        <v>803</v>
      </c>
      <c r="E23298" s="3">
        <v>10</v>
      </c>
      <c r="F23298" s="2">
        <v>0</v>
      </c>
      <c r="G23298" t="s">
        <v>512</v>
      </c>
    </row>
    <row r="23299" spans="1:7" x14ac:dyDescent="0.25">
      <c r="A23299" s="1" t="str">
        <f>"505134"</f>
        <v>505134</v>
      </c>
      <c r="B23299" s="2" t="str">
        <f>"TELA ARTISTICA 1"" F.12"</f>
        <v>TELA ARTISTICA 1" F.12</v>
      </c>
      <c r="C23299" s="2" t="str">
        <f t="shared" si="916"/>
        <v>UN</v>
      </c>
      <c r="D23299" s="7">
        <v>803</v>
      </c>
      <c r="E23299" s="3">
        <v>10</v>
      </c>
      <c r="F23299" s="2">
        <v>0</v>
      </c>
      <c r="G23299" t="s">
        <v>513</v>
      </c>
    </row>
    <row r="23300" spans="1:7" x14ac:dyDescent="0.25">
      <c r="A23300" s="1" t="str">
        <f>"527146"</f>
        <v>527146</v>
      </c>
      <c r="B23300" s="2" t="str">
        <f>"TELA ARTISTICA 2"" FIO 10"</f>
        <v>TELA ARTISTICA 2" FIO 10</v>
      </c>
      <c r="C23300" s="2" t="str">
        <f t="shared" si="916"/>
        <v>UN</v>
      </c>
      <c r="D23300" s="7">
        <v>803</v>
      </c>
      <c r="E23300" s="3">
        <v>10</v>
      </c>
      <c r="F23300" s="2">
        <v>2</v>
      </c>
      <c r="G23300" t="s">
        <v>514</v>
      </c>
    </row>
    <row r="23301" spans="1:7" x14ac:dyDescent="0.25">
      <c r="A23301" s="1" t="str">
        <f>"520218"</f>
        <v>520218</v>
      </c>
      <c r="B23301" s="2" t="str">
        <f>"TELA ARTISTICA 20 X 20MM FIO 2,75MM"</f>
        <v>TELA ARTISTICA 20 X 20MM FIO 2,75MM</v>
      </c>
      <c r="C23301" s="2" t="str">
        <f t="shared" si="916"/>
        <v>UN</v>
      </c>
      <c r="D23301" s="7">
        <v>917</v>
      </c>
      <c r="E23301" s="3">
        <v>11</v>
      </c>
      <c r="F23301" s="2">
        <v>5</v>
      </c>
      <c r="G23301" t="s">
        <v>514</v>
      </c>
    </row>
    <row r="23302" spans="1:7" x14ac:dyDescent="0.25">
      <c r="A23302" s="1" t="str">
        <f>"517414"</f>
        <v>517414</v>
      </c>
      <c r="B23302" s="2" t="str">
        <f>"TELA ARTISTICA 24MM FIO 2,76MM"</f>
        <v>TELA ARTISTICA 24MM FIO 2,76MM</v>
      </c>
      <c r="C23302" s="2" t="str">
        <f t="shared" si="916"/>
        <v>UN</v>
      </c>
      <c r="D23302" s="7">
        <v>917</v>
      </c>
      <c r="E23302" s="3">
        <v>10</v>
      </c>
      <c r="F23302" s="2">
        <v>6</v>
      </c>
      <c r="G23302" t="s">
        <v>514</v>
      </c>
    </row>
    <row r="23303" spans="1:7" x14ac:dyDescent="0.25">
      <c r="A23303" s="1" t="str">
        <f>"518644"</f>
        <v>518644</v>
      </c>
      <c r="B23303" s="2" t="str">
        <f>"TELA ARTISTICA 3/8"" F.14"</f>
        <v>TELA ARTISTICA 3/8" F.14</v>
      </c>
      <c r="C23303" s="2" t="str">
        <f t="shared" si="916"/>
        <v>UN</v>
      </c>
      <c r="D23303" s="7">
        <v>803</v>
      </c>
      <c r="E23303" s="3">
        <v>10</v>
      </c>
      <c r="F23303" s="2">
        <v>9</v>
      </c>
      <c r="G23303" t="s">
        <v>513</v>
      </c>
    </row>
    <row r="23304" spans="1:7" x14ac:dyDescent="0.25">
      <c r="A23304" s="1" t="str">
        <f>"510008"</f>
        <v>510008</v>
      </c>
      <c r="B23304" s="2" t="str">
        <f>"TELA ARTISTICA 30X30X1400 #3MM"</f>
        <v>TELA ARTISTICA 30X30X1400 #3MM</v>
      </c>
      <c r="C23304" s="2" t="str">
        <f t="shared" si="916"/>
        <v>UN</v>
      </c>
      <c r="D23304" s="7">
        <v>403</v>
      </c>
      <c r="E23304" s="3">
        <v>4</v>
      </c>
      <c r="F23304" s="2">
        <v>5</v>
      </c>
      <c r="G23304" t="s">
        <v>513</v>
      </c>
    </row>
    <row r="23305" spans="1:7" x14ac:dyDescent="0.25">
      <c r="A23305" s="1" t="str">
        <f>"509452"</f>
        <v>509452</v>
      </c>
      <c r="B23305" s="2" t="str">
        <f>"TELA ARTISTICA 40X40MM FIO 12 (2,77MM)"</f>
        <v>TELA ARTISTICA 40X40MM FIO 12 (2,77MM)</v>
      </c>
      <c r="C23305" s="2" t="str">
        <f t="shared" si="916"/>
        <v>UN</v>
      </c>
      <c r="D23305" s="7">
        <v>917</v>
      </c>
      <c r="E23305" s="3">
        <v>11</v>
      </c>
      <c r="F23305" s="2">
        <v>3</v>
      </c>
      <c r="G23305" t="s">
        <v>513</v>
      </c>
    </row>
    <row r="23306" spans="1:7" x14ac:dyDescent="0.25">
      <c r="A23306" s="1" t="str">
        <f>"527248"</f>
        <v>527248</v>
      </c>
      <c r="B23306" s="2" t="str">
        <f>"TELA ARTISTICA 40X40x3MM 1500MM DE ALTURA"</f>
        <v>TELA ARTISTICA 40X40x3MM 1500MM DE ALTURA</v>
      </c>
      <c r="C23306" s="2" t="str">
        <f>"MT"</f>
        <v>MT</v>
      </c>
      <c r="D23306" s="7">
        <v>917</v>
      </c>
      <c r="E23306" s="3">
        <v>11</v>
      </c>
      <c r="F23306" s="2">
        <v>3</v>
      </c>
      <c r="G23306" t="s">
        <v>512</v>
      </c>
    </row>
    <row r="23307" spans="1:7" x14ac:dyDescent="0.25">
      <c r="A23307" s="1" t="str">
        <f>"527186"</f>
        <v>527186</v>
      </c>
      <c r="B23307" s="2" t="str">
        <f>"TELA ARTISTICA 40X40x3MM 2000MM DE ALTURA"</f>
        <v>TELA ARTISTICA 40X40x3MM 2000MM DE ALTURA</v>
      </c>
      <c r="C23307" s="2" t="str">
        <f t="shared" ref="C23307:C23320" si="917">"UN"</f>
        <v>UN</v>
      </c>
      <c r="D23307" s="7">
        <v>917</v>
      </c>
      <c r="E23307" s="3">
        <v>11</v>
      </c>
      <c r="F23307" s="2">
        <v>2</v>
      </c>
      <c r="G23307" t="s">
        <v>513</v>
      </c>
    </row>
    <row r="23308" spans="1:7" x14ac:dyDescent="0.25">
      <c r="A23308" s="1" t="str">
        <f>"525384"</f>
        <v>525384</v>
      </c>
      <c r="B23308" s="2" t="str">
        <f>"TELA ARTISTICA GALV. 16MMX16MM #2,7MM 1500MM LARGX12MT COMP"</f>
        <v>TELA ARTISTICA GALV. 16MMX16MM #2,7MM 1500MM LARGX12MT COMP</v>
      </c>
      <c r="C23308" s="2" t="str">
        <f t="shared" si="917"/>
        <v>UN</v>
      </c>
      <c r="D23308" s="7">
        <v>807</v>
      </c>
      <c r="E23308" s="3">
        <v>10</v>
      </c>
      <c r="F23308" s="2">
        <v>1</v>
      </c>
      <c r="G23308" t="s">
        <v>514</v>
      </c>
    </row>
    <row r="23309" spans="1:7" x14ac:dyDescent="0.25">
      <c r="A23309" s="1" t="str">
        <f>"525368"</f>
        <v>525368</v>
      </c>
      <c r="B23309" s="2" t="str">
        <f>"TELA ARTISTICA INOX 25MMX25MM #3MM (1500MM LARG X 21MT COMP)"</f>
        <v>TELA ARTISTICA INOX 25MMX25MM #3MM (1500MM LARG X 21MT COMP)</v>
      </c>
      <c r="C23309" s="2" t="str">
        <f t="shared" si="917"/>
        <v>UN</v>
      </c>
      <c r="D23309" s="7">
        <v>807</v>
      </c>
      <c r="E23309" s="3">
        <v>10</v>
      </c>
      <c r="F23309" s="2">
        <v>4</v>
      </c>
      <c r="G23309" t="s">
        <v>515</v>
      </c>
    </row>
    <row r="23310" spans="1:7" x14ac:dyDescent="0.25">
      <c r="A23310" s="1" t="str">
        <f>"507929"</f>
        <v>507929</v>
      </c>
      <c r="B23310" s="2" t="str">
        <f>"TELA CORTE DE ESPUMA - MALHA 1MM"</f>
        <v>TELA CORTE DE ESPUMA - MALHA 1MM</v>
      </c>
      <c r="C23310" s="2" t="str">
        <f t="shared" si="917"/>
        <v>UN</v>
      </c>
      <c r="D23310" s="7">
        <v>918</v>
      </c>
      <c r="E23310" s="3">
        <v>11</v>
      </c>
      <c r="F23310" s="2">
        <v>1</v>
      </c>
      <c r="G23310" t="s">
        <v>512</v>
      </c>
    </row>
    <row r="23311" spans="1:7" x14ac:dyDescent="0.25">
      <c r="A23311" s="1" t="str">
        <f>"507928"</f>
        <v>507928</v>
      </c>
      <c r="B23311" s="2" t="str">
        <f>"TELA CORTE DE ESPUMA - MALHA 2MM"</f>
        <v>TELA CORTE DE ESPUMA - MALHA 2MM</v>
      </c>
      <c r="C23311" s="2" t="str">
        <f t="shared" si="917"/>
        <v>UN</v>
      </c>
      <c r="D23311" s="7">
        <v>918</v>
      </c>
      <c r="E23311" s="3">
        <v>11</v>
      </c>
      <c r="F23311" s="2">
        <v>2</v>
      </c>
      <c r="G23311" t="s">
        <v>516</v>
      </c>
    </row>
    <row r="23312" spans="1:7" x14ac:dyDescent="0.25">
      <c r="A23312" s="1" t="str">
        <f>"507927"</f>
        <v>507927</v>
      </c>
      <c r="B23312" s="2" t="str">
        <f>"TELA CORTE DE ESPUMA - MALHA 3MM"</f>
        <v>TELA CORTE DE ESPUMA - MALHA 3MM</v>
      </c>
      <c r="C23312" s="2" t="str">
        <f t="shared" si="917"/>
        <v>UN</v>
      </c>
      <c r="D23312" s="7">
        <v>918</v>
      </c>
      <c r="E23312" s="3">
        <v>11</v>
      </c>
      <c r="F23312" s="2">
        <v>7</v>
      </c>
      <c r="G23312" t="s">
        <v>515</v>
      </c>
    </row>
    <row r="23313" spans="1:7" x14ac:dyDescent="0.25">
      <c r="A23313" s="1" t="str">
        <f>"507926"</f>
        <v>507926</v>
      </c>
      <c r="B23313" s="2" t="str">
        <f>"TELA CORTE DE ESPUMA - MALHA 4MM"</f>
        <v>TELA CORTE DE ESPUMA - MALHA 4MM</v>
      </c>
      <c r="C23313" s="2" t="str">
        <f t="shared" si="917"/>
        <v>UN</v>
      </c>
      <c r="D23313" s="7">
        <v>918</v>
      </c>
      <c r="E23313" s="3">
        <v>11</v>
      </c>
      <c r="F23313" s="2">
        <v>9</v>
      </c>
      <c r="G23313" t="s">
        <v>514</v>
      </c>
    </row>
    <row r="23314" spans="1:7" x14ac:dyDescent="0.25">
      <c r="A23314" s="1" t="str">
        <f>"502354"</f>
        <v>502354</v>
      </c>
      <c r="B23314" s="2" t="str">
        <f>"TELA DE AMIANTO 13X14 CM"</f>
        <v>TELA DE AMIANTO 13X14 CM</v>
      </c>
      <c r="C23314" s="2" t="str">
        <f t="shared" si="917"/>
        <v>UN</v>
      </c>
      <c r="D23314" s="7">
        <v>402</v>
      </c>
      <c r="E23314" s="3">
        <v>4</v>
      </c>
      <c r="F23314" s="2">
        <v>0</v>
      </c>
      <c r="G23314" t="s">
        <v>512</v>
      </c>
    </row>
    <row r="23315" spans="1:7" x14ac:dyDescent="0.25">
      <c r="A23315" s="1" t="str">
        <f>"514747"</f>
        <v>514747</v>
      </c>
      <c r="B23315" s="2" t="str">
        <f>"TELA DE ARAME COM REFRATARIO 16 X 16CM"</f>
        <v>TELA DE ARAME COM REFRATARIO 16 X 16CM</v>
      </c>
      <c r="C23315" s="2" t="str">
        <f t="shared" si="917"/>
        <v>UN</v>
      </c>
      <c r="D23315" s="7">
        <v>406</v>
      </c>
      <c r="E23315" s="3">
        <v>4</v>
      </c>
      <c r="F23315" s="2">
        <v>0</v>
      </c>
      <c r="G23315" t="s">
        <v>513</v>
      </c>
    </row>
    <row r="23316" spans="1:7" x14ac:dyDescent="0.25">
      <c r="A23316" s="1" t="str">
        <f>"515375"</f>
        <v>515375</v>
      </c>
      <c r="B23316" s="2" t="str">
        <f>"TELA DE PROJECAO RETRATIL 1,80 X 1,80"</f>
        <v>TELA DE PROJECAO RETRATIL 1,80 X 1,80</v>
      </c>
      <c r="C23316" s="2" t="str">
        <f t="shared" si="917"/>
        <v>UN</v>
      </c>
      <c r="D23316" s="7">
        <v>401</v>
      </c>
      <c r="E23316" s="3">
        <v>4</v>
      </c>
      <c r="F23316" s="2">
        <v>4</v>
      </c>
      <c r="G23316" t="s">
        <v>514</v>
      </c>
    </row>
    <row r="23317" spans="1:7" x14ac:dyDescent="0.25">
      <c r="A23317" s="1" t="str">
        <f>"521751"</f>
        <v>521751</v>
      </c>
      <c r="B23317" s="2" t="str">
        <f>"TELA EXPANDIDA INOX 1000 X 1000 # 1/4 FURO 50MMX80"</f>
        <v>TELA EXPANDIDA INOX 1000 X 1000 # 1/4 FURO 50MMX80</v>
      </c>
      <c r="C23317" s="2" t="str">
        <f t="shared" si="917"/>
        <v>UN</v>
      </c>
      <c r="D23317" s="7">
        <v>403</v>
      </c>
      <c r="E23317" s="3">
        <v>4</v>
      </c>
      <c r="F23317" s="2">
        <v>1</v>
      </c>
      <c r="G23317" t="s">
        <v>514</v>
      </c>
    </row>
    <row r="23318" spans="1:7" x14ac:dyDescent="0.25">
      <c r="A23318" s="1" t="str">
        <f>"512990"</f>
        <v>512990</v>
      </c>
      <c r="B23318" s="2" t="str">
        <f>"TELA FILTRO"</f>
        <v>TELA FILTRO</v>
      </c>
      <c r="C23318" s="2" t="str">
        <f t="shared" si="917"/>
        <v>UN</v>
      </c>
      <c r="D23318" s="7">
        <v>704</v>
      </c>
      <c r="E23318" s="3">
        <v>9</v>
      </c>
      <c r="F23318" s="2">
        <v>2</v>
      </c>
      <c r="G23318" t="s">
        <v>512</v>
      </c>
    </row>
    <row r="23319" spans="1:7" x14ac:dyDescent="0.25">
      <c r="A23319" s="1" t="str">
        <f>"502548"</f>
        <v>502548</v>
      </c>
      <c r="B23319" s="2" t="str">
        <f>"TELA GAL.LARG.0,90CM ALT.1,65CM ESP3,5MM"</f>
        <v>TELA GAL.LARG.0,90CM ALT.1,65CM ESP3,5MM</v>
      </c>
      <c r="C23319" s="2" t="str">
        <f t="shared" si="917"/>
        <v>UN</v>
      </c>
      <c r="D23319" s="7">
        <v>803</v>
      </c>
      <c r="E23319" s="3">
        <v>10</v>
      </c>
      <c r="F23319" s="2">
        <v>7</v>
      </c>
      <c r="G23319" t="s">
        <v>513</v>
      </c>
    </row>
    <row r="23320" spans="1:7" x14ac:dyDescent="0.25">
      <c r="A23320" s="1" t="str">
        <f>"500832"</f>
        <v>500832</v>
      </c>
      <c r="B23320" s="2" t="str">
        <f>"TELA GALV BIT. 2X2CM COMP/2MT-11CM LARGU"</f>
        <v>TELA GALV BIT. 2X2CM COMP/2MT-11CM LARGU</v>
      </c>
      <c r="C23320" s="2" t="str">
        <f t="shared" si="917"/>
        <v>UN</v>
      </c>
      <c r="D23320" s="7">
        <v>803</v>
      </c>
      <c r="E23320" s="3">
        <v>10</v>
      </c>
      <c r="F23320" s="2">
        <v>9</v>
      </c>
      <c r="G23320" t="s">
        <v>514</v>
      </c>
    </row>
    <row r="23321" spans="1:7" x14ac:dyDescent="0.25">
      <c r="A23321" s="1" t="str">
        <f>"502295"</f>
        <v>502295</v>
      </c>
      <c r="B23321" s="2" t="str">
        <f>"TELA GALV.1""1/2 ARAME 3MM-50CM LARGURA"</f>
        <v>TELA GALV.1"1/2 ARAME 3MM-50CM LARGURA</v>
      </c>
      <c r="C23321" s="2" t="str">
        <f>"MT"</f>
        <v>MT</v>
      </c>
      <c r="D23321" s="7">
        <v>402</v>
      </c>
      <c r="E23321" s="3">
        <v>4</v>
      </c>
      <c r="F23321" s="2">
        <v>0</v>
      </c>
      <c r="G23321" t="s">
        <v>514</v>
      </c>
    </row>
    <row r="23322" spans="1:7" x14ac:dyDescent="0.25">
      <c r="A23322" s="1" t="str">
        <f>"521888"</f>
        <v>521888</v>
      </c>
      <c r="B23322" s="2" t="str">
        <f>"TELA ISOLAMENTO PVC LARANJA EM BOBINA 1,50 X 50MT"</f>
        <v>TELA ISOLAMENTO PVC LARANJA EM BOBINA 1,50 X 50MT</v>
      </c>
      <c r="C23322" s="2" t="str">
        <f>"UN"</f>
        <v>UN</v>
      </c>
      <c r="D23322" s="7">
        <v>403</v>
      </c>
      <c r="E23322" s="3">
        <v>4</v>
      </c>
      <c r="F23322" s="2">
        <v>0</v>
      </c>
      <c r="G23322" t="s">
        <v>514</v>
      </c>
    </row>
    <row r="23323" spans="1:7" x14ac:dyDescent="0.25">
      <c r="A23323" s="1" t="str">
        <f>"522496"</f>
        <v>522496</v>
      </c>
      <c r="B23323" s="8" t="s">
        <v>298</v>
      </c>
      <c r="C23323" s="2" t="str">
        <f>"UN"</f>
        <v>UN</v>
      </c>
      <c r="D23323" s="7">
        <v>807</v>
      </c>
      <c r="E23323" s="3">
        <v>10</v>
      </c>
      <c r="F23323" s="2">
        <v>2</v>
      </c>
      <c r="G23323" t="s">
        <v>513</v>
      </c>
    </row>
    <row r="23324" spans="1:7" x14ac:dyDescent="0.25">
      <c r="A23324" s="1" t="str">
        <f>"512162"</f>
        <v>512162</v>
      </c>
      <c r="B23324" s="2" t="str">
        <f>"TELA MOSQUET. ALUM. M1,6MM FIO14 1,20LAR"</f>
        <v>TELA MOSQUET. ALUM. M1,6MM FIO14 1,20LAR</v>
      </c>
      <c r="C23324" s="2" t="str">
        <f>"UN"</f>
        <v>UN</v>
      </c>
      <c r="D23324" s="7">
        <v>803</v>
      </c>
      <c r="E23324" s="3">
        <v>10</v>
      </c>
      <c r="F23324" s="2">
        <v>5</v>
      </c>
      <c r="G23324" t="s">
        <v>512</v>
      </c>
    </row>
    <row r="23325" spans="1:7" x14ac:dyDescent="0.25">
      <c r="A23325" s="1" t="str">
        <f>"506059"</f>
        <v>506059</v>
      </c>
      <c r="B23325" s="2" t="str">
        <f>"TELA MOSQUITEIRO (SOBRITE)"</f>
        <v>TELA MOSQUITEIRO (SOBRITE)</v>
      </c>
      <c r="C23325" s="2" t="str">
        <f>"MT"</f>
        <v>MT</v>
      </c>
      <c r="D23325" s="7">
        <v>803</v>
      </c>
      <c r="E23325" s="3">
        <v>10</v>
      </c>
      <c r="F23325" s="2">
        <v>0</v>
      </c>
      <c r="G23325" t="s">
        <v>513</v>
      </c>
    </row>
    <row r="23326" spans="1:7" x14ac:dyDescent="0.25">
      <c r="A23326" s="1" t="str">
        <f>"500537"</f>
        <v>500537</v>
      </c>
      <c r="B23326" s="2" t="str">
        <f>"TELA MOSQUITEIRO 1,50MT ALT. X 10MT COMP. NYLON BRANCO"</f>
        <v>TELA MOSQUITEIRO 1,50MT ALT. X 10MT COMP. NYLON BRANCO</v>
      </c>
      <c r="C23326" s="2" t="str">
        <f t="shared" ref="C23326:C23338" si="918">"UN"</f>
        <v>UN</v>
      </c>
      <c r="D23326" s="7">
        <v>403</v>
      </c>
      <c r="E23326" s="3">
        <v>4</v>
      </c>
      <c r="F23326" s="2">
        <v>2</v>
      </c>
      <c r="G23326" t="s">
        <v>514</v>
      </c>
    </row>
    <row r="23327" spans="1:7" x14ac:dyDescent="0.25">
      <c r="A23327" s="1" t="str">
        <f>"511957"</f>
        <v>511957</v>
      </c>
      <c r="B23327" s="2" t="str">
        <f>"TELA OMRON DULPA EMBALAGEM NT2S-SF126B-"</f>
        <v>TELA OMRON DULPA EMBALAGEM NT2S-SF126B-</v>
      </c>
      <c r="C23327" s="2" t="str">
        <f t="shared" si="918"/>
        <v>UN</v>
      </c>
      <c r="D23327" s="7">
        <v>900</v>
      </c>
      <c r="E23327" s="3">
        <v>11</v>
      </c>
      <c r="F23327" s="2">
        <v>5</v>
      </c>
      <c r="G23327" t="s">
        <v>514</v>
      </c>
    </row>
    <row r="23328" spans="1:7" x14ac:dyDescent="0.25">
      <c r="A23328" s="1" t="str">
        <f>"517064"</f>
        <v>517064</v>
      </c>
      <c r="B23328" s="2" t="str">
        <f>"TELA PAINEL Q138 2,00 X 3,00MT"</f>
        <v>TELA PAINEL Q138 2,00 X 3,00MT</v>
      </c>
      <c r="C23328" s="2" t="str">
        <f t="shared" si="918"/>
        <v>UN</v>
      </c>
      <c r="D23328" s="7">
        <v>917</v>
      </c>
      <c r="E23328" s="3">
        <v>10</v>
      </c>
      <c r="F23328" s="5">
        <v>5</v>
      </c>
      <c r="G23328" t="s">
        <v>514</v>
      </c>
    </row>
    <row r="23329" spans="1:7" x14ac:dyDescent="0.25">
      <c r="A23329" s="1" t="str">
        <f>"521883"</f>
        <v>521883</v>
      </c>
      <c r="B23329" s="2" t="str">
        <f>"TELA PAINEL Q196 2,45 X 6,00MT"</f>
        <v>TELA PAINEL Q196 2,45 X 6,00MT</v>
      </c>
      <c r="C23329" s="2" t="str">
        <f t="shared" si="918"/>
        <v>UN</v>
      </c>
      <c r="D23329" s="7">
        <v>917</v>
      </c>
      <c r="E23329" s="3">
        <v>10</v>
      </c>
      <c r="F23329" s="2">
        <v>3</v>
      </c>
      <c r="G23329" t="s">
        <v>513</v>
      </c>
    </row>
    <row r="23330" spans="1:7" x14ac:dyDescent="0.25">
      <c r="A23330" s="1" t="str">
        <f>"509651"</f>
        <v>509651</v>
      </c>
      <c r="B23330" s="2" t="str">
        <f>"TELA PAINEL Q92 2,00 X 3,00MT"</f>
        <v>TELA PAINEL Q92 2,00 X 3,00MT</v>
      </c>
      <c r="C23330" s="2" t="str">
        <f t="shared" si="918"/>
        <v>UN</v>
      </c>
      <c r="D23330" s="7">
        <v>403</v>
      </c>
      <c r="E23330" s="3">
        <v>4</v>
      </c>
      <c r="F23330" s="2">
        <v>8</v>
      </c>
      <c r="G23330" t="s">
        <v>513</v>
      </c>
    </row>
    <row r="23331" spans="1:7" x14ac:dyDescent="0.25">
      <c r="A23331" s="1" t="str">
        <f>"527565"</f>
        <v>527565</v>
      </c>
      <c r="B23331" s="2" t="str">
        <f>"TELA PARA NOTBOOK HP 640 G2"</f>
        <v>TELA PARA NOTBOOK HP 640 G2</v>
      </c>
      <c r="C23331" s="2" t="str">
        <f t="shared" si="918"/>
        <v>UN</v>
      </c>
      <c r="D23331" s="7">
        <v>401</v>
      </c>
      <c r="E23331" s="3">
        <v>4</v>
      </c>
      <c r="F23331" s="2">
        <v>6</v>
      </c>
      <c r="G23331" t="s">
        <v>513</v>
      </c>
    </row>
    <row r="23332" spans="1:7" x14ac:dyDescent="0.25">
      <c r="A23332" s="1" t="str">
        <f>"510613"</f>
        <v>510613</v>
      </c>
      <c r="B23332" s="2" t="str">
        <f>"TELA PINTEIRO 25 X 25MM FIO 1,07"</f>
        <v>TELA PINTEIRO 25 X 25MM FIO 1,07</v>
      </c>
      <c r="C23332" s="2" t="str">
        <f t="shared" si="918"/>
        <v>UN</v>
      </c>
      <c r="D23332" s="7">
        <v>917</v>
      </c>
      <c r="E23332" s="3">
        <v>11</v>
      </c>
      <c r="F23332" s="2">
        <v>4</v>
      </c>
      <c r="G23332" t="s">
        <v>512</v>
      </c>
    </row>
    <row r="23333" spans="1:7" x14ac:dyDescent="0.25">
      <c r="A23333" s="1" t="str">
        <f>"501465"</f>
        <v>501465</v>
      </c>
      <c r="B23333" s="2" t="str">
        <f>"TELA POLIAMIDA(NYLON100%)40 HD C/130 LG"</f>
        <v>TELA POLIAMIDA(NYLON100%)40 HD C/130 LG</v>
      </c>
      <c r="C23333" s="2" t="str">
        <f t="shared" si="918"/>
        <v>UN</v>
      </c>
      <c r="D23333" s="7">
        <v>403</v>
      </c>
      <c r="E23333" s="3">
        <v>4</v>
      </c>
      <c r="F23333" s="2">
        <v>1</v>
      </c>
      <c r="G23333" t="s">
        <v>513</v>
      </c>
    </row>
    <row r="23334" spans="1:7" x14ac:dyDescent="0.25">
      <c r="A23334" s="1" t="str">
        <f>"518965"</f>
        <v>518965</v>
      </c>
      <c r="B23334" s="2" t="str">
        <f>"TELA POLIAMIDA(NYLON100%)45 G C/100 LG"</f>
        <v>TELA POLIAMIDA(NYLON100%)45 G C/100 LG</v>
      </c>
      <c r="C23334" s="2" t="str">
        <f t="shared" si="918"/>
        <v>UN</v>
      </c>
      <c r="D23334" s="7">
        <v>403</v>
      </c>
      <c r="E23334" s="3">
        <v>4</v>
      </c>
      <c r="F23334" s="2">
        <v>2</v>
      </c>
      <c r="G23334" t="s">
        <v>514</v>
      </c>
    </row>
    <row r="23335" spans="1:7" x14ac:dyDescent="0.25">
      <c r="A23335" s="1" t="str">
        <f>"501945"</f>
        <v>501945</v>
      </c>
      <c r="B23335" s="2" t="str">
        <f>"TELA PROTECAO RADIADOR"</f>
        <v>TELA PROTECAO RADIADOR</v>
      </c>
      <c r="C23335" s="2" t="str">
        <f t="shared" si="918"/>
        <v>UN</v>
      </c>
      <c r="D23335" s="7">
        <v>704</v>
      </c>
      <c r="E23335" s="3">
        <v>9</v>
      </c>
      <c r="F23335" s="2">
        <v>7</v>
      </c>
      <c r="G23335" t="s">
        <v>515</v>
      </c>
    </row>
    <row r="23336" spans="1:7" x14ac:dyDescent="0.25">
      <c r="A23336" s="1" t="str">
        <f>"523179"</f>
        <v>523179</v>
      </c>
      <c r="B23336" s="2" t="str">
        <f>"TELA Q138 PAINEL 2,45 X 6,00M ( FIO 4,2MM)"</f>
        <v>TELA Q138 PAINEL 2,45 X 6,00M ( FIO 4,2MM)</v>
      </c>
      <c r="C23336" s="2" t="str">
        <f t="shared" si="918"/>
        <v>UN</v>
      </c>
      <c r="D23336" s="7">
        <v>807</v>
      </c>
      <c r="E23336" s="3">
        <v>10</v>
      </c>
      <c r="F23336" s="2">
        <v>9</v>
      </c>
      <c r="G23336" t="s">
        <v>512</v>
      </c>
    </row>
    <row r="23337" spans="1:7" x14ac:dyDescent="0.25">
      <c r="A23337" s="1" t="str">
        <f>"523376"</f>
        <v>523376</v>
      </c>
      <c r="B23337" s="2" t="str">
        <f>"TELA Q335 PAINEL 2,45 X 6,00M ( FIO 8,0MM 15x15)"</f>
        <v>TELA Q335 PAINEL 2,45 X 6,00M ( FIO 8,0MM 15x15)</v>
      </c>
      <c r="C23337" s="2" t="str">
        <f t="shared" si="918"/>
        <v>UN</v>
      </c>
      <c r="D23337" s="7">
        <v>803</v>
      </c>
      <c r="E23337" s="3">
        <v>10</v>
      </c>
      <c r="F23337" s="2">
        <v>0</v>
      </c>
      <c r="G23337" t="s">
        <v>516</v>
      </c>
    </row>
    <row r="23338" spans="1:7" x14ac:dyDescent="0.25">
      <c r="A23338" s="1" t="str">
        <f>"509321"</f>
        <v>509321</v>
      </c>
      <c r="B23338" s="2" t="str">
        <f>"TELA SOLDADA 3,4 - 15 X 15"</f>
        <v>TELA SOLDADA 3,4 - 15 X 15</v>
      </c>
      <c r="C23338" s="2" t="str">
        <f t="shared" si="918"/>
        <v>UN</v>
      </c>
      <c r="D23338" s="7">
        <v>803</v>
      </c>
      <c r="E23338" s="3">
        <v>10</v>
      </c>
      <c r="F23338" s="2">
        <v>0</v>
      </c>
      <c r="G23338" t="s">
        <v>515</v>
      </c>
    </row>
    <row r="23339" spans="1:7" x14ac:dyDescent="0.25">
      <c r="A23339" s="1" t="str">
        <f>"522753"</f>
        <v>522753</v>
      </c>
      <c r="B23339" s="2" t="str">
        <f>"TELA SOLDADA Q92  15X15 4,2 2,45X6"</f>
        <v>TELA SOLDADA Q92  15X15 4,2 2,45X6</v>
      </c>
      <c r="C23339" s="2" t="str">
        <f>"MT"</f>
        <v>MT</v>
      </c>
      <c r="D23339" s="7">
        <v>803</v>
      </c>
      <c r="E23339" s="3">
        <v>10</v>
      </c>
      <c r="F23339" s="2">
        <v>2</v>
      </c>
      <c r="G23339" t="s">
        <v>514</v>
      </c>
    </row>
    <row r="23340" spans="1:7" x14ac:dyDescent="0.25">
      <c r="A23340" s="1" t="str">
        <f>"512944"</f>
        <v>512944</v>
      </c>
      <c r="B23340" s="2" t="str">
        <f>"TELA TRIPÉ STANDART NRT-001 1,50 X 1,50MT FORMATO QUADRADO"</f>
        <v>TELA TRIPÉ STANDART NRT-001 1,50 X 1,50MT FORMATO QUADRADO</v>
      </c>
      <c r="C23340" s="2" t="str">
        <f t="shared" ref="C23340:C23351" si="919">"UN"</f>
        <v>UN</v>
      </c>
      <c r="D23340" s="7">
        <v>401</v>
      </c>
      <c r="E23340" s="3">
        <v>4</v>
      </c>
      <c r="F23340" s="2">
        <v>5</v>
      </c>
      <c r="G23340" t="s">
        <v>512</v>
      </c>
    </row>
    <row r="23341" spans="1:7" x14ac:dyDescent="0.25">
      <c r="A23341" s="1" t="str">
        <f>"512025"</f>
        <v>512025</v>
      </c>
      <c r="B23341" s="2" t="str">
        <f>"TELA VTWIN 160"</f>
        <v>TELA VTWIN 160</v>
      </c>
      <c r="C23341" s="2" t="str">
        <f t="shared" si="919"/>
        <v>UN</v>
      </c>
      <c r="D23341" s="7">
        <v>600</v>
      </c>
      <c r="E23341" s="3">
        <v>8</v>
      </c>
      <c r="F23341" s="2">
        <v>6</v>
      </c>
      <c r="G23341" t="s">
        <v>513</v>
      </c>
    </row>
    <row r="23342" spans="1:7" x14ac:dyDescent="0.25">
      <c r="A23342" s="1" t="str">
        <f>"512934"</f>
        <v>512934</v>
      </c>
      <c r="B23342" s="2" t="str">
        <f>"TELEFONE COM FIO SIMPLES"</f>
        <v>TELEFONE COM FIO SIMPLES</v>
      </c>
      <c r="C23342" s="2" t="str">
        <f t="shared" si="919"/>
        <v>UN</v>
      </c>
      <c r="D23342" s="7">
        <v>401</v>
      </c>
      <c r="E23342" s="3">
        <v>4</v>
      </c>
      <c r="F23342" s="2">
        <v>9</v>
      </c>
      <c r="G23342" t="s">
        <v>514</v>
      </c>
    </row>
    <row r="23343" spans="1:7" x14ac:dyDescent="0.25">
      <c r="A23343" s="1" t="str">
        <f>"515858"</f>
        <v>515858</v>
      </c>
      <c r="B23343" s="2" t="str">
        <f>"TELEFONE S/FIO SIEMENS GIGASET AC650 2.4GHZ DARK C/IDENT."</f>
        <v>TELEFONE S/FIO SIEMENS GIGASET AC650 2.4GHZ DARK C/IDENT.</v>
      </c>
      <c r="C23343" s="2" t="str">
        <f t="shared" si="919"/>
        <v>UN</v>
      </c>
      <c r="D23343" s="7">
        <v>99999</v>
      </c>
      <c r="E23343" s="3">
        <v>99</v>
      </c>
      <c r="F23343" s="2">
        <v>5</v>
      </c>
      <c r="G23343" t="s">
        <v>514</v>
      </c>
    </row>
    <row r="23344" spans="1:7" x14ac:dyDescent="0.25">
      <c r="A23344" s="1" t="str">
        <f>"509293"</f>
        <v>509293</v>
      </c>
      <c r="B23344" s="2" t="str">
        <f>"TELEFONE SEM FIO A5000 900MHZ PRETO"</f>
        <v>TELEFONE SEM FIO A5000 900MHZ PRETO</v>
      </c>
      <c r="C23344" s="2" t="str">
        <f t="shared" si="919"/>
        <v>UN</v>
      </c>
      <c r="D23344" s="7">
        <v>401</v>
      </c>
      <c r="E23344" s="3">
        <v>4</v>
      </c>
      <c r="F23344" s="2">
        <v>3</v>
      </c>
      <c r="G23344" t="s">
        <v>512</v>
      </c>
    </row>
    <row r="23345" spans="1:7" x14ac:dyDescent="0.25">
      <c r="A23345" s="1" t="str">
        <f>"509480"</f>
        <v>509480</v>
      </c>
      <c r="B23345" s="2" t="str">
        <f>"TELEFONE SEM FIO AC600 2.4GHZ PRETO"</f>
        <v>TELEFONE SEM FIO AC600 2.4GHZ PRETO</v>
      </c>
      <c r="C23345" s="2" t="str">
        <f t="shared" si="919"/>
        <v>UN</v>
      </c>
      <c r="D23345" s="7">
        <v>401</v>
      </c>
      <c r="E23345" s="3">
        <v>4</v>
      </c>
      <c r="F23345" s="2">
        <v>3</v>
      </c>
      <c r="G23345" t="s">
        <v>513</v>
      </c>
    </row>
    <row r="23346" spans="1:7" x14ac:dyDescent="0.25">
      <c r="A23346" s="1" t="str">
        <f>"510466"</f>
        <v>510466</v>
      </c>
      <c r="B23346" s="2" t="str">
        <f>"TELEFONE SEM FIO INTELBRAS TS10"</f>
        <v>TELEFONE SEM FIO INTELBRAS TS10</v>
      </c>
      <c r="C23346" s="2" t="str">
        <f t="shared" si="919"/>
        <v>UN</v>
      </c>
      <c r="D23346" s="7">
        <v>401</v>
      </c>
      <c r="E23346" s="3">
        <v>4</v>
      </c>
      <c r="F23346" s="2">
        <v>2</v>
      </c>
      <c r="G23346" t="s">
        <v>514</v>
      </c>
    </row>
    <row r="23347" spans="1:7" x14ac:dyDescent="0.25">
      <c r="A23347" s="1" t="str">
        <f>"519175"</f>
        <v>519175</v>
      </c>
      <c r="B23347" s="2" t="str">
        <f>"TELEFONE SEM FIO INTELBRAS TS40"</f>
        <v>TELEFONE SEM FIO INTELBRAS TS40</v>
      </c>
      <c r="C23347" s="2" t="str">
        <f t="shared" si="919"/>
        <v>UN</v>
      </c>
      <c r="D23347" s="7">
        <v>401</v>
      </c>
      <c r="E23347" s="3">
        <v>4</v>
      </c>
      <c r="F23347" s="2">
        <v>1</v>
      </c>
      <c r="G23347" t="s">
        <v>514</v>
      </c>
    </row>
    <row r="23348" spans="1:7" x14ac:dyDescent="0.25">
      <c r="A23348" s="1" t="str">
        <f>"504224"</f>
        <v>504224</v>
      </c>
      <c r="B23348" s="2" t="str">
        <f>"TELEFONE SIEMENS MOD. EROSET 3005"</f>
        <v>TELEFONE SIEMENS MOD. EROSET 3005</v>
      </c>
      <c r="C23348" s="2" t="str">
        <f t="shared" si="919"/>
        <v>UN</v>
      </c>
      <c r="D23348" s="7">
        <v>401</v>
      </c>
      <c r="E23348" s="3">
        <v>4</v>
      </c>
      <c r="F23348" s="2">
        <v>4</v>
      </c>
      <c r="G23348" t="s">
        <v>514</v>
      </c>
    </row>
    <row r="23349" spans="1:7" x14ac:dyDescent="0.25">
      <c r="A23349" s="1" t="str">
        <f>"517658"</f>
        <v>517658</v>
      </c>
      <c r="B23349" s="2" t="str">
        <f>"TELEFONE SIEMENS OPENSTAGE 15 HFA/SIP ARTICO"</f>
        <v>TELEFONE SIEMENS OPENSTAGE 15 HFA/SIP ARTICO</v>
      </c>
      <c r="C23349" s="2" t="str">
        <f t="shared" si="919"/>
        <v>UN</v>
      </c>
      <c r="D23349" s="7">
        <v>811</v>
      </c>
      <c r="E23349" s="3">
        <v>8</v>
      </c>
      <c r="F23349" s="2">
        <v>6</v>
      </c>
      <c r="G23349" t="s">
        <v>513</v>
      </c>
    </row>
    <row r="23350" spans="1:7" x14ac:dyDescent="0.25">
      <c r="A23350" s="1" t="str">
        <f>"510620"</f>
        <v>510620</v>
      </c>
      <c r="B23350" s="2" t="str">
        <f>"TELENCOPIO PISTAO 3 ESTAGIOS TL"</f>
        <v>TELENCOPIO PISTAO 3 ESTAGIOS TL</v>
      </c>
      <c r="C23350" s="2" t="str">
        <f t="shared" si="919"/>
        <v>UN</v>
      </c>
      <c r="D23350" s="7">
        <v>401</v>
      </c>
      <c r="E23350" s="3">
        <v>4</v>
      </c>
      <c r="F23350" s="2">
        <v>8</v>
      </c>
      <c r="G23350" t="s">
        <v>512</v>
      </c>
    </row>
    <row r="23351" spans="1:7" x14ac:dyDescent="0.25">
      <c r="A23351" s="1" t="str">
        <f>"514447"</f>
        <v>514447</v>
      </c>
      <c r="B23351" s="2" t="str">
        <f>"TELESCOPIO PISTAO"</f>
        <v>TELESCOPIO PISTAO</v>
      </c>
      <c r="C23351" s="2" t="str">
        <f t="shared" si="919"/>
        <v>UN</v>
      </c>
      <c r="D23351" s="7">
        <v>401</v>
      </c>
      <c r="E23351" s="3">
        <v>4</v>
      </c>
      <c r="F23351" s="2">
        <v>7</v>
      </c>
      <c r="G23351" t="s">
        <v>513</v>
      </c>
    </row>
    <row r="23352" spans="1:7" x14ac:dyDescent="0.25">
      <c r="A23352" s="1" t="str">
        <f>"511187"</f>
        <v>511187</v>
      </c>
      <c r="B23352" s="2" t="str">
        <f>"TELESCOPIO PISTAO 3 ESTAGIOS TL"</f>
        <v>TELESCOPIO PISTAO 3 ESTAGIOS TL</v>
      </c>
      <c r="C23352" s="2" t="str">
        <f>"BR"</f>
        <v>BR</v>
      </c>
      <c r="D23352" s="7">
        <v>807</v>
      </c>
      <c r="E23352" s="3">
        <v>10</v>
      </c>
      <c r="F23352" s="2">
        <v>6</v>
      </c>
      <c r="G23352" t="s">
        <v>514</v>
      </c>
    </row>
    <row r="23353" spans="1:7" x14ac:dyDescent="0.25">
      <c r="A23353" s="1" t="str">
        <f>"514440"</f>
        <v>514440</v>
      </c>
      <c r="B23353" s="2" t="str">
        <f>"TELEVISOR 29"" SLIM"</f>
        <v>TELEVISOR 29" SLIM</v>
      </c>
      <c r="C23353" s="2" t="str">
        <f t="shared" ref="C23353:C23367" si="920">"UN"</f>
        <v>UN</v>
      </c>
      <c r="D23353" s="7">
        <v>1300</v>
      </c>
      <c r="E23353" s="3">
        <v>13</v>
      </c>
      <c r="F23353" s="2">
        <v>6</v>
      </c>
      <c r="G23353" t="s">
        <v>514</v>
      </c>
    </row>
    <row r="23354" spans="1:7" x14ac:dyDescent="0.25">
      <c r="A23354" s="1" t="str">
        <f>"509681"</f>
        <v>509681</v>
      </c>
      <c r="B23354" s="2" t="str">
        <f>"TELHA AZ DEL REY RT 25X1026X0,50"</f>
        <v>TELHA AZ DEL REY RT 25X1026X0,50</v>
      </c>
      <c r="C23354" s="2" t="str">
        <f t="shared" si="920"/>
        <v>UN</v>
      </c>
      <c r="D23354" s="7">
        <v>803</v>
      </c>
      <c r="E23354" s="3">
        <v>10</v>
      </c>
      <c r="F23354" s="2">
        <v>2</v>
      </c>
      <c r="G23354" t="s">
        <v>514</v>
      </c>
    </row>
    <row r="23355" spans="1:7" x14ac:dyDescent="0.25">
      <c r="A23355" s="1" t="str">
        <f>"517308"</f>
        <v>517308</v>
      </c>
      <c r="B23355" s="2" t="str">
        <f>"TELHA DE ZINCO ONDULADA"</f>
        <v>TELHA DE ZINCO ONDULADA</v>
      </c>
      <c r="C23355" s="2" t="str">
        <f t="shared" si="920"/>
        <v>UN</v>
      </c>
      <c r="D23355" s="7">
        <v>1700</v>
      </c>
      <c r="E23355" s="3">
        <v>10</v>
      </c>
      <c r="F23355" s="2">
        <v>1</v>
      </c>
      <c r="G23355" t="s">
        <v>513</v>
      </c>
    </row>
    <row r="23356" spans="1:7" x14ac:dyDescent="0.25">
      <c r="A23356" s="1" t="str">
        <f>"500677"</f>
        <v>500677</v>
      </c>
      <c r="B23356" s="2" t="str">
        <f>"TELHA ETERNITE 2,44 X 0,50"</f>
        <v>TELHA ETERNITE 2,44 X 0,50</v>
      </c>
      <c r="C23356" s="2" t="str">
        <f t="shared" si="920"/>
        <v>UN</v>
      </c>
      <c r="D23356" s="7">
        <v>403</v>
      </c>
      <c r="E23356" s="3">
        <v>4</v>
      </c>
      <c r="F23356" s="2">
        <v>0</v>
      </c>
      <c r="G23356" t="s">
        <v>513</v>
      </c>
    </row>
    <row r="23357" spans="1:7" x14ac:dyDescent="0.25">
      <c r="A23357" s="1" t="str">
        <f>"525320"</f>
        <v>525320</v>
      </c>
      <c r="B23357" s="2" t="str">
        <f>"TELHA ETERNITE 305 X100 6mm"</f>
        <v>TELHA ETERNITE 305 X100 6mm</v>
      </c>
      <c r="C23357" s="2" t="str">
        <f t="shared" si="920"/>
        <v>UN</v>
      </c>
      <c r="D23357" s="7">
        <v>403</v>
      </c>
      <c r="E23357" s="3">
        <v>4</v>
      </c>
      <c r="F23357" s="2">
        <v>0</v>
      </c>
      <c r="G23357" t="s">
        <v>513</v>
      </c>
    </row>
    <row r="23358" spans="1:7" x14ac:dyDescent="0.25">
      <c r="A23358" s="1" t="str">
        <f>"517901"</f>
        <v>517901</v>
      </c>
      <c r="B23358" s="2" t="str">
        <f>"TELHA GALV. PRÉ PINTADA RT25/1020 AZUL"</f>
        <v>TELHA GALV. PRÉ PINTADA RT25/1020 AZUL</v>
      </c>
      <c r="C23358" s="2" t="str">
        <f t="shared" si="920"/>
        <v>UN</v>
      </c>
      <c r="D23358" s="7">
        <v>917</v>
      </c>
      <c r="E23358" s="3">
        <v>10</v>
      </c>
      <c r="F23358" s="2">
        <v>0</v>
      </c>
      <c r="G23358" t="s">
        <v>512</v>
      </c>
    </row>
    <row r="23359" spans="1:7" x14ac:dyDescent="0.25">
      <c r="A23359" s="1" t="str">
        <f>"511903"</f>
        <v>511903</v>
      </c>
      <c r="B23359" s="2" t="str">
        <f>"TELHA GALV. RESINA RT17/0980"</f>
        <v>TELHA GALV. RESINA RT17/0980</v>
      </c>
      <c r="C23359" s="2" t="str">
        <f t="shared" si="920"/>
        <v>UN</v>
      </c>
      <c r="D23359" s="7">
        <v>803</v>
      </c>
      <c r="E23359" s="3">
        <v>10</v>
      </c>
      <c r="F23359" s="2">
        <v>3</v>
      </c>
      <c r="G23359" t="s">
        <v>513</v>
      </c>
    </row>
    <row r="23360" spans="1:7" x14ac:dyDescent="0.25">
      <c r="A23360" s="1" t="str">
        <f>"519077"</f>
        <v>519077</v>
      </c>
      <c r="B23360" s="2" t="str">
        <f>"TELHA GALV. RESINA RT17/0980 2000MT"</f>
        <v>TELHA GALV. RESINA RT17/0980 2000MT</v>
      </c>
      <c r="C23360" s="2" t="str">
        <f t="shared" si="920"/>
        <v>UN</v>
      </c>
      <c r="D23360" s="7">
        <v>803</v>
      </c>
      <c r="E23360" s="3">
        <v>10</v>
      </c>
      <c r="F23360" s="5">
        <v>5</v>
      </c>
      <c r="G23360" t="s">
        <v>514</v>
      </c>
    </row>
    <row r="23361" spans="1:7" x14ac:dyDescent="0.25">
      <c r="A23361" s="1" t="str">
        <f>"511901"</f>
        <v>511901</v>
      </c>
      <c r="B23361" s="2" t="str">
        <f>"TELHA GALV. RESINA RT17/0980 3200MT"</f>
        <v>TELHA GALV. RESINA RT17/0980 3200MT</v>
      </c>
      <c r="C23361" s="2" t="str">
        <f t="shared" si="920"/>
        <v>UN</v>
      </c>
      <c r="D23361" s="7">
        <v>803</v>
      </c>
      <c r="E23361" s="3">
        <v>10</v>
      </c>
      <c r="F23361" s="2">
        <v>3</v>
      </c>
      <c r="G23361" t="s">
        <v>515</v>
      </c>
    </row>
    <row r="23362" spans="1:7" x14ac:dyDescent="0.25">
      <c r="A23362" s="1" t="str">
        <f>"519118"</f>
        <v>519118</v>
      </c>
      <c r="B23362" s="2" t="str">
        <f>"TELHA GALV. RESINA RT17/0980 4000MT"</f>
        <v>TELHA GALV. RESINA RT17/0980 4000MT</v>
      </c>
      <c r="C23362" s="2" t="str">
        <f t="shared" si="920"/>
        <v>UN</v>
      </c>
      <c r="D23362" s="7">
        <v>803</v>
      </c>
      <c r="E23362" s="3">
        <v>10</v>
      </c>
      <c r="F23362" s="2">
        <v>8</v>
      </c>
      <c r="G23362" t="s">
        <v>512</v>
      </c>
    </row>
    <row r="23363" spans="1:7" x14ac:dyDescent="0.25">
      <c r="A23363" s="1" t="str">
        <f>"518649"</f>
        <v>518649</v>
      </c>
      <c r="B23363" s="2" t="str">
        <f>"TELHA GALV. RESINA RT17/0980 4380MT"</f>
        <v>TELHA GALV. RESINA RT17/0980 4380MT</v>
      </c>
      <c r="C23363" s="2" t="str">
        <f t="shared" si="920"/>
        <v>UN</v>
      </c>
      <c r="D23363" s="7">
        <v>803</v>
      </c>
      <c r="E23363" s="3">
        <v>10</v>
      </c>
      <c r="F23363" s="2">
        <v>6</v>
      </c>
      <c r="G23363" t="s">
        <v>516</v>
      </c>
    </row>
    <row r="23364" spans="1:7" x14ac:dyDescent="0.25">
      <c r="A23364" s="1" t="str">
        <f>"511902"</f>
        <v>511902</v>
      </c>
      <c r="B23364" s="2" t="str">
        <f>"TELHA GALV. RESINA RT17/0980 4400MT"</f>
        <v>TELHA GALV. RESINA RT17/0980 4400MT</v>
      </c>
      <c r="C23364" s="2" t="str">
        <f t="shared" si="920"/>
        <v>UN</v>
      </c>
      <c r="D23364" s="7">
        <v>803</v>
      </c>
      <c r="E23364" s="3">
        <v>10</v>
      </c>
      <c r="F23364" s="2">
        <v>4</v>
      </c>
      <c r="G23364" t="s">
        <v>515</v>
      </c>
    </row>
    <row r="23365" spans="1:7" x14ac:dyDescent="0.25">
      <c r="A23365" s="1" t="str">
        <f>"519119"</f>
        <v>519119</v>
      </c>
      <c r="B23365" s="2" t="str">
        <f>"TELHA GALV. RESINA RT17/0980 4500MT"</f>
        <v>TELHA GALV. RESINA RT17/0980 4500MT</v>
      </c>
      <c r="C23365" s="2" t="str">
        <f t="shared" si="920"/>
        <v>UN</v>
      </c>
      <c r="D23365" s="7">
        <v>803</v>
      </c>
      <c r="E23365" s="3">
        <v>10</v>
      </c>
      <c r="F23365" s="2">
        <v>1</v>
      </c>
      <c r="G23365" t="s">
        <v>514</v>
      </c>
    </row>
    <row r="23366" spans="1:7" x14ac:dyDescent="0.25">
      <c r="A23366" s="1" t="str">
        <f>"519120"</f>
        <v>519120</v>
      </c>
      <c r="B23366" s="2" t="str">
        <f>"TELHA GALV. RESINA RT17/0980 5500MT"</f>
        <v>TELHA GALV. RESINA RT17/0980 5500MT</v>
      </c>
      <c r="C23366" s="2" t="str">
        <f t="shared" si="920"/>
        <v>UN</v>
      </c>
      <c r="D23366" s="7">
        <v>803</v>
      </c>
      <c r="E23366" s="3">
        <v>10</v>
      </c>
      <c r="F23366" s="2">
        <v>2</v>
      </c>
      <c r="G23366" t="s">
        <v>512</v>
      </c>
    </row>
    <row r="23367" spans="1:7" x14ac:dyDescent="0.25">
      <c r="A23367" s="1" t="str">
        <f>"519076"</f>
        <v>519076</v>
      </c>
      <c r="B23367" s="2" t="str">
        <f>"TELHA GALV. RESINA RT17/0980 5800MT"</f>
        <v>TELHA GALV. RESINA RT17/0980 5800MT</v>
      </c>
      <c r="C23367" s="2" t="str">
        <f t="shared" si="920"/>
        <v>UN</v>
      </c>
      <c r="D23367" s="7">
        <v>803</v>
      </c>
      <c r="E23367" s="3">
        <v>10</v>
      </c>
      <c r="F23367" s="2">
        <v>7</v>
      </c>
      <c r="G23367" t="s">
        <v>513</v>
      </c>
    </row>
    <row r="23368" spans="1:7" x14ac:dyDescent="0.25">
      <c r="A23368" s="1" t="str">
        <f>"503806"</f>
        <v>503806</v>
      </c>
      <c r="B23368" s="2" t="str">
        <f>"TELHA GALV. RESINA RT17/0980 6000MT"</f>
        <v>TELHA GALV. RESINA RT17/0980 6000MT</v>
      </c>
      <c r="C23368" s="2" t="str">
        <f>"PC"</f>
        <v>PC</v>
      </c>
      <c r="D23368" s="7">
        <v>806</v>
      </c>
      <c r="E23368" s="3">
        <v>10</v>
      </c>
      <c r="F23368" s="2">
        <v>9</v>
      </c>
      <c r="G23368" t="s">
        <v>514</v>
      </c>
    </row>
    <row r="23369" spans="1:7" x14ac:dyDescent="0.25">
      <c r="A23369" s="1" t="str">
        <f>"518589"</f>
        <v>518589</v>
      </c>
      <c r="B23369" s="2" t="str">
        <f>"TELHA GALV. RESINA RT17/0980 7500MT"</f>
        <v>TELHA GALV. RESINA RT17/0980 7500MT</v>
      </c>
      <c r="C23369" s="2" t="str">
        <f>"UN"</f>
        <v>UN</v>
      </c>
      <c r="D23369" s="7">
        <v>803</v>
      </c>
      <c r="E23369" s="3">
        <v>10</v>
      </c>
      <c r="F23369" s="2">
        <v>0</v>
      </c>
      <c r="G23369" t="s">
        <v>514</v>
      </c>
    </row>
    <row r="23370" spans="1:7" x14ac:dyDescent="0.25">
      <c r="A23370" s="1" t="str">
        <f>"518853"</f>
        <v>518853</v>
      </c>
      <c r="B23370" s="2" t="str">
        <f>"TELHA GALV. RESINA RT17/0980 8500MT"</f>
        <v>TELHA GALV. RESINA RT17/0980 8500MT</v>
      </c>
      <c r="C23370" s="2" t="str">
        <f>"UN"</f>
        <v>UN</v>
      </c>
      <c r="D23370" s="7">
        <v>803</v>
      </c>
      <c r="E23370" s="3">
        <v>10</v>
      </c>
      <c r="F23370" s="2">
        <v>0</v>
      </c>
      <c r="G23370" t="s">
        <v>512</v>
      </c>
    </row>
    <row r="23371" spans="1:7" x14ac:dyDescent="0.25">
      <c r="A23371" s="1" t="str">
        <f>"513498"</f>
        <v>513498</v>
      </c>
      <c r="B23371" s="2" t="str">
        <f>"TELHA GALV. RESINA RT17/0980 9.000MT X 0,8MM"</f>
        <v>TELHA GALV. RESINA RT17/0980 9.000MT X 0,8MM</v>
      </c>
      <c r="C23371" s="2" t="str">
        <f>"UN"</f>
        <v>UN</v>
      </c>
      <c r="D23371" s="7">
        <v>803</v>
      </c>
      <c r="E23371" s="3">
        <v>10</v>
      </c>
      <c r="F23371" s="2">
        <v>2</v>
      </c>
      <c r="G23371" t="s">
        <v>513</v>
      </c>
    </row>
    <row r="23372" spans="1:7" x14ac:dyDescent="0.25">
      <c r="A23372" s="1" t="str">
        <f>"508694"</f>
        <v>508694</v>
      </c>
      <c r="B23372" s="2" t="str">
        <f>"TELHA GALV. RESINA RT40/1200 5400MT"</f>
        <v>TELHA GALV. RESINA RT40/1200 5400MT</v>
      </c>
      <c r="C23372" s="2" t="str">
        <f>"PC"</f>
        <v>PC</v>
      </c>
      <c r="D23372" s="7">
        <v>806</v>
      </c>
      <c r="E23372" s="3">
        <v>10</v>
      </c>
      <c r="F23372" s="2">
        <v>5</v>
      </c>
      <c r="G23372" t="s">
        <v>514</v>
      </c>
    </row>
    <row r="23373" spans="1:7" x14ac:dyDescent="0.25">
      <c r="A23373" s="1" t="str">
        <f>"507717"</f>
        <v>507717</v>
      </c>
      <c r="B23373" s="2" t="str">
        <f>"TELHA GALV. RT-40/0980 0,43X1200MM 3,400"</f>
        <v>TELHA GALV. RT-40/0980 0,43X1200MM 3,400</v>
      </c>
      <c r="C23373" s="2" t="str">
        <f t="shared" ref="C23373:C23404" si="921">"UN"</f>
        <v>UN</v>
      </c>
      <c r="D23373" s="7">
        <v>403</v>
      </c>
      <c r="E23373" s="3">
        <v>4</v>
      </c>
      <c r="F23373" s="2">
        <v>6</v>
      </c>
      <c r="G23373" t="s">
        <v>514</v>
      </c>
    </row>
    <row r="23374" spans="1:7" x14ac:dyDescent="0.25">
      <c r="A23374" s="1" t="str">
        <f>"510256"</f>
        <v>510256</v>
      </c>
      <c r="B23374" s="2" t="str">
        <f>"TELHA GALVALUME RESINA AZ150 RT17/0980 - IMP. ABNT/NBR 14513"</f>
        <v>TELHA GALVALUME RESINA AZ150 RT17/0980 - IMP. ABNT/NBR 14513</v>
      </c>
      <c r="C23374" s="2" t="str">
        <f t="shared" si="921"/>
        <v>UN</v>
      </c>
      <c r="D23374" s="7">
        <v>917</v>
      </c>
      <c r="E23374" s="3">
        <v>11</v>
      </c>
      <c r="F23374" s="2">
        <v>9</v>
      </c>
      <c r="G23374" t="s">
        <v>514</v>
      </c>
    </row>
    <row r="23375" spans="1:7" x14ac:dyDescent="0.25">
      <c r="A23375" s="1" t="str">
        <f>"509274"</f>
        <v>509274</v>
      </c>
      <c r="B23375" s="2" t="str">
        <f>"TELHA GALVALUME RT 25X1026X0,43"</f>
        <v>TELHA GALVALUME RT 25X1026X0,43</v>
      </c>
      <c r="C23375" s="2" t="str">
        <f t="shared" si="921"/>
        <v>UN</v>
      </c>
      <c r="D23375" s="7">
        <v>403</v>
      </c>
      <c r="E23375" s="3">
        <v>4</v>
      </c>
      <c r="F23375" s="2">
        <v>5</v>
      </c>
      <c r="G23375" t="s">
        <v>513</v>
      </c>
    </row>
    <row r="23376" spans="1:7" x14ac:dyDescent="0.25">
      <c r="A23376" s="1" t="str">
        <f>"525088"</f>
        <v>525088</v>
      </c>
      <c r="B23376" s="2" t="str">
        <f>"TELHA GALVALUME TRAPEZOIDAL  RT25/1200 0,43MM"</f>
        <v>TELHA GALVALUME TRAPEZOIDAL  RT25/1200 0,43MM</v>
      </c>
      <c r="C23376" s="2" t="str">
        <f t="shared" si="921"/>
        <v>UN</v>
      </c>
      <c r="D23376" s="7">
        <v>803</v>
      </c>
      <c r="E23376" s="3">
        <v>10</v>
      </c>
      <c r="F23376" s="2">
        <v>3</v>
      </c>
      <c r="G23376" t="s">
        <v>512</v>
      </c>
    </row>
    <row r="23377" spans="1:7" x14ac:dyDescent="0.25">
      <c r="A23377" s="1" t="str">
        <f>"517307"</f>
        <v>517307</v>
      </c>
      <c r="B23377" s="2" t="str">
        <f>"TELHA OND. 1/2 X 1"" P/ CONST. CIVIL"</f>
        <v>TELHA OND. 1/2 X 1" P/ CONST. CIVIL</v>
      </c>
      <c r="C23377" s="2" t="str">
        <f t="shared" si="921"/>
        <v>UN</v>
      </c>
      <c r="D23377" s="7">
        <v>1700</v>
      </c>
      <c r="E23377" s="3">
        <v>10</v>
      </c>
      <c r="F23377" s="2">
        <v>3</v>
      </c>
      <c r="G23377" t="s">
        <v>513</v>
      </c>
    </row>
    <row r="23378" spans="1:7" x14ac:dyDescent="0.25">
      <c r="A23378" s="1" t="str">
        <f>"511888"</f>
        <v>511888</v>
      </c>
      <c r="B23378" s="2" t="str">
        <f>"TELHA ONDUL. GALVAL. RT 17X980X0,5MM"</f>
        <v>TELHA ONDUL. GALVAL. RT 17X980X0,5MM</v>
      </c>
      <c r="C23378" s="2" t="str">
        <f t="shared" si="921"/>
        <v>UN</v>
      </c>
      <c r="D23378" s="7">
        <v>803</v>
      </c>
      <c r="E23378" s="3">
        <v>10</v>
      </c>
      <c r="F23378" s="2">
        <v>2</v>
      </c>
      <c r="G23378" t="s">
        <v>514</v>
      </c>
    </row>
    <row r="23379" spans="1:7" x14ac:dyDescent="0.25">
      <c r="A23379" s="1" t="str">
        <f>"522926"</f>
        <v>522926</v>
      </c>
      <c r="B23379" s="2" t="str">
        <f>"TELHA ONDULADA GALVALUME 4500MMX1000MM #0,65MM"</f>
        <v>TELHA ONDULADA GALVALUME 4500MMX1000MM #0,65MM</v>
      </c>
      <c r="C23379" s="2" t="str">
        <f t="shared" si="921"/>
        <v>UN</v>
      </c>
      <c r="D23379" s="7">
        <v>403</v>
      </c>
      <c r="E23379" s="3">
        <v>4</v>
      </c>
      <c r="F23379" s="2">
        <v>1</v>
      </c>
      <c r="G23379" t="s">
        <v>514</v>
      </c>
    </row>
    <row r="23380" spans="1:7" x14ac:dyDescent="0.25">
      <c r="A23380" s="1" t="str">
        <f>"509272"</f>
        <v>509272</v>
      </c>
      <c r="B23380" s="2" t="str">
        <f>"TELHA ONDULADA GALVALUME 6500MMX1000MM #0,65MM"</f>
        <v>TELHA ONDULADA GALVALUME 6500MMX1000MM #0,65MM</v>
      </c>
      <c r="C23380" s="2" t="str">
        <f t="shared" si="921"/>
        <v>UN</v>
      </c>
      <c r="D23380" s="7">
        <v>403</v>
      </c>
      <c r="E23380" s="3">
        <v>4</v>
      </c>
      <c r="F23380" s="2">
        <v>4</v>
      </c>
      <c r="G23380" t="s">
        <v>514</v>
      </c>
    </row>
    <row r="23381" spans="1:7" x14ac:dyDescent="0.25">
      <c r="A23381" s="1" t="str">
        <f>"517878"</f>
        <v>517878</v>
      </c>
      <c r="B23381" s="2" t="str">
        <f>"TELHA ONDULADA GALVALUME RT17 11700MM"</f>
        <v>TELHA ONDULADA GALVALUME RT17 11700MM</v>
      </c>
      <c r="C23381" s="2" t="str">
        <f t="shared" si="921"/>
        <v>UN</v>
      </c>
      <c r="D23381" s="7">
        <v>803</v>
      </c>
      <c r="E23381" s="3">
        <v>10</v>
      </c>
      <c r="F23381" s="2">
        <v>1</v>
      </c>
      <c r="G23381" t="s">
        <v>513</v>
      </c>
    </row>
    <row r="23382" spans="1:7" x14ac:dyDescent="0.25">
      <c r="A23382" s="1" t="str">
        <f>"509616"</f>
        <v>509616</v>
      </c>
      <c r="B23382" s="2" t="str">
        <f>"TELHA ONDULADA GALVALUME RT17 2500MM"</f>
        <v>TELHA ONDULADA GALVALUME RT17 2500MM</v>
      </c>
      <c r="C23382" s="2" t="str">
        <f t="shared" si="921"/>
        <v>UN</v>
      </c>
      <c r="D23382" s="7">
        <v>803</v>
      </c>
      <c r="E23382" s="3">
        <v>10</v>
      </c>
      <c r="F23382" s="2">
        <v>2</v>
      </c>
      <c r="G23382" t="s">
        <v>513</v>
      </c>
    </row>
    <row r="23383" spans="1:7" x14ac:dyDescent="0.25">
      <c r="A23383" s="1" t="str">
        <f>"509614"</f>
        <v>509614</v>
      </c>
      <c r="B23383" s="2" t="str">
        <f>"TELHA ONDULADA GALVALUME RT17 2600MM"</f>
        <v>TELHA ONDULADA GALVALUME RT17 2600MM</v>
      </c>
      <c r="C23383" s="2" t="str">
        <f t="shared" si="921"/>
        <v>UN</v>
      </c>
      <c r="D23383" s="7">
        <v>803</v>
      </c>
      <c r="E23383" s="3">
        <v>10</v>
      </c>
      <c r="F23383" s="2">
        <v>7</v>
      </c>
      <c r="G23383" t="s">
        <v>513</v>
      </c>
    </row>
    <row r="23384" spans="1:7" x14ac:dyDescent="0.25">
      <c r="A23384" s="1" t="str">
        <f>"509615"</f>
        <v>509615</v>
      </c>
      <c r="B23384" s="2" t="str">
        <f>"TELHA ONDULADA GALVALUME RT17 3000MM"</f>
        <v>TELHA ONDULADA GALVALUME RT17 3000MM</v>
      </c>
      <c r="C23384" s="2" t="str">
        <f t="shared" si="921"/>
        <v>UN</v>
      </c>
      <c r="D23384" s="7">
        <v>803</v>
      </c>
      <c r="E23384" s="3">
        <v>10</v>
      </c>
      <c r="F23384" s="2">
        <v>9</v>
      </c>
      <c r="G23384" t="s">
        <v>512</v>
      </c>
    </row>
    <row r="23385" spans="1:7" x14ac:dyDescent="0.25">
      <c r="A23385" s="1" t="str">
        <f>"513101"</f>
        <v>513101</v>
      </c>
      <c r="B23385" s="2" t="str">
        <f>"TELHA ONDULADA GALVALUME RT17 4300MM"</f>
        <v>TELHA ONDULADA GALVALUME RT17 4300MM</v>
      </c>
      <c r="C23385" s="2" t="str">
        <f t="shared" si="921"/>
        <v>UN</v>
      </c>
      <c r="D23385" s="7">
        <v>803</v>
      </c>
      <c r="E23385" s="3">
        <v>10</v>
      </c>
      <c r="F23385" s="2">
        <v>0</v>
      </c>
      <c r="G23385" t="s">
        <v>513</v>
      </c>
    </row>
    <row r="23386" spans="1:7" x14ac:dyDescent="0.25">
      <c r="A23386" s="1" t="str">
        <f>"520560"</f>
        <v>520560</v>
      </c>
      <c r="B23386" s="2" t="str">
        <f>"TELHA ONDULADA GALVALUME RT17 5500MM"</f>
        <v>TELHA ONDULADA GALVALUME RT17 5500MM</v>
      </c>
      <c r="C23386" s="2" t="str">
        <f t="shared" si="921"/>
        <v>UN</v>
      </c>
      <c r="D23386" s="7">
        <v>803</v>
      </c>
      <c r="E23386" s="3">
        <v>10</v>
      </c>
      <c r="F23386" s="2">
        <v>0</v>
      </c>
      <c r="G23386" t="s">
        <v>514</v>
      </c>
    </row>
    <row r="23387" spans="1:7" x14ac:dyDescent="0.25">
      <c r="A23387" s="1" t="str">
        <f>"517879"</f>
        <v>517879</v>
      </c>
      <c r="B23387" s="2" t="str">
        <f>"TELHA ONDULADA GALVALUME RT17 6500MM"</f>
        <v>TELHA ONDULADA GALVALUME RT17 6500MM</v>
      </c>
      <c r="C23387" s="2" t="str">
        <f t="shared" si="921"/>
        <v>UN</v>
      </c>
      <c r="D23387" s="7">
        <v>803</v>
      </c>
      <c r="E23387" s="3">
        <v>10</v>
      </c>
      <c r="F23387" s="2">
        <v>4</v>
      </c>
      <c r="G23387" t="s">
        <v>515</v>
      </c>
    </row>
    <row r="23388" spans="1:7" x14ac:dyDescent="0.25">
      <c r="A23388" s="1" t="str">
        <f>"520532"</f>
        <v>520532</v>
      </c>
      <c r="B23388" s="2" t="str">
        <f>"TELHA ONDULADA GALVALUME RT17 7000MM"</f>
        <v>TELHA ONDULADA GALVALUME RT17 7000MM</v>
      </c>
      <c r="C23388" s="2" t="str">
        <f t="shared" si="921"/>
        <v>UN</v>
      </c>
      <c r="D23388" s="7">
        <v>803</v>
      </c>
      <c r="E23388" s="3">
        <v>10</v>
      </c>
      <c r="F23388" s="2">
        <v>1</v>
      </c>
      <c r="G23388" t="s">
        <v>512</v>
      </c>
    </row>
    <row r="23389" spans="1:7" x14ac:dyDescent="0.25">
      <c r="A23389" s="1" t="str">
        <f>"513102"</f>
        <v>513102</v>
      </c>
      <c r="B23389" s="2" t="str">
        <f>"TELHA ONDULADA GALVALUME RT17 9500MM"</f>
        <v>TELHA ONDULADA GALVALUME RT17 9500MM</v>
      </c>
      <c r="C23389" s="2" t="str">
        <f t="shared" si="921"/>
        <v>UN</v>
      </c>
      <c r="D23389" s="7">
        <v>803</v>
      </c>
      <c r="E23389" s="3">
        <v>10</v>
      </c>
      <c r="F23389" s="2">
        <v>2</v>
      </c>
      <c r="G23389" t="s">
        <v>516</v>
      </c>
    </row>
    <row r="23390" spans="1:7" x14ac:dyDescent="0.25">
      <c r="A23390" s="1" t="str">
        <f>"521908"</f>
        <v>521908</v>
      </c>
      <c r="B23390" s="2" t="str">
        <f>"TELHA ONDULADA RT 17/ 980 #0,43MM 5,80MT GALVALUME"</f>
        <v>TELHA ONDULADA RT 17/ 980 #0,43MM 5,80MT GALVALUME</v>
      </c>
      <c r="C23390" s="2" t="str">
        <f t="shared" si="921"/>
        <v>UN</v>
      </c>
      <c r="D23390" s="7">
        <v>917</v>
      </c>
      <c r="E23390" s="3">
        <v>10</v>
      </c>
      <c r="F23390" s="2">
        <v>7</v>
      </c>
      <c r="G23390" t="s">
        <v>515</v>
      </c>
    </row>
    <row r="23391" spans="1:7" x14ac:dyDescent="0.25">
      <c r="A23391" s="1" t="str">
        <f>"521907"</f>
        <v>521907</v>
      </c>
      <c r="B23391" s="2" t="str">
        <f>"TELHA ONDULADA RT 17/ 980 #0,43MM 9,90MT GALVALUME"</f>
        <v>TELHA ONDULADA RT 17/ 980 #0,43MM 9,90MT GALVALUME</v>
      </c>
      <c r="C23391" s="2" t="str">
        <f t="shared" si="921"/>
        <v>UN</v>
      </c>
      <c r="D23391" s="7">
        <v>917</v>
      </c>
      <c r="E23391" s="3">
        <v>10</v>
      </c>
      <c r="F23391" s="2">
        <v>9</v>
      </c>
      <c r="G23391" t="s">
        <v>514</v>
      </c>
    </row>
    <row r="23392" spans="1:7" x14ac:dyDescent="0.25">
      <c r="A23392" s="1" t="str">
        <f>"509604"</f>
        <v>509604</v>
      </c>
      <c r="B23392" s="2" t="str">
        <f>"TELHA ONDULADA RT17 X 12MTS # 0,8MM"</f>
        <v>TELHA ONDULADA RT17 X 12MTS # 0,8MM</v>
      </c>
      <c r="C23392" s="2" t="str">
        <f t="shared" si="921"/>
        <v>UN</v>
      </c>
      <c r="D23392" s="7">
        <v>917</v>
      </c>
      <c r="E23392" s="3">
        <v>11</v>
      </c>
      <c r="F23392" s="5">
        <v>5</v>
      </c>
      <c r="G23392" t="s">
        <v>512</v>
      </c>
    </row>
    <row r="23393" spans="1:7" x14ac:dyDescent="0.25">
      <c r="A23393" s="1" t="str">
        <f>"522788"</f>
        <v>522788</v>
      </c>
      <c r="B23393" s="2" t="str">
        <f>"TELHA ONDULADA RT17/980 #0,43 8,20MTS GALVALUME"</f>
        <v>TELHA ONDULADA RT17/980 #0,43 8,20MTS GALVALUME</v>
      </c>
      <c r="C23393" s="2" t="str">
        <f t="shared" si="921"/>
        <v>UN</v>
      </c>
      <c r="D23393" s="7">
        <v>803</v>
      </c>
      <c r="E23393" s="3">
        <v>10</v>
      </c>
      <c r="F23393" s="2">
        <v>3</v>
      </c>
      <c r="G23393" t="s">
        <v>513</v>
      </c>
    </row>
    <row r="23394" spans="1:7" x14ac:dyDescent="0.25">
      <c r="A23394" s="1" t="str">
        <f>"522789"</f>
        <v>522789</v>
      </c>
      <c r="B23394" s="2" t="str">
        <f>"TELHA ONDULADA RT17/980 #0,43 8,60MTS GALVALUME"</f>
        <v>TELHA ONDULADA RT17/980 #0,43 8,60MTS GALVALUME</v>
      </c>
      <c r="C23394" s="2" t="str">
        <f t="shared" si="921"/>
        <v>UN</v>
      </c>
      <c r="D23394" s="7">
        <v>803</v>
      </c>
      <c r="E23394" s="3">
        <v>10</v>
      </c>
      <c r="F23394" s="2">
        <v>8</v>
      </c>
      <c r="G23394" t="s">
        <v>514</v>
      </c>
    </row>
    <row r="23395" spans="1:7" x14ac:dyDescent="0.25">
      <c r="A23395" s="1" t="str">
        <f>"516256"</f>
        <v>516256</v>
      </c>
      <c r="B23395" s="2" t="str">
        <f>"TELHA ONDULADA RT17/980 GALVALUME 0,50 X 3000MM"</f>
        <v>TELHA ONDULADA RT17/980 GALVALUME 0,50 X 3000MM</v>
      </c>
      <c r="C23395" s="2" t="str">
        <f t="shared" si="921"/>
        <v>UN</v>
      </c>
      <c r="D23395" s="7">
        <v>917</v>
      </c>
      <c r="E23395" s="3">
        <v>10</v>
      </c>
      <c r="F23395" s="2">
        <v>6</v>
      </c>
      <c r="G23395" t="s">
        <v>514</v>
      </c>
    </row>
    <row r="23396" spans="1:7" x14ac:dyDescent="0.25">
      <c r="A23396" s="1" t="str">
        <f>"516255"</f>
        <v>516255</v>
      </c>
      <c r="B23396" s="2" t="str">
        <f>"TELHA ONDULADA RT17/980 GALVALUME 0,50 X 3600MM"</f>
        <v>TELHA ONDULADA RT17/980 GALVALUME 0,50 X 3600MM</v>
      </c>
      <c r="C23396" s="2" t="str">
        <f t="shared" si="921"/>
        <v>UN</v>
      </c>
      <c r="D23396" s="7">
        <v>917</v>
      </c>
      <c r="E23396" s="3">
        <v>10</v>
      </c>
      <c r="F23396" s="2">
        <v>4</v>
      </c>
      <c r="G23396" t="s">
        <v>512</v>
      </c>
    </row>
    <row r="23397" spans="1:7" x14ac:dyDescent="0.25">
      <c r="A23397" s="1" t="str">
        <f>"516257"</f>
        <v>516257</v>
      </c>
      <c r="B23397" s="2" t="str">
        <f>"TELHA ONDULADA RT17/980 GALVALUME 0,50 X 4000MM"</f>
        <v>TELHA ONDULADA RT17/980 GALVALUME 0,50 X 4000MM</v>
      </c>
      <c r="C23397" s="2" t="str">
        <f t="shared" si="921"/>
        <v>UN</v>
      </c>
      <c r="D23397" s="7">
        <v>917</v>
      </c>
      <c r="E23397" s="3">
        <v>10</v>
      </c>
      <c r="F23397" s="2">
        <v>1</v>
      </c>
      <c r="G23397" t="s">
        <v>513</v>
      </c>
    </row>
    <row r="23398" spans="1:7" x14ac:dyDescent="0.25">
      <c r="A23398" s="1" t="str">
        <f>"516258"</f>
        <v>516258</v>
      </c>
      <c r="B23398" s="2" t="str">
        <f>"TELHA ONDULADA RT17/980 GALVALUME 0,50 X 5200MM"</f>
        <v>TELHA ONDULADA RT17/980 GALVALUME 0,50 X 5200MM</v>
      </c>
      <c r="C23398" s="2" t="str">
        <f t="shared" si="921"/>
        <v>UN</v>
      </c>
      <c r="D23398" s="7">
        <v>917</v>
      </c>
      <c r="E23398" s="3">
        <v>10</v>
      </c>
      <c r="F23398" s="2">
        <v>2</v>
      </c>
      <c r="G23398" t="s">
        <v>514</v>
      </c>
    </row>
    <row r="23399" spans="1:7" x14ac:dyDescent="0.25">
      <c r="A23399" s="1" t="str">
        <f>"514757"</f>
        <v>514757</v>
      </c>
      <c r="B23399" s="2" t="str">
        <f>"TELHA PORTUGUESA"</f>
        <v>TELHA PORTUGUESA</v>
      </c>
      <c r="C23399" s="2" t="str">
        <f t="shared" si="921"/>
        <v>UN</v>
      </c>
      <c r="D23399" s="7">
        <v>803</v>
      </c>
      <c r="E23399" s="3">
        <v>10</v>
      </c>
      <c r="F23399" s="2">
        <v>7</v>
      </c>
      <c r="G23399" t="s">
        <v>514</v>
      </c>
    </row>
    <row r="23400" spans="1:7" x14ac:dyDescent="0.25">
      <c r="A23400" s="1" t="str">
        <f>"510448"</f>
        <v>510448</v>
      </c>
      <c r="B23400" s="2" t="str">
        <f>"TELHA PRE-PINTADA AZUL DEL REY RT15"</f>
        <v>TELHA PRE-PINTADA AZUL DEL REY RT15</v>
      </c>
      <c r="C23400" s="2" t="str">
        <f t="shared" si="921"/>
        <v>UN</v>
      </c>
      <c r="D23400" s="7">
        <v>917</v>
      </c>
      <c r="E23400" s="3">
        <v>11</v>
      </c>
      <c r="F23400" s="2">
        <v>9</v>
      </c>
      <c r="G23400" t="s">
        <v>514</v>
      </c>
    </row>
    <row r="23401" spans="1:7" x14ac:dyDescent="0.25">
      <c r="A23401" s="1" t="str">
        <f>"511904"</f>
        <v>511904</v>
      </c>
      <c r="B23401" s="2" t="str">
        <f>"TELHA PRE-PINTADA RT10/1090 0,50X3200MM"</f>
        <v>TELHA PRE-PINTADA RT10/1090 0,50X3200MM</v>
      </c>
      <c r="C23401" s="2" t="str">
        <f t="shared" si="921"/>
        <v>UN</v>
      </c>
      <c r="D23401" s="7">
        <v>803</v>
      </c>
      <c r="E23401" s="3">
        <v>10</v>
      </c>
      <c r="F23401" s="2">
        <v>0</v>
      </c>
      <c r="G23401" t="s">
        <v>513</v>
      </c>
    </row>
    <row r="23402" spans="1:7" x14ac:dyDescent="0.25">
      <c r="A23402" s="1" t="str">
        <f>"511907"</f>
        <v>511907</v>
      </c>
      <c r="B23402" s="2" t="str">
        <f>"TELHA PRE-PINTADA RT25/1026"</f>
        <v>TELHA PRE-PINTADA RT25/1026</v>
      </c>
      <c r="C23402" s="2" t="str">
        <f t="shared" si="921"/>
        <v>UN</v>
      </c>
      <c r="D23402" s="7">
        <v>803</v>
      </c>
      <c r="E23402" s="3">
        <v>10</v>
      </c>
      <c r="F23402" s="2">
        <v>0</v>
      </c>
      <c r="G23402" t="s">
        <v>512</v>
      </c>
    </row>
    <row r="23403" spans="1:7" x14ac:dyDescent="0.25">
      <c r="A23403" s="1" t="str">
        <f>"510257"</f>
        <v>510257</v>
      </c>
      <c r="B23403" s="2" t="str">
        <f>"TELHA PRE-PINTADA TRAP RT10/1090 AZUL RA"</f>
        <v>TELHA PRE-PINTADA TRAP RT10/1090 AZUL RA</v>
      </c>
      <c r="C23403" s="2" t="str">
        <f t="shared" si="921"/>
        <v>UN</v>
      </c>
      <c r="D23403" s="7">
        <v>917</v>
      </c>
      <c r="E23403" s="3">
        <v>11</v>
      </c>
      <c r="F23403" s="2">
        <v>2</v>
      </c>
      <c r="G23403" t="s">
        <v>513</v>
      </c>
    </row>
    <row r="23404" spans="1:7" x14ac:dyDescent="0.25">
      <c r="A23404" s="1" t="str">
        <f>"521968"</f>
        <v>521968</v>
      </c>
      <c r="B23404" s="2" t="str">
        <f>"TELHA RT 100/952 #0,50MM 10,35MT GALVALUME"</f>
        <v>TELHA RT 100/952 #0,50MM 10,35MT GALVALUME</v>
      </c>
      <c r="C23404" s="2" t="str">
        <f t="shared" si="921"/>
        <v>UN</v>
      </c>
      <c r="D23404" s="7">
        <v>917</v>
      </c>
      <c r="E23404" s="3">
        <v>10</v>
      </c>
      <c r="F23404" s="2">
        <v>5</v>
      </c>
      <c r="G23404" t="s">
        <v>514</v>
      </c>
    </row>
    <row r="23405" spans="1:7" x14ac:dyDescent="0.25">
      <c r="A23405" s="1" t="str">
        <f>"517470"</f>
        <v>517470</v>
      </c>
      <c r="B23405" s="2" t="str">
        <f>"TELHA RT10 BRANCA 3600MM"</f>
        <v>TELHA RT10 BRANCA 3600MM</v>
      </c>
      <c r="C23405" s="2" t="str">
        <f t="shared" ref="C23405:C23436" si="922">"UN"</f>
        <v>UN</v>
      </c>
      <c r="D23405" s="7">
        <v>917</v>
      </c>
      <c r="E23405" s="3">
        <v>10</v>
      </c>
      <c r="F23405" s="2">
        <v>6</v>
      </c>
      <c r="G23405" t="s">
        <v>514</v>
      </c>
    </row>
    <row r="23406" spans="1:7" x14ac:dyDescent="0.25">
      <c r="A23406" s="1" t="str">
        <f>"516351"</f>
        <v>516351</v>
      </c>
      <c r="B23406" s="2" t="str">
        <f>"TELHA RT-10/1090 GALVALUME 0,50 X 1200MM"</f>
        <v>TELHA RT-10/1090 GALVALUME 0,50 X 1200MM</v>
      </c>
      <c r="C23406" s="2" t="str">
        <f t="shared" si="922"/>
        <v>UN</v>
      </c>
      <c r="D23406" s="7">
        <v>917</v>
      </c>
      <c r="E23406" s="3">
        <v>10</v>
      </c>
      <c r="F23406" s="2">
        <v>9</v>
      </c>
      <c r="G23406" t="s">
        <v>514</v>
      </c>
    </row>
    <row r="23407" spans="1:7" x14ac:dyDescent="0.25">
      <c r="A23407" s="1" t="str">
        <f>"517718"</f>
        <v>517718</v>
      </c>
      <c r="B23407" s="2" t="str">
        <f>"TELHA RT-10/1090 GALVALUME 0,50 X 1500MM"</f>
        <v>TELHA RT-10/1090 GALVALUME 0,50 X 1500MM</v>
      </c>
      <c r="C23407" s="2" t="str">
        <f t="shared" si="922"/>
        <v>UN</v>
      </c>
      <c r="D23407" s="7">
        <v>917</v>
      </c>
      <c r="E23407" s="3">
        <v>10</v>
      </c>
      <c r="F23407" s="2">
        <v>5</v>
      </c>
      <c r="G23407" t="s">
        <v>513</v>
      </c>
    </row>
    <row r="23408" spans="1:7" x14ac:dyDescent="0.25">
      <c r="A23408" s="1" t="str">
        <f>"516261"</f>
        <v>516261</v>
      </c>
      <c r="B23408" s="2" t="str">
        <f>"TELHA RT-10/1090 GALVALUME 0,50 X 2100MM"</f>
        <v>TELHA RT-10/1090 GALVALUME 0,50 X 2100MM</v>
      </c>
      <c r="C23408" s="2" t="str">
        <f t="shared" si="922"/>
        <v>UN</v>
      </c>
      <c r="D23408" s="7">
        <v>917</v>
      </c>
      <c r="E23408" s="3">
        <v>10</v>
      </c>
      <c r="F23408" s="2">
        <v>3</v>
      </c>
      <c r="G23408" t="s">
        <v>513</v>
      </c>
    </row>
    <row r="23409" spans="1:7" x14ac:dyDescent="0.25">
      <c r="A23409" s="1" t="str">
        <f>"516323"</f>
        <v>516323</v>
      </c>
      <c r="B23409" s="2" t="str">
        <f>"TELHA RT-10/1090 GALVALUME 0,50 X 3000MM"</f>
        <v>TELHA RT-10/1090 GALVALUME 0,50 X 3000MM</v>
      </c>
      <c r="C23409" s="2" t="str">
        <f t="shared" si="922"/>
        <v>UN</v>
      </c>
      <c r="D23409" s="7">
        <v>917</v>
      </c>
      <c r="E23409" s="3">
        <v>10</v>
      </c>
      <c r="F23409" s="2">
        <v>3</v>
      </c>
      <c r="G23409" t="s">
        <v>513</v>
      </c>
    </row>
    <row r="23410" spans="1:7" x14ac:dyDescent="0.25">
      <c r="A23410" s="1" t="str">
        <f>"516318"</f>
        <v>516318</v>
      </c>
      <c r="B23410" s="2" t="str">
        <f>"TELHA RT-10/1090 GALVALUME 0,50 X 3200MM"</f>
        <v>TELHA RT-10/1090 GALVALUME 0,50 X 3200MM</v>
      </c>
      <c r="C23410" s="2" t="str">
        <f t="shared" si="922"/>
        <v>UN</v>
      </c>
      <c r="D23410" s="7">
        <v>917</v>
      </c>
      <c r="E23410" s="3">
        <v>10</v>
      </c>
      <c r="F23410" s="2">
        <v>2</v>
      </c>
      <c r="G23410" t="s">
        <v>512</v>
      </c>
    </row>
    <row r="23411" spans="1:7" x14ac:dyDescent="0.25">
      <c r="A23411" s="1" t="str">
        <f>"516319"</f>
        <v>516319</v>
      </c>
      <c r="B23411" s="2" t="str">
        <f>"TELHA RT-10/1090 GALVALUME 0,50 X 3600MM"</f>
        <v>TELHA RT-10/1090 GALVALUME 0,50 X 3600MM</v>
      </c>
      <c r="C23411" s="2" t="str">
        <f t="shared" si="922"/>
        <v>UN</v>
      </c>
      <c r="D23411" s="7">
        <v>917</v>
      </c>
      <c r="E23411" s="3">
        <v>10</v>
      </c>
      <c r="F23411" s="2">
        <v>1</v>
      </c>
      <c r="G23411" t="s">
        <v>513</v>
      </c>
    </row>
    <row r="23412" spans="1:7" x14ac:dyDescent="0.25">
      <c r="A23412" s="1" t="str">
        <f>"516260"</f>
        <v>516260</v>
      </c>
      <c r="B23412" s="2" t="str">
        <f>"TELHA RT-10/1090 GALVALUME 0,50 X 3700MM"</f>
        <v>TELHA RT-10/1090 GALVALUME 0,50 X 3700MM</v>
      </c>
      <c r="C23412" s="2" t="str">
        <f t="shared" si="922"/>
        <v>UN</v>
      </c>
      <c r="D23412" s="7">
        <v>917</v>
      </c>
      <c r="E23412" s="3">
        <v>10</v>
      </c>
      <c r="F23412" s="2">
        <v>4</v>
      </c>
      <c r="G23412" t="s">
        <v>514</v>
      </c>
    </row>
    <row r="23413" spans="1:7" x14ac:dyDescent="0.25">
      <c r="A23413" s="1" t="str">
        <f>"518729"</f>
        <v>518729</v>
      </c>
      <c r="B23413" s="2" t="str">
        <f>"TELHA RT-10/1090 GALVALUME 0,50 X 4000MM"</f>
        <v>TELHA RT-10/1090 GALVALUME 0,50 X 4000MM</v>
      </c>
      <c r="C23413" s="2" t="str">
        <f t="shared" si="922"/>
        <v>UN</v>
      </c>
      <c r="D23413" s="7">
        <v>917</v>
      </c>
      <c r="E23413" s="3">
        <v>10</v>
      </c>
      <c r="F23413" s="2">
        <v>6</v>
      </c>
      <c r="G23413" t="s">
        <v>515</v>
      </c>
    </row>
    <row r="23414" spans="1:7" x14ac:dyDescent="0.25">
      <c r="A23414" s="1" t="str">
        <f>"518730"</f>
        <v>518730</v>
      </c>
      <c r="B23414" s="2" t="str">
        <f>"TELHA RT-10/1090 GALVALUME 0,50 X 4600MM"</f>
        <v>TELHA RT-10/1090 GALVALUME 0,50 X 4600MM</v>
      </c>
      <c r="C23414" s="2" t="str">
        <f t="shared" si="922"/>
        <v>UN</v>
      </c>
      <c r="D23414" s="7">
        <v>917</v>
      </c>
      <c r="E23414" s="3">
        <v>10</v>
      </c>
      <c r="F23414" s="2">
        <v>8</v>
      </c>
      <c r="G23414" t="s">
        <v>512</v>
      </c>
    </row>
    <row r="23415" spans="1:7" x14ac:dyDescent="0.25">
      <c r="A23415" s="1" t="str">
        <f>"517717"</f>
        <v>517717</v>
      </c>
      <c r="B23415" s="2" t="str">
        <f>"TELHA RT-10/1090 GALVALUME 0,50 X 5000MM"</f>
        <v>TELHA RT-10/1090 GALVALUME 0,50 X 5000MM</v>
      </c>
      <c r="C23415" s="2" t="str">
        <f t="shared" si="922"/>
        <v>UN</v>
      </c>
      <c r="D23415" s="7">
        <v>917</v>
      </c>
      <c r="E23415" s="3">
        <v>10</v>
      </c>
      <c r="F23415" s="2">
        <v>7</v>
      </c>
      <c r="G23415" t="s">
        <v>516</v>
      </c>
    </row>
    <row r="23416" spans="1:7" x14ac:dyDescent="0.25">
      <c r="A23416" s="1" t="str">
        <f>"516320"</f>
        <v>516320</v>
      </c>
      <c r="B23416" s="2" t="str">
        <f>"TELHA RT-10/1090 GALVALUME 0,50 X 5600MM"</f>
        <v>TELHA RT-10/1090 GALVALUME 0,50 X 5600MM</v>
      </c>
      <c r="C23416" s="2" t="str">
        <f t="shared" si="922"/>
        <v>UN</v>
      </c>
      <c r="D23416" s="7">
        <v>917</v>
      </c>
      <c r="E23416" s="3">
        <v>10</v>
      </c>
      <c r="F23416" s="2">
        <v>6</v>
      </c>
      <c r="G23416" t="s">
        <v>515</v>
      </c>
    </row>
    <row r="23417" spans="1:7" x14ac:dyDescent="0.25">
      <c r="A23417" s="1" t="str">
        <f>"516317"</f>
        <v>516317</v>
      </c>
      <c r="B23417" s="2" t="str">
        <f>"TELHA RT-10/1090 GALVALUME 0,50 X 6000MM"</f>
        <v>TELHA RT-10/1090 GALVALUME 0,50 X 6000MM</v>
      </c>
      <c r="C23417" s="2" t="str">
        <f t="shared" si="922"/>
        <v>UN</v>
      </c>
      <c r="D23417" s="7">
        <v>917</v>
      </c>
      <c r="E23417" s="3">
        <v>10</v>
      </c>
      <c r="F23417" s="2">
        <v>6</v>
      </c>
      <c r="G23417" t="s">
        <v>514</v>
      </c>
    </row>
    <row r="23418" spans="1:7" x14ac:dyDescent="0.25">
      <c r="A23418" s="1" t="str">
        <f>"517716"</f>
        <v>517716</v>
      </c>
      <c r="B23418" s="2" t="str">
        <f>"TELHA RT-10/1090 GALVALUME 0,50 X 7000MM"</f>
        <v>TELHA RT-10/1090 GALVALUME 0,50 X 7000MM</v>
      </c>
      <c r="C23418" s="2" t="str">
        <f t="shared" si="922"/>
        <v>UN</v>
      </c>
      <c r="D23418" s="7">
        <v>917</v>
      </c>
      <c r="E23418" s="3">
        <v>10</v>
      </c>
      <c r="F23418" s="2">
        <v>2</v>
      </c>
      <c r="G23418" t="s">
        <v>512</v>
      </c>
    </row>
    <row r="23419" spans="1:7" x14ac:dyDescent="0.25">
      <c r="A23419" s="1" t="str">
        <f>"516259"</f>
        <v>516259</v>
      </c>
      <c r="B23419" s="2" t="str">
        <f>"TELHA RT-10/1090 PINT. EXT. AZUL RAL INT. BRANCO 0,50X5000MM"</f>
        <v>TELHA RT-10/1090 PINT. EXT. AZUL RAL INT. BRANCO 0,50X5000MM</v>
      </c>
      <c r="C23419" s="2" t="str">
        <f t="shared" si="922"/>
        <v>UN</v>
      </c>
      <c r="D23419" s="7">
        <v>917</v>
      </c>
      <c r="E23419" s="3">
        <v>10</v>
      </c>
      <c r="F23419" s="2">
        <v>1</v>
      </c>
      <c r="G23419" t="s">
        <v>513</v>
      </c>
    </row>
    <row r="23420" spans="1:7" x14ac:dyDescent="0.25">
      <c r="A23420" s="1" t="str">
        <f>"516266"</f>
        <v>516266</v>
      </c>
      <c r="B23420" s="2" t="str">
        <f>"TELHA RT-10/1090 PINT. EXT. BRANCO RAL INT. CINZA 0,50X3000M"</f>
        <v>TELHA RT-10/1090 PINT. EXT. BRANCO RAL INT. CINZA 0,50X3000M</v>
      </c>
      <c r="C23420" s="2" t="str">
        <f t="shared" si="922"/>
        <v>UN</v>
      </c>
      <c r="D23420" s="7">
        <v>917</v>
      </c>
      <c r="E23420" s="3">
        <v>10</v>
      </c>
      <c r="F23420" s="2">
        <v>0</v>
      </c>
      <c r="G23420" t="s">
        <v>514</v>
      </c>
    </row>
    <row r="23421" spans="1:7" x14ac:dyDescent="0.25">
      <c r="A23421" s="1" t="str">
        <f>"502762"</f>
        <v>502762</v>
      </c>
      <c r="B23421" s="2" t="str">
        <f>"TELHA RT17/980 GALVONIZADA 0,43MM -3 MTS"</f>
        <v>TELHA RT17/980 GALVONIZADA 0,43MM -3 MTS</v>
      </c>
      <c r="C23421" s="2" t="str">
        <f t="shared" si="922"/>
        <v>UN</v>
      </c>
      <c r="D23421" s="7">
        <v>403</v>
      </c>
      <c r="E23421" s="3">
        <v>4</v>
      </c>
      <c r="F23421" s="2">
        <v>0</v>
      </c>
      <c r="G23421" t="s">
        <v>514</v>
      </c>
    </row>
    <row r="23422" spans="1:7" x14ac:dyDescent="0.25">
      <c r="A23422" s="1" t="str">
        <f>"502763"</f>
        <v>502763</v>
      </c>
      <c r="B23422" s="2" t="str">
        <f>"TELHA RT17/980 GALVONIZADA 0,43MM -6 MTS"</f>
        <v>TELHA RT17/980 GALVONIZADA 0,43MM -6 MTS</v>
      </c>
      <c r="C23422" s="2" t="str">
        <f t="shared" si="922"/>
        <v>UN</v>
      </c>
      <c r="D23422" s="7">
        <v>403</v>
      </c>
      <c r="E23422" s="3">
        <v>4</v>
      </c>
      <c r="F23422" s="2">
        <v>0</v>
      </c>
      <c r="G23422" t="s">
        <v>512</v>
      </c>
    </row>
    <row r="23423" spans="1:7" x14ac:dyDescent="0.25">
      <c r="A23423" s="1" t="str">
        <f>"509726"</f>
        <v>509726</v>
      </c>
      <c r="B23423" s="2" t="str">
        <f>"TELHA RT-25 AZUL DEL REY 0,50 X 5000MM"</f>
        <v>TELHA RT-25 AZUL DEL REY 0,50 X 5000MM</v>
      </c>
      <c r="C23423" s="2" t="str">
        <f t="shared" si="922"/>
        <v>UN</v>
      </c>
      <c r="D23423" s="7">
        <v>917</v>
      </c>
      <c r="E23423" s="3">
        <v>11</v>
      </c>
      <c r="F23423" s="2">
        <v>3</v>
      </c>
      <c r="G23423" t="s">
        <v>513</v>
      </c>
    </row>
    <row r="23424" spans="1:7" x14ac:dyDescent="0.25">
      <c r="A23424" s="1" t="str">
        <f>"512771"</f>
        <v>512771</v>
      </c>
      <c r="B23424" s="2" t="str">
        <f>"TELHA RT25 AZUL DEL REY 10000MM"</f>
        <v>TELHA RT25 AZUL DEL REY 10000MM</v>
      </c>
      <c r="C23424" s="2" t="str">
        <f t="shared" si="922"/>
        <v>UN</v>
      </c>
      <c r="D23424" s="7">
        <v>803</v>
      </c>
      <c r="E23424" s="3">
        <v>10</v>
      </c>
      <c r="F23424" s="5">
        <v>5</v>
      </c>
      <c r="G23424" t="s">
        <v>514</v>
      </c>
    </row>
    <row r="23425" spans="1:7" x14ac:dyDescent="0.25">
      <c r="A23425" s="1" t="str">
        <f>"519295"</f>
        <v>519295</v>
      </c>
      <c r="B23425" s="2" t="str">
        <f>"TELHA RT25 AZUL DEL REY 11000MM"</f>
        <v>TELHA RT25 AZUL DEL REY 11000MM</v>
      </c>
      <c r="C23425" s="2" t="str">
        <f t="shared" si="922"/>
        <v>UN</v>
      </c>
      <c r="D23425" s="7">
        <v>803</v>
      </c>
      <c r="E23425" s="3">
        <v>10</v>
      </c>
      <c r="F23425" s="2">
        <v>3</v>
      </c>
      <c r="G23425" t="s">
        <v>514</v>
      </c>
    </row>
    <row r="23426" spans="1:7" x14ac:dyDescent="0.25">
      <c r="A23426" s="1" t="str">
        <f>"512772"</f>
        <v>512772</v>
      </c>
      <c r="B23426" s="2" t="str">
        <f>"TELHA RT25 AZUL DEL REY 12000MM"</f>
        <v>TELHA RT25 AZUL DEL REY 12000MM</v>
      </c>
      <c r="C23426" s="2" t="str">
        <f t="shared" si="922"/>
        <v>UN</v>
      </c>
      <c r="D23426" s="7">
        <v>803</v>
      </c>
      <c r="E23426" s="3">
        <v>10</v>
      </c>
      <c r="F23426" s="2">
        <v>8</v>
      </c>
      <c r="G23426" t="s">
        <v>514</v>
      </c>
    </row>
    <row r="23427" spans="1:7" x14ac:dyDescent="0.25">
      <c r="A23427" s="1" t="str">
        <f>"517881"</f>
        <v>517881</v>
      </c>
      <c r="B23427" s="2" t="str">
        <f>"TELHA RT25 AZUL DEL REY 1900MM"</f>
        <v>TELHA RT25 AZUL DEL REY 1900MM</v>
      </c>
      <c r="C23427" s="2" t="str">
        <f t="shared" si="922"/>
        <v>UN</v>
      </c>
      <c r="D23427" s="7">
        <v>803</v>
      </c>
      <c r="E23427" s="3">
        <v>10</v>
      </c>
      <c r="F23427" s="2">
        <v>6</v>
      </c>
      <c r="G23427" t="s">
        <v>513</v>
      </c>
    </row>
    <row r="23428" spans="1:7" x14ac:dyDescent="0.25">
      <c r="A23428" s="1" t="str">
        <f>"519075"</f>
        <v>519075</v>
      </c>
      <c r="B23428" s="2" t="str">
        <f>"TELHA RT25 AZUL DEL REY 2300MM"</f>
        <v>TELHA RT25 AZUL DEL REY 2300MM</v>
      </c>
      <c r="C23428" s="2" t="str">
        <f t="shared" si="922"/>
        <v>UN</v>
      </c>
      <c r="D23428" s="7">
        <v>803</v>
      </c>
      <c r="E23428" s="3">
        <v>10</v>
      </c>
      <c r="F23428" s="2">
        <v>4</v>
      </c>
      <c r="G23428" t="s">
        <v>512</v>
      </c>
    </row>
    <row r="23429" spans="1:7" x14ac:dyDescent="0.25">
      <c r="A23429" s="1" t="str">
        <f>"518584"</f>
        <v>518584</v>
      </c>
      <c r="B23429" s="2" t="str">
        <f>"TELHA RT25 AZUL DEL REY 2500MM"</f>
        <v>TELHA RT25 AZUL DEL REY 2500MM</v>
      </c>
      <c r="C23429" s="2" t="str">
        <f t="shared" si="922"/>
        <v>UN</v>
      </c>
      <c r="D23429" s="7">
        <v>803</v>
      </c>
      <c r="E23429" s="3">
        <v>10</v>
      </c>
      <c r="F23429" s="2">
        <v>1</v>
      </c>
      <c r="G23429" t="s">
        <v>513</v>
      </c>
    </row>
    <row r="23430" spans="1:7" x14ac:dyDescent="0.25">
      <c r="A23430" s="1" t="str">
        <f>"517880"</f>
        <v>517880</v>
      </c>
      <c r="B23430" s="2" t="str">
        <f>"TELHA RT25 AZUL DEL REY 2700MM"</f>
        <v>TELHA RT25 AZUL DEL REY 2700MM</v>
      </c>
      <c r="C23430" s="2" t="str">
        <f t="shared" si="922"/>
        <v>UN</v>
      </c>
      <c r="D23430" s="7">
        <v>803</v>
      </c>
      <c r="E23430" s="3">
        <v>10</v>
      </c>
      <c r="F23430" s="2">
        <v>2</v>
      </c>
      <c r="G23430" t="s">
        <v>514</v>
      </c>
    </row>
    <row r="23431" spans="1:7" x14ac:dyDescent="0.25">
      <c r="A23431" s="1" t="str">
        <f>"519074"</f>
        <v>519074</v>
      </c>
      <c r="B23431" s="2" t="str">
        <f>"TELHA RT25 AZUL DEL REY 3000MM"</f>
        <v>TELHA RT25 AZUL DEL REY 3000MM</v>
      </c>
      <c r="C23431" s="2" t="str">
        <f t="shared" si="922"/>
        <v>UN</v>
      </c>
      <c r="D23431" s="7">
        <v>803</v>
      </c>
      <c r="E23431" s="3">
        <v>10</v>
      </c>
      <c r="F23431" s="2">
        <v>7</v>
      </c>
      <c r="G23431" t="s">
        <v>514</v>
      </c>
    </row>
    <row r="23432" spans="1:7" x14ac:dyDescent="0.25">
      <c r="A23432" s="1" t="str">
        <f>"517877"</f>
        <v>517877</v>
      </c>
      <c r="B23432" s="2" t="str">
        <f>"TELHA RT25 AZUL DEL REY 3800MM"</f>
        <v>TELHA RT25 AZUL DEL REY 3800MM</v>
      </c>
      <c r="C23432" s="2" t="str">
        <f t="shared" si="922"/>
        <v>UN</v>
      </c>
      <c r="D23432" s="7">
        <v>1700</v>
      </c>
      <c r="E23432" s="3">
        <v>10</v>
      </c>
      <c r="F23432" s="2">
        <v>9</v>
      </c>
      <c r="G23432" t="s">
        <v>514</v>
      </c>
    </row>
    <row r="23433" spans="1:7" x14ac:dyDescent="0.25">
      <c r="A23433" s="1" t="str">
        <f>"523633"</f>
        <v>523633</v>
      </c>
      <c r="B23433" s="2" t="str">
        <f>"TELHA RT25 AZUL DEL REY 4000MM"</f>
        <v>TELHA RT25 AZUL DEL REY 4000MM</v>
      </c>
      <c r="C23433" s="2" t="str">
        <f t="shared" si="922"/>
        <v>UN</v>
      </c>
      <c r="D23433" s="7">
        <v>803</v>
      </c>
      <c r="E23433" s="3">
        <v>10</v>
      </c>
      <c r="F23433" s="2">
        <v>0</v>
      </c>
      <c r="G23433" t="s">
        <v>513</v>
      </c>
    </row>
    <row r="23434" spans="1:7" x14ac:dyDescent="0.25">
      <c r="A23434" s="1" t="str">
        <f>"523632"</f>
        <v>523632</v>
      </c>
      <c r="B23434" s="2" t="str">
        <f>"TELHA RT25 AZUL DEL REY 6000MM"</f>
        <v>TELHA RT25 AZUL DEL REY 6000MM</v>
      </c>
      <c r="C23434" s="2" t="str">
        <f t="shared" si="922"/>
        <v>UN</v>
      </c>
      <c r="D23434" s="7">
        <v>803</v>
      </c>
      <c r="E23434" s="3">
        <v>10</v>
      </c>
      <c r="F23434" s="2">
        <v>0</v>
      </c>
      <c r="G23434" t="s">
        <v>513</v>
      </c>
    </row>
    <row r="23435" spans="1:7" x14ac:dyDescent="0.25">
      <c r="A23435" s="1" t="str">
        <f>"519073"</f>
        <v>519073</v>
      </c>
      <c r="B23435" s="2" t="str">
        <f>"TELHA RT25 AZUL DEL REY 9000MM"</f>
        <v>TELHA RT25 AZUL DEL REY 9000MM</v>
      </c>
      <c r="C23435" s="2" t="str">
        <f t="shared" si="922"/>
        <v>UN</v>
      </c>
      <c r="D23435" s="7">
        <v>803</v>
      </c>
      <c r="E23435" s="3">
        <v>10</v>
      </c>
      <c r="F23435" s="2">
        <v>2</v>
      </c>
      <c r="G23435" t="s">
        <v>513</v>
      </c>
    </row>
    <row r="23436" spans="1:7" x14ac:dyDescent="0.25">
      <c r="A23436" s="1" t="str">
        <f>"519389"</f>
        <v>519389</v>
      </c>
      <c r="B23436" s="2" t="str">
        <f>"TELHA RT25 GALVALUME 4200MM"</f>
        <v>TELHA RT25 GALVALUME 4200MM</v>
      </c>
      <c r="C23436" s="2" t="str">
        <f t="shared" si="922"/>
        <v>UN</v>
      </c>
      <c r="D23436" s="7">
        <v>803</v>
      </c>
      <c r="E23436" s="3">
        <v>10</v>
      </c>
      <c r="F23436" s="2">
        <v>5</v>
      </c>
      <c r="G23436" t="s">
        <v>512</v>
      </c>
    </row>
    <row r="23437" spans="1:7" x14ac:dyDescent="0.25">
      <c r="A23437" s="1" t="str">
        <f>"517471"</f>
        <v>517471</v>
      </c>
      <c r="B23437" s="2" t="str">
        <f>"TELHA RT25 ONDULADA GALVALUME 2000MM"</f>
        <v>TELHA RT25 ONDULADA GALVALUME 2000MM</v>
      </c>
      <c r="C23437" s="2" t="str">
        <f t="shared" ref="C23437:C23468" si="923">"UN"</f>
        <v>UN</v>
      </c>
      <c r="D23437" s="7">
        <v>917</v>
      </c>
      <c r="E23437" s="3">
        <v>10</v>
      </c>
      <c r="F23437" s="2">
        <v>6</v>
      </c>
      <c r="G23437" t="s">
        <v>513</v>
      </c>
    </row>
    <row r="23438" spans="1:7" x14ac:dyDescent="0.25">
      <c r="A23438" s="1" t="str">
        <f>"501434"</f>
        <v>501434</v>
      </c>
      <c r="B23438" s="2" t="str">
        <f>"TELHA RT25/1026  GALVANIZADA 0,65MM 3.5"</f>
        <v>TELHA RT25/1026  GALVANIZADA 0,65MM 3.5</v>
      </c>
      <c r="C23438" s="2" t="str">
        <f t="shared" si="923"/>
        <v>UN</v>
      </c>
      <c r="D23438" s="7">
        <v>403</v>
      </c>
      <c r="E23438" s="3">
        <v>4</v>
      </c>
      <c r="F23438" s="2">
        <v>9</v>
      </c>
      <c r="G23438" t="s">
        <v>514</v>
      </c>
    </row>
    <row r="23439" spans="1:7" x14ac:dyDescent="0.25">
      <c r="A23439" s="1" t="str">
        <f>"502597"</f>
        <v>502597</v>
      </c>
      <c r="B23439" s="2" t="str">
        <f>"TELHA RT25/1026 TRANSL INCOLOR 1,00MM"</f>
        <v>TELHA RT25/1026 TRANSL INCOLOR 1,00MM</v>
      </c>
      <c r="C23439" s="2" t="str">
        <f t="shared" si="923"/>
        <v>UN</v>
      </c>
      <c r="D23439" s="7">
        <v>403</v>
      </c>
      <c r="E23439" s="3">
        <v>4</v>
      </c>
      <c r="F23439" s="2">
        <v>5</v>
      </c>
      <c r="G23439" t="s">
        <v>515</v>
      </c>
    </row>
    <row r="23440" spans="1:7" x14ac:dyDescent="0.25">
      <c r="A23440" s="1" t="str">
        <f>"502596"</f>
        <v>502596</v>
      </c>
      <c r="B23440" s="2" t="str">
        <f>"TELHA RT25/1026 TRANSL LEITOSA 1,00MM 6 METROS"</f>
        <v>TELHA RT25/1026 TRANSL LEITOSA 1,00MM 6 METROS</v>
      </c>
      <c r="C23440" s="2" t="str">
        <f t="shared" si="923"/>
        <v>UN</v>
      </c>
      <c r="D23440" s="7">
        <v>403</v>
      </c>
      <c r="E23440" s="3">
        <v>4</v>
      </c>
      <c r="F23440" s="2">
        <v>3</v>
      </c>
      <c r="G23440" t="s">
        <v>512</v>
      </c>
    </row>
    <row r="23441" spans="1:7" x14ac:dyDescent="0.25">
      <c r="A23441" s="1" t="str">
        <f>"516394"</f>
        <v>516394</v>
      </c>
      <c r="B23441" s="2" t="str">
        <f>"TELHA RT-40/0980 GALVALUME NATURAL RT 0,50 X 2300MM"</f>
        <v>TELHA RT-40/0980 GALVALUME NATURAL RT 0,50 X 2300MM</v>
      </c>
      <c r="C23441" s="2" t="str">
        <f t="shared" si="923"/>
        <v>UN</v>
      </c>
      <c r="D23441" s="7">
        <v>1700</v>
      </c>
      <c r="E23441" s="3">
        <v>10</v>
      </c>
      <c r="F23441" s="2">
        <v>3</v>
      </c>
      <c r="G23441" t="s">
        <v>516</v>
      </c>
    </row>
    <row r="23442" spans="1:7" x14ac:dyDescent="0.25">
      <c r="A23442" s="1" t="str">
        <f>"516393"</f>
        <v>516393</v>
      </c>
      <c r="B23442" s="2" t="str">
        <f>"TELHA RT-40/0980 GALVALUME NATURAL RT 0,50 X 4000MM"</f>
        <v>TELHA RT-40/0980 GALVALUME NATURAL RT 0,50 X 4000MM</v>
      </c>
      <c r="C23442" s="2" t="str">
        <f t="shared" si="923"/>
        <v>UN</v>
      </c>
      <c r="D23442" s="7">
        <v>1700</v>
      </c>
      <c r="E23442" s="3">
        <v>10</v>
      </c>
      <c r="F23442" s="2">
        <v>2</v>
      </c>
      <c r="G23442" t="s">
        <v>515</v>
      </c>
    </row>
    <row r="23443" spans="1:7" x14ac:dyDescent="0.25">
      <c r="A23443" s="1" t="str">
        <f>"516395"</f>
        <v>516395</v>
      </c>
      <c r="B23443" s="2" t="str">
        <f>"TELHA RT-40/0980 GALVALUME NATURAL RT 0,50 X 4800MM"</f>
        <v>TELHA RT-40/0980 GALVALUME NATURAL RT 0,50 X 4800MM</v>
      </c>
      <c r="C23443" s="2" t="str">
        <f t="shared" si="923"/>
        <v>UN</v>
      </c>
      <c r="D23443" s="7">
        <v>1700</v>
      </c>
      <c r="E23443" s="3">
        <v>10</v>
      </c>
      <c r="F23443" s="2">
        <v>1</v>
      </c>
      <c r="G23443" t="s">
        <v>514</v>
      </c>
    </row>
    <row r="23444" spans="1:7" x14ac:dyDescent="0.25">
      <c r="A23444" s="1" t="str">
        <f>"516392"</f>
        <v>516392</v>
      </c>
      <c r="B23444" s="2" t="str">
        <f>"TELHA RT-40/0980 GALVALUME NATURAL RT 0,50 X 7000MM"</f>
        <v>TELHA RT-40/0980 GALVALUME NATURAL RT 0,50 X 7000MM</v>
      </c>
      <c r="C23444" s="2" t="str">
        <f t="shared" si="923"/>
        <v>UN</v>
      </c>
      <c r="D23444" s="7">
        <v>1700</v>
      </c>
      <c r="E23444" s="3">
        <v>10</v>
      </c>
      <c r="F23444" s="2">
        <v>4</v>
      </c>
      <c r="G23444" t="s">
        <v>512</v>
      </c>
    </row>
    <row r="23445" spans="1:7" x14ac:dyDescent="0.25">
      <c r="A23445" s="1" t="str">
        <f>"516396"</f>
        <v>516396</v>
      </c>
      <c r="B23445" s="2" t="str">
        <f>"TELHA RT-40/0980 GALVALUME NATURAL RT 0,50 X 9200MM"</f>
        <v>TELHA RT-40/0980 GALVALUME NATURAL RT 0,50 X 9200MM</v>
      </c>
      <c r="C23445" s="2" t="str">
        <f t="shared" si="923"/>
        <v>UN</v>
      </c>
      <c r="D23445" s="7">
        <v>1700</v>
      </c>
      <c r="E23445" s="3">
        <v>10</v>
      </c>
      <c r="F23445" s="2">
        <v>1</v>
      </c>
      <c r="G23445" t="s">
        <v>513</v>
      </c>
    </row>
    <row r="23446" spans="1:7" x14ac:dyDescent="0.25">
      <c r="A23446" s="1" t="str">
        <f>"518792"</f>
        <v>518792</v>
      </c>
      <c r="B23446" s="2" t="str">
        <f>"TELHA RT40/1026 TRANSL INCOLOR 1,50MM"</f>
        <v>TELHA RT40/1026 TRANSL INCOLOR 1,50MM</v>
      </c>
      <c r="C23446" s="2" t="str">
        <f t="shared" si="923"/>
        <v>UN</v>
      </c>
      <c r="D23446" s="7">
        <v>403</v>
      </c>
      <c r="E23446" s="3">
        <v>4</v>
      </c>
      <c r="F23446" s="2">
        <v>2</v>
      </c>
      <c r="G23446" t="s">
        <v>514</v>
      </c>
    </row>
    <row r="23447" spans="1:7" x14ac:dyDescent="0.25">
      <c r="A23447" s="1" t="str">
        <f>"519121"</f>
        <v>519121</v>
      </c>
      <c r="B23447" s="2" t="str">
        <f>"TELHA RT-40/1090 PINT. EXT. AZUL RAL INT. CINZA 0,50X1400MM"</f>
        <v>TELHA RT-40/1090 PINT. EXT. AZUL RAL INT. CINZA 0,50X1400MM</v>
      </c>
      <c r="C23447" s="2" t="str">
        <f t="shared" si="923"/>
        <v>UN</v>
      </c>
      <c r="D23447" s="7">
        <v>917</v>
      </c>
      <c r="E23447" s="3">
        <v>10</v>
      </c>
      <c r="F23447" s="2">
        <v>7</v>
      </c>
      <c r="G23447" t="s">
        <v>514</v>
      </c>
    </row>
    <row r="23448" spans="1:7" x14ac:dyDescent="0.25">
      <c r="A23448" s="1" t="str">
        <f>"516265"</f>
        <v>516265</v>
      </c>
      <c r="B23448" s="2" t="str">
        <f>"TELHA RT-40/1090 PINT. EXT. AZUL RAL INT. CINZA 0,50X1700MM"</f>
        <v>TELHA RT-40/1090 PINT. EXT. AZUL RAL INT. CINZA 0,50X1700MM</v>
      </c>
      <c r="C23448" s="2" t="str">
        <f t="shared" si="923"/>
        <v>UN</v>
      </c>
      <c r="D23448" s="7">
        <v>917</v>
      </c>
      <c r="E23448" s="3">
        <v>10</v>
      </c>
      <c r="F23448" s="2">
        <v>9</v>
      </c>
      <c r="G23448" t="s">
        <v>512</v>
      </c>
    </row>
    <row r="23449" spans="1:7" x14ac:dyDescent="0.25">
      <c r="A23449" s="1" t="str">
        <f>"516262"</f>
        <v>516262</v>
      </c>
      <c r="B23449" s="2" t="str">
        <f>"TELHA RT-40/1090 PINT. EXT. AZUL RAL INT. CINZA 0,50X1900MM"</f>
        <v>TELHA RT-40/1090 PINT. EXT. AZUL RAL INT. CINZA 0,50X1900MM</v>
      </c>
      <c r="C23449" s="2" t="str">
        <f t="shared" si="923"/>
        <v>UN</v>
      </c>
      <c r="D23449" s="7">
        <v>917</v>
      </c>
      <c r="E23449" s="3">
        <v>10</v>
      </c>
      <c r="F23449" s="2">
        <v>0</v>
      </c>
      <c r="G23449" t="s">
        <v>513</v>
      </c>
    </row>
    <row r="23450" spans="1:7" x14ac:dyDescent="0.25">
      <c r="A23450" s="1" t="str">
        <f>"516264"</f>
        <v>516264</v>
      </c>
      <c r="B23450" s="2" t="str">
        <f>"TELHA RT-40/1090 PINT. EXT. AZUL RAL INT. CINZA 0,50X3400MM"</f>
        <v>TELHA RT-40/1090 PINT. EXT. AZUL RAL INT. CINZA 0,50X3400MM</v>
      </c>
      <c r="C23450" s="2" t="str">
        <f t="shared" si="923"/>
        <v>UN</v>
      </c>
      <c r="D23450" s="7">
        <v>917</v>
      </c>
      <c r="E23450" s="3">
        <v>10</v>
      </c>
      <c r="F23450" s="2">
        <v>0</v>
      </c>
      <c r="G23450" t="s">
        <v>514</v>
      </c>
    </row>
    <row r="23451" spans="1:7" x14ac:dyDescent="0.25">
      <c r="A23451" s="1" t="str">
        <f>"516263"</f>
        <v>516263</v>
      </c>
      <c r="B23451" s="2" t="str">
        <f>"TELHA RT-40/1090 PINT. EXT. AZUL RAL INT. CINZA 0,50X4000MM"</f>
        <v>TELHA RT-40/1090 PINT. EXT. AZUL RAL INT. CINZA 0,50X4000MM</v>
      </c>
      <c r="C23451" s="2" t="str">
        <f t="shared" si="923"/>
        <v>UN</v>
      </c>
      <c r="D23451" s="7">
        <v>917</v>
      </c>
      <c r="E23451" s="3">
        <v>10</v>
      </c>
      <c r="F23451" s="2">
        <v>4</v>
      </c>
      <c r="G23451" t="s">
        <v>514</v>
      </c>
    </row>
    <row r="23452" spans="1:7" x14ac:dyDescent="0.25">
      <c r="A23452" s="1" t="str">
        <f>"518585"</f>
        <v>518585</v>
      </c>
      <c r="B23452" s="2" t="str">
        <f>"TELHA RT-40/1090 PINT. EXT/INT BRANCO RAL 2100MM"</f>
        <v>TELHA RT-40/1090 PINT. EXT/INT BRANCO RAL 2100MM</v>
      </c>
      <c r="C23452" s="2" t="str">
        <f t="shared" si="923"/>
        <v>UN</v>
      </c>
      <c r="D23452" s="7">
        <v>917</v>
      </c>
      <c r="E23452" s="3">
        <v>10</v>
      </c>
      <c r="F23452" s="2">
        <v>1</v>
      </c>
      <c r="G23452" t="s">
        <v>514</v>
      </c>
    </row>
    <row r="23453" spans="1:7" x14ac:dyDescent="0.25">
      <c r="A23453" s="1" t="str">
        <f>"518588"</f>
        <v>518588</v>
      </c>
      <c r="B23453" s="2" t="str">
        <f>"TELHA RT-40/1090 PINT. EXT/INT BRANCO RAL 3200MM"</f>
        <v>TELHA RT-40/1090 PINT. EXT/INT BRANCO RAL 3200MM</v>
      </c>
      <c r="C23453" s="2" t="str">
        <f t="shared" si="923"/>
        <v>UN</v>
      </c>
      <c r="D23453" s="7">
        <v>917</v>
      </c>
      <c r="E23453" s="3">
        <v>10</v>
      </c>
      <c r="F23453" s="2">
        <v>2</v>
      </c>
      <c r="G23453" t="s">
        <v>513</v>
      </c>
    </row>
    <row r="23454" spans="1:7" x14ac:dyDescent="0.25">
      <c r="A23454" s="1" t="str">
        <f>"518586"</f>
        <v>518586</v>
      </c>
      <c r="B23454" s="2" t="str">
        <f>"TELHA RT-40/1090 PINT. EXT/INT BRANCO RAL 3500MM"</f>
        <v>TELHA RT-40/1090 PINT. EXT/INT BRANCO RAL 3500MM</v>
      </c>
      <c r="C23454" s="2" t="str">
        <f t="shared" si="923"/>
        <v>UN</v>
      </c>
      <c r="D23454" s="7">
        <v>917</v>
      </c>
      <c r="E23454" s="3">
        <v>10</v>
      </c>
      <c r="F23454" s="2">
        <v>7</v>
      </c>
      <c r="G23454" t="s">
        <v>512</v>
      </c>
    </row>
    <row r="23455" spans="1:7" x14ac:dyDescent="0.25">
      <c r="A23455" s="1" t="str">
        <f>"518587"</f>
        <v>518587</v>
      </c>
      <c r="B23455" s="2" t="str">
        <f>"TELHA RT-40/1090 PINT. EXT/INT BRANCO RAL 4500MM"</f>
        <v>TELHA RT-40/1090 PINT. EXT/INT BRANCO RAL 4500MM</v>
      </c>
      <c r="C23455" s="2" t="str">
        <f t="shared" si="923"/>
        <v>UN</v>
      </c>
      <c r="D23455" s="7">
        <v>917</v>
      </c>
      <c r="E23455" s="3">
        <v>10</v>
      </c>
      <c r="F23455" s="2">
        <v>9</v>
      </c>
      <c r="G23455" t="s">
        <v>513</v>
      </c>
    </row>
    <row r="23456" spans="1:7" x14ac:dyDescent="0.25">
      <c r="A23456" s="1" t="str">
        <f>"506947"</f>
        <v>506947</v>
      </c>
      <c r="B23456" s="2" t="str">
        <f>"TELHA RT40X0,50 3,60MT BRANCO/BRANCO"</f>
        <v>TELHA RT40X0,50 3,60MT BRANCO/BRANCO</v>
      </c>
      <c r="C23456" s="2" t="str">
        <f t="shared" si="923"/>
        <v>UN</v>
      </c>
      <c r="D23456" s="7">
        <v>803</v>
      </c>
      <c r="E23456" s="3">
        <v>10</v>
      </c>
      <c r="F23456" s="5">
        <v>5</v>
      </c>
      <c r="G23456" t="s">
        <v>514</v>
      </c>
    </row>
    <row r="23457" spans="1:7" x14ac:dyDescent="0.25">
      <c r="A23457" s="1" t="str">
        <f>"517998"</f>
        <v>517998</v>
      </c>
      <c r="B23457" s="2" t="str">
        <f>"TELHA RT45 BRANCA INT/EXT 2500MM"</f>
        <v>TELHA RT45 BRANCA INT/EXT 2500MM</v>
      </c>
      <c r="C23457" s="2" t="str">
        <f t="shared" si="923"/>
        <v>UN</v>
      </c>
      <c r="D23457" s="7">
        <v>1700</v>
      </c>
      <c r="E23457" s="3">
        <v>10</v>
      </c>
      <c r="F23457" s="2">
        <v>3</v>
      </c>
      <c r="G23457" t="s">
        <v>514</v>
      </c>
    </row>
    <row r="23458" spans="1:7" x14ac:dyDescent="0.25">
      <c r="A23458" s="1" t="str">
        <f>"518002"</f>
        <v>518002</v>
      </c>
      <c r="B23458" s="2" t="str">
        <f>"TELHA RT45 BRANCA INT/EXT 3500MM"</f>
        <v>TELHA RT45 BRANCA INT/EXT 3500MM</v>
      </c>
      <c r="C23458" s="2" t="str">
        <f t="shared" si="923"/>
        <v>UN</v>
      </c>
      <c r="D23458" s="7">
        <v>1700</v>
      </c>
      <c r="E23458" s="3">
        <v>10</v>
      </c>
      <c r="F23458" s="2">
        <v>8</v>
      </c>
      <c r="G23458" t="s">
        <v>514</v>
      </c>
    </row>
    <row r="23459" spans="1:7" x14ac:dyDescent="0.25">
      <c r="A23459" s="1" t="str">
        <f>"518001"</f>
        <v>518001</v>
      </c>
      <c r="B23459" s="2" t="str">
        <f>"TELHA RT45 BRANCA INT/EXT 4900MM"</f>
        <v>TELHA RT45 BRANCA INT/EXT 4900MM</v>
      </c>
      <c r="C23459" s="2" t="str">
        <f t="shared" si="923"/>
        <v>UN</v>
      </c>
      <c r="D23459" s="7">
        <v>1700</v>
      </c>
      <c r="E23459" s="3">
        <v>10</v>
      </c>
      <c r="F23459" s="2">
        <v>6</v>
      </c>
      <c r="G23459" t="s">
        <v>513</v>
      </c>
    </row>
    <row r="23460" spans="1:7" x14ac:dyDescent="0.25">
      <c r="A23460" s="1" t="str">
        <f>"517999"</f>
        <v>517999</v>
      </c>
      <c r="B23460" s="2" t="str">
        <f>"TELHA RT45 BRANCA INT/EXT 5600MM"</f>
        <v>TELHA RT45 BRANCA INT/EXT 5600MM</v>
      </c>
      <c r="C23460" s="2" t="str">
        <f t="shared" si="923"/>
        <v>UN</v>
      </c>
      <c r="D23460" s="7">
        <v>1700</v>
      </c>
      <c r="E23460" s="3">
        <v>10</v>
      </c>
      <c r="F23460" s="2">
        <v>4</v>
      </c>
      <c r="G23460" t="s">
        <v>513</v>
      </c>
    </row>
    <row r="23461" spans="1:7" x14ac:dyDescent="0.25">
      <c r="A23461" s="1" t="str">
        <f>"518000"</f>
        <v>518000</v>
      </c>
      <c r="B23461" s="2" t="str">
        <f>"TELHA RT45 BRANCA INT/EXT 6660MM"</f>
        <v>TELHA RT45 BRANCA INT/EXT 6660MM</v>
      </c>
      <c r="C23461" s="2" t="str">
        <f t="shared" si="923"/>
        <v>UN</v>
      </c>
      <c r="D23461" s="7">
        <v>1700</v>
      </c>
      <c r="E23461" s="3">
        <v>10</v>
      </c>
      <c r="F23461" s="2">
        <v>1</v>
      </c>
      <c r="G23461" t="s">
        <v>513</v>
      </c>
    </row>
    <row r="23462" spans="1:7" x14ac:dyDescent="0.25">
      <c r="A23462" s="1" t="str">
        <f>"527902"</f>
        <v>527902</v>
      </c>
      <c r="B23462" s="2" t="str">
        <f>"TELHA TPN 40 TRAPEZIO GALVALUME"</f>
        <v>TELHA TPN 40 TRAPEZIO GALVALUME</v>
      </c>
      <c r="C23462" s="2" t="str">
        <f t="shared" si="923"/>
        <v>UN</v>
      </c>
      <c r="D23462" s="7">
        <v>806</v>
      </c>
      <c r="E23462" s="3">
        <v>10</v>
      </c>
      <c r="F23462" s="2">
        <v>2</v>
      </c>
      <c r="G23462" t="s">
        <v>512</v>
      </c>
    </row>
    <row r="23463" spans="1:7" x14ac:dyDescent="0.25">
      <c r="A23463" s="1" t="str">
        <f>"512774"</f>
        <v>512774</v>
      </c>
      <c r="B23463" s="2" t="str">
        <f>"TELHA TRANSLUCIDA INCOLOR RT 40/1200 1,5MM 6000MM"</f>
        <v>TELHA TRANSLUCIDA INCOLOR RT 40/1200 1,5MM 6000MM</v>
      </c>
      <c r="C23463" s="2" t="str">
        <f t="shared" si="923"/>
        <v>UN</v>
      </c>
      <c r="D23463" s="7">
        <v>917</v>
      </c>
      <c r="E23463" s="3">
        <v>11</v>
      </c>
      <c r="F23463" s="2">
        <v>7</v>
      </c>
      <c r="G23463" t="s">
        <v>513</v>
      </c>
    </row>
    <row r="23464" spans="1:7" x14ac:dyDescent="0.25">
      <c r="A23464" s="1" t="str">
        <f>"510258"</f>
        <v>510258</v>
      </c>
      <c r="B23464" s="2" t="str">
        <f>"TELHA TRANSLUCIDA LEITOSA RT 40/0980"</f>
        <v>TELHA TRANSLUCIDA LEITOSA RT 40/0980</v>
      </c>
      <c r="C23464" s="2" t="str">
        <f t="shared" si="923"/>
        <v>UN</v>
      </c>
      <c r="D23464" s="7">
        <v>917</v>
      </c>
      <c r="E23464" s="3">
        <v>11</v>
      </c>
      <c r="F23464" s="2">
        <v>9</v>
      </c>
      <c r="G23464" t="s">
        <v>514</v>
      </c>
    </row>
    <row r="23465" spans="1:7" x14ac:dyDescent="0.25">
      <c r="A23465" s="1" t="str">
        <f>"500265"</f>
        <v>500265</v>
      </c>
      <c r="B23465" s="2" t="str">
        <f>"TELHA TRANSPARENTE 2,44 X 0,50"</f>
        <v>TELHA TRANSPARENTE 2,44 X 0,50</v>
      </c>
      <c r="C23465" s="2" t="str">
        <f t="shared" si="923"/>
        <v>UN</v>
      </c>
      <c r="D23465" s="7">
        <v>403</v>
      </c>
      <c r="E23465" s="3">
        <v>4</v>
      </c>
      <c r="F23465" s="2">
        <v>0</v>
      </c>
      <c r="G23465" t="s">
        <v>515</v>
      </c>
    </row>
    <row r="23466" spans="1:7" x14ac:dyDescent="0.25">
      <c r="A23466" s="1" t="str">
        <f>"518794"</f>
        <v>518794</v>
      </c>
      <c r="B23466" s="2" t="str">
        <f>"TELHA TRANSPARENTE 2,44 X 110 X 6MM"</f>
        <v>TELHA TRANSPARENTE 2,44 X 110 X 6MM</v>
      </c>
      <c r="C23466" s="2" t="str">
        <f t="shared" si="923"/>
        <v>UN</v>
      </c>
      <c r="D23466" s="7">
        <v>403</v>
      </c>
      <c r="E23466" s="3">
        <v>4</v>
      </c>
      <c r="F23466" s="2">
        <v>0</v>
      </c>
      <c r="G23466" t="s">
        <v>512</v>
      </c>
    </row>
    <row r="23467" spans="1:7" x14ac:dyDescent="0.25">
      <c r="A23467" s="1" t="str">
        <f>"509273"</f>
        <v>509273</v>
      </c>
      <c r="B23467" s="2" t="str">
        <f>"TELHA TRAP AZUL DEL REY RT 10X1090X0,43"</f>
        <v>TELHA TRAP AZUL DEL REY RT 10X1090X0,43</v>
      </c>
      <c r="C23467" s="2" t="str">
        <f t="shared" si="923"/>
        <v>UN</v>
      </c>
      <c r="D23467" s="7">
        <v>403</v>
      </c>
      <c r="E23467" s="3">
        <v>4</v>
      </c>
      <c r="F23467" s="2">
        <v>2</v>
      </c>
      <c r="G23467" t="s">
        <v>516</v>
      </c>
    </row>
    <row r="23468" spans="1:7" x14ac:dyDescent="0.25">
      <c r="A23468" s="1" t="str">
        <f>"509271"</f>
        <v>509271</v>
      </c>
      <c r="B23468" s="2" t="str">
        <f>"TELHA TRAP AZUL DEL REY RT 25X1026X0,43"</f>
        <v>TELHA TRAP AZUL DEL REY RT 25X1026X0,43</v>
      </c>
      <c r="C23468" s="2" t="str">
        <f t="shared" si="923"/>
        <v>UN</v>
      </c>
      <c r="D23468" s="7">
        <v>403</v>
      </c>
      <c r="E23468" s="3">
        <v>4</v>
      </c>
      <c r="F23468" s="2">
        <v>5</v>
      </c>
      <c r="G23468" t="s">
        <v>515</v>
      </c>
    </row>
    <row r="23469" spans="1:7" x14ac:dyDescent="0.25">
      <c r="A23469" s="1" t="str">
        <f>"509605"</f>
        <v>509605</v>
      </c>
      <c r="B23469" s="2" t="str">
        <f>"TELHA TRAP GALVALUME RT 40X980X0,43"</f>
        <v>TELHA TRAP GALVALUME RT 40X980X0,43</v>
      </c>
      <c r="C23469" s="2" t="str">
        <f t="shared" ref="C23469:C23500" si="924">"UN"</f>
        <v>UN</v>
      </c>
      <c r="D23469" s="7">
        <v>917</v>
      </c>
      <c r="E23469" s="3">
        <v>11</v>
      </c>
      <c r="F23469" s="2">
        <v>6</v>
      </c>
      <c r="G23469" t="s">
        <v>514</v>
      </c>
    </row>
    <row r="23470" spans="1:7" x14ac:dyDescent="0.25">
      <c r="A23470" s="1" t="str">
        <f>"509602"</f>
        <v>509602</v>
      </c>
      <c r="B23470" s="2" t="str">
        <f>"TELHA TRAP GALVALUME RT10X1090X0,43"</f>
        <v>TELHA TRAP GALVALUME RT10X1090X0,43</v>
      </c>
      <c r="C23470" s="2" t="str">
        <f t="shared" si="924"/>
        <v>UN</v>
      </c>
      <c r="D23470" s="7">
        <v>917</v>
      </c>
      <c r="E23470" s="3">
        <v>11</v>
      </c>
      <c r="F23470" s="2">
        <v>9</v>
      </c>
      <c r="G23470" t="s">
        <v>512</v>
      </c>
    </row>
    <row r="23471" spans="1:7" x14ac:dyDescent="0.25">
      <c r="A23471" s="1" t="str">
        <f>"509601"</f>
        <v>509601</v>
      </c>
      <c r="B23471" s="2" t="str">
        <f>"TELHA TRAP GALVALUME RT25X1026X0,43"</f>
        <v>TELHA TRAP GALVALUME RT25X1026X0,43</v>
      </c>
      <c r="C23471" s="2" t="str">
        <f t="shared" si="924"/>
        <v>UN</v>
      </c>
      <c r="D23471" s="7">
        <v>917</v>
      </c>
      <c r="E23471" s="3">
        <v>11</v>
      </c>
      <c r="F23471" s="2">
        <v>5</v>
      </c>
      <c r="G23471" t="s">
        <v>513</v>
      </c>
    </row>
    <row r="23472" spans="1:7" x14ac:dyDescent="0.25">
      <c r="A23472" s="1" t="str">
        <f>"509603"</f>
        <v>509603</v>
      </c>
      <c r="B23472" s="2" t="str">
        <f>"TELHA TRAP PRE-PINTADA AZUL DEL REY 5010"</f>
        <v>TELHA TRAP PRE-PINTADA AZUL DEL REY 5010</v>
      </c>
      <c r="C23472" s="2" t="str">
        <f t="shared" si="924"/>
        <v>UN</v>
      </c>
      <c r="D23472" s="7">
        <v>917</v>
      </c>
      <c r="E23472" s="3">
        <v>11</v>
      </c>
      <c r="F23472" s="2">
        <v>3</v>
      </c>
      <c r="G23472" t="s">
        <v>514</v>
      </c>
    </row>
    <row r="23473" spans="1:7" x14ac:dyDescent="0.25">
      <c r="A23473" s="1" t="str">
        <f>"509617"</f>
        <v>509617</v>
      </c>
      <c r="B23473" s="2" t="str">
        <f>"TELHA TRAPEZIO AZUL DEL REY RT25 12MTS"</f>
        <v>TELHA TRAPEZIO AZUL DEL REY RT25 12MTS</v>
      </c>
      <c r="C23473" s="2" t="str">
        <f t="shared" si="924"/>
        <v>UN</v>
      </c>
      <c r="D23473" s="7">
        <v>803</v>
      </c>
      <c r="E23473" s="3">
        <v>10</v>
      </c>
      <c r="F23473" s="2">
        <v>3</v>
      </c>
      <c r="G23473" t="s">
        <v>514</v>
      </c>
    </row>
    <row r="23474" spans="1:7" x14ac:dyDescent="0.25">
      <c r="A23474" s="1" t="str">
        <f>"509618"</f>
        <v>509618</v>
      </c>
      <c r="B23474" s="2" t="str">
        <f>"TELHA TRAPEZIO AZUL DEL REY RT25 2600MM"</f>
        <v>TELHA TRAPEZIO AZUL DEL REY RT25 2600MM</v>
      </c>
      <c r="C23474" s="2" t="str">
        <f t="shared" si="924"/>
        <v>UN</v>
      </c>
      <c r="D23474" s="7">
        <v>803</v>
      </c>
      <c r="E23474" s="3">
        <v>10</v>
      </c>
      <c r="F23474" s="2">
        <v>2</v>
      </c>
      <c r="G23474" t="s">
        <v>512</v>
      </c>
    </row>
    <row r="23475" spans="1:7" x14ac:dyDescent="0.25">
      <c r="A23475" s="1" t="str">
        <f>"511889"</f>
        <v>511889</v>
      </c>
      <c r="B23475" s="2" t="str">
        <f>"TELHA TRAPEZIO PRE PINT. AZUL RT 25X1026"</f>
        <v>TELHA TRAPEZIO PRE PINT. AZUL RT 25X1026</v>
      </c>
      <c r="C23475" s="2" t="str">
        <f t="shared" si="924"/>
        <v>UN</v>
      </c>
      <c r="D23475" s="7">
        <v>803</v>
      </c>
      <c r="E23475" s="3">
        <v>10</v>
      </c>
      <c r="F23475" s="2">
        <v>1</v>
      </c>
      <c r="G23475" t="s">
        <v>513</v>
      </c>
    </row>
    <row r="23476" spans="1:7" x14ac:dyDescent="0.25">
      <c r="A23476" s="1" t="str">
        <f>"521925"</f>
        <v>521925</v>
      </c>
      <c r="B23476" s="8" t="s">
        <v>264</v>
      </c>
      <c r="C23476" s="2" t="str">
        <f t="shared" si="924"/>
        <v>UN</v>
      </c>
      <c r="D23476" s="7">
        <v>917</v>
      </c>
      <c r="E23476" s="3">
        <v>10</v>
      </c>
      <c r="F23476" s="2">
        <v>4</v>
      </c>
      <c r="G23476" t="s">
        <v>514</v>
      </c>
    </row>
    <row r="23477" spans="1:7" x14ac:dyDescent="0.25">
      <c r="A23477" s="1" t="str">
        <f>"521914"</f>
        <v>521914</v>
      </c>
      <c r="B23477" s="8" t="s">
        <v>254</v>
      </c>
      <c r="C23477" s="2" t="str">
        <f t="shared" si="924"/>
        <v>UN</v>
      </c>
      <c r="D23477" s="7">
        <v>917</v>
      </c>
      <c r="E23477" s="3">
        <v>10</v>
      </c>
      <c r="F23477" s="2">
        <v>6</v>
      </c>
      <c r="G23477" t="s">
        <v>514</v>
      </c>
    </row>
    <row r="23478" spans="1:7" x14ac:dyDescent="0.25">
      <c r="A23478" s="1" t="str">
        <f>"521913"</f>
        <v>521913</v>
      </c>
      <c r="B23478" s="8" t="s">
        <v>253</v>
      </c>
      <c r="C23478" s="2" t="str">
        <f t="shared" si="924"/>
        <v>UN</v>
      </c>
      <c r="D23478" s="7">
        <v>917</v>
      </c>
      <c r="E23478" s="3">
        <v>10</v>
      </c>
      <c r="F23478" s="2">
        <v>8</v>
      </c>
      <c r="G23478" t="s">
        <v>514</v>
      </c>
    </row>
    <row r="23479" spans="1:7" x14ac:dyDescent="0.25">
      <c r="A23479" s="1" t="str">
        <f>"521912"</f>
        <v>521912</v>
      </c>
      <c r="B23479" s="8" t="s">
        <v>252</v>
      </c>
      <c r="C23479" s="2" t="str">
        <f t="shared" si="924"/>
        <v>UN</v>
      </c>
      <c r="D23479" s="7">
        <v>917</v>
      </c>
      <c r="E23479" s="3">
        <v>10</v>
      </c>
      <c r="F23479" s="2">
        <v>7</v>
      </c>
      <c r="G23479" t="s">
        <v>513</v>
      </c>
    </row>
    <row r="23480" spans="1:7" x14ac:dyDescent="0.25">
      <c r="A23480" s="1" t="str">
        <f>"521911"</f>
        <v>521911</v>
      </c>
      <c r="B23480" s="8" t="s">
        <v>251</v>
      </c>
      <c r="C23480" s="2" t="str">
        <f t="shared" si="924"/>
        <v>UN</v>
      </c>
      <c r="D23480" s="7">
        <v>917</v>
      </c>
      <c r="E23480" s="3">
        <v>10</v>
      </c>
      <c r="F23480" s="2">
        <v>6</v>
      </c>
      <c r="G23480" t="s">
        <v>512</v>
      </c>
    </row>
    <row r="23481" spans="1:7" x14ac:dyDescent="0.25">
      <c r="A23481" s="1" t="str">
        <f>"521910"</f>
        <v>521910</v>
      </c>
      <c r="B23481" s="8" t="s">
        <v>250</v>
      </c>
      <c r="C23481" s="2" t="str">
        <f t="shared" si="924"/>
        <v>UN</v>
      </c>
      <c r="D23481" s="7">
        <v>917</v>
      </c>
      <c r="E23481" s="3">
        <v>10</v>
      </c>
      <c r="F23481" s="2">
        <v>6</v>
      </c>
      <c r="G23481" t="s">
        <v>513</v>
      </c>
    </row>
    <row r="23482" spans="1:7" x14ac:dyDescent="0.25">
      <c r="A23482" s="1" t="str">
        <f>"521927"</f>
        <v>521927</v>
      </c>
      <c r="B23482" s="8" t="s">
        <v>266</v>
      </c>
      <c r="C23482" s="2" t="str">
        <f t="shared" si="924"/>
        <v>UN</v>
      </c>
      <c r="D23482" s="7">
        <v>917</v>
      </c>
      <c r="E23482" s="3">
        <v>10</v>
      </c>
      <c r="F23482" s="2">
        <v>2</v>
      </c>
      <c r="G23482" t="s">
        <v>514</v>
      </c>
    </row>
    <row r="23483" spans="1:7" x14ac:dyDescent="0.25">
      <c r="A23483" s="1" t="str">
        <f>"521929"</f>
        <v>521929</v>
      </c>
      <c r="B23483" s="2" t="str">
        <f>"TELHA TRAPEZIO RT 40/980 #0,43MM 10,00MT GALVALUME"</f>
        <v>TELHA TRAPEZIO RT 40/980 #0,43MM 10,00MT GALVALUME</v>
      </c>
      <c r="C23483" s="2" t="str">
        <f t="shared" si="924"/>
        <v>UN</v>
      </c>
      <c r="D23483" s="7">
        <v>917</v>
      </c>
      <c r="E23483" s="3">
        <v>10</v>
      </c>
      <c r="F23483" s="2">
        <v>1</v>
      </c>
      <c r="G23483" t="s">
        <v>514</v>
      </c>
    </row>
    <row r="23484" spans="1:7" x14ac:dyDescent="0.25">
      <c r="A23484" s="1" t="str">
        <f>"521909"</f>
        <v>521909</v>
      </c>
      <c r="B23484" s="8" t="s">
        <v>249</v>
      </c>
      <c r="C23484" s="2" t="str">
        <f t="shared" si="924"/>
        <v>UN</v>
      </c>
      <c r="D23484" s="7">
        <v>917</v>
      </c>
      <c r="E23484" s="3">
        <v>10</v>
      </c>
      <c r="F23484" s="2">
        <v>0</v>
      </c>
      <c r="G23484" t="s">
        <v>514</v>
      </c>
    </row>
    <row r="23485" spans="1:7" x14ac:dyDescent="0.25">
      <c r="A23485" s="1" t="str">
        <f>"521915"</f>
        <v>521915</v>
      </c>
      <c r="B23485" s="8" t="s">
        <v>255</v>
      </c>
      <c r="C23485" s="2" t="str">
        <f t="shared" si="924"/>
        <v>UN</v>
      </c>
      <c r="D23485" s="7">
        <v>917</v>
      </c>
      <c r="E23485" s="3">
        <v>10</v>
      </c>
      <c r="F23485" s="2">
        <v>0</v>
      </c>
      <c r="G23485" t="s">
        <v>513</v>
      </c>
    </row>
    <row r="23486" spans="1:7" x14ac:dyDescent="0.25">
      <c r="A23486" s="1" t="str">
        <f>"521916"</f>
        <v>521916</v>
      </c>
      <c r="B23486" s="8" t="s">
        <v>256</v>
      </c>
      <c r="C23486" s="2" t="str">
        <f t="shared" si="924"/>
        <v>UN</v>
      </c>
      <c r="D23486" s="7">
        <v>917</v>
      </c>
      <c r="E23486" s="3">
        <v>10</v>
      </c>
      <c r="F23486" s="2">
        <v>0</v>
      </c>
      <c r="G23486" t="s">
        <v>513</v>
      </c>
    </row>
    <row r="23487" spans="1:7" x14ac:dyDescent="0.25">
      <c r="A23487" s="1" t="str">
        <f>"521917"</f>
        <v>521917</v>
      </c>
      <c r="B23487" s="8" t="s">
        <v>257</v>
      </c>
      <c r="C23487" s="2" t="str">
        <f t="shared" si="924"/>
        <v>UN</v>
      </c>
      <c r="D23487" s="7">
        <v>917</v>
      </c>
      <c r="E23487" s="3">
        <v>10</v>
      </c>
      <c r="F23487" s="2">
        <v>3</v>
      </c>
      <c r="G23487" t="s">
        <v>513</v>
      </c>
    </row>
    <row r="23488" spans="1:7" x14ac:dyDescent="0.25">
      <c r="A23488" s="1" t="str">
        <f>"521918"</f>
        <v>521918</v>
      </c>
      <c r="B23488" s="8" t="s">
        <v>258</v>
      </c>
      <c r="C23488" s="2" t="str">
        <f t="shared" si="924"/>
        <v>UN</v>
      </c>
      <c r="D23488" s="7">
        <v>917</v>
      </c>
      <c r="E23488" s="3">
        <v>10</v>
      </c>
      <c r="F23488" s="5">
        <v>5</v>
      </c>
      <c r="G23488" t="s">
        <v>512</v>
      </c>
    </row>
    <row r="23489" spans="1:7" x14ac:dyDescent="0.25">
      <c r="A23489" s="1" t="str">
        <f>"521928"</f>
        <v>521928</v>
      </c>
      <c r="B23489" s="8" t="s">
        <v>267</v>
      </c>
      <c r="C23489" s="2" t="str">
        <f t="shared" si="924"/>
        <v>UN</v>
      </c>
      <c r="D23489" s="7">
        <v>917</v>
      </c>
      <c r="E23489" s="3">
        <v>10</v>
      </c>
      <c r="F23489" s="2">
        <v>3</v>
      </c>
      <c r="G23489" t="s">
        <v>513</v>
      </c>
    </row>
    <row r="23490" spans="1:7" x14ac:dyDescent="0.25">
      <c r="A23490" s="1" t="str">
        <f>"521919"</f>
        <v>521919</v>
      </c>
      <c r="B23490" s="8" t="s">
        <v>259</v>
      </c>
      <c r="C23490" s="2" t="str">
        <f t="shared" si="924"/>
        <v>UN</v>
      </c>
      <c r="D23490" s="7">
        <v>917</v>
      </c>
      <c r="E23490" s="3">
        <v>10</v>
      </c>
      <c r="F23490" s="2">
        <v>8</v>
      </c>
      <c r="G23490" t="s">
        <v>514</v>
      </c>
    </row>
    <row r="23491" spans="1:7" x14ac:dyDescent="0.25">
      <c r="A23491" s="1" t="str">
        <f>"521920"</f>
        <v>521920</v>
      </c>
      <c r="B23491" s="8" t="s">
        <v>260</v>
      </c>
      <c r="C23491" s="2" t="str">
        <f t="shared" si="924"/>
        <v>UN</v>
      </c>
      <c r="D23491" s="7">
        <v>917</v>
      </c>
      <c r="E23491" s="3">
        <v>10</v>
      </c>
      <c r="F23491" s="2">
        <v>6</v>
      </c>
      <c r="G23491" t="s">
        <v>515</v>
      </c>
    </row>
    <row r="23492" spans="1:7" x14ac:dyDescent="0.25">
      <c r="A23492" s="1" t="str">
        <f>"521923"</f>
        <v>521923</v>
      </c>
      <c r="B23492" s="8" t="s">
        <v>262</v>
      </c>
      <c r="C23492" s="2" t="str">
        <f t="shared" si="924"/>
        <v>UN</v>
      </c>
      <c r="D23492" s="7">
        <v>917</v>
      </c>
      <c r="E23492" s="3">
        <v>10</v>
      </c>
      <c r="F23492" s="2">
        <v>4</v>
      </c>
      <c r="G23492" t="s">
        <v>512</v>
      </c>
    </row>
    <row r="23493" spans="1:7" x14ac:dyDescent="0.25">
      <c r="A23493" s="1" t="str">
        <f>"521926"</f>
        <v>521926</v>
      </c>
      <c r="B23493" s="8" t="s">
        <v>265</v>
      </c>
      <c r="C23493" s="2" t="str">
        <f t="shared" si="924"/>
        <v>UN</v>
      </c>
      <c r="D23493" s="7">
        <v>917</v>
      </c>
      <c r="E23493" s="3">
        <v>10</v>
      </c>
      <c r="F23493" s="2">
        <v>1</v>
      </c>
      <c r="G23493" t="s">
        <v>516</v>
      </c>
    </row>
    <row r="23494" spans="1:7" x14ac:dyDescent="0.25">
      <c r="A23494" s="1" t="str">
        <f>"521922"</f>
        <v>521922</v>
      </c>
      <c r="B23494" s="8" t="s">
        <v>261</v>
      </c>
      <c r="C23494" s="2" t="str">
        <f t="shared" si="924"/>
        <v>UN</v>
      </c>
      <c r="D23494" s="7">
        <v>917</v>
      </c>
      <c r="E23494" s="3">
        <v>10</v>
      </c>
      <c r="F23494" s="2">
        <v>2</v>
      </c>
      <c r="G23494" t="s">
        <v>515</v>
      </c>
    </row>
    <row r="23495" spans="1:7" x14ac:dyDescent="0.25">
      <c r="A23495" s="1" t="str">
        <f>"521924"</f>
        <v>521924</v>
      </c>
      <c r="B23495" s="8" t="s">
        <v>263</v>
      </c>
      <c r="C23495" s="2" t="str">
        <f t="shared" si="924"/>
        <v>UN</v>
      </c>
      <c r="D23495" s="7">
        <v>917</v>
      </c>
      <c r="E23495" s="3">
        <v>10</v>
      </c>
      <c r="F23495" s="2">
        <v>7</v>
      </c>
      <c r="G23495" t="s">
        <v>514</v>
      </c>
    </row>
    <row r="23496" spans="1:7" x14ac:dyDescent="0.25">
      <c r="A23496" s="1" t="str">
        <f>"501291"</f>
        <v>501291</v>
      </c>
      <c r="B23496" s="2" t="str">
        <f>"TELHA TRAPEZOIDAL.RT-25  DE 0,43MM"</f>
        <v>TELHA TRAPEZOIDAL.RT-25  DE 0,43MM</v>
      </c>
      <c r="C23496" s="2" t="str">
        <f t="shared" si="924"/>
        <v>UN</v>
      </c>
      <c r="D23496" s="7">
        <v>402</v>
      </c>
      <c r="E23496" s="3">
        <v>4</v>
      </c>
      <c r="F23496" s="2">
        <v>9</v>
      </c>
      <c r="G23496" t="s">
        <v>512</v>
      </c>
    </row>
    <row r="23497" spans="1:7" x14ac:dyDescent="0.25">
      <c r="A23497" s="1" t="str">
        <f>"514760"</f>
        <v>514760</v>
      </c>
      <c r="B23497" s="2" t="str">
        <f>"TEMPERO PRONTO"</f>
        <v>TEMPERO PRONTO</v>
      </c>
      <c r="C23497" s="2" t="str">
        <f t="shared" si="924"/>
        <v>UN</v>
      </c>
      <c r="D23497" s="7">
        <v>401</v>
      </c>
      <c r="E23497" s="3">
        <v>4</v>
      </c>
      <c r="F23497" s="2">
        <v>0</v>
      </c>
      <c r="G23497" t="s">
        <v>513</v>
      </c>
    </row>
    <row r="23498" spans="1:7" x14ac:dyDescent="0.25">
      <c r="A23498" s="1" t="str">
        <f>"517760"</f>
        <v>517760</v>
      </c>
      <c r="B23498" s="2" t="str">
        <f>"TEMPORIZ SIEMENS 7PU0571-1BN60/A7B10000052437 220V 60 SEGUND"</f>
        <v>TEMPORIZ SIEMENS 7PU0571-1BN60/A7B10000052437 220V 60 SEGUND</v>
      </c>
      <c r="C23498" s="2" t="str">
        <f t="shared" si="924"/>
        <v>UN</v>
      </c>
      <c r="D23498" s="7">
        <v>811</v>
      </c>
      <c r="E23498" s="3">
        <v>8</v>
      </c>
      <c r="F23498" s="2">
        <v>0</v>
      </c>
      <c r="G23498" t="s">
        <v>514</v>
      </c>
    </row>
    <row r="23499" spans="1:7" x14ac:dyDescent="0.25">
      <c r="A23499" s="1" t="str">
        <f>"512429"</f>
        <v>512429</v>
      </c>
      <c r="B23499" s="2" t="str">
        <f>"TEMPORIZADOR 6 SEGUNDOS 220V"</f>
        <v>TEMPORIZADOR 6 SEGUNDOS 220V</v>
      </c>
      <c r="C23499" s="2" t="str">
        <f t="shared" si="924"/>
        <v>UN</v>
      </c>
      <c r="D23499" s="7">
        <v>600</v>
      </c>
      <c r="E23499" s="3">
        <v>8</v>
      </c>
      <c r="F23499" s="2">
        <v>2</v>
      </c>
      <c r="G23499" t="s">
        <v>514</v>
      </c>
    </row>
    <row r="23500" spans="1:7" x14ac:dyDescent="0.25">
      <c r="A23500" s="1" t="str">
        <f>"507974"</f>
        <v>507974</v>
      </c>
      <c r="B23500" s="2" t="str">
        <f>"TEMPORIZADOR 60SEG P/ ESTRELA-TRIANGULO"</f>
        <v>TEMPORIZADOR 60SEG P/ ESTRELA-TRIANGULO</v>
      </c>
      <c r="C23500" s="2" t="str">
        <f t="shared" si="924"/>
        <v>UN</v>
      </c>
      <c r="D23500" s="7">
        <v>600</v>
      </c>
      <c r="E23500" s="3">
        <v>8</v>
      </c>
      <c r="F23500" s="2">
        <v>5</v>
      </c>
      <c r="G23500" t="s">
        <v>512</v>
      </c>
    </row>
    <row r="23501" spans="1:7" x14ac:dyDescent="0.25">
      <c r="A23501" s="1" t="str">
        <f>"505416"</f>
        <v>505416</v>
      </c>
      <c r="B23501" s="2" t="str">
        <f>"TEMPORIZADOR ANALOGICO HEG-220V"</f>
        <v>TEMPORIZADOR ANALOGICO HEG-220V</v>
      </c>
      <c r="C23501" s="2" t="str">
        <f t="shared" ref="C23501:C23512" si="925">"UN"</f>
        <v>UN</v>
      </c>
      <c r="D23501" s="7">
        <v>600</v>
      </c>
      <c r="E23501" s="3">
        <v>8</v>
      </c>
      <c r="F23501" s="2">
        <v>6</v>
      </c>
      <c r="G23501" t="s">
        <v>513</v>
      </c>
    </row>
    <row r="23502" spans="1:7" x14ac:dyDescent="0.25">
      <c r="A23502" s="1" t="str">
        <f>"506134"</f>
        <v>506134</v>
      </c>
      <c r="B23502" s="2" t="str">
        <f>"TEMPORIZADOR AY 5 MIN. 220V ESTR. TRIAN."</f>
        <v>TEMPORIZADOR AY 5 MIN. 220V ESTR. TRIAN.</v>
      </c>
      <c r="C23502" s="2" t="str">
        <f t="shared" si="925"/>
        <v>UN</v>
      </c>
      <c r="D23502" s="7">
        <v>704</v>
      </c>
      <c r="E23502" s="3">
        <v>9</v>
      </c>
      <c r="F23502" s="2">
        <v>9</v>
      </c>
      <c r="G23502" t="s">
        <v>514</v>
      </c>
    </row>
    <row r="23503" spans="1:7" x14ac:dyDescent="0.25">
      <c r="A23503" s="1" t="str">
        <f>"510911"</f>
        <v>510911</v>
      </c>
      <c r="B23503" s="2" t="str">
        <f>"TEMPORIZADOR COEL AD CICLICO 2POT 220VAC"</f>
        <v>TEMPORIZADOR COEL AD CICLICO 2POT 220VAC</v>
      </c>
      <c r="C23503" s="2" t="str">
        <f t="shared" si="925"/>
        <v>UN</v>
      </c>
      <c r="D23503" s="7">
        <v>600</v>
      </c>
      <c r="E23503" s="3">
        <v>8</v>
      </c>
      <c r="F23503" s="2">
        <v>5</v>
      </c>
      <c r="G23503" t="s">
        <v>514</v>
      </c>
    </row>
    <row r="23504" spans="1:7" x14ac:dyDescent="0.25">
      <c r="A23504" s="1" t="str">
        <f>"510411"</f>
        <v>510411</v>
      </c>
      <c r="B23504" s="2" t="str">
        <f>"TEMPORIZADOR COEL AE 0 A 30 S 220VCA"</f>
        <v>TEMPORIZADOR COEL AE 0 A 30 S 220VCA</v>
      </c>
      <c r="C23504" s="2" t="str">
        <f t="shared" si="925"/>
        <v>UN</v>
      </c>
      <c r="D23504" s="7">
        <v>600</v>
      </c>
      <c r="E23504" s="3">
        <v>8</v>
      </c>
      <c r="F23504" s="2">
        <v>3</v>
      </c>
      <c r="G23504" t="s">
        <v>514</v>
      </c>
    </row>
    <row r="23505" spans="1:7" x14ac:dyDescent="0.25">
      <c r="A23505" s="1" t="str">
        <f>"511931"</f>
        <v>511931</v>
      </c>
      <c r="B23505" s="2" t="str">
        <f>"TEMPORIZADOR COEL CICLICO AD 15MIN"</f>
        <v>TEMPORIZADOR COEL CICLICO AD 15MIN</v>
      </c>
      <c r="C23505" s="2" t="str">
        <f t="shared" si="925"/>
        <v>UN</v>
      </c>
      <c r="D23505" s="7">
        <v>600</v>
      </c>
      <c r="E23505" s="3">
        <v>8</v>
      </c>
      <c r="F23505" s="2">
        <v>3</v>
      </c>
      <c r="G23505" t="s">
        <v>513</v>
      </c>
    </row>
    <row r="23506" spans="1:7" x14ac:dyDescent="0.25">
      <c r="A23506" s="1" t="str">
        <f>"511887"</f>
        <v>511887</v>
      </c>
      <c r="B23506" s="2" t="str">
        <f>"TEMPORIZADOR DIGIMEC DTS-19 0A5 SEG 220V"</f>
        <v>TEMPORIZADOR DIGIMEC DTS-19 0A5 SEG 220V</v>
      </c>
      <c r="C23506" s="2" t="str">
        <f t="shared" si="925"/>
        <v>UN</v>
      </c>
      <c r="D23506" s="7">
        <v>600</v>
      </c>
      <c r="E23506" s="3">
        <v>8</v>
      </c>
      <c r="F23506" s="2">
        <v>2</v>
      </c>
      <c r="G23506" t="s">
        <v>512</v>
      </c>
    </row>
    <row r="23507" spans="1:7" x14ac:dyDescent="0.25">
      <c r="A23507" s="1" t="str">
        <f>"505415"</f>
        <v>505415</v>
      </c>
      <c r="B23507" s="2" t="str">
        <f>"TEMPORIZADOR DIGITAL HTW-1840 220V"</f>
        <v>TEMPORIZADOR DIGITAL HTW-1840 220V</v>
      </c>
      <c r="C23507" s="2" t="str">
        <f t="shared" si="925"/>
        <v>UN</v>
      </c>
      <c r="D23507" s="7">
        <v>600</v>
      </c>
      <c r="E23507" s="3">
        <v>8</v>
      </c>
      <c r="F23507" s="2">
        <v>1</v>
      </c>
      <c r="G23507" t="s">
        <v>513</v>
      </c>
    </row>
    <row r="23508" spans="1:7" x14ac:dyDescent="0.25">
      <c r="A23508" s="1" t="str">
        <f>"505414"</f>
        <v>505414</v>
      </c>
      <c r="B23508" s="2" t="str">
        <f>"TEMPORIZADOR DIGITAL HWE-220V"</f>
        <v>TEMPORIZADOR DIGITAL HWE-220V</v>
      </c>
      <c r="C23508" s="2" t="str">
        <f t="shared" si="925"/>
        <v>UN</v>
      </c>
      <c r="D23508" s="7">
        <v>600</v>
      </c>
      <c r="E23508" s="3">
        <v>8</v>
      </c>
      <c r="F23508" s="2">
        <v>4</v>
      </c>
      <c r="G23508" t="s">
        <v>514</v>
      </c>
    </row>
    <row r="23509" spans="1:7" x14ac:dyDescent="0.25">
      <c r="A23509" s="1" t="str">
        <f>"504944"</f>
        <v>504944</v>
      </c>
      <c r="B23509" s="2" t="str">
        <f>"TEMPORIZADOR ELETR MOD AE 220V 0,3-3MIN"</f>
        <v>TEMPORIZADOR ELETR MOD AE 220V 0,3-3MIN</v>
      </c>
      <c r="C23509" s="2" t="str">
        <f t="shared" si="925"/>
        <v>UN</v>
      </c>
      <c r="D23509" s="7">
        <v>600</v>
      </c>
      <c r="E23509" s="3">
        <v>8</v>
      </c>
      <c r="F23509" s="2">
        <v>1</v>
      </c>
      <c r="G23509" t="s">
        <v>514</v>
      </c>
    </row>
    <row r="23510" spans="1:7" x14ac:dyDescent="0.25">
      <c r="A23510" s="1" t="str">
        <f>"524368"</f>
        <v>524368</v>
      </c>
      <c r="B23510" s="2" t="str">
        <f>"TEMPORIZADOR HORAS"</f>
        <v>TEMPORIZADOR HORAS</v>
      </c>
      <c r="C23510" s="2" t="str">
        <f t="shared" si="925"/>
        <v>UN</v>
      </c>
      <c r="D23510" s="7">
        <v>704</v>
      </c>
      <c r="E23510" s="3">
        <v>9</v>
      </c>
      <c r="F23510" s="2">
        <v>2</v>
      </c>
      <c r="G23510" t="s">
        <v>514</v>
      </c>
    </row>
    <row r="23511" spans="1:7" x14ac:dyDescent="0.25">
      <c r="A23511" s="1" t="str">
        <f>"520572"</f>
        <v>520572</v>
      </c>
      <c r="B23511" s="2" t="str">
        <f>"TEMPORIZADOR MICROCONTROLADO  THOLZ TDH033N-90-240VCA-P008"</f>
        <v>TEMPORIZADOR MICROCONTROLADO  THOLZ TDH033N-90-240VCA-P008</v>
      </c>
      <c r="C23511" s="2" t="str">
        <f t="shared" si="925"/>
        <v>UN</v>
      </c>
      <c r="D23511" s="7">
        <v>900</v>
      </c>
      <c r="E23511" s="3">
        <v>11</v>
      </c>
      <c r="F23511" s="2">
        <v>7</v>
      </c>
      <c r="G23511" t="s">
        <v>513</v>
      </c>
    </row>
    <row r="23512" spans="1:7" x14ac:dyDescent="0.25">
      <c r="A23512" s="1" t="str">
        <f>"509584"</f>
        <v>509584</v>
      </c>
      <c r="B23512" s="2" t="str">
        <f>"TEMPORIZADOR MUELLER ETR4-11-A"</f>
        <v>TEMPORIZADOR MUELLER ETR4-11-A</v>
      </c>
      <c r="C23512" s="2" t="str">
        <f t="shared" si="925"/>
        <v>UN</v>
      </c>
      <c r="D23512" s="7">
        <v>600</v>
      </c>
      <c r="E23512" s="3">
        <v>8</v>
      </c>
      <c r="F23512" s="2">
        <v>9</v>
      </c>
      <c r="G23512" t="s">
        <v>513</v>
      </c>
    </row>
    <row r="23513" spans="1:7" x14ac:dyDescent="0.25">
      <c r="A23513" s="1" t="str">
        <f>"511750"</f>
        <v>511750</v>
      </c>
      <c r="B23513" s="2" t="str">
        <f>"TEMPORIZADOR OMROM H3CR-A 110/220VCA"</f>
        <v>TEMPORIZADOR OMROM H3CR-A 110/220VCA</v>
      </c>
      <c r="C23513" s="2" t="str">
        <f>"PC"</f>
        <v>PC</v>
      </c>
      <c r="D23513" s="7">
        <v>600</v>
      </c>
      <c r="E23513" s="3">
        <v>8</v>
      </c>
      <c r="F23513" s="2">
        <v>0</v>
      </c>
      <c r="G23513" t="s">
        <v>513</v>
      </c>
    </row>
    <row r="23514" spans="1:7" x14ac:dyDescent="0.25">
      <c r="A23514" s="1" t="str">
        <f>"505423"</f>
        <v>505423</v>
      </c>
      <c r="B23514" s="2" t="str">
        <f>"TEMPORIZADOR OMRON H3CR-A 220V"</f>
        <v>TEMPORIZADOR OMRON H3CR-A 220V</v>
      </c>
      <c r="C23514" s="2" t="str">
        <f t="shared" ref="C23514:C23526" si="926">"UN"</f>
        <v>UN</v>
      </c>
      <c r="D23514" s="7">
        <v>600</v>
      </c>
      <c r="E23514" s="3">
        <v>8</v>
      </c>
      <c r="F23514" s="2">
        <v>0</v>
      </c>
      <c r="G23514" t="s">
        <v>512</v>
      </c>
    </row>
    <row r="23515" spans="1:7" x14ac:dyDescent="0.25">
      <c r="A23515" s="1" t="str">
        <f>"525302"</f>
        <v>525302</v>
      </c>
      <c r="B23515" s="2" t="str">
        <f>"TEMPORIZADOR SIEMENS 7PU07711BW15"</f>
        <v>TEMPORIZADOR SIEMENS 7PU07711BW15</v>
      </c>
      <c r="C23515" s="2" t="str">
        <f t="shared" si="926"/>
        <v>UN</v>
      </c>
      <c r="D23515" s="7">
        <v>811</v>
      </c>
      <c r="E23515" s="3">
        <v>11</v>
      </c>
      <c r="F23515" s="2">
        <v>4</v>
      </c>
      <c r="G23515" t="s">
        <v>513</v>
      </c>
    </row>
    <row r="23516" spans="1:7" x14ac:dyDescent="0.25">
      <c r="A23516" s="1" t="str">
        <f>"512026"</f>
        <v>512026</v>
      </c>
      <c r="B23516" s="2" t="str">
        <f>"TEMPORIZADOR TELEMECANIQUE RM4LG01M 220V"</f>
        <v>TEMPORIZADOR TELEMECANIQUE RM4LG01M 220V</v>
      </c>
      <c r="C23516" s="2" t="str">
        <f t="shared" si="926"/>
        <v>UN</v>
      </c>
      <c r="D23516" s="7">
        <v>600</v>
      </c>
      <c r="E23516" s="3">
        <v>8</v>
      </c>
      <c r="F23516" s="2">
        <v>1</v>
      </c>
      <c r="G23516" t="s">
        <v>514</v>
      </c>
    </row>
    <row r="23517" spans="1:7" x14ac:dyDescent="0.25">
      <c r="A23517" s="1" t="str">
        <f>"518113"</f>
        <v>518113</v>
      </c>
      <c r="B23517" s="2" t="str">
        <f>"TENIS ASICS CONTEND"</f>
        <v>TENIS ASICS CONTEND</v>
      </c>
      <c r="C23517" s="2" t="str">
        <f t="shared" si="926"/>
        <v>UN</v>
      </c>
      <c r="D23517" s="7">
        <v>501</v>
      </c>
      <c r="E23517" s="3">
        <v>4</v>
      </c>
      <c r="F23517" s="2">
        <v>2</v>
      </c>
      <c r="G23517" t="s">
        <v>515</v>
      </c>
    </row>
    <row r="23518" spans="1:7" x14ac:dyDescent="0.25">
      <c r="A23518" s="1" t="str">
        <f>"3461"</f>
        <v>3461</v>
      </c>
      <c r="B23518" s="2" t="str">
        <f>"TENIS BRANCO C/ ELASTICO S/BICO N. 38"</f>
        <v>TENIS BRANCO C/ ELASTICO S/BICO N. 38</v>
      </c>
      <c r="C23518" s="2" t="str">
        <f t="shared" si="926"/>
        <v>UN</v>
      </c>
      <c r="D23518" s="7">
        <v>501</v>
      </c>
      <c r="E23518" s="3">
        <v>5</v>
      </c>
      <c r="F23518" s="2">
        <v>7</v>
      </c>
      <c r="G23518" t="s">
        <v>512</v>
      </c>
    </row>
    <row r="23519" spans="1:7" x14ac:dyDescent="0.25">
      <c r="A23519" s="1" t="str">
        <f>"3462"</f>
        <v>3462</v>
      </c>
      <c r="B23519" s="2" t="str">
        <f>"TENIS BRANCO C/ ELASTICO S/BICO N. 39"</f>
        <v>TENIS BRANCO C/ ELASTICO S/BICO N. 39</v>
      </c>
      <c r="C23519" s="2" t="str">
        <f t="shared" si="926"/>
        <v>UN</v>
      </c>
      <c r="D23519" s="7">
        <v>501</v>
      </c>
      <c r="E23519" s="3">
        <v>5</v>
      </c>
      <c r="F23519" s="2">
        <v>9</v>
      </c>
      <c r="G23519" t="s">
        <v>516</v>
      </c>
    </row>
    <row r="23520" spans="1:7" x14ac:dyDescent="0.25">
      <c r="A23520" s="1" t="str">
        <f>"3463"</f>
        <v>3463</v>
      </c>
      <c r="B23520" s="2" t="str">
        <f>"TENIS BRANCO C/ ELASTICO S/BICO N. 40"</f>
        <v>TENIS BRANCO C/ ELASTICO S/BICO N. 40</v>
      </c>
      <c r="C23520" s="2" t="str">
        <f t="shared" si="926"/>
        <v>UN</v>
      </c>
      <c r="D23520" s="7">
        <v>501</v>
      </c>
      <c r="E23520" s="3">
        <v>5</v>
      </c>
      <c r="F23520" s="2">
        <v>0</v>
      </c>
      <c r="G23520" t="s">
        <v>515</v>
      </c>
    </row>
    <row r="23521" spans="1:7" x14ac:dyDescent="0.25">
      <c r="A23521" s="1" t="str">
        <f>"3464"</f>
        <v>3464</v>
      </c>
      <c r="B23521" s="2" t="str">
        <f>"TENIS BRANCO C/ ELASTICO S/BICO N. 41"</f>
        <v>TENIS BRANCO C/ ELASTICO S/BICO N. 41</v>
      </c>
      <c r="C23521" s="2" t="str">
        <f t="shared" si="926"/>
        <v>UN</v>
      </c>
      <c r="D23521" s="7">
        <v>501</v>
      </c>
      <c r="E23521" s="3">
        <v>5</v>
      </c>
      <c r="F23521" s="2">
        <v>0</v>
      </c>
      <c r="G23521" t="s">
        <v>514</v>
      </c>
    </row>
    <row r="23522" spans="1:7" x14ac:dyDescent="0.25">
      <c r="A23522" s="1" t="str">
        <f>"513632"</f>
        <v>513632</v>
      </c>
      <c r="B23522" s="2" t="str">
        <f>"TENIS OLYMPIKUS FASTER 4"</f>
        <v>TENIS OLYMPIKUS FASTER 4</v>
      </c>
      <c r="C23522" s="2" t="str">
        <f t="shared" si="926"/>
        <v>UN</v>
      </c>
      <c r="D23522" s="7">
        <v>99999</v>
      </c>
      <c r="E23522" s="3">
        <v>99</v>
      </c>
      <c r="F23522" s="2">
        <v>2</v>
      </c>
      <c r="G23522" t="s">
        <v>512</v>
      </c>
    </row>
    <row r="23523" spans="1:7" x14ac:dyDescent="0.25">
      <c r="A23523" s="1" t="str">
        <f>"526244"</f>
        <v>526244</v>
      </c>
      <c r="B23523" s="2" t="str">
        <f>"TENOXICAM 20MG"</f>
        <v>TENOXICAM 20MG</v>
      </c>
      <c r="C23523" s="2" t="str">
        <f t="shared" si="926"/>
        <v>UN</v>
      </c>
      <c r="D23523" s="7">
        <v>99999</v>
      </c>
      <c r="E23523" s="3">
        <v>99</v>
      </c>
      <c r="F23523" s="2">
        <v>5</v>
      </c>
      <c r="G23523" t="s">
        <v>513</v>
      </c>
    </row>
    <row r="23524" spans="1:7" x14ac:dyDescent="0.25">
      <c r="A23524" s="1" t="str">
        <f>"506460"</f>
        <v>506460</v>
      </c>
      <c r="B23524" s="2" t="str">
        <f>"TENSIONADOR 10B300"</f>
        <v>TENSIONADOR 10B300</v>
      </c>
      <c r="C23524" s="2" t="str">
        <f t="shared" si="926"/>
        <v>UN</v>
      </c>
      <c r="D23524" s="7">
        <v>704</v>
      </c>
      <c r="E23524" s="3">
        <v>9</v>
      </c>
      <c r="F23524" s="2">
        <v>0</v>
      </c>
      <c r="G23524" t="s">
        <v>514</v>
      </c>
    </row>
    <row r="23525" spans="1:7" x14ac:dyDescent="0.25">
      <c r="A23525" s="1" t="str">
        <f>"527923"</f>
        <v>527923</v>
      </c>
      <c r="B23525" s="2" t="str">
        <f>"TENSIONADOR LVH"</f>
        <v>TENSIONADOR LVH</v>
      </c>
      <c r="C23525" s="2" t="str">
        <f t="shared" si="926"/>
        <v>UN</v>
      </c>
      <c r="D23525" s="7">
        <v>917</v>
      </c>
      <c r="E23525" s="3">
        <v>10</v>
      </c>
      <c r="F23525" s="2">
        <v>2</v>
      </c>
      <c r="G23525" t="s">
        <v>514</v>
      </c>
    </row>
    <row r="23526" spans="1:7" x14ac:dyDescent="0.25">
      <c r="A23526" s="1" t="str">
        <f>"514297"</f>
        <v>514297</v>
      </c>
      <c r="B23526" s="2" t="str">
        <f>"TENSOR"</f>
        <v>TENSOR</v>
      </c>
      <c r="C23526" s="2" t="str">
        <f t="shared" si="926"/>
        <v>UN</v>
      </c>
      <c r="D23526" s="7">
        <v>704</v>
      </c>
      <c r="E23526" s="3">
        <v>9</v>
      </c>
      <c r="F23526" s="2">
        <v>5</v>
      </c>
      <c r="G23526" t="s">
        <v>512</v>
      </c>
    </row>
    <row r="23527" spans="1:7" x14ac:dyDescent="0.25">
      <c r="A23527" s="1" t="str">
        <f>"513529"</f>
        <v>513529</v>
      </c>
      <c r="B23527" s="2" t="str">
        <f>"TENSOR CORREIA 7737 GOL 1000"</f>
        <v>TENSOR CORREIA 7737 GOL 1000</v>
      </c>
      <c r="C23527" s="2" t="str">
        <f>"PC"</f>
        <v>PC</v>
      </c>
      <c r="D23527" s="7">
        <v>911</v>
      </c>
      <c r="E23527" s="3">
        <v>11</v>
      </c>
      <c r="F23527" s="5">
        <v>5</v>
      </c>
      <c r="G23527" t="s">
        <v>513</v>
      </c>
    </row>
    <row r="23528" spans="1:7" x14ac:dyDescent="0.25">
      <c r="A23528" s="1" t="str">
        <f>"503919"</f>
        <v>503919</v>
      </c>
      <c r="B23528" s="2" t="str">
        <f>"TENSOR DA CORREIA COMPRESSOR AR(INGERSOL"</f>
        <v>TENSOR DA CORREIA COMPRESSOR AR(INGERSOL</v>
      </c>
      <c r="C23528" s="2" t="str">
        <f t="shared" ref="C23528:C23550" si="927">"UN"</f>
        <v>UN</v>
      </c>
      <c r="D23528" s="7">
        <v>918</v>
      </c>
      <c r="E23528" s="3">
        <v>11</v>
      </c>
      <c r="F23528" s="2">
        <v>3</v>
      </c>
      <c r="G23528" t="s">
        <v>514</v>
      </c>
    </row>
    <row r="23529" spans="1:7" x14ac:dyDescent="0.25">
      <c r="A23529" s="1" t="str">
        <f>"505697"</f>
        <v>505697</v>
      </c>
      <c r="B23529" s="2" t="str">
        <f>"TENSOR REGULAGEM 620MM"</f>
        <v>TENSOR REGULAGEM 620MM</v>
      </c>
      <c r="C23529" s="2" t="str">
        <f t="shared" si="927"/>
        <v>UN</v>
      </c>
      <c r="D23529" s="7">
        <v>704</v>
      </c>
      <c r="E23529" s="3">
        <v>9</v>
      </c>
      <c r="F23529" s="2">
        <v>8</v>
      </c>
      <c r="G23529" t="s">
        <v>514</v>
      </c>
    </row>
    <row r="23530" spans="1:7" x14ac:dyDescent="0.25">
      <c r="A23530" s="1" t="str">
        <f>"508164"</f>
        <v>508164</v>
      </c>
      <c r="B23530" s="2" t="str">
        <f>"TERÇA 100X40X30MM CHAPA-12"</f>
        <v>TERÇA 100X40X30MM CHAPA-12</v>
      </c>
      <c r="C23530" s="2" t="str">
        <f t="shared" si="927"/>
        <v>UN</v>
      </c>
      <c r="D23530" s="7">
        <v>1700</v>
      </c>
      <c r="E23530" s="3">
        <v>13</v>
      </c>
      <c r="F23530" s="2">
        <v>6</v>
      </c>
      <c r="G23530" t="s">
        <v>514</v>
      </c>
    </row>
    <row r="23531" spans="1:7" x14ac:dyDescent="0.25">
      <c r="A23531" s="1" t="str">
        <f>"509609"</f>
        <v>509609</v>
      </c>
      <c r="B23531" s="2" t="str">
        <f>"TERÇA 100X50X17X2,65MM INRRIGECIDA 6M"</f>
        <v>TERÇA 100X50X17X2,65MM INRRIGECIDA 6M</v>
      </c>
      <c r="C23531" s="2" t="str">
        <f t="shared" si="927"/>
        <v>UN</v>
      </c>
      <c r="D23531" s="7">
        <v>803</v>
      </c>
      <c r="E23531" s="3">
        <v>10</v>
      </c>
      <c r="F23531" s="2">
        <v>4</v>
      </c>
      <c r="G23531" t="s">
        <v>513</v>
      </c>
    </row>
    <row r="23532" spans="1:7" x14ac:dyDescent="0.25">
      <c r="A23532" s="1" t="str">
        <f>"508152"</f>
        <v>508152</v>
      </c>
      <c r="B23532" s="2" t="str">
        <f>"TERÇA 3"" X #12 AÇO CARBONO"</f>
        <v>TERÇA 3" X #12 AÇO CARBONO</v>
      </c>
      <c r="C23532" s="2" t="str">
        <f t="shared" si="927"/>
        <v>UN</v>
      </c>
      <c r="D23532" s="7">
        <v>803</v>
      </c>
      <c r="E23532" s="3">
        <v>10</v>
      </c>
      <c r="F23532" s="2">
        <v>1</v>
      </c>
      <c r="G23532" t="s">
        <v>512</v>
      </c>
    </row>
    <row r="23533" spans="1:7" x14ac:dyDescent="0.25">
      <c r="A23533" s="1" t="str">
        <f>"520677"</f>
        <v>520677</v>
      </c>
      <c r="B23533" s="2" t="str">
        <f>"TERÇA 3"" X #16 AÇO CARBONO"</f>
        <v>TERÇA 3" X #16 AÇO CARBONO</v>
      </c>
      <c r="C23533" s="2" t="str">
        <f t="shared" si="927"/>
        <v>UN</v>
      </c>
      <c r="D23533" s="7">
        <v>803</v>
      </c>
      <c r="E23533" s="3">
        <v>10</v>
      </c>
      <c r="F23533" s="2">
        <v>2</v>
      </c>
      <c r="G23533" t="s">
        <v>513</v>
      </c>
    </row>
    <row r="23534" spans="1:7" x14ac:dyDescent="0.25">
      <c r="A23534" s="1" t="str">
        <f>"509873"</f>
        <v>509873</v>
      </c>
      <c r="B23534" s="2" t="str">
        <f>"TERCA 4"" AÇO CARBONO #14"</f>
        <v>TERCA 4" AÇO CARBONO #14</v>
      </c>
      <c r="C23534" s="2" t="str">
        <f t="shared" si="927"/>
        <v>UN</v>
      </c>
      <c r="D23534" s="7">
        <v>917</v>
      </c>
      <c r="E23534" s="3">
        <v>11</v>
      </c>
      <c r="F23534" s="2">
        <v>7</v>
      </c>
      <c r="G23534" t="s">
        <v>514</v>
      </c>
    </row>
    <row r="23535" spans="1:7" x14ac:dyDescent="0.25">
      <c r="A23535" s="1" t="str">
        <f>"508153"</f>
        <v>508153</v>
      </c>
      <c r="B23535" s="2" t="str">
        <f>"TERÇA 5""X2"" #2MM AÇO CARBONO INRRIGECIDA"</f>
        <v>TERÇA 5"X2" #2MM AÇO CARBONO INRRIGECIDA</v>
      </c>
      <c r="C23535" s="2" t="str">
        <f t="shared" si="927"/>
        <v>UN</v>
      </c>
      <c r="D23535" s="7">
        <v>1700</v>
      </c>
      <c r="E23535" s="3">
        <v>10</v>
      </c>
      <c r="F23535" s="2">
        <v>9</v>
      </c>
      <c r="G23535" t="s">
        <v>514</v>
      </c>
    </row>
    <row r="23536" spans="1:7" x14ac:dyDescent="0.25">
      <c r="A23536" s="1" t="str">
        <f>"509876"</f>
        <v>509876</v>
      </c>
      <c r="B23536" s="2" t="str">
        <f>"TERCA 75MM 3"" AÇO CARBONO"</f>
        <v>TERCA 75MM 3" AÇO CARBONO</v>
      </c>
      <c r="C23536" s="2" t="str">
        <f t="shared" si="927"/>
        <v>UN</v>
      </c>
      <c r="D23536" s="7">
        <v>917</v>
      </c>
      <c r="E23536" s="3">
        <v>11</v>
      </c>
      <c r="F23536" s="2">
        <v>0</v>
      </c>
      <c r="G23536" t="s">
        <v>514</v>
      </c>
    </row>
    <row r="23537" spans="1:7" x14ac:dyDescent="0.25">
      <c r="A23537" s="1" t="str">
        <f>"520558"</f>
        <v>520558</v>
      </c>
      <c r="B23537" s="2" t="str">
        <f>"TERÇA AÇO CARBONO VIGA G 3"""</f>
        <v>TERÇA AÇO CARBONO VIGA G 3"</v>
      </c>
      <c r="C23537" s="2" t="str">
        <f t="shared" si="927"/>
        <v>UN</v>
      </c>
      <c r="D23537" s="7">
        <v>1700</v>
      </c>
      <c r="E23537" s="3">
        <v>13</v>
      </c>
      <c r="F23537" s="2">
        <v>0</v>
      </c>
      <c r="G23537" t="s">
        <v>513</v>
      </c>
    </row>
    <row r="23538" spans="1:7" x14ac:dyDescent="0.25">
      <c r="A23538" s="1" t="str">
        <f>"507187"</f>
        <v>507187</v>
      </c>
      <c r="B23538" s="2" t="str">
        <f>"TERÇA DE COBERTURA TC01A EM 02 VIGAS ""U"""</f>
        <v>TERÇA DE COBERTURA TC01A EM 02 VIGAS "U"</v>
      </c>
      <c r="C23538" s="2" t="str">
        <f t="shared" si="927"/>
        <v>UN</v>
      </c>
      <c r="D23538" s="7">
        <v>1700</v>
      </c>
      <c r="E23538" s="3">
        <v>13</v>
      </c>
      <c r="F23538" s="2">
        <v>2</v>
      </c>
      <c r="G23538" t="s">
        <v>513</v>
      </c>
    </row>
    <row r="23539" spans="1:7" x14ac:dyDescent="0.25">
      <c r="A23539" s="1" t="str">
        <f>"507188"</f>
        <v>507188</v>
      </c>
      <c r="B23539" s="2" t="str">
        <f>"TERÇA DE COBERTURA TC02A EM 02 VIGAS ""U"""</f>
        <v>TERÇA DE COBERTURA TC02A EM 02 VIGAS "U"</v>
      </c>
      <c r="C23539" s="2" t="str">
        <f t="shared" si="927"/>
        <v>UN</v>
      </c>
      <c r="D23539" s="7">
        <v>917</v>
      </c>
      <c r="E23539" s="3">
        <v>11</v>
      </c>
      <c r="F23539" s="2">
        <v>5</v>
      </c>
      <c r="G23539" t="s">
        <v>513</v>
      </c>
    </row>
    <row r="23540" spans="1:7" x14ac:dyDescent="0.25">
      <c r="A23540" s="1" t="str">
        <f>"507189"</f>
        <v>507189</v>
      </c>
      <c r="B23540" s="2" t="str">
        <f>"TERÇA DE COBERTURA TC03A EM 02 VIGAS ""U"""</f>
        <v>TERÇA DE COBERTURA TC03A EM 02 VIGAS "U"</v>
      </c>
      <c r="C23540" s="2" t="str">
        <f t="shared" si="927"/>
        <v>UN</v>
      </c>
      <c r="D23540" s="7">
        <v>917</v>
      </c>
      <c r="E23540" s="3">
        <v>11</v>
      </c>
      <c r="F23540" s="2">
        <v>6</v>
      </c>
      <c r="G23540" t="s">
        <v>512</v>
      </c>
    </row>
    <row r="23541" spans="1:7" x14ac:dyDescent="0.25">
      <c r="A23541" s="1" t="str">
        <f>"507190"</f>
        <v>507190</v>
      </c>
      <c r="B23541" s="2" t="str">
        <f>"TERÇA DE COBERTURA TC04A EM 02 VIGAS ""U"""</f>
        <v>TERÇA DE COBERTURA TC04A EM 02 VIGAS "U"</v>
      </c>
      <c r="C23541" s="2" t="str">
        <f t="shared" si="927"/>
        <v>UN</v>
      </c>
      <c r="D23541" s="7">
        <v>917</v>
      </c>
      <c r="E23541" s="3">
        <v>11</v>
      </c>
      <c r="F23541" s="2">
        <v>9</v>
      </c>
      <c r="G23541" t="s">
        <v>513</v>
      </c>
    </row>
    <row r="23542" spans="1:7" x14ac:dyDescent="0.25">
      <c r="A23542" s="1" t="str">
        <f>"507191"</f>
        <v>507191</v>
      </c>
      <c r="B23542" s="2" t="str">
        <f>"TERÇA DE COBERTURA TC05A EM 02 VIGAS ""U"""</f>
        <v>TERÇA DE COBERTURA TC05A EM 02 VIGAS "U"</v>
      </c>
      <c r="C23542" s="2" t="str">
        <f t="shared" si="927"/>
        <v>UN</v>
      </c>
      <c r="D23542" s="7">
        <v>917</v>
      </c>
      <c r="E23542" s="3">
        <v>11</v>
      </c>
      <c r="F23542" s="2">
        <v>5</v>
      </c>
      <c r="G23542" t="s">
        <v>514</v>
      </c>
    </row>
    <row r="23543" spans="1:7" x14ac:dyDescent="0.25">
      <c r="A23543" s="1" t="str">
        <f>"507194"</f>
        <v>507194</v>
      </c>
      <c r="B23543" s="2" t="str">
        <f>"TERÇA DE COBERTURA TC06 EM 02 VIGAS ""U"""</f>
        <v>TERÇA DE COBERTURA TC06 EM 02 VIGAS "U"</v>
      </c>
      <c r="C23543" s="2" t="str">
        <f t="shared" si="927"/>
        <v>UN</v>
      </c>
      <c r="D23543" s="7">
        <v>917</v>
      </c>
      <c r="E23543" s="3">
        <v>11</v>
      </c>
      <c r="F23543" s="2">
        <v>3</v>
      </c>
      <c r="G23543" t="s">
        <v>515</v>
      </c>
    </row>
    <row r="23544" spans="1:7" x14ac:dyDescent="0.25">
      <c r="A23544" s="1" t="str">
        <f>"507192"</f>
        <v>507192</v>
      </c>
      <c r="B23544" s="2" t="str">
        <f>"TERÇA DE COBERTURA TC07A EM 02 VIGAS ""U"""</f>
        <v>TERÇA DE COBERTURA TC07A EM 02 VIGAS "U"</v>
      </c>
      <c r="C23544" s="2" t="str">
        <f t="shared" si="927"/>
        <v>UN</v>
      </c>
      <c r="D23544" s="7">
        <v>1700</v>
      </c>
      <c r="E23544" s="3">
        <v>13</v>
      </c>
      <c r="F23544" s="2">
        <v>3</v>
      </c>
      <c r="G23544" t="s">
        <v>512</v>
      </c>
    </row>
    <row r="23545" spans="1:7" x14ac:dyDescent="0.25">
      <c r="A23545" s="1" t="str">
        <f>"507197"</f>
        <v>507197</v>
      </c>
      <c r="B23545" s="2" t="str">
        <f>"TERÇA DE COBERTURA TC08 EM 02 VIGAS ""U"""</f>
        <v>TERÇA DE COBERTURA TC08 EM 02 VIGAS "U"</v>
      </c>
      <c r="C23545" s="2" t="str">
        <f t="shared" si="927"/>
        <v>UN</v>
      </c>
      <c r="D23545" s="7">
        <v>1700</v>
      </c>
      <c r="E23545" s="3">
        <v>13</v>
      </c>
      <c r="F23545" s="2">
        <v>2</v>
      </c>
      <c r="G23545" t="s">
        <v>516</v>
      </c>
    </row>
    <row r="23546" spans="1:7" x14ac:dyDescent="0.25">
      <c r="A23546" s="1" t="str">
        <f>"507198"</f>
        <v>507198</v>
      </c>
      <c r="B23546" s="2" t="str">
        <f>"TERÇA DE COBERTURA TC09 EM 02 VIGAS ""U"""</f>
        <v>TERÇA DE COBERTURA TC09 EM 02 VIGAS "U"</v>
      </c>
      <c r="C23546" s="2" t="str">
        <f t="shared" si="927"/>
        <v>UN</v>
      </c>
      <c r="D23546" s="7">
        <v>1700</v>
      </c>
      <c r="E23546" s="3">
        <v>13</v>
      </c>
      <c r="F23546" s="2">
        <v>1</v>
      </c>
      <c r="G23546" t="s">
        <v>515</v>
      </c>
    </row>
    <row r="23547" spans="1:7" x14ac:dyDescent="0.25">
      <c r="A23547" s="1" t="str">
        <f>"507193"</f>
        <v>507193</v>
      </c>
      <c r="B23547" s="2" t="str">
        <f>"TERÇA DE COBERTURA TC10A EM 02 VIGAS ""U"""</f>
        <v>TERÇA DE COBERTURA TC10A EM 02 VIGAS "U"</v>
      </c>
      <c r="C23547" s="2" t="str">
        <f t="shared" si="927"/>
        <v>UN</v>
      </c>
      <c r="D23547" s="7">
        <v>1700</v>
      </c>
      <c r="E23547" s="3">
        <v>13</v>
      </c>
      <c r="F23547" s="2">
        <v>4</v>
      </c>
      <c r="G23547" t="s">
        <v>514</v>
      </c>
    </row>
    <row r="23548" spans="1:7" x14ac:dyDescent="0.25">
      <c r="A23548" s="1" t="str">
        <f>"507199"</f>
        <v>507199</v>
      </c>
      <c r="B23548" s="2" t="str">
        <f>"TERÇA DE COBERTURA TC11 EM 02 VIGAS ""U"""</f>
        <v>TERÇA DE COBERTURA TC11 EM 02 VIGAS "U"</v>
      </c>
      <c r="C23548" s="2" t="str">
        <f t="shared" si="927"/>
        <v>UN</v>
      </c>
      <c r="D23548" s="7">
        <v>1700</v>
      </c>
      <c r="E23548" s="3">
        <v>13</v>
      </c>
      <c r="F23548" s="2">
        <v>6</v>
      </c>
      <c r="G23548" t="s">
        <v>512</v>
      </c>
    </row>
    <row r="23549" spans="1:7" x14ac:dyDescent="0.25">
      <c r="A23549" s="1" t="str">
        <f>"507200"</f>
        <v>507200</v>
      </c>
      <c r="B23549" s="2" t="str">
        <f>"TERÇA DE COBERTURA TC11 EM 02 VIGAS ""U"""</f>
        <v>TERÇA DE COBERTURA TC11 EM 02 VIGAS "U"</v>
      </c>
      <c r="C23549" s="2" t="str">
        <f t="shared" si="927"/>
        <v>UN</v>
      </c>
      <c r="D23549" s="7">
        <v>917</v>
      </c>
      <c r="E23549" s="3">
        <v>11</v>
      </c>
      <c r="F23549" s="2">
        <v>8</v>
      </c>
      <c r="G23549" t="s">
        <v>513</v>
      </c>
    </row>
    <row r="23550" spans="1:7" x14ac:dyDescent="0.25">
      <c r="A23550" s="1" t="str">
        <f>"522447"</f>
        <v>522447</v>
      </c>
      <c r="B23550" s="2" t="str">
        <f>"TERÇA VIGA U 75X40X15 #14 4,36 COMPRIMENTO"</f>
        <v>TERÇA VIGA U 75X40X15 #14 4,36 COMPRIMENTO</v>
      </c>
      <c r="C23550" s="2" t="str">
        <f t="shared" si="927"/>
        <v>UN</v>
      </c>
      <c r="D23550" s="7">
        <v>99999</v>
      </c>
      <c r="E23550" s="3">
        <v>99</v>
      </c>
      <c r="F23550" s="2">
        <v>7</v>
      </c>
      <c r="G23550" t="s">
        <v>514</v>
      </c>
    </row>
    <row r="23551" spans="1:7" x14ac:dyDescent="0.25">
      <c r="A23551" s="1" t="str">
        <f>"6131"</f>
        <v>6131</v>
      </c>
      <c r="B23551" s="2" t="str">
        <f>"TERM QUIM ESC INT MERC -10 + 110 CERTIFI"</f>
        <v>TERM QUIM ESC INT MERC -10 + 110 CERTIFI</v>
      </c>
      <c r="C23551" s="2" t="str">
        <f>"PC"</f>
        <v>PC</v>
      </c>
      <c r="D23551" s="7">
        <v>406</v>
      </c>
      <c r="E23551" s="3">
        <v>4</v>
      </c>
      <c r="F23551" s="2">
        <v>6</v>
      </c>
      <c r="G23551" t="s">
        <v>514</v>
      </c>
    </row>
    <row r="23552" spans="1:7" x14ac:dyDescent="0.25">
      <c r="A23552" s="1" t="str">
        <f>"513333"</f>
        <v>513333</v>
      </c>
      <c r="B23552" s="2" t="str">
        <f>"TERM QUIMICO ESC INT ALCOOL -10 +110"</f>
        <v>TERM QUIMICO ESC INT ALCOOL -10 +110</v>
      </c>
      <c r="C23552" s="2" t="str">
        <f t="shared" ref="C23552:C23567" si="928">"UN"</f>
        <v>UN</v>
      </c>
      <c r="D23552" s="7">
        <v>406</v>
      </c>
      <c r="E23552" s="3">
        <v>4</v>
      </c>
      <c r="F23552" s="2">
        <v>6</v>
      </c>
      <c r="G23552" t="s">
        <v>512</v>
      </c>
    </row>
    <row r="23553" spans="1:7" x14ac:dyDescent="0.25">
      <c r="A23553" s="1" t="str">
        <f>"526618"</f>
        <v>526618</v>
      </c>
      <c r="B23553" s="2" t="str">
        <f>"TERM TM E15S26A1"</f>
        <v>TERM TM E15S26A1</v>
      </c>
      <c r="C23553" s="2" t="str">
        <f t="shared" si="928"/>
        <v>UN</v>
      </c>
      <c r="D23553" s="7">
        <v>811</v>
      </c>
      <c r="E23553" s="3">
        <v>8</v>
      </c>
      <c r="F23553" s="2">
        <v>2</v>
      </c>
      <c r="G23553" t="s">
        <v>513</v>
      </c>
    </row>
    <row r="23554" spans="1:7" x14ac:dyDescent="0.25">
      <c r="A23554" s="1" t="str">
        <f>"510579"</f>
        <v>510579</v>
      </c>
      <c r="B23554" s="2" t="str">
        <f>"TERM. 100.2 100ºC 12B H1/4 X 200MM"</f>
        <v>TERM. 100.2 100ºC 12B H1/4 X 200MM</v>
      </c>
      <c r="C23554" s="2" t="str">
        <f t="shared" si="928"/>
        <v>UN</v>
      </c>
      <c r="D23554" s="7">
        <v>402</v>
      </c>
      <c r="E23554" s="3">
        <v>4</v>
      </c>
      <c r="F23554" s="2">
        <v>1</v>
      </c>
      <c r="G23554" t="s">
        <v>514</v>
      </c>
    </row>
    <row r="23555" spans="1:7" x14ac:dyDescent="0.25">
      <c r="A23555" s="1" t="str">
        <f>"520593"</f>
        <v>520593</v>
      </c>
      <c r="B23555" s="8" t="s">
        <v>170</v>
      </c>
      <c r="C23555" s="2" t="str">
        <f t="shared" si="928"/>
        <v>UN</v>
      </c>
      <c r="D23555" s="7">
        <v>402</v>
      </c>
      <c r="E23555" s="3">
        <v>4</v>
      </c>
      <c r="F23555" s="2">
        <v>0</v>
      </c>
      <c r="G23555" t="s">
        <v>514</v>
      </c>
    </row>
    <row r="23556" spans="1:7" x14ac:dyDescent="0.25">
      <c r="A23556" s="1" t="str">
        <f>"520591"</f>
        <v>520591</v>
      </c>
      <c r="B23556" s="8" t="s">
        <v>168</v>
      </c>
      <c r="C23556" s="2" t="str">
        <f t="shared" si="928"/>
        <v>UN</v>
      </c>
      <c r="D23556" s="7">
        <v>402</v>
      </c>
      <c r="E23556" s="3">
        <v>4</v>
      </c>
      <c r="F23556" s="2">
        <v>0</v>
      </c>
      <c r="G23556" t="s">
        <v>514</v>
      </c>
    </row>
    <row r="23557" spans="1:7" x14ac:dyDescent="0.25">
      <c r="A23557" s="1" t="str">
        <f>"520592"</f>
        <v>520592</v>
      </c>
      <c r="B23557" s="8" t="s">
        <v>169</v>
      </c>
      <c r="C23557" s="2" t="str">
        <f t="shared" si="928"/>
        <v>UN</v>
      </c>
      <c r="D23557" s="7">
        <v>402</v>
      </c>
      <c r="E23557" s="3">
        <v>4</v>
      </c>
      <c r="F23557" s="2">
        <v>0</v>
      </c>
      <c r="G23557" t="s">
        <v>513</v>
      </c>
    </row>
    <row r="23558" spans="1:7" x14ac:dyDescent="0.25">
      <c r="A23558" s="1" t="str">
        <f>"520590"</f>
        <v>520590</v>
      </c>
      <c r="B23558" s="8" t="s">
        <v>167</v>
      </c>
      <c r="C23558" s="2" t="str">
        <f t="shared" si="928"/>
        <v>UN</v>
      </c>
      <c r="D23558" s="7">
        <v>402</v>
      </c>
      <c r="E23558" s="3">
        <v>4</v>
      </c>
      <c r="F23558" s="2">
        <v>3</v>
      </c>
      <c r="G23558" t="s">
        <v>512</v>
      </c>
    </row>
    <row r="23559" spans="1:7" x14ac:dyDescent="0.25">
      <c r="A23559" s="1" t="str">
        <f>"523169"</f>
        <v>523169</v>
      </c>
      <c r="B23559" s="2" t="str">
        <f>"TERM. DIGITAL DE PRECISAO MODELO P755L (5000-0755L)"</f>
        <v>TERM. DIGITAL DE PRECISAO MODELO P755L (5000-0755L)</v>
      </c>
      <c r="C23559" s="2" t="str">
        <f t="shared" si="928"/>
        <v>UN</v>
      </c>
      <c r="D23559" s="7">
        <v>1500</v>
      </c>
      <c r="E23559" s="3">
        <v>10</v>
      </c>
      <c r="F23559" s="5">
        <v>5</v>
      </c>
      <c r="G23559" t="s">
        <v>513</v>
      </c>
    </row>
    <row r="23560" spans="1:7" x14ac:dyDescent="0.25">
      <c r="A23560" s="1" t="str">
        <f>"510111"</f>
        <v>510111</v>
      </c>
      <c r="B23560" s="2" t="str">
        <f>"TERM. F. ORFS. S. PL."</f>
        <v>TERM. F. ORFS. S. PL.</v>
      </c>
      <c r="C23560" s="2" t="str">
        <f t="shared" si="928"/>
        <v>UN</v>
      </c>
      <c r="D23560" s="7">
        <v>914</v>
      </c>
      <c r="E23560" s="3">
        <v>11</v>
      </c>
      <c r="F23560" s="2">
        <v>3</v>
      </c>
      <c r="G23560" t="s">
        <v>514</v>
      </c>
    </row>
    <row r="23561" spans="1:7" x14ac:dyDescent="0.25">
      <c r="A23561" s="1" t="str">
        <f>"510426"</f>
        <v>510426</v>
      </c>
      <c r="B23561" s="2" t="str">
        <f>"TERM. F.G. CU 90 B.I.M."</f>
        <v>TERM. F.G. CU 90 B.I.M.</v>
      </c>
      <c r="C23561" s="2" t="str">
        <f t="shared" si="928"/>
        <v>UN</v>
      </c>
      <c r="D23561" s="7">
        <v>914</v>
      </c>
      <c r="E23561" s="3">
        <v>11</v>
      </c>
      <c r="F23561" s="2">
        <v>8</v>
      </c>
      <c r="G23561" t="s">
        <v>514</v>
      </c>
    </row>
    <row r="23562" spans="1:7" x14ac:dyDescent="0.25">
      <c r="A23562" s="1" t="str">
        <f>"518423"</f>
        <v>518423</v>
      </c>
      <c r="B23562" s="2" t="str">
        <f>"TERM. KP98 C/ REARME MAX COND. ANTIGO"</f>
        <v>TERM. KP98 C/ REARME MAX COND. ANTIGO</v>
      </c>
      <c r="C23562" s="2" t="str">
        <f t="shared" si="928"/>
        <v>UN</v>
      </c>
      <c r="D23562" s="7">
        <v>918</v>
      </c>
      <c r="E23562" s="3">
        <v>11</v>
      </c>
      <c r="F23562" s="2">
        <v>6</v>
      </c>
      <c r="G23562" t="s">
        <v>514</v>
      </c>
    </row>
    <row r="23563" spans="1:7" x14ac:dyDescent="0.25">
      <c r="A23563" s="1" t="str">
        <f>"510427"</f>
        <v>510427</v>
      </c>
      <c r="B23563" s="2" t="str">
        <f>"TERM. MACHO MT. CON 24"</f>
        <v>TERM. MACHO MT. CON 24</v>
      </c>
      <c r="C23563" s="2" t="str">
        <f t="shared" si="928"/>
        <v>UN</v>
      </c>
      <c r="D23563" s="7">
        <v>914</v>
      </c>
      <c r="E23563" s="3">
        <v>11</v>
      </c>
      <c r="F23563" s="2">
        <v>4</v>
      </c>
      <c r="G23563" t="s">
        <v>513</v>
      </c>
    </row>
    <row r="23564" spans="1:7" x14ac:dyDescent="0.25">
      <c r="A23564" s="1" t="str">
        <f>"510576"</f>
        <v>510576</v>
      </c>
      <c r="B23564" s="2" t="str">
        <f>"TERM. TCI 100.1 100ºC 12B 3/8 X 70MM"</f>
        <v>TERM. TCI 100.1 100ºC 12B 3/8 X 70MM</v>
      </c>
      <c r="C23564" s="2" t="str">
        <f t="shared" si="928"/>
        <v>UN</v>
      </c>
      <c r="D23564" s="7">
        <v>402</v>
      </c>
      <c r="E23564" s="3">
        <v>4</v>
      </c>
      <c r="F23564" s="2">
        <v>1</v>
      </c>
      <c r="G23564" t="s">
        <v>513</v>
      </c>
    </row>
    <row r="23565" spans="1:7" x14ac:dyDescent="0.25">
      <c r="A23565" s="1" t="str">
        <f>"510580"</f>
        <v>510580</v>
      </c>
      <c r="B23565" s="2" t="str">
        <f>"TERM. TZD AXIAL 100º 12B H1/4 X 40MM"</f>
        <v>TERM. TZD AXIAL 100º 12B H1/4 X 40MM</v>
      </c>
      <c r="C23565" s="2" t="str">
        <f t="shared" si="928"/>
        <v>UN</v>
      </c>
      <c r="D23565" s="7">
        <v>402</v>
      </c>
      <c r="E23565" s="3">
        <v>4</v>
      </c>
      <c r="F23565" s="2">
        <v>2</v>
      </c>
      <c r="G23565" t="s">
        <v>513</v>
      </c>
    </row>
    <row r="23566" spans="1:7" x14ac:dyDescent="0.25">
      <c r="A23566" s="1" t="str">
        <f>"510578"</f>
        <v>510578</v>
      </c>
      <c r="B23566" s="2" t="str">
        <f>"TERM. TZIG 100.2 100ºC 12B H1/4 X 100MM"</f>
        <v>TERM. TZIG 100.2 100ºC 12B H1/4 X 100MM</v>
      </c>
      <c r="C23566" s="2" t="str">
        <f t="shared" si="928"/>
        <v>UN</v>
      </c>
      <c r="D23566" s="7">
        <v>402</v>
      </c>
      <c r="E23566" s="3">
        <v>4</v>
      </c>
      <c r="F23566" s="2">
        <v>7</v>
      </c>
      <c r="G23566" t="s">
        <v>512</v>
      </c>
    </row>
    <row r="23567" spans="1:7" x14ac:dyDescent="0.25">
      <c r="A23567" s="1" t="str">
        <f>"510577"</f>
        <v>510577</v>
      </c>
      <c r="B23567" s="2" t="str">
        <f>"TERM. TZIG 100.2 100ºC 12B H1/4 X 150MM"</f>
        <v>TERM. TZIG 100.2 100ºC 12B H1/4 X 150MM</v>
      </c>
      <c r="C23567" s="2" t="str">
        <f t="shared" si="928"/>
        <v>UN</v>
      </c>
      <c r="D23567" s="7">
        <v>402</v>
      </c>
      <c r="E23567" s="3">
        <v>4</v>
      </c>
      <c r="F23567" s="2">
        <v>9</v>
      </c>
      <c r="G23567" t="s">
        <v>513</v>
      </c>
    </row>
    <row r="23568" spans="1:7" x14ac:dyDescent="0.25">
      <c r="A23568" s="1" t="str">
        <f>"527000"</f>
        <v>527000</v>
      </c>
      <c r="B23568" s="2" t="str">
        <f>"TERM. VAL FESTO MPA-FB-VI53E-F33GCQS-D32P-VCD-N-MAABU-10M"</f>
        <v>TERM. VAL FESTO MPA-FB-VI53E-F33GCQS-D32P-VCD-N-MAABU-10M</v>
      </c>
      <c r="C23568" s="2" t="str">
        <f>"PC"</f>
        <v>PC</v>
      </c>
      <c r="D23568" s="7">
        <v>808</v>
      </c>
      <c r="E23568" s="3">
        <v>10</v>
      </c>
      <c r="F23568" s="2">
        <v>0</v>
      </c>
      <c r="G23568" t="s">
        <v>514</v>
      </c>
    </row>
    <row r="23569" spans="1:7" x14ac:dyDescent="0.25">
      <c r="A23569" s="1" t="str">
        <f>"514457"</f>
        <v>514457</v>
      </c>
      <c r="B23569" s="2" t="str">
        <f>"TERMINADOR OPTICO 4 FIBRAS"</f>
        <v>TERMINADOR OPTICO 4 FIBRAS</v>
      </c>
      <c r="C23569" s="2" t="str">
        <f t="shared" ref="C23569:C23600" si="929">"UN"</f>
        <v>UN</v>
      </c>
      <c r="D23569" s="7">
        <v>401</v>
      </c>
      <c r="E23569" s="3">
        <v>4</v>
      </c>
      <c r="F23569" s="2">
        <v>0</v>
      </c>
      <c r="G23569" t="s">
        <v>515</v>
      </c>
    </row>
    <row r="23570" spans="1:7" x14ac:dyDescent="0.25">
      <c r="A23570" s="1" t="str">
        <f>"510184"</f>
        <v>510184</v>
      </c>
      <c r="B23570" s="2" t="str">
        <f>"TERMINAL"</f>
        <v>TERMINAL</v>
      </c>
      <c r="C23570" s="2" t="str">
        <f t="shared" si="929"/>
        <v>UN</v>
      </c>
      <c r="D23570" s="7">
        <v>402</v>
      </c>
      <c r="E23570" s="3">
        <v>4</v>
      </c>
      <c r="F23570" s="2">
        <v>2</v>
      </c>
      <c r="G23570" t="s">
        <v>512</v>
      </c>
    </row>
    <row r="23571" spans="1:7" x14ac:dyDescent="0.25">
      <c r="A23571" s="1" t="str">
        <f>"514176"</f>
        <v>514176</v>
      </c>
      <c r="B23571" s="2" t="str">
        <f>"TERMINAL / SILICONE / WD 40 / CINTA PLASTICA"</f>
        <v>TERMINAL / SILICONE / WD 40 / CINTA PLASTICA</v>
      </c>
      <c r="C23571" s="2" t="str">
        <f t="shared" si="929"/>
        <v>UN</v>
      </c>
      <c r="D23571" s="7">
        <v>704</v>
      </c>
      <c r="E23571" s="3">
        <v>9</v>
      </c>
      <c r="F23571" s="2">
        <v>5</v>
      </c>
      <c r="G23571" t="s">
        <v>516</v>
      </c>
    </row>
    <row r="23572" spans="1:7" x14ac:dyDescent="0.25">
      <c r="A23572" s="1" t="str">
        <f>"510892"</f>
        <v>510892</v>
      </c>
      <c r="B23572" s="2" t="str">
        <f>"TERMINAL 060156 CAT. 416E"</f>
        <v>TERMINAL 060156 CAT. 416E</v>
      </c>
      <c r="C23572" s="2" t="str">
        <f t="shared" si="929"/>
        <v>UN</v>
      </c>
      <c r="D23572" s="7">
        <v>704</v>
      </c>
      <c r="E23572" s="3">
        <v>9</v>
      </c>
      <c r="F23572" s="2">
        <v>6</v>
      </c>
      <c r="G23572" t="s">
        <v>515</v>
      </c>
    </row>
    <row r="23573" spans="1:7" x14ac:dyDescent="0.25">
      <c r="A23573" s="1" t="str">
        <f>"513058"</f>
        <v>513058</v>
      </c>
      <c r="B23573" s="2" t="str">
        <f>"TERMINAL 512 40-40 MF NPTXMF JIC 2 1/2 X 3"""</f>
        <v>TERMINAL 512 40-40 MF NPTXMF JIC 2 1/2 X 3"</v>
      </c>
      <c r="C23573" s="2" t="str">
        <f t="shared" si="929"/>
        <v>UN</v>
      </c>
      <c r="D23573" s="7">
        <v>914</v>
      </c>
      <c r="E23573" s="3">
        <v>11</v>
      </c>
      <c r="F23573" s="2">
        <v>9</v>
      </c>
      <c r="G23573" t="s">
        <v>514</v>
      </c>
    </row>
    <row r="23574" spans="1:7" x14ac:dyDescent="0.25">
      <c r="A23574" s="1" t="str">
        <f>"513059"</f>
        <v>513059</v>
      </c>
      <c r="B23574" s="2" t="str">
        <f>"TERMINAL 512 50-50 MF NPTXMF JIC 3 X 3 1/2"""</f>
        <v>TERMINAL 512 50-50 MF NPTXMF JIC 3 X 3 1/2"</v>
      </c>
      <c r="C23574" s="2" t="str">
        <f t="shared" si="929"/>
        <v>UN</v>
      </c>
      <c r="D23574" s="7">
        <v>914</v>
      </c>
      <c r="E23574" s="3">
        <v>11</v>
      </c>
      <c r="F23574" s="2">
        <v>5</v>
      </c>
      <c r="G23574" t="s">
        <v>512</v>
      </c>
    </row>
    <row r="23575" spans="1:7" x14ac:dyDescent="0.25">
      <c r="A23575" s="1" t="str">
        <f>"504411"</f>
        <v>504411</v>
      </c>
      <c r="B23575" s="2" t="str">
        <f>"TERMINAL ALUMINIO MACHO FIXO CRMA 1"</f>
        <v>TERMINAL ALUMINIO MACHO FIXO CRMA 1</v>
      </c>
      <c r="C23575" s="2" t="str">
        <f t="shared" si="929"/>
        <v>UN</v>
      </c>
      <c r="D23575" s="7">
        <v>600</v>
      </c>
      <c r="E23575" s="3">
        <v>8</v>
      </c>
      <c r="F23575" s="2">
        <v>3</v>
      </c>
      <c r="G23575" t="s">
        <v>513</v>
      </c>
    </row>
    <row r="23576" spans="1:7" x14ac:dyDescent="0.25">
      <c r="A23576" s="1" t="str">
        <f>"504410"</f>
        <v>504410</v>
      </c>
      <c r="B23576" s="2" t="str">
        <f>"TERMINAL ALUMINIO MACHO FIXO CRMA 3/4"</f>
        <v>TERMINAL ALUMINIO MACHO FIXO CRMA 3/4</v>
      </c>
      <c r="C23576" s="2" t="str">
        <f t="shared" si="929"/>
        <v>UN</v>
      </c>
      <c r="D23576" s="7">
        <v>600</v>
      </c>
      <c r="E23576" s="3">
        <v>8</v>
      </c>
      <c r="F23576" s="2">
        <v>3</v>
      </c>
      <c r="G23576" t="s">
        <v>514</v>
      </c>
    </row>
    <row r="23577" spans="1:7" x14ac:dyDescent="0.25">
      <c r="A23577" s="1" t="str">
        <f>"504412"</f>
        <v>504412</v>
      </c>
      <c r="B23577" s="2" t="str">
        <f>"TERMINAL ALUMINIO MACHO FIXO CRMA-90 1"""</f>
        <v>TERMINAL ALUMINIO MACHO FIXO CRMA-90 1"</v>
      </c>
      <c r="C23577" s="2" t="str">
        <f t="shared" si="929"/>
        <v>UN</v>
      </c>
      <c r="D23577" s="7">
        <v>600</v>
      </c>
      <c r="E23577" s="3">
        <v>8</v>
      </c>
      <c r="F23577" s="2">
        <v>2</v>
      </c>
      <c r="G23577" t="s">
        <v>514</v>
      </c>
    </row>
    <row r="23578" spans="1:7" x14ac:dyDescent="0.25">
      <c r="A23578" s="1" t="str">
        <f>"504413"</f>
        <v>504413</v>
      </c>
      <c r="B23578" s="2" t="str">
        <f>"TERMINAL ALUMINIO MACHO FIXO CRMA-90 3/4"</f>
        <v>TERMINAL ALUMINIO MACHO FIXO CRMA-90 3/4</v>
      </c>
      <c r="C23578" s="2" t="str">
        <f t="shared" si="929"/>
        <v>UN</v>
      </c>
      <c r="D23578" s="7">
        <v>600</v>
      </c>
      <c r="E23578" s="3">
        <v>8</v>
      </c>
      <c r="F23578" s="2">
        <v>1</v>
      </c>
      <c r="G23578" t="s">
        <v>512</v>
      </c>
    </row>
    <row r="23579" spans="1:7" x14ac:dyDescent="0.25">
      <c r="A23579" s="1" t="str">
        <f>"513026"</f>
        <v>513026</v>
      </c>
      <c r="B23579" s="2" t="str">
        <f>"TERMINAL BARRAMENTO MAGNET CONC. DERIV T 3/8"""</f>
        <v>TERMINAL BARRAMENTO MAGNET CONC. DERIV T 3/8"</v>
      </c>
      <c r="C23579" s="2" t="str">
        <f t="shared" si="929"/>
        <v>UN</v>
      </c>
      <c r="D23579" s="7">
        <v>811</v>
      </c>
      <c r="E23579" s="3">
        <v>8</v>
      </c>
      <c r="F23579" s="2">
        <v>4</v>
      </c>
      <c r="G23579" t="s">
        <v>513</v>
      </c>
    </row>
    <row r="23580" spans="1:7" x14ac:dyDescent="0.25">
      <c r="A23580" s="1" t="str">
        <f>"513028"</f>
        <v>513028</v>
      </c>
      <c r="B23580" s="2" t="str">
        <f>"TERMINAL BARRAMENTO MAGNET CONC. TERM. ANGULAR T 3/8"""</f>
        <v>TERMINAL BARRAMENTO MAGNET CONC. TERM. ANGULAR T 3/8"</v>
      </c>
      <c r="C23580" s="2" t="str">
        <f t="shared" si="929"/>
        <v>UN</v>
      </c>
      <c r="D23580" s="7">
        <v>811</v>
      </c>
      <c r="E23580" s="3">
        <v>8</v>
      </c>
      <c r="F23580" s="2">
        <v>1</v>
      </c>
      <c r="G23580" t="s">
        <v>514</v>
      </c>
    </row>
    <row r="23581" spans="1:7" x14ac:dyDescent="0.25">
      <c r="A23581" s="1" t="str">
        <f>"513027"</f>
        <v>513027</v>
      </c>
      <c r="B23581" s="2" t="str">
        <f>"TERMINAL BARRAMENTO MAGNET CONC. TERM. CENTRAL T 3/8"""</f>
        <v>TERMINAL BARRAMENTO MAGNET CONC. TERM. CENTRAL T 3/8"</v>
      </c>
      <c r="C23581" s="2" t="str">
        <f t="shared" si="929"/>
        <v>UN</v>
      </c>
      <c r="D23581" s="7">
        <v>811</v>
      </c>
      <c r="E23581" s="3">
        <v>8</v>
      </c>
      <c r="F23581" s="2">
        <v>2</v>
      </c>
      <c r="G23581" t="s">
        <v>514</v>
      </c>
    </row>
    <row r="23582" spans="1:7" x14ac:dyDescent="0.25">
      <c r="A23582" s="1" t="str">
        <f>"502163"</f>
        <v>502163</v>
      </c>
      <c r="B23582" s="2" t="str">
        <f>"TERMINAL BATERIA TOYOTA FBRE 15"</f>
        <v>TERMINAL BATERIA TOYOTA FBRE 15</v>
      </c>
      <c r="C23582" s="2" t="str">
        <f t="shared" si="929"/>
        <v>UN</v>
      </c>
      <c r="D23582" s="7">
        <v>900</v>
      </c>
      <c r="E23582" s="3">
        <v>11</v>
      </c>
      <c r="F23582" s="2">
        <v>7</v>
      </c>
      <c r="G23582" t="s">
        <v>514</v>
      </c>
    </row>
    <row r="23583" spans="1:7" x14ac:dyDescent="0.25">
      <c r="A23583" s="1" t="str">
        <f>"506370"</f>
        <v>506370</v>
      </c>
      <c r="B23583" s="2" t="str">
        <f>"TERMINAL COD. 9125510600 EMPILH. FG25"</f>
        <v>TERMINAL COD. 9125510600 EMPILH. FG25</v>
      </c>
      <c r="C23583" s="2" t="str">
        <f t="shared" si="929"/>
        <v>UN</v>
      </c>
      <c r="D23583" s="7">
        <v>900</v>
      </c>
      <c r="E23583" s="3">
        <v>11</v>
      </c>
      <c r="F23583" s="2">
        <v>9</v>
      </c>
      <c r="G23583" t="s">
        <v>513</v>
      </c>
    </row>
    <row r="23584" spans="1:7" x14ac:dyDescent="0.25">
      <c r="A23584" s="1" t="str">
        <f>"512128"</f>
        <v>512128</v>
      </c>
      <c r="B23584" s="2" t="str">
        <f>"TERMINAL COD. CT3312"</f>
        <v>TERMINAL COD. CT3312</v>
      </c>
      <c r="C23584" s="2" t="str">
        <f t="shared" si="929"/>
        <v>UN</v>
      </c>
      <c r="D23584" s="7">
        <v>600</v>
      </c>
      <c r="E23584" s="3">
        <v>8</v>
      </c>
      <c r="F23584" s="2">
        <v>0</v>
      </c>
      <c r="G23584" t="s">
        <v>512</v>
      </c>
    </row>
    <row r="23585" spans="1:7" x14ac:dyDescent="0.25">
      <c r="A23585" s="1" t="str">
        <f>"512129"</f>
        <v>512129</v>
      </c>
      <c r="B23585" s="2" t="str">
        <f>"TERMINAL COD. CT3313"</f>
        <v>TERMINAL COD. CT3313</v>
      </c>
      <c r="C23585" s="2" t="str">
        <f t="shared" si="929"/>
        <v>UN</v>
      </c>
      <c r="D23585" s="7">
        <v>600</v>
      </c>
      <c r="E23585" s="3">
        <v>8</v>
      </c>
      <c r="F23585" s="2">
        <v>0</v>
      </c>
      <c r="G23585" t="s">
        <v>513</v>
      </c>
    </row>
    <row r="23586" spans="1:7" x14ac:dyDescent="0.25">
      <c r="A23586" s="1" t="str">
        <f>"512130"</f>
        <v>512130</v>
      </c>
      <c r="B23586" s="2" t="str">
        <f>"TERMINAL COD. CT3314"</f>
        <v>TERMINAL COD. CT3314</v>
      </c>
      <c r="C23586" s="2" t="str">
        <f t="shared" si="929"/>
        <v>UN</v>
      </c>
      <c r="D23586" s="7">
        <v>600</v>
      </c>
      <c r="E23586" s="3">
        <v>8</v>
      </c>
      <c r="F23586" s="2">
        <v>4</v>
      </c>
      <c r="G23586" t="s">
        <v>514</v>
      </c>
    </row>
    <row r="23587" spans="1:7" x14ac:dyDescent="0.25">
      <c r="A23587" s="1" t="str">
        <f>"512131"</f>
        <v>512131</v>
      </c>
      <c r="B23587" s="2" t="str">
        <f>"TERMINAL COD. CT3315"</f>
        <v>TERMINAL COD. CT3315</v>
      </c>
      <c r="C23587" s="2" t="str">
        <f t="shared" si="929"/>
        <v>UN</v>
      </c>
      <c r="D23587" s="7">
        <v>600</v>
      </c>
      <c r="E23587" s="3">
        <v>8</v>
      </c>
      <c r="F23587" s="2">
        <v>1</v>
      </c>
      <c r="G23587" t="s">
        <v>514</v>
      </c>
    </row>
    <row r="23588" spans="1:7" x14ac:dyDescent="0.25">
      <c r="A23588" s="1" t="str">
        <f>"518848"</f>
        <v>518848</v>
      </c>
      <c r="B23588" s="2" t="str">
        <f>"TERMINAL COMPRESSÃO 240MM"</f>
        <v>TERMINAL COMPRESSÃO 240MM</v>
      </c>
      <c r="C23588" s="2" t="str">
        <f t="shared" si="929"/>
        <v>UN</v>
      </c>
      <c r="D23588" s="7">
        <v>900</v>
      </c>
      <c r="E23588" s="3">
        <v>11</v>
      </c>
      <c r="F23588" s="2">
        <v>2</v>
      </c>
      <c r="G23588" t="s">
        <v>514</v>
      </c>
    </row>
    <row r="23589" spans="1:7" x14ac:dyDescent="0.25">
      <c r="A23589" s="1" t="str">
        <f>"527924"</f>
        <v>527924</v>
      </c>
      <c r="B23589" s="2" t="str">
        <f>"TERMINAL CRIMPAVEL LISO LVH/LW"</f>
        <v>TERMINAL CRIMPAVEL LISO LVH/LW</v>
      </c>
      <c r="C23589" s="2" t="str">
        <f t="shared" si="929"/>
        <v>UN</v>
      </c>
      <c r="D23589" s="7">
        <v>917</v>
      </c>
      <c r="E23589" s="3">
        <v>10</v>
      </c>
      <c r="F23589" s="2">
        <v>7</v>
      </c>
      <c r="G23589" t="s">
        <v>513</v>
      </c>
    </row>
    <row r="23590" spans="1:7" x14ac:dyDescent="0.25">
      <c r="A23590" s="1" t="str">
        <f>"500871"</f>
        <v>500871</v>
      </c>
      <c r="B23590" s="2" t="str">
        <f>"TERMINAL DE COMPRESSAO 01MM"</f>
        <v>TERMINAL DE COMPRESSAO 01MM</v>
      </c>
      <c r="C23590" s="2" t="str">
        <f t="shared" si="929"/>
        <v>UN</v>
      </c>
      <c r="D23590" s="7">
        <v>600</v>
      </c>
      <c r="E23590" s="3">
        <v>8</v>
      </c>
      <c r="F23590" s="2">
        <v>9</v>
      </c>
      <c r="G23590" t="s">
        <v>513</v>
      </c>
    </row>
    <row r="23591" spans="1:7" x14ac:dyDescent="0.25">
      <c r="A23591" s="1" t="str">
        <f>"503693"</f>
        <v>503693</v>
      </c>
      <c r="B23591" s="2" t="str">
        <f>"TERMINAL DE COMPRESSAO 06MM"</f>
        <v>TERMINAL DE COMPRESSAO 06MM</v>
      </c>
      <c r="C23591" s="2" t="str">
        <f t="shared" si="929"/>
        <v>UN</v>
      </c>
      <c r="D23591" s="7">
        <v>600</v>
      </c>
      <c r="E23591" s="3">
        <v>8</v>
      </c>
      <c r="F23591" s="5">
        <v>5</v>
      </c>
      <c r="G23591" t="s">
        <v>513</v>
      </c>
    </row>
    <row r="23592" spans="1:7" x14ac:dyDescent="0.25">
      <c r="A23592" s="1" t="str">
        <f>"502524"</f>
        <v>502524</v>
      </c>
      <c r="B23592" s="2" t="str">
        <f>"TERMINAL DE COMPRESSAO 10MM"</f>
        <v>TERMINAL DE COMPRESSAO 10MM</v>
      </c>
      <c r="C23592" s="2" t="str">
        <f t="shared" si="929"/>
        <v>UN</v>
      </c>
      <c r="D23592" s="7">
        <v>600</v>
      </c>
      <c r="E23592" s="3">
        <v>8</v>
      </c>
      <c r="F23592" s="2">
        <v>3</v>
      </c>
      <c r="G23592" t="s">
        <v>512</v>
      </c>
    </row>
    <row r="23593" spans="1:7" x14ac:dyDescent="0.25">
      <c r="A23593" s="1" t="str">
        <f>"508958"</f>
        <v>508958</v>
      </c>
      <c r="B23593" s="2" t="str">
        <f>"TERMINAL DE COMPRESSAO 120MM"</f>
        <v>TERMINAL DE COMPRESSAO 120MM</v>
      </c>
      <c r="C23593" s="2" t="str">
        <f t="shared" si="929"/>
        <v>UN</v>
      </c>
      <c r="D23593" s="7">
        <v>600</v>
      </c>
      <c r="E23593" s="3">
        <v>8</v>
      </c>
      <c r="F23593" s="2">
        <v>8</v>
      </c>
      <c r="G23593" t="s">
        <v>513</v>
      </c>
    </row>
    <row r="23594" spans="1:7" x14ac:dyDescent="0.25">
      <c r="A23594" s="1" t="str">
        <f>"515992"</f>
        <v>515992</v>
      </c>
      <c r="B23594" s="2" t="str">
        <f>"TERMINAL DE COMPRESSAO 150MM"</f>
        <v>TERMINAL DE COMPRESSAO 150MM</v>
      </c>
      <c r="C23594" s="2" t="str">
        <f t="shared" si="929"/>
        <v>UN</v>
      </c>
      <c r="D23594" s="7">
        <v>99999</v>
      </c>
      <c r="E23594" s="3">
        <v>10</v>
      </c>
      <c r="F23594" s="2">
        <v>6</v>
      </c>
      <c r="G23594" t="s">
        <v>514</v>
      </c>
    </row>
    <row r="23595" spans="1:7" x14ac:dyDescent="0.25">
      <c r="A23595" s="1" t="str">
        <f>"502525"</f>
        <v>502525</v>
      </c>
      <c r="B23595" s="2" t="str">
        <f>"TERMINAL DE COMPRESSAO 16MM"</f>
        <v>TERMINAL DE COMPRESSAO 16MM</v>
      </c>
      <c r="C23595" s="2" t="str">
        <f t="shared" si="929"/>
        <v>UN</v>
      </c>
      <c r="D23595" s="7">
        <v>600</v>
      </c>
      <c r="E23595" s="3">
        <v>8</v>
      </c>
      <c r="F23595" s="2">
        <v>4</v>
      </c>
      <c r="G23595" t="s">
        <v>515</v>
      </c>
    </row>
    <row r="23596" spans="1:7" x14ac:dyDescent="0.25">
      <c r="A23596" s="1" t="str">
        <f>"511270"</f>
        <v>511270</v>
      </c>
      <c r="B23596" s="2" t="str">
        <f>"TERMINAL DE COMPRESSAO 180MM"</f>
        <v>TERMINAL DE COMPRESSAO 180MM</v>
      </c>
      <c r="C23596" s="2" t="str">
        <f t="shared" si="929"/>
        <v>UN</v>
      </c>
      <c r="D23596" s="7">
        <v>600</v>
      </c>
      <c r="E23596" s="3">
        <v>8</v>
      </c>
      <c r="F23596" s="2">
        <v>1</v>
      </c>
      <c r="G23596" t="s">
        <v>512</v>
      </c>
    </row>
    <row r="23597" spans="1:7" x14ac:dyDescent="0.25">
      <c r="A23597" s="1" t="str">
        <f>"501639"</f>
        <v>501639</v>
      </c>
      <c r="B23597" s="2" t="str">
        <f>"TERMINAL DE COMPRESSAO 2,5MM"</f>
        <v>TERMINAL DE COMPRESSAO 2,5MM</v>
      </c>
      <c r="C23597" s="2" t="str">
        <f t="shared" si="929"/>
        <v>UN</v>
      </c>
      <c r="D23597" s="7">
        <v>600</v>
      </c>
      <c r="E23597" s="3">
        <v>8</v>
      </c>
      <c r="F23597" s="2">
        <v>2</v>
      </c>
      <c r="G23597" t="s">
        <v>516</v>
      </c>
    </row>
    <row r="23598" spans="1:7" x14ac:dyDescent="0.25">
      <c r="A23598" s="1" t="str">
        <f>"509779"</f>
        <v>509779</v>
      </c>
      <c r="B23598" s="2" t="str">
        <f>"TERMINAL DE COMPRESSAO 240MM"</f>
        <v>TERMINAL DE COMPRESSAO 240MM</v>
      </c>
      <c r="C23598" s="2" t="str">
        <f t="shared" si="929"/>
        <v>UN</v>
      </c>
      <c r="D23598" s="7">
        <v>600</v>
      </c>
      <c r="E23598" s="3">
        <v>8</v>
      </c>
      <c r="F23598" s="2">
        <v>7</v>
      </c>
      <c r="G23598" t="s">
        <v>515</v>
      </c>
    </row>
    <row r="23599" spans="1:7" x14ac:dyDescent="0.25">
      <c r="A23599" s="1" t="str">
        <f>"503792"</f>
        <v>503792</v>
      </c>
      <c r="B23599" s="2" t="str">
        <f>"TERMINAL DE COMPRESSAO 25MM"</f>
        <v>TERMINAL DE COMPRESSAO 25MM</v>
      </c>
      <c r="C23599" s="2" t="str">
        <f t="shared" si="929"/>
        <v>UN</v>
      </c>
      <c r="D23599" s="7">
        <v>600</v>
      </c>
      <c r="E23599" s="3">
        <v>8</v>
      </c>
      <c r="F23599" s="2">
        <v>9</v>
      </c>
      <c r="G23599" t="s">
        <v>514</v>
      </c>
    </row>
    <row r="23600" spans="1:7" x14ac:dyDescent="0.25">
      <c r="A23600" s="1" t="str">
        <f>"503187"</f>
        <v>503187</v>
      </c>
      <c r="B23600" s="2" t="str">
        <f>"TERMINAL DE COMPRESSAO 35MM"</f>
        <v>TERMINAL DE COMPRESSAO 35MM</v>
      </c>
      <c r="C23600" s="2" t="str">
        <f t="shared" si="929"/>
        <v>UN</v>
      </c>
      <c r="D23600" s="7">
        <v>600</v>
      </c>
      <c r="E23600" s="3">
        <v>8</v>
      </c>
      <c r="F23600" s="2">
        <v>0</v>
      </c>
      <c r="G23600" t="s">
        <v>512</v>
      </c>
    </row>
    <row r="23601" spans="1:7" x14ac:dyDescent="0.25">
      <c r="A23601" s="1" t="str">
        <f>"500834"</f>
        <v>500834</v>
      </c>
      <c r="B23601" s="2" t="str">
        <f>"TERMINAL DE COMPRESSAO 50MM"</f>
        <v>TERMINAL DE COMPRESSAO 50MM</v>
      </c>
      <c r="C23601" s="2" t="str">
        <f t="shared" ref="C23601:C23632" si="930">"UN"</f>
        <v>UN</v>
      </c>
      <c r="D23601" s="7">
        <v>600</v>
      </c>
      <c r="E23601" s="3">
        <v>8</v>
      </c>
      <c r="F23601" s="2">
        <v>0</v>
      </c>
      <c r="G23601" t="s">
        <v>513</v>
      </c>
    </row>
    <row r="23602" spans="1:7" x14ac:dyDescent="0.25">
      <c r="A23602" s="1" t="str">
        <f>"522169"</f>
        <v>522169</v>
      </c>
      <c r="B23602" s="2" t="str">
        <f>"TERMINAL DE COMPRESSAO 50MM 2 FUROS"</f>
        <v>TERMINAL DE COMPRESSAO 50MM 2 FUROS</v>
      </c>
      <c r="C23602" s="2" t="str">
        <f t="shared" si="930"/>
        <v>UN</v>
      </c>
      <c r="D23602" s="7">
        <v>600</v>
      </c>
      <c r="E23602" s="3">
        <v>8</v>
      </c>
      <c r="F23602" s="2">
        <v>2</v>
      </c>
      <c r="G23602" t="s">
        <v>514</v>
      </c>
    </row>
    <row r="23603" spans="1:7" x14ac:dyDescent="0.25">
      <c r="A23603" s="1" t="str">
        <f>"503080"</f>
        <v>503080</v>
      </c>
      <c r="B23603" s="2" t="str">
        <f>"TERMINAL DE COMPRESSAO 70MM"</f>
        <v>TERMINAL DE COMPRESSAO 70MM</v>
      </c>
      <c r="C23603" s="2" t="str">
        <f t="shared" si="930"/>
        <v>UN</v>
      </c>
      <c r="D23603" s="7">
        <v>600</v>
      </c>
      <c r="E23603" s="3">
        <v>8</v>
      </c>
      <c r="F23603" s="2">
        <v>5</v>
      </c>
      <c r="G23603" t="s">
        <v>514</v>
      </c>
    </row>
    <row r="23604" spans="1:7" x14ac:dyDescent="0.25">
      <c r="A23604" s="1" t="str">
        <f>"503081"</f>
        <v>503081</v>
      </c>
      <c r="B23604" s="2" t="str">
        <f>"TERMINAL DE COMPRESSAO 95MM"</f>
        <v>TERMINAL DE COMPRESSAO 95MM</v>
      </c>
      <c r="C23604" s="2" t="str">
        <f t="shared" si="930"/>
        <v>UN</v>
      </c>
      <c r="D23604" s="7">
        <v>600</v>
      </c>
      <c r="E23604" s="3">
        <v>8</v>
      </c>
      <c r="F23604" s="2">
        <v>6</v>
      </c>
      <c r="G23604" t="s">
        <v>512</v>
      </c>
    </row>
    <row r="23605" spans="1:7" x14ac:dyDescent="0.25">
      <c r="A23605" s="1" t="str">
        <f>"513990"</f>
        <v>513990</v>
      </c>
      <c r="B23605" s="2" t="str">
        <f>"TERMINAL DE FIO"</f>
        <v>TERMINAL DE FIO</v>
      </c>
      <c r="C23605" s="2" t="str">
        <f t="shared" si="930"/>
        <v>UN</v>
      </c>
      <c r="D23605" s="7">
        <v>704</v>
      </c>
      <c r="E23605" s="3">
        <v>9</v>
      </c>
      <c r="F23605" s="2">
        <v>9</v>
      </c>
      <c r="G23605" t="s">
        <v>513</v>
      </c>
    </row>
    <row r="23606" spans="1:7" x14ac:dyDescent="0.25">
      <c r="A23606" s="1" t="str">
        <f>"503085"</f>
        <v>503085</v>
      </c>
      <c r="B23606" s="2" t="str">
        <f>"TERMINAL DE PRESSAO 120MM"</f>
        <v>TERMINAL DE PRESSAO 120MM</v>
      </c>
      <c r="C23606" s="2" t="str">
        <f t="shared" si="930"/>
        <v>UN</v>
      </c>
      <c r="D23606" s="7">
        <v>600</v>
      </c>
      <c r="E23606" s="3">
        <v>8</v>
      </c>
      <c r="F23606" s="2">
        <v>5</v>
      </c>
      <c r="G23606" t="s">
        <v>514</v>
      </c>
    </row>
    <row r="23607" spans="1:7" x14ac:dyDescent="0.25">
      <c r="A23607" s="1" t="str">
        <f>"507293"</f>
        <v>507293</v>
      </c>
      <c r="B23607" s="2" t="str">
        <f>"TERMINAL DE PRESSAO 16MM"</f>
        <v>TERMINAL DE PRESSAO 16MM</v>
      </c>
      <c r="C23607" s="2" t="str">
        <f t="shared" si="930"/>
        <v>UN</v>
      </c>
      <c r="D23607" s="7">
        <v>600</v>
      </c>
      <c r="E23607" s="3">
        <v>8</v>
      </c>
      <c r="F23607" s="2">
        <v>3</v>
      </c>
      <c r="G23607" t="s">
        <v>514</v>
      </c>
    </row>
    <row r="23608" spans="1:7" x14ac:dyDescent="0.25">
      <c r="A23608" s="1" t="str">
        <f>"503084"</f>
        <v>503084</v>
      </c>
      <c r="B23608" s="2" t="str">
        <f>"TERMINAL DE PRESSAO 185MM"</f>
        <v>TERMINAL DE PRESSAO 185MM</v>
      </c>
      <c r="C23608" s="2" t="str">
        <f t="shared" si="930"/>
        <v>UN</v>
      </c>
      <c r="D23608" s="7">
        <v>600</v>
      </c>
      <c r="E23608" s="3">
        <v>8</v>
      </c>
      <c r="F23608" s="2">
        <v>3</v>
      </c>
      <c r="G23608" t="s">
        <v>514</v>
      </c>
    </row>
    <row r="23609" spans="1:7" x14ac:dyDescent="0.25">
      <c r="A23609" s="1" t="str">
        <f>"522690"</f>
        <v>522690</v>
      </c>
      <c r="B23609" s="2" t="str">
        <f>"TERMINAL DE PRESSAO 240MM"</f>
        <v>TERMINAL DE PRESSAO 240MM</v>
      </c>
      <c r="C23609" s="2" t="str">
        <f t="shared" si="930"/>
        <v>UN</v>
      </c>
      <c r="D23609" s="7">
        <v>600</v>
      </c>
      <c r="E23609" s="3">
        <v>8</v>
      </c>
      <c r="F23609" s="2">
        <v>2</v>
      </c>
      <c r="G23609" t="s">
        <v>513</v>
      </c>
    </row>
    <row r="23610" spans="1:7" x14ac:dyDescent="0.25">
      <c r="A23610" s="1" t="str">
        <f>"503791"</f>
        <v>503791</v>
      </c>
      <c r="B23610" s="2" t="str">
        <f>"TERMINAL DE PRESSAO 35MM"</f>
        <v>TERMINAL DE PRESSAO 35MM</v>
      </c>
      <c r="C23610" s="2" t="str">
        <f t="shared" si="930"/>
        <v>UN</v>
      </c>
      <c r="D23610" s="7">
        <v>600</v>
      </c>
      <c r="E23610" s="3">
        <v>8</v>
      </c>
      <c r="F23610" s="2">
        <v>1</v>
      </c>
      <c r="G23610" t="s">
        <v>512</v>
      </c>
    </row>
    <row r="23611" spans="1:7" x14ac:dyDescent="0.25">
      <c r="A23611" s="1" t="str">
        <f>"503086"</f>
        <v>503086</v>
      </c>
      <c r="B23611" s="2" t="str">
        <f>"TERMINAL DE PRESSAO 50MM"</f>
        <v>TERMINAL DE PRESSAO 50MM</v>
      </c>
      <c r="C23611" s="2" t="str">
        <f t="shared" si="930"/>
        <v>UN</v>
      </c>
      <c r="D23611" s="7">
        <v>600</v>
      </c>
      <c r="E23611" s="3">
        <v>8</v>
      </c>
      <c r="F23611" s="2">
        <v>4</v>
      </c>
      <c r="G23611" t="s">
        <v>513</v>
      </c>
    </row>
    <row r="23612" spans="1:7" x14ac:dyDescent="0.25">
      <c r="A23612" s="1" t="str">
        <f>"503082"</f>
        <v>503082</v>
      </c>
      <c r="B23612" s="2" t="str">
        <f>"TERMINAL DE PRESSAO 70MM"</f>
        <v>TERMINAL DE PRESSAO 70MM</v>
      </c>
      <c r="C23612" s="2" t="str">
        <f t="shared" si="930"/>
        <v>UN</v>
      </c>
      <c r="D23612" s="7">
        <v>600</v>
      </c>
      <c r="E23612" s="3">
        <v>8</v>
      </c>
      <c r="F23612" s="2">
        <v>6</v>
      </c>
      <c r="G23612" t="s">
        <v>514</v>
      </c>
    </row>
    <row r="23613" spans="1:7" x14ac:dyDescent="0.25">
      <c r="A23613" s="1" t="str">
        <f>"503083"</f>
        <v>503083</v>
      </c>
      <c r="B23613" s="2" t="str">
        <f>"TERMINAL DE PRESSAO 95MM"</f>
        <v>TERMINAL DE PRESSAO 95MM</v>
      </c>
      <c r="C23613" s="2" t="str">
        <f t="shared" si="930"/>
        <v>UN</v>
      </c>
      <c r="D23613" s="7">
        <v>600</v>
      </c>
      <c r="E23613" s="3">
        <v>8</v>
      </c>
      <c r="F23613" s="2">
        <v>8</v>
      </c>
      <c r="G23613" t="s">
        <v>514</v>
      </c>
    </row>
    <row r="23614" spans="1:7" x14ac:dyDescent="0.25">
      <c r="A23614" s="1" t="str">
        <f>"513669"</f>
        <v>513669</v>
      </c>
      <c r="B23614" s="2" t="str">
        <f>"TERMINAL DIGITAL NKT 4245I GRAFITE INTELBRAS"</f>
        <v>TERMINAL DIGITAL NKT 4245I GRAFITE INTELBRAS</v>
      </c>
      <c r="C23614" s="2" t="str">
        <f t="shared" si="930"/>
        <v>UN</v>
      </c>
      <c r="D23614" s="7">
        <v>811</v>
      </c>
      <c r="E23614" s="3">
        <v>8</v>
      </c>
      <c r="F23614" s="2">
        <v>7</v>
      </c>
      <c r="G23614" t="s">
        <v>514</v>
      </c>
    </row>
    <row r="23615" spans="1:7" x14ac:dyDescent="0.25">
      <c r="A23615" s="1" t="str">
        <f>"511576"</f>
        <v>511576</v>
      </c>
      <c r="B23615" s="2" t="str">
        <f>"TERMINAL DIREÇAO LADO DIREITO"</f>
        <v>TERMINAL DIREÇAO LADO DIREITO</v>
      </c>
      <c r="C23615" s="2" t="str">
        <f t="shared" si="930"/>
        <v>UN</v>
      </c>
      <c r="D23615" s="7">
        <v>99999</v>
      </c>
      <c r="E23615" s="3">
        <v>99</v>
      </c>
      <c r="F23615" s="2">
        <v>6</v>
      </c>
      <c r="G23615" t="s">
        <v>513</v>
      </c>
    </row>
    <row r="23616" spans="1:7" x14ac:dyDescent="0.25">
      <c r="A23616" s="1" t="str">
        <f>"511575"</f>
        <v>511575</v>
      </c>
      <c r="B23616" s="2" t="str">
        <f>"TERMINAL DIREÇAO LADO ESQUERDO"</f>
        <v>TERMINAL DIREÇAO LADO ESQUERDO</v>
      </c>
      <c r="C23616" s="2" t="str">
        <f t="shared" si="930"/>
        <v>UN</v>
      </c>
      <c r="D23616" s="7">
        <v>704</v>
      </c>
      <c r="E23616" s="3">
        <v>9</v>
      </c>
      <c r="F23616" s="2">
        <v>6</v>
      </c>
      <c r="G23616" t="s">
        <v>513</v>
      </c>
    </row>
    <row r="23617" spans="1:7" x14ac:dyDescent="0.25">
      <c r="A23617" s="1" t="str">
        <f>"514186"</f>
        <v>514186</v>
      </c>
      <c r="B23617" s="2" t="str">
        <f>"TERMINAL ELETRICO"</f>
        <v>TERMINAL ELETRICO</v>
      </c>
      <c r="C23617" s="2" t="str">
        <f t="shared" si="930"/>
        <v>UN</v>
      </c>
      <c r="D23617" s="7">
        <v>704</v>
      </c>
      <c r="E23617" s="3">
        <v>9</v>
      </c>
      <c r="F23617" s="2">
        <v>2</v>
      </c>
      <c r="G23617" t="s">
        <v>513</v>
      </c>
    </row>
    <row r="23618" spans="1:7" x14ac:dyDescent="0.25">
      <c r="A23618" s="1" t="str">
        <f>"513953"</f>
        <v>513953</v>
      </c>
      <c r="B23618" s="2" t="str">
        <f>"TERMINAL EMENDA AMAR"</f>
        <v>TERMINAL EMENDA AMAR</v>
      </c>
      <c r="C23618" s="2" t="str">
        <f t="shared" si="930"/>
        <v>UN</v>
      </c>
      <c r="D23618" s="7">
        <v>99999</v>
      </c>
      <c r="E23618" s="3">
        <v>99</v>
      </c>
      <c r="F23618" s="2">
        <v>1</v>
      </c>
      <c r="G23618" t="s">
        <v>512</v>
      </c>
    </row>
    <row r="23619" spans="1:7" x14ac:dyDescent="0.25">
      <c r="A23619" s="1" t="str">
        <f>"500413"</f>
        <v>500413</v>
      </c>
      <c r="B23619" s="2" t="str">
        <f>"TERMINAL EMENDA AZUL 1,5-2,5MM"</f>
        <v>TERMINAL EMENDA AZUL 1,5-2,5MM</v>
      </c>
      <c r="C23619" s="2" t="str">
        <f t="shared" si="930"/>
        <v>UN</v>
      </c>
      <c r="D23619" s="7">
        <v>600</v>
      </c>
      <c r="E23619" s="3">
        <v>8</v>
      </c>
      <c r="F23619" s="2">
        <v>0</v>
      </c>
      <c r="G23619" t="s">
        <v>513</v>
      </c>
    </row>
    <row r="23620" spans="1:7" x14ac:dyDescent="0.25">
      <c r="A23620" s="1" t="str">
        <f>"505504"</f>
        <v>505504</v>
      </c>
      <c r="B23620" s="2" t="str">
        <f>"TERMINAL ESCAPAMENTO"</f>
        <v>TERMINAL ESCAPAMENTO</v>
      </c>
      <c r="C23620" s="2" t="str">
        <f t="shared" si="930"/>
        <v>UN</v>
      </c>
      <c r="D23620" s="7">
        <v>704</v>
      </c>
      <c r="E23620" s="3">
        <v>9</v>
      </c>
      <c r="F23620" s="2">
        <v>0</v>
      </c>
      <c r="G23620" t="s">
        <v>514</v>
      </c>
    </row>
    <row r="23621" spans="1:7" x14ac:dyDescent="0.25">
      <c r="A23621" s="1" t="str">
        <f>"526615"</f>
        <v>526615</v>
      </c>
      <c r="B23621" s="2" t="str">
        <f>"TERMINAL ET200 PM-P15S23-A0 MOD.ALIMEN.15MM 2.3 CONEX PARAF"</f>
        <v>TERMINAL ET200 PM-P15S23-A0 MOD.ALIMEN.15MM 2.3 CONEX PARAF</v>
      </c>
      <c r="C23621" s="2" t="str">
        <f t="shared" si="930"/>
        <v>UN</v>
      </c>
      <c r="D23621" s="7">
        <v>811</v>
      </c>
      <c r="E23621" s="3">
        <v>8</v>
      </c>
      <c r="F23621" s="2">
        <v>0</v>
      </c>
      <c r="G23621" t="s">
        <v>515</v>
      </c>
    </row>
    <row r="23622" spans="1:7" x14ac:dyDescent="0.25">
      <c r="A23622" s="1" t="str">
        <f>"515521"</f>
        <v>515521</v>
      </c>
      <c r="B23622" s="2" t="str">
        <f>"TERMINAL ET200S TM-P15S23-A0"</f>
        <v>TERMINAL ET200S TM-P15S23-A0</v>
      </c>
      <c r="C23622" s="2" t="str">
        <f t="shared" si="930"/>
        <v>UN</v>
      </c>
      <c r="D23622" s="7">
        <v>811</v>
      </c>
      <c r="E23622" s="3">
        <v>8</v>
      </c>
      <c r="F23622" s="2">
        <v>3</v>
      </c>
      <c r="G23622" t="s">
        <v>512</v>
      </c>
    </row>
    <row r="23623" spans="1:7" x14ac:dyDescent="0.25">
      <c r="A23623" s="1" t="str">
        <f>"526869"</f>
        <v>526869</v>
      </c>
      <c r="B23623" s="2" t="str">
        <f>"TERMINAL ET200S TM-P15S23-A0"</f>
        <v>TERMINAL ET200S TM-P15S23-A0</v>
      </c>
      <c r="C23623" s="2" t="str">
        <f t="shared" si="930"/>
        <v>UN</v>
      </c>
      <c r="D23623" s="7">
        <v>601</v>
      </c>
      <c r="E23623" s="3">
        <v>8</v>
      </c>
      <c r="F23623" s="5">
        <v>5</v>
      </c>
      <c r="G23623" t="s">
        <v>516</v>
      </c>
    </row>
    <row r="23624" spans="1:7" x14ac:dyDescent="0.25">
      <c r="A23624" s="1" t="str">
        <f>"513461"</f>
        <v>513461</v>
      </c>
      <c r="B23624" s="2" t="str">
        <f>"TERMINAL FEMEA 6MM AMARELO EF-4240"</f>
        <v>TERMINAL FEMEA 6MM AMARELO EF-4240</v>
      </c>
      <c r="C23624" s="2" t="str">
        <f t="shared" si="930"/>
        <v>UN</v>
      </c>
      <c r="D23624" s="7">
        <v>600</v>
      </c>
      <c r="E23624" s="3">
        <v>8</v>
      </c>
      <c r="F23624" s="2">
        <v>3</v>
      </c>
      <c r="G23624" t="s">
        <v>515</v>
      </c>
    </row>
    <row r="23625" spans="1:7" x14ac:dyDescent="0.25">
      <c r="A23625" s="1" t="str">
        <f>"507034"</f>
        <v>507034</v>
      </c>
      <c r="B23625" s="2" t="str">
        <f>"TERMINAL FEMEA EF-4240"</f>
        <v>TERMINAL FEMEA EF-4240</v>
      </c>
      <c r="C23625" s="2" t="str">
        <f t="shared" si="930"/>
        <v>UN</v>
      </c>
      <c r="D23625" s="7">
        <v>600</v>
      </c>
      <c r="E23625" s="3">
        <v>8</v>
      </c>
      <c r="F23625" s="2">
        <v>8</v>
      </c>
      <c r="G23625" t="s">
        <v>514</v>
      </c>
    </row>
    <row r="23626" spans="1:7" x14ac:dyDescent="0.25">
      <c r="A23626" s="1" t="str">
        <f>"520940"</f>
        <v>520940</v>
      </c>
      <c r="B23626" s="2" t="str">
        <f>"TERMINAL ILHOS TUBULAR 2,5MM"</f>
        <v>TERMINAL ILHOS TUBULAR 2,5MM</v>
      </c>
      <c r="C23626" s="2" t="str">
        <f t="shared" si="930"/>
        <v>UN</v>
      </c>
      <c r="D23626" s="7">
        <v>811</v>
      </c>
      <c r="E23626" s="3">
        <v>8</v>
      </c>
      <c r="F23626" s="2">
        <v>6</v>
      </c>
      <c r="G23626" t="s">
        <v>512</v>
      </c>
    </row>
    <row r="23627" spans="1:7" x14ac:dyDescent="0.25">
      <c r="A23627" s="1" t="str">
        <f>"515537"</f>
        <v>515537</v>
      </c>
      <c r="B23627" s="2" t="str">
        <f>"TERMINAL ILHOS TUBULAR DUPLO 1,5MM"</f>
        <v>TERMINAL ILHOS TUBULAR DUPLO 1,5MM</v>
      </c>
      <c r="C23627" s="2" t="str">
        <f t="shared" si="930"/>
        <v>UN</v>
      </c>
      <c r="D23627" s="7">
        <v>811</v>
      </c>
      <c r="E23627" s="3">
        <v>8</v>
      </c>
      <c r="F23627" s="2">
        <v>4</v>
      </c>
      <c r="G23627" t="s">
        <v>513</v>
      </c>
    </row>
    <row r="23628" spans="1:7" x14ac:dyDescent="0.25">
      <c r="A23628" s="1" t="str">
        <f>"527841"</f>
        <v>527841</v>
      </c>
      <c r="B23628" s="2" t="str">
        <f>"TERMINAL INDUSTRIAL TI310"</f>
        <v>TERMINAL INDUSTRIAL TI310</v>
      </c>
      <c r="C23628" s="2" t="str">
        <f t="shared" si="930"/>
        <v>UN</v>
      </c>
      <c r="D23628" s="7">
        <v>1500</v>
      </c>
      <c r="E23628" s="3">
        <v>13</v>
      </c>
      <c r="F23628" s="2">
        <v>1</v>
      </c>
      <c r="G23628" t="s">
        <v>514</v>
      </c>
    </row>
    <row r="23629" spans="1:7" x14ac:dyDescent="0.25">
      <c r="A23629" s="1" t="str">
        <f>"501594"</f>
        <v>501594</v>
      </c>
      <c r="B23629" s="2" t="str">
        <f>"TERMINAL ISOLADO 1,5-2,5MM FEMEA EF-4221"</f>
        <v>TERMINAL ISOLADO 1,5-2,5MM FEMEA EF-4221</v>
      </c>
      <c r="C23629" s="2" t="str">
        <f t="shared" si="930"/>
        <v>UN</v>
      </c>
      <c r="D23629" s="7">
        <v>600</v>
      </c>
      <c r="E23629" s="3">
        <v>8</v>
      </c>
      <c r="F23629" s="2">
        <v>2</v>
      </c>
      <c r="G23629" t="s">
        <v>514</v>
      </c>
    </row>
    <row r="23630" spans="1:7" x14ac:dyDescent="0.25">
      <c r="A23630" s="1" t="str">
        <f>"501596"</f>
        <v>501596</v>
      </c>
      <c r="B23630" s="2" t="str">
        <f>"TERMINAL ISOLADO 1,5-2,5MM MACHO"</f>
        <v>TERMINAL ISOLADO 1,5-2,5MM MACHO</v>
      </c>
      <c r="C23630" s="2" t="str">
        <f t="shared" si="930"/>
        <v>UN</v>
      </c>
      <c r="D23630" s="7">
        <v>600</v>
      </c>
      <c r="E23630" s="3">
        <v>8</v>
      </c>
      <c r="F23630" s="2">
        <v>7</v>
      </c>
      <c r="G23630" t="s">
        <v>512</v>
      </c>
    </row>
    <row r="23631" spans="1:7" x14ac:dyDescent="0.25">
      <c r="A23631" s="1" t="str">
        <f>"517902"</f>
        <v>517902</v>
      </c>
      <c r="B23631" s="2" t="str">
        <f>"TERMINAL ISOLADO 1,5MM TUBULAR"</f>
        <v>TERMINAL ISOLADO 1,5MM TUBULAR</v>
      </c>
      <c r="C23631" s="2" t="str">
        <f t="shared" si="930"/>
        <v>UN</v>
      </c>
      <c r="D23631" s="7">
        <v>811</v>
      </c>
      <c r="E23631" s="3">
        <v>8</v>
      </c>
      <c r="F23631" s="2">
        <v>9</v>
      </c>
      <c r="G23631" t="s">
        <v>513</v>
      </c>
    </row>
    <row r="23632" spans="1:7" x14ac:dyDescent="0.25">
      <c r="A23632" s="1" t="str">
        <f>"509702"</f>
        <v>509702</v>
      </c>
      <c r="B23632" s="2" t="str">
        <f>"TERMINAL ISOLADO 10MM PINO"</f>
        <v>TERMINAL ISOLADO 10MM PINO</v>
      </c>
      <c r="C23632" s="2" t="str">
        <f t="shared" si="930"/>
        <v>UN</v>
      </c>
      <c r="D23632" s="7">
        <v>600</v>
      </c>
      <c r="E23632" s="3">
        <v>8</v>
      </c>
      <c r="F23632" s="2">
        <v>0</v>
      </c>
      <c r="G23632" t="s">
        <v>514</v>
      </c>
    </row>
    <row r="23633" spans="1:7" x14ac:dyDescent="0.25">
      <c r="A23633" s="1" t="str">
        <f>"509703"</f>
        <v>509703</v>
      </c>
      <c r="B23633" s="2" t="str">
        <f>"TERMINAL ISOLADO 16MM PINO"</f>
        <v>TERMINAL ISOLADO 16MM PINO</v>
      </c>
      <c r="C23633" s="2" t="str">
        <f t="shared" ref="C23633:C23664" si="931">"UN"</f>
        <v>UN</v>
      </c>
      <c r="D23633" s="7">
        <v>600</v>
      </c>
      <c r="E23633" s="3">
        <v>8</v>
      </c>
      <c r="F23633" s="2">
        <v>0</v>
      </c>
      <c r="G23633" t="s">
        <v>514</v>
      </c>
    </row>
    <row r="23634" spans="1:7" x14ac:dyDescent="0.25">
      <c r="A23634" s="1" t="str">
        <f>"517903"</f>
        <v>517903</v>
      </c>
      <c r="B23634" s="2" t="str">
        <f>"TERMINAL ISOLADO 2,5MM TUBULAR"</f>
        <v>TERMINAL ISOLADO 2,5MM TUBULAR</v>
      </c>
      <c r="C23634" s="2" t="str">
        <f t="shared" si="931"/>
        <v>UN</v>
      </c>
      <c r="D23634" s="7">
        <v>811</v>
      </c>
      <c r="E23634" s="3">
        <v>8</v>
      </c>
      <c r="F23634" s="2">
        <v>2</v>
      </c>
      <c r="G23634" t="s">
        <v>514</v>
      </c>
    </row>
    <row r="23635" spans="1:7" x14ac:dyDescent="0.25">
      <c r="A23635" s="1" t="str">
        <f>"509704"</f>
        <v>509704</v>
      </c>
      <c r="B23635" s="2" t="str">
        <f>"TERMINAL ISOLADO 25MM PINO"</f>
        <v>TERMINAL ISOLADO 25MM PINO</v>
      </c>
      <c r="C23635" s="2" t="str">
        <f t="shared" si="931"/>
        <v>UN</v>
      </c>
      <c r="D23635" s="7">
        <v>600</v>
      </c>
      <c r="E23635" s="3">
        <v>8</v>
      </c>
      <c r="F23635" s="2">
        <v>5</v>
      </c>
      <c r="G23635" t="s">
        <v>513</v>
      </c>
    </row>
    <row r="23636" spans="1:7" x14ac:dyDescent="0.25">
      <c r="A23636" s="1" t="str">
        <f>"517904"</f>
        <v>517904</v>
      </c>
      <c r="B23636" s="2" t="str">
        <f>"TERMINAL ISOLADO 4MM TUBULAR"</f>
        <v>TERMINAL ISOLADO 4MM TUBULAR</v>
      </c>
      <c r="C23636" s="2" t="str">
        <f t="shared" si="931"/>
        <v>UN</v>
      </c>
      <c r="D23636" s="7">
        <v>811</v>
      </c>
      <c r="E23636" s="3">
        <v>8</v>
      </c>
      <c r="F23636" s="2">
        <v>6</v>
      </c>
      <c r="G23636" t="s">
        <v>512</v>
      </c>
    </row>
    <row r="23637" spans="1:7" x14ac:dyDescent="0.25">
      <c r="A23637" s="1" t="str">
        <f>"517905"</f>
        <v>517905</v>
      </c>
      <c r="B23637" s="2" t="str">
        <f>"TERMINAL ISOLADO 6MM TUBULAR"</f>
        <v>TERMINAL ISOLADO 6MM TUBULAR</v>
      </c>
      <c r="C23637" s="2" t="str">
        <f t="shared" si="931"/>
        <v>UN</v>
      </c>
      <c r="D23637" s="7">
        <v>811</v>
      </c>
      <c r="E23637" s="3">
        <v>8</v>
      </c>
      <c r="F23637" s="2">
        <v>9</v>
      </c>
      <c r="G23637" t="s">
        <v>513</v>
      </c>
    </row>
    <row r="23638" spans="1:7" x14ac:dyDescent="0.25">
      <c r="A23638" s="1" t="str">
        <f>"521608"</f>
        <v>521608</v>
      </c>
      <c r="B23638" s="2" t="str">
        <f>"TERMINAL ISOLADO DUPLO 1MM TUBULAR VERMELHO"</f>
        <v>TERMINAL ISOLADO DUPLO 1MM TUBULAR VERMELHO</v>
      </c>
      <c r="C23638" s="2" t="str">
        <f t="shared" si="931"/>
        <v>UN</v>
      </c>
      <c r="D23638" s="7">
        <v>811</v>
      </c>
      <c r="E23638" s="3">
        <v>8</v>
      </c>
      <c r="F23638" s="2">
        <v>5</v>
      </c>
      <c r="G23638" t="s">
        <v>514</v>
      </c>
    </row>
    <row r="23639" spans="1:7" x14ac:dyDescent="0.25">
      <c r="A23639" s="1" t="str">
        <f>"510309"</f>
        <v>510309</v>
      </c>
      <c r="B23639" s="2" t="str">
        <f>"TERMINAL ISOLADO FORQUILHA 0,5-1MM"</f>
        <v>TERMINAL ISOLADO FORQUILHA 0,5-1MM</v>
      </c>
      <c r="C23639" s="2" t="str">
        <f t="shared" si="931"/>
        <v>UN</v>
      </c>
      <c r="D23639" s="7">
        <v>600</v>
      </c>
      <c r="E23639" s="3">
        <v>8</v>
      </c>
      <c r="F23639" s="2">
        <v>3</v>
      </c>
      <c r="G23639" t="s">
        <v>514</v>
      </c>
    </row>
    <row r="23640" spans="1:7" x14ac:dyDescent="0.25">
      <c r="A23640" s="1" t="str">
        <f>"511936"</f>
        <v>511936</v>
      </c>
      <c r="B23640" s="2" t="str">
        <f>"TERMINAL ISOLADO FORQUILHA 0,6 A 1,5MM"</f>
        <v>TERMINAL ISOLADO FORQUILHA 0,6 A 1,5MM</v>
      </c>
      <c r="C23640" s="2" t="str">
        <f t="shared" si="931"/>
        <v>UN</v>
      </c>
      <c r="D23640" s="7">
        <v>600</v>
      </c>
      <c r="E23640" s="3">
        <v>8</v>
      </c>
      <c r="F23640" s="2">
        <v>3</v>
      </c>
      <c r="G23640" t="s">
        <v>514</v>
      </c>
    </row>
    <row r="23641" spans="1:7" x14ac:dyDescent="0.25">
      <c r="A23641" s="1" t="str">
        <f>"511489"</f>
        <v>511489</v>
      </c>
      <c r="B23641" s="2" t="str">
        <f>"TERMINAL ISOLADO FORQUILHA 1,3 A 2,6MM"</f>
        <v>TERMINAL ISOLADO FORQUILHA 1,3 A 2,6MM</v>
      </c>
      <c r="C23641" s="2" t="str">
        <f t="shared" si="931"/>
        <v>UN</v>
      </c>
      <c r="D23641" s="7">
        <v>600</v>
      </c>
      <c r="E23641" s="3">
        <v>8</v>
      </c>
      <c r="F23641" s="2">
        <v>2</v>
      </c>
      <c r="G23641" t="s">
        <v>513</v>
      </c>
    </row>
    <row r="23642" spans="1:7" x14ac:dyDescent="0.25">
      <c r="A23642" s="1" t="str">
        <f>"502709"</f>
        <v>502709</v>
      </c>
      <c r="B23642" s="2" t="str">
        <f>"TERMINAL ISOLADO FORQUILHA 2,5-4MM AMARE"</f>
        <v>TERMINAL ISOLADO FORQUILHA 2,5-4MM AMARE</v>
      </c>
      <c r="C23642" s="2" t="str">
        <f t="shared" si="931"/>
        <v>UN</v>
      </c>
      <c r="D23642" s="7">
        <v>600</v>
      </c>
      <c r="E23642" s="3">
        <v>8</v>
      </c>
      <c r="F23642" s="2">
        <v>1</v>
      </c>
      <c r="G23642" t="s">
        <v>513</v>
      </c>
    </row>
    <row r="23643" spans="1:7" x14ac:dyDescent="0.25">
      <c r="A23643" s="1" t="str">
        <f>"500551"</f>
        <v>500551</v>
      </c>
      <c r="B23643" s="2" t="str">
        <f>"TERMINAL ISOLADO FORQUILHA 2,5MM AZUL"</f>
        <v>TERMINAL ISOLADO FORQUILHA 2,5MM AZUL</v>
      </c>
      <c r="C23643" s="2" t="str">
        <f t="shared" si="931"/>
        <v>UN</v>
      </c>
      <c r="D23643" s="7">
        <v>600</v>
      </c>
      <c r="E23643" s="3">
        <v>8</v>
      </c>
      <c r="F23643" s="2">
        <v>4</v>
      </c>
      <c r="G23643" t="s">
        <v>513</v>
      </c>
    </row>
    <row r="23644" spans="1:7" x14ac:dyDescent="0.25">
      <c r="A23644" s="1" t="str">
        <f>"505837"</f>
        <v>505837</v>
      </c>
      <c r="B23644" s="2" t="str">
        <f>"TERMINAL ISOLADO FORQUILHA TPF-21-4"</f>
        <v>TERMINAL ISOLADO FORQUILHA TPF-21-4</v>
      </c>
      <c r="C23644" s="2" t="str">
        <f t="shared" si="931"/>
        <v>UN</v>
      </c>
      <c r="D23644" s="7">
        <v>600</v>
      </c>
      <c r="E23644" s="3">
        <v>8</v>
      </c>
      <c r="F23644" s="2">
        <v>1</v>
      </c>
      <c r="G23644" t="s">
        <v>512</v>
      </c>
    </row>
    <row r="23645" spans="1:7" x14ac:dyDescent="0.25">
      <c r="A23645" s="1" t="str">
        <f>"518760"</f>
        <v>518760</v>
      </c>
      <c r="B23645" s="2" t="str">
        <f>"TERMINAL ISOLADO GARFO 6,0MM AMARELO"</f>
        <v>TERMINAL ISOLADO GARFO 6,0MM AMARELO</v>
      </c>
      <c r="C23645" s="2" t="str">
        <f t="shared" si="931"/>
        <v>UN</v>
      </c>
      <c r="D23645" s="7">
        <v>600</v>
      </c>
      <c r="E23645" s="3">
        <v>8</v>
      </c>
      <c r="F23645" s="2">
        <v>2</v>
      </c>
      <c r="G23645" t="s">
        <v>513</v>
      </c>
    </row>
    <row r="23646" spans="1:7" x14ac:dyDescent="0.25">
      <c r="A23646" s="1" t="str">
        <f>"505835"</f>
        <v>505835</v>
      </c>
      <c r="B23646" s="2" t="str">
        <f>"TERMINAL ISOLADO ILHOS BR T20"</f>
        <v>TERMINAL ISOLADO ILHOS BR T20</v>
      </c>
      <c r="C23646" s="2" t="str">
        <f t="shared" si="931"/>
        <v>UN</v>
      </c>
      <c r="D23646" s="7">
        <v>600</v>
      </c>
      <c r="E23646" s="3">
        <v>8</v>
      </c>
      <c r="F23646" s="2">
        <v>7</v>
      </c>
      <c r="G23646" t="s">
        <v>514</v>
      </c>
    </row>
    <row r="23647" spans="1:7" x14ac:dyDescent="0.25">
      <c r="A23647" s="1" t="str">
        <f>"503737"</f>
        <v>503737</v>
      </c>
      <c r="B23647" s="2" t="str">
        <f>"TERMINAL ISOLADO ILHOS T22 1,5MM"</f>
        <v>TERMINAL ISOLADO ILHOS T22 1,5MM</v>
      </c>
      <c r="C23647" s="2" t="str">
        <f t="shared" si="931"/>
        <v>UN</v>
      </c>
      <c r="D23647" s="7">
        <v>600</v>
      </c>
      <c r="E23647" s="3">
        <v>8</v>
      </c>
      <c r="F23647" s="2">
        <v>9</v>
      </c>
      <c r="G23647" t="s">
        <v>515</v>
      </c>
    </row>
    <row r="23648" spans="1:7" x14ac:dyDescent="0.25">
      <c r="A23648" s="1" t="str">
        <f>"503738"</f>
        <v>503738</v>
      </c>
      <c r="B23648" s="2" t="str">
        <f>"TERMINAL ISOLADO ILHOS T22-A 2,5MM"</f>
        <v>TERMINAL ISOLADO ILHOS T22-A 2,5MM</v>
      </c>
      <c r="C23648" s="2" t="str">
        <f t="shared" si="931"/>
        <v>UN</v>
      </c>
      <c r="D23648" s="7">
        <v>600</v>
      </c>
      <c r="E23648" s="3">
        <v>8</v>
      </c>
      <c r="F23648" s="2">
        <v>0</v>
      </c>
      <c r="G23648" t="s">
        <v>512</v>
      </c>
    </row>
    <row r="23649" spans="1:7" x14ac:dyDescent="0.25">
      <c r="A23649" s="1" t="str">
        <f>"505836"</f>
        <v>505836</v>
      </c>
      <c r="B23649" s="2" t="str">
        <f>"TERMINAL ISOLADO ILHOS VM T21"</f>
        <v>TERMINAL ISOLADO ILHOS VM T21</v>
      </c>
      <c r="C23649" s="2" t="str">
        <f t="shared" si="931"/>
        <v>UN</v>
      </c>
      <c r="D23649" s="7">
        <v>600</v>
      </c>
      <c r="E23649" s="3">
        <v>8</v>
      </c>
      <c r="F23649" s="2">
        <v>0</v>
      </c>
      <c r="G23649" t="s">
        <v>516</v>
      </c>
    </row>
    <row r="23650" spans="1:7" x14ac:dyDescent="0.25">
      <c r="A23650" s="1" t="str">
        <f>"511491"</f>
        <v>511491</v>
      </c>
      <c r="B23650" s="2" t="str">
        <f>"TERMINAL ISOLADO OLHAL 4 A 6MM  0,5MM TP6-5"</f>
        <v>TERMINAL ISOLADO OLHAL 4 A 6MM  0,5MM TP6-5</v>
      </c>
      <c r="C23650" s="2" t="str">
        <f t="shared" si="931"/>
        <v>UN</v>
      </c>
      <c r="D23650" s="7">
        <v>600</v>
      </c>
      <c r="E23650" s="3">
        <v>8</v>
      </c>
      <c r="F23650" s="2">
        <v>4</v>
      </c>
      <c r="G23650" t="s">
        <v>515</v>
      </c>
    </row>
    <row r="23651" spans="1:7" x14ac:dyDescent="0.25">
      <c r="A23651" s="1" t="str">
        <f>"527257"</f>
        <v>527257</v>
      </c>
      <c r="B23651" s="2" t="str">
        <f>"TERMINAL ISOLADO OLHAL TP 23-5 - 6-5MM"</f>
        <v>TERMINAL ISOLADO OLHAL TP 23-5 - 6-5MM</v>
      </c>
      <c r="C23651" s="2" t="str">
        <f t="shared" si="931"/>
        <v>UN</v>
      </c>
      <c r="D23651" s="7">
        <v>900</v>
      </c>
      <c r="E23651" s="3">
        <v>11</v>
      </c>
      <c r="F23651" s="2">
        <v>1</v>
      </c>
      <c r="G23651" t="s">
        <v>514</v>
      </c>
    </row>
    <row r="23652" spans="1:7" x14ac:dyDescent="0.25">
      <c r="A23652" s="1" t="str">
        <f>"511490"</f>
        <v>511490</v>
      </c>
      <c r="B23652" s="2" t="str">
        <f>"TERMINAL ISOLADO OLHAL TP-21-5 - 0,5-1,5MM"</f>
        <v>TERMINAL ISOLADO OLHAL TP-21-5 - 0,5-1,5MM</v>
      </c>
      <c r="C23652" s="2" t="str">
        <f t="shared" si="931"/>
        <v>UN</v>
      </c>
      <c r="D23652" s="7">
        <v>600</v>
      </c>
      <c r="E23652" s="3">
        <v>8</v>
      </c>
      <c r="F23652" s="2">
        <v>2</v>
      </c>
      <c r="G23652" t="s">
        <v>512</v>
      </c>
    </row>
    <row r="23653" spans="1:7" x14ac:dyDescent="0.25">
      <c r="A23653" s="1" t="str">
        <f>"511492"</f>
        <v>511492</v>
      </c>
      <c r="B23653" s="2" t="str">
        <f>"TERMINAL ISOLADO OLHAL TP21-6 - 1,5-6 MM INTELLI"</f>
        <v>TERMINAL ISOLADO OLHAL TP21-6 - 1,5-6 MM INTELLI</v>
      </c>
      <c r="C23653" s="2" t="str">
        <f t="shared" si="931"/>
        <v>UN</v>
      </c>
      <c r="D23653" s="7">
        <v>600</v>
      </c>
      <c r="E23653" s="3">
        <v>8</v>
      </c>
      <c r="F23653" s="2">
        <v>7</v>
      </c>
      <c r="G23653" t="s">
        <v>513</v>
      </c>
    </row>
    <row r="23654" spans="1:7" x14ac:dyDescent="0.25">
      <c r="A23654" s="1" t="str">
        <f>"511496"</f>
        <v>511496</v>
      </c>
      <c r="B23654" s="2" t="str">
        <f>"TERMINAL ISOLADO OLHAL TP-22-5 - 2,5-5MM"</f>
        <v>TERMINAL ISOLADO OLHAL TP-22-5 - 2,5-5MM</v>
      </c>
      <c r="C23654" s="2" t="str">
        <f t="shared" si="931"/>
        <v>UN</v>
      </c>
      <c r="D23654" s="7">
        <v>600</v>
      </c>
      <c r="E23654" s="3">
        <v>8</v>
      </c>
      <c r="F23654" s="2">
        <v>9</v>
      </c>
      <c r="G23654" t="s">
        <v>514</v>
      </c>
    </row>
    <row r="23655" spans="1:7" x14ac:dyDescent="0.25">
      <c r="A23655" s="1" t="str">
        <f>"511498"</f>
        <v>511498</v>
      </c>
      <c r="B23655" s="2" t="str">
        <f>"TERMINAL ISOLADO OLHAL TP-22-8 - 2,5-8MM"</f>
        <v>TERMINAL ISOLADO OLHAL TP-22-8 - 2,5-8MM</v>
      </c>
      <c r="C23655" s="2" t="str">
        <f t="shared" si="931"/>
        <v>UN</v>
      </c>
      <c r="D23655" s="7">
        <v>600</v>
      </c>
      <c r="E23655" s="3">
        <v>8</v>
      </c>
      <c r="F23655" s="5">
        <v>5</v>
      </c>
      <c r="G23655" t="s">
        <v>514</v>
      </c>
    </row>
    <row r="23656" spans="1:7" x14ac:dyDescent="0.25">
      <c r="A23656" s="1" t="str">
        <f>"527258"</f>
        <v>527258</v>
      </c>
      <c r="B23656" s="2" t="str">
        <f>"TERMINAL ISOLADO OLHAL TP-23-8 - 6-8MM"</f>
        <v>TERMINAL ISOLADO OLHAL TP-23-8 - 6-8MM</v>
      </c>
      <c r="C23656" s="2" t="str">
        <f t="shared" si="931"/>
        <v>UN</v>
      </c>
      <c r="D23656" s="7">
        <v>900</v>
      </c>
      <c r="E23656" s="3">
        <v>11</v>
      </c>
      <c r="F23656" s="2">
        <v>3</v>
      </c>
      <c r="G23656" t="s">
        <v>512</v>
      </c>
    </row>
    <row r="23657" spans="1:7" x14ac:dyDescent="0.25">
      <c r="A23657" s="1" t="str">
        <f>"511935"</f>
        <v>511935</v>
      </c>
      <c r="B23657" s="2" t="str">
        <f>"TERMINAL ISOLADO PINO 0,6 A 1,5MM"</f>
        <v>TERMINAL ISOLADO PINO 0,6 A 1,5MM</v>
      </c>
      <c r="C23657" s="2" t="str">
        <f t="shared" si="931"/>
        <v>UN</v>
      </c>
      <c r="D23657" s="7">
        <v>600</v>
      </c>
      <c r="E23657" s="3">
        <v>8</v>
      </c>
      <c r="F23657" s="2">
        <v>8</v>
      </c>
      <c r="G23657" t="s">
        <v>513</v>
      </c>
    </row>
    <row r="23658" spans="1:7" x14ac:dyDescent="0.25">
      <c r="A23658" s="1" t="str">
        <f>"501593"</f>
        <v>501593</v>
      </c>
      <c r="B23658" s="2" t="str">
        <f>"TERMINAL ISOLADO PINO 1,5-2,5MM AZUL"</f>
        <v>TERMINAL ISOLADO PINO 1,5-2,5MM AZUL</v>
      </c>
      <c r="C23658" s="2" t="str">
        <f t="shared" si="931"/>
        <v>UN</v>
      </c>
      <c r="D23658" s="7">
        <v>600</v>
      </c>
      <c r="E23658" s="3">
        <v>8</v>
      </c>
      <c r="F23658" s="2">
        <v>6</v>
      </c>
      <c r="G23658" t="s">
        <v>514</v>
      </c>
    </row>
    <row r="23659" spans="1:7" x14ac:dyDescent="0.25">
      <c r="A23659" s="1" t="str">
        <f>"509666"</f>
        <v>509666</v>
      </c>
      <c r="B23659" s="2" t="str">
        <f>"TERMINAL ISOLADO PINO 2,5 X 6,0MM AMARE"</f>
        <v>TERMINAL ISOLADO PINO 2,5 X 6,0MM AMARE</v>
      </c>
      <c r="C23659" s="2" t="str">
        <f t="shared" si="931"/>
        <v>UN</v>
      </c>
      <c r="D23659" s="7">
        <v>600</v>
      </c>
      <c r="E23659" s="3">
        <v>8</v>
      </c>
      <c r="F23659" s="2">
        <v>4</v>
      </c>
      <c r="G23659" t="s">
        <v>514</v>
      </c>
    </row>
    <row r="23660" spans="1:7" x14ac:dyDescent="0.25">
      <c r="A23660" s="1" t="str">
        <f>"502710"</f>
        <v>502710</v>
      </c>
      <c r="B23660" s="2" t="str">
        <f>"TERMINAL ISOLADO PINO 2,5-4MM AMARELO"</f>
        <v>TERMINAL ISOLADO PINO 2,5-4MM AMARELO</v>
      </c>
      <c r="C23660" s="2" t="str">
        <f t="shared" si="931"/>
        <v>UN</v>
      </c>
      <c r="D23660" s="7">
        <v>600</v>
      </c>
      <c r="E23660" s="3">
        <v>8</v>
      </c>
      <c r="F23660" s="2">
        <v>1</v>
      </c>
      <c r="G23660" t="s">
        <v>514</v>
      </c>
    </row>
    <row r="23661" spans="1:7" x14ac:dyDescent="0.25">
      <c r="A23661" s="1" t="str">
        <f>"505838"</f>
        <v>505838</v>
      </c>
      <c r="B23661" s="2" t="str">
        <f>"TERMINAL ISOLADO PINO TPP-21-C"</f>
        <v>TERMINAL ISOLADO PINO TPP-21-C</v>
      </c>
      <c r="C23661" s="2" t="str">
        <f t="shared" si="931"/>
        <v>UN</v>
      </c>
      <c r="D23661" s="7">
        <v>600</v>
      </c>
      <c r="E23661" s="3">
        <v>8</v>
      </c>
      <c r="F23661" s="2">
        <v>2</v>
      </c>
      <c r="G23661" t="s">
        <v>513</v>
      </c>
    </row>
    <row r="23662" spans="1:7" x14ac:dyDescent="0.25">
      <c r="A23662" s="1" t="str">
        <f>"505995"</f>
        <v>505995</v>
      </c>
      <c r="B23662" s="2" t="str">
        <f>"TERMINAL ISOLADO TP-22-3"</f>
        <v>TERMINAL ISOLADO TP-22-3</v>
      </c>
      <c r="C23662" s="2" t="str">
        <f t="shared" si="931"/>
        <v>UN</v>
      </c>
      <c r="D23662" s="7">
        <v>600</v>
      </c>
      <c r="E23662" s="3">
        <v>8</v>
      </c>
      <c r="F23662" s="2">
        <v>7</v>
      </c>
      <c r="G23662" t="s">
        <v>512</v>
      </c>
    </row>
    <row r="23663" spans="1:7" x14ac:dyDescent="0.25">
      <c r="A23663" s="1" t="str">
        <f>"505991"</f>
        <v>505991</v>
      </c>
      <c r="B23663" s="2" t="str">
        <f>"TERMINAL ISOLADO TP-23-5"</f>
        <v>TERMINAL ISOLADO TP-23-5</v>
      </c>
      <c r="C23663" s="2" t="str">
        <f t="shared" si="931"/>
        <v>UN</v>
      </c>
      <c r="D23663" s="7">
        <v>600</v>
      </c>
      <c r="E23663" s="3">
        <v>8</v>
      </c>
      <c r="F23663" s="2">
        <v>9</v>
      </c>
      <c r="G23663" t="s">
        <v>513</v>
      </c>
    </row>
    <row r="23664" spans="1:7" x14ac:dyDescent="0.25">
      <c r="A23664" s="1" t="str">
        <f>"505994"</f>
        <v>505994</v>
      </c>
      <c r="B23664" s="2" t="str">
        <f>"TERMINAL ISOLADO TPP-22-3"</f>
        <v>TERMINAL ISOLADO TPP-22-3</v>
      </c>
      <c r="C23664" s="2" t="str">
        <f t="shared" si="931"/>
        <v>UN</v>
      </c>
      <c r="D23664" s="7">
        <v>600</v>
      </c>
      <c r="E23664" s="3">
        <v>8</v>
      </c>
      <c r="F23664" s="2">
        <v>0</v>
      </c>
      <c r="G23664" t="s">
        <v>514</v>
      </c>
    </row>
    <row r="23665" spans="1:7" x14ac:dyDescent="0.25">
      <c r="A23665" s="1" t="str">
        <f>"505993"</f>
        <v>505993</v>
      </c>
      <c r="B23665" s="2" t="str">
        <f>"TERMINAL ISOLADO TPP-22-L"</f>
        <v>TERMINAL ISOLADO TPP-22-L</v>
      </c>
      <c r="C23665" s="2" t="str">
        <f t="shared" ref="C23665:C23690" si="932">"UN"</f>
        <v>UN</v>
      </c>
      <c r="D23665" s="7">
        <v>600</v>
      </c>
      <c r="E23665" s="3">
        <v>8</v>
      </c>
      <c r="F23665" s="2">
        <v>0</v>
      </c>
      <c r="G23665" t="s">
        <v>514</v>
      </c>
    </row>
    <row r="23666" spans="1:7" x14ac:dyDescent="0.25">
      <c r="A23666" s="1" t="str">
        <f>"505992"</f>
        <v>505992</v>
      </c>
      <c r="B23666" s="2" t="str">
        <f>"TERMINAL ISOLADO TPP-23"</f>
        <v>TERMINAL ISOLADO TPP-23</v>
      </c>
      <c r="C23666" s="2" t="str">
        <f t="shared" si="932"/>
        <v>UN</v>
      </c>
      <c r="D23666" s="7">
        <v>600</v>
      </c>
      <c r="E23666" s="3">
        <v>8</v>
      </c>
      <c r="F23666" s="2">
        <v>2</v>
      </c>
      <c r="G23666" t="s">
        <v>514</v>
      </c>
    </row>
    <row r="23667" spans="1:7" x14ac:dyDescent="0.25">
      <c r="A23667" s="1" t="str">
        <f>"510310"</f>
        <v>510310</v>
      </c>
      <c r="B23667" s="2" t="str">
        <f>"TERMINAL ISOLADO TUBULAR 1MM"</f>
        <v>TERMINAL ISOLADO TUBULAR 1MM</v>
      </c>
      <c r="C23667" s="2" t="str">
        <f t="shared" si="932"/>
        <v>UN</v>
      </c>
      <c r="D23667" s="7">
        <v>600</v>
      </c>
      <c r="E23667" s="3">
        <v>8</v>
      </c>
      <c r="F23667" s="2">
        <v>5</v>
      </c>
      <c r="G23667" t="s">
        <v>513</v>
      </c>
    </row>
    <row r="23668" spans="1:7" x14ac:dyDescent="0.25">
      <c r="A23668" s="1" t="str">
        <f>"518759"</f>
        <v>518759</v>
      </c>
      <c r="B23668" s="2" t="str">
        <f>"TERMINAL ISOLADO TUBULAR 4,0MM CINZA"</f>
        <v>TERMINAL ISOLADO TUBULAR 4,0MM CINZA</v>
      </c>
      <c r="C23668" s="2" t="str">
        <f t="shared" si="932"/>
        <v>UN</v>
      </c>
      <c r="D23668" s="7">
        <v>600</v>
      </c>
      <c r="E23668" s="3">
        <v>8</v>
      </c>
      <c r="F23668" s="2">
        <v>6</v>
      </c>
      <c r="G23668" t="s">
        <v>513</v>
      </c>
    </row>
    <row r="23669" spans="1:7" x14ac:dyDescent="0.25">
      <c r="A23669" s="1" t="str">
        <f>"513462"</f>
        <v>513462</v>
      </c>
      <c r="B23669" s="2" t="str">
        <f>"TERMINAL MACHO 6MM AMARELO EF-4290"</f>
        <v>TERMINAL MACHO 6MM AMARELO EF-4290</v>
      </c>
      <c r="C23669" s="2" t="str">
        <f t="shared" si="932"/>
        <v>UN</v>
      </c>
      <c r="D23669" s="7">
        <v>600</v>
      </c>
      <c r="E23669" s="3">
        <v>8</v>
      </c>
      <c r="F23669" s="2">
        <v>9</v>
      </c>
      <c r="G23669" t="s">
        <v>513</v>
      </c>
    </row>
    <row r="23670" spans="1:7" x14ac:dyDescent="0.25">
      <c r="A23670" s="1" t="str">
        <f>"507033"</f>
        <v>507033</v>
      </c>
      <c r="B23670" s="2" t="str">
        <f>"TERMINAL MACHO EM-4278"</f>
        <v>TERMINAL MACHO EM-4278</v>
      </c>
      <c r="C23670" s="2" t="str">
        <f t="shared" si="932"/>
        <v>UN</v>
      </c>
      <c r="D23670" s="7">
        <v>600</v>
      </c>
      <c r="E23670" s="3">
        <v>8</v>
      </c>
      <c r="F23670" s="2">
        <v>5</v>
      </c>
      <c r="G23670" t="s">
        <v>512</v>
      </c>
    </row>
    <row r="23671" spans="1:7" x14ac:dyDescent="0.25">
      <c r="A23671" s="1" t="str">
        <f>"510428"</f>
        <v>510428</v>
      </c>
      <c r="B23671" s="2" t="str">
        <f>"TERMINAL MANGUEIRA HIDRAULICA"</f>
        <v>TERMINAL MANGUEIRA HIDRAULICA</v>
      </c>
      <c r="C23671" s="2" t="str">
        <f t="shared" si="932"/>
        <v>UN</v>
      </c>
      <c r="D23671" s="7">
        <v>914</v>
      </c>
      <c r="E23671" s="3">
        <v>11</v>
      </c>
      <c r="F23671" s="2">
        <v>3</v>
      </c>
      <c r="G23671" t="s">
        <v>513</v>
      </c>
    </row>
    <row r="23672" spans="1:7" x14ac:dyDescent="0.25">
      <c r="A23672" s="1" t="str">
        <f>"527732"</f>
        <v>527732</v>
      </c>
      <c r="B23672" s="2" t="str">
        <f>"TERMINAL NP RJT 2 X 1 1/2"" 90° TRELLEBORG"</f>
        <v>TERMINAL NP RJT 2 X 1 1/2" 90° TRELLEBORG</v>
      </c>
      <c r="C23672" s="2" t="str">
        <f t="shared" si="932"/>
        <v>UN</v>
      </c>
      <c r="D23672" s="7">
        <v>915</v>
      </c>
      <c r="E23672" s="3">
        <v>10</v>
      </c>
      <c r="F23672" s="2">
        <v>3</v>
      </c>
      <c r="G23672" t="s">
        <v>514</v>
      </c>
    </row>
    <row r="23673" spans="1:7" x14ac:dyDescent="0.25">
      <c r="A23673" s="1" t="str">
        <f>"527665"</f>
        <v>527665</v>
      </c>
      <c r="B23673" s="2" t="str">
        <f>"TERMINAL NP RJT 2 X 1 1/2"" TRELLEBORG"</f>
        <v>TERMINAL NP RJT 2 X 1 1/2" TRELLEBORG</v>
      </c>
      <c r="C23673" s="2" t="str">
        <f t="shared" si="932"/>
        <v>UN</v>
      </c>
      <c r="D23673" s="7">
        <v>915</v>
      </c>
      <c r="E23673" s="3">
        <v>10</v>
      </c>
      <c r="F23673" s="2">
        <v>2</v>
      </c>
      <c r="G23673" t="s">
        <v>515</v>
      </c>
    </row>
    <row r="23674" spans="1:7" x14ac:dyDescent="0.25">
      <c r="A23674" s="1" t="str">
        <f>"527731"</f>
        <v>527731</v>
      </c>
      <c r="B23674" s="2" t="str">
        <f>"TERMINAL NP RJT 2"" 90° TRELLEBORG"</f>
        <v>TERMINAL NP RJT 2" 90° TRELLEBORG</v>
      </c>
      <c r="C23674" s="2" t="str">
        <f t="shared" si="932"/>
        <v>UN</v>
      </c>
      <c r="D23674" s="7">
        <v>915</v>
      </c>
      <c r="E23674" s="3">
        <v>10</v>
      </c>
      <c r="F23674" s="2">
        <v>1</v>
      </c>
      <c r="G23674" t="s">
        <v>512</v>
      </c>
    </row>
    <row r="23675" spans="1:7" x14ac:dyDescent="0.25">
      <c r="A23675" s="1" t="str">
        <f>"527669"</f>
        <v>527669</v>
      </c>
      <c r="B23675" s="2" t="str">
        <f>"TERMINAL NP RJT 2"" TRELLEBORG"</f>
        <v>TERMINAL NP RJT 2" TRELLEBORG</v>
      </c>
      <c r="C23675" s="2" t="str">
        <f t="shared" si="932"/>
        <v>UN</v>
      </c>
      <c r="D23675" s="7">
        <v>915</v>
      </c>
      <c r="E23675" s="3">
        <v>10</v>
      </c>
      <c r="F23675" s="2">
        <v>4</v>
      </c>
      <c r="G23675" t="s">
        <v>516</v>
      </c>
    </row>
    <row r="23676" spans="1:7" x14ac:dyDescent="0.25">
      <c r="A23676" s="1" t="str">
        <f>"527668"</f>
        <v>527668</v>
      </c>
      <c r="B23676" s="2" t="str">
        <f>"TERMINAL NP SMS 2"" 90° TRELLEBORG"</f>
        <v>TERMINAL NP SMS 2" 90° TRELLEBORG</v>
      </c>
      <c r="C23676" s="2" t="str">
        <f t="shared" si="932"/>
        <v>UN</v>
      </c>
      <c r="D23676" s="7">
        <v>915</v>
      </c>
      <c r="E23676" s="3">
        <v>10</v>
      </c>
      <c r="F23676" s="2">
        <v>6</v>
      </c>
      <c r="G23676" t="s">
        <v>515</v>
      </c>
    </row>
    <row r="23677" spans="1:7" x14ac:dyDescent="0.25">
      <c r="A23677" s="1" t="str">
        <f>"527672"</f>
        <v>527672</v>
      </c>
      <c r="B23677" s="2" t="str">
        <f>"TERMINAL NP SMS 2"" TRELLEBORG"</f>
        <v>TERMINAL NP SMS 2" TRELLEBORG</v>
      </c>
      <c r="C23677" s="2" t="str">
        <f t="shared" si="932"/>
        <v>UN</v>
      </c>
      <c r="D23677" s="7">
        <v>915</v>
      </c>
      <c r="E23677" s="3">
        <v>10</v>
      </c>
      <c r="F23677" s="2">
        <v>8</v>
      </c>
      <c r="G23677" t="s">
        <v>514</v>
      </c>
    </row>
    <row r="23678" spans="1:7" x14ac:dyDescent="0.25">
      <c r="A23678" s="1" t="str">
        <f>"514187"</f>
        <v>514187</v>
      </c>
      <c r="B23678" s="2" t="str">
        <f>"TERMINAL OLHAL COM FURO 3/16 X 2,5MM AZUL"</f>
        <v>TERMINAL OLHAL COM FURO 3/16 X 2,5MM AZUL</v>
      </c>
      <c r="C23678" s="2" t="str">
        <f t="shared" si="932"/>
        <v>UN</v>
      </c>
      <c r="D23678" s="7">
        <v>704</v>
      </c>
      <c r="E23678" s="3">
        <v>9</v>
      </c>
      <c r="F23678" s="2">
        <v>7</v>
      </c>
      <c r="G23678" t="s">
        <v>512</v>
      </c>
    </row>
    <row r="23679" spans="1:7" x14ac:dyDescent="0.25">
      <c r="A23679" s="1" t="str">
        <f>"526989"</f>
        <v>526989</v>
      </c>
      <c r="B23679" s="2" t="str">
        <f>"TERMINAL P/ MANG COMBUSTIVEL"</f>
        <v>TERMINAL P/ MANG COMBUSTIVEL</v>
      </c>
      <c r="C23679" s="2" t="str">
        <f t="shared" si="932"/>
        <v>UN</v>
      </c>
      <c r="D23679" s="7">
        <v>918</v>
      </c>
      <c r="E23679" s="3">
        <v>11</v>
      </c>
      <c r="F23679" s="2">
        <v>6</v>
      </c>
      <c r="G23679" t="s">
        <v>513</v>
      </c>
    </row>
    <row r="23680" spans="1:7" x14ac:dyDescent="0.25">
      <c r="A23680" s="1" t="str">
        <f>"524923"</f>
        <v>524923</v>
      </c>
      <c r="B23680" s="2" t="str">
        <f>"TERMINAL P/CABO LV429259 SCHNEIDER"</f>
        <v>TERMINAL P/CABO LV429259 SCHNEIDER</v>
      </c>
      <c r="C23680" s="2" t="str">
        <f t="shared" si="932"/>
        <v>UN</v>
      </c>
      <c r="D23680" s="7">
        <v>811</v>
      </c>
      <c r="E23680" s="3">
        <v>8</v>
      </c>
      <c r="F23680" s="2">
        <v>6</v>
      </c>
      <c r="G23680" t="s">
        <v>514</v>
      </c>
    </row>
    <row r="23681" spans="1:7" x14ac:dyDescent="0.25">
      <c r="A23681" s="1" t="str">
        <f>"511268"</f>
        <v>511268</v>
      </c>
      <c r="B23681" s="2" t="str">
        <f>"TERMINAL PRE ISOL OLHAL AM. 2,5 A 6MM"</f>
        <v>TERMINAL PRE ISOL OLHAL AM. 2,5 A 6MM</v>
      </c>
      <c r="C23681" s="2" t="str">
        <f t="shared" si="932"/>
        <v>UN</v>
      </c>
      <c r="D23681" s="7">
        <v>600</v>
      </c>
      <c r="E23681" s="3">
        <v>8</v>
      </c>
      <c r="F23681" s="2">
        <v>2</v>
      </c>
      <c r="G23681" t="s">
        <v>514</v>
      </c>
    </row>
    <row r="23682" spans="1:7" x14ac:dyDescent="0.25">
      <c r="A23682" s="1" t="str">
        <f>"512498"</f>
        <v>512498</v>
      </c>
      <c r="B23682" s="2" t="str">
        <f>"TERMINAL PRE ISOL OLHAL AZ 1,5 A 2,5MM"</f>
        <v>TERMINAL PRE ISOL OLHAL AZ 1,5 A 2,5MM</v>
      </c>
      <c r="C23682" s="2" t="str">
        <f t="shared" si="932"/>
        <v>UN</v>
      </c>
      <c r="D23682" s="7">
        <v>600</v>
      </c>
      <c r="E23682" s="3">
        <v>8</v>
      </c>
      <c r="F23682" s="2">
        <v>1</v>
      </c>
      <c r="G23682" t="s">
        <v>512</v>
      </c>
    </row>
    <row r="23683" spans="1:7" x14ac:dyDescent="0.25">
      <c r="A23683" s="1" t="str">
        <f>"511665"</f>
        <v>511665</v>
      </c>
      <c r="B23683" s="2" t="str">
        <f>"TERMINAL PRE ISOL OLHAL AZ 16MM"</f>
        <v>TERMINAL PRE ISOL OLHAL AZ 16MM</v>
      </c>
      <c r="C23683" s="2" t="str">
        <f t="shared" si="932"/>
        <v>UN</v>
      </c>
      <c r="D23683" s="7">
        <v>600</v>
      </c>
      <c r="E23683" s="3">
        <v>8</v>
      </c>
      <c r="F23683" s="2">
        <v>0</v>
      </c>
      <c r="G23683" t="s">
        <v>513</v>
      </c>
    </row>
    <row r="23684" spans="1:7" x14ac:dyDescent="0.25">
      <c r="A23684" s="1" t="str">
        <f>"511269"</f>
        <v>511269</v>
      </c>
      <c r="B23684" s="2" t="str">
        <f>"TERMINAL PRE ISOL OLHAL VM 10MM"</f>
        <v>TERMINAL PRE ISOL OLHAL VM 10MM</v>
      </c>
      <c r="C23684" s="2" t="str">
        <f t="shared" si="932"/>
        <v>UN</v>
      </c>
      <c r="D23684" s="7">
        <v>600</v>
      </c>
      <c r="E23684" s="3">
        <v>8</v>
      </c>
      <c r="F23684" s="2">
        <v>0</v>
      </c>
      <c r="G23684" t="s">
        <v>514</v>
      </c>
    </row>
    <row r="23685" spans="1:7" x14ac:dyDescent="0.25">
      <c r="A23685" s="1" t="str">
        <f>"511467"</f>
        <v>511467</v>
      </c>
      <c r="B23685" s="2" t="str">
        <f>"TERMINAL PRE ISOL OLHAL VM 35MM"</f>
        <v>TERMINAL PRE ISOL OLHAL VM 35MM</v>
      </c>
      <c r="C23685" s="2" t="str">
        <f t="shared" si="932"/>
        <v>UN</v>
      </c>
      <c r="D23685" s="7">
        <v>600</v>
      </c>
      <c r="E23685" s="3">
        <v>8</v>
      </c>
      <c r="F23685" s="2">
        <v>0</v>
      </c>
      <c r="G23685" t="s">
        <v>514</v>
      </c>
    </row>
    <row r="23686" spans="1:7" x14ac:dyDescent="0.25">
      <c r="A23686" s="1" t="str">
        <f>"511664"</f>
        <v>511664</v>
      </c>
      <c r="B23686" s="2" t="str">
        <f>"TERMINAL PRE ISOL PINO AZ 16MM"</f>
        <v>TERMINAL PRE ISOL PINO AZ 16MM</v>
      </c>
      <c r="C23686" s="2" t="str">
        <f t="shared" si="932"/>
        <v>UN</v>
      </c>
      <c r="D23686" s="7">
        <v>600</v>
      </c>
      <c r="E23686" s="3">
        <v>8</v>
      </c>
      <c r="F23686" s="2">
        <v>3</v>
      </c>
      <c r="G23686" t="s">
        <v>514</v>
      </c>
    </row>
    <row r="23687" spans="1:7" x14ac:dyDescent="0.25">
      <c r="A23687" s="1" t="str">
        <f>"511663"</f>
        <v>511663</v>
      </c>
      <c r="B23687" s="2" t="str">
        <f>"TERMINAL PRE ISOL PINO VM 10MM"</f>
        <v>TERMINAL PRE ISOL PINO VM 10MM</v>
      </c>
      <c r="C23687" s="2" t="str">
        <f t="shared" si="932"/>
        <v>UN</v>
      </c>
      <c r="D23687" s="7">
        <v>600</v>
      </c>
      <c r="E23687" s="3">
        <v>8</v>
      </c>
      <c r="F23687" s="5">
        <v>5</v>
      </c>
      <c r="G23687" t="s">
        <v>513</v>
      </c>
    </row>
    <row r="23688" spans="1:7" x14ac:dyDescent="0.25">
      <c r="A23688" s="1" t="str">
        <f>"517799"</f>
        <v>517799</v>
      </c>
      <c r="B23688" s="2" t="str">
        <f>"TERMINAL ROCKET PIN ISOLADO 6,0MM VD/AM"</f>
        <v>TERMINAL ROCKET PIN ISOLADO 6,0MM VD/AM</v>
      </c>
      <c r="C23688" s="2" t="str">
        <f t="shared" si="932"/>
        <v>UN</v>
      </c>
      <c r="D23688" s="7">
        <v>811</v>
      </c>
      <c r="E23688" s="3">
        <v>8</v>
      </c>
      <c r="F23688" s="2">
        <v>3</v>
      </c>
      <c r="G23688" t="s">
        <v>512</v>
      </c>
    </row>
    <row r="23689" spans="1:7" x14ac:dyDescent="0.25">
      <c r="A23689" s="1" t="str">
        <f>"521275"</f>
        <v>521275</v>
      </c>
      <c r="B23689" s="2" t="str">
        <f>"TERMINAL ROTATIVO 10MM  ROSCA DIREITA"</f>
        <v>TERMINAL ROTATIVO 10MM  ROSCA DIREITA</v>
      </c>
      <c r="C23689" s="2" t="str">
        <f t="shared" si="932"/>
        <v>UN</v>
      </c>
      <c r="D23689" s="7">
        <v>918</v>
      </c>
      <c r="E23689" s="3">
        <v>11</v>
      </c>
      <c r="F23689" s="2">
        <v>8</v>
      </c>
      <c r="G23689" t="s">
        <v>513</v>
      </c>
    </row>
    <row r="23690" spans="1:7" x14ac:dyDescent="0.25">
      <c r="A23690" s="1" t="str">
        <f>"521274"</f>
        <v>521274</v>
      </c>
      <c r="B23690" s="2" t="str">
        <f>"TERMINAL ROTATIVO 10MM  ROSCA ESQUERDA 38328"</f>
        <v>TERMINAL ROTATIVO 10MM  ROSCA ESQUERDA 38328</v>
      </c>
      <c r="C23690" s="2" t="str">
        <f t="shared" si="932"/>
        <v>UN</v>
      </c>
      <c r="D23690" s="7">
        <v>918</v>
      </c>
      <c r="E23690" s="3">
        <v>11</v>
      </c>
      <c r="F23690" s="2">
        <v>6</v>
      </c>
      <c r="G23690" t="s">
        <v>514</v>
      </c>
    </row>
    <row r="23691" spans="1:7" x14ac:dyDescent="0.25">
      <c r="A23691" s="1" t="str">
        <f>"507841"</f>
        <v>507841</v>
      </c>
      <c r="B23691" s="2" t="str">
        <f>"TERMINAL ROTATIVO 12MM ROSCA DIREITA 45669503"</f>
        <v>TERMINAL ROTATIVO 12MM ROSCA DIREITA 45669503</v>
      </c>
      <c r="C23691" s="2" t="str">
        <f>"PC"</f>
        <v>PC</v>
      </c>
      <c r="D23691" s="7">
        <v>918</v>
      </c>
      <c r="E23691" s="3">
        <v>11</v>
      </c>
      <c r="F23691" s="2">
        <v>4</v>
      </c>
      <c r="G23691" t="s">
        <v>514</v>
      </c>
    </row>
    <row r="23692" spans="1:7" x14ac:dyDescent="0.25">
      <c r="A23692" s="1" t="str">
        <f>"515931"</f>
        <v>515931</v>
      </c>
      <c r="B23692" s="2" t="str">
        <f>"TERMINAL ROTATIVO 12MM ROSCA ESQUERDA 456588-3"</f>
        <v>TERMINAL ROTATIVO 12MM ROSCA ESQUERDA 456588-3</v>
      </c>
      <c r="C23692" s="2" t="str">
        <f t="shared" ref="C23692:C23717" si="933">"UN"</f>
        <v>UN</v>
      </c>
      <c r="D23692" s="7">
        <v>918</v>
      </c>
      <c r="E23692" s="3">
        <v>11</v>
      </c>
      <c r="F23692" s="2">
        <v>1</v>
      </c>
      <c r="G23692" t="s">
        <v>514</v>
      </c>
    </row>
    <row r="23693" spans="1:7" x14ac:dyDescent="0.25">
      <c r="A23693" s="1" t="str">
        <f>"507842"</f>
        <v>507842</v>
      </c>
      <c r="B23693" s="2" t="str">
        <f>"TERMINAL ROTATIVO TI 12KB/G 45658803"</f>
        <v>TERMINAL ROTATIVO TI 12KB/G 45658803</v>
      </c>
      <c r="C23693" s="2" t="str">
        <f t="shared" si="933"/>
        <v>UN</v>
      </c>
      <c r="D23693" s="7">
        <v>918</v>
      </c>
      <c r="E23693" s="3">
        <v>11</v>
      </c>
      <c r="F23693" s="2">
        <v>2</v>
      </c>
      <c r="G23693" t="s">
        <v>513</v>
      </c>
    </row>
    <row r="23694" spans="1:7" x14ac:dyDescent="0.25">
      <c r="A23694" s="1" t="str">
        <f>"502516"</f>
        <v>502516</v>
      </c>
      <c r="B23694" s="2" t="str">
        <f>"TERMINAL ROTULA COD.462545-3"</f>
        <v>TERMINAL ROTULA COD.462545-3</v>
      </c>
      <c r="C23694" s="2" t="str">
        <f t="shared" si="933"/>
        <v>UN</v>
      </c>
      <c r="D23694" s="7">
        <v>812</v>
      </c>
      <c r="E23694" s="3">
        <v>10</v>
      </c>
      <c r="F23694" s="2">
        <v>7</v>
      </c>
      <c r="G23694" t="s">
        <v>513</v>
      </c>
    </row>
    <row r="23695" spans="1:7" x14ac:dyDescent="0.25">
      <c r="A23695" s="1" t="str">
        <f>"503457"</f>
        <v>503457</v>
      </c>
      <c r="B23695" s="2" t="str">
        <f>"TERMINAL ROTULA COD.466827-3"</f>
        <v>TERMINAL ROTULA COD.466827-3</v>
      </c>
      <c r="C23695" s="2" t="str">
        <f t="shared" si="933"/>
        <v>UN</v>
      </c>
      <c r="D23695" s="7">
        <v>812</v>
      </c>
      <c r="E23695" s="3">
        <v>10</v>
      </c>
      <c r="F23695" s="2">
        <v>9</v>
      </c>
      <c r="G23695" t="s">
        <v>513</v>
      </c>
    </row>
    <row r="23696" spans="1:7" x14ac:dyDescent="0.25">
      <c r="A23696" s="1" t="str">
        <f>"527443"</f>
        <v>527443</v>
      </c>
      <c r="B23696" s="2" t="str">
        <f>"TERMINAL TI - 5000 INTELBRAS"</f>
        <v>TERMINAL TI - 5000 INTELBRAS</v>
      </c>
      <c r="C23696" s="2" t="str">
        <f t="shared" si="933"/>
        <v>UN</v>
      </c>
      <c r="D23696" s="7">
        <v>99999</v>
      </c>
      <c r="E23696" s="3">
        <v>99</v>
      </c>
      <c r="F23696" s="2">
        <v>0</v>
      </c>
      <c r="G23696" t="s">
        <v>512</v>
      </c>
    </row>
    <row r="23697" spans="1:7" x14ac:dyDescent="0.25">
      <c r="A23697" s="1" t="str">
        <f>"514666"</f>
        <v>514666</v>
      </c>
      <c r="B23697" s="2" t="str">
        <f>"TERMINAL TI-24"</f>
        <v>TERMINAL TI-24</v>
      </c>
      <c r="C23697" s="2" t="str">
        <f t="shared" si="933"/>
        <v>UN</v>
      </c>
      <c r="D23697" s="7">
        <v>601</v>
      </c>
      <c r="E23697" s="3">
        <v>8</v>
      </c>
      <c r="F23697" s="2">
        <v>0</v>
      </c>
      <c r="G23697" t="s">
        <v>513</v>
      </c>
    </row>
    <row r="23698" spans="1:7" x14ac:dyDescent="0.25">
      <c r="A23698" s="1" t="str">
        <f>"514662"</f>
        <v>514662</v>
      </c>
      <c r="B23698" s="2" t="str">
        <f>"TERMINAL TI32"</f>
        <v>TERMINAL TI32</v>
      </c>
      <c r="C23698" s="2" t="str">
        <f t="shared" si="933"/>
        <v>UN</v>
      </c>
      <c r="D23698" s="7">
        <v>601</v>
      </c>
      <c r="E23698" s="3">
        <v>8</v>
      </c>
      <c r="F23698" s="2">
        <v>2</v>
      </c>
      <c r="G23698" t="s">
        <v>514</v>
      </c>
    </row>
    <row r="23699" spans="1:7" x14ac:dyDescent="0.25">
      <c r="A23699" s="1" t="str">
        <f>"525014"</f>
        <v>525014</v>
      </c>
      <c r="B23699" s="8" t="s">
        <v>426</v>
      </c>
      <c r="C23699" s="2" t="str">
        <f t="shared" si="933"/>
        <v>UN</v>
      </c>
      <c r="D23699" s="7">
        <v>811</v>
      </c>
      <c r="E23699" s="3">
        <v>11</v>
      </c>
      <c r="F23699" s="2">
        <v>5</v>
      </c>
      <c r="G23699" t="s">
        <v>515</v>
      </c>
    </row>
    <row r="23700" spans="1:7" x14ac:dyDescent="0.25">
      <c r="A23700" s="1" t="str">
        <f>"514769"</f>
        <v>514769</v>
      </c>
      <c r="B23700" s="2" t="str">
        <f>"TERMINAL TM/TF 10"</f>
        <v>TERMINAL TM/TF 10</v>
      </c>
      <c r="C23700" s="2" t="str">
        <f t="shared" si="933"/>
        <v>UN</v>
      </c>
      <c r="D23700" s="7">
        <v>900</v>
      </c>
      <c r="E23700" s="3">
        <v>8</v>
      </c>
      <c r="F23700" s="2">
        <v>6</v>
      </c>
      <c r="G23700" t="s">
        <v>512</v>
      </c>
    </row>
    <row r="23701" spans="1:7" x14ac:dyDescent="0.25">
      <c r="A23701" s="1" t="str">
        <f>"514664"</f>
        <v>514664</v>
      </c>
      <c r="B23701" s="2" t="str">
        <f>"TERMINAL TPF22-4"</f>
        <v>TERMINAL TPF22-4</v>
      </c>
      <c r="C23701" s="2" t="str">
        <f t="shared" si="933"/>
        <v>UN</v>
      </c>
      <c r="D23701" s="7">
        <v>601</v>
      </c>
      <c r="E23701" s="3">
        <v>8</v>
      </c>
      <c r="F23701" s="2">
        <v>9</v>
      </c>
      <c r="G23701" t="s">
        <v>516</v>
      </c>
    </row>
    <row r="23702" spans="1:7" x14ac:dyDescent="0.25">
      <c r="A23702" s="1" t="str">
        <f>"514663"</f>
        <v>514663</v>
      </c>
      <c r="B23702" s="2" t="str">
        <f>"TERMINAL TPF4,0-6,0MM"</f>
        <v>TERMINAL TPF4,0-6,0MM</v>
      </c>
      <c r="C23702" s="2" t="str">
        <f t="shared" si="933"/>
        <v>UN</v>
      </c>
      <c r="D23702" s="7">
        <v>601</v>
      </c>
      <c r="E23702" s="3">
        <v>8</v>
      </c>
      <c r="F23702" s="2">
        <v>5</v>
      </c>
      <c r="G23702" t="s">
        <v>515</v>
      </c>
    </row>
    <row r="23703" spans="1:7" x14ac:dyDescent="0.25">
      <c r="A23703" s="1" t="str">
        <f>"514667"</f>
        <v>514667</v>
      </c>
      <c r="B23703" s="2" t="str">
        <f>"TERMINAL TPP-21"</f>
        <v>TERMINAL TPP-21</v>
      </c>
      <c r="C23703" s="2" t="str">
        <f t="shared" si="933"/>
        <v>UN</v>
      </c>
      <c r="D23703" s="7">
        <v>601</v>
      </c>
      <c r="E23703" s="3">
        <v>8</v>
      </c>
      <c r="F23703" s="2">
        <v>3</v>
      </c>
      <c r="G23703" t="s">
        <v>514</v>
      </c>
    </row>
    <row r="23704" spans="1:7" x14ac:dyDescent="0.25">
      <c r="A23704" s="1" t="str">
        <f>"514665"</f>
        <v>514665</v>
      </c>
      <c r="B23704" s="2" t="str">
        <f>"TERMINAL TPP-23"</f>
        <v>TERMINAL TPP-23</v>
      </c>
      <c r="C23704" s="2" t="str">
        <f t="shared" si="933"/>
        <v>UN</v>
      </c>
      <c r="D23704" s="7">
        <v>601</v>
      </c>
      <c r="E23704" s="3">
        <v>8</v>
      </c>
      <c r="F23704" s="2">
        <v>3</v>
      </c>
      <c r="G23704" t="s">
        <v>512</v>
      </c>
    </row>
    <row r="23705" spans="1:7" x14ac:dyDescent="0.25">
      <c r="A23705" s="1" t="str">
        <f>"514668"</f>
        <v>514668</v>
      </c>
      <c r="B23705" s="2" t="str">
        <f>"TERMINAL TPT-10-6"</f>
        <v>TERMINAL TPT-10-6</v>
      </c>
      <c r="C23705" s="2" t="str">
        <f t="shared" si="933"/>
        <v>UN</v>
      </c>
      <c r="D23705" s="7">
        <v>601</v>
      </c>
      <c r="E23705" s="3">
        <v>8</v>
      </c>
      <c r="F23705" s="2">
        <v>2</v>
      </c>
      <c r="G23705" t="s">
        <v>513</v>
      </c>
    </row>
    <row r="23706" spans="1:7" x14ac:dyDescent="0.25">
      <c r="A23706" s="1" t="str">
        <f>"525986"</f>
        <v>525986</v>
      </c>
      <c r="B23706" s="2" t="str">
        <f>"TERMINAL TUBULAR BIMETALICO P/ CABO DE ALUMINIO 120MM"</f>
        <v>TERMINAL TUBULAR BIMETALICO P/ CABO DE ALUMINIO 120MM</v>
      </c>
      <c r="C23706" s="2" t="str">
        <f t="shared" si="933"/>
        <v>UN</v>
      </c>
      <c r="D23706" s="7">
        <v>811</v>
      </c>
      <c r="E23706" s="3">
        <v>10</v>
      </c>
      <c r="F23706" s="2">
        <v>1</v>
      </c>
      <c r="G23706" t="s">
        <v>514</v>
      </c>
    </row>
    <row r="23707" spans="1:7" x14ac:dyDescent="0.25">
      <c r="A23707" s="1" t="str">
        <f>"523190"</f>
        <v>523190</v>
      </c>
      <c r="B23707" s="2" t="str">
        <f>"TERMINAL TUBULAR BIMETALICO P/ CABO DE ALUMINIO 150MM"</f>
        <v>TERMINAL TUBULAR BIMETALICO P/ CABO DE ALUMINIO 150MM</v>
      </c>
      <c r="C23707" s="2" t="str">
        <f t="shared" si="933"/>
        <v>UN</v>
      </c>
      <c r="D23707" s="7">
        <v>811</v>
      </c>
      <c r="E23707" s="3">
        <v>10</v>
      </c>
      <c r="F23707" s="2">
        <v>4</v>
      </c>
      <c r="G23707" t="s">
        <v>514</v>
      </c>
    </row>
    <row r="23708" spans="1:7" x14ac:dyDescent="0.25">
      <c r="A23708" s="1" t="str">
        <f>"523189"</f>
        <v>523189</v>
      </c>
      <c r="B23708" s="2" t="str">
        <f>"TERMINAL TUBULAR BIMETALICO P/ CABO DE ALUMINIO 240MM"</f>
        <v>TERMINAL TUBULAR BIMETALICO P/ CABO DE ALUMINIO 240MM</v>
      </c>
      <c r="C23708" s="2" t="str">
        <f t="shared" si="933"/>
        <v>UN</v>
      </c>
      <c r="D23708" s="7">
        <v>811</v>
      </c>
      <c r="E23708" s="3">
        <v>10</v>
      </c>
      <c r="F23708" s="2">
        <v>1</v>
      </c>
      <c r="G23708" t="s">
        <v>512</v>
      </c>
    </row>
    <row r="23709" spans="1:7" x14ac:dyDescent="0.25">
      <c r="A23709" s="1" t="str">
        <f>"524932"</f>
        <v>524932</v>
      </c>
      <c r="B23709" s="2" t="str">
        <f>"TERMINAL TUBULAR ILHOS 1,0MM VERMELHO SIMPLES"</f>
        <v>TERMINAL TUBULAR ILHOS 1,0MM VERMELHO SIMPLES</v>
      </c>
      <c r="C23709" s="2" t="str">
        <f t="shared" si="933"/>
        <v>UN</v>
      </c>
      <c r="D23709" s="7">
        <v>811</v>
      </c>
      <c r="E23709" s="3">
        <v>10</v>
      </c>
      <c r="F23709" s="2">
        <v>2</v>
      </c>
      <c r="G23709" t="s">
        <v>513</v>
      </c>
    </row>
    <row r="23710" spans="1:7" x14ac:dyDescent="0.25">
      <c r="A23710" s="1" t="str">
        <f>"524933"</f>
        <v>524933</v>
      </c>
      <c r="B23710" s="2" t="str">
        <f>"TERMINAL TUBULAR ILHOS 1,5MM PRETO"</f>
        <v>TERMINAL TUBULAR ILHOS 1,5MM PRETO</v>
      </c>
      <c r="C23710" s="2" t="str">
        <f t="shared" si="933"/>
        <v>UN</v>
      </c>
      <c r="D23710" s="7">
        <v>811</v>
      </c>
      <c r="E23710" s="3">
        <v>10</v>
      </c>
      <c r="F23710" s="2">
        <v>7</v>
      </c>
      <c r="G23710" t="s">
        <v>514</v>
      </c>
    </row>
    <row r="23711" spans="1:7" x14ac:dyDescent="0.25">
      <c r="A23711" s="1" t="str">
        <f>"526546"</f>
        <v>526546</v>
      </c>
      <c r="B23711" s="2" t="str">
        <f>"TERMINAL TUBULAR ILHOS 10MM VERMELHO SIMPLES"</f>
        <v>TERMINAL TUBULAR ILHOS 10MM VERMELHO SIMPLES</v>
      </c>
      <c r="C23711" s="2" t="str">
        <f t="shared" si="933"/>
        <v>UN</v>
      </c>
      <c r="D23711" s="7">
        <v>811</v>
      </c>
      <c r="E23711" s="3">
        <v>10</v>
      </c>
      <c r="F23711" s="2">
        <v>9</v>
      </c>
      <c r="G23711" t="s">
        <v>514</v>
      </c>
    </row>
    <row r="23712" spans="1:7" x14ac:dyDescent="0.25">
      <c r="A23712" s="1" t="str">
        <f>"526547"</f>
        <v>526547</v>
      </c>
      <c r="B23712" s="2" t="str">
        <f>"TERMINAL TUBULAR ILHOS 16MM VERMELHO SIMPLES"</f>
        <v>TERMINAL TUBULAR ILHOS 16MM VERMELHO SIMPLES</v>
      </c>
      <c r="C23712" s="2" t="str">
        <f t="shared" si="933"/>
        <v>UN</v>
      </c>
      <c r="D23712" s="7">
        <v>811</v>
      </c>
      <c r="E23712" s="3">
        <v>10</v>
      </c>
      <c r="F23712" s="2">
        <v>0</v>
      </c>
      <c r="G23712" t="s">
        <v>514</v>
      </c>
    </row>
    <row r="23713" spans="1:7" x14ac:dyDescent="0.25">
      <c r="A23713" s="1" t="str">
        <f>"527603"</f>
        <v>527603</v>
      </c>
      <c r="B23713" s="2" t="str">
        <f>"TERMINAL TUBULAR ILHOS 2,5MM AZUL DUPLO"</f>
        <v>TERMINAL TUBULAR ILHOS 2,5MM AZUL DUPLO</v>
      </c>
      <c r="C23713" s="2" t="str">
        <f t="shared" si="933"/>
        <v>UN</v>
      </c>
      <c r="D23713" s="7">
        <v>811</v>
      </c>
      <c r="E23713" s="3">
        <v>10</v>
      </c>
      <c r="F23713" s="2">
        <v>0</v>
      </c>
      <c r="G23713" t="s">
        <v>513</v>
      </c>
    </row>
    <row r="23714" spans="1:7" x14ac:dyDescent="0.25">
      <c r="A23714" s="1" t="str">
        <f>"524934"</f>
        <v>524934</v>
      </c>
      <c r="B23714" s="2" t="str">
        <f>"TERMINAL TUBULAR ILHOS 2,5MM AZUL SIMPLES"</f>
        <v>TERMINAL TUBULAR ILHOS 2,5MM AZUL SIMPLES</v>
      </c>
      <c r="C23714" s="2" t="str">
        <f t="shared" si="933"/>
        <v>UN</v>
      </c>
      <c r="D23714" s="7">
        <v>811</v>
      </c>
      <c r="E23714" s="3">
        <v>10</v>
      </c>
      <c r="F23714" s="2">
        <v>4</v>
      </c>
      <c r="G23714" t="s">
        <v>512</v>
      </c>
    </row>
    <row r="23715" spans="1:7" x14ac:dyDescent="0.25">
      <c r="A23715" s="1" t="str">
        <f>"526548"</f>
        <v>526548</v>
      </c>
      <c r="B23715" s="2" t="str">
        <f>"TERMINAL TUBULAR ILHOS 25MM VERMELHO SIMPLES"</f>
        <v>TERMINAL TUBULAR ILHOS 25MM VERMELHO SIMPLES</v>
      </c>
      <c r="C23715" s="2" t="str">
        <f t="shared" si="933"/>
        <v>UN</v>
      </c>
      <c r="D23715" s="7">
        <v>811</v>
      </c>
      <c r="E23715" s="3">
        <v>10</v>
      </c>
      <c r="F23715" s="2">
        <v>1</v>
      </c>
      <c r="G23715" t="s">
        <v>513</v>
      </c>
    </row>
    <row r="23716" spans="1:7" x14ac:dyDescent="0.25">
      <c r="A23716" s="1" t="str">
        <f>"508933"</f>
        <v>508933</v>
      </c>
      <c r="B23716" s="2" t="str">
        <f>"TERMINAL UNIVERSAL FEMEA"</f>
        <v>TERMINAL UNIVERSAL FEMEA</v>
      </c>
      <c r="C23716" s="2" t="str">
        <f t="shared" si="933"/>
        <v>UN</v>
      </c>
      <c r="D23716" s="7">
        <v>704</v>
      </c>
      <c r="E23716" s="3">
        <v>9</v>
      </c>
      <c r="F23716" s="2">
        <v>2</v>
      </c>
      <c r="G23716" t="s">
        <v>514</v>
      </c>
    </row>
    <row r="23717" spans="1:7" x14ac:dyDescent="0.25">
      <c r="A23717" s="1" t="str">
        <f>"508934"</f>
        <v>508934</v>
      </c>
      <c r="B23717" s="2" t="str">
        <f>"TERMINAL UNIVERSAL MACHO"</f>
        <v>TERMINAL UNIVERSAL MACHO</v>
      </c>
      <c r="C23717" s="2" t="str">
        <f t="shared" si="933"/>
        <v>UN</v>
      </c>
      <c r="D23717" s="7">
        <v>704</v>
      </c>
      <c r="E23717" s="3">
        <v>9</v>
      </c>
      <c r="F23717" s="2">
        <v>7</v>
      </c>
      <c r="G23717" t="s">
        <v>514</v>
      </c>
    </row>
    <row r="23718" spans="1:7" x14ac:dyDescent="0.25">
      <c r="A23718" s="1" t="str">
        <f>"527221"</f>
        <v>527221</v>
      </c>
      <c r="B23718" s="2" t="str">
        <f>"TERMINALOLHAL 2,5 MM AZUL FURO 3/16"</f>
        <v>TERMINALOLHAL 2,5 MM AZUL FURO 3/16</v>
      </c>
      <c r="C23718" s="2" t="str">
        <f>"MT"</f>
        <v>MT</v>
      </c>
      <c r="D23718" s="7">
        <v>811</v>
      </c>
      <c r="E23718" s="3">
        <v>10</v>
      </c>
      <c r="F23718" s="2">
        <v>9</v>
      </c>
      <c r="G23718" t="s">
        <v>514</v>
      </c>
    </row>
    <row r="23719" spans="1:7" x14ac:dyDescent="0.25">
      <c r="A23719" s="1" t="str">
        <f>"517652"</f>
        <v>517652</v>
      </c>
      <c r="B23719" s="2" t="str">
        <f>"TERMISTOR INOX GL GS8 15"</f>
        <v>TERMISTOR INOX GL GS8 15</v>
      </c>
      <c r="C23719" s="2" t="str">
        <f>"UN"</f>
        <v>UN</v>
      </c>
      <c r="D23719" s="7">
        <v>811</v>
      </c>
      <c r="E23719" s="3">
        <v>8</v>
      </c>
      <c r="F23719" s="2">
        <v>0</v>
      </c>
      <c r="G23719" t="s">
        <v>513</v>
      </c>
    </row>
    <row r="23720" spans="1:7" x14ac:dyDescent="0.25">
      <c r="A23720" s="1" t="str">
        <f>"517873"</f>
        <v>517873</v>
      </c>
      <c r="B23720" s="2" t="str">
        <f>"TERMO ENCOLHIVEL 1 1/2"""</f>
        <v>TERMO ENCOLHIVEL 1 1/2"</v>
      </c>
      <c r="C23720" s="2" t="str">
        <f>"UN"</f>
        <v>UN</v>
      </c>
      <c r="D23720" s="7">
        <v>811</v>
      </c>
      <c r="E23720" s="3">
        <v>8</v>
      </c>
      <c r="F23720" s="2">
        <v>0</v>
      </c>
      <c r="G23720" t="s">
        <v>513</v>
      </c>
    </row>
    <row r="23721" spans="1:7" x14ac:dyDescent="0.25">
      <c r="A23721" s="1" t="str">
        <f>"518060"</f>
        <v>518060</v>
      </c>
      <c r="B23721" s="2" t="str">
        <f>"TERMO ENCOLHIVEL 1"""</f>
        <v>TERMO ENCOLHIVEL 1"</v>
      </c>
      <c r="C23721" s="2" t="str">
        <f>"UN"</f>
        <v>UN</v>
      </c>
      <c r="D23721" s="7">
        <v>811</v>
      </c>
      <c r="E23721" s="3">
        <v>8</v>
      </c>
      <c r="F23721" s="2">
        <v>2</v>
      </c>
      <c r="G23721" t="s">
        <v>513</v>
      </c>
    </row>
    <row r="23722" spans="1:7" x14ac:dyDescent="0.25">
      <c r="A23722" s="1" t="str">
        <f>"517874"</f>
        <v>517874</v>
      </c>
      <c r="B23722" s="2" t="str">
        <f>"TERMO ENCOLHIVEL 1/2"""</f>
        <v>TERMO ENCOLHIVEL 1/2"</v>
      </c>
      <c r="C23722" s="2" t="str">
        <f>"UN"</f>
        <v>UN</v>
      </c>
      <c r="D23722" s="7">
        <v>811</v>
      </c>
      <c r="E23722" s="3">
        <v>8</v>
      </c>
      <c r="F23722" s="2">
        <v>5</v>
      </c>
      <c r="G23722" t="s">
        <v>512</v>
      </c>
    </row>
    <row r="23723" spans="1:7" x14ac:dyDescent="0.25">
      <c r="A23723" s="1" t="str">
        <f>"517871"</f>
        <v>517871</v>
      </c>
      <c r="B23723" s="2" t="str">
        <f>"TERMO ENCOLHIVEL 1/4"""</f>
        <v>TERMO ENCOLHIVEL 1/4"</v>
      </c>
      <c r="C23723" s="2" t="str">
        <f>"MT"</f>
        <v>MT</v>
      </c>
      <c r="D23723" s="7">
        <v>811</v>
      </c>
      <c r="E23723" s="3">
        <v>8</v>
      </c>
      <c r="F23723" s="2">
        <v>0</v>
      </c>
      <c r="G23723" t="s">
        <v>513</v>
      </c>
    </row>
    <row r="23724" spans="1:7" x14ac:dyDescent="0.25">
      <c r="A23724" s="1" t="str">
        <f>"518059"</f>
        <v>518059</v>
      </c>
      <c r="B23724" s="2" t="str">
        <f>"TERMO ENCOLHIVEL 3/4"""</f>
        <v>TERMO ENCOLHIVEL 3/4"</v>
      </c>
      <c r="C23724" s="2" t="str">
        <f t="shared" ref="C23724:C23729" si="934">"UN"</f>
        <v>UN</v>
      </c>
      <c r="D23724" s="7">
        <v>811</v>
      </c>
      <c r="E23724" s="3">
        <v>8</v>
      </c>
      <c r="F23724" s="2">
        <v>2</v>
      </c>
      <c r="G23724" t="s">
        <v>514</v>
      </c>
    </row>
    <row r="23725" spans="1:7" x14ac:dyDescent="0.25">
      <c r="A23725" s="1" t="str">
        <f>"517872"</f>
        <v>517872</v>
      </c>
      <c r="B23725" s="2" t="str">
        <f>"TERMO ENCOLHIVEL 3/8"""</f>
        <v>TERMO ENCOLHIVEL 3/8"</v>
      </c>
      <c r="C23725" s="2" t="str">
        <f t="shared" si="934"/>
        <v>UN</v>
      </c>
      <c r="D23725" s="7">
        <v>811</v>
      </c>
      <c r="E23725" s="3">
        <v>8</v>
      </c>
      <c r="F23725" s="2">
        <v>5</v>
      </c>
      <c r="G23725" t="s">
        <v>515</v>
      </c>
    </row>
    <row r="23726" spans="1:7" x14ac:dyDescent="0.25">
      <c r="A23726" s="1" t="str">
        <f>"526953"</f>
        <v>526953</v>
      </c>
      <c r="B23726" s="2" t="str">
        <f>"TERMO ENCOLHIVEL 50 MM"</f>
        <v>TERMO ENCOLHIVEL 50 MM</v>
      </c>
      <c r="C23726" s="2" t="str">
        <f t="shared" si="934"/>
        <v>UN</v>
      </c>
      <c r="D23726" s="7">
        <v>811</v>
      </c>
      <c r="E23726" s="3">
        <v>8</v>
      </c>
      <c r="F23726" s="5">
        <v>5</v>
      </c>
      <c r="G23726" t="s">
        <v>512</v>
      </c>
    </row>
    <row r="23727" spans="1:7" x14ac:dyDescent="0.25">
      <c r="A23727" s="1" t="str">
        <f>"517875"</f>
        <v>517875</v>
      </c>
      <c r="B23727" s="2" t="str">
        <f>"TERMO ENCOLHIVEL HELLERMANN 30MM"</f>
        <v>TERMO ENCOLHIVEL HELLERMANN 30MM</v>
      </c>
      <c r="C23727" s="2" t="str">
        <f t="shared" si="934"/>
        <v>UN</v>
      </c>
      <c r="D23727" s="7">
        <v>811</v>
      </c>
      <c r="E23727" s="3">
        <v>8</v>
      </c>
      <c r="F23727" s="2">
        <v>3</v>
      </c>
      <c r="G23727" t="s">
        <v>516</v>
      </c>
    </row>
    <row r="23728" spans="1:7" x14ac:dyDescent="0.25">
      <c r="A23728" s="1" t="str">
        <f>"517916"</f>
        <v>517916</v>
      </c>
      <c r="B23728" s="2" t="str">
        <f>"TERMO HIGRO DECIBEL LUXIM MOD. THDL 400 DIGITAL PORTATIL"</f>
        <v>TERMO HIGRO DECIBEL LUXIM MOD. THDL 400 DIGITAL PORTATIL</v>
      </c>
      <c r="C23728" s="2" t="str">
        <f t="shared" si="934"/>
        <v>UN</v>
      </c>
      <c r="D23728" s="7">
        <v>817</v>
      </c>
      <c r="E23728" s="3">
        <v>13</v>
      </c>
      <c r="F23728" s="2">
        <v>8</v>
      </c>
      <c r="G23728" t="s">
        <v>515</v>
      </c>
    </row>
    <row r="23729" spans="1:7" x14ac:dyDescent="0.25">
      <c r="A23729" s="1" t="str">
        <f>"518810"</f>
        <v>518810</v>
      </c>
      <c r="B23729" s="2" t="str">
        <f>"TERMO HIGROMETRO C/ SENSOR EXTERNO TEMP.TH02 - CALIBRADO"</f>
        <v>TERMO HIGROMETRO C/ SENSOR EXTERNO TEMP.TH02 - CALIBRADO</v>
      </c>
      <c r="C23729" s="2" t="str">
        <f t="shared" si="934"/>
        <v>UN</v>
      </c>
      <c r="D23729" s="7">
        <v>817</v>
      </c>
      <c r="E23729" s="3">
        <v>13</v>
      </c>
      <c r="F23729" s="2">
        <v>6</v>
      </c>
      <c r="G23729" t="s">
        <v>514</v>
      </c>
    </row>
    <row r="23730" spans="1:7" x14ac:dyDescent="0.25">
      <c r="A23730" s="1" t="str">
        <f>"505256"</f>
        <v>505256</v>
      </c>
      <c r="B23730" s="2" t="str">
        <f>"TERMOCONTRAIL 1 1/2"""</f>
        <v>TERMOCONTRAIL 1 1/2"</v>
      </c>
      <c r="C23730" s="2" t="str">
        <f>"MT"</f>
        <v>MT</v>
      </c>
      <c r="D23730" s="7">
        <v>811</v>
      </c>
      <c r="E23730" s="3">
        <v>8</v>
      </c>
      <c r="F23730" s="2">
        <v>4</v>
      </c>
      <c r="G23730" t="s">
        <v>512</v>
      </c>
    </row>
    <row r="23731" spans="1:7" x14ac:dyDescent="0.25">
      <c r="A23731" s="1" t="str">
        <f>"505242"</f>
        <v>505242</v>
      </c>
      <c r="B23731" s="2" t="str">
        <f>"TERMOCONTRAIL 1"""</f>
        <v>TERMOCONTRAIL 1"</v>
      </c>
      <c r="C23731" s="2" t="str">
        <f>"MT"</f>
        <v>MT</v>
      </c>
      <c r="D23731" s="7">
        <v>811</v>
      </c>
      <c r="E23731" s="3">
        <v>8</v>
      </c>
      <c r="F23731" s="2">
        <v>1</v>
      </c>
      <c r="G23731" t="s">
        <v>513</v>
      </c>
    </row>
    <row r="23732" spans="1:7" x14ac:dyDescent="0.25">
      <c r="A23732" s="1" t="str">
        <f>"505259"</f>
        <v>505259</v>
      </c>
      <c r="B23732" s="2" t="str">
        <f>"TERMOCONTRAIL 2 1/2"""</f>
        <v>TERMOCONTRAIL 2 1/2"</v>
      </c>
      <c r="C23732" s="2" t="str">
        <f>"MT"</f>
        <v>MT</v>
      </c>
      <c r="D23732" s="7">
        <v>811</v>
      </c>
      <c r="E23732" s="3">
        <v>8</v>
      </c>
      <c r="F23732" s="2">
        <v>2</v>
      </c>
      <c r="G23732" t="s">
        <v>514</v>
      </c>
    </row>
    <row r="23733" spans="1:7" x14ac:dyDescent="0.25">
      <c r="A23733" s="1" t="str">
        <f>"505258"</f>
        <v>505258</v>
      </c>
      <c r="B23733" s="2" t="str">
        <f>"TERMOCONTRAIL 2"""</f>
        <v>TERMOCONTRAIL 2"</v>
      </c>
      <c r="C23733" s="2" t="str">
        <f>"MT"</f>
        <v>MT</v>
      </c>
      <c r="D23733" s="7">
        <v>811</v>
      </c>
      <c r="E23733" s="3">
        <v>8</v>
      </c>
      <c r="F23733" s="2">
        <v>7</v>
      </c>
      <c r="G23733" t="s">
        <v>514</v>
      </c>
    </row>
    <row r="23734" spans="1:7" x14ac:dyDescent="0.25">
      <c r="A23734" s="1" t="str">
        <f>"516228"</f>
        <v>516228</v>
      </c>
      <c r="B23734" s="2" t="str">
        <f>"TERMOCONTRAIL 3 1/2"""</f>
        <v>TERMOCONTRAIL 3 1/2"</v>
      </c>
      <c r="C23734" s="2" t="str">
        <f>"MT"</f>
        <v>MT</v>
      </c>
      <c r="D23734" s="7">
        <v>600</v>
      </c>
      <c r="E23734" s="3">
        <v>8</v>
      </c>
      <c r="F23734" s="2">
        <v>9</v>
      </c>
      <c r="G23734" t="s">
        <v>512</v>
      </c>
    </row>
    <row r="23735" spans="1:7" x14ac:dyDescent="0.25">
      <c r="A23735" s="1" t="str">
        <f>"516159"</f>
        <v>516159</v>
      </c>
      <c r="B23735" s="2" t="str">
        <f>"TERMOCONTRAIL P/ BARRAMENTO 1 1/2"" X 1/2"""</f>
        <v>TERMOCONTRAIL P/ BARRAMENTO 1 1/2" X 1/2"</v>
      </c>
      <c r="C23735" s="2" t="str">
        <f>"UN"</f>
        <v>UN</v>
      </c>
      <c r="D23735" s="7">
        <v>600</v>
      </c>
      <c r="E23735" s="3">
        <v>8</v>
      </c>
      <c r="F23735" s="2">
        <v>0</v>
      </c>
      <c r="G23735" t="s">
        <v>513</v>
      </c>
    </row>
    <row r="23736" spans="1:7" x14ac:dyDescent="0.25">
      <c r="A23736" s="1" t="str">
        <f>"516158"</f>
        <v>516158</v>
      </c>
      <c r="B23736" s="2" t="str">
        <f>"TERMOCONTRAIL P/ BARRAMENTO 2 1/2"" X 3/8"""</f>
        <v>TERMOCONTRAIL P/ BARRAMENTO 2 1/2" X 3/8"</v>
      </c>
      <c r="C23736" s="2" t="str">
        <f>"MT"</f>
        <v>MT</v>
      </c>
      <c r="D23736" s="7">
        <v>600</v>
      </c>
      <c r="E23736" s="3">
        <v>8</v>
      </c>
      <c r="F23736" s="2">
        <v>0</v>
      </c>
      <c r="G23736" t="s">
        <v>514</v>
      </c>
    </row>
    <row r="23737" spans="1:7" x14ac:dyDescent="0.25">
      <c r="A23737" s="1" t="str">
        <f>"501217"</f>
        <v>501217</v>
      </c>
      <c r="B23737" s="2" t="str">
        <f>"TERMO-ELEM. MAQ.BRASKOP PONTA 6MM BAION. GR COD.310051-03"</f>
        <v>TERMO-ELEM. MAQ.BRASKOP PONTA 6MM BAION. GR COD.310051-03</v>
      </c>
      <c r="C23737" s="2" t="str">
        <f>"PC"</f>
        <v>PC</v>
      </c>
      <c r="D23737" s="7">
        <v>900</v>
      </c>
      <c r="E23737" s="3">
        <v>11</v>
      </c>
      <c r="F23737" s="2">
        <v>2</v>
      </c>
      <c r="G23737" t="s">
        <v>514</v>
      </c>
    </row>
    <row r="23738" spans="1:7" x14ac:dyDescent="0.25">
      <c r="A23738" s="1" t="str">
        <f>"526552"</f>
        <v>526552</v>
      </c>
      <c r="B23738" s="2" t="str">
        <f>"TERMOELEMENTO C0-04003"</f>
        <v>TERMOELEMENTO C0-04003</v>
      </c>
      <c r="C23738" s="2" t="str">
        <f>"PC"</f>
        <v>PC</v>
      </c>
      <c r="D23738" s="7">
        <v>918</v>
      </c>
      <c r="E23738" s="3">
        <v>11</v>
      </c>
      <c r="F23738" s="2">
        <v>5</v>
      </c>
      <c r="G23738" t="s">
        <v>514</v>
      </c>
    </row>
    <row r="23739" spans="1:7" x14ac:dyDescent="0.25">
      <c r="A23739" s="1" t="str">
        <f>"526561"</f>
        <v>526561</v>
      </c>
      <c r="B23739" s="2" t="str">
        <f>"TERMOELEMENTO C0-4003"</f>
        <v>TERMOELEMENTO C0-4003</v>
      </c>
      <c r="C23739" s="2" t="str">
        <f>"PC"</f>
        <v>PC</v>
      </c>
      <c r="D23739" s="7">
        <v>918</v>
      </c>
      <c r="E23739" s="3">
        <v>11</v>
      </c>
      <c r="F23739" s="2">
        <v>6</v>
      </c>
      <c r="G23739" t="s">
        <v>513</v>
      </c>
    </row>
    <row r="23740" spans="1:7" x14ac:dyDescent="0.25">
      <c r="A23740" s="1" t="str">
        <f>"516856"</f>
        <v>516856</v>
      </c>
      <c r="B23740" s="2" t="str">
        <f>"TERMOELEMENTO D4199-30762 OP8/1/1433/43"</f>
        <v>TERMOELEMENTO D4199-30762 OP8/1/1433/43</v>
      </c>
      <c r="C23740" s="2" t="str">
        <f>"UN"</f>
        <v>UN</v>
      </c>
      <c r="D23740" s="7">
        <v>900</v>
      </c>
      <c r="E23740" s="3">
        <v>11</v>
      </c>
      <c r="F23740" s="2">
        <v>9</v>
      </c>
      <c r="G23740" t="s">
        <v>512</v>
      </c>
    </row>
    <row r="23741" spans="1:7" x14ac:dyDescent="0.25">
      <c r="A23741" s="1" t="str">
        <f>"501174"</f>
        <v>501174</v>
      </c>
      <c r="B23741" s="2" t="str">
        <f>"TERMO-ELEMENTO DINI 450P"</f>
        <v>TERMO-ELEMENTO DINI 450P</v>
      </c>
      <c r="C23741" s="2" t="str">
        <f>"PC"</f>
        <v>PC</v>
      </c>
      <c r="D23741" s="7">
        <v>900</v>
      </c>
      <c r="E23741" s="3">
        <v>11</v>
      </c>
      <c r="F23741" s="2">
        <v>5</v>
      </c>
      <c r="G23741" t="s">
        <v>513</v>
      </c>
    </row>
    <row r="23742" spans="1:7" x14ac:dyDescent="0.25">
      <c r="A23742" s="1" t="str">
        <f>"520442"</f>
        <v>520442</v>
      </c>
      <c r="B23742" s="8" t="s">
        <v>140</v>
      </c>
      <c r="C23742" s="2" t="str">
        <f t="shared" ref="C23742:C23760" si="935">"UN"</f>
        <v>UN</v>
      </c>
      <c r="D23742" s="7">
        <v>811</v>
      </c>
      <c r="E23742" s="3">
        <v>8</v>
      </c>
      <c r="F23742" s="2">
        <v>3</v>
      </c>
      <c r="G23742" t="s">
        <v>514</v>
      </c>
    </row>
    <row r="23743" spans="1:7" x14ac:dyDescent="0.25">
      <c r="A23743" s="1" t="str">
        <f>"519619"</f>
        <v>519619</v>
      </c>
      <c r="B23743" s="2" t="str">
        <f>"TERMOELEMENTO J M8 GIR 90G D65838 COD18763103"</f>
        <v>TERMOELEMENTO J M8 GIR 90G D65838 COD18763103</v>
      </c>
      <c r="C23743" s="2" t="str">
        <f t="shared" si="935"/>
        <v>UN</v>
      </c>
      <c r="D23743" s="7">
        <v>811</v>
      </c>
      <c r="E23743" s="3">
        <v>8</v>
      </c>
      <c r="F23743" s="2">
        <v>3</v>
      </c>
      <c r="G23743" t="s">
        <v>514</v>
      </c>
    </row>
    <row r="23744" spans="1:7" x14ac:dyDescent="0.25">
      <c r="A23744" s="1" t="str">
        <f>"516863"</f>
        <v>516863</v>
      </c>
      <c r="B23744" s="2" t="str">
        <f>"TERMOELEMENTO OP2/22/1433/21 OP3/22/1433/21 CO-04003"</f>
        <v>TERMOELEMENTO OP2/22/1433/21 OP3/22/1433/21 CO-04003</v>
      </c>
      <c r="C23744" s="2" t="str">
        <f t="shared" si="935"/>
        <v>UN</v>
      </c>
      <c r="D23744" s="7">
        <v>900</v>
      </c>
      <c r="E23744" s="3">
        <v>11</v>
      </c>
      <c r="F23744" s="2">
        <v>2</v>
      </c>
      <c r="G23744" t="s">
        <v>514</v>
      </c>
    </row>
    <row r="23745" spans="1:7" x14ac:dyDescent="0.25">
      <c r="A23745" s="1" t="str">
        <f>"516858"</f>
        <v>516858</v>
      </c>
      <c r="B23745" s="2" t="str">
        <f>"TERMOELEMENTO TIPO J OP5/1433/44 D4199-30762"</f>
        <v>TERMOELEMENTO TIPO J OP5/1433/44 D4199-30762</v>
      </c>
      <c r="C23745" s="2" t="str">
        <f t="shared" si="935"/>
        <v>UN</v>
      </c>
      <c r="D23745" s="7">
        <v>900</v>
      </c>
      <c r="E23745" s="3">
        <v>11</v>
      </c>
      <c r="F23745" s="2">
        <v>1</v>
      </c>
      <c r="G23745" t="s">
        <v>513</v>
      </c>
    </row>
    <row r="23746" spans="1:7" x14ac:dyDescent="0.25">
      <c r="A23746" s="1" t="str">
        <f>"501200"</f>
        <v>501200</v>
      </c>
      <c r="B23746" s="2" t="str">
        <f>"TERMO-ELEMENTO TLMQ J1500 BRASKOP 2000JR"</f>
        <v>TERMO-ELEMENTO TLMQ J1500 BRASKOP 2000JR</v>
      </c>
      <c r="C23746" s="2" t="str">
        <f t="shared" si="935"/>
        <v>UN</v>
      </c>
      <c r="D23746" s="7">
        <v>900</v>
      </c>
      <c r="E23746" s="3">
        <v>11</v>
      </c>
      <c r="F23746" s="2">
        <v>4</v>
      </c>
      <c r="G23746" t="s">
        <v>513</v>
      </c>
    </row>
    <row r="23747" spans="1:7" x14ac:dyDescent="0.25">
      <c r="A23747" s="1" t="str">
        <f>"517861"</f>
        <v>517861</v>
      </c>
      <c r="B23747" s="2" t="str">
        <f>"TERMOENCOLHIVEL 1 5/16"</f>
        <v>TERMOENCOLHIVEL 1 5/16</v>
      </c>
      <c r="C23747" s="2" t="str">
        <f t="shared" si="935"/>
        <v>UN</v>
      </c>
      <c r="D23747" s="7">
        <v>811</v>
      </c>
      <c r="E23747" s="3">
        <v>8</v>
      </c>
      <c r="F23747" s="2">
        <v>6</v>
      </c>
      <c r="G23747" t="s">
        <v>513</v>
      </c>
    </row>
    <row r="23748" spans="1:7" x14ac:dyDescent="0.25">
      <c r="A23748" s="1" t="str">
        <f>"517554"</f>
        <v>517554</v>
      </c>
      <c r="B23748" s="2" t="str">
        <f>"TERMOENCOLHIVEL 3/4 X 3/8"""</f>
        <v>TERMOENCOLHIVEL 3/4 X 3/8"</v>
      </c>
      <c r="C23748" s="2" t="str">
        <f t="shared" si="935"/>
        <v>UN</v>
      </c>
      <c r="D23748" s="7">
        <v>811</v>
      </c>
      <c r="E23748" s="3">
        <v>8</v>
      </c>
      <c r="F23748" s="2">
        <v>8</v>
      </c>
      <c r="G23748" t="s">
        <v>512</v>
      </c>
    </row>
    <row r="23749" spans="1:7" x14ac:dyDescent="0.25">
      <c r="A23749" s="1" t="str">
        <f>"517555"</f>
        <v>517555</v>
      </c>
      <c r="B23749" s="2" t="str">
        <f>"TERMOENCOLHIVEL 3/8 X 5/16"""</f>
        <v>TERMOENCOLHIVEL 3/8 X 5/16"</v>
      </c>
      <c r="C23749" s="2" t="str">
        <f t="shared" si="935"/>
        <v>UN</v>
      </c>
      <c r="D23749" s="7">
        <v>811</v>
      </c>
      <c r="E23749" s="3">
        <v>8</v>
      </c>
      <c r="F23749" s="2">
        <v>7</v>
      </c>
      <c r="G23749" t="s">
        <v>513</v>
      </c>
    </row>
    <row r="23750" spans="1:7" x14ac:dyDescent="0.25">
      <c r="A23750" s="1" t="str">
        <f>"513103"</f>
        <v>513103</v>
      </c>
      <c r="B23750" s="2" t="str">
        <f>"TERMOFORMADORA DINI 350M (MAQUINA GREGO)"</f>
        <v>TERMOFORMADORA DINI 350M (MAQUINA GREGO)</v>
      </c>
      <c r="C23750" s="2" t="str">
        <f t="shared" si="935"/>
        <v>UN</v>
      </c>
      <c r="D23750" s="7">
        <v>1300</v>
      </c>
      <c r="E23750" s="3">
        <v>13</v>
      </c>
      <c r="F23750" s="2">
        <v>6</v>
      </c>
      <c r="G23750" t="s">
        <v>514</v>
      </c>
    </row>
    <row r="23751" spans="1:7" x14ac:dyDescent="0.25">
      <c r="A23751" s="1" t="str">
        <f>"513037"</f>
        <v>513037</v>
      </c>
      <c r="B23751" s="2" t="str">
        <f>"TERMOFORMADORA DINI 350M (MAQUINA PETIT)"</f>
        <v>TERMOFORMADORA DINI 350M (MAQUINA PETIT)</v>
      </c>
      <c r="C23751" s="2" t="str">
        <f t="shared" si="935"/>
        <v>UN</v>
      </c>
      <c r="D23751" s="7">
        <v>1300</v>
      </c>
      <c r="E23751" s="3">
        <v>13</v>
      </c>
      <c r="F23751" s="2">
        <v>6</v>
      </c>
      <c r="G23751" t="s">
        <v>515</v>
      </c>
    </row>
    <row r="23752" spans="1:7" x14ac:dyDescent="0.25">
      <c r="A23752" s="1" t="str">
        <f>"523931"</f>
        <v>523931</v>
      </c>
      <c r="B23752" s="2" t="str">
        <f>"TERMO-HIGROMETRO DIGITAL TEM. INT/EXT 0° MINIPA MT-241"</f>
        <v>TERMO-HIGROMETRO DIGITAL TEM. INT/EXT 0° MINIPA MT-241</v>
      </c>
      <c r="C23752" s="2" t="str">
        <f t="shared" si="935"/>
        <v>UN</v>
      </c>
      <c r="D23752" s="7">
        <v>99999</v>
      </c>
      <c r="E23752" s="3">
        <v>99</v>
      </c>
      <c r="F23752" s="2">
        <v>2</v>
      </c>
      <c r="G23752" t="s">
        <v>512</v>
      </c>
    </row>
    <row r="23753" spans="1:7" x14ac:dyDescent="0.25">
      <c r="A23753" s="1" t="str">
        <f>"509195"</f>
        <v>509195</v>
      </c>
      <c r="B23753" s="2" t="str">
        <f>"TERMO-HIGROMETRO HT 200 DIGITAL"</f>
        <v>TERMO-HIGROMETRO HT 200 DIGITAL</v>
      </c>
      <c r="C23753" s="2" t="str">
        <f t="shared" si="935"/>
        <v>UN</v>
      </c>
      <c r="D23753" s="7">
        <v>1500</v>
      </c>
      <c r="E23753" s="3">
        <v>13</v>
      </c>
      <c r="F23753" s="2">
        <v>1</v>
      </c>
      <c r="G23753" t="s">
        <v>516</v>
      </c>
    </row>
    <row r="23754" spans="1:7" x14ac:dyDescent="0.25">
      <c r="A23754" s="1" t="str">
        <f>"513179"</f>
        <v>513179</v>
      </c>
      <c r="B23754" s="2" t="str">
        <f>"TERMOLACTODENSIMETRO 15°C, ALCOOL (CALIBRADO)"</f>
        <v>TERMOLACTODENSIMETRO 15°C, ALCOOL (CALIBRADO)</v>
      </c>
      <c r="C23754" s="2" t="str">
        <f t="shared" si="935"/>
        <v>UN</v>
      </c>
      <c r="D23754" s="7">
        <v>406</v>
      </c>
      <c r="E23754" s="3">
        <v>4</v>
      </c>
      <c r="F23754" s="2">
        <v>0</v>
      </c>
      <c r="G23754" t="s">
        <v>515</v>
      </c>
    </row>
    <row r="23755" spans="1:7" x14ac:dyDescent="0.25">
      <c r="A23755" s="1" t="str">
        <f>"2511"</f>
        <v>2511</v>
      </c>
      <c r="B23755" s="2" t="str">
        <f>"TERMOMETRO -10 +110º C/PROT. DE PLASTICO"</f>
        <v>TERMOMETRO -10 +110º C/PROT. DE PLASTICO</v>
      </c>
      <c r="C23755" s="2" t="str">
        <f t="shared" si="935"/>
        <v>UN</v>
      </c>
      <c r="D23755" s="7">
        <v>406</v>
      </c>
      <c r="E23755" s="3">
        <v>4</v>
      </c>
      <c r="F23755" s="2">
        <v>0</v>
      </c>
      <c r="G23755" t="s">
        <v>514</v>
      </c>
    </row>
    <row r="23756" spans="1:7" x14ac:dyDescent="0.25">
      <c r="A23756" s="1" t="str">
        <f>"516355"</f>
        <v>516355</v>
      </c>
      <c r="B23756" s="2" t="str">
        <f>"TERMOMETRO 100M 0 A 150 ºC ZURICH"</f>
        <v>TERMOMETRO 100M 0 A 150 ºC ZURICH</v>
      </c>
      <c r="C23756" s="2" t="str">
        <f t="shared" si="935"/>
        <v>UN</v>
      </c>
      <c r="D23756" s="7">
        <v>918</v>
      </c>
      <c r="E23756" s="3">
        <v>11</v>
      </c>
      <c r="F23756" s="2">
        <v>0</v>
      </c>
      <c r="G23756" t="s">
        <v>512</v>
      </c>
    </row>
    <row r="23757" spans="1:7" x14ac:dyDescent="0.25">
      <c r="A23757" s="1" t="str">
        <f>"516356"</f>
        <v>516356</v>
      </c>
      <c r="B23757" s="2" t="str">
        <f>"TERMOMETRO 100M -10 A 50 ºC  ZURICH"</f>
        <v>TERMOMETRO 100M -10 A 50 ºC  ZURICH</v>
      </c>
      <c r="C23757" s="2" t="str">
        <f t="shared" si="935"/>
        <v>UN</v>
      </c>
      <c r="D23757" s="7">
        <v>918</v>
      </c>
      <c r="E23757" s="3">
        <v>11</v>
      </c>
      <c r="F23757" s="2">
        <v>3</v>
      </c>
      <c r="G23757" t="s">
        <v>513</v>
      </c>
    </row>
    <row r="23758" spans="1:7" x14ac:dyDescent="0.25">
      <c r="A23758" s="1" t="str">
        <f>"522651"</f>
        <v>522651</v>
      </c>
      <c r="B23758" s="2" t="str">
        <f>"TERMOMETRO -50 +200º AKSO AK08 (CALIBRADO)"</f>
        <v>TERMOMETRO -50 +200º AKSO AK08 (CALIBRADO)</v>
      </c>
      <c r="C23758" s="2" t="str">
        <f t="shared" si="935"/>
        <v>UN</v>
      </c>
      <c r="D23758" s="7">
        <v>406</v>
      </c>
      <c r="E23758" s="3">
        <v>4</v>
      </c>
      <c r="F23758" s="5">
        <v>5</v>
      </c>
      <c r="G23758" t="s">
        <v>514</v>
      </c>
    </row>
    <row r="23759" spans="1:7" x14ac:dyDescent="0.25">
      <c r="A23759" s="1" t="str">
        <f>"518405"</f>
        <v>518405</v>
      </c>
      <c r="B23759" s="2" t="str">
        <f>"TERMOMETRO AUTOCLAVE 60MM 1/4BSP 100 A 143ºC"</f>
        <v>TERMOMETRO AUTOCLAVE 60MM 1/4BSP 100 A 143ºC</v>
      </c>
      <c r="C23759" s="2" t="str">
        <f t="shared" si="935"/>
        <v>UN</v>
      </c>
      <c r="D23759" s="7">
        <v>918</v>
      </c>
      <c r="E23759" s="3">
        <v>11</v>
      </c>
      <c r="F23759" s="2">
        <v>3</v>
      </c>
      <c r="G23759" t="s">
        <v>514</v>
      </c>
    </row>
    <row r="23760" spans="1:7" x14ac:dyDescent="0.25">
      <c r="A23760" s="1" t="str">
        <f>"520400"</f>
        <v>520400</v>
      </c>
      <c r="B23760" s="2" t="str">
        <f>"TERMOMETRO BIMETALICO ANGULAR DE PROCESSO TZI.2"</f>
        <v>TERMOMETRO BIMETALICO ANGULAR DE PROCESSO TZI.2</v>
      </c>
      <c r="C23760" s="2" t="str">
        <f t="shared" si="935"/>
        <v>UN</v>
      </c>
      <c r="D23760" s="7">
        <v>900</v>
      </c>
      <c r="E23760" s="3">
        <v>11</v>
      </c>
      <c r="F23760" s="2">
        <v>8</v>
      </c>
      <c r="G23760" t="s">
        <v>512</v>
      </c>
    </row>
    <row r="23761" spans="1:7" x14ac:dyDescent="0.25">
      <c r="A23761" s="1" t="str">
        <f>"526184"</f>
        <v>526184</v>
      </c>
      <c r="B23761" s="2" t="str">
        <f>"TERMÔMETRO BIMETÁLICO TBIR-10"</f>
        <v>TERMÔMETRO BIMETÁLICO TBIR-10</v>
      </c>
      <c r="C23761" s="2" t="str">
        <f>"BR"</f>
        <v>BR</v>
      </c>
      <c r="D23761" s="7">
        <v>808</v>
      </c>
      <c r="E23761" s="3">
        <v>10</v>
      </c>
      <c r="F23761" s="2">
        <v>6</v>
      </c>
      <c r="G23761" t="s">
        <v>513</v>
      </c>
    </row>
    <row r="23762" spans="1:7" x14ac:dyDescent="0.25">
      <c r="A23762" s="1" t="str">
        <f>"521589"</f>
        <v>521589</v>
      </c>
      <c r="B23762" s="8" t="s">
        <v>207</v>
      </c>
      <c r="C23762" s="2" t="str">
        <f t="shared" ref="C23762:C23794" si="936">"UN"</f>
        <v>UN</v>
      </c>
      <c r="D23762" s="7">
        <v>900</v>
      </c>
      <c r="E23762" s="3">
        <v>4</v>
      </c>
      <c r="F23762" s="2">
        <v>4</v>
      </c>
      <c r="G23762" t="s">
        <v>514</v>
      </c>
    </row>
    <row r="23763" spans="1:7" x14ac:dyDescent="0.25">
      <c r="A23763" s="1" t="str">
        <f>"511587"</f>
        <v>511587</v>
      </c>
      <c r="B23763" s="2" t="str">
        <f>"TERMOMETRO DIGITAL"</f>
        <v>TERMOMETRO DIGITAL</v>
      </c>
      <c r="C23763" s="2" t="str">
        <f t="shared" si="936"/>
        <v>UN</v>
      </c>
      <c r="D23763" s="7">
        <v>600</v>
      </c>
      <c r="E23763" s="3">
        <v>8</v>
      </c>
      <c r="F23763" s="2">
        <v>1</v>
      </c>
      <c r="G23763" t="s">
        <v>514</v>
      </c>
    </row>
    <row r="23764" spans="1:7" x14ac:dyDescent="0.25">
      <c r="A23764" s="1" t="str">
        <f>"515397"</f>
        <v>515397</v>
      </c>
      <c r="B23764" s="2" t="str">
        <f>"TERMOMETRO DIGITAL 1040ºC"</f>
        <v>TERMOMETRO DIGITAL 1040ºC</v>
      </c>
      <c r="C23764" s="2" t="str">
        <f t="shared" si="936"/>
        <v>UN</v>
      </c>
      <c r="D23764" s="7">
        <v>406</v>
      </c>
      <c r="E23764" s="3">
        <v>4</v>
      </c>
      <c r="F23764" s="2">
        <v>2</v>
      </c>
      <c r="G23764" t="s">
        <v>514</v>
      </c>
    </row>
    <row r="23765" spans="1:7" x14ac:dyDescent="0.25">
      <c r="A23765" s="1" t="str">
        <f>"509311"</f>
        <v>509311</v>
      </c>
      <c r="B23765" s="2" t="str">
        <f>"TERMOMETRO DIGITAL CAR TRM 00NC001"</f>
        <v>TERMOMETRO DIGITAL CAR TRM 00NC001</v>
      </c>
      <c r="C23765" s="2" t="str">
        <f t="shared" si="936"/>
        <v>UN</v>
      </c>
      <c r="D23765" s="7">
        <v>900</v>
      </c>
      <c r="E23765" s="3">
        <v>11</v>
      </c>
      <c r="F23765" s="2">
        <v>7</v>
      </c>
      <c r="G23765" t="s">
        <v>513</v>
      </c>
    </row>
    <row r="23766" spans="1:7" x14ac:dyDescent="0.25">
      <c r="A23766" s="1" t="str">
        <f>"518933"</f>
        <v>518933</v>
      </c>
      <c r="B23766" s="2" t="str">
        <f>"TERMOMETRO DIGITAL ESPETO DELLT MOD. DT-625N C/C"</f>
        <v>TERMOMETRO DIGITAL ESPETO DELLT MOD. DT-625N C/C</v>
      </c>
      <c r="C23766" s="2" t="str">
        <f t="shared" si="936"/>
        <v>UN</v>
      </c>
      <c r="D23766" s="7">
        <v>811</v>
      </c>
      <c r="E23766" s="3">
        <v>8</v>
      </c>
      <c r="F23766" s="2">
        <v>9</v>
      </c>
      <c r="G23766" t="s">
        <v>512</v>
      </c>
    </row>
    <row r="23767" spans="1:7" x14ac:dyDescent="0.25">
      <c r="A23767" s="1" t="str">
        <f>"508620"</f>
        <v>508620</v>
      </c>
      <c r="B23767" s="2" t="str">
        <f>"TERMOMETRO DIGITAL ESPETO INOX -50+300"</f>
        <v>TERMOMETRO DIGITAL ESPETO INOX -50+300</v>
      </c>
      <c r="C23767" s="2" t="str">
        <f t="shared" si="936"/>
        <v>UN</v>
      </c>
      <c r="D23767" s="7">
        <v>406</v>
      </c>
      <c r="E23767" s="3">
        <v>4</v>
      </c>
      <c r="F23767" s="2">
        <v>0</v>
      </c>
      <c r="G23767" t="s">
        <v>513</v>
      </c>
    </row>
    <row r="23768" spans="1:7" x14ac:dyDescent="0.25">
      <c r="A23768" s="1" t="str">
        <f>"516896"</f>
        <v>516896</v>
      </c>
      <c r="B23768" s="2" t="str">
        <f>"TERMOMETRO DIGITAL ESPETO MINIPA -10/+200 MV363 - CALIBRADO"</f>
        <v>TERMOMETRO DIGITAL ESPETO MINIPA -10/+200 MV363 - CALIBRADO</v>
      </c>
      <c r="C23768" s="2" t="str">
        <f t="shared" si="936"/>
        <v>UN</v>
      </c>
      <c r="D23768" s="7">
        <v>900</v>
      </c>
      <c r="E23768" s="3">
        <v>4</v>
      </c>
      <c r="F23768" s="2">
        <v>0</v>
      </c>
      <c r="G23768" t="s">
        <v>514</v>
      </c>
    </row>
    <row r="23769" spans="1:7" x14ac:dyDescent="0.25">
      <c r="A23769" s="1" t="str">
        <f>"516919"</f>
        <v>516919</v>
      </c>
      <c r="B23769" s="2" t="str">
        <f>"TERMOMETRO DIGITAL G. TECH"</f>
        <v>TERMOMETRO DIGITAL G. TECH</v>
      </c>
      <c r="C23769" s="2" t="str">
        <f t="shared" si="936"/>
        <v>UN</v>
      </c>
      <c r="D23769" s="7">
        <v>817</v>
      </c>
      <c r="E23769" s="3">
        <v>4</v>
      </c>
      <c r="F23769" s="2">
        <v>2</v>
      </c>
      <c r="G23769" t="s">
        <v>514</v>
      </c>
    </row>
    <row r="23770" spans="1:7" x14ac:dyDescent="0.25">
      <c r="A23770" s="1" t="str">
        <f>"506094"</f>
        <v>506094</v>
      </c>
      <c r="B23770" s="2" t="str">
        <f>"TERMOMETRO ELETRICO MASSEY"</f>
        <v>TERMOMETRO ELETRICO MASSEY</v>
      </c>
      <c r="C23770" s="2" t="str">
        <f t="shared" si="936"/>
        <v>UN</v>
      </c>
      <c r="D23770" s="7">
        <v>900</v>
      </c>
      <c r="E23770" s="3">
        <v>11</v>
      </c>
      <c r="F23770" s="2">
        <v>5</v>
      </c>
      <c r="G23770" t="s">
        <v>514</v>
      </c>
    </row>
    <row r="23771" spans="1:7" x14ac:dyDescent="0.25">
      <c r="A23771" s="1" t="str">
        <f>"523319"</f>
        <v>523319</v>
      </c>
      <c r="B23771" s="2" t="str">
        <f>"TERMOMETRO FREEZER E GELADEIRA AK25 - CALIBRADO"</f>
        <v>TERMOMETRO FREEZER E GELADEIRA AK25 - CALIBRADO</v>
      </c>
      <c r="C23771" s="2" t="str">
        <f t="shared" si="936"/>
        <v>UN</v>
      </c>
      <c r="D23771" s="7">
        <v>918</v>
      </c>
      <c r="E23771" s="3">
        <v>11</v>
      </c>
      <c r="F23771" s="2">
        <v>6</v>
      </c>
      <c r="G23771" t="s">
        <v>513</v>
      </c>
    </row>
    <row r="23772" spans="1:7" x14ac:dyDescent="0.25">
      <c r="A23772" s="1" t="str">
        <f>"515398"</f>
        <v>515398</v>
      </c>
      <c r="B23772" s="2" t="str">
        <f>"TERMOMETRO HASTE 1040ºC"</f>
        <v>TERMOMETRO HASTE 1040ºC</v>
      </c>
      <c r="C23772" s="2" t="str">
        <f t="shared" si="936"/>
        <v>UN</v>
      </c>
      <c r="D23772" s="7">
        <v>406</v>
      </c>
      <c r="E23772" s="3">
        <v>4</v>
      </c>
      <c r="F23772" s="2">
        <v>9</v>
      </c>
      <c r="G23772" t="s">
        <v>513</v>
      </c>
    </row>
    <row r="23773" spans="1:7" x14ac:dyDescent="0.25">
      <c r="A23773" s="1" t="str">
        <f>"521218"</f>
        <v>521218</v>
      </c>
      <c r="B23773" s="2" t="str">
        <f>"TERMOMETRO INFRAVERMELHO MINIPA MT320"</f>
        <v>TERMOMETRO INFRAVERMELHO MINIPA MT320</v>
      </c>
      <c r="C23773" s="2" t="str">
        <f t="shared" si="936"/>
        <v>UN</v>
      </c>
      <c r="D23773" s="7">
        <v>900</v>
      </c>
      <c r="E23773" s="3">
        <v>11</v>
      </c>
      <c r="F23773" s="2">
        <v>5</v>
      </c>
      <c r="G23773" t="s">
        <v>513</v>
      </c>
    </row>
    <row r="23774" spans="1:7" x14ac:dyDescent="0.25">
      <c r="A23774" s="1" t="str">
        <f>"511502"</f>
        <v>511502</v>
      </c>
      <c r="B23774" s="2" t="str">
        <f>"TERMOMETRO INFRAVERMELHO MIRA LASER"</f>
        <v>TERMOMETRO INFRAVERMELHO MIRA LASER</v>
      </c>
      <c r="C23774" s="2" t="str">
        <f t="shared" si="936"/>
        <v>UN</v>
      </c>
      <c r="D23774" s="7">
        <v>402</v>
      </c>
      <c r="E23774" s="3">
        <v>4</v>
      </c>
      <c r="F23774" s="2">
        <v>3</v>
      </c>
      <c r="G23774" t="s">
        <v>512</v>
      </c>
    </row>
    <row r="23775" spans="1:7" x14ac:dyDescent="0.25">
      <c r="A23775" s="1" t="str">
        <f>"283"</f>
        <v>283</v>
      </c>
      <c r="B23775" s="2" t="str">
        <f>"TERMOMETRO QUIMICO ALCOOL -10º A 110º COD.5021 C/ CERTIFICAD"</f>
        <v>TERMOMETRO QUIMICO ALCOOL -10º A 110º COD.5021 C/ CERTIFICAD</v>
      </c>
      <c r="C23775" s="2" t="str">
        <f t="shared" si="936"/>
        <v>UN</v>
      </c>
      <c r="D23775" s="7">
        <v>406</v>
      </c>
      <c r="E23775" s="3">
        <v>4</v>
      </c>
      <c r="F23775" s="2">
        <v>3</v>
      </c>
      <c r="G23775" t="s">
        <v>513</v>
      </c>
    </row>
    <row r="23776" spans="1:7" x14ac:dyDescent="0.25">
      <c r="A23776" s="1" t="str">
        <f>"526415"</f>
        <v>526415</v>
      </c>
      <c r="B23776" s="2" t="str">
        <f>"TERMOMETRO TESTA MINIPA MT-320B"</f>
        <v>TERMOMETRO TESTA MINIPA MT-320B</v>
      </c>
      <c r="C23776" s="2" t="str">
        <f t="shared" si="936"/>
        <v>UN</v>
      </c>
      <c r="D23776" s="7">
        <v>502</v>
      </c>
      <c r="E23776" s="3">
        <v>5</v>
      </c>
      <c r="F23776" s="2">
        <v>2</v>
      </c>
      <c r="G23776" t="s">
        <v>514</v>
      </c>
    </row>
    <row r="23777" spans="1:7" x14ac:dyDescent="0.25">
      <c r="A23777" s="1" t="str">
        <f>"526396"</f>
        <v>526396</v>
      </c>
      <c r="B23777" s="2" t="str">
        <f>"TERMOMETRO TESTA ONROM MC720"</f>
        <v>TERMOMETRO TESTA ONROM MC720</v>
      </c>
      <c r="C23777" s="2" t="str">
        <f t="shared" si="936"/>
        <v>UN</v>
      </c>
      <c r="D23777" s="7">
        <v>502</v>
      </c>
      <c r="E23777" s="3">
        <v>5</v>
      </c>
      <c r="F23777" s="2">
        <v>1</v>
      </c>
      <c r="G23777" t="s">
        <v>515</v>
      </c>
    </row>
    <row r="23778" spans="1:7" x14ac:dyDescent="0.25">
      <c r="A23778" s="1" t="str">
        <f>"517572"</f>
        <v>517572</v>
      </c>
      <c r="B23778" s="2" t="str">
        <f>"TERMOMETRO TZD AXIAL 100ºC  12B H1/4 X 40MM ROSCA 1/2"""</f>
        <v>TERMOMETRO TZD AXIAL 100ºC  12B H1/4 X 40MM ROSCA 1/2"</v>
      </c>
      <c r="C23778" s="2" t="str">
        <f t="shared" si="936"/>
        <v>UN</v>
      </c>
      <c r="D23778" s="7">
        <v>915</v>
      </c>
      <c r="E23778" s="3">
        <v>10</v>
      </c>
      <c r="F23778" s="2">
        <v>4</v>
      </c>
      <c r="G23778" t="s">
        <v>512</v>
      </c>
    </row>
    <row r="23779" spans="1:7" x14ac:dyDescent="0.25">
      <c r="A23779" s="1" t="str">
        <f>"523541"</f>
        <v>523541</v>
      </c>
      <c r="B23779" s="2" t="str">
        <f>"TERMOMETRO TZD AXIAL 100ºC  38B H1/4 X 40MM ROSCA 3/8"""</f>
        <v>TERMOMETRO TZD AXIAL 100ºC  38B H1/4 X 40MM ROSCA 3/8"</v>
      </c>
      <c r="C23779" s="2" t="str">
        <f t="shared" si="936"/>
        <v>UN</v>
      </c>
      <c r="D23779" s="7">
        <v>915</v>
      </c>
      <c r="E23779" s="3">
        <v>10</v>
      </c>
      <c r="F23779" s="2">
        <v>1</v>
      </c>
      <c r="G23779" t="s">
        <v>516</v>
      </c>
    </row>
    <row r="23780" spans="1:7" x14ac:dyDescent="0.25">
      <c r="A23780" s="1" t="str">
        <f>"508484"</f>
        <v>508484</v>
      </c>
      <c r="B23780" s="2" t="str">
        <f>"TERMOMETRO TZD AXIAL 100ºC 34B H1/4 X 1000MM"</f>
        <v>TERMOMETRO TZD AXIAL 100ºC 34B H1/4 X 1000MM</v>
      </c>
      <c r="C23780" s="2" t="str">
        <f t="shared" si="936"/>
        <v>UN</v>
      </c>
      <c r="D23780" s="7">
        <v>1500</v>
      </c>
      <c r="E23780" s="3">
        <v>10</v>
      </c>
      <c r="F23780" s="2">
        <v>2</v>
      </c>
      <c r="G23780" t="s">
        <v>515</v>
      </c>
    </row>
    <row r="23781" spans="1:7" x14ac:dyDescent="0.25">
      <c r="A23781" s="1" t="str">
        <f>"516339"</f>
        <v>516339</v>
      </c>
      <c r="B23781" s="2" t="str">
        <f>"TERMOMETRO TZD FLEX 150 C FL NP.SMS.38 H 1/4X500MM CAP.5M"</f>
        <v>TERMOMETRO TZD FLEX 150 C FL NP.SMS.38 H 1/4X500MM CAP.5M</v>
      </c>
      <c r="C23781" s="2" t="str">
        <f t="shared" si="936"/>
        <v>UN</v>
      </c>
      <c r="D23781" s="7">
        <v>918</v>
      </c>
      <c r="E23781" s="3">
        <v>10</v>
      </c>
      <c r="F23781" s="2">
        <v>7</v>
      </c>
      <c r="G23781" t="s">
        <v>514</v>
      </c>
    </row>
    <row r="23782" spans="1:7" x14ac:dyDescent="0.25">
      <c r="A23782" s="1" t="str">
        <f>"513220"</f>
        <v>513220</v>
      </c>
      <c r="B23782" s="2" t="str">
        <f>"TERMOMETRO TZI.100.2 100ºC 12B H1/4 X 150MM - CALIBRADO"</f>
        <v>TERMOMETRO TZI.100.2 100ºC 12B H1/4 X 150MM - CALIBRADO</v>
      </c>
      <c r="C23782" s="2" t="str">
        <f t="shared" si="936"/>
        <v>UN</v>
      </c>
      <c r="D23782" s="7">
        <v>402</v>
      </c>
      <c r="E23782" s="3">
        <v>4</v>
      </c>
      <c r="F23782" s="2">
        <v>9</v>
      </c>
      <c r="G23782" t="s">
        <v>512</v>
      </c>
    </row>
    <row r="23783" spans="1:7" x14ac:dyDescent="0.25">
      <c r="A23783" s="1" t="str">
        <f>"516591"</f>
        <v>516591</v>
      </c>
      <c r="B23783" s="2" t="str">
        <f>"TERMOMETRO TZIG 100.1 150ºC 12B H 1/4 X 150MM"</f>
        <v>TERMOMETRO TZIG 100.1 150ºC 12B H 1/4 X 150MM</v>
      </c>
      <c r="C23783" s="2" t="str">
        <f t="shared" si="936"/>
        <v>UN</v>
      </c>
      <c r="D23783" s="7">
        <v>918</v>
      </c>
      <c r="E23783" s="3">
        <v>10</v>
      </c>
      <c r="F23783" s="2">
        <v>0</v>
      </c>
      <c r="G23783" t="s">
        <v>513</v>
      </c>
    </row>
    <row r="23784" spans="1:7" x14ac:dyDescent="0.25">
      <c r="A23784" s="1" t="str">
        <f>"516592"</f>
        <v>516592</v>
      </c>
      <c r="B23784" s="2" t="str">
        <f>"TERMOMETRO TZIG 100.1 150ºC 12B H 3/8 X 40MM"</f>
        <v>TERMOMETRO TZIG 100.1 150ºC 12B H 3/8 X 40MM</v>
      </c>
      <c r="C23784" s="2" t="str">
        <f t="shared" si="936"/>
        <v>UN</v>
      </c>
      <c r="D23784" s="7">
        <v>918</v>
      </c>
      <c r="E23784" s="3">
        <v>11</v>
      </c>
      <c r="F23784" s="2">
        <v>0</v>
      </c>
      <c r="G23784" t="s">
        <v>514</v>
      </c>
    </row>
    <row r="23785" spans="1:7" x14ac:dyDescent="0.25">
      <c r="A23785" s="1" t="str">
        <f>"516221"</f>
        <v>516221</v>
      </c>
      <c r="B23785" s="2" t="str">
        <f>"TERMOMETRO ZURICH RZNP 0 A 150º NP SMS 1 1/2"""</f>
        <v>TERMOMETRO ZURICH RZNP 0 A 150º NP SMS 1 1/2"</v>
      </c>
      <c r="C23785" s="2" t="str">
        <f t="shared" si="936"/>
        <v>UN</v>
      </c>
      <c r="D23785" s="7">
        <v>918</v>
      </c>
      <c r="E23785" s="3">
        <v>10</v>
      </c>
      <c r="F23785" s="2">
        <v>4</v>
      </c>
      <c r="G23785" t="s">
        <v>514</v>
      </c>
    </row>
    <row r="23786" spans="1:7" x14ac:dyDescent="0.25">
      <c r="A23786" s="1" t="str">
        <f>"511854"</f>
        <v>511854</v>
      </c>
      <c r="B23786" s="2" t="str">
        <f>"TERMOPAR"</f>
        <v>TERMOPAR</v>
      </c>
      <c r="C23786" s="2" t="str">
        <f t="shared" si="936"/>
        <v>UN</v>
      </c>
      <c r="D23786" s="7">
        <v>900</v>
      </c>
      <c r="E23786" s="3">
        <v>11</v>
      </c>
      <c r="F23786" s="2">
        <v>1</v>
      </c>
      <c r="G23786" t="s">
        <v>512</v>
      </c>
    </row>
    <row r="23787" spans="1:7" x14ac:dyDescent="0.25">
      <c r="A23787" s="1" t="str">
        <f>"506414"</f>
        <v>506414</v>
      </c>
      <c r="B23787" s="2" t="str">
        <f>"TERMOPAR DE IMERSAO TIPO J"</f>
        <v>TERMOPAR DE IMERSAO TIPO J</v>
      </c>
      <c r="C23787" s="2" t="str">
        <f t="shared" si="936"/>
        <v>UN</v>
      </c>
      <c r="D23787" s="7">
        <v>900</v>
      </c>
      <c r="E23787" s="3">
        <v>11</v>
      </c>
      <c r="F23787" s="2">
        <v>2</v>
      </c>
      <c r="G23787" t="s">
        <v>513</v>
      </c>
    </row>
    <row r="23788" spans="1:7" x14ac:dyDescent="0.25">
      <c r="A23788" s="1" t="str">
        <f>"520433"</f>
        <v>520433</v>
      </c>
      <c r="B23788" s="8" t="s">
        <v>138</v>
      </c>
      <c r="C23788" s="2" t="str">
        <f t="shared" si="936"/>
        <v>UN</v>
      </c>
      <c r="D23788" s="7">
        <v>811</v>
      </c>
      <c r="E23788" s="3">
        <v>8</v>
      </c>
      <c r="F23788" s="2">
        <v>7</v>
      </c>
      <c r="G23788" t="s">
        <v>514</v>
      </c>
    </row>
    <row r="23789" spans="1:7" x14ac:dyDescent="0.25">
      <c r="A23789" s="1" t="str">
        <f>"502579"</f>
        <v>502579</v>
      </c>
      <c r="B23789" s="2" t="str">
        <f>"TERMOPAR P/ CONTROLADOR TJL-29"</f>
        <v>TERMOPAR P/ CONTROLADOR TJL-29</v>
      </c>
      <c r="C23789" s="2" t="str">
        <f t="shared" si="936"/>
        <v>UN</v>
      </c>
      <c r="D23789" s="7">
        <v>600</v>
      </c>
      <c r="E23789" s="3">
        <v>8</v>
      </c>
      <c r="F23789" s="2">
        <v>9</v>
      </c>
      <c r="G23789" t="s">
        <v>514</v>
      </c>
    </row>
    <row r="23790" spans="1:7" x14ac:dyDescent="0.25">
      <c r="A23790" s="1" t="str">
        <f>"520241"</f>
        <v>520241</v>
      </c>
      <c r="B23790" s="2" t="str">
        <f>"TERMOPAR PACKMATIC"</f>
        <v>TERMOPAR PACKMATIC</v>
      </c>
      <c r="C23790" s="2" t="str">
        <f t="shared" si="936"/>
        <v>UN</v>
      </c>
      <c r="D23790" s="7">
        <v>900</v>
      </c>
      <c r="E23790" s="3">
        <v>11</v>
      </c>
      <c r="F23790" s="5">
        <v>5</v>
      </c>
      <c r="G23790" t="s">
        <v>514</v>
      </c>
    </row>
    <row r="23791" spans="1:7" x14ac:dyDescent="0.25">
      <c r="A23791" s="1" t="str">
        <f>"511637"</f>
        <v>511637</v>
      </c>
      <c r="B23791" s="2" t="str">
        <f>"TERMOPAR PT-100"</f>
        <v>TERMOPAR PT-100</v>
      </c>
      <c r="C23791" s="2" t="str">
        <f t="shared" si="936"/>
        <v>UN</v>
      </c>
      <c r="D23791" s="7">
        <v>900</v>
      </c>
      <c r="E23791" s="3">
        <v>11</v>
      </c>
      <c r="F23791" s="2">
        <v>3</v>
      </c>
      <c r="G23791" t="s">
        <v>513</v>
      </c>
    </row>
    <row r="23792" spans="1:7" x14ac:dyDescent="0.25">
      <c r="A23792" s="1" t="str">
        <f>"503669"</f>
        <v>503669</v>
      </c>
      <c r="B23792" s="2" t="str">
        <f>"TERMOPAR SENSOR P/ TERMOSTATO ETSHEID"</f>
        <v>TERMOPAR SENSOR P/ TERMOSTATO ETSHEID</v>
      </c>
      <c r="C23792" s="2" t="str">
        <f t="shared" si="936"/>
        <v>UN</v>
      </c>
      <c r="D23792" s="7">
        <v>900</v>
      </c>
      <c r="E23792" s="3">
        <v>11</v>
      </c>
      <c r="F23792" s="2">
        <v>8</v>
      </c>
      <c r="G23792" t="s">
        <v>512</v>
      </c>
    </row>
    <row r="23793" spans="1:7" x14ac:dyDescent="0.25">
      <c r="A23793" s="1" t="str">
        <f>"510529"</f>
        <v>510529</v>
      </c>
      <c r="B23793" s="2" t="str">
        <f>"TERMOPAR TIPO J - FORNO"</f>
        <v>TERMOPAR TIPO J - FORNO</v>
      </c>
      <c r="C23793" s="2" t="str">
        <f t="shared" si="936"/>
        <v>UN</v>
      </c>
      <c r="D23793" s="7">
        <v>600</v>
      </c>
      <c r="E23793" s="3">
        <v>8</v>
      </c>
      <c r="F23793" s="2">
        <v>6</v>
      </c>
      <c r="G23793" t="s">
        <v>513</v>
      </c>
    </row>
    <row r="23794" spans="1:7" x14ac:dyDescent="0.25">
      <c r="A23794" s="1" t="str">
        <f>"502711"</f>
        <v>502711</v>
      </c>
      <c r="B23794" s="2" t="str">
        <f>"TERMOPAR TIPO J 0-600ºC"</f>
        <v>TERMOPAR TIPO J 0-600ºC</v>
      </c>
      <c r="C23794" s="2" t="str">
        <f t="shared" si="936"/>
        <v>UN</v>
      </c>
      <c r="D23794" s="7">
        <v>600</v>
      </c>
      <c r="E23794" s="3">
        <v>8</v>
      </c>
      <c r="F23794" s="2">
        <v>4</v>
      </c>
      <c r="G23794" t="s">
        <v>514</v>
      </c>
    </row>
    <row r="23795" spans="1:7" x14ac:dyDescent="0.25">
      <c r="A23795" s="1" t="str">
        <f>"512147"</f>
        <v>512147</v>
      </c>
      <c r="B23795" s="2" t="str">
        <f>"TERMOPAR TIPO J 1/2""X1/8"" WATTCROM"</f>
        <v>TERMOPAR TIPO J 1/2"X1/8" WATTCROM</v>
      </c>
      <c r="C23795" s="2" t="str">
        <f>"PC"</f>
        <v>PC</v>
      </c>
      <c r="D23795" s="7">
        <v>900</v>
      </c>
      <c r="E23795" s="3">
        <v>11</v>
      </c>
      <c r="F23795" s="2">
        <v>1</v>
      </c>
      <c r="G23795" t="s">
        <v>514</v>
      </c>
    </row>
    <row r="23796" spans="1:7" x14ac:dyDescent="0.25">
      <c r="A23796" s="1" t="str">
        <f>"512150"</f>
        <v>512150</v>
      </c>
      <c r="B23796" s="2" t="str">
        <f>"TERMOPAR TIPO J 3/16""X3/4"" INOX 2 METROS"</f>
        <v>TERMOPAR TIPO J 3/16"X3/4" INOX 2 METROS</v>
      </c>
      <c r="C23796" s="2" t="str">
        <f>"PC"</f>
        <v>PC</v>
      </c>
      <c r="D23796" s="7">
        <v>900</v>
      </c>
      <c r="E23796" s="3">
        <v>11</v>
      </c>
      <c r="F23796" s="2">
        <v>2</v>
      </c>
      <c r="G23796" t="s">
        <v>514</v>
      </c>
    </row>
    <row r="23797" spans="1:7" x14ac:dyDescent="0.25">
      <c r="A23797" s="1" t="str">
        <f>"516163"</f>
        <v>516163</v>
      </c>
      <c r="B23797" s="2" t="str">
        <f>"TERMOPAR TIPO J 3/16X30MM INOX 5 METROS"</f>
        <v>TERMOPAR TIPO J 3/16X30MM INOX 5 METROS</v>
      </c>
      <c r="C23797" s="2" t="str">
        <f t="shared" ref="C23797:C23808" si="937">"UN"</f>
        <v>UN</v>
      </c>
      <c r="D23797" s="7">
        <v>600</v>
      </c>
      <c r="E23797" s="3">
        <v>11</v>
      </c>
      <c r="F23797" s="2">
        <v>7</v>
      </c>
      <c r="G23797" t="s">
        <v>513</v>
      </c>
    </row>
    <row r="23798" spans="1:7" x14ac:dyDescent="0.25">
      <c r="A23798" s="1" t="str">
        <f>"508483"</f>
        <v>508483</v>
      </c>
      <c r="B23798" s="2" t="str">
        <f>"TERMOREG. ANA. T-J MAH009N 50/450C 220V"</f>
        <v>TERMOREG. ANA. T-J MAH009N 50/450C 220V</v>
      </c>
      <c r="C23798" s="2" t="str">
        <f t="shared" si="937"/>
        <v>UN</v>
      </c>
      <c r="D23798" s="7">
        <v>600</v>
      </c>
      <c r="E23798" s="3">
        <v>8</v>
      </c>
      <c r="F23798" s="2">
        <v>9</v>
      </c>
      <c r="G23798" t="s">
        <v>513</v>
      </c>
    </row>
    <row r="23799" spans="1:7" x14ac:dyDescent="0.25">
      <c r="A23799" s="1" t="str">
        <f>"501626"</f>
        <v>501626</v>
      </c>
      <c r="B23799" s="2" t="str">
        <f>"TERMORESISTENCIA PT-100 DIN"</f>
        <v>TERMORESISTENCIA PT-100 DIN</v>
      </c>
      <c r="C23799" s="2" t="str">
        <f t="shared" si="937"/>
        <v>UN</v>
      </c>
      <c r="D23799" s="7">
        <v>900</v>
      </c>
      <c r="E23799" s="3">
        <v>11</v>
      </c>
      <c r="F23799" s="2">
        <v>0</v>
      </c>
      <c r="G23799" t="s">
        <v>513</v>
      </c>
    </row>
    <row r="23800" spans="1:7" x14ac:dyDescent="0.25">
      <c r="A23800" s="1" t="str">
        <f>"502191"</f>
        <v>502191</v>
      </c>
      <c r="B23800" s="2" t="str">
        <f>"TERMOSTADO PARA RESFRIADOR"</f>
        <v>TERMOSTADO PARA RESFRIADOR</v>
      </c>
      <c r="C23800" s="2" t="str">
        <f t="shared" si="937"/>
        <v>UN</v>
      </c>
      <c r="D23800" s="7">
        <v>900</v>
      </c>
      <c r="E23800" s="3">
        <v>11</v>
      </c>
      <c r="F23800" s="2">
        <v>0</v>
      </c>
      <c r="G23800" t="s">
        <v>512</v>
      </c>
    </row>
    <row r="23801" spans="1:7" x14ac:dyDescent="0.25">
      <c r="A23801" s="1" t="str">
        <f>"524525"</f>
        <v>524525</v>
      </c>
      <c r="B23801" s="2" t="str">
        <f>"TERMOSTAT KIT 60"</f>
        <v>TERMOSTAT KIT 60</v>
      </c>
      <c r="C23801" s="2" t="str">
        <f t="shared" si="937"/>
        <v>UN</v>
      </c>
      <c r="D23801" s="7">
        <v>810</v>
      </c>
      <c r="E23801" s="3">
        <v>11</v>
      </c>
      <c r="F23801" s="2">
        <v>2</v>
      </c>
      <c r="G23801" t="s">
        <v>513</v>
      </c>
    </row>
    <row r="23802" spans="1:7" x14ac:dyDescent="0.25">
      <c r="A23802" s="1" t="str">
        <f>"524909"</f>
        <v>524909</v>
      </c>
      <c r="B23802" s="2" t="str">
        <f>"TERMOSTATO"</f>
        <v>TERMOSTATO</v>
      </c>
      <c r="C23802" s="2" t="str">
        <f t="shared" si="937"/>
        <v>UN</v>
      </c>
      <c r="D23802" s="7">
        <v>704</v>
      </c>
      <c r="E23802" s="3">
        <v>9</v>
      </c>
      <c r="F23802" s="2">
        <v>5</v>
      </c>
      <c r="G23802" t="s">
        <v>514</v>
      </c>
    </row>
    <row r="23803" spans="1:7" x14ac:dyDescent="0.25">
      <c r="A23803" s="1" t="str">
        <f>"527836"</f>
        <v>527836</v>
      </c>
      <c r="B23803" s="2" t="str">
        <f>"TERMOSTATO ANALOGICO DE 20 A 120 GITHERM"</f>
        <v>TERMOSTATO ANALOGICO DE 20 A 120 GITHERM</v>
      </c>
      <c r="C23803" s="2" t="str">
        <f t="shared" si="937"/>
        <v>UN</v>
      </c>
      <c r="D23803" s="7">
        <v>704</v>
      </c>
      <c r="E23803" s="3">
        <v>9</v>
      </c>
      <c r="F23803" s="2">
        <v>6</v>
      </c>
      <c r="G23803" t="s">
        <v>515</v>
      </c>
    </row>
    <row r="23804" spans="1:7" x14ac:dyDescent="0.25">
      <c r="A23804" s="1" t="str">
        <f>"514720"</f>
        <v>514720</v>
      </c>
      <c r="B23804" s="2" t="str">
        <f>"TERMOSTATO DIGITAL TIC17RGTI 115/230V"</f>
        <v>TERMOSTATO DIGITAL TIC17RGTI 115/230V</v>
      </c>
      <c r="C23804" s="2" t="str">
        <f t="shared" si="937"/>
        <v>UN</v>
      </c>
      <c r="D23804" s="7">
        <v>901</v>
      </c>
      <c r="E23804" s="3">
        <v>11</v>
      </c>
      <c r="F23804" s="2">
        <v>9</v>
      </c>
      <c r="G23804" t="s">
        <v>512</v>
      </c>
    </row>
    <row r="23805" spans="1:7" x14ac:dyDescent="0.25">
      <c r="A23805" s="1" t="str">
        <f>"501824"</f>
        <v>501824</v>
      </c>
      <c r="B23805" s="2" t="str">
        <f>"TERMOSTATO ERA 045-1417"</f>
        <v>TERMOSTATO ERA 045-1417</v>
      </c>
      <c r="C23805" s="2" t="str">
        <f t="shared" si="937"/>
        <v>UN</v>
      </c>
      <c r="D23805" s="7">
        <v>918</v>
      </c>
      <c r="E23805" s="3">
        <v>9</v>
      </c>
      <c r="F23805" s="2">
        <v>5</v>
      </c>
      <c r="G23805" t="s">
        <v>516</v>
      </c>
    </row>
    <row r="23806" spans="1:7" x14ac:dyDescent="0.25">
      <c r="A23806" s="1" t="str">
        <f>"501705"</f>
        <v>501705</v>
      </c>
      <c r="B23806" s="2" t="str">
        <f>"TERMOSTATO TIPO AF30 -5B489 E 5B534"</f>
        <v>TERMOSTATO TIPO AF30 -5B489 E 5B534</v>
      </c>
      <c r="C23806" s="2" t="str">
        <f t="shared" si="937"/>
        <v>UN</v>
      </c>
      <c r="D23806" s="7">
        <v>900</v>
      </c>
      <c r="E23806" s="3">
        <v>11</v>
      </c>
      <c r="F23806" s="2">
        <v>3</v>
      </c>
      <c r="G23806" t="s">
        <v>515</v>
      </c>
    </row>
    <row r="23807" spans="1:7" x14ac:dyDescent="0.25">
      <c r="A23807" s="1" t="str">
        <f>"517832"</f>
        <v>517832</v>
      </c>
      <c r="B23807" s="2" t="str">
        <f>"TERMOSTATO UNIVERSAL BULBO CURTO"</f>
        <v>TERMOSTATO UNIVERSAL BULBO CURTO</v>
      </c>
      <c r="C23807" s="2" t="str">
        <f t="shared" si="937"/>
        <v>UN</v>
      </c>
      <c r="D23807" s="7">
        <v>916</v>
      </c>
      <c r="E23807" s="3">
        <v>10</v>
      </c>
      <c r="F23807" s="2">
        <v>3</v>
      </c>
      <c r="G23807" t="s">
        <v>514</v>
      </c>
    </row>
    <row r="23808" spans="1:7" x14ac:dyDescent="0.25">
      <c r="A23808" s="1" t="str">
        <f>"522041"</f>
        <v>522041</v>
      </c>
      <c r="B23808" s="2" t="str">
        <f>"TERMOVISOR(CAMERATERMICA)(-20~+250ºC)992 PX MINIPA MTV01"</f>
        <v>TERMOVISOR(CAMERATERMICA)(-20~+250ºC)992 PX MINIPA MTV01</v>
      </c>
      <c r="C23808" s="2" t="str">
        <f t="shared" si="937"/>
        <v>UN</v>
      </c>
      <c r="D23808" s="7">
        <v>817</v>
      </c>
      <c r="E23808" s="3">
        <v>13</v>
      </c>
      <c r="F23808" s="2">
        <v>2</v>
      </c>
      <c r="G23808" t="s">
        <v>512</v>
      </c>
    </row>
    <row r="23809" spans="1:7" x14ac:dyDescent="0.25">
      <c r="A23809" s="1" t="str">
        <f>"520638"</f>
        <v>520638</v>
      </c>
      <c r="B23809" s="2" t="str">
        <f>"TERRA"</f>
        <v>TERRA</v>
      </c>
      <c r="C23809" s="2" t="str">
        <f>"MT"</f>
        <v>MT</v>
      </c>
      <c r="D23809" s="7">
        <v>403</v>
      </c>
      <c r="E23809" s="3">
        <v>4</v>
      </c>
      <c r="F23809" s="2">
        <v>1</v>
      </c>
      <c r="G23809" t="s">
        <v>513</v>
      </c>
    </row>
    <row r="23810" spans="1:7" x14ac:dyDescent="0.25">
      <c r="A23810" s="1" t="str">
        <f>"523644"</f>
        <v>523644</v>
      </c>
      <c r="B23810" s="2" t="str">
        <f>"TESOURA CIRURGICA 15CM RETA GOLGRAN"</f>
        <v>TESOURA CIRURGICA 15CM RETA GOLGRAN</v>
      </c>
      <c r="C23810" s="2" t="str">
        <f t="shared" ref="C23810:C23825" si="938">"UN"</f>
        <v>UN</v>
      </c>
      <c r="D23810" s="7">
        <v>99999</v>
      </c>
      <c r="E23810" s="3">
        <v>99</v>
      </c>
      <c r="F23810" s="2">
        <v>4</v>
      </c>
      <c r="G23810" t="s">
        <v>514</v>
      </c>
    </row>
    <row r="23811" spans="1:7" x14ac:dyDescent="0.25">
      <c r="A23811" s="1" t="str">
        <f>"524836"</f>
        <v>524836</v>
      </c>
      <c r="B23811" s="2" t="str">
        <f>"TESOURA DE CORTAR VERGALHÃO N24"</f>
        <v>TESOURA DE CORTAR VERGALHÃO N24</v>
      </c>
      <c r="C23811" s="2" t="str">
        <f t="shared" si="938"/>
        <v>UN</v>
      </c>
      <c r="D23811" s="7">
        <v>919</v>
      </c>
      <c r="E23811" s="3">
        <v>4</v>
      </c>
      <c r="F23811" s="2">
        <v>6</v>
      </c>
      <c r="G23811" t="s">
        <v>514</v>
      </c>
    </row>
    <row r="23812" spans="1:7" x14ac:dyDescent="0.25">
      <c r="A23812" s="1" t="str">
        <f>"6325"</f>
        <v>6325</v>
      </c>
      <c r="B23812" s="2" t="str">
        <f>"TESOURA DE INOX - MODELO G-8070 (GRAMP LINE)"</f>
        <v>TESOURA DE INOX - MODELO G-8070 (GRAMP LINE)</v>
      </c>
      <c r="C23812" s="2" t="str">
        <f t="shared" si="938"/>
        <v>UN</v>
      </c>
      <c r="D23812" s="7">
        <v>99999</v>
      </c>
      <c r="E23812" s="3">
        <v>99</v>
      </c>
      <c r="F23812" s="2">
        <v>8</v>
      </c>
      <c r="G23812" t="s">
        <v>512</v>
      </c>
    </row>
    <row r="23813" spans="1:7" x14ac:dyDescent="0.25">
      <c r="A23813" s="1" t="str">
        <f>"522835"</f>
        <v>522835</v>
      </c>
      <c r="B23813" s="2" t="str">
        <f>"TESOURA EM INOX C/ PONTA REDONDA"</f>
        <v>TESOURA EM INOX C/ PONTA REDONDA</v>
      </c>
      <c r="C23813" s="2" t="str">
        <f t="shared" si="938"/>
        <v>UN</v>
      </c>
      <c r="D23813" s="7">
        <v>817</v>
      </c>
      <c r="E23813" s="3">
        <v>4</v>
      </c>
      <c r="F23813" s="2">
        <v>7</v>
      </c>
      <c r="G23813" t="s">
        <v>513</v>
      </c>
    </row>
    <row r="23814" spans="1:7" x14ac:dyDescent="0.25">
      <c r="A23814" s="1" t="str">
        <f>"524899"</f>
        <v>524899</v>
      </c>
      <c r="B23814" s="2" t="str">
        <f>"TESOURA IRIS RETA (12 CM)"</f>
        <v>TESOURA IRIS RETA (12 CM)</v>
      </c>
      <c r="C23814" s="2" t="str">
        <f t="shared" si="938"/>
        <v>UN</v>
      </c>
      <c r="D23814" s="7">
        <v>99999</v>
      </c>
      <c r="E23814" s="3">
        <v>99</v>
      </c>
      <c r="F23814" s="2">
        <v>6</v>
      </c>
      <c r="G23814" t="s">
        <v>514</v>
      </c>
    </row>
    <row r="23815" spans="1:7" x14ac:dyDescent="0.25">
      <c r="A23815" s="1" t="str">
        <f>"524898"</f>
        <v>524898</v>
      </c>
      <c r="B23815" s="2" t="str">
        <f>"TESOURA MAYO STILLE RETA (15 CM ) COORPERFLEX"</f>
        <v>TESOURA MAYO STILLE RETA (15 CM ) COORPERFLEX</v>
      </c>
      <c r="C23815" s="2" t="str">
        <f t="shared" si="938"/>
        <v>UN</v>
      </c>
      <c r="D23815" s="7">
        <v>99999</v>
      </c>
      <c r="E23815" s="3">
        <v>99</v>
      </c>
      <c r="F23815" s="2">
        <v>6</v>
      </c>
      <c r="G23815" t="s">
        <v>514</v>
      </c>
    </row>
    <row r="23816" spans="1:7" x14ac:dyDescent="0.25">
      <c r="A23816" s="1" t="str">
        <f>"516013"</f>
        <v>516013</v>
      </c>
      <c r="B23816" s="2" t="str">
        <f>"TESOURA P/ CHAPA AVI CORTE RETO CURVO"</f>
        <v>TESOURA P/ CHAPA AVI CORTE RETO CURVO</v>
      </c>
      <c r="C23816" s="2" t="str">
        <f t="shared" si="938"/>
        <v>UN</v>
      </c>
      <c r="D23816" s="7">
        <v>99999</v>
      </c>
      <c r="E23816" s="3">
        <v>99</v>
      </c>
      <c r="F23816" s="2">
        <v>2</v>
      </c>
      <c r="G23816" t="s">
        <v>514</v>
      </c>
    </row>
    <row r="23817" spans="1:7" x14ac:dyDescent="0.25">
      <c r="A23817" s="1" t="str">
        <f>"514482"</f>
        <v>514482</v>
      </c>
      <c r="B23817" s="2" t="str">
        <f>"TESOURÃO CORTAR GRAMA"</f>
        <v>TESOURÃO CORTAR GRAMA</v>
      </c>
      <c r="C23817" s="2" t="str">
        <f t="shared" si="938"/>
        <v>UN</v>
      </c>
      <c r="D23817" s="7">
        <v>919</v>
      </c>
      <c r="E23817" s="3">
        <v>4</v>
      </c>
      <c r="F23817" s="2">
        <v>1</v>
      </c>
      <c r="G23817" t="s">
        <v>513</v>
      </c>
    </row>
    <row r="23818" spans="1:7" x14ac:dyDescent="0.25">
      <c r="A23818" s="1" t="str">
        <f>"518633"</f>
        <v>518633</v>
      </c>
      <c r="B23818" s="2" t="str">
        <f>"TESTADOR CABOS RJ11/45/USB"</f>
        <v>TESTADOR CABOS RJ11/45/USB</v>
      </c>
      <c r="C23818" s="2" t="str">
        <f t="shared" si="938"/>
        <v>UN</v>
      </c>
      <c r="D23818" s="7">
        <v>920</v>
      </c>
      <c r="E23818" s="3">
        <v>4</v>
      </c>
      <c r="F23818" s="2">
        <v>0</v>
      </c>
      <c r="G23818" t="s">
        <v>512</v>
      </c>
    </row>
    <row r="23819" spans="1:7" x14ac:dyDescent="0.25">
      <c r="A23819" s="1" t="str">
        <f>"509308"</f>
        <v>509308</v>
      </c>
      <c r="B23819" s="2" t="str">
        <f>"TESTE DE NITROGENIO"</f>
        <v>TESTE DE NITROGENIO</v>
      </c>
      <c r="C23819" s="2" t="str">
        <f t="shared" si="938"/>
        <v>UN</v>
      </c>
      <c r="D23819" s="7">
        <v>704</v>
      </c>
      <c r="E23819" s="3">
        <v>9</v>
      </c>
      <c r="F23819" s="2">
        <v>0</v>
      </c>
      <c r="G23819" t="s">
        <v>513</v>
      </c>
    </row>
    <row r="23820" spans="1:7" x14ac:dyDescent="0.25">
      <c r="A23820" s="1" t="str">
        <f>"527492"</f>
        <v>527492</v>
      </c>
      <c r="B23820" s="2" t="str">
        <f>"TESTE DE VOL. EZPHASE II DETEC.SEQUENCIA FASE 90/600V MINIPA"</f>
        <v>TESTE DE VOL. EZPHASE II DETEC.SEQUENCIA FASE 90/600V MINIPA</v>
      </c>
      <c r="C23820" s="2" t="str">
        <f t="shared" si="938"/>
        <v>UN</v>
      </c>
      <c r="D23820" s="7">
        <v>99999</v>
      </c>
      <c r="E23820" s="3">
        <v>99</v>
      </c>
      <c r="F23820" s="2">
        <v>0</v>
      </c>
      <c r="G23820" t="s">
        <v>514</v>
      </c>
    </row>
    <row r="23821" spans="1:7" x14ac:dyDescent="0.25">
      <c r="A23821" s="1" t="str">
        <f>"510543"</f>
        <v>510543</v>
      </c>
      <c r="B23821" s="2" t="str">
        <f>"TESTE P/ CABOS"</f>
        <v>TESTE P/ CABOS</v>
      </c>
      <c r="C23821" s="2" t="str">
        <f t="shared" si="938"/>
        <v>UN</v>
      </c>
      <c r="D23821" s="7">
        <v>402</v>
      </c>
      <c r="E23821" s="3">
        <v>4</v>
      </c>
      <c r="F23821" s="2">
        <v>3</v>
      </c>
      <c r="G23821" t="s">
        <v>514</v>
      </c>
    </row>
    <row r="23822" spans="1:7" x14ac:dyDescent="0.25">
      <c r="A23822" s="1" t="str">
        <f>"527925"</f>
        <v>527925</v>
      </c>
      <c r="B23822" s="2" t="str">
        <f>"TESTEMUNHO PRENSAVEL 8MM"</f>
        <v>TESTEMUNHO PRENSAVEL 8MM</v>
      </c>
      <c r="C23822" s="2" t="str">
        <f t="shared" si="938"/>
        <v>UN</v>
      </c>
      <c r="D23822" s="7">
        <v>917</v>
      </c>
      <c r="E23822" s="3">
        <v>10</v>
      </c>
      <c r="F23822" s="5">
        <v>5</v>
      </c>
      <c r="G23822" t="s">
        <v>514</v>
      </c>
    </row>
    <row r="23823" spans="1:7" x14ac:dyDescent="0.25">
      <c r="A23823" s="1" t="str">
        <f>"518676"</f>
        <v>518676</v>
      </c>
      <c r="B23823" s="2" t="str">
        <f>"TETANOGAMA INJEÇÃO"</f>
        <v>TETANOGAMA INJEÇÃO</v>
      </c>
      <c r="C23823" s="2" t="str">
        <f t="shared" si="938"/>
        <v>UN</v>
      </c>
      <c r="D23823" s="7">
        <v>99999</v>
      </c>
      <c r="E23823" s="3">
        <v>99</v>
      </c>
      <c r="F23823" s="2">
        <v>3</v>
      </c>
      <c r="G23823" t="s">
        <v>513</v>
      </c>
    </row>
    <row r="23824" spans="1:7" x14ac:dyDescent="0.25">
      <c r="A23824" s="1" t="str">
        <f>"517503"</f>
        <v>517503</v>
      </c>
      <c r="B23824" s="2" t="str">
        <f>"TETO CAM - PERFIL T 6,0M P/ SISTENTAÇÃO (ALUM. PINT)"</f>
        <v>TETO CAM - PERFIL T 6,0M P/ SISTENTAÇÃO (ALUM. PINT)</v>
      </c>
      <c r="C23824" s="2" t="str">
        <f t="shared" si="938"/>
        <v>UN</v>
      </c>
      <c r="D23824" s="7">
        <v>918</v>
      </c>
      <c r="E23824" s="3">
        <v>10</v>
      </c>
      <c r="F23824" s="2">
        <v>8</v>
      </c>
      <c r="G23824" t="s">
        <v>513</v>
      </c>
    </row>
    <row r="23825" spans="1:7" x14ac:dyDescent="0.25">
      <c r="A23825" s="1" t="str">
        <f>"517504"</f>
        <v>517504</v>
      </c>
      <c r="B23825" s="2" t="str">
        <f>"TETO CAM - SUPORTE SUST. C/ PORCA SOLD 3/8"</f>
        <v>TETO CAM - SUPORTE SUST. C/ PORCA SOLD 3/8</v>
      </c>
      <c r="C23825" s="2" t="str">
        <f t="shared" si="938"/>
        <v>UN</v>
      </c>
      <c r="D23825" s="7">
        <v>918</v>
      </c>
      <c r="E23825" s="3">
        <v>10</v>
      </c>
      <c r="F23825" s="2">
        <v>6</v>
      </c>
      <c r="G23825" t="s">
        <v>513</v>
      </c>
    </row>
    <row r="23826" spans="1:7" x14ac:dyDescent="0.25">
      <c r="A23826" s="1" t="str">
        <f>"505025"</f>
        <v>505025</v>
      </c>
      <c r="B23826" s="2" t="str">
        <f>"TEXACO ADITIVADO"</f>
        <v>TEXACO ADITIVADO</v>
      </c>
      <c r="C23826" s="2" t="str">
        <f>"LT"</f>
        <v>LT</v>
      </c>
      <c r="D23826" s="7">
        <v>702</v>
      </c>
      <c r="E23826" s="3">
        <v>9</v>
      </c>
      <c r="F23826" s="2">
        <v>4</v>
      </c>
      <c r="G23826" t="s">
        <v>512</v>
      </c>
    </row>
    <row r="23827" spans="1:7" x14ac:dyDescent="0.25">
      <c r="A23827" s="1" t="str">
        <f>"501769"</f>
        <v>501769</v>
      </c>
      <c r="B23827" s="2" t="str">
        <f>"TEXACO HAVOLINE SUPERIOR SJ 20W 50LTS"</f>
        <v>TEXACO HAVOLINE SUPERIOR SJ 20W 50LTS</v>
      </c>
      <c r="C23827" s="2" t="str">
        <f>"LT"</f>
        <v>LT</v>
      </c>
      <c r="D23827" s="7">
        <v>702</v>
      </c>
      <c r="E23827" s="3">
        <v>9</v>
      </c>
      <c r="F23827" s="2">
        <v>1</v>
      </c>
      <c r="G23827" t="s">
        <v>513</v>
      </c>
    </row>
    <row r="23828" spans="1:7" x14ac:dyDescent="0.25">
      <c r="A23828" s="1" t="str">
        <f>"501768"</f>
        <v>501768</v>
      </c>
      <c r="B23828" s="2" t="str">
        <f>"TEXACO MULTGEAR EP. 85W 20LTS"</f>
        <v>TEXACO MULTGEAR EP. 85W 20LTS</v>
      </c>
      <c r="C23828" s="2" t="str">
        <f>"LT"</f>
        <v>LT</v>
      </c>
      <c r="D23828" s="7">
        <v>702</v>
      </c>
      <c r="E23828" s="3">
        <v>9</v>
      </c>
      <c r="F23828" s="2">
        <v>2</v>
      </c>
      <c r="G23828" t="s">
        <v>514</v>
      </c>
    </row>
    <row r="23829" spans="1:7" x14ac:dyDescent="0.25">
      <c r="A23829" s="1" t="str">
        <f>"513924"</f>
        <v>513924</v>
      </c>
      <c r="B23829" s="2" t="str">
        <f>"TEXACO TEXAMATIC"</f>
        <v>TEXACO TEXAMATIC</v>
      </c>
      <c r="C23829" s="2" t="str">
        <f>"PC"</f>
        <v>PC</v>
      </c>
      <c r="D23829" s="7">
        <v>704</v>
      </c>
      <c r="E23829" s="3">
        <v>9</v>
      </c>
      <c r="F23829" s="2">
        <v>7</v>
      </c>
      <c r="G23829" t="s">
        <v>515</v>
      </c>
    </row>
    <row r="23830" spans="1:7" x14ac:dyDescent="0.25">
      <c r="A23830" s="1" t="str">
        <f>"501589"</f>
        <v>501589</v>
      </c>
      <c r="B23830" s="2" t="str">
        <f>"TEXAMATIC 704"</f>
        <v>TEXAMATIC 704</v>
      </c>
      <c r="C23830" s="2" t="str">
        <f>"LT"</f>
        <v>LT</v>
      </c>
      <c r="D23830" s="7">
        <v>702</v>
      </c>
      <c r="E23830" s="3">
        <v>9</v>
      </c>
      <c r="F23830" s="2">
        <v>9</v>
      </c>
      <c r="G23830" t="s">
        <v>512</v>
      </c>
    </row>
    <row r="23831" spans="1:7" x14ac:dyDescent="0.25">
      <c r="A23831" s="1" t="str">
        <f>"520355"</f>
        <v>520355</v>
      </c>
      <c r="B23831" s="2" t="str">
        <f>"TEXTURA ACRILICA"</f>
        <v>TEXTURA ACRILICA</v>
      </c>
      <c r="C23831" s="2" t="str">
        <f>"UN"</f>
        <v>UN</v>
      </c>
      <c r="D23831" s="7">
        <v>917</v>
      </c>
      <c r="E23831" s="3">
        <v>4</v>
      </c>
      <c r="F23831" s="2">
        <v>0</v>
      </c>
      <c r="G23831" t="s">
        <v>516</v>
      </c>
    </row>
    <row r="23832" spans="1:7" x14ac:dyDescent="0.25">
      <c r="A23832" s="1" t="str">
        <f>"513819"</f>
        <v>513819</v>
      </c>
      <c r="B23832" s="2" t="str">
        <f>"TEXTURA BRANCO"</f>
        <v>TEXTURA BRANCO</v>
      </c>
      <c r="C23832" s="2" t="str">
        <f>"UN"</f>
        <v>UN</v>
      </c>
      <c r="D23832" s="7">
        <v>917</v>
      </c>
      <c r="E23832" s="3">
        <v>4</v>
      </c>
      <c r="F23832" s="2">
        <v>0</v>
      </c>
      <c r="G23832" t="s">
        <v>515</v>
      </c>
    </row>
    <row r="23833" spans="1:7" x14ac:dyDescent="0.25">
      <c r="A23833" s="1" t="str">
        <f>"520354"</f>
        <v>520354</v>
      </c>
      <c r="B23833" s="2" t="str">
        <f>"TEXTURA BRANCO LISO"</f>
        <v>TEXTURA BRANCO LISO</v>
      </c>
      <c r="C23833" s="2" t="str">
        <f>"UN"</f>
        <v>UN</v>
      </c>
      <c r="D23833" s="7">
        <v>917</v>
      </c>
      <c r="E23833" s="3">
        <v>4</v>
      </c>
      <c r="F23833" s="2">
        <v>2</v>
      </c>
      <c r="G23833" t="s">
        <v>514</v>
      </c>
    </row>
    <row r="23834" spans="1:7" x14ac:dyDescent="0.25">
      <c r="A23834" s="1" t="str">
        <f>"514951"</f>
        <v>514951</v>
      </c>
      <c r="B23834" s="2" t="str">
        <f>"THERACIDE 5 L"</f>
        <v>THERACIDE 5 L</v>
      </c>
      <c r="C23834" s="2" t="str">
        <f>"LT"</f>
        <v>LT</v>
      </c>
      <c r="D23834" s="7">
        <v>407</v>
      </c>
      <c r="E23834" s="3">
        <v>4</v>
      </c>
      <c r="F23834" s="2">
        <v>5</v>
      </c>
      <c r="G23834" t="s">
        <v>512</v>
      </c>
    </row>
    <row r="23835" spans="1:7" x14ac:dyDescent="0.25">
      <c r="A23835" s="1" t="str">
        <f>"514952"</f>
        <v>514952</v>
      </c>
      <c r="B23835" s="2" t="str">
        <f>"THERAFLEX 5 L"</f>
        <v>THERAFLEX 5 L</v>
      </c>
      <c r="C23835" s="2" t="str">
        <f>"LT"</f>
        <v>LT</v>
      </c>
      <c r="D23835" s="7">
        <v>407</v>
      </c>
      <c r="E23835" s="3">
        <v>4</v>
      </c>
      <c r="F23835" s="2">
        <v>6</v>
      </c>
      <c r="G23835" t="s">
        <v>513</v>
      </c>
    </row>
    <row r="23836" spans="1:7" x14ac:dyDescent="0.25">
      <c r="A23836" s="1" t="str">
        <f>"513748"</f>
        <v>513748</v>
      </c>
      <c r="B23836" s="2" t="str">
        <f>"THERMO KING - T600 - R"</f>
        <v>THERMO KING - T600 - R</v>
      </c>
      <c r="C23836" s="2" t="str">
        <f t="shared" ref="C23836:C23867" si="939">"UN"</f>
        <v>UN</v>
      </c>
      <c r="D23836" s="7">
        <v>99999</v>
      </c>
      <c r="E23836" s="3">
        <v>99</v>
      </c>
      <c r="F23836" s="3">
        <v>99</v>
      </c>
      <c r="G23836" t="s">
        <v>514</v>
      </c>
    </row>
    <row r="23837" spans="1:7" x14ac:dyDescent="0.25">
      <c r="A23837" s="1" t="str">
        <f>"516572"</f>
        <v>516572</v>
      </c>
      <c r="B23837" s="2" t="str">
        <f>"THINER 200LT"</f>
        <v>THINER 200LT</v>
      </c>
      <c r="C23837" s="2" t="str">
        <f t="shared" si="939"/>
        <v>UN</v>
      </c>
      <c r="D23837" s="7">
        <v>804</v>
      </c>
      <c r="E23837" s="3">
        <v>10</v>
      </c>
      <c r="F23837" s="3">
        <v>10</v>
      </c>
      <c r="G23837" t="s">
        <v>514</v>
      </c>
    </row>
    <row r="23838" spans="1:7" x14ac:dyDescent="0.25">
      <c r="A23838" s="1" t="str">
        <f>"511939"</f>
        <v>511939</v>
      </c>
      <c r="B23838" s="2" t="str">
        <f>"THINNER ANJO 2750 200LT"</f>
        <v>THINNER ANJO 2750 200LT</v>
      </c>
      <c r="C23838" s="2" t="str">
        <f t="shared" si="939"/>
        <v>UN</v>
      </c>
      <c r="D23838" s="7">
        <v>99999</v>
      </c>
      <c r="E23838" s="3">
        <v>99</v>
      </c>
      <c r="F23838" s="3">
        <v>99</v>
      </c>
      <c r="G23838" t="s">
        <v>512</v>
      </c>
    </row>
    <row r="23839" spans="1:7" x14ac:dyDescent="0.25">
      <c r="A23839" s="1" t="str">
        <f>"506951"</f>
        <v>506951</v>
      </c>
      <c r="B23839" s="2" t="str">
        <f>"THINNER GALAO 1 LITRO"</f>
        <v>THINNER GALAO 1 LITRO</v>
      </c>
      <c r="C23839" s="2" t="str">
        <f t="shared" si="939"/>
        <v>UN</v>
      </c>
      <c r="D23839" s="7">
        <v>804</v>
      </c>
      <c r="E23839" s="3">
        <v>10</v>
      </c>
      <c r="F23839" s="3">
        <v>10</v>
      </c>
      <c r="G23839" t="s">
        <v>513</v>
      </c>
    </row>
    <row r="23840" spans="1:7" x14ac:dyDescent="0.25">
      <c r="A23840" s="1" t="str">
        <f>"500017"</f>
        <v>500017</v>
      </c>
      <c r="B23840" s="2" t="str">
        <f>"THINNER GALAO 5 LITROS"</f>
        <v>THINNER GALAO 5 LITROS</v>
      </c>
      <c r="C23840" s="2" t="str">
        <f t="shared" si="939"/>
        <v>UN</v>
      </c>
      <c r="D23840" s="7">
        <v>403</v>
      </c>
      <c r="E23840" s="3">
        <v>4</v>
      </c>
      <c r="F23840" s="3">
        <v>4</v>
      </c>
      <c r="G23840" t="s">
        <v>514</v>
      </c>
    </row>
    <row r="23841" spans="1:7" x14ac:dyDescent="0.25">
      <c r="A23841" s="1" t="str">
        <f>"513343"</f>
        <v>513343</v>
      </c>
      <c r="B23841" s="2" t="str">
        <f>"THINNER SKYLACK"</f>
        <v>THINNER SKYLACK</v>
      </c>
      <c r="C23841" s="2" t="str">
        <f t="shared" si="939"/>
        <v>UN</v>
      </c>
      <c r="D23841" s="7">
        <v>804</v>
      </c>
      <c r="E23841" s="3">
        <v>10</v>
      </c>
      <c r="F23841" s="3">
        <v>10</v>
      </c>
      <c r="G23841" t="s">
        <v>514</v>
      </c>
    </row>
    <row r="23842" spans="1:7" x14ac:dyDescent="0.25">
      <c r="A23842" s="1" t="str">
        <f>"523897"</f>
        <v>523897</v>
      </c>
      <c r="B23842" s="2" t="str">
        <f>"TIARA"</f>
        <v>TIARA</v>
      </c>
      <c r="C23842" s="2" t="str">
        <f t="shared" si="939"/>
        <v>UN</v>
      </c>
      <c r="D23842" s="7">
        <v>401</v>
      </c>
      <c r="E23842" s="3">
        <v>4</v>
      </c>
      <c r="F23842" s="3">
        <v>4</v>
      </c>
      <c r="G23842" t="s">
        <v>514</v>
      </c>
    </row>
    <row r="23843" spans="1:7" x14ac:dyDescent="0.25">
      <c r="A23843" s="1" t="str">
        <f>"514225"</f>
        <v>514225</v>
      </c>
      <c r="B23843" s="2" t="str">
        <f>"TICKET"</f>
        <v>TICKET</v>
      </c>
      <c r="C23843" s="2" t="str">
        <f t="shared" si="939"/>
        <v>UN</v>
      </c>
      <c r="D23843" s="7">
        <v>99999</v>
      </c>
      <c r="E23843" s="3">
        <v>99</v>
      </c>
      <c r="F23843" s="3">
        <v>99</v>
      </c>
      <c r="G23843" t="s">
        <v>513</v>
      </c>
    </row>
    <row r="23844" spans="1:7" x14ac:dyDescent="0.25">
      <c r="A23844" s="1" t="str">
        <f>"518312"</f>
        <v>518312</v>
      </c>
      <c r="B23844" s="2" t="str">
        <f>"TIGELA DE VIDRO MARINEX"</f>
        <v>TIGELA DE VIDRO MARINEX</v>
      </c>
      <c r="C23844" s="2" t="str">
        <f t="shared" si="939"/>
        <v>UN</v>
      </c>
      <c r="D23844" s="7">
        <v>918</v>
      </c>
      <c r="E23844" s="3">
        <v>10</v>
      </c>
      <c r="F23844" s="3">
        <v>10</v>
      </c>
      <c r="G23844" t="s">
        <v>512</v>
      </c>
    </row>
    <row r="23845" spans="1:7" x14ac:dyDescent="0.25">
      <c r="A23845" s="1" t="str">
        <f>"500261"</f>
        <v>500261</v>
      </c>
      <c r="B23845" s="2" t="str">
        <f>"TIJOLO - 6 FUROS"</f>
        <v>TIJOLO - 6 FUROS</v>
      </c>
      <c r="C23845" s="2" t="str">
        <f t="shared" si="939"/>
        <v>UN</v>
      </c>
      <c r="D23845" s="7">
        <v>403</v>
      </c>
      <c r="E23845" s="3">
        <v>4</v>
      </c>
      <c r="F23845" s="3">
        <v>4</v>
      </c>
      <c r="G23845" t="s">
        <v>513</v>
      </c>
    </row>
    <row r="23846" spans="1:7" x14ac:dyDescent="0.25">
      <c r="A23846" s="1" t="str">
        <f>"500262"</f>
        <v>500262</v>
      </c>
      <c r="B23846" s="2" t="str">
        <f>"TIJOLO - 6 FUROS (MEIO)"</f>
        <v>TIJOLO - 6 FUROS (MEIO)</v>
      </c>
      <c r="C23846" s="2" t="str">
        <f t="shared" si="939"/>
        <v>UN</v>
      </c>
      <c r="D23846" s="7">
        <v>403</v>
      </c>
      <c r="E23846" s="3">
        <v>4</v>
      </c>
      <c r="F23846" s="3">
        <v>4</v>
      </c>
      <c r="G23846" t="s">
        <v>514</v>
      </c>
    </row>
    <row r="23847" spans="1:7" x14ac:dyDescent="0.25">
      <c r="A23847" s="1" t="str">
        <f>"517159"</f>
        <v>517159</v>
      </c>
      <c r="B23847" s="2" t="str">
        <f>"TIJOLO - 8 FUROS"</f>
        <v>TIJOLO - 8 FUROS</v>
      </c>
      <c r="C23847" s="2" t="str">
        <f t="shared" si="939"/>
        <v>UN</v>
      </c>
      <c r="D23847" s="7">
        <v>917</v>
      </c>
      <c r="E23847" s="3">
        <v>10</v>
      </c>
      <c r="F23847" s="3">
        <v>10</v>
      </c>
      <c r="G23847" t="s">
        <v>514</v>
      </c>
    </row>
    <row r="23848" spans="1:7" x14ac:dyDescent="0.25">
      <c r="A23848" s="1" t="str">
        <f>"500103"</f>
        <v>500103</v>
      </c>
      <c r="B23848" s="2" t="str">
        <f>"TIJOLO COMUM"</f>
        <v>TIJOLO COMUM</v>
      </c>
      <c r="C23848" s="2" t="str">
        <f t="shared" si="939"/>
        <v>UN</v>
      </c>
      <c r="D23848" s="7">
        <v>403</v>
      </c>
      <c r="E23848" s="3">
        <v>4</v>
      </c>
      <c r="F23848" s="3">
        <v>4</v>
      </c>
      <c r="G23848" t="s">
        <v>514</v>
      </c>
    </row>
    <row r="23849" spans="1:7" x14ac:dyDescent="0.25">
      <c r="A23849" s="1" t="str">
        <f>"503721"</f>
        <v>503721</v>
      </c>
      <c r="B23849" s="2" t="str">
        <f>"TIJOLO DE VIDRO 19CM VITROLUX"</f>
        <v>TIJOLO DE VIDRO 19CM VITROLUX</v>
      </c>
      <c r="C23849" s="2" t="str">
        <f t="shared" si="939"/>
        <v>UN</v>
      </c>
      <c r="D23849" s="7">
        <v>403</v>
      </c>
      <c r="E23849" s="3">
        <v>4</v>
      </c>
      <c r="F23849" s="3">
        <v>4</v>
      </c>
      <c r="G23849" t="s">
        <v>513</v>
      </c>
    </row>
    <row r="23850" spans="1:7" x14ac:dyDescent="0.25">
      <c r="A23850" s="1" t="str">
        <f>"521027"</f>
        <v>521027</v>
      </c>
      <c r="B23850" s="2" t="str">
        <f>"TIJOLO REFLATARIO"</f>
        <v>TIJOLO REFLATARIO</v>
      </c>
      <c r="C23850" s="2" t="str">
        <f t="shared" si="939"/>
        <v>UN</v>
      </c>
      <c r="D23850" s="7">
        <v>403</v>
      </c>
      <c r="E23850" s="3">
        <v>4</v>
      </c>
      <c r="F23850" s="3">
        <v>4</v>
      </c>
      <c r="G23850" t="s">
        <v>513</v>
      </c>
    </row>
    <row r="23851" spans="1:7" x14ac:dyDescent="0.25">
      <c r="A23851" s="1" t="str">
        <f>"503117"</f>
        <v>503117</v>
      </c>
      <c r="B23851" s="2" t="str">
        <f>"TIJOLOS REFRATARIOS 228X114X63"</f>
        <v>TIJOLOS REFRATARIOS 228X114X63</v>
      </c>
      <c r="C23851" s="2" t="str">
        <f t="shared" si="939"/>
        <v>UN</v>
      </c>
      <c r="D23851" s="7">
        <v>403</v>
      </c>
      <c r="E23851" s="3">
        <v>4</v>
      </c>
      <c r="F23851" s="3">
        <v>4</v>
      </c>
      <c r="G23851" t="s">
        <v>513</v>
      </c>
    </row>
    <row r="23852" spans="1:7" x14ac:dyDescent="0.25">
      <c r="A23852" s="1" t="str">
        <f>"514907"</f>
        <v>514907</v>
      </c>
      <c r="B23852" s="2" t="str">
        <f>"TIM CHIP 0440"</f>
        <v>TIM CHIP 0440</v>
      </c>
      <c r="C23852" s="2" t="str">
        <f t="shared" si="939"/>
        <v>UN</v>
      </c>
      <c r="D23852" s="7">
        <v>401</v>
      </c>
      <c r="E23852" s="3">
        <v>4</v>
      </c>
      <c r="F23852" s="3">
        <v>4</v>
      </c>
      <c r="G23852" t="s">
        <v>512</v>
      </c>
    </row>
    <row r="23853" spans="1:7" x14ac:dyDescent="0.25">
      <c r="A23853" s="1" t="str">
        <f>"515111"</f>
        <v>515111</v>
      </c>
      <c r="B23853" s="2" t="str">
        <f>"TIMBA IZZO"</f>
        <v>TIMBA IZZO</v>
      </c>
      <c r="C23853" s="2" t="str">
        <f t="shared" si="939"/>
        <v>UN</v>
      </c>
      <c r="D23853" s="7">
        <v>401</v>
      </c>
      <c r="E23853" s="3">
        <v>4</v>
      </c>
      <c r="F23853" s="3">
        <v>4</v>
      </c>
      <c r="G23853" t="s">
        <v>513</v>
      </c>
    </row>
    <row r="23854" spans="1:7" x14ac:dyDescent="0.25">
      <c r="A23854" s="1" t="str">
        <f>"516179"</f>
        <v>516179</v>
      </c>
      <c r="B23854" s="2" t="str">
        <f>"TIMER DIGITAL COEL 24H 220V RTST-12/20 15M DIGITAL"</f>
        <v>TIMER DIGITAL COEL 24H 220V RTST-12/20 15M DIGITAL</v>
      </c>
      <c r="C23854" s="2" t="str">
        <f t="shared" si="939"/>
        <v>UN</v>
      </c>
      <c r="D23854" s="7">
        <v>600</v>
      </c>
      <c r="E23854" s="3">
        <v>8</v>
      </c>
      <c r="F23854" s="3">
        <v>8</v>
      </c>
      <c r="G23854" t="s">
        <v>514</v>
      </c>
    </row>
    <row r="23855" spans="1:7" x14ac:dyDescent="0.25">
      <c r="A23855" s="1" t="str">
        <f>"519197"</f>
        <v>519197</v>
      </c>
      <c r="B23855" s="2" t="str">
        <f>"TIMER LRT 220V 60HZ COD-TRV2104-2"</f>
        <v>TIMER LRT 220V 60HZ COD-TRV2104-2</v>
      </c>
      <c r="C23855" s="2" t="str">
        <f t="shared" si="939"/>
        <v>UN</v>
      </c>
      <c r="D23855" s="7">
        <v>811</v>
      </c>
      <c r="E23855" s="3">
        <v>8</v>
      </c>
      <c r="F23855" s="3">
        <v>8</v>
      </c>
      <c r="G23855" t="s">
        <v>515</v>
      </c>
    </row>
    <row r="23856" spans="1:7" x14ac:dyDescent="0.25">
      <c r="A23856" s="1" t="str">
        <f>"526343"</f>
        <v>526343</v>
      </c>
      <c r="B23856" s="2" t="str">
        <f>"TIMER PROGRAMAVEL MODELO TE 30 ELCON"</f>
        <v>TIMER PROGRAMAVEL MODELO TE 30 ELCON</v>
      </c>
      <c r="C23856" s="2" t="str">
        <f t="shared" si="939"/>
        <v>UN</v>
      </c>
      <c r="D23856" s="7">
        <v>99999</v>
      </c>
      <c r="E23856" s="3">
        <v>99</v>
      </c>
      <c r="F23856" s="3">
        <v>99</v>
      </c>
      <c r="G23856" t="s">
        <v>512</v>
      </c>
    </row>
    <row r="23857" spans="1:7" x14ac:dyDescent="0.25">
      <c r="A23857" s="1" t="str">
        <f>"526344"</f>
        <v>526344</v>
      </c>
      <c r="B23857" s="2" t="str">
        <f>"TIMER PROGRAMAVEL MODELO TE 30 ELCON"</f>
        <v>TIMER PROGRAMAVEL MODELO TE 30 ELCON</v>
      </c>
      <c r="C23857" s="2" t="str">
        <f t="shared" si="939"/>
        <v>UN</v>
      </c>
      <c r="D23857" s="7">
        <v>99999</v>
      </c>
      <c r="E23857" s="3">
        <v>99</v>
      </c>
      <c r="F23857" s="3">
        <v>99</v>
      </c>
      <c r="G23857" t="s">
        <v>516</v>
      </c>
    </row>
    <row r="23858" spans="1:7" x14ac:dyDescent="0.25">
      <c r="A23858" s="1" t="str">
        <f>"527080"</f>
        <v>527080</v>
      </c>
      <c r="B23858" s="2" t="str">
        <f>"TIMER TEMPORIZADOR ANALOGICO BIVOLT PROGRAMAVEL L/D"</f>
        <v>TIMER TEMPORIZADOR ANALOGICO BIVOLT PROGRAMAVEL L/D</v>
      </c>
      <c r="C23858" s="2" t="str">
        <f t="shared" si="939"/>
        <v>UN</v>
      </c>
      <c r="D23858" s="7">
        <v>811</v>
      </c>
      <c r="E23858" s="3">
        <v>8</v>
      </c>
      <c r="F23858" s="3">
        <v>8</v>
      </c>
      <c r="G23858" t="s">
        <v>515</v>
      </c>
    </row>
    <row r="23859" spans="1:7" x14ac:dyDescent="0.25">
      <c r="A23859" s="1" t="str">
        <f>"513910"</f>
        <v>513910</v>
      </c>
      <c r="B23859" s="2" t="str">
        <f>"TIN ES BCO 250 1 INT"</f>
        <v>TIN ES BCO 250 1 INT</v>
      </c>
      <c r="C23859" s="2" t="str">
        <f t="shared" si="939"/>
        <v>UN</v>
      </c>
      <c r="D23859" s="7">
        <v>99999</v>
      </c>
      <c r="E23859" s="3">
        <v>99</v>
      </c>
      <c r="F23859" s="3">
        <v>99</v>
      </c>
      <c r="G23859" t="s">
        <v>514</v>
      </c>
    </row>
    <row r="23860" spans="1:7" x14ac:dyDescent="0.25">
      <c r="A23860" s="1" t="str">
        <f>"515307"</f>
        <v>515307</v>
      </c>
      <c r="B23860" s="2" t="str">
        <f>"TINA P/ FILETAGEM MUSSARELA 100 LITROS"</f>
        <v>TINA P/ FILETAGEM MUSSARELA 100 LITROS</v>
      </c>
      <c r="C23860" s="2" t="str">
        <f t="shared" si="939"/>
        <v>UN</v>
      </c>
      <c r="D23860" s="7">
        <v>1300</v>
      </c>
      <c r="E23860" s="3">
        <v>13</v>
      </c>
      <c r="F23860" s="3">
        <v>13</v>
      </c>
      <c r="G23860" t="s">
        <v>512</v>
      </c>
    </row>
    <row r="23861" spans="1:7" x14ac:dyDescent="0.25">
      <c r="A23861" s="1" t="str">
        <f>"516297"</f>
        <v>516297</v>
      </c>
      <c r="B23861" s="2" t="str">
        <f>"TINTA ACETINADO BRANCO 3,6LT"</f>
        <v>TINTA ACETINADO BRANCO 3,6LT</v>
      </c>
      <c r="C23861" s="2" t="str">
        <f t="shared" si="939"/>
        <v>UN</v>
      </c>
      <c r="D23861" s="7">
        <v>917</v>
      </c>
      <c r="E23861" s="3">
        <v>10</v>
      </c>
      <c r="F23861" s="3">
        <v>10</v>
      </c>
      <c r="G23861" t="s">
        <v>513</v>
      </c>
    </row>
    <row r="23862" spans="1:7" x14ac:dyDescent="0.25">
      <c r="A23862" s="1" t="str">
        <f>"507580"</f>
        <v>507580</v>
      </c>
      <c r="B23862" s="2" t="str">
        <f>"TINTA ACRILICA LAVAVEL AZUL DEL REY  Y106 18LT"</f>
        <v>TINTA ACRILICA LAVAVEL AZUL DEL REY  Y106 18LT</v>
      </c>
      <c r="C23862" s="2" t="str">
        <f t="shared" si="939"/>
        <v>UN</v>
      </c>
      <c r="D23862" s="7">
        <v>804</v>
      </c>
      <c r="E23862" s="3">
        <v>10</v>
      </c>
      <c r="F23862" s="3">
        <v>10</v>
      </c>
      <c r="G23862" t="s">
        <v>514</v>
      </c>
    </row>
    <row r="23863" spans="1:7" x14ac:dyDescent="0.25">
      <c r="A23863" s="1" t="str">
        <f>"501429"</f>
        <v>501429</v>
      </c>
      <c r="B23863" s="2" t="str">
        <f>"TINTA ACRILICA LAVAVEL BRANCO FOSCO NEVE 18LT"</f>
        <v>TINTA ACRILICA LAVAVEL BRANCO FOSCO NEVE 18LT</v>
      </c>
      <c r="C23863" s="2" t="str">
        <f t="shared" si="939"/>
        <v>UN</v>
      </c>
      <c r="D23863" s="7">
        <v>403</v>
      </c>
      <c r="E23863" s="3">
        <v>4</v>
      </c>
      <c r="F23863" s="3">
        <v>4</v>
      </c>
      <c r="G23863" t="s">
        <v>514</v>
      </c>
    </row>
    <row r="23864" spans="1:7" x14ac:dyDescent="0.25">
      <c r="A23864" s="1" t="str">
        <f>"520569"</f>
        <v>520569</v>
      </c>
      <c r="B23864" s="2" t="str">
        <f>"TINTA ACRILICA PREMIUM CLASSICA BRANCO NEVE 3,6LT FOSCO"</f>
        <v>TINTA ACRILICA PREMIUM CLASSICA BRANCO NEVE 3,6LT FOSCO</v>
      </c>
      <c r="C23864" s="2" t="str">
        <f t="shared" si="939"/>
        <v>UN</v>
      </c>
      <c r="D23864" s="7">
        <v>403</v>
      </c>
      <c r="E23864" s="3">
        <v>4</v>
      </c>
      <c r="F23864" s="3">
        <v>4</v>
      </c>
      <c r="G23864" t="s">
        <v>512</v>
      </c>
    </row>
    <row r="23865" spans="1:7" x14ac:dyDescent="0.25">
      <c r="A23865" s="1" t="str">
        <f>"521546"</f>
        <v>521546</v>
      </c>
      <c r="B23865" s="2" t="str">
        <f>"TINTA ACRILICA PREMIUM NEVE 18LT FOSCO EXT/INT"</f>
        <v>TINTA ACRILICA PREMIUM NEVE 18LT FOSCO EXT/INT</v>
      </c>
      <c r="C23865" s="2" t="str">
        <f t="shared" si="939"/>
        <v>UN</v>
      </c>
      <c r="D23865" s="7">
        <v>403</v>
      </c>
      <c r="E23865" s="3">
        <v>4</v>
      </c>
      <c r="F23865" s="3">
        <v>4</v>
      </c>
      <c r="G23865" t="s">
        <v>513</v>
      </c>
    </row>
    <row r="23866" spans="1:7" x14ac:dyDescent="0.25">
      <c r="A23866" s="1" t="str">
        <f>"509401"</f>
        <v>509401</v>
      </c>
      <c r="B23866" s="2" t="str">
        <f>"TINTA ACRILICO BRANCO GELO 18L"</f>
        <v>TINTA ACRILICO BRANCO GELO 18L</v>
      </c>
      <c r="C23866" s="2" t="str">
        <f t="shared" si="939"/>
        <v>UN</v>
      </c>
      <c r="D23866" s="7">
        <v>804</v>
      </c>
      <c r="E23866" s="3">
        <v>10</v>
      </c>
      <c r="F23866" s="3">
        <v>10</v>
      </c>
      <c r="G23866" t="s">
        <v>514</v>
      </c>
    </row>
    <row r="23867" spans="1:7" x14ac:dyDescent="0.25">
      <c r="A23867" s="1" t="str">
        <f>"518109"</f>
        <v>518109</v>
      </c>
      <c r="B23867" s="2" t="str">
        <f>"TINTA ACRILICO PREMIUM TOQUE DE BRILHO PINHEIRO"</f>
        <v>TINTA ACRILICO PREMIUM TOQUE DE BRILHO PINHEIRO</v>
      </c>
      <c r="C23867" s="2" t="str">
        <f t="shared" si="939"/>
        <v>UN</v>
      </c>
      <c r="D23867" s="7">
        <v>917</v>
      </c>
      <c r="E23867" s="3">
        <v>10</v>
      </c>
      <c r="F23867" s="3">
        <v>10</v>
      </c>
      <c r="G23867" t="s">
        <v>514</v>
      </c>
    </row>
    <row r="23868" spans="1:7" x14ac:dyDescent="0.25">
      <c r="A23868" s="1" t="str">
        <f>"510236"</f>
        <v>510236</v>
      </c>
      <c r="B23868" s="2" t="str">
        <f>"TINTA ALUM.ALTA TEMP.ANJO LINHA IND 3,6"</f>
        <v>TINTA ALUM.ALTA TEMP.ANJO LINHA IND 3,6</v>
      </c>
      <c r="C23868" s="2" t="str">
        <f t="shared" ref="C23868:C23899" si="940">"UN"</f>
        <v>UN</v>
      </c>
      <c r="D23868" s="7">
        <v>804</v>
      </c>
      <c r="E23868" s="3">
        <v>10</v>
      </c>
      <c r="F23868" s="3">
        <v>10</v>
      </c>
      <c r="G23868" t="s">
        <v>514</v>
      </c>
    </row>
    <row r="23869" spans="1:7" x14ac:dyDescent="0.25">
      <c r="A23869" s="1" t="str">
        <f>"502410"</f>
        <v>502410</v>
      </c>
      <c r="B23869" s="2" t="str">
        <f>"TINTA ALUMINIO P/ALTA TEMPERATURA 900ML"</f>
        <v>TINTA ALUMINIO P/ALTA TEMPERATURA 900ML</v>
      </c>
      <c r="C23869" s="2" t="str">
        <f t="shared" si="940"/>
        <v>UN</v>
      </c>
      <c r="D23869" s="7">
        <v>403</v>
      </c>
      <c r="E23869" s="3">
        <v>4</v>
      </c>
      <c r="F23869" s="3">
        <v>4</v>
      </c>
      <c r="G23869" t="s">
        <v>513</v>
      </c>
    </row>
    <row r="23870" spans="1:7" x14ac:dyDescent="0.25">
      <c r="A23870" s="1" t="str">
        <f>"522145"</f>
        <v>522145</v>
      </c>
      <c r="B23870" s="2" t="str">
        <f>"TINTA AMARELO CANARIO 3,600"</f>
        <v>TINTA AMARELO CANARIO 3,600</v>
      </c>
      <c r="C23870" s="2" t="str">
        <f t="shared" si="940"/>
        <v>UN</v>
      </c>
      <c r="D23870" s="7">
        <v>403</v>
      </c>
      <c r="E23870" s="3">
        <v>4</v>
      </c>
      <c r="F23870" s="3">
        <v>4</v>
      </c>
      <c r="G23870" t="s">
        <v>512</v>
      </c>
    </row>
    <row r="23871" spans="1:7" x14ac:dyDescent="0.25">
      <c r="A23871" s="1" t="str">
        <f>"500648"</f>
        <v>500648</v>
      </c>
      <c r="B23871" s="2" t="str">
        <f>"TINTA AMARELO OURO ALTA TEMPERATURA 3,6LT"</f>
        <v>TINTA AMARELO OURO ALTA TEMPERATURA 3,6LT</v>
      </c>
      <c r="C23871" s="2" t="str">
        <f t="shared" si="940"/>
        <v>UN</v>
      </c>
      <c r="D23871" s="7">
        <v>403</v>
      </c>
      <c r="E23871" s="3">
        <v>4</v>
      </c>
      <c r="F23871" s="3">
        <v>4</v>
      </c>
      <c r="G23871" t="s">
        <v>513</v>
      </c>
    </row>
    <row r="23872" spans="1:7" x14ac:dyDescent="0.25">
      <c r="A23872" s="1" t="str">
        <f>"521049"</f>
        <v>521049</v>
      </c>
      <c r="B23872" s="2" t="str">
        <f>"TINTA AMARELO SEGURANCA MUNSELL ESM PU  2,700 ML"</f>
        <v>TINTA AMARELO SEGURANCA MUNSELL ESM PU  2,700 ML</v>
      </c>
      <c r="C23872" s="2" t="str">
        <f t="shared" si="940"/>
        <v>UN</v>
      </c>
      <c r="D23872" s="7">
        <v>804</v>
      </c>
      <c r="E23872" s="3">
        <v>10</v>
      </c>
      <c r="F23872" s="3">
        <v>10</v>
      </c>
      <c r="G23872" t="s">
        <v>514</v>
      </c>
    </row>
    <row r="23873" spans="1:7" x14ac:dyDescent="0.25">
      <c r="A23873" s="1" t="str">
        <f>"511120"</f>
        <v>511120</v>
      </c>
      <c r="B23873" s="2" t="str">
        <f>"TINTA ANJO 600º 3,600 - PRETO FOSCO"</f>
        <v>TINTA ANJO 600º 3,600 - PRETO FOSCO</v>
      </c>
      <c r="C23873" s="2" t="str">
        <f t="shared" si="940"/>
        <v>UN</v>
      </c>
      <c r="D23873" s="7">
        <v>804</v>
      </c>
      <c r="E23873" s="3">
        <v>10</v>
      </c>
      <c r="F23873" s="3">
        <v>10</v>
      </c>
      <c r="G23873" t="s">
        <v>514</v>
      </c>
    </row>
    <row r="23874" spans="1:7" x14ac:dyDescent="0.25">
      <c r="A23874" s="1" t="str">
        <f>"505454"</f>
        <v>505454</v>
      </c>
      <c r="B23874" s="2" t="str">
        <f>"TINTA AUTOM. CINZA SCANIA 78 - ANJO 3,6L"</f>
        <v>TINTA AUTOM. CINZA SCANIA 78 - ANJO 3,6L</v>
      </c>
      <c r="C23874" s="2" t="str">
        <f t="shared" si="940"/>
        <v>UN</v>
      </c>
      <c r="D23874" s="7">
        <v>403</v>
      </c>
      <c r="E23874" s="3">
        <v>4</v>
      </c>
      <c r="F23874" s="3">
        <v>4</v>
      </c>
      <c r="G23874" t="s">
        <v>514</v>
      </c>
    </row>
    <row r="23875" spans="1:7" x14ac:dyDescent="0.25">
      <c r="A23875" s="1" t="str">
        <f>"519940"</f>
        <v>519940</v>
      </c>
      <c r="B23875" s="2" t="str">
        <f>"TINTA AUTOMOTIVA ALUMINIO 3,600"</f>
        <v>TINTA AUTOMOTIVA ALUMINIO 3,600</v>
      </c>
      <c r="C23875" s="2" t="str">
        <f t="shared" si="940"/>
        <v>UN</v>
      </c>
      <c r="D23875" s="7">
        <v>403</v>
      </c>
      <c r="E23875" s="3">
        <v>4</v>
      </c>
      <c r="F23875" s="3">
        <v>4</v>
      </c>
      <c r="G23875" t="s">
        <v>513</v>
      </c>
    </row>
    <row r="23876" spans="1:7" x14ac:dyDescent="0.25">
      <c r="A23876" s="1" t="str">
        <f>"519939"</f>
        <v>519939</v>
      </c>
      <c r="B23876" s="2" t="str">
        <f>"TINTA AUTOMOTIVA AMARELO OURO 3,600"</f>
        <v>TINTA AUTOMOTIVA AMARELO OURO 3,600</v>
      </c>
      <c r="C23876" s="2" t="str">
        <f t="shared" si="940"/>
        <v>UN</v>
      </c>
      <c r="D23876" s="7">
        <v>403</v>
      </c>
      <c r="E23876" s="3">
        <v>4</v>
      </c>
      <c r="F23876" s="3">
        <v>4</v>
      </c>
      <c r="G23876" t="s">
        <v>513</v>
      </c>
    </row>
    <row r="23877" spans="1:7" x14ac:dyDescent="0.25">
      <c r="A23877" s="1" t="str">
        <f>"519941"</f>
        <v>519941</v>
      </c>
      <c r="B23877" s="2" t="str">
        <f>"TINTA AUTOMOTIVA AZUL DEL REY 3,600"</f>
        <v>TINTA AUTOMOTIVA AZUL DEL REY 3,600</v>
      </c>
      <c r="C23877" s="2" t="str">
        <f t="shared" si="940"/>
        <v>UN</v>
      </c>
      <c r="D23877" s="7">
        <v>403</v>
      </c>
      <c r="E23877" s="3">
        <v>4</v>
      </c>
      <c r="F23877" s="3">
        <v>4</v>
      </c>
      <c r="G23877" t="s">
        <v>513</v>
      </c>
    </row>
    <row r="23878" spans="1:7" x14ac:dyDescent="0.25">
      <c r="A23878" s="1" t="str">
        <f>"505455"</f>
        <v>505455</v>
      </c>
      <c r="B23878" s="2" t="str">
        <f>"TINTA AUTOMOTIVA AZUL RURAL 3,6LT"</f>
        <v>TINTA AUTOMOTIVA AZUL RURAL 3,6LT</v>
      </c>
      <c r="C23878" s="2" t="str">
        <f t="shared" si="940"/>
        <v>UN</v>
      </c>
      <c r="D23878" s="7">
        <v>804</v>
      </c>
      <c r="E23878" s="3">
        <v>10</v>
      </c>
      <c r="F23878" s="3">
        <v>10</v>
      </c>
      <c r="G23878" t="s">
        <v>512</v>
      </c>
    </row>
    <row r="23879" spans="1:7" x14ac:dyDescent="0.25">
      <c r="A23879" s="1" t="str">
        <f>"519936"</f>
        <v>519936</v>
      </c>
      <c r="B23879" s="2" t="str">
        <f>"TINTA AUTOMOTIVA BRANCO 3,600"</f>
        <v>TINTA AUTOMOTIVA BRANCO 3,600</v>
      </c>
      <c r="C23879" s="2" t="str">
        <f t="shared" si="940"/>
        <v>UN</v>
      </c>
      <c r="D23879" s="7">
        <v>403</v>
      </c>
      <c r="E23879" s="3">
        <v>4</v>
      </c>
      <c r="F23879" s="3">
        <v>4</v>
      </c>
      <c r="G23879" t="s">
        <v>513</v>
      </c>
    </row>
    <row r="23880" spans="1:7" x14ac:dyDescent="0.25">
      <c r="A23880" s="1" t="str">
        <f>"503142"</f>
        <v>503142</v>
      </c>
      <c r="B23880" s="2" t="str">
        <f>"TINTA AUTOMOTIVA CINZA 3,6L CHASSIS"</f>
        <v>TINTA AUTOMOTIVA CINZA 3,6L CHASSIS</v>
      </c>
      <c r="C23880" s="2" t="str">
        <f t="shared" si="940"/>
        <v>UN</v>
      </c>
      <c r="D23880" s="7">
        <v>403</v>
      </c>
      <c r="E23880" s="3">
        <v>4</v>
      </c>
      <c r="F23880" s="3">
        <v>4</v>
      </c>
      <c r="G23880" t="s">
        <v>514</v>
      </c>
    </row>
    <row r="23881" spans="1:7" x14ac:dyDescent="0.25">
      <c r="A23881" s="1" t="str">
        <f>"519942"</f>
        <v>519942</v>
      </c>
      <c r="B23881" s="2" t="str">
        <f>"TINTA AUTOMOTIVA CINZA PLATINA 3,600"</f>
        <v>TINTA AUTOMOTIVA CINZA PLATINA 3,600</v>
      </c>
      <c r="C23881" s="2" t="str">
        <f t="shared" si="940"/>
        <v>UN</v>
      </c>
      <c r="D23881" s="7">
        <v>403</v>
      </c>
      <c r="E23881" s="3">
        <v>4</v>
      </c>
      <c r="F23881" s="3">
        <v>4</v>
      </c>
      <c r="G23881" t="s">
        <v>515</v>
      </c>
    </row>
    <row r="23882" spans="1:7" x14ac:dyDescent="0.25">
      <c r="A23882" s="1" t="str">
        <f>"519937"</f>
        <v>519937</v>
      </c>
      <c r="B23882" s="2" t="str">
        <f>"TINTA AUTOMOTIVA LARANJA 3,600"</f>
        <v>TINTA AUTOMOTIVA LARANJA 3,600</v>
      </c>
      <c r="C23882" s="2" t="str">
        <f t="shared" si="940"/>
        <v>UN</v>
      </c>
      <c r="D23882" s="7">
        <v>403</v>
      </c>
      <c r="E23882" s="3">
        <v>4</v>
      </c>
      <c r="F23882" s="3">
        <v>4</v>
      </c>
      <c r="G23882" t="s">
        <v>512</v>
      </c>
    </row>
    <row r="23883" spans="1:7" x14ac:dyDescent="0.25">
      <c r="A23883" s="1" t="str">
        <f>"519938"</f>
        <v>519938</v>
      </c>
      <c r="B23883" s="2" t="str">
        <f>"TINTA AUTOMOTIVA MARROM 3,600"</f>
        <v>TINTA AUTOMOTIVA MARROM 3,600</v>
      </c>
      <c r="C23883" s="2" t="str">
        <f t="shared" si="940"/>
        <v>UN</v>
      </c>
      <c r="D23883" s="7">
        <v>403</v>
      </c>
      <c r="E23883" s="3">
        <v>4</v>
      </c>
      <c r="F23883" s="3">
        <v>4</v>
      </c>
      <c r="G23883" t="s">
        <v>516</v>
      </c>
    </row>
    <row r="23884" spans="1:7" x14ac:dyDescent="0.25">
      <c r="A23884" s="1" t="str">
        <f>"519935"</f>
        <v>519935</v>
      </c>
      <c r="B23884" s="2" t="str">
        <f>"TINTA AUTOMOTIVA VERDE 3,600"</f>
        <v>TINTA AUTOMOTIVA VERDE 3,600</v>
      </c>
      <c r="C23884" s="2" t="str">
        <f t="shared" si="940"/>
        <v>UN</v>
      </c>
      <c r="D23884" s="7">
        <v>403</v>
      </c>
      <c r="E23884" s="3">
        <v>4</v>
      </c>
      <c r="F23884" s="3">
        <v>4</v>
      </c>
      <c r="G23884" t="s">
        <v>515</v>
      </c>
    </row>
    <row r="23885" spans="1:7" x14ac:dyDescent="0.25">
      <c r="A23885" s="1" t="str">
        <f>"511414"</f>
        <v>511414</v>
      </c>
      <c r="B23885" s="2" t="str">
        <f>"TINTA AZUL CELESTE 3600LT AUTOMOTIVO"</f>
        <v>TINTA AZUL CELESTE 3600LT AUTOMOTIVO</v>
      </c>
      <c r="C23885" s="2" t="str">
        <f t="shared" si="940"/>
        <v>UN</v>
      </c>
      <c r="D23885" s="7">
        <v>804</v>
      </c>
      <c r="E23885" s="3">
        <v>10</v>
      </c>
      <c r="F23885" s="3">
        <v>10</v>
      </c>
      <c r="G23885" t="s">
        <v>514</v>
      </c>
    </row>
    <row r="23886" spans="1:7" x14ac:dyDescent="0.25">
      <c r="A23886" s="1" t="str">
        <f>"527430"</f>
        <v>527430</v>
      </c>
      <c r="B23886" s="2" t="str">
        <f>"TINTA AZUL DEL REY ALTA TEMPERATURA 3,600"</f>
        <v>TINTA AZUL DEL REY ALTA TEMPERATURA 3,600</v>
      </c>
      <c r="C23886" s="2" t="str">
        <f t="shared" si="940"/>
        <v>UN</v>
      </c>
      <c r="D23886" s="7">
        <v>804</v>
      </c>
      <c r="E23886" s="3">
        <v>10</v>
      </c>
      <c r="F23886" s="3">
        <v>10</v>
      </c>
      <c r="G23886" t="s">
        <v>512</v>
      </c>
    </row>
    <row r="23887" spans="1:7" x14ac:dyDescent="0.25">
      <c r="A23887" s="1" t="str">
        <f>"514851"</f>
        <v>514851</v>
      </c>
      <c r="B23887" s="2" t="str">
        <f>"TINTA AZUL WEG P/ MOTOR ELETRICO"</f>
        <v>TINTA AZUL WEG P/ MOTOR ELETRICO</v>
      </c>
      <c r="C23887" s="2" t="str">
        <f t="shared" si="940"/>
        <v>UN</v>
      </c>
      <c r="D23887" s="7">
        <v>804</v>
      </c>
      <c r="E23887" s="3">
        <v>4</v>
      </c>
      <c r="F23887" s="3">
        <v>4</v>
      </c>
      <c r="G23887" t="s">
        <v>513</v>
      </c>
    </row>
    <row r="23888" spans="1:7" x14ac:dyDescent="0.25">
      <c r="A23888" s="1" t="str">
        <f>"509892"</f>
        <v>509892</v>
      </c>
      <c r="B23888" s="2" t="str">
        <f>"TINTA BRANCA P/ ALTA TEMPERATURA 900ML"</f>
        <v>TINTA BRANCA P/ ALTA TEMPERATURA 900ML</v>
      </c>
      <c r="C23888" s="2" t="str">
        <f t="shared" si="940"/>
        <v>UN</v>
      </c>
      <c r="D23888" s="7">
        <v>403</v>
      </c>
      <c r="E23888" s="3">
        <v>4</v>
      </c>
      <c r="F23888" s="3">
        <v>4</v>
      </c>
      <c r="G23888" t="s">
        <v>514</v>
      </c>
    </row>
    <row r="23889" spans="1:7" x14ac:dyDescent="0.25">
      <c r="A23889" s="1" t="str">
        <f>"518972"</f>
        <v>518972</v>
      </c>
      <c r="B23889" s="2" t="str">
        <f>"TINTA BRANCO CRISTAL VW CONCENTRADO"</f>
        <v>TINTA BRANCO CRISTAL VW CONCENTRADO</v>
      </c>
      <c r="C23889" s="2" t="str">
        <f t="shared" si="940"/>
        <v>UN</v>
      </c>
      <c r="D23889" s="7">
        <v>403</v>
      </c>
      <c r="E23889" s="3">
        <v>4</v>
      </c>
      <c r="F23889" s="3">
        <v>4</v>
      </c>
      <c r="G23889" t="s">
        <v>514</v>
      </c>
    </row>
    <row r="23890" spans="1:7" x14ac:dyDescent="0.25">
      <c r="A23890" s="1" t="str">
        <f>"501868"</f>
        <v>501868</v>
      </c>
      <c r="B23890" s="2" t="str">
        <f>"TINTA BRANCO GEADA PU"</f>
        <v>TINTA BRANCO GEADA PU</v>
      </c>
      <c r="C23890" s="2" t="str">
        <f t="shared" si="940"/>
        <v>UN</v>
      </c>
      <c r="D23890" s="7">
        <v>403</v>
      </c>
      <c r="E23890" s="3">
        <v>4</v>
      </c>
      <c r="F23890" s="3">
        <v>4</v>
      </c>
      <c r="G23890" t="s">
        <v>512</v>
      </c>
    </row>
    <row r="23891" spans="1:7" x14ac:dyDescent="0.25">
      <c r="A23891" s="1" t="str">
        <f>"501686"</f>
        <v>501686</v>
      </c>
      <c r="B23891" s="2" t="str">
        <f>"TINTA BRANCO PURO GL"</f>
        <v>TINTA BRANCO PURO GL</v>
      </c>
      <c r="C23891" s="2" t="str">
        <f t="shared" si="940"/>
        <v>UN</v>
      </c>
      <c r="D23891" s="7">
        <v>403</v>
      </c>
      <c r="E23891" s="3">
        <v>4</v>
      </c>
      <c r="F23891" s="3">
        <v>4</v>
      </c>
      <c r="G23891" t="s">
        <v>513</v>
      </c>
    </row>
    <row r="23892" spans="1:7" x14ac:dyDescent="0.25">
      <c r="A23892" s="1" t="str">
        <f>"505456"</f>
        <v>505456</v>
      </c>
      <c r="B23892" s="2" t="str">
        <f>"TINTA DUCO AZUL DEL REY - 3,600 LT"</f>
        <v>TINTA DUCO AZUL DEL REY - 3,600 LT</v>
      </c>
      <c r="C23892" s="2" t="str">
        <f t="shared" si="940"/>
        <v>UN</v>
      </c>
      <c r="D23892" s="7">
        <v>403</v>
      </c>
      <c r="E23892" s="3">
        <v>4</v>
      </c>
      <c r="F23892" s="3">
        <v>4</v>
      </c>
      <c r="G23892" t="s">
        <v>514</v>
      </c>
    </row>
    <row r="23893" spans="1:7" x14ac:dyDescent="0.25">
      <c r="A23893" s="1" t="str">
        <f>"506063"</f>
        <v>506063</v>
      </c>
      <c r="B23893" s="2" t="str">
        <f>"TINTA EMBORRACHADA 18L - AZUL ESCURO"</f>
        <v>TINTA EMBORRACHADA 18L - AZUL ESCURO</v>
      </c>
      <c r="C23893" s="2" t="str">
        <f t="shared" si="940"/>
        <v>UN</v>
      </c>
      <c r="D23893" s="7">
        <v>403</v>
      </c>
      <c r="E23893" s="3">
        <v>4</v>
      </c>
      <c r="F23893" s="3">
        <v>4</v>
      </c>
      <c r="G23893" t="s">
        <v>514</v>
      </c>
    </row>
    <row r="23894" spans="1:7" x14ac:dyDescent="0.25">
      <c r="A23894" s="1" t="str">
        <f>"506064"</f>
        <v>506064</v>
      </c>
      <c r="B23894" s="2" t="str">
        <f>"TINTA EMBORRACHADA 18L - BRANCA"</f>
        <v>TINTA EMBORRACHADA 18L - BRANCA</v>
      </c>
      <c r="C23894" s="2" t="str">
        <f t="shared" si="940"/>
        <v>UN</v>
      </c>
      <c r="D23894" s="7">
        <v>403</v>
      </c>
      <c r="E23894" s="3">
        <v>4</v>
      </c>
      <c r="F23894" s="3">
        <v>4</v>
      </c>
      <c r="G23894" t="s">
        <v>514</v>
      </c>
    </row>
    <row r="23895" spans="1:7" x14ac:dyDescent="0.25">
      <c r="A23895" s="1" t="str">
        <f>"509725"</f>
        <v>509725</v>
      </c>
      <c r="B23895" s="2" t="str">
        <f>"TINTA EMBORRACHADA PRETA 3,600 LT"</f>
        <v>TINTA EMBORRACHADA PRETA 3,600 LT</v>
      </c>
      <c r="C23895" s="2" t="str">
        <f t="shared" si="940"/>
        <v>UN</v>
      </c>
      <c r="D23895" s="7">
        <v>403</v>
      </c>
      <c r="E23895" s="3">
        <v>4</v>
      </c>
      <c r="F23895" s="3">
        <v>4</v>
      </c>
      <c r="G23895" t="s">
        <v>513</v>
      </c>
    </row>
    <row r="23896" spans="1:7" x14ac:dyDescent="0.25">
      <c r="A23896" s="1" t="str">
        <f>"526637"</f>
        <v>526637</v>
      </c>
      <c r="B23896" s="2" t="str">
        <f>"TINTA EPOX AZUL CELESTE BASE DAGUA 3,6LT"</f>
        <v>TINTA EPOX AZUL CELESTE BASE DAGUA 3,6LT</v>
      </c>
      <c r="C23896" s="2" t="str">
        <f t="shared" si="940"/>
        <v>UN</v>
      </c>
      <c r="D23896" s="7">
        <v>804</v>
      </c>
      <c r="E23896" s="3">
        <v>10</v>
      </c>
      <c r="F23896" s="3">
        <v>10</v>
      </c>
      <c r="G23896" t="s">
        <v>512</v>
      </c>
    </row>
    <row r="23897" spans="1:7" x14ac:dyDescent="0.25">
      <c r="A23897" s="1" t="str">
        <f>"516534"</f>
        <v>516534</v>
      </c>
      <c r="B23897" s="2" t="str">
        <f>"TINTA EPOX AZUL DEL REY 3,6LT MAZA"</f>
        <v>TINTA EPOX AZUL DEL REY 3,6LT MAZA</v>
      </c>
      <c r="C23897" s="2" t="str">
        <f t="shared" si="940"/>
        <v>UN</v>
      </c>
      <c r="D23897" s="7">
        <v>804</v>
      </c>
      <c r="E23897" s="3">
        <v>10</v>
      </c>
      <c r="F23897" s="3">
        <v>10</v>
      </c>
      <c r="G23897" t="s">
        <v>513</v>
      </c>
    </row>
    <row r="23898" spans="1:7" x14ac:dyDescent="0.25">
      <c r="A23898" s="1" t="str">
        <f>"526597"</f>
        <v>526597</v>
      </c>
      <c r="B23898" s="2" t="str">
        <f>"TINTA EPOX AZUL DEL REY BASE DAGUA 3,6LT"</f>
        <v>TINTA EPOX AZUL DEL REY BASE DAGUA 3,6LT</v>
      </c>
      <c r="C23898" s="2" t="str">
        <f t="shared" si="940"/>
        <v>UN</v>
      </c>
      <c r="D23898" s="7">
        <v>804</v>
      </c>
      <c r="E23898" s="3">
        <v>10</v>
      </c>
      <c r="F23898" s="3">
        <v>10</v>
      </c>
      <c r="G23898" t="s">
        <v>514</v>
      </c>
    </row>
    <row r="23899" spans="1:7" x14ac:dyDescent="0.25">
      <c r="A23899" s="1" t="str">
        <f>"503412"</f>
        <v>503412</v>
      </c>
      <c r="B23899" s="2" t="str">
        <f>"TINTA EPOX BRANCA 3.6 LTS BASE SOLVENTE"</f>
        <v>TINTA EPOX BRANCA 3.6 LTS BASE SOLVENTE</v>
      </c>
      <c r="C23899" s="2" t="str">
        <f t="shared" si="940"/>
        <v>UN</v>
      </c>
      <c r="D23899" s="7">
        <v>99999</v>
      </c>
      <c r="E23899" s="3">
        <v>10</v>
      </c>
      <c r="F23899" s="3">
        <v>10</v>
      </c>
      <c r="G23899" t="s">
        <v>514</v>
      </c>
    </row>
    <row r="23900" spans="1:7" x14ac:dyDescent="0.25">
      <c r="A23900" s="1" t="str">
        <f>"524350"</f>
        <v>524350</v>
      </c>
      <c r="B23900" s="2" t="str">
        <f>"TINTA EPOX BRANCA MAZA BASE DAGUA 3,6LT"</f>
        <v>TINTA EPOX BRANCA MAZA BASE DAGUA 3,6LT</v>
      </c>
      <c r="C23900" s="2" t="str">
        <f t="shared" ref="C23900:C23931" si="941">"UN"</f>
        <v>UN</v>
      </c>
      <c r="D23900" s="7">
        <v>804</v>
      </c>
      <c r="E23900" s="3">
        <v>10</v>
      </c>
      <c r="F23900" s="3">
        <v>10</v>
      </c>
      <c r="G23900" t="s">
        <v>514</v>
      </c>
    </row>
    <row r="23901" spans="1:7" x14ac:dyDescent="0.25">
      <c r="A23901" s="1" t="str">
        <f>"508994"</f>
        <v>508994</v>
      </c>
      <c r="B23901" s="2" t="str">
        <f>"TINTA EPOX CINZA ESCURO 3600L BASE SOLVENTE"</f>
        <v>TINTA EPOX CINZA ESCURO 3600L BASE SOLVENTE</v>
      </c>
      <c r="C23901" s="2" t="str">
        <f t="shared" si="941"/>
        <v>UN</v>
      </c>
      <c r="D23901" s="7">
        <v>917</v>
      </c>
      <c r="E23901" s="3">
        <v>11</v>
      </c>
      <c r="F23901" s="3">
        <v>11</v>
      </c>
      <c r="G23901" t="s">
        <v>513</v>
      </c>
    </row>
    <row r="23902" spans="1:7" x14ac:dyDescent="0.25">
      <c r="A23902" s="1" t="str">
        <f>"511141"</f>
        <v>511141</v>
      </c>
      <c r="B23902" s="2" t="str">
        <f>"TINTA EPOX CINZA PAINEL ELETRICO 3,6LT"</f>
        <v>TINTA EPOX CINZA PAINEL ELETRICO 3,6LT</v>
      </c>
      <c r="C23902" s="2" t="str">
        <f t="shared" si="941"/>
        <v>UN</v>
      </c>
      <c r="D23902" s="7">
        <v>804</v>
      </c>
      <c r="E23902" s="3">
        <v>10</v>
      </c>
      <c r="F23902" s="3">
        <v>10</v>
      </c>
      <c r="G23902" t="s">
        <v>513</v>
      </c>
    </row>
    <row r="23903" spans="1:7" x14ac:dyDescent="0.25">
      <c r="A23903" s="1" t="str">
        <f>"527964"</f>
        <v>527964</v>
      </c>
      <c r="B23903" s="2" t="str">
        <f>"TINTA EPOX CREME 3.6 LTS BASE SOLVENTE"</f>
        <v>TINTA EPOX CREME 3.6 LTS BASE SOLVENTE</v>
      </c>
      <c r="C23903" s="2" t="str">
        <f t="shared" si="941"/>
        <v>UN</v>
      </c>
      <c r="D23903" s="7">
        <v>917</v>
      </c>
      <c r="E23903" s="3">
        <v>10</v>
      </c>
      <c r="F23903" s="3">
        <v>10</v>
      </c>
      <c r="G23903" t="s">
        <v>513</v>
      </c>
    </row>
    <row r="23904" spans="1:7" x14ac:dyDescent="0.25">
      <c r="A23904" s="1" t="str">
        <f>"526636"</f>
        <v>526636</v>
      </c>
      <c r="B23904" s="2" t="str">
        <f>"TINTA EPOX VERDE FOLHA BASE DAGUA 3,6LT"</f>
        <v>TINTA EPOX VERDE FOLHA BASE DAGUA 3,6LT</v>
      </c>
      <c r="C23904" s="2" t="str">
        <f t="shared" si="941"/>
        <v>UN</v>
      </c>
      <c r="D23904" s="7">
        <v>804</v>
      </c>
      <c r="E23904" s="3">
        <v>10</v>
      </c>
      <c r="F23904" s="3">
        <v>10</v>
      </c>
      <c r="G23904" t="s">
        <v>512</v>
      </c>
    </row>
    <row r="23905" spans="1:7" x14ac:dyDescent="0.25">
      <c r="A23905" s="1" t="str">
        <f>"526596"</f>
        <v>526596</v>
      </c>
      <c r="B23905" s="2" t="str">
        <f>"TINTA EPOX VERMELHO BOMBEIRO BASE DAGUA 3,6LT"</f>
        <v>TINTA EPOX VERMELHO BOMBEIRO BASE DAGUA 3,6LT</v>
      </c>
      <c r="C23905" s="2" t="str">
        <f t="shared" si="941"/>
        <v>UN</v>
      </c>
      <c r="D23905" s="7">
        <v>804</v>
      </c>
      <c r="E23905" s="3">
        <v>10</v>
      </c>
      <c r="F23905" s="3">
        <v>10</v>
      </c>
      <c r="G23905" t="s">
        <v>513</v>
      </c>
    </row>
    <row r="23906" spans="1:7" x14ac:dyDescent="0.25">
      <c r="A23906" s="1" t="str">
        <f>"526949"</f>
        <v>526949</v>
      </c>
      <c r="B23906" s="2" t="str">
        <f>"TINTA EPOXI AMARELO"</f>
        <v>TINTA EPOXI AMARELO</v>
      </c>
      <c r="C23906" s="2" t="str">
        <f t="shared" si="941"/>
        <v>UN</v>
      </c>
      <c r="D23906" s="7">
        <v>804</v>
      </c>
      <c r="E23906" s="3">
        <v>10</v>
      </c>
      <c r="F23906" s="3">
        <v>10</v>
      </c>
      <c r="G23906" t="s">
        <v>514</v>
      </c>
    </row>
    <row r="23907" spans="1:7" x14ac:dyDescent="0.25">
      <c r="A23907" s="1" t="str">
        <f>"516233"</f>
        <v>516233</v>
      </c>
      <c r="B23907" s="2" t="str">
        <f>"TINTA EPOXI AMARELO OURO SEG MAZA 3,6L"</f>
        <v>TINTA EPOXI AMARELO OURO SEG MAZA 3,6L</v>
      </c>
      <c r="C23907" s="2" t="str">
        <f t="shared" si="941"/>
        <v>UN</v>
      </c>
      <c r="D23907" s="7">
        <v>917</v>
      </c>
      <c r="E23907" s="3">
        <v>10</v>
      </c>
      <c r="F23907" s="3">
        <v>10</v>
      </c>
      <c r="G23907" t="s">
        <v>515</v>
      </c>
    </row>
    <row r="23908" spans="1:7" x14ac:dyDescent="0.25">
      <c r="A23908" s="1" t="str">
        <f>"519933"</f>
        <v>519933</v>
      </c>
      <c r="B23908" s="2" t="str">
        <f>"TINTA EPOXI AZUL 3,600"</f>
        <v>TINTA EPOXI AZUL 3,600</v>
      </c>
      <c r="C23908" s="2" t="str">
        <f t="shared" si="941"/>
        <v>UN</v>
      </c>
      <c r="D23908" s="7">
        <v>403</v>
      </c>
      <c r="E23908" s="3">
        <v>4</v>
      </c>
      <c r="F23908" s="3">
        <v>4</v>
      </c>
      <c r="G23908" t="s">
        <v>512</v>
      </c>
    </row>
    <row r="23909" spans="1:7" x14ac:dyDescent="0.25">
      <c r="A23909" s="1" t="str">
        <f>"524367"</f>
        <v>524367</v>
      </c>
      <c r="B23909" s="2" t="str">
        <f>"TINTA EPOXI CINZA CLARO MAZA-7620E"</f>
        <v>TINTA EPOXI CINZA CLARO MAZA-7620E</v>
      </c>
      <c r="C23909" s="2" t="str">
        <f t="shared" si="941"/>
        <v>UN</v>
      </c>
      <c r="D23909" s="7">
        <v>804</v>
      </c>
      <c r="E23909" s="3">
        <v>99</v>
      </c>
      <c r="F23909" s="3">
        <v>99</v>
      </c>
      <c r="G23909" t="s">
        <v>516</v>
      </c>
    </row>
    <row r="23910" spans="1:7" x14ac:dyDescent="0.25">
      <c r="A23910" s="1" t="str">
        <f>"525186"</f>
        <v>525186</v>
      </c>
      <c r="B23910" s="2" t="str">
        <f>"TINTA EPOXI CINZA MEDIO ELCATEX BASE D'AGUA"</f>
        <v>TINTA EPOXI CINZA MEDIO ELCATEX BASE D'AGUA</v>
      </c>
      <c r="C23910" s="2" t="str">
        <f t="shared" si="941"/>
        <v>UN</v>
      </c>
      <c r="D23910" s="7">
        <v>917</v>
      </c>
      <c r="E23910" s="3">
        <v>10</v>
      </c>
      <c r="F23910" s="3">
        <v>10</v>
      </c>
      <c r="G23910" t="s">
        <v>515</v>
      </c>
    </row>
    <row r="23911" spans="1:7" x14ac:dyDescent="0.25">
      <c r="A23911" s="1" t="str">
        <f>"502917"</f>
        <v>502917</v>
      </c>
      <c r="B23911" s="2" t="str">
        <f>"TINTA EPOXI CINZA MEDIO N°5 DUPLA FUNÇÃO 6000-2022 MAZA"</f>
        <v>TINTA EPOXI CINZA MEDIO N°5 DUPLA FUNÇÃO 6000-2022 MAZA</v>
      </c>
      <c r="C23911" s="2" t="str">
        <f t="shared" si="941"/>
        <v>UN</v>
      </c>
      <c r="D23911" s="7">
        <v>403</v>
      </c>
      <c r="E23911" s="3">
        <v>4</v>
      </c>
      <c r="F23911" s="3">
        <v>4</v>
      </c>
      <c r="G23911" t="s">
        <v>514</v>
      </c>
    </row>
    <row r="23912" spans="1:7" x14ac:dyDescent="0.25">
      <c r="A23912" s="1" t="str">
        <f>"519932"</f>
        <v>519932</v>
      </c>
      <c r="B23912" s="2" t="str">
        <f>"TINTA EPOXI CINZA PLATINA 3,600"</f>
        <v>TINTA EPOXI CINZA PLATINA 3,600</v>
      </c>
      <c r="C23912" s="2" t="str">
        <f t="shared" si="941"/>
        <v>UN</v>
      </c>
      <c r="D23912" s="7">
        <v>403</v>
      </c>
      <c r="E23912" s="3">
        <v>4</v>
      </c>
      <c r="F23912" s="3">
        <v>4</v>
      </c>
      <c r="G23912" t="s">
        <v>512</v>
      </c>
    </row>
    <row r="23913" spans="1:7" x14ac:dyDescent="0.25">
      <c r="A23913" s="1" t="str">
        <f>"515047"</f>
        <v>515047</v>
      </c>
      <c r="B23913" s="2" t="str">
        <f>"TINTA EPOXI MARROM"</f>
        <v>TINTA EPOXI MARROM</v>
      </c>
      <c r="C23913" s="2" t="str">
        <f t="shared" si="941"/>
        <v>UN</v>
      </c>
      <c r="D23913" s="7">
        <v>917</v>
      </c>
      <c r="E23913" s="3">
        <v>10</v>
      </c>
      <c r="F23913" s="3">
        <v>10</v>
      </c>
      <c r="G23913" t="s">
        <v>513</v>
      </c>
    </row>
    <row r="23914" spans="1:7" x14ac:dyDescent="0.25">
      <c r="A23914" s="1" t="str">
        <f>"515044"</f>
        <v>515044</v>
      </c>
      <c r="B23914" s="2" t="str">
        <f>"TINTA EPOXI PRETO"</f>
        <v>TINTA EPOXI PRETO</v>
      </c>
      <c r="C23914" s="2" t="str">
        <f t="shared" si="941"/>
        <v>UN</v>
      </c>
      <c r="D23914" s="7">
        <v>917</v>
      </c>
      <c r="E23914" s="3">
        <v>10</v>
      </c>
      <c r="F23914" s="3">
        <v>10</v>
      </c>
      <c r="G23914" t="s">
        <v>514</v>
      </c>
    </row>
    <row r="23915" spans="1:7" x14ac:dyDescent="0.25">
      <c r="A23915" s="1" t="str">
        <f>"515046"</f>
        <v>515046</v>
      </c>
      <c r="B23915" s="2" t="str">
        <f>"TINTA EPOXI VERDE FOLHA 3,600"</f>
        <v>TINTA EPOXI VERDE FOLHA 3,600</v>
      </c>
      <c r="C23915" s="2" t="str">
        <f t="shared" si="941"/>
        <v>UN</v>
      </c>
      <c r="D23915" s="7">
        <v>917</v>
      </c>
      <c r="E23915" s="3">
        <v>10</v>
      </c>
      <c r="F23915" s="3">
        <v>10</v>
      </c>
      <c r="G23915" t="s">
        <v>514</v>
      </c>
    </row>
    <row r="23916" spans="1:7" x14ac:dyDescent="0.25">
      <c r="A23916" s="1" t="str">
        <f>"519934"</f>
        <v>519934</v>
      </c>
      <c r="B23916" s="2" t="str">
        <f>"TINTA EPOXI VERMELHO 3,600"</f>
        <v>TINTA EPOXI VERMELHO 3,600</v>
      </c>
      <c r="C23916" s="2" t="str">
        <f t="shared" si="941"/>
        <v>UN</v>
      </c>
      <c r="D23916" s="7">
        <v>403</v>
      </c>
      <c r="E23916" s="3">
        <v>4</v>
      </c>
      <c r="F23916" s="3">
        <v>4</v>
      </c>
      <c r="G23916" t="s">
        <v>512</v>
      </c>
    </row>
    <row r="23917" spans="1:7" x14ac:dyDescent="0.25">
      <c r="A23917" s="1" t="str">
        <f>"525332"</f>
        <v>525332</v>
      </c>
      <c r="B23917" s="2" t="str">
        <f>"TINTA EPOXY AMARELO OURO 3,6LT EUCATEX BASE AGUA"</f>
        <v>TINTA EPOXY AMARELO OURO 3,6LT EUCATEX BASE AGUA</v>
      </c>
      <c r="C23917" s="2" t="str">
        <f t="shared" si="941"/>
        <v>UN</v>
      </c>
      <c r="D23917" s="7">
        <v>804</v>
      </c>
      <c r="E23917" s="3">
        <v>10</v>
      </c>
      <c r="F23917" s="3">
        <v>10</v>
      </c>
      <c r="G23917" t="s">
        <v>513</v>
      </c>
    </row>
    <row r="23918" spans="1:7" x14ac:dyDescent="0.25">
      <c r="A23918" s="1" t="str">
        <f>"525470"</f>
        <v>525470</v>
      </c>
      <c r="B23918" s="2" t="str">
        <f>"TINTA ESMALTE AMARELO OURO 3,6LT BASE AGUA"</f>
        <v>TINTA ESMALTE AMARELO OURO 3,6LT BASE AGUA</v>
      </c>
      <c r="C23918" s="2" t="str">
        <f t="shared" si="941"/>
        <v>UN</v>
      </c>
      <c r="D23918" s="7">
        <v>804</v>
      </c>
      <c r="E23918" s="3">
        <v>10</v>
      </c>
      <c r="F23918" s="3">
        <v>10</v>
      </c>
      <c r="G23918" t="s">
        <v>514</v>
      </c>
    </row>
    <row r="23919" spans="1:7" x14ac:dyDescent="0.25">
      <c r="A23919" s="1" t="str">
        <f>"527376"</f>
        <v>527376</v>
      </c>
      <c r="B23919" s="2" t="str">
        <f>"TINTA ESMALTE AZUL DEL REY BASE AGUA"</f>
        <v>TINTA ESMALTE AZUL DEL REY BASE AGUA</v>
      </c>
      <c r="C23919" s="2" t="str">
        <f t="shared" si="941"/>
        <v>UN</v>
      </c>
      <c r="D23919" s="7">
        <v>804</v>
      </c>
      <c r="E23919" s="3">
        <v>10</v>
      </c>
      <c r="F23919" s="3">
        <v>10</v>
      </c>
      <c r="G23919" t="s">
        <v>514</v>
      </c>
    </row>
    <row r="23920" spans="1:7" x14ac:dyDescent="0.25">
      <c r="A23920" s="1" t="str">
        <f>"526810"</f>
        <v>526810</v>
      </c>
      <c r="B23920" s="2" t="str">
        <f>"TINTA ESMALTE AZUL RAL 5007 -  BRASILUX"</f>
        <v>TINTA ESMALTE AZUL RAL 5007 -  BRASILUX</v>
      </c>
      <c r="C23920" s="2" t="str">
        <f t="shared" si="941"/>
        <v>UN</v>
      </c>
      <c r="D23920" s="7">
        <v>1400</v>
      </c>
      <c r="E23920" s="3">
        <v>13</v>
      </c>
      <c r="F23920" s="3">
        <v>13</v>
      </c>
      <c r="G23920" t="s">
        <v>514</v>
      </c>
    </row>
    <row r="23921" spans="1:7" x14ac:dyDescent="0.25">
      <c r="A23921" s="1" t="str">
        <f>"516082"</f>
        <v>516082</v>
      </c>
      <c r="B23921" s="2" t="str">
        <f>"TINTA ESMALTE SINT. 18 LT - AZUL CELESTE"</f>
        <v>TINTA ESMALTE SINT. 18 LT - AZUL CELESTE</v>
      </c>
      <c r="C23921" s="2" t="str">
        <f t="shared" si="941"/>
        <v>UN</v>
      </c>
      <c r="D23921" s="7">
        <v>804</v>
      </c>
      <c r="E23921" s="3">
        <v>10</v>
      </c>
      <c r="F23921" s="3">
        <v>10</v>
      </c>
      <c r="G23921" t="s">
        <v>513</v>
      </c>
    </row>
    <row r="23922" spans="1:7" x14ac:dyDescent="0.25">
      <c r="A23922" s="1" t="str">
        <f>"505907"</f>
        <v>505907</v>
      </c>
      <c r="B23922" s="2" t="str">
        <f>"TINTA ESMALTE SINT. 18L - AZ. DEL REY"</f>
        <v>TINTA ESMALTE SINT. 18L - AZ. DEL REY</v>
      </c>
      <c r="C23922" s="2" t="str">
        <f t="shared" si="941"/>
        <v>UN</v>
      </c>
      <c r="D23922" s="7">
        <v>804</v>
      </c>
      <c r="E23922" s="3">
        <v>10</v>
      </c>
      <c r="F23922" s="3">
        <v>10</v>
      </c>
      <c r="G23922" t="s">
        <v>512</v>
      </c>
    </row>
    <row r="23923" spans="1:7" x14ac:dyDescent="0.25">
      <c r="A23923" s="1" t="str">
        <f>"509213"</f>
        <v>509213</v>
      </c>
      <c r="B23923" s="2" t="str">
        <f>"TINTA ESMALTE SINT. 18L - BRANCO"</f>
        <v>TINTA ESMALTE SINT. 18L - BRANCO</v>
      </c>
      <c r="C23923" s="2" t="str">
        <f t="shared" si="941"/>
        <v>UN</v>
      </c>
      <c r="D23923" s="7">
        <v>804</v>
      </c>
      <c r="E23923" s="3">
        <v>10</v>
      </c>
      <c r="F23923" s="3">
        <v>10</v>
      </c>
      <c r="G23923" t="s">
        <v>513</v>
      </c>
    </row>
    <row r="23924" spans="1:7" x14ac:dyDescent="0.25">
      <c r="A23924" s="1" t="str">
        <f>"516372"</f>
        <v>516372</v>
      </c>
      <c r="B23924" s="2" t="str">
        <f>"TINTA ESMALTE SINT. 3,600 - ALUMINIO"</f>
        <v>TINTA ESMALTE SINT. 3,600 - ALUMINIO</v>
      </c>
      <c r="C23924" s="2" t="str">
        <f t="shared" si="941"/>
        <v>UN</v>
      </c>
      <c r="D23924" s="7">
        <v>804</v>
      </c>
      <c r="E23924" s="3">
        <v>10</v>
      </c>
      <c r="F23924" s="3">
        <v>10</v>
      </c>
      <c r="G23924" t="s">
        <v>514</v>
      </c>
    </row>
    <row r="23925" spans="1:7" x14ac:dyDescent="0.25">
      <c r="A23925" s="1" t="str">
        <f>"515922"</f>
        <v>515922</v>
      </c>
      <c r="B23925" s="2" t="str">
        <f>"TINTA ESMALTE SINT. 3,600 - AMARELO OURO"</f>
        <v>TINTA ESMALTE SINT. 3,600 - AMARELO OURO</v>
      </c>
      <c r="C23925" s="2" t="str">
        <f t="shared" si="941"/>
        <v>UN</v>
      </c>
      <c r="D23925" s="7">
        <v>99999</v>
      </c>
      <c r="E23925" s="3">
        <v>10</v>
      </c>
      <c r="F23925" s="3">
        <v>10</v>
      </c>
      <c r="G23925" t="s">
        <v>514</v>
      </c>
    </row>
    <row r="23926" spans="1:7" x14ac:dyDescent="0.25">
      <c r="A23926" s="1" t="str">
        <f>"518140"</f>
        <v>518140</v>
      </c>
      <c r="B23926" s="2" t="str">
        <f>"TINTA ESMALTE SINT. 3,600 - AZ. FRANÇA"</f>
        <v>TINTA ESMALTE SINT. 3,600 - AZ. FRANÇA</v>
      </c>
      <c r="C23926" s="2" t="str">
        <f t="shared" si="941"/>
        <v>UN</v>
      </c>
      <c r="D23926" s="7">
        <v>804</v>
      </c>
      <c r="E23926" s="3">
        <v>10</v>
      </c>
      <c r="F23926" s="3">
        <v>10</v>
      </c>
      <c r="G23926" t="s">
        <v>514</v>
      </c>
    </row>
    <row r="23927" spans="1:7" x14ac:dyDescent="0.25">
      <c r="A23927" s="1" t="str">
        <f>"500025"</f>
        <v>500025</v>
      </c>
      <c r="B23927" s="2" t="str">
        <f>"TINTA ESMALTE SINT. 3,600 - AZ.DEL REY"</f>
        <v>TINTA ESMALTE SINT. 3,600 - AZ.DEL REY</v>
      </c>
      <c r="C23927" s="2" t="str">
        <f t="shared" si="941"/>
        <v>UN</v>
      </c>
      <c r="D23927" s="7">
        <v>403</v>
      </c>
      <c r="E23927" s="3">
        <v>4</v>
      </c>
      <c r="F23927" s="3">
        <v>4</v>
      </c>
      <c r="G23927" t="s">
        <v>513</v>
      </c>
    </row>
    <row r="23928" spans="1:7" x14ac:dyDescent="0.25">
      <c r="A23928" s="1" t="str">
        <f>"509649"</f>
        <v>509649</v>
      </c>
      <c r="B23928" s="2" t="str">
        <f>"TINTA ESMALTE SINT. 3,600 - AZUL ARARA"</f>
        <v>TINTA ESMALTE SINT. 3,600 - AZUL ARARA</v>
      </c>
      <c r="C23928" s="2" t="str">
        <f t="shared" si="941"/>
        <v>UN</v>
      </c>
      <c r="D23928" s="7">
        <v>804</v>
      </c>
      <c r="E23928" s="3">
        <v>10</v>
      </c>
      <c r="F23928" s="3">
        <v>10</v>
      </c>
      <c r="G23928" t="s">
        <v>513</v>
      </c>
    </row>
    <row r="23929" spans="1:7" x14ac:dyDescent="0.25">
      <c r="A23929" s="1" t="str">
        <f>"511119"</f>
        <v>511119</v>
      </c>
      <c r="B23929" s="2" t="str">
        <f>"TINTA ESMALTE SINT. 3,600 - AZUL CELESTE"</f>
        <v>TINTA ESMALTE SINT. 3,600 - AZUL CELESTE</v>
      </c>
      <c r="C23929" s="2" t="str">
        <f t="shared" si="941"/>
        <v>UN</v>
      </c>
      <c r="D23929" s="7">
        <v>804</v>
      </c>
      <c r="E23929" s="3">
        <v>10</v>
      </c>
      <c r="F23929" s="3">
        <v>10</v>
      </c>
      <c r="G23929" t="s">
        <v>513</v>
      </c>
    </row>
    <row r="23930" spans="1:7" x14ac:dyDescent="0.25">
      <c r="A23930" s="1" t="str">
        <f>"510606"</f>
        <v>510606</v>
      </c>
      <c r="B23930" s="2" t="str">
        <f>"TINTA ESMALTE SINT. 3,600 - BEGE"</f>
        <v>TINTA ESMALTE SINT. 3,600 - BEGE</v>
      </c>
      <c r="C23930" s="2" t="str">
        <f t="shared" si="941"/>
        <v>UN</v>
      </c>
      <c r="D23930" s="7">
        <v>804</v>
      </c>
      <c r="E23930" s="3">
        <v>10</v>
      </c>
      <c r="F23930" s="3">
        <v>10</v>
      </c>
      <c r="G23930" t="s">
        <v>512</v>
      </c>
    </row>
    <row r="23931" spans="1:7" x14ac:dyDescent="0.25">
      <c r="A23931" s="1" t="str">
        <f>"514219"</f>
        <v>514219</v>
      </c>
      <c r="B23931" s="2" t="str">
        <f>"TINTA ESMALTE SINT. 3,600 - BRANCO"</f>
        <v>TINTA ESMALTE SINT. 3,600 - BRANCO</v>
      </c>
      <c r="C23931" s="2" t="str">
        <f t="shared" si="941"/>
        <v>UN</v>
      </c>
      <c r="D23931" s="7">
        <v>804</v>
      </c>
      <c r="E23931" s="3">
        <v>10</v>
      </c>
      <c r="F23931" s="3">
        <v>10</v>
      </c>
      <c r="G23931" t="s">
        <v>513</v>
      </c>
    </row>
    <row r="23932" spans="1:7" x14ac:dyDescent="0.25">
      <c r="A23932" s="1" t="str">
        <f>"511118"</f>
        <v>511118</v>
      </c>
      <c r="B23932" s="2" t="str">
        <f>"TINTA ESMALTE SINT. 3,600 - CINZA ESCURO"</f>
        <v>TINTA ESMALTE SINT. 3,600 - CINZA ESCURO</v>
      </c>
      <c r="C23932" s="2" t="str">
        <f t="shared" ref="C23932:C23956" si="942">"UN"</f>
        <v>UN</v>
      </c>
      <c r="D23932" s="7">
        <v>804</v>
      </c>
      <c r="E23932" s="3">
        <v>10</v>
      </c>
      <c r="F23932" s="3">
        <v>10</v>
      </c>
      <c r="G23932" t="s">
        <v>514</v>
      </c>
    </row>
    <row r="23933" spans="1:7" x14ac:dyDescent="0.25">
      <c r="A23933" s="1" t="str">
        <f>"519931"</f>
        <v>519931</v>
      </c>
      <c r="B23933" s="2" t="str">
        <f>"TINTA ESMALTE SINT. 3,600 - CINZA PLATINA"</f>
        <v>TINTA ESMALTE SINT. 3,600 - CINZA PLATINA</v>
      </c>
      <c r="C23933" s="2" t="str">
        <f t="shared" si="942"/>
        <v>UN</v>
      </c>
      <c r="D23933" s="7">
        <v>403</v>
      </c>
      <c r="E23933" s="3">
        <v>4</v>
      </c>
      <c r="F23933" s="3">
        <v>4</v>
      </c>
      <c r="G23933" t="s">
        <v>515</v>
      </c>
    </row>
    <row r="23934" spans="1:7" x14ac:dyDescent="0.25">
      <c r="A23934" s="1" t="str">
        <f>"508098"</f>
        <v>508098</v>
      </c>
      <c r="B23934" s="2" t="str">
        <f>"TINTA ESMALTE SINT. 3,600 - LARANJA"</f>
        <v>TINTA ESMALTE SINT. 3,600 - LARANJA</v>
      </c>
      <c r="C23934" s="2" t="str">
        <f t="shared" si="942"/>
        <v>UN</v>
      </c>
      <c r="D23934" s="7">
        <v>403</v>
      </c>
      <c r="E23934" s="3">
        <v>4</v>
      </c>
      <c r="F23934" s="3">
        <v>4</v>
      </c>
      <c r="G23934" t="s">
        <v>512</v>
      </c>
    </row>
    <row r="23935" spans="1:7" x14ac:dyDescent="0.25">
      <c r="A23935" s="1" t="str">
        <f>"508097"</f>
        <v>508097</v>
      </c>
      <c r="B23935" s="2" t="str">
        <f>"TINTA ESMALTE SINT. 3,600 - LILAS"</f>
        <v>TINTA ESMALTE SINT. 3,600 - LILAS</v>
      </c>
      <c r="C23935" s="2" t="str">
        <f t="shared" si="942"/>
        <v>UN</v>
      </c>
      <c r="D23935" s="7">
        <v>403</v>
      </c>
      <c r="E23935" s="3">
        <v>4</v>
      </c>
      <c r="F23935" s="3">
        <v>4</v>
      </c>
      <c r="G23935" t="s">
        <v>516</v>
      </c>
    </row>
    <row r="23936" spans="1:7" x14ac:dyDescent="0.25">
      <c r="A23936" s="1" t="str">
        <f>"510829"</f>
        <v>510829</v>
      </c>
      <c r="B23936" s="2" t="str">
        <f>"TINTA ESMALTE SINT. 3,600 - MARFIN"</f>
        <v>TINTA ESMALTE SINT. 3,600 - MARFIN</v>
      </c>
      <c r="C23936" s="2" t="str">
        <f t="shared" si="942"/>
        <v>UN</v>
      </c>
      <c r="D23936" s="7">
        <v>804</v>
      </c>
      <c r="E23936" s="3">
        <v>10</v>
      </c>
      <c r="F23936" s="3">
        <v>10</v>
      </c>
      <c r="G23936" t="s">
        <v>515</v>
      </c>
    </row>
    <row r="23937" spans="1:7" x14ac:dyDescent="0.25">
      <c r="A23937" s="1" t="str">
        <f>"508099"</f>
        <v>508099</v>
      </c>
      <c r="B23937" s="2" t="str">
        <f>"TINTA ESMALTE SINT. 3,600 - MARROM"</f>
        <v>TINTA ESMALTE SINT. 3,600 - MARROM</v>
      </c>
      <c r="C23937" s="2" t="str">
        <f t="shared" si="942"/>
        <v>UN</v>
      </c>
      <c r="D23937" s="7">
        <v>403</v>
      </c>
      <c r="E23937" s="3">
        <v>4</v>
      </c>
      <c r="F23937" s="3">
        <v>4</v>
      </c>
      <c r="G23937" t="s">
        <v>514</v>
      </c>
    </row>
    <row r="23938" spans="1:7" x14ac:dyDescent="0.25">
      <c r="A23938" s="1" t="str">
        <f>"518651"</f>
        <v>518651</v>
      </c>
      <c r="B23938" s="2" t="str">
        <f>"TINTA ESMALTE SINT. 3,600 - PLATINA"</f>
        <v>TINTA ESMALTE SINT. 3,600 - PLATINA</v>
      </c>
      <c r="C23938" s="2" t="str">
        <f t="shared" si="942"/>
        <v>UN</v>
      </c>
      <c r="D23938" s="7">
        <v>917</v>
      </c>
      <c r="E23938" s="3">
        <v>10</v>
      </c>
      <c r="F23938" s="3">
        <v>10</v>
      </c>
      <c r="G23938" t="s">
        <v>512</v>
      </c>
    </row>
    <row r="23939" spans="1:7" x14ac:dyDescent="0.25">
      <c r="A23939" s="1" t="str">
        <f>"516140"</f>
        <v>516140</v>
      </c>
      <c r="B23939" s="2" t="str">
        <f>"TINTA ESMALTE SINT. 3,600 - PRETO"</f>
        <v>TINTA ESMALTE SINT. 3,600 - PRETO</v>
      </c>
      <c r="C23939" s="2" t="str">
        <f t="shared" si="942"/>
        <v>UN</v>
      </c>
      <c r="D23939" s="7">
        <v>917</v>
      </c>
      <c r="E23939" s="3">
        <v>10</v>
      </c>
      <c r="F23939" s="3">
        <v>10</v>
      </c>
      <c r="G23939" t="s">
        <v>513</v>
      </c>
    </row>
    <row r="23940" spans="1:7" x14ac:dyDescent="0.25">
      <c r="A23940" s="1" t="str">
        <f>"518318"</f>
        <v>518318</v>
      </c>
      <c r="B23940" s="2" t="str">
        <f>"TINTA ESMALTE SINT. 3,600 - VERDE COLONIAL"</f>
        <v>TINTA ESMALTE SINT. 3,600 - VERDE COLONIAL</v>
      </c>
      <c r="C23940" s="2" t="str">
        <f t="shared" si="942"/>
        <v>UN</v>
      </c>
      <c r="D23940" s="7">
        <v>804</v>
      </c>
      <c r="E23940" s="3">
        <v>10</v>
      </c>
      <c r="F23940" s="3">
        <v>10</v>
      </c>
      <c r="G23940" t="s">
        <v>514</v>
      </c>
    </row>
    <row r="23941" spans="1:7" x14ac:dyDescent="0.25">
      <c r="A23941" s="1" t="str">
        <f>"518722"</f>
        <v>518722</v>
      </c>
      <c r="B23941" s="2" t="str">
        <f>"TINTA ESMALTE SINT. 3,600 - VERDE ESCOLAR"</f>
        <v>TINTA ESMALTE SINT. 3,600 - VERDE ESCOLAR</v>
      </c>
      <c r="C23941" s="2" t="str">
        <f t="shared" si="942"/>
        <v>UN</v>
      </c>
      <c r="D23941" s="7">
        <v>804</v>
      </c>
      <c r="E23941" s="3">
        <v>10</v>
      </c>
      <c r="F23941" s="3">
        <v>10</v>
      </c>
      <c r="G23941" t="s">
        <v>514</v>
      </c>
    </row>
    <row r="23942" spans="1:7" x14ac:dyDescent="0.25">
      <c r="A23942" s="1" t="str">
        <f>"508104"</f>
        <v>508104</v>
      </c>
      <c r="B23942" s="2" t="str">
        <f>"TINTA ESMALTE SINT. 3,600 - VERDE FOLHA"</f>
        <v>TINTA ESMALTE SINT. 3,600 - VERDE FOLHA</v>
      </c>
      <c r="C23942" s="2" t="str">
        <f t="shared" si="942"/>
        <v>UN</v>
      </c>
      <c r="D23942" s="7">
        <v>804</v>
      </c>
      <c r="E23942" s="3">
        <v>10</v>
      </c>
      <c r="F23942" s="3">
        <v>10</v>
      </c>
      <c r="G23942" t="s">
        <v>512</v>
      </c>
    </row>
    <row r="23943" spans="1:7" x14ac:dyDescent="0.25">
      <c r="A23943" s="1" t="str">
        <f>"500409"</f>
        <v>500409</v>
      </c>
      <c r="B23943" s="2" t="str">
        <f>"TINTA ESMALTE SINT. 3,600 - VERMELHO"</f>
        <v>TINTA ESMALTE SINT. 3,600 - VERMELHO</v>
      </c>
      <c r="C23943" s="2" t="str">
        <f t="shared" si="942"/>
        <v>UN</v>
      </c>
      <c r="D23943" s="7">
        <v>403</v>
      </c>
      <c r="E23943" s="3">
        <v>4</v>
      </c>
      <c r="F23943" s="3">
        <v>4</v>
      </c>
      <c r="G23943" t="s">
        <v>513</v>
      </c>
    </row>
    <row r="23944" spans="1:7" x14ac:dyDescent="0.25">
      <c r="A23944" s="1" t="str">
        <f>"512865"</f>
        <v>512865</v>
      </c>
      <c r="B23944" s="2" t="str">
        <f>"TINTA ESMALTE SINT. 3,600 - VERMELHO ALTA TEMPERATURA"</f>
        <v>TINTA ESMALTE SINT. 3,600 - VERMELHO ALTA TEMPERATURA</v>
      </c>
      <c r="C23944" s="2" t="str">
        <f t="shared" si="942"/>
        <v>UN</v>
      </c>
      <c r="D23944" s="7">
        <v>403</v>
      </c>
      <c r="E23944" s="3">
        <v>4</v>
      </c>
      <c r="F23944" s="3">
        <v>4</v>
      </c>
      <c r="G23944" t="s">
        <v>514</v>
      </c>
    </row>
    <row r="23945" spans="1:7" x14ac:dyDescent="0.25">
      <c r="A23945" s="1" t="str">
        <f>"512503"</f>
        <v>512503</v>
      </c>
      <c r="B23945" s="2" t="str">
        <f>"TINTA ESMALTE SINT. 3,600 - Y-106"</f>
        <v>TINTA ESMALTE SINT. 3,600 - Y-106</v>
      </c>
      <c r="C23945" s="2" t="str">
        <f t="shared" si="942"/>
        <v>UN</v>
      </c>
      <c r="D23945" s="7">
        <v>804</v>
      </c>
      <c r="E23945" s="3">
        <v>10</v>
      </c>
      <c r="F23945" s="3">
        <v>10</v>
      </c>
      <c r="G23945" t="s">
        <v>514</v>
      </c>
    </row>
    <row r="23946" spans="1:7" x14ac:dyDescent="0.25">
      <c r="A23946" s="1" t="str">
        <f>"511580"</f>
        <v>511580</v>
      </c>
      <c r="B23946" s="2" t="str">
        <f>"TINTA ESMALTE SINT. 3,600 BEGE BOMBA"</f>
        <v>TINTA ESMALTE SINT. 3,600 BEGE BOMBA</v>
      </c>
      <c r="C23946" s="2" t="str">
        <f t="shared" si="942"/>
        <v>UN</v>
      </c>
      <c r="D23946" s="7">
        <v>804</v>
      </c>
      <c r="E23946" s="3">
        <v>10</v>
      </c>
      <c r="F23946" s="3">
        <v>10</v>
      </c>
      <c r="G23946" t="s">
        <v>514</v>
      </c>
    </row>
    <row r="23947" spans="1:7" x14ac:dyDescent="0.25">
      <c r="A23947" s="1" t="str">
        <f>"511581"</f>
        <v>511581</v>
      </c>
      <c r="B23947" s="2" t="str">
        <f>"TINTA ESMALTE SINT. 3,600 BEGE PAINEL"</f>
        <v>TINTA ESMALTE SINT. 3,600 BEGE PAINEL</v>
      </c>
      <c r="C23947" s="2" t="str">
        <f t="shared" si="942"/>
        <v>UN</v>
      </c>
      <c r="D23947" s="7">
        <v>804</v>
      </c>
      <c r="E23947" s="3">
        <v>10</v>
      </c>
      <c r="F23947" s="3">
        <v>10</v>
      </c>
      <c r="G23947" t="s">
        <v>513</v>
      </c>
    </row>
    <row r="23948" spans="1:7" x14ac:dyDescent="0.25">
      <c r="A23948" s="1" t="str">
        <f>"500159"</f>
        <v>500159</v>
      </c>
      <c r="B23948" s="2" t="str">
        <f>"TINTA ESMALTE SINT. 900 ML - BRANCO"</f>
        <v>TINTA ESMALTE SINT. 900 ML - BRANCO</v>
      </c>
      <c r="C23948" s="2" t="str">
        <f t="shared" si="942"/>
        <v>UN</v>
      </c>
      <c r="D23948" s="7">
        <v>403</v>
      </c>
      <c r="E23948" s="3">
        <v>4</v>
      </c>
      <c r="F23948" s="3">
        <v>4</v>
      </c>
      <c r="G23948" t="s">
        <v>512</v>
      </c>
    </row>
    <row r="23949" spans="1:7" x14ac:dyDescent="0.25">
      <c r="A23949" s="1" t="str">
        <f>"502171"</f>
        <v>502171</v>
      </c>
      <c r="B23949" s="2" t="str">
        <f>"TINTA ESMALTE SINT. 900 ML - PRETO FOSCO"</f>
        <v>TINTA ESMALTE SINT. 900 ML - PRETO FOSCO</v>
      </c>
      <c r="C23949" s="2" t="str">
        <f t="shared" si="942"/>
        <v>UN</v>
      </c>
      <c r="D23949" s="7">
        <v>403</v>
      </c>
      <c r="E23949" s="3">
        <v>4</v>
      </c>
      <c r="F23949" s="3">
        <v>4</v>
      </c>
      <c r="G23949" t="s">
        <v>513</v>
      </c>
    </row>
    <row r="23950" spans="1:7" x14ac:dyDescent="0.25">
      <c r="A23950" s="1" t="str">
        <f>"511184"</f>
        <v>511184</v>
      </c>
      <c r="B23950" s="2" t="str">
        <f>"TINTA ESMANTE SINT.ANJO AZUL DEL REY AUT"</f>
        <v>TINTA ESMANTE SINT.ANJO AZUL DEL REY AUT</v>
      </c>
      <c r="C23950" s="2" t="str">
        <f t="shared" si="942"/>
        <v>UN</v>
      </c>
      <c r="D23950" s="7">
        <v>804</v>
      </c>
      <c r="E23950" s="3">
        <v>10</v>
      </c>
      <c r="F23950" s="3">
        <v>10</v>
      </c>
      <c r="G23950" t="s">
        <v>514</v>
      </c>
    </row>
    <row r="23951" spans="1:7" x14ac:dyDescent="0.25">
      <c r="A23951" s="1" t="str">
        <f>"520356"</f>
        <v>520356</v>
      </c>
      <c r="B23951" s="2" t="str">
        <f>"TINTA FOSCO PARA BASE"</f>
        <v>TINTA FOSCO PARA BASE</v>
      </c>
      <c r="C23951" s="2" t="str">
        <f t="shared" si="942"/>
        <v>UN</v>
      </c>
      <c r="D23951" s="7">
        <v>917</v>
      </c>
      <c r="E23951" s="3">
        <v>4</v>
      </c>
      <c r="F23951" s="3">
        <v>4</v>
      </c>
      <c r="G23951" t="s">
        <v>514</v>
      </c>
    </row>
    <row r="23952" spans="1:7" x14ac:dyDescent="0.25">
      <c r="A23952" s="1" t="str">
        <f>"509521"</f>
        <v>509521</v>
      </c>
      <c r="B23952" s="2" t="str">
        <f>"TINTA FUNDO ACABAMENTO AZUL DEL REY"</f>
        <v>TINTA FUNDO ACABAMENTO AZUL DEL REY</v>
      </c>
      <c r="C23952" s="2" t="str">
        <f t="shared" si="942"/>
        <v>UN</v>
      </c>
      <c r="D23952" s="7">
        <v>917</v>
      </c>
      <c r="E23952" s="3">
        <v>11</v>
      </c>
      <c r="F23952" s="3">
        <v>11</v>
      </c>
      <c r="G23952" t="s">
        <v>514</v>
      </c>
    </row>
    <row r="23953" spans="1:7" x14ac:dyDescent="0.25">
      <c r="A23953" s="1" t="str">
        <f>"501687"</f>
        <v>501687</v>
      </c>
      <c r="B23953" s="2" t="str">
        <f>"TINTA FUNDO PRIMER COR CINZA UNIVERSAL"</f>
        <v>TINTA FUNDO PRIMER COR CINZA UNIVERSAL</v>
      </c>
      <c r="C23953" s="2" t="str">
        <f t="shared" si="942"/>
        <v>UN</v>
      </c>
      <c r="D23953" s="7">
        <v>403</v>
      </c>
      <c r="E23953" s="3">
        <v>4</v>
      </c>
      <c r="F23953" s="3">
        <v>4</v>
      </c>
      <c r="G23953" t="s">
        <v>513</v>
      </c>
    </row>
    <row r="23954" spans="1:7" x14ac:dyDescent="0.25">
      <c r="A23954" s="1" t="str">
        <f>"503777"</f>
        <v>503777</v>
      </c>
      <c r="B23954" s="2" t="str">
        <f>"TINTA GALVANITE P/ APLICACAO GALVANIZADO"</f>
        <v>TINTA GALVANITE P/ APLICACAO GALVANIZADO</v>
      </c>
      <c r="C23954" s="2" t="str">
        <f t="shared" si="942"/>
        <v>UN</v>
      </c>
      <c r="D23954" s="7">
        <v>403</v>
      </c>
      <c r="E23954" s="3">
        <v>4</v>
      </c>
      <c r="F23954" s="3">
        <v>4</v>
      </c>
      <c r="G23954" t="s">
        <v>513</v>
      </c>
    </row>
    <row r="23955" spans="1:7" x14ac:dyDescent="0.25">
      <c r="A23955" s="1" t="str">
        <f>"505111"</f>
        <v>505111</v>
      </c>
      <c r="B23955" s="2" t="str">
        <f>"TINTA GLASIRIT 18LTS"</f>
        <v>TINTA GLASIRIT 18LTS</v>
      </c>
      <c r="C23955" s="2" t="str">
        <f t="shared" si="942"/>
        <v>UN</v>
      </c>
      <c r="D23955" s="7">
        <v>403</v>
      </c>
      <c r="E23955" s="3">
        <v>4</v>
      </c>
      <c r="F23955" s="3">
        <v>4</v>
      </c>
      <c r="G23955" t="s">
        <v>513</v>
      </c>
    </row>
    <row r="23956" spans="1:7" x14ac:dyDescent="0.25">
      <c r="A23956" s="1" t="str">
        <f>"515190"</f>
        <v>515190</v>
      </c>
      <c r="B23956" s="2" t="str">
        <f>"TINTA GUACHE"</f>
        <v>TINTA GUACHE</v>
      </c>
      <c r="C23956" s="2" t="str">
        <f t="shared" si="942"/>
        <v>UN</v>
      </c>
      <c r="D23956" s="7">
        <v>401</v>
      </c>
      <c r="E23956" s="3">
        <v>4</v>
      </c>
      <c r="F23956" s="3">
        <v>4</v>
      </c>
      <c r="G23956" t="s">
        <v>512</v>
      </c>
    </row>
    <row r="23957" spans="1:7" x14ac:dyDescent="0.25">
      <c r="A23957" s="1" t="str">
        <f>"183"</f>
        <v>183</v>
      </c>
      <c r="B23957" s="2" t="str">
        <f>"TINTA INK-JET - COD. 16-8530Q"</f>
        <v>TINTA INK-JET - COD. 16-8530Q</v>
      </c>
      <c r="C23957" s="2" t="str">
        <f>"LT"</f>
        <v>LT</v>
      </c>
      <c r="D23957" s="7">
        <v>305</v>
      </c>
      <c r="E23957" s="3">
        <v>3</v>
      </c>
      <c r="F23957" s="3">
        <v>3</v>
      </c>
      <c r="G23957" t="s">
        <v>513</v>
      </c>
    </row>
    <row r="23958" spans="1:7" x14ac:dyDescent="0.25">
      <c r="A23958" s="1" t="str">
        <f>"508478"</f>
        <v>508478</v>
      </c>
      <c r="B23958" s="2" t="str">
        <f>"TINTA KISALUX 2512 PRETO FOSCO"</f>
        <v>TINTA KISALUX 2512 PRETO FOSCO</v>
      </c>
      <c r="C23958" s="2" t="str">
        <f>"UN"</f>
        <v>UN</v>
      </c>
      <c r="D23958" s="7">
        <v>704</v>
      </c>
      <c r="E23958" s="3">
        <v>9</v>
      </c>
      <c r="F23958" s="3">
        <v>9</v>
      </c>
      <c r="G23958" t="s">
        <v>514</v>
      </c>
    </row>
    <row r="23959" spans="1:7" x14ac:dyDescent="0.25">
      <c r="A23959" s="1" t="str">
        <f>"508307"</f>
        <v>508307</v>
      </c>
      <c r="B23959" s="2" t="str">
        <f>"TINTA KISALUX ALUMINIO  OPALESCENTE 2507"</f>
        <v>TINTA KISALUX ALUMINIO  OPALESCENTE 2507</v>
      </c>
      <c r="C23959" s="2" t="str">
        <f>"UN"</f>
        <v>UN</v>
      </c>
      <c r="D23959" s="7">
        <v>704</v>
      </c>
      <c r="E23959" s="3">
        <v>9</v>
      </c>
      <c r="F23959" s="3">
        <v>9</v>
      </c>
      <c r="G23959" t="s">
        <v>515</v>
      </c>
    </row>
    <row r="23960" spans="1:7" x14ac:dyDescent="0.25">
      <c r="A23960" s="1" t="str">
        <f>"508812"</f>
        <v>508812</v>
      </c>
      <c r="B23960" s="2" t="str">
        <f>"TINTA KISALUX BRANCO 2501"</f>
        <v>TINTA KISALUX BRANCO 2501</v>
      </c>
      <c r="C23960" s="2" t="str">
        <f>"UN"</f>
        <v>UN</v>
      </c>
      <c r="D23960" s="7">
        <v>804</v>
      </c>
      <c r="E23960" s="3">
        <v>10</v>
      </c>
      <c r="F23960" s="3">
        <v>10</v>
      </c>
      <c r="G23960" t="s">
        <v>512</v>
      </c>
    </row>
    <row r="23961" spans="1:7" x14ac:dyDescent="0.25">
      <c r="A23961" s="1" t="str">
        <f>"522397"</f>
        <v>522397</v>
      </c>
      <c r="B23961" s="2" t="str">
        <f>"TINTA LACA P/ RODAS ALUMINIO"</f>
        <v>TINTA LACA P/ RODAS ALUMINIO</v>
      </c>
      <c r="C23961" s="2" t="str">
        <f>"UN"</f>
        <v>UN</v>
      </c>
      <c r="D23961" s="7">
        <v>99999</v>
      </c>
      <c r="E23961" s="3">
        <v>99</v>
      </c>
      <c r="F23961" s="3">
        <v>99</v>
      </c>
      <c r="G23961" t="s">
        <v>516</v>
      </c>
    </row>
    <row r="23962" spans="1:7" x14ac:dyDescent="0.25">
      <c r="A23962" s="1" t="str">
        <f>"508477"</f>
        <v>508477</v>
      </c>
      <c r="B23962" s="2" t="str">
        <f>"TINTA LACKPOXI 36 CROMATO DE ZINCO VERDE"</f>
        <v>TINTA LACKPOXI 36 CROMATO DE ZINCO VERDE</v>
      </c>
      <c r="C23962" s="2" t="str">
        <f>"UN"</f>
        <v>UN</v>
      </c>
      <c r="D23962" s="7">
        <v>704</v>
      </c>
      <c r="E23962" s="3">
        <v>9</v>
      </c>
      <c r="F23962" s="3">
        <v>9</v>
      </c>
      <c r="G23962" t="s">
        <v>515</v>
      </c>
    </row>
    <row r="23963" spans="1:7" x14ac:dyDescent="0.25">
      <c r="A23963" s="1" t="str">
        <f>"500071"</f>
        <v>500071</v>
      </c>
      <c r="B23963" s="2" t="str">
        <f>"TINTA LATEX ACRILICA LAVAVEL BRANCO GELO 18L"</f>
        <v>TINTA LATEX ACRILICA LAVAVEL BRANCO GELO 18L</v>
      </c>
      <c r="C23963" s="2" t="str">
        <f>"PC"</f>
        <v>PC</v>
      </c>
      <c r="D23963" s="7">
        <v>403</v>
      </c>
      <c r="E23963" s="3">
        <v>4</v>
      </c>
      <c r="F23963" s="3">
        <v>4</v>
      </c>
      <c r="G23963" t="s">
        <v>514</v>
      </c>
    </row>
    <row r="23964" spans="1:7" x14ac:dyDescent="0.25">
      <c r="A23964" s="1" t="str">
        <f>"503860"</f>
        <v>503860</v>
      </c>
      <c r="B23964" s="2" t="str">
        <f>"TINTA LATEX BRANCO SUVINIL 3,6LT"</f>
        <v>TINTA LATEX BRANCO SUVINIL 3,6LT</v>
      </c>
      <c r="C23964" s="2" t="str">
        <f>"UN"</f>
        <v>UN</v>
      </c>
      <c r="D23964" s="7">
        <v>403</v>
      </c>
      <c r="E23964" s="3">
        <v>4</v>
      </c>
      <c r="F23964" s="3">
        <v>4</v>
      </c>
      <c r="G23964" t="s">
        <v>512</v>
      </c>
    </row>
    <row r="23965" spans="1:7" x14ac:dyDescent="0.25">
      <c r="A23965" s="1" t="str">
        <f>"518502"</f>
        <v>518502</v>
      </c>
      <c r="B23965" s="2" t="str">
        <f>"TINTA LATEX CAMURÇA 18LT"</f>
        <v>TINTA LATEX CAMURÇA 18LT</v>
      </c>
      <c r="C23965" s="2" t="str">
        <f>"UN"</f>
        <v>UN</v>
      </c>
      <c r="D23965" s="7">
        <v>804</v>
      </c>
      <c r="E23965" s="3">
        <v>10</v>
      </c>
      <c r="F23965" s="3">
        <v>10</v>
      </c>
      <c r="G23965" t="s">
        <v>513</v>
      </c>
    </row>
    <row r="23966" spans="1:7" x14ac:dyDescent="0.25">
      <c r="A23966" s="1" t="str">
        <f>"505052"</f>
        <v>505052</v>
      </c>
      <c r="B23966" s="2" t="str">
        <f>"TINTA LATEX CONCRETO 18LT"</f>
        <v>TINTA LATEX CONCRETO 18LT</v>
      </c>
      <c r="C23966" s="2" t="str">
        <f>"UN"</f>
        <v>UN</v>
      </c>
      <c r="D23966" s="7">
        <v>403</v>
      </c>
      <c r="E23966" s="3">
        <v>4</v>
      </c>
      <c r="F23966" s="3">
        <v>4</v>
      </c>
      <c r="G23966" t="s">
        <v>514</v>
      </c>
    </row>
    <row r="23967" spans="1:7" x14ac:dyDescent="0.25">
      <c r="A23967" s="1" t="str">
        <f>"510830"</f>
        <v>510830</v>
      </c>
      <c r="B23967" s="2" t="str">
        <f>"TINTA LATEX MARFIN 3,600"</f>
        <v>TINTA LATEX MARFIN 3,600</v>
      </c>
      <c r="C23967" s="2" t="str">
        <f>"UN"</f>
        <v>UN</v>
      </c>
      <c r="D23967" s="7">
        <v>804</v>
      </c>
      <c r="E23967" s="3">
        <v>10</v>
      </c>
      <c r="F23967" s="3">
        <v>10</v>
      </c>
      <c r="G23967" t="s">
        <v>514</v>
      </c>
    </row>
    <row r="23968" spans="1:7" x14ac:dyDescent="0.25">
      <c r="A23968" s="1" t="str">
        <f>"7025"</f>
        <v>7025</v>
      </c>
      <c r="B23968" s="2" t="str">
        <f>"TINTA MEK PRETA IMPRESSORA 1510"</f>
        <v>TINTA MEK PRETA IMPRESSORA 1510</v>
      </c>
      <c r="C23968" s="2" t="str">
        <f>"LT"</f>
        <v>LT</v>
      </c>
      <c r="D23968" s="7">
        <v>305</v>
      </c>
      <c r="E23968" s="3">
        <v>3</v>
      </c>
      <c r="F23968" s="3">
        <v>3</v>
      </c>
      <c r="G23968" t="s">
        <v>512</v>
      </c>
    </row>
    <row r="23969" spans="1:7" x14ac:dyDescent="0.25">
      <c r="A23969" s="1" t="str">
        <f>"501755"</f>
        <v>501755</v>
      </c>
      <c r="B23969" s="2" t="str">
        <f>"TINTA METALATEX BACTERKILL BRANCO 01"</f>
        <v>TINTA METALATEX BACTERKILL BRANCO 01</v>
      </c>
      <c r="C23969" s="2" t="str">
        <f>"UN"</f>
        <v>UN</v>
      </c>
      <c r="D23969" s="7">
        <v>403</v>
      </c>
      <c r="E23969" s="3">
        <v>4</v>
      </c>
      <c r="F23969" s="3">
        <v>4</v>
      </c>
      <c r="G23969" t="s">
        <v>513</v>
      </c>
    </row>
    <row r="23970" spans="1:7" x14ac:dyDescent="0.25">
      <c r="A23970" s="1" t="str">
        <f>"501754"</f>
        <v>501754</v>
      </c>
      <c r="B23970" s="2" t="str">
        <f>"TINTA METALATEX SB BEGE 01"</f>
        <v>TINTA METALATEX SB BEGE 01</v>
      </c>
      <c r="C23970" s="2" t="str">
        <f>"UN"</f>
        <v>UN</v>
      </c>
      <c r="D23970" s="7">
        <v>403</v>
      </c>
      <c r="E23970" s="3">
        <v>4</v>
      </c>
      <c r="F23970" s="3">
        <v>4</v>
      </c>
      <c r="G23970" t="s">
        <v>514</v>
      </c>
    </row>
    <row r="23971" spans="1:7" x14ac:dyDescent="0.25">
      <c r="A23971" s="1" t="str">
        <f>"503794"</f>
        <v>503794</v>
      </c>
      <c r="B23971" s="2" t="str">
        <f>"TINTA OSMOCOLOR MONTANA NATURAL 3.600"</f>
        <v>TINTA OSMOCOLOR MONTANA NATURAL 3.600</v>
      </c>
      <c r="C23971" s="2" t="str">
        <f>"UN"</f>
        <v>UN</v>
      </c>
      <c r="D23971" s="7">
        <v>403</v>
      </c>
      <c r="E23971" s="3">
        <v>4</v>
      </c>
      <c r="F23971" s="3">
        <v>4</v>
      </c>
      <c r="G23971" t="s">
        <v>514</v>
      </c>
    </row>
    <row r="23972" spans="1:7" x14ac:dyDescent="0.25">
      <c r="A23972" s="1" t="str">
        <f>"2259"</f>
        <v>2259</v>
      </c>
      <c r="B23972" s="2" t="str">
        <f>"TINTA P/ CARIMBO AZUL 40ML"</f>
        <v>TINTA P/ CARIMBO AZUL 40ML</v>
      </c>
      <c r="C23972" s="2" t="str">
        <f>"PC"</f>
        <v>PC</v>
      </c>
      <c r="D23972" s="7">
        <v>401</v>
      </c>
      <c r="E23972" s="3">
        <v>4</v>
      </c>
      <c r="F23972" s="3">
        <v>4</v>
      </c>
      <c r="G23972" t="s">
        <v>514</v>
      </c>
    </row>
    <row r="23973" spans="1:7" x14ac:dyDescent="0.25">
      <c r="A23973" s="1" t="str">
        <f>"2250"</f>
        <v>2250</v>
      </c>
      <c r="B23973" s="2" t="str">
        <f>"TINTA P/ CARIMBO PRETA 40ML"</f>
        <v>TINTA P/ CARIMBO PRETA 40ML</v>
      </c>
      <c r="C23973" s="2" t="str">
        <f>"PC"</f>
        <v>PC</v>
      </c>
      <c r="D23973" s="7">
        <v>401</v>
      </c>
      <c r="E23973" s="3">
        <v>4</v>
      </c>
      <c r="F23973" s="3">
        <v>4</v>
      </c>
      <c r="G23973" t="s">
        <v>513</v>
      </c>
    </row>
    <row r="23974" spans="1:7" x14ac:dyDescent="0.25">
      <c r="A23974" s="1" t="str">
        <f>"513769"</f>
        <v>513769</v>
      </c>
      <c r="B23974" s="2" t="str">
        <f>"TINTA PARA CARIMBO"</f>
        <v>TINTA PARA CARIMBO</v>
      </c>
      <c r="C23974" s="2" t="str">
        <f t="shared" ref="C23974:C23983" si="943">"UN"</f>
        <v>UN</v>
      </c>
      <c r="D23974" s="7">
        <v>401</v>
      </c>
      <c r="E23974" s="3">
        <v>4</v>
      </c>
      <c r="F23974" s="3">
        <v>4</v>
      </c>
      <c r="G23974" t="s">
        <v>512</v>
      </c>
    </row>
    <row r="23975" spans="1:7" x14ac:dyDescent="0.25">
      <c r="A23975" s="1" t="str">
        <f>"515042"</f>
        <v>515042</v>
      </c>
      <c r="B23975" s="2" t="str">
        <f>"TINTA PARA TECIDO"</f>
        <v>TINTA PARA TECIDO</v>
      </c>
      <c r="C23975" s="2" t="str">
        <f t="shared" si="943"/>
        <v>UN</v>
      </c>
      <c r="D23975" s="7">
        <v>401</v>
      </c>
      <c r="E23975" s="3">
        <v>4</v>
      </c>
      <c r="F23975" s="3">
        <v>4</v>
      </c>
      <c r="G23975" t="s">
        <v>513</v>
      </c>
    </row>
    <row r="23976" spans="1:7" x14ac:dyDescent="0.25">
      <c r="A23976" s="1" t="str">
        <f>"507503"</f>
        <v>507503</v>
      </c>
      <c r="B23976" s="2" t="str">
        <f>"TINTA PISO AMARELO DELICIA DE MILHO 3,6"</f>
        <v>TINTA PISO AMARELO DELICIA DE MILHO 3,6</v>
      </c>
      <c r="C23976" s="2" t="str">
        <f t="shared" si="943"/>
        <v>UN</v>
      </c>
      <c r="D23976" s="7">
        <v>804</v>
      </c>
      <c r="E23976" s="3">
        <v>10</v>
      </c>
      <c r="F23976" s="3">
        <v>10</v>
      </c>
      <c r="G23976" t="s">
        <v>514</v>
      </c>
    </row>
    <row r="23977" spans="1:7" x14ac:dyDescent="0.25">
      <c r="A23977" s="1" t="str">
        <f>"500440"</f>
        <v>500440</v>
      </c>
      <c r="B23977" s="2" t="str">
        <f>"TINTA PISO CINZA 18L"</f>
        <v>TINTA PISO CINZA 18L</v>
      </c>
      <c r="C23977" s="2" t="str">
        <f t="shared" si="943"/>
        <v>UN</v>
      </c>
      <c r="D23977" s="7">
        <v>403</v>
      </c>
      <c r="E23977" s="3">
        <v>4</v>
      </c>
      <c r="F23977" s="3">
        <v>4</v>
      </c>
      <c r="G23977" t="s">
        <v>514</v>
      </c>
    </row>
    <row r="23978" spans="1:7" x14ac:dyDescent="0.25">
      <c r="A23978" s="1" t="str">
        <f>"516571"</f>
        <v>516571</v>
      </c>
      <c r="B23978" s="2" t="str">
        <f>"TINTA PÓ 0002 AMARELO OURO TOTAL"</f>
        <v>TINTA PÓ 0002 AMARELO OURO TOTAL</v>
      </c>
      <c r="C23978" s="2" t="str">
        <f t="shared" si="943"/>
        <v>UN</v>
      </c>
      <c r="D23978" s="7">
        <v>804</v>
      </c>
      <c r="E23978" s="3">
        <v>10</v>
      </c>
      <c r="F23978" s="3">
        <v>10</v>
      </c>
      <c r="G23978" t="s">
        <v>514</v>
      </c>
    </row>
    <row r="23979" spans="1:7" x14ac:dyDescent="0.25">
      <c r="A23979" s="1" t="str">
        <f>"516570"</f>
        <v>516570</v>
      </c>
      <c r="B23979" s="2" t="str">
        <f>"TINTA PÓ 0195 CINZA RAL TEXTURIZADO"</f>
        <v>TINTA PÓ 0195 CINZA RAL TEXTURIZADO</v>
      </c>
      <c r="C23979" s="2" t="str">
        <f t="shared" si="943"/>
        <v>UN</v>
      </c>
      <c r="D23979" s="7">
        <v>804</v>
      </c>
      <c r="E23979" s="3">
        <v>10</v>
      </c>
      <c r="F23979" s="3">
        <v>10</v>
      </c>
      <c r="G23979" t="s">
        <v>513</v>
      </c>
    </row>
    <row r="23980" spans="1:7" x14ac:dyDescent="0.25">
      <c r="A23980" s="1" t="str">
        <f>"516569"</f>
        <v>516569</v>
      </c>
      <c r="B23980" s="2" t="str">
        <f>"TINTA PÓ 0199 BEGE MEDIO TEXTURIZADO"</f>
        <v>TINTA PÓ 0199 BEGE MEDIO TEXTURIZADO</v>
      </c>
      <c r="C23980" s="2" t="str">
        <f t="shared" si="943"/>
        <v>UN</v>
      </c>
      <c r="D23980" s="7">
        <v>804</v>
      </c>
      <c r="E23980" s="3">
        <v>10</v>
      </c>
      <c r="F23980" s="3">
        <v>10</v>
      </c>
      <c r="G23980" t="s">
        <v>513</v>
      </c>
    </row>
    <row r="23981" spans="1:7" x14ac:dyDescent="0.25">
      <c r="A23981" s="1" t="str">
        <f>"518983"</f>
        <v>518983</v>
      </c>
      <c r="B23981" s="2" t="str">
        <f>"TINTA PRATA GEADA"</f>
        <v>TINTA PRATA GEADA</v>
      </c>
      <c r="C23981" s="2" t="str">
        <f t="shared" si="943"/>
        <v>UN</v>
      </c>
      <c r="D23981" s="7">
        <v>403</v>
      </c>
      <c r="E23981" s="3">
        <v>4</v>
      </c>
      <c r="F23981" s="3">
        <v>4</v>
      </c>
      <c r="G23981" t="s">
        <v>513</v>
      </c>
    </row>
    <row r="23982" spans="1:7" x14ac:dyDescent="0.25">
      <c r="A23982" s="1" t="str">
        <f>"501892"</f>
        <v>501892</v>
      </c>
      <c r="B23982" s="2" t="str">
        <f>"TINTA PRETA CADILLAC"</f>
        <v>TINTA PRETA CADILLAC</v>
      </c>
      <c r="C23982" s="2" t="str">
        <f t="shared" si="943"/>
        <v>UN</v>
      </c>
      <c r="D23982" s="7">
        <v>403</v>
      </c>
      <c r="E23982" s="3">
        <v>4</v>
      </c>
      <c r="F23982" s="3">
        <v>4</v>
      </c>
      <c r="G23982" t="s">
        <v>512</v>
      </c>
    </row>
    <row r="23983" spans="1:7" x14ac:dyDescent="0.25">
      <c r="A23983" s="1" t="str">
        <f>"501893"</f>
        <v>501893</v>
      </c>
      <c r="B23983" s="2" t="str">
        <f>"TINTA PRETA FOSCA"</f>
        <v>TINTA PRETA FOSCA</v>
      </c>
      <c r="C23983" s="2" t="str">
        <f t="shared" si="943"/>
        <v>UN</v>
      </c>
      <c r="D23983" s="7">
        <v>99999</v>
      </c>
      <c r="E23983" s="3">
        <v>99</v>
      </c>
      <c r="F23983" s="3">
        <v>99</v>
      </c>
      <c r="G23983" t="s">
        <v>513</v>
      </c>
    </row>
    <row r="23984" spans="1:7" x14ac:dyDescent="0.25">
      <c r="A23984" s="1" t="str">
        <f>"510012"</f>
        <v>510012</v>
      </c>
      <c r="B23984" s="2" t="str">
        <f>"TINTA PRETA PADRAO B.MEK 1000ML 5135"</f>
        <v>TINTA PRETA PADRAO B.MEK 1000ML 5135</v>
      </c>
      <c r="C23984" s="2" t="str">
        <f>"LT"</f>
        <v>LT</v>
      </c>
      <c r="D23984" s="7">
        <v>402</v>
      </c>
      <c r="E23984" s="3">
        <v>4</v>
      </c>
      <c r="F23984" s="3">
        <v>4</v>
      </c>
      <c r="G23984" t="s">
        <v>514</v>
      </c>
    </row>
    <row r="23985" spans="1:7" x14ac:dyDescent="0.25">
      <c r="A23985" s="1" t="str">
        <f>"6419"</f>
        <v>6419</v>
      </c>
      <c r="B23985" s="2" t="str">
        <f>"TINTA PRETA PADRAO B.MEK 1000ML 5135"</f>
        <v>TINTA PRETA PADRAO B.MEK 1000ML 5135</v>
      </c>
      <c r="C23985" s="2" t="str">
        <f t="shared" ref="C23985:C24015" si="944">"UN"</f>
        <v>UN</v>
      </c>
      <c r="D23985" s="7">
        <v>400</v>
      </c>
      <c r="E23985" s="3">
        <v>4</v>
      </c>
      <c r="F23985" s="3">
        <v>4</v>
      </c>
      <c r="G23985" t="s">
        <v>515</v>
      </c>
    </row>
    <row r="23986" spans="1:7" x14ac:dyDescent="0.25">
      <c r="A23986" s="1" t="str">
        <f>"518970"</f>
        <v>518970</v>
      </c>
      <c r="B23986" s="2" t="str">
        <f>"TINTA PRETA PRATA LUNAR"</f>
        <v>TINTA PRETA PRATA LUNAR</v>
      </c>
      <c r="C23986" s="2" t="str">
        <f t="shared" si="944"/>
        <v>UN</v>
      </c>
      <c r="D23986" s="7">
        <v>403</v>
      </c>
      <c r="E23986" s="3">
        <v>4</v>
      </c>
      <c r="F23986" s="3">
        <v>4</v>
      </c>
      <c r="G23986" t="s">
        <v>512</v>
      </c>
    </row>
    <row r="23987" spans="1:7" x14ac:dyDescent="0.25">
      <c r="A23987" s="1" t="str">
        <f>"518971"</f>
        <v>518971</v>
      </c>
      <c r="B23987" s="2" t="str">
        <f>"TINTA PRETA VENUSIO"</f>
        <v>TINTA PRETA VENUSIO</v>
      </c>
      <c r="C23987" s="2" t="str">
        <f t="shared" si="944"/>
        <v>UN</v>
      </c>
      <c r="D23987" s="7">
        <v>403</v>
      </c>
      <c r="E23987" s="3">
        <v>4</v>
      </c>
      <c r="F23987" s="3">
        <v>4</v>
      </c>
      <c r="G23987" t="s">
        <v>516</v>
      </c>
    </row>
    <row r="23988" spans="1:7" x14ac:dyDescent="0.25">
      <c r="A23988" s="1" t="str">
        <f>"508813"</f>
        <v>508813</v>
      </c>
      <c r="B23988" s="2" t="str">
        <f>"TINTA PRIMER MULTIFIL 900ML"</f>
        <v>TINTA PRIMER MULTIFIL 900ML</v>
      </c>
      <c r="C23988" s="2" t="str">
        <f t="shared" si="944"/>
        <v>UN</v>
      </c>
      <c r="D23988" s="7">
        <v>804</v>
      </c>
      <c r="E23988" s="3">
        <v>10</v>
      </c>
      <c r="F23988" s="3">
        <v>10</v>
      </c>
      <c r="G23988" t="s">
        <v>515</v>
      </c>
    </row>
    <row r="23989" spans="1:7" x14ac:dyDescent="0.25">
      <c r="A23989" s="1" t="str">
        <f>"509229"</f>
        <v>509229</v>
      </c>
      <c r="B23989" s="2" t="str">
        <f>"TINTA PU BRANCO RENNER COMP. A E B"</f>
        <v>TINTA PU BRANCO RENNER COMP. A E B</v>
      </c>
      <c r="C23989" s="2" t="str">
        <f t="shared" si="944"/>
        <v>UN</v>
      </c>
      <c r="D23989" s="7">
        <v>704</v>
      </c>
      <c r="E23989" s="3">
        <v>9</v>
      </c>
      <c r="F23989" s="3">
        <v>9</v>
      </c>
      <c r="G23989" t="s">
        <v>514</v>
      </c>
    </row>
    <row r="23990" spans="1:7" x14ac:dyDescent="0.25">
      <c r="A23990" s="1" t="str">
        <f>"503706"</f>
        <v>503706</v>
      </c>
      <c r="B23990" s="2" t="str">
        <f>"TINTA PU MARROM TABACO 3,6L"</f>
        <v>TINTA PU MARROM TABACO 3,6L</v>
      </c>
      <c r="C23990" s="2" t="str">
        <f t="shared" si="944"/>
        <v>UN</v>
      </c>
      <c r="D23990" s="7">
        <v>804</v>
      </c>
      <c r="E23990" s="3">
        <v>10</v>
      </c>
      <c r="F23990" s="3">
        <v>10</v>
      </c>
      <c r="G23990" t="s">
        <v>512</v>
      </c>
    </row>
    <row r="23991" spans="1:7" x14ac:dyDescent="0.25">
      <c r="A23991" s="1" t="str">
        <f>"503707"</f>
        <v>503707</v>
      </c>
      <c r="B23991" s="2" t="str">
        <f>"TINTA PU MARROM VERDE 3,6L"</f>
        <v>TINTA PU MARROM VERDE 3,6L</v>
      </c>
      <c r="C23991" s="2" t="str">
        <f t="shared" si="944"/>
        <v>UN</v>
      </c>
      <c r="D23991" s="7">
        <v>804</v>
      </c>
      <c r="E23991" s="3">
        <v>10</v>
      </c>
      <c r="F23991" s="3">
        <v>10</v>
      </c>
      <c r="G23991" t="s">
        <v>513</v>
      </c>
    </row>
    <row r="23992" spans="1:7" x14ac:dyDescent="0.25">
      <c r="A23992" s="1" t="str">
        <f>"503709"</f>
        <v>503709</v>
      </c>
      <c r="B23992" s="2" t="str">
        <f>"TINTA PU PRETO CADILAC 675ML"</f>
        <v>TINTA PU PRETO CADILAC 675ML</v>
      </c>
      <c r="C23992" s="2" t="str">
        <f t="shared" si="944"/>
        <v>UN</v>
      </c>
      <c r="D23992" s="7">
        <v>804</v>
      </c>
      <c r="E23992" s="3">
        <v>10</v>
      </c>
      <c r="F23992" s="3">
        <v>10</v>
      </c>
      <c r="G23992" t="s">
        <v>514</v>
      </c>
    </row>
    <row r="23993" spans="1:7" x14ac:dyDescent="0.25">
      <c r="A23993" s="1" t="str">
        <f>"512957"</f>
        <v>512957</v>
      </c>
      <c r="B23993" s="2" t="str">
        <f>"TINTA PU PRETO SEMI BRILHO 3,600ML"</f>
        <v>TINTA PU PRETO SEMI BRILHO 3,600ML</v>
      </c>
      <c r="C23993" s="2" t="str">
        <f t="shared" si="944"/>
        <v>UN</v>
      </c>
      <c r="D23993" s="7">
        <v>804</v>
      </c>
      <c r="E23993" s="3">
        <v>10</v>
      </c>
      <c r="F23993" s="3">
        <v>10</v>
      </c>
      <c r="G23993" t="s">
        <v>514</v>
      </c>
    </row>
    <row r="23994" spans="1:7" x14ac:dyDescent="0.25">
      <c r="A23994" s="1" t="str">
        <f>"521625"</f>
        <v>521625</v>
      </c>
      <c r="B23994" s="2" t="str">
        <f>"TINTA QUANDRO BRANCO PIT STOP 60ML COR AZUL"</f>
        <v>TINTA QUANDRO BRANCO PIT STOP 60ML COR AZUL</v>
      </c>
      <c r="C23994" s="2" t="str">
        <f t="shared" si="944"/>
        <v>UN</v>
      </c>
      <c r="D23994" s="7">
        <v>99999</v>
      </c>
      <c r="E23994" s="3">
        <v>99</v>
      </c>
      <c r="F23994" s="3">
        <v>99</v>
      </c>
      <c r="G23994" t="s">
        <v>512</v>
      </c>
    </row>
    <row r="23995" spans="1:7" x14ac:dyDescent="0.25">
      <c r="A23995" s="1" t="str">
        <f>"521624"</f>
        <v>521624</v>
      </c>
      <c r="B23995" s="2" t="str">
        <f>"TINTA QUANDRO BRANCO PIT STOP 60ML COR PRETA"</f>
        <v>TINTA QUANDRO BRANCO PIT STOP 60ML COR PRETA</v>
      </c>
      <c r="C23995" s="2" t="str">
        <f t="shared" si="944"/>
        <v>UN</v>
      </c>
      <c r="D23995" s="7">
        <v>99999</v>
      </c>
      <c r="E23995" s="3">
        <v>99</v>
      </c>
      <c r="F23995" s="3">
        <v>99</v>
      </c>
      <c r="G23995" t="s">
        <v>513</v>
      </c>
    </row>
    <row r="23996" spans="1:7" x14ac:dyDescent="0.25">
      <c r="A23996" s="1" t="str">
        <f>"521627"</f>
        <v>521627</v>
      </c>
      <c r="B23996" s="2" t="str">
        <f>"TINTA QUANDRO BRANCO PIT STOP 60ML COR VERDE"</f>
        <v>TINTA QUANDRO BRANCO PIT STOP 60ML COR VERDE</v>
      </c>
      <c r="C23996" s="2" t="str">
        <f t="shared" si="944"/>
        <v>UN</v>
      </c>
      <c r="D23996" s="7">
        <v>99999</v>
      </c>
      <c r="E23996" s="3">
        <v>99</v>
      </c>
      <c r="F23996" s="3">
        <v>99</v>
      </c>
      <c r="G23996" t="s">
        <v>514</v>
      </c>
    </row>
    <row r="23997" spans="1:7" x14ac:dyDescent="0.25">
      <c r="A23997" s="1" t="str">
        <f>"521626"</f>
        <v>521626</v>
      </c>
      <c r="B23997" s="2" t="str">
        <f>"TINTA QUANDRO BRANCO PIT STOP 60ML COR VERMELHO ESCURO"</f>
        <v>TINTA QUANDRO BRANCO PIT STOP 60ML COR VERMELHO ESCURO</v>
      </c>
      <c r="C23997" s="2" t="str">
        <f t="shared" si="944"/>
        <v>UN</v>
      </c>
      <c r="D23997" s="7">
        <v>99999</v>
      </c>
      <c r="E23997" s="3">
        <v>99</v>
      </c>
      <c r="F23997" s="3">
        <v>99</v>
      </c>
      <c r="G23997" t="s">
        <v>514</v>
      </c>
    </row>
    <row r="23998" spans="1:7" x14ac:dyDescent="0.25">
      <c r="A23998" s="1" t="str">
        <f>"515160"</f>
        <v>515160</v>
      </c>
      <c r="B23998" s="2" t="str">
        <f>"TINTA SERIGRAFICA BRANCO"</f>
        <v>TINTA SERIGRAFICA BRANCO</v>
      </c>
      <c r="C23998" s="2" t="str">
        <f t="shared" si="944"/>
        <v>UN</v>
      </c>
      <c r="D23998" s="7">
        <v>401</v>
      </c>
      <c r="E23998" s="3">
        <v>4</v>
      </c>
      <c r="F23998" s="3">
        <v>4</v>
      </c>
      <c r="G23998" t="s">
        <v>514</v>
      </c>
    </row>
    <row r="23999" spans="1:7" x14ac:dyDescent="0.25">
      <c r="A23999" s="1" t="str">
        <f>"517456"</f>
        <v>517456</v>
      </c>
      <c r="B23999" s="2" t="str">
        <f>"TINTA SPRAY ALUMINIO 300ML"</f>
        <v>TINTA SPRAY ALUMINIO 300ML</v>
      </c>
      <c r="C23999" s="2" t="str">
        <f t="shared" si="944"/>
        <v>UN</v>
      </c>
      <c r="D23999" s="7">
        <v>804</v>
      </c>
      <c r="E23999" s="3">
        <v>10</v>
      </c>
      <c r="F23999" s="3">
        <v>10</v>
      </c>
      <c r="G23999" t="s">
        <v>513</v>
      </c>
    </row>
    <row r="24000" spans="1:7" x14ac:dyDescent="0.25">
      <c r="A24000" s="1" t="str">
        <f>"527121"</f>
        <v>527121</v>
      </c>
      <c r="B24000" s="2" t="str">
        <f>"TINTA SPRAY AMARELO OURO"</f>
        <v>TINTA SPRAY AMARELO OURO</v>
      </c>
      <c r="C24000" s="2" t="str">
        <f t="shared" si="944"/>
        <v>UN</v>
      </c>
      <c r="D24000" s="7">
        <v>804</v>
      </c>
      <c r="E24000" s="3">
        <v>10</v>
      </c>
      <c r="F24000" s="3">
        <v>10</v>
      </c>
      <c r="G24000" t="s">
        <v>512</v>
      </c>
    </row>
    <row r="24001" spans="1:7" x14ac:dyDescent="0.25">
      <c r="A24001" s="1" t="str">
        <f>"512829"</f>
        <v>512829</v>
      </c>
      <c r="B24001" s="2" t="str">
        <f>"TINTA SPRAY AZUL DEL REY 300ML"</f>
        <v>TINTA SPRAY AZUL DEL REY 300ML</v>
      </c>
      <c r="C24001" s="2" t="str">
        <f t="shared" si="944"/>
        <v>UN</v>
      </c>
      <c r="D24001" s="7">
        <v>917</v>
      </c>
      <c r="E24001" s="3">
        <v>10</v>
      </c>
      <c r="F24001" s="3">
        <v>10</v>
      </c>
      <c r="G24001" t="s">
        <v>513</v>
      </c>
    </row>
    <row r="24002" spans="1:7" x14ac:dyDescent="0.25">
      <c r="A24002" s="1" t="str">
        <f>"517992"</f>
        <v>517992</v>
      </c>
      <c r="B24002" s="2" t="str">
        <f>"TINTA SPRAY BRANCO 300ML"</f>
        <v>TINTA SPRAY BRANCO 300ML</v>
      </c>
      <c r="C24002" s="2" t="str">
        <f t="shared" si="944"/>
        <v>UN</v>
      </c>
      <c r="D24002" s="7">
        <v>917</v>
      </c>
      <c r="E24002" s="3">
        <v>10</v>
      </c>
      <c r="F24002" s="3">
        <v>10</v>
      </c>
      <c r="G24002" t="s">
        <v>514</v>
      </c>
    </row>
    <row r="24003" spans="1:7" x14ac:dyDescent="0.25">
      <c r="A24003" s="1" t="str">
        <f>"512874"</f>
        <v>512874</v>
      </c>
      <c r="B24003" s="2" t="str">
        <f>"TINTA SPRAY CINZA CLARO 300ML"</f>
        <v>TINTA SPRAY CINZA CLARO 300ML</v>
      </c>
      <c r="C24003" s="2" t="str">
        <f t="shared" si="944"/>
        <v>UN</v>
      </c>
      <c r="D24003" s="7">
        <v>804</v>
      </c>
      <c r="E24003" s="3">
        <v>10</v>
      </c>
      <c r="F24003" s="3">
        <v>10</v>
      </c>
      <c r="G24003" t="s">
        <v>514</v>
      </c>
    </row>
    <row r="24004" spans="1:7" x14ac:dyDescent="0.25">
      <c r="A24004" s="1" t="str">
        <f>"528171"</f>
        <v>528171</v>
      </c>
      <c r="B24004" s="2" t="str">
        <f>"TINTA SPRAY LARANJA"</f>
        <v>TINTA SPRAY LARANJA</v>
      </c>
      <c r="C24004" s="2" t="str">
        <f t="shared" si="944"/>
        <v>UN</v>
      </c>
      <c r="D24004" s="7">
        <v>403</v>
      </c>
      <c r="E24004" s="3">
        <v>4</v>
      </c>
      <c r="F24004" s="3">
        <v>4</v>
      </c>
      <c r="G24004" t="s">
        <v>514</v>
      </c>
    </row>
    <row r="24005" spans="1:7" x14ac:dyDescent="0.25">
      <c r="A24005" s="1" t="str">
        <f>"517753"</f>
        <v>517753</v>
      </c>
      <c r="B24005" s="2" t="str">
        <f>"TINTA SPRAY PRETO 300ML"</f>
        <v>TINTA SPRAY PRETO 300ML</v>
      </c>
      <c r="C24005" s="2" t="str">
        <f t="shared" si="944"/>
        <v>UN</v>
      </c>
      <c r="D24005" s="7">
        <v>804</v>
      </c>
      <c r="E24005" s="3">
        <v>10</v>
      </c>
      <c r="F24005" s="3">
        <v>10</v>
      </c>
      <c r="G24005" t="s">
        <v>513</v>
      </c>
    </row>
    <row r="24006" spans="1:7" x14ac:dyDescent="0.25">
      <c r="A24006" s="1" t="str">
        <f>"523752"</f>
        <v>523752</v>
      </c>
      <c r="B24006" s="2" t="str">
        <f>"TINTA SPRAY ROXO 300ML"</f>
        <v>TINTA SPRAY ROXO 300ML</v>
      </c>
      <c r="C24006" s="2" t="str">
        <f t="shared" si="944"/>
        <v>UN</v>
      </c>
      <c r="D24006" s="7">
        <v>917</v>
      </c>
      <c r="E24006" s="3">
        <v>10</v>
      </c>
      <c r="F24006" s="3">
        <v>10</v>
      </c>
      <c r="G24006" t="s">
        <v>513</v>
      </c>
    </row>
    <row r="24007" spans="1:7" x14ac:dyDescent="0.25">
      <c r="A24007" s="1" t="str">
        <f>"527315"</f>
        <v>527315</v>
      </c>
      <c r="B24007" s="2" t="str">
        <f>"TINTA SPRAY VERDE FOLHA"</f>
        <v>TINTA SPRAY VERDE FOLHA</v>
      </c>
      <c r="C24007" s="2" t="str">
        <f t="shared" si="944"/>
        <v>UN</v>
      </c>
      <c r="D24007" s="7">
        <v>917</v>
      </c>
      <c r="E24007" s="3">
        <v>10</v>
      </c>
      <c r="F24007" s="3">
        <v>10</v>
      </c>
      <c r="G24007" t="s">
        <v>513</v>
      </c>
    </row>
    <row r="24008" spans="1:7" x14ac:dyDescent="0.25">
      <c r="A24008" s="1" t="str">
        <f>"512830"</f>
        <v>512830</v>
      </c>
      <c r="B24008" s="2" t="str">
        <f>"TINTA SPRAY VERMELHO 300ML"</f>
        <v>TINTA SPRAY VERMELHO 300ML</v>
      </c>
      <c r="C24008" s="2" t="str">
        <f t="shared" si="944"/>
        <v>UN</v>
      </c>
      <c r="D24008" s="7">
        <v>917</v>
      </c>
      <c r="E24008" s="3">
        <v>10</v>
      </c>
      <c r="F24008" s="3">
        <v>10</v>
      </c>
      <c r="G24008" t="s">
        <v>512</v>
      </c>
    </row>
    <row r="24009" spans="1:7" x14ac:dyDescent="0.25">
      <c r="A24009" s="1" t="str">
        <f>"501439"</f>
        <v>501439</v>
      </c>
      <c r="B24009" s="2" t="str">
        <f>"TINTA SUVINIL 3,600 - BRANCO NEVE"</f>
        <v>TINTA SUVINIL 3,600 - BRANCO NEVE</v>
      </c>
      <c r="C24009" s="2" t="str">
        <f t="shared" si="944"/>
        <v>UN</v>
      </c>
      <c r="D24009" s="7">
        <v>403</v>
      </c>
      <c r="E24009" s="3">
        <v>4</v>
      </c>
      <c r="F24009" s="3">
        <v>4</v>
      </c>
      <c r="G24009" t="s">
        <v>513</v>
      </c>
    </row>
    <row r="24010" spans="1:7" x14ac:dyDescent="0.25">
      <c r="A24010" s="1" t="str">
        <f>"520990"</f>
        <v>520990</v>
      </c>
      <c r="B24010" s="2" t="str">
        <f>"TINTA TELHACOR IMPERMEABILIZANTE INCOLOR FOSCO 18 LITROS"</f>
        <v>TINTA TELHACOR IMPERMEABILIZANTE INCOLOR FOSCO 18 LITROS</v>
      </c>
      <c r="C24010" s="2" t="str">
        <f t="shared" si="944"/>
        <v>UN</v>
      </c>
      <c r="D24010" s="7">
        <v>804</v>
      </c>
      <c r="E24010" s="3">
        <v>4</v>
      </c>
      <c r="F24010" s="3">
        <v>4</v>
      </c>
      <c r="G24010" t="s">
        <v>514</v>
      </c>
    </row>
    <row r="24011" spans="1:7" x14ac:dyDescent="0.25">
      <c r="A24011" s="1" t="str">
        <f>"525501"</f>
        <v>525501</v>
      </c>
      <c r="B24011" s="2" t="str">
        <f>"TINTA TERMOCYRAN C"</f>
        <v>TINTA TERMOCYRAN C</v>
      </c>
      <c r="C24011" s="2" t="str">
        <f t="shared" si="944"/>
        <v>UN</v>
      </c>
      <c r="D24011" s="7">
        <v>804</v>
      </c>
      <c r="E24011" s="3">
        <v>10</v>
      </c>
      <c r="F24011" s="3">
        <v>10</v>
      </c>
      <c r="G24011" t="s">
        <v>515</v>
      </c>
    </row>
    <row r="24012" spans="1:7" x14ac:dyDescent="0.25">
      <c r="A24012" s="1" t="str">
        <f>"521050"</f>
        <v>521050</v>
      </c>
      <c r="B24012" s="2" t="str">
        <f>"TINTA VERMELHO BOMBEIRO EPOXI 2,700 ML"</f>
        <v>TINTA VERMELHO BOMBEIRO EPOXI 2,700 ML</v>
      </c>
      <c r="C24012" s="2" t="str">
        <f t="shared" si="944"/>
        <v>UN</v>
      </c>
      <c r="D24012" s="7">
        <v>804</v>
      </c>
      <c r="E24012" s="3">
        <v>10</v>
      </c>
      <c r="F24012" s="3">
        <v>10</v>
      </c>
      <c r="G24012" t="s">
        <v>512</v>
      </c>
    </row>
    <row r="24013" spans="1:7" x14ac:dyDescent="0.25">
      <c r="A24013" s="1" t="str">
        <f>"515045"</f>
        <v>515045</v>
      </c>
      <c r="B24013" s="2" t="str">
        <f>"TINTA VERMELHO MASSEY GL"</f>
        <v>TINTA VERMELHO MASSEY GL</v>
      </c>
      <c r="C24013" s="2" t="str">
        <f t="shared" si="944"/>
        <v>UN</v>
      </c>
      <c r="D24013" s="7">
        <v>917</v>
      </c>
      <c r="E24013" s="3">
        <v>10</v>
      </c>
      <c r="F24013" s="3">
        <v>10</v>
      </c>
      <c r="G24013" t="s">
        <v>516</v>
      </c>
    </row>
    <row r="24014" spans="1:7" x14ac:dyDescent="0.25">
      <c r="A24014" s="1" t="str">
        <f>"520786"</f>
        <v>520786</v>
      </c>
      <c r="B24014" s="2" t="str">
        <f>"TINTA VERMELHO SEG 5R 4/14 DUPLA AÇÃO 18LTS"</f>
        <v>TINTA VERMELHO SEG 5R 4/14 DUPLA AÇÃO 18LTS</v>
      </c>
      <c r="C24014" s="2" t="str">
        <f t="shared" si="944"/>
        <v>UN</v>
      </c>
      <c r="D24014" s="7">
        <v>403</v>
      </c>
      <c r="E24014" s="3">
        <v>4</v>
      </c>
      <c r="F24014" s="3">
        <v>4</v>
      </c>
      <c r="G24014" t="s">
        <v>515</v>
      </c>
    </row>
    <row r="24015" spans="1:7" x14ac:dyDescent="0.25">
      <c r="A24015" s="1" t="str">
        <f>"516370"</f>
        <v>516370</v>
      </c>
      <c r="B24015" s="2" t="str">
        <f>"TINTA VERNIZ WEG 5LT COD.325.003/10001622"</f>
        <v>TINTA VERNIZ WEG 5LT COD.325.003/10001622</v>
      </c>
      <c r="C24015" s="2" t="str">
        <f t="shared" si="944"/>
        <v>UN</v>
      </c>
      <c r="D24015" s="7">
        <v>1400</v>
      </c>
      <c r="E24015" s="3">
        <v>10</v>
      </c>
      <c r="F24015" s="3">
        <v>10</v>
      </c>
      <c r="G24015" t="s">
        <v>514</v>
      </c>
    </row>
    <row r="24016" spans="1:7" x14ac:dyDescent="0.25">
      <c r="A24016" s="1" t="str">
        <f>"715"</f>
        <v>715</v>
      </c>
      <c r="B24016" s="2" t="str">
        <f>"TINTA WILLETT 201.0001.602"</f>
        <v>TINTA WILLETT 201.0001.602</v>
      </c>
      <c r="C24016" s="2" t="str">
        <f>"LT"</f>
        <v>LT</v>
      </c>
      <c r="D24016" s="7">
        <v>305</v>
      </c>
      <c r="E24016" s="3">
        <v>3</v>
      </c>
      <c r="F24016" s="3">
        <v>3</v>
      </c>
      <c r="G24016" t="s">
        <v>512</v>
      </c>
    </row>
    <row r="24017" spans="1:7" x14ac:dyDescent="0.25">
      <c r="A24017" s="1" t="str">
        <f>"528132"</f>
        <v>528132</v>
      </c>
      <c r="B24017" s="2" t="str">
        <f>"TIOSSULFATO DE SODIO 0,1N"</f>
        <v>TIOSSULFATO DE SODIO 0,1N</v>
      </c>
      <c r="C24017" s="2" t="str">
        <f t="shared" ref="C24017:C24026" si="945">"UN"</f>
        <v>UN</v>
      </c>
      <c r="D24017" s="7">
        <v>406</v>
      </c>
      <c r="E24017" s="3">
        <v>4</v>
      </c>
      <c r="F24017" s="3">
        <v>4</v>
      </c>
      <c r="G24017" t="s">
        <v>513</v>
      </c>
    </row>
    <row r="24018" spans="1:7" x14ac:dyDescent="0.25">
      <c r="A24018" s="1" t="str">
        <f>"515151"</f>
        <v>515151</v>
      </c>
      <c r="B24018" s="2" t="str">
        <f>"TIOSULFATO DE SODIO 0,1 N 1000ML"</f>
        <v>TIOSULFATO DE SODIO 0,1 N 1000ML</v>
      </c>
      <c r="C24018" s="2" t="str">
        <f t="shared" si="945"/>
        <v>UN</v>
      </c>
      <c r="D24018" s="7">
        <v>406</v>
      </c>
      <c r="E24018" s="3">
        <v>4</v>
      </c>
      <c r="F24018" s="3">
        <v>4</v>
      </c>
      <c r="G24018" t="s">
        <v>514</v>
      </c>
    </row>
    <row r="24019" spans="1:7" x14ac:dyDescent="0.25">
      <c r="A24019" s="1" t="str">
        <f>"519417"</f>
        <v>519417</v>
      </c>
      <c r="B24019" s="2" t="str">
        <f>"TIPOIA IMOBILIZADORA"</f>
        <v>TIPOIA IMOBILIZADORA</v>
      </c>
      <c r="C24019" s="2" t="str">
        <f t="shared" si="945"/>
        <v>UN</v>
      </c>
      <c r="D24019" s="7">
        <v>406</v>
      </c>
      <c r="E24019" s="3">
        <v>99</v>
      </c>
      <c r="F24019" s="3">
        <v>99</v>
      </c>
      <c r="G24019" t="s">
        <v>514</v>
      </c>
    </row>
    <row r="24020" spans="1:7" x14ac:dyDescent="0.25">
      <c r="A24020" s="1" t="str">
        <f>"514167"</f>
        <v>514167</v>
      </c>
      <c r="B24020" s="2" t="str">
        <f>"TIRA"</f>
        <v>TIRA</v>
      </c>
      <c r="C24020" s="2" t="str">
        <f t="shared" si="945"/>
        <v>UN</v>
      </c>
      <c r="D24020" s="7">
        <v>704</v>
      </c>
      <c r="E24020" s="3">
        <v>9</v>
      </c>
      <c r="F24020" s="3">
        <v>9</v>
      </c>
      <c r="G24020" t="s">
        <v>512</v>
      </c>
    </row>
    <row r="24021" spans="1:7" x14ac:dyDescent="0.25">
      <c r="A24021" s="1" t="str">
        <f>"518570"</f>
        <v>518570</v>
      </c>
      <c r="B24021" s="2" t="str">
        <f>"TIRA 100X4X2000MM SBR BRANCA"</f>
        <v>TIRA 100X4X2000MM SBR BRANCA</v>
      </c>
      <c r="C24021" s="2" t="str">
        <f t="shared" si="945"/>
        <v>UN</v>
      </c>
      <c r="D24021" s="7">
        <v>918</v>
      </c>
      <c r="E24021" s="3">
        <v>11</v>
      </c>
      <c r="F24021" s="3">
        <v>11</v>
      </c>
      <c r="G24021" t="s">
        <v>513</v>
      </c>
    </row>
    <row r="24022" spans="1:7" x14ac:dyDescent="0.25">
      <c r="A24022" s="1" t="str">
        <f>"518571"</f>
        <v>518571</v>
      </c>
      <c r="B24022" s="2" t="str">
        <f>"TIRA 100X4X5000MM NBR PRETA"</f>
        <v>TIRA 100X4X5000MM NBR PRETA</v>
      </c>
      <c r="C24022" s="2" t="str">
        <f t="shared" si="945"/>
        <v>UN</v>
      </c>
      <c r="D24022" s="7">
        <v>918</v>
      </c>
      <c r="E24022" s="3">
        <v>11</v>
      </c>
      <c r="F24022" s="3">
        <v>11</v>
      </c>
      <c r="G24022" t="s">
        <v>514</v>
      </c>
    </row>
    <row r="24023" spans="1:7" x14ac:dyDescent="0.25">
      <c r="A24023" s="1" t="str">
        <f>"512330"</f>
        <v>512330</v>
      </c>
      <c r="B24023" s="2" t="str">
        <f>"TIRA BORRACHA 200X20X06MM"</f>
        <v>TIRA BORRACHA 200X20X06MM</v>
      </c>
      <c r="C24023" s="2" t="str">
        <f t="shared" si="945"/>
        <v>UN</v>
      </c>
      <c r="D24023" s="7">
        <v>918</v>
      </c>
      <c r="E24023" s="3">
        <v>11</v>
      </c>
      <c r="F24023" s="3">
        <v>11</v>
      </c>
      <c r="G24023" t="s">
        <v>514</v>
      </c>
    </row>
    <row r="24024" spans="1:7" x14ac:dyDescent="0.25">
      <c r="A24024" s="1" t="str">
        <f>"507042"</f>
        <v>507042</v>
      </c>
      <c r="B24024" s="2" t="str">
        <f>"TIRA COD. 64722141809"</f>
        <v>TIRA COD. 64722141809</v>
      </c>
      <c r="C24024" s="2" t="str">
        <f t="shared" si="945"/>
        <v>UN</v>
      </c>
      <c r="D24024" s="7">
        <v>918</v>
      </c>
      <c r="E24024" s="3">
        <v>11</v>
      </c>
      <c r="F24024" s="3">
        <v>11</v>
      </c>
      <c r="G24024" t="s">
        <v>514</v>
      </c>
    </row>
    <row r="24025" spans="1:7" x14ac:dyDescent="0.25">
      <c r="A24025" s="1" t="str">
        <f>"521055"</f>
        <v>521055</v>
      </c>
      <c r="B24025" s="2" t="str">
        <f>"TIRA DE BORRACHA PRETA 100 MM X 100MTS X 3MM"</f>
        <v>TIRA DE BORRACHA PRETA 100 MM X 100MTS X 3MM</v>
      </c>
      <c r="C24025" s="2" t="str">
        <f t="shared" si="945"/>
        <v>UN</v>
      </c>
      <c r="D24025" s="7">
        <v>99999</v>
      </c>
      <c r="E24025" s="3">
        <v>99</v>
      </c>
      <c r="F24025" s="3">
        <v>99</v>
      </c>
      <c r="G24025" t="s">
        <v>513</v>
      </c>
    </row>
    <row r="24026" spans="1:7" x14ac:dyDescent="0.25">
      <c r="A24026" s="1" t="str">
        <f>"514701"</f>
        <v>514701</v>
      </c>
      <c r="B24026" s="2" t="str">
        <f>"TIRA DE GONDOLA"</f>
        <v>TIRA DE GONDOLA</v>
      </c>
      <c r="C24026" s="2" t="str">
        <f t="shared" si="945"/>
        <v>UN</v>
      </c>
      <c r="D24026" s="7">
        <v>401</v>
      </c>
      <c r="E24026" s="3">
        <v>4</v>
      </c>
      <c r="F24026" s="3">
        <v>4</v>
      </c>
      <c r="G24026" t="s">
        <v>512</v>
      </c>
    </row>
    <row r="24027" spans="1:7" x14ac:dyDescent="0.25">
      <c r="A24027" s="1" t="str">
        <f>"521544"</f>
        <v>521544</v>
      </c>
      <c r="B24027" s="2" t="str">
        <f>"TIRA DE SILICONE  30MM LARG. X 163MM COMP. X 6MM PAREDE"</f>
        <v>TIRA DE SILICONE  30MM LARG. X 163MM COMP. X 6MM PAREDE</v>
      </c>
      <c r="C24027" s="2" t="str">
        <f>"PC"</f>
        <v>PC</v>
      </c>
      <c r="D24027" s="7">
        <v>918</v>
      </c>
      <c r="E24027" s="3">
        <v>11</v>
      </c>
      <c r="F24027" s="3">
        <v>11</v>
      </c>
      <c r="G24027" t="s">
        <v>513</v>
      </c>
    </row>
    <row r="24028" spans="1:7" x14ac:dyDescent="0.25">
      <c r="A24028" s="1" t="str">
        <f>"500720"</f>
        <v>500720</v>
      </c>
      <c r="B24028" s="2" t="str">
        <f>"TIRA DE SILICONE MAQ. SAQUINHO"</f>
        <v>TIRA DE SILICONE MAQ. SAQUINHO</v>
      </c>
      <c r="C24028" s="2" t="str">
        <f>"PC"</f>
        <v>PC</v>
      </c>
      <c r="D24028" s="7">
        <v>918</v>
      </c>
      <c r="E24028" s="3">
        <v>11</v>
      </c>
      <c r="F24028" s="3">
        <v>11</v>
      </c>
      <c r="G24028" t="s">
        <v>514</v>
      </c>
    </row>
    <row r="24029" spans="1:7" x14ac:dyDescent="0.25">
      <c r="A24029" s="1" t="str">
        <f>"508636"</f>
        <v>508636</v>
      </c>
      <c r="B24029" s="2" t="str">
        <f>"TIRA DE TEFLON APC-8060R 105MM"</f>
        <v>TIRA DE TEFLON APC-8060R 105MM</v>
      </c>
      <c r="C24029" s="2" t="str">
        <f t="shared" ref="C24029:C24060" si="946">"UN"</f>
        <v>UN</v>
      </c>
      <c r="D24029" s="7">
        <v>918</v>
      </c>
      <c r="E24029" s="3">
        <v>11</v>
      </c>
      <c r="F24029" s="3">
        <v>11</v>
      </c>
      <c r="G24029" t="s">
        <v>514</v>
      </c>
    </row>
    <row r="24030" spans="1:7" x14ac:dyDescent="0.25">
      <c r="A24030" s="1" t="str">
        <f>"508640"</f>
        <v>508640</v>
      </c>
      <c r="B24030" s="2" t="str">
        <f>"TIRA DE TEFLON APC-8060R 180MM"</f>
        <v>TIRA DE TEFLON APC-8060R 180MM</v>
      </c>
      <c r="C24030" s="2" t="str">
        <f t="shared" si="946"/>
        <v>UN</v>
      </c>
      <c r="D24030" s="7">
        <v>918</v>
      </c>
      <c r="E24030" s="3">
        <v>11</v>
      </c>
      <c r="F24030" s="3">
        <v>11</v>
      </c>
      <c r="G24030" t="s">
        <v>514</v>
      </c>
    </row>
    <row r="24031" spans="1:7" x14ac:dyDescent="0.25">
      <c r="A24031" s="1" t="str">
        <f>"508497"</f>
        <v>508497</v>
      </c>
      <c r="B24031" s="2" t="str">
        <f>"TIRA DE TEFLON APC-8060R 230MM"</f>
        <v>TIRA DE TEFLON APC-8060R 230MM</v>
      </c>
      <c r="C24031" s="2" t="str">
        <f t="shared" si="946"/>
        <v>UN</v>
      </c>
      <c r="D24031" s="7">
        <v>918</v>
      </c>
      <c r="E24031" s="3">
        <v>11</v>
      </c>
      <c r="F24031" s="3">
        <v>11</v>
      </c>
      <c r="G24031" t="s">
        <v>513</v>
      </c>
    </row>
    <row r="24032" spans="1:7" x14ac:dyDescent="0.25">
      <c r="A24032" s="1" t="str">
        <f>"511060"</f>
        <v>511060</v>
      </c>
      <c r="B24032" s="2" t="str">
        <f>"TIRA INOX 1000X30X1,5"</f>
        <v>TIRA INOX 1000X30X1,5</v>
      </c>
      <c r="C24032" s="2" t="str">
        <f t="shared" si="946"/>
        <v>UN</v>
      </c>
      <c r="D24032" s="7">
        <v>402</v>
      </c>
      <c r="E24032" s="3">
        <v>4</v>
      </c>
      <c r="F24032" s="3">
        <v>4</v>
      </c>
      <c r="G24032" t="s">
        <v>513</v>
      </c>
    </row>
    <row r="24033" spans="1:7" x14ac:dyDescent="0.25">
      <c r="A24033" s="1" t="str">
        <f>"503840"</f>
        <v>503840</v>
      </c>
      <c r="B24033" s="2" t="str">
        <f>"TIRA TEFLON REF.4722141-807 APC-8060"</f>
        <v>TIRA TEFLON REF.4722141-807 APC-8060</v>
      </c>
      <c r="C24033" s="2" t="str">
        <f t="shared" si="946"/>
        <v>UN</v>
      </c>
      <c r="D24033" s="7">
        <v>918</v>
      </c>
      <c r="E24033" s="3">
        <v>11</v>
      </c>
      <c r="F24033" s="3">
        <v>11</v>
      </c>
      <c r="G24033" t="s">
        <v>513</v>
      </c>
    </row>
    <row r="24034" spans="1:7" x14ac:dyDescent="0.25">
      <c r="A24034" s="1" t="str">
        <f>"505203"</f>
        <v>505203</v>
      </c>
      <c r="B24034" s="2" t="str">
        <f>"TIRANTE"</f>
        <v>TIRANTE</v>
      </c>
      <c r="C24034" s="2" t="str">
        <f t="shared" si="946"/>
        <v>UN</v>
      </c>
      <c r="D24034" s="7">
        <v>704</v>
      </c>
      <c r="E24034" s="3">
        <v>9</v>
      </c>
      <c r="F24034" s="3">
        <v>9</v>
      </c>
      <c r="G24034" t="s">
        <v>512</v>
      </c>
    </row>
    <row r="24035" spans="1:7" x14ac:dyDescent="0.25">
      <c r="A24035" s="1" t="str">
        <f>"519641"</f>
        <v>519641</v>
      </c>
      <c r="B24035" s="2" t="str">
        <f>"TIRANTE TRAMBULADOR CAMBIO"</f>
        <v>TIRANTE TRAMBULADOR CAMBIO</v>
      </c>
      <c r="C24035" s="2" t="str">
        <f t="shared" si="946"/>
        <v>UN</v>
      </c>
      <c r="D24035" s="7">
        <v>704</v>
      </c>
      <c r="E24035" s="3">
        <v>9</v>
      </c>
      <c r="F24035" s="3">
        <v>9</v>
      </c>
      <c r="G24035" t="s">
        <v>513</v>
      </c>
    </row>
    <row r="24036" spans="1:7" x14ac:dyDescent="0.25">
      <c r="A24036" s="1" t="str">
        <f>"524890"</f>
        <v>524890</v>
      </c>
      <c r="B24036" s="2" t="str">
        <f>"TIRAS PARA GLICOSIMETRO G-TECH FREE C/50"</f>
        <v>TIRAS PARA GLICOSIMETRO G-TECH FREE C/50</v>
      </c>
      <c r="C24036" s="2" t="str">
        <f t="shared" si="946"/>
        <v>UN</v>
      </c>
      <c r="D24036" s="7">
        <v>99999</v>
      </c>
      <c r="E24036" s="3">
        <v>99</v>
      </c>
      <c r="F24036" s="3">
        <v>99</v>
      </c>
      <c r="G24036" t="s">
        <v>514</v>
      </c>
    </row>
    <row r="24037" spans="1:7" x14ac:dyDescent="0.25">
      <c r="A24037" s="1" t="str">
        <f>"503237"</f>
        <v>503237</v>
      </c>
      <c r="B24037" s="2" t="str">
        <f>"TIRESTOR REF.L905CV  W990F9823"</f>
        <v>TIRESTOR REF.L905CV  W990F9823</v>
      </c>
      <c r="C24037" s="2" t="str">
        <f t="shared" si="946"/>
        <v>UN</v>
      </c>
      <c r="D24037" s="7">
        <v>600</v>
      </c>
      <c r="E24037" s="3">
        <v>8</v>
      </c>
      <c r="F24037" s="3">
        <v>8</v>
      </c>
      <c r="G24037" t="s">
        <v>515</v>
      </c>
    </row>
    <row r="24038" spans="1:7" x14ac:dyDescent="0.25">
      <c r="A24038" s="1" t="str">
        <f>"523515"</f>
        <v>523515</v>
      </c>
      <c r="B24038" s="2" t="str">
        <f>"TITULANTE 1 - ALCALINO/LUBRIF./00"</f>
        <v>TITULANTE 1 - ALCALINO/LUBRIF./00</v>
      </c>
      <c r="C24038" s="2" t="str">
        <f t="shared" si="946"/>
        <v>UN</v>
      </c>
      <c r="D24038" s="7">
        <v>402</v>
      </c>
      <c r="E24038" s="3">
        <v>4</v>
      </c>
      <c r="F24038" s="3">
        <v>4</v>
      </c>
      <c r="G24038" t="s">
        <v>512</v>
      </c>
    </row>
    <row r="24039" spans="1:7" x14ac:dyDescent="0.25">
      <c r="A24039" s="1" t="str">
        <f>"573804"</f>
        <v>573804</v>
      </c>
      <c r="B24039" s="2" t="str">
        <f>"TITULANTE 2 - ALCALINO / 052"</f>
        <v>TITULANTE 2 - ALCALINO / 052</v>
      </c>
      <c r="C24039" s="2" t="str">
        <f t="shared" si="946"/>
        <v>UN</v>
      </c>
      <c r="D24039" s="7">
        <v>99999</v>
      </c>
      <c r="E24039" s="3">
        <v>99</v>
      </c>
      <c r="F24039" s="3">
        <v>99</v>
      </c>
      <c r="G24039" t="s">
        <v>516</v>
      </c>
    </row>
    <row r="24040" spans="1:7" x14ac:dyDescent="0.25">
      <c r="A24040" s="1" t="str">
        <f>"573810"</f>
        <v>573810</v>
      </c>
      <c r="B24040" s="2" t="str">
        <f>"TITULANTE 2 - ALCALINO / LUBRIF ./00"</f>
        <v>TITULANTE 2 - ALCALINO / LUBRIF ./00</v>
      </c>
      <c r="C24040" s="2" t="str">
        <f t="shared" si="946"/>
        <v>UN</v>
      </c>
      <c r="D24040" s="7">
        <v>99999</v>
      </c>
      <c r="E24040" s="3">
        <v>99</v>
      </c>
      <c r="F24040" s="3">
        <v>99</v>
      </c>
      <c r="G24040" t="s">
        <v>515</v>
      </c>
    </row>
    <row r="24041" spans="1:7" x14ac:dyDescent="0.25">
      <c r="A24041" s="1" t="str">
        <f>"573803"</f>
        <v>573803</v>
      </c>
      <c r="B24041" s="2" t="str">
        <f>"TITULANTE 2 - OXONIA/HS-I /06"</f>
        <v>TITULANTE 2 - OXONIA/HS-I /06</v>
      </c>
      <c r="C24041" s="2" t="str">
        <f t="shared" si="946"/>
        <v>UN</v>
      </c>
      <c r="D24041" s="7">
        <v>99999</v>
      </c>
      <c r="E24041" s="3">
        <v>99</v>
      </c>
      <c r="F24041" s="3">
        <v>99</v>
      </c>
      <c r="G24041" t="s">
        <v>514</v>
      </c>
    </row>
    <row r="24042" spans="1:7" x14ac:dyDescent="0.25">
      <c r="A24042" s="1" t="str">
        <f>"514997"</f>
        <v>514997</v>
      </c>
      <c r="B24042" s="2" t="str">
        <f>"TNT TECIDO"</f>
        <v>TNT TECIDO</v>
      </c>
      <c r="C24042" s="2" t="str">
        <f t="shared" si="946"/>
        <v>UN</v>
      </c>
      <c r="D24042" s="7">
        <v>401</v>
      </c>
      <c r="E24042" s="3">
        <v>4</v>
      </c>
      <c r="F24042" s="3">
        <v>4</v>
      </c>
      <c r="G24042" t="s">
        <v>512</v>
      </c>
    </row>
    <row r="24043" spans="1:7" x14ac:dyDescent="0.25">
      <c r="A24043" s="1" t="str">
        <f>"514876"</f>
        <v>514876</v>
      </c>
      <c r="B24043" s="2" t="str">
        <f>"TOALHA DE PAPEL"</f>
        <v>TOALHA DE PAPEL</v>
      </c>
      <c r="C24043" s="2" t="str">
        <f t="shared" si="946"/>
        <v>UN</v>
      </c>
      <c r="D24043" s="7">
        <v>401</v>
      </c>
      <c r="E24043" s="3">
        <v>4</v>
      </c>
      <c r="F24043" s="3">
        <v>4</v>
      </c>
      <c r="G24043" t="s">
        <v>513</v>
      </c>
    </row>
    <row r="24044" spans="1:7" x14ac:dyDescent="0.25">
      <c r="A24044" s="1" t="str">
        <f>"520771"</f>
        <v>520771</v>
      </c>
      <c r="B24044" s="2" t="str">
        <f>"TOALHA DE ROSTO"</f>
        <v>TOALHA DE ROSTO</v>
      </c>
      <c r="C24044" s="2" t="str">
        <f t="shared" si="946"/>
        <v>UN</v>
      </c>
      <c r="D24044" s="7">
        <v>99999</v>
      </c>
      <c r="E24044" s="3">
        <v>99</v>
      </c>
      <c r="F24044" s="3">
        <v>99</v>
      </c>
      <c r="G24044" t="s">
        <v>514</v>
      </c>
    </row>
    <row r="24045" spans="1:7" x14ac:dyDescent="0.25">
      <c r="A24045" s="1" t="str">
        <f>"522547"</f>
        <v>522547</v>
      </c>
      <c r="B24045" s="2" t="str">
        <f>"TOALHA MESA"</f>
        <v>TOALHA MESA</v>
      </c>
      <c r="C24045" s="2" t="str">
        <f t="shared" si="946"/>
        <v>UN</v>
      </c>
      <c r="D24045" s="7">
        <v>99999</v>
      </c>
      <c r="E24045" s="3">
        <v>99</v>
      </c>
      <c r="F24045" s="3">
        <v>99</v>
      </c>
      <c r="G24045" t="s">
        <v>514</v>
      </c>
    </row>
    <row r="24046" spans="1:7" x14ac:dyDescent="0.25">
      <c r="A24046" s="1" t="str">
        <f>"515502"</f>
        <v>515502</v>
      </c>
      <c r="B24046" s="2" t="str">
        <f>"TOALHA PVA"</f>
        <v>TOALHA PVA</v>
      </c>
      <c r="C24046" s="2" t="str">
        <f t="shared" si="946"/>
        <v>UN</v>
      </c>
      <c r="D24046" s="7">
        <v>803</v>
      </c>
      <c r="E24046" s="3">
        <v>4</v>
      </c>
      <c r="F24046" s="3">
        <v>4</v>
      </c>
      <c r="G24046" t="s">
        <v>512</v>
      </c>
    </row>
    <row r="24047" spans="1:7" x14ac:dyDescent="0.25">
      <c r="A24047" s="1" t="str">
        <f>"518690"</f>
        <v>518690</v>
      </c>
      <c r="B24047" s="2" t="str">
        <f>"TOALHEIRO BOBINA TILHA BRANCO AUTO COULT"</f>
        <v>TOALHEIRO BOBINA TILHA BRANCO AUTO COULT</v>
      </c>
      <c r="C24047" s="2" t="str">
        <f t="shared" si="946"/>
        <v>UN</v>
      </c>
      <c r="D24047" s="7">
        <v>400</v>
      </c>
      <c r="E24047" s="3">
        <v>4</v>
      </c>
      <c r="F24047" s="3">
        <v>4</v>
      </c>
      <c r="G24047" t="s">
        <v>513</v>
      </c>
    </row>
    <row r="24048" spans="1:7" x14ac:dyDescent="0.25">
      <c r="A24048" s="1" t="str">
        <f>"518133"</f>
        <v>518133</v>
      </c>
      <c r="B24048" s="2" t="str">
        <f>"TOALHEIRO BOBINA TILHA BRANCO C/ ALAVANCA EXACCTA"</f>
        <v>TOALHEIRO BOBINA TILHA BRANCO C/ ALAVANCA EXACCTA</v>
      </c>
      <c r="C24048" s="2" t="str">
        <f t="shared" si="946"/>
        <v>UN</v>
      </c>
      <c r="D24048" s="7">
        <v>400</v>
      </c>
      <c r="E24048" s="3">
        <v>4</v>
      </c>
      <c r="F24048" s="3">
        <v>4</v>
      </c>
      <c r="G24048" t="s">
        <v>514</v>
      </c>
    </row>
    <row r="24049" spans="1:7" x14ac:dyDescent="0.25">
      <c r="A24049" s="1" t="str">
        <f>"518686"</f>
        <v>518686</v>
      </c>
      <c r="B24049" s="2" t="str">
        <f>"TOALHEIRO COLUMBUS INTERFOLHA BRANCO"</f>
        <v>TOALHEIRO COLUMBUS INTERFOLHA BRANCO</v>
      </c>
      <c r="C24049" s="2" t="str">
        <f t="shared" si="946"/>
        <v>UN</v>
      </c>
      <c r="D24049" s="7">
        <v>400</v>
      </c>
      <c r="E24049" s="3">
        <v>4</v>
      </c>
      <c r="F24049" s="3">
        <v>4</v>
      </c>
      <c r="G24049" t="s">
        <v>514</v>
      </c>
    </row>
    <row r="24050" spans="1:7" x14ac:dyDescent="0.25">
      <c r="A24050" s="1" t="str">
        <f>"513152"</f>
        <v>513152</v>
      </c>
      <c r="B24050" s="2" t="str">
        <f>"TOALHEIRO JOFEL"</f>
        <v>TOALHEIRO JOFEL</v>
      </c>
      <c r="C24050" s="2" t="str">
        <f t="shared" si="946"/>
        <v>UN</v>
      </c>
      <c r="D24050" s="7">
        <v>406</v>
      </c>
      <c r="E24050" s="3">
        <v>4</v>
      </c>
      <c r="F24050" s="3">
        <v>4</v>
      </c>
      <c r="G24050" t="s">
        <v>514</v>
      </c>
    </row>
    <row r="24051" spans="1:7" x14ac:dyDescent="0.25">
      <c r="A24051" s="1" t="str">
        <f>"518301"</f>
        <v>518301</v>
      </c>
      <c r="B24051" s="2" t="str">
        <f>"TOCHA MIG TMCE - 400 2MTS - ALUMINIO - CARBON"</f>
        <v>TOCHA MIG TMCE - 400 2MTS - ALUMINIO - CARBON</v>
      </c>
      <c r="C24051" s="2" t="str">
        <f t="shared" si="946"/>
        <v>UN</v>
      </c>
      <c r="D24051" s="7">
        <v>920</v>
      </c>
      <c r="E24051" s="3">
        <v>13</v>
      </c>
      <c r="F24051" s="3">
        <v>13</v>
      </c>
      <c r="G24051" t="s">
        <v>513</v>
      </c>
    </row>
    <row r="24052" spans="1:7" x14ac:dyDescent="0.25">
      <c r="A24052" s="1" t="str">
        <f>"517530"</f>
        <v>517530</v>
      </c>
      <c r="B24052" s="2" t="str">
        <f>"TOCHA SBME 125"</f>
        <v>TOCHA SBME 125</v>
      </c>
      <c r="C24052" s="2" t="str">
        <f t="shared" si="946"/>
        <v>UN</v>
      </c>
      <c r="D24052" s="7">
        <v>920</v>
      </c>
      <c r="E24052" s="3">
        <v>11</v>
      </c>
      <c r="F24052" s="3">
        <v>11</v>
      </c>
      <c r="G24052" t="s">
        <v>512</v>
      </c>
    </row>
    <row r="24053" spans="1:7" x14ac:dyDescent="0.25">
      <c r="A24053" s="1" t="str">
        <f>"518726"</f>
        <v>518726</v>
      </c>
      <c r="B24053" s="2" t="str">
        <f>"TOCHA TIG 3MTS ENGATE 13MM"</f>
        <v>TOCHA TIG 3MTS ENGATE 13MM</v>
      </c>
      <c r="C24053" s="2" t="str">
        <f t="shared" si="946"/>
        <v>UN</v>
      </c>
      <c r="D24053" s="7">
        <v>402</v>
      </c>
      <c r="E24053" s="3">
        <v>4</v>
      </c>
      <c r="F24053" s="3">
        <v>4</v>
      </c>
      <c r="G24053" t="s">
        <v>513</v>
      </c>
    </row>
    <row r="24054" spans="1:7" x14ac:dyDescent="0.25">
      <c r="A24054" s="1" t="str">
        <f>"506019"</f>
        <v>506019</v>
      </c>
      <c r="B24054" s="2" t="str">
        <f>"TOCHA TIG TIT-26"</f>
        <v>TOCHA TIG TIT-26</v>
      </c>
      <c r="C24054" s="2" t="str">
        <f t="shared" si="946"/>
        <v>UN</v>
      </c>
      <c r="D24054" s="7">
        <v>402</v>
      </c>
      <c r="E24054" s="3">
        <v>4</v>
      </c>
      <c r="F24054" s="3">
        <v>4</v>
      </c>
      <c r="G24054" t="s">
        <v>514</v>
      </c>
    </row>
    <row r="24055" spans="1:7" x14ac:dyDescent="0.25">
      <c r="A24055" s="1" t="str">
        <f>"516096"</f>
        <v>516096</v>
      </c>
      <c r="B24055" s="2" t="str">
        <f>"TOCHA TIG TTM 9 C/ VALVULA REFR. A AR"</f>
        <v>TOCHA TIG TTM 9 C/ VALVULA REFR. A AR</v>
      </c>
      <c r="C24055" s="2" t="str">
        <f t="shared" si="946"/>
        <v>UN</v>
      </c>
      <c r="D24055" s="7">
        <v>812</v>
      </c>
      <c r="E24055" s="3">
        <v>4</v>
      </c>
      <c r="F24055" s="3">
        <v>4</v>
      </c>
      <c r="G24055" t="s">
        <v>514</v>
      </c>
    </row>
    <row r="24056" spans="1:7" x14ac:dyDescent="0.25">
      <c r="A24056" s="1" t="str">
        <f>"513270"</f>
        <v>513270</v>
      </c>
      <c r="B24056" s="2" t="str">
        <f>"TODYNHO 200ML"</f>
        <v>TODYNHO 200ML</v>
      </c>
      <c r="C24056" s="2" t="str">
        <f t="shared" si="946"/>
        <v>UN</v>
      </c>
      <c r="D24056" s="7">
        <v>99999</v>
      </c>
      <c r="E24056" s="3">
        <v>99</v>
      </c>
      <c r="F24056" s="3">
        <v>99</v>
      </c>
      <c r="G24056" t="s">
        <v>514</v>
      </c>
    </row>
    <row r="24057" spans="1:7" x14ac:dyDescent="0.25">
      <c r="A24057" s="1" t="str">
        <f>"514855"</f>
        <v>514855</v>
      </c>
      <c r="B24057" s="2" t="str">
        <f>"TOLDOS"</f>
        <v>TOLDOS</v>
      </c>
      <c r="C24057" s="2" t="str">
        <f t="shared" si="946"/>
        <v>UN</v>
      </c>
      <c r="D24057" s="7">
        <v>917</v>
      </c>
      <c r="E24057" s="3">
        <v>4</v>
      </c>
      <c r="F24057" s="3">
        <v>4</v>
      </c>
      <c r="G24057" t="s">
        <v>513</v>
      </c>
    </row>
    <row r="24058" spans="1:7" x14ac:dyDescent="0.25">
      <c r="A24058" s="1" t="str">
        <f>"512100"</f>
        <v>512100</v>
      </c>
      <c r="B24058" s="2" t="str">
        <f>"TOMADA"</f>
        <v>TOMADA</v>
      </c>
      <c r="C24058" s="2" t="str">
        <f t="shared" si="946"/>
        <v>UN</v>
      </c>
      <c r="D24058" s="7">
        <v>601</v>
      </c>
      <c r="E24058" s="3">
        <v>8</v>
      </c>
      <c r="F24058" s="3">
        <v>8</v>
      </c>
      <c r="G24058" t="s">
        <v>513</v>
      </c>
    </row>
    <row r="24059" spans="1:7" x14ac:dyDescent="0.25">
      <c r="A24059" s="1" t="str">
        <f>"526702"</f>
        <v>526702</v>
      </c>
      <c r="B24059" s="2" t="str">
        <f>"TOMADA 3 PONTOS SISTEMA X"</f>
        <v>TOMADA 3 PONTOS SISTEMA X</v>
      </c>
      <c r="C24059" s="2" t="str">
        <f t="shared" si="946"/>
        <v>UN</v>
      </c>
      <c r="D24059" s="7">
        <v>601</v>
      </c>
      <c r="E24059" s="3">
        <v>8</v>
      </c>
      <c r="F24059" s="3">
        <v>8</v>
      </c>
      <c r="G24059" t="s">
        <v>513</v>
      </c>
    </row>
    <row r="24060" spans="1:7" x14ac:dyDescent="0.25">
      <c r="A24060" s="1" t="str">
        <f>"525980"</f>
        <v>525980</v>
      </c>
      <c r="B24060" s="2" t="str">
        <f>"TOMADA APARENTE 1 POSICAO BRANCA - FURUKAWA"</f>
        <v>TOMADA APARENTE 1 POSICAO BRANCA - FURUKAWA</v>
      </c>
      <c r="C24060" s="2" t="str">
        <f t="shared" si="946"/>
        <v>UN</v>
      </c>
      <c r="D24060" s="7">
        <v>811</v>
      </c>
      <c r="E24060" s="3">
        <v>10</v>
      </c>
      <c r="F24060" s="3">
        <v>10</v>
      </c>
      <c r="G24060" t="s">
        <v>512</v>
      </c>
    </row>
    <row r="24061" spans="1:7" x14ac:dyDescent="0.25">
      <c r="A24061" s="1" t="str">
        <f>"524600"</f>
        <v>524600</v>
      </c>
      <c r="B24061" s="2" t="str">
        <f>"TOMADA CAIXA 6 62 COM CONECTOR RJ45"</f>
        <v>TOMADA CAIXA 6 62 COM CONECTOR RJ45</v>
      </c>
      <c r="C24061" s="2" t="str">
        <f t="shared" ref="C24061:C24086" si="947">"UN"</f>
        <v>UN</v>
      </c>
      <c r="D24061" s="7">
        <v>811</v>
      </c>
      <c r="E24061" s="3">
        <v>10</v>
      </c>
      <c r="F24061" s="3">
        <v>10</v>
      </c>
      <c r="G24061" t="s">
        <v>513</v>
      </c>
    </row>
    <row r="24062" spans="1:7" x14ac:dyDescent="0.25">
      <c r="A24062" s="1" t="str">
        <f>"508286"</f>
        <v>508286</v>
      </c>
      <c r="B24062" s="2" t="str">
        <f>"TOMADA DE FORCA MARCA TAKARADA TK904501"</f>
        <v>TOMADA DE FORCA MARCA TAKARADA TK904501</v>
      </c>
      <c r="C24062" s="2" t="str">
        <f t="shared" si="947"/>
        <v>UN</v>
      </c>
      <c r="D24062" s="7">
        <v>1500</v>
      </c>
      <c r="E24062" s="3">
        <v>13</v>
      </c>
      <c r="F24062" s="3">
        <v>13</v>
      </c>
      <c r="G24062" t="s">
        <v>514</v>
      </c>
    </row>
    <row r="24063" spans="1:7" x14ac:dyDescent="0.25">
      <c r="A24063" s="1" t="str">
        <f>"522603"</f>
        <v>522603</v>
      </c>
      <c r="B24063" s="2" t="str">
        <f>"TOMADA DINI 550MM POS5/1433/80 CO-04006"</f>
        <v>TOMADA DINI 550MM POS5/1433/80 CO-04006</v>
      </c>
      <c r="C24063" s="2" t="str">
        <f t="shared" si="947"/>
        <v>UN</v>
      </c>
      <c r="D24063" s="7">
        <v>811</v>
      </c>
      <c r="E24063" s="3">
        <v>11</v>
      </c>
      <c r="F24063" s="3">
        <v>11</v>
      </c>
      <c r="G24063" t="s">
        <v>515</v>
      </c>
    </row>
    <row r="24064" spans="1:7" x14ac:dyDescent="0.25">
      <c r="A24064" s="1" t="str">
        <f>"522604"</f>
        <v>522604</v>
      </c>
      <c r="B24064" s="2" t="str">
        <f>"TOMADA DINI 550MM POS5/1433/81 CO-04037"</f>
        <v>TOMADA DINI 550MM POS5/1433/81 CO-04037</v>
      </c>
      <c r="C24064" s="2" t="str">
        <f t="shared" si="947"/>
        <v>UN</v>
      </c>
      <c r="D24064" s="7">
        <v>811</v>
      </c>
      <c r="E24064" s="3">
        <v>11</v>
      </c>
      <c r="F24064" s="3">
        <v>11</v>
      </c>
      <c r="G24064" t="s">
        <v>512</v>
      </c>
    </row>
    <row r="24065" spans="1:7" x14ac:dyDescent="0.25">
      <c r="A24065" s="1" t="str">
        <f>"511021"</f>
        <v>511021</v>
      </c>
      <c r="B24065" s="2" t="str">
        <f>"TOMADA DUPLA + ESPELHO P/ COND. 1"""</f>
        <v>TOMADA DUPLA + ESPELHO P/ COND. 1"</v>
      </c>
      <c r="C24065" s="2" t="str">
        <f t="shared" si="947"/>
        <v>UN</v>
      </c>
      <c r="D24065" s="7">
        <v>601</v>
      </c>
      <c r="E24065" s="3">
        <v>8</v>
      </c>
      <c r="F24065" s="3">
        <v>8</v>
      </c>
      <c r="G24065" t="s">
        <v>516</v>
      </c>
    </row>
    <row r="24066" spans="1:7" x14ac:dyDescent="0.25">
      <c r="A24066" s="1" t="str">
        <f>"503708"</f>
        <v>503708</v>
      </c>
      <c r="B24066" s="2" t="str">
        <f>"TOMADA DUPLA 10A 2P+T PIAL PLUS"</f>
        <v>TOMADA DUPLA 10A 2P+T PIAL PLUS</v>
      </c>
      <c r="C24066" s="2" t="str">
        <f t="shared" si="947"/>
        <v>UN</v>
      </c>
      <c r="D24066" s="7">
        <v>601</v>
      </c>
      <c r="E24066" s="3">
        <v>8</v>
      </c>
      <c r="F24066" s="3">
        <v>8</v>
      </c>
      <c r="G24066" t="s">
        <v>515</v>
      </c>
    </row>
    <row r="24067" spans="1:7" x14ac:dyDescent="0.25">
      <c r="A24067" s="1" t="str">
        <f>"510252"</f>
        <v>510252</v>
      </c>
      <c r="B24067" s="2" t="str">
        <f>"TOMADA DUPLA 20A 2P+T"</f>
        <v>TOMADA DUPLA 20A 2P+T</v>
      </c>
      <c r="C24067" s="2" t="str">
        <f t="shared" si="947"/>
        <v>UN</v>
      </c>
      <c r="D24067" s="7">
        <v>900</v>
      </c>
      <c r="E24067" s="3">
        <v>11</v>
      </c>
      <c r="F24067" s="3">
        <v>11</v>
      </c>
      <c r="G24067" t="s">
        <v>514</v>
      </c>
    </row>
    <row r="24068" spans="1:7" x14ac:dyDescent="0.25">
      <c r="A24068" s="1" t="str">
        <f>"508553"</f>
        <v>508553</v>
      </c>
      <c r="B24068" s="2" t="str">
        <f>"TOMADA E FILTRO DE LINHA WILLET"</f>
        <v>TOMADA E FILTRO DE LINHA WILLET</v>
      </c>
      <c r="C24068" s="2" t="str">
        <f t="shared" si="947"/>
        <v>UN</v>
      </c>
      <c r="D24068" s="7">
        <v>900</v>
      </c>
      <c r="E24068" s="3">
        <v>11</v>
      </c>
      <c r="F24068" s="3">
        <v>11</v>
      </c>
      <c r="G24068" t="s">
        <v>512</v>
      </c>
    </row>
    <row r="24069" spans="1:7" x14ac:dyDescent="0.25">
      <c r="A24069" s="1" t="str">
        <f>"509537"</f>
        <v>509537</v>
      </c>
      <c r="B24069" s="2" t="str">
        <f>"TOMADA EM BARRA 4 PONTOS COM TERRA 2P+T"</f>
        <v>TOMADA EM BARRA 4 PONTOS COM TERRA 2P+T</v>
      </c>
      <c r="C24069" s="2" t="str">
        <f t="shared" si="947"/>
        <v>UN</v>
      </c>
      <c r="D24069" s="7">
        <v>900</v>
      </c>
      <c r="E24069" s="3">
        <v>11</v>
      </c>
      <c r="F24069" s="3">
        <v>11</v>
      </c>
      <c r="G24069" t="s">
        <v>513</v>
      </c>
    </row>
    <row r="24070" spans="1:7" x14ac:dyDescent="0.25">
      <c r="A24070" s="1" t="str">
        <f>"508731"</f>
        <v>508731</v>
      </c>
      <c r="B24070" s="2" t="str">
        <f>"TOMADA ENGATE MACHO/FEMEA"</f>
        <v>TOMADA ENGATE MACHO/FEMEA</v>
      </c>
      <c r="C24070" s="2" t="str">
        <f t="shared" si="947"/>
        <v>UN</v>
      </c>
      <c r="D24070" s="7">
        <v>704</v>
      </c>
      <c r="E24070" s="3">
        <v>9</v>
      </c>
      <c r="F24070" s="3">
        <v>9</v>
      </c>
      <c r="G24070" t="s">
        <v>514</v>
      </c>
    </row>
    <row r="24071" spans="1:7" x14ac:dyDescent="0.25">
      <c r="A24071" s="1" t="str">
        <f>"501508"</f>
        <v>501508</v>
      </c>
      <c r="B24071" s="2" t="str">
        <f>"TOMADA EXTERNA 3 PINOS - CINZA"</f>
        <v>TOMADA EXTERNA 3 PINOS - CINZA</v>
      </c>
      <c r="C24071" s="2" t="str">
        <f t="shared" si="947"/>
        <v>UN</v>
      </c>
      <c r="D24071" s="7">
        <v>601</v>
      </c>
      <c r="E24071" s="3">
        <v>8</v>
      </c>
      <c r="F24071" s="3">
        <v>8</v>
      </c>
      <c r="G24071" t="s">
        <v>514</v>
      </c>
    </row>
    <row r="24072" spans="1:7" x14ac:dyDescent="0.25">
      <c r="A24072" s="1" t="str">
        <f>"500006"</f>
        <v>500006</v>
      </c>
      <c r="B24072" s="2" t="str">
        <f>"TOMADA FEMEA 2P+T 10A"</f>
        <v>TOMADA FEMEA 2P+T 10A</v>
      </c>
      <c r="C24072" s="2" t="str">
        <f t="shared" si="947"/>
        <v>UN</v>
      </c>
      <c r="D24072" s="7">
        <v>601</v>
      </c>
      <c r="E24072" s="3">
        <v>8</v>
      </c>
      <c r="F24072" s="3">
        <v>8</v>
      </c>
      <c r="G24072" t="s">
        <v>512</v>
      </c>
    </row>
    <row r="24073" spans="1:7" x14ac:dyDescent="0.25">
      <c r="A24073" s="1" t="str">
        <f>"519520"</f>
        <v>519520</v>
      </c>
      <c r="B24073" s="8" t="s">
        <v>113</v>
      </c>
      <c r="C24073" s="2" t="str">
        <f t="shared" si="947"/>
        <v>UN</v>
      </c>
      <c r="D24073" s="7">
        <v>914</v>
      </c>
      <c r="E24073" s="3">
        <v>11</v>
      </c>
      <c r="F24073" s="3">
        <v>11</v>
      </c>
      <c r="G24073" t="s">
        <v>513</v>
      </c>
    </row>
    <row r="24074" spans="1:7" x14ac:dyDescent="0.25">
      <c r="A24074" s="1" t="str">
        <f>"517469"</f>
        <v>517469</v>
      </c>
      <c r="B24074" s="2" t="str">
        <f>"TOMADA LUMIBRÁS 3 X 20A"</f>
        <v>TOMADA LUMIBRÁS 3 X 20A</v>
      </c>
      <c r="C24074" s="2" t="str">
        <f t="shared" si="947"/>
        <v>UN</v>
      </c>
      <c r="D24074" s="7">
        <v>811</v>
      </c>
      <c r="E24074" s="3">
        <v>8</v>
      </c>
      <c r="F24074" s="3">
        <v>8</v>
      </c>
      <c r="G24074" t="s">
        <v>514</v>
      </c>
    </row>
    <row r="24075" spans="1:7" x14ac:dyDescent="0.25">
      <c r="A24075" s="1" t="str">
        <f>"514008"</f>
        <v>514008</v>
      </c>
      <c r="B24075" s="2" t="str">
        <f>"TOMADA MACHO DO GATILHO ORIGO TIG"</f>
        <v>TOMADA MACHO DO GATILHO ORIGO TIG</v>
      </c>
      <c r="C24075" s="2" t="str">
        <f t="shared" si="947"/>
        <v>UN</v>
      </c>
      <c r="D24075" s="7">
        <v>811</v>
      </c>
      <c r="E24075" s="3">
        <v>8</v>
      </c>
      <c r="F24075" s="3">
        <v>8</v>
      </c>
      <c r="G24075" t="s">
        <v>514</v>
      </c>
    </row>
    <row r="24076" spans="1:7" x14ac:dyDescent="0.25">
      <c r="A24076" s="1" t="str">
        <f>"509383"</f>
        <v>509383</v>
      </c>
      <c r="B24076" s="2" t="str">
        <f>"TOMADA P/ AR CONDICIONADO"</f>
        <v>TOMADA P/ AR CONDICIONADO</v>
      </c>
      <c r="C24076" s="2" t="str">
        <f t="shared" si="947"/>
        <v>UN</v>
      </c>
      <c r="D24076" s="7">
        <v>601</v>
      </c>
      <c r="E24076" s="3">
        <v>8</v>
      </c>
      <c r="F24076" s="3">
        <v>8</v>
      </c>
      <c r="G24076" t="s">
        <v>514</v>
      </c>
    </row>
    <row r="24077" spans="1:7" x14ac:dyDescent="0.25">
      <c r="A24077" s="1" t="str">
        <f>"511102"</f>
        <v>511102</v>
      </c>
      <c r="B24077" s="2" t="str">
        <f>"TOMADA P/ CONDULETE 2P+T"</f>
        <v>TOMADA P/ CONDULETE 2P+T</v>
      </c>
      <c r="C24077" s="2" t="str">
        <f t="shared" si="947"/>
        <v>UN</v>
      </c>
      <c r="D24077" s="7">
        <v>601</v>
      </c>
      <c r="E24077" s="3">
        <v>8</v>
      </c>
      <c r="F24077" s="3">
        <v>8</v>
      </c>
      <c r="G24077" t="s">
        <v>513</v>
      </c>
    </row>
    <row r="24078" spans="1:7" x14ac:dyDescent="0.25">
      <c r="A24078" s="1" t="str">
        <f>"511422"</f>
        <v>511422</v>
      </c>
      <c r="B24078" s="2" t="str">
        <f>"TOMADA P/ TELEFONE CONDULETE 3/4"""</f>
        <v>TOMADA P/ TELEFONE CONDULETE 3/4"</v>
      </c>
      <c r="C24078" s="2" t="str">
        <f t="shared" si="947"/>
        <v>UN</v>
      </c>
      <c r="D24078" s="7">
        <v>601</v>
      </c>
      <c r="E24078" s="3">
        <v>8</v>
      </c>
      <c r="F24078" s="3">
        <v>8</v>
      </c>
      <c r="G24078" t="s">
        <v>512</v>
      </c>
    </row>
    <row r="24079" spans="1:7" x14ac:dyDescent="0.25">
      <c r="A24079" s="1" t="str">
        <f>"525325"</f>
        <v>525325</v>
      </c>
      <c r="B24079" s="2" t="str">
        <f>"TOMADA PADRÃO BRASIL DE EMBUTIR 4X2 VERM. 220Vac"</f>
        <v>TOMADA PADRÃO BRASIL DE EMBUTIR 4X2 VERM. 220Vac</v>
      </c>
      <c r="C24079" s="2" t="str">
        <f t="shared" si="947"/>
        <v>UN</v>
      </c>
      <c r="D24079" s="7">
        <v>601</v>
      </c>
      <c r="E24079" s="3">
        <v>8</v>
      </c>
      <c r="F24079" s="3">
        <v>8</v>
      </c>
      <c r="G24079" t="s">
        <v>513</v>
      </c>
    </row>
    <row r="24080" spans="1:7" x14ac:dyDescent="0.25">
      <c r="A24080" s="1" t="str">
        <f>"522874"</f>
        <v>522874</v>
      </c>
      <c r="B24080" s="2" t="str">
        <f>"TOMADA PADRÃO BRASIL IP66 M95 10A CAIXA PRV D'AGUA 137.6421"</f>
        <v>TOMADA PADRÃO BRASIL IP66 M95 10A CAIXA PRV D'AGUA 137.6421</v>
      </c>
      <c r="C24080" s="2" t="str">
        <f t="shared" si="947"/>
        <v>UN</v>
      </c>
      <c r="D24080" s="7">
        <v>601</v>
      </c>
      <c r="E24080" s="3">
        <v>8</v>
      </c>
      <c r="F24080" s="3">
        <v>8</v>
      </c>
      <c r="G24080" t="s">
        <v>514</v>
      </c>
    </row>
    <row r="24081" spans="1:7" x14ac:dyDescent="0.25">
      <c r="A24081" s="1" t="str">
        <f>"516313"</f>
        <v>516313</v>
      </c>
      <c r="B24081" s="2" t="str">
        <f>"TOMADA PORCELANA TRIFASICA 3 x 30A"</f>
        <v>TOMADA PORCELANA TRIFASICA 3 x 30A</v>
      </c>
      <c r="C24081" s="2" t="str">
        <f t="shared" si="947"/>
        <v>UN</v>
      </c>
      <c r="D24081" s="7">
        <v>1500</v>
      </c>
      <c r="E24081" s="3">
        <v>8</v>
      </c>
      <c r="F24081" s="3">
        <v>8</v>
      </c>
      <c r="G24081" t="s">
        <v>514</v>
      </c>
    </row>
    <row r="24082" spans="1:7" x14ac:dyDescent="0.25">
      <c r="A24082" s="1" t="str">
        <f>"509300"</f>
        <v>509300</v>
      </c>
      <c r="B24082" s="2" t="str">
        <f>"TOMADA REDONDA PISO HASTE CURTA 2P+T 10A PT REF. 9774-8"</f>
        <v>TOMADA REDONDA PISO HASTE CURTA 2P+T 10A PT REF. 9774-8</v>
      </c>
      <c r="C24082" s="2" t="str">
        <f t="shared" si="947"/>
        <v>UN</v>
      </c>
      <c r="D24082" s="7">
        <v>601</v>
      </c>
      <c r="E24082" s="3">
        <v>8</v>
      </c>
      <c r="F24082" s="3">
        <v>8</v>
      </c>
      <c r="G24082" t="s">
        <v>514</v>
      </c>
    </row>
    <row r="24083" spans="1:7" x14ac:dyDescent="0.25">
      <c r="A24083" s="1" t="str">
        <f>"521280"</f>
        <v>521280</v>
      </c>
      <c r="B24083" s="2" t="str">
        <f>"TOMADA RJ45 CAT6"</f>
        <v>TOMADA RJ45 CAT6</v>
      </c>
      <c r="C24083" s="2" t="str">
        <f t="shared" si="947"/>
        <v>UN</v>
      </c>
      <c r="D24083" s="7">
        <v>811</v>
      </c>
      <c r="E24083" s="3">
        <v>8</v>
      </c>
      <c r="F24083" s="3">
        <v>8</v>
      </c>
      <c r="G24083" t="s">
        <v>513</v>
      </c>
    </row>
    <row r="24084" spans="1:7" x14ac:dyDescent="0.25">
      <c r="A24084" s="1" t="str">
        <f>"511117"</f>
        <v>511117</v>
      </c>
      <c r="B24084" s="2" t="str">
        <f>"TOMADA SIMPLES 10A 2P+T"</f>
        <v>TOMADA SIMPLES 10A 2P+T</v>
      </c>
      <c r="C24084" s="2" t="str">
        <f t="shared" si="947"/>
        <v>UN</v>
      </c>
      <c r="D24084" s="7">
        <v>601</v>
      </c>
      <c r="E24084" s="3">
        <v>8</v>
      </c>
      <c r="F24084" s="3">
        <v>8</v>
      </c>
      <c r="G24084" t="s">
        <v>513</v>
      </c>
    </row>
    <row r="24085" spans="1:7" x14ac:dyDescent="0.25">
      <c r="A24085" s="1" t="str">
        <f>"522046"</f>
        <v>522046</v>
      </c>
      <c r="B24085" s="2" t="str">
        <f>"TOMADA SIMPLES 20A 2P+T"</f>
        <v>TOMADA SIMPLES 20A 2P+T</v>
      </c>
      <c r="C24085" s="2" t="str">
        <f t="shared" si="947"/>
        <v>UN</v>
      </c>
      <c r="D24085" s="7">
        <v>601</v>
      </c>
      <c r="E24085" s="3">
        <v>8</v>
      </c>
      <c r="F24085" s="3">
        <v>8</v>
      </c>
      <c r="G24085" t="s">
        <v>513</v>
      </c>
    </row>
    <row r="24086" spans="1:7" x14ac:dyDescent="0.25">
      <c r="A24086" s="1" t="str">
        <f>"514497"</f>
        <v>514497</v>
      </c>
      <c r="B24086" s="2" t="str">
        <f>"TOMADA SIMPLES 2P + T C/ INTERRUPTOR"</f>
        <v>TOMADA SIMPLES 2P + T C/ INTERRUPTOR</v>
      </c>
      <c r="C24086" s="2" t="str">
        <f t="shared" si="947"/>
        <v>UN</v>
      </c>
      <c r="D24086" s="7">
        <v>704</v>
      </c>
      <c r="E24086" s="3">
        <v>9</v>
      </c>
      <c r="F24086" s="3">
        <v>9</v>
      </c>
      <c r="G24086" t="s">
        <v>512</v>
      </c>
    </row>
    <row r="24087" spans="1:7" x14ac:dyDescent="0.25">
      <c r="A24087" s="1" t="str">
        <f>"521831"</f>
        <v>521831</v>
      </c>
      <c r="B24087" s="2" t="str">
        <f>"TOMADA SOBREPOR STECK 5 PINOS 16A"</f>
        <v>TOMADA SOBREPOR STECK 5 PINOS 16A</v>
      </c>
      <c r="C24087" s="2" t="str">
        <f>"PC"</f>
        <v>PC</v>
      </c>
      <c r="D24087" s="7">
        <v>601</v>
      </c>
      <c r="E24087" s="3">
        <v>8</v>
      </c>
      <c r="F24087" s="3">
        <v>8</v>
      </c>
      <c r="G24087" t="s">
        <v>513</v>
      </c>
    </row>
    <row r="24088" spans="1:7" x14ac:dyDescent="0.25">
      <c r="A24088" s="1" t="str">
        <f>"521832"</f>
        <v>521832</v>
      </c>
      <c r="B24088" s="2" t="str">
        <f>"TOMADA SOBREPOR STECK 5 PINOS 32A"</f>
        <v>TOMADA SOBREPOR STECK 5 PINOS 32A</v>
      </c>
      <c r="C24088" s="2" t="str">
        <f>"PC"</f>
        <v>PC</v>
      </c>
      <c r="D24088" s="7">
        <v>601</v>
      </c>
      <c r="E24088" s="3">
        <v>8</v>
      </c>
      <c r="F24088" s="3">
        <v>8</v>
      </c>
      <c r="G24088" t="s">
        <v>514</v>
      </c>
    </row>
    <row r="24089" spans="1:7" x14ac:dyDescent="0.25">
      <c r="A24089" s="1" t="str">
        <f>"502610"</f>
        <v>502610</v>
      </c>
      <c r="B24089" s="2" t="str">
        <f>"TOMADA STECK DE EMBUTIR  S-4046 380V"</f>
        <v>TOMADA STECK DE EMBUTIR  S-4046 380V</v>
      </c>
      <c r="C24089" s="2" t="str">
        <f>"UN"</f>
        <v>UN</v>
      </c>
      <c r="D24089" s="7">
        <v>601</v>
      </c>
      <c r="E24089" s="3">
        <v>8</v>
      </c>
      <c r="F24089" s="3">
        <v>8</v>
      </c>
      <c r="G24089" t="s">
        <v>515</v>
      </c>
    </row>
    <row r="24090" spans="1:7" x14ac:dyDescent="0.25">
      <c r="A24090" s="1" t="str">
        <f>"500916"</f>
        <v>500916</v>
      </c>
      <c r="B24090" s="2" t="str">
        <f>"TOMADA STECK DE SOBREPOR N-4006 380V 16A"</f>
        <v>TOMADA STECK DE SOBREPOR N-4006 380V 16A</v>
      </c>
      <c r="C24090" s="2" t="str">
        <f>"UN"</f>
        <v>UN</v>
      </c>
      <c r="D24090" s="7">
        <v>601</v>
      </c>
      <c r="E24090" s="3">
        <v>8</v>
      </c>
      <c r="F24090" s="3">
        <v>8</v>
      </c>
      <c r="G24090" t="s">
        <v>512</v>
      </c>
    </row>
    <row r="24091" spans="1:7" x14ac:dyDescent="0.25">
      <c r="A24091" s="1" t="str">
        <f>"508459"</f>
        <v>508459</v>
      </c>
      <c r="B24091" s="2" t="str">
        <f>"TOMADA STECK DE SOBREPOR N-4206 380V 32A"</f>
        <v>TOMADA STECK DE SOBREPOR N-4206 380V 32A</v>
      </c>
      <c r="C24091" s="2" t="str">
        <f>"PC"</f>
        <v>PC</v>
      </c>
      <c r="D24091" s="7">
        <v>601</v>
      </c>
      <c r="E24091" s="3">
        <v>8</v>
      </c>
      <c r="F24091" s="3">
        <v>8</v>
      </c>
      <c r="G24091" t="s">
        <v>516</v>
      </c>
    </row>
    <row r="24092" spans="1:7" x14ac:dyDescent="0.25">
      <c r="A24092" s="1" t="str">
        <f>"505043"</f>
        <v>505043</v>
      </c>
      <c r="B24092" s="2" t="str">
        <f>"TOMADA STECK DE SOBREPOR S-4009 220V"</f>
        <v>TOMADA STECK DE SOBREPOR S-4009 220V</v>
      </c>
      <c r="C24092" s="2" t="str">
        <f t="shared" ref="C24092:C24128" si="948">"UN"</f>
        <v>UN</v>
      </c>
      <c r="D24092" s="7">
        <v>601</v>
      </c>
      <c r="E24092" s="3">
        <v>8</v>
      </c>
      <c r="F24092" s="3">
        <v>8</v>
      </c>
      <c r="G24092" t="s">
        <v>515</v>
      </c>
    </row>
    <row r="24093" spans="1:7" x14ac:dyDescent="0.25">
      <c r="A24093" s="1" t="str">
        <f>"525446"</f>
        <v>525446</v>
      </c>
      <c r="B24093" s="2" t="str">
        <f>"TOMADA TASCO P/PAINEL 10A P/ FIXACAO EM TRILHO COD.13535"</f>
        <v>TOMADA TASCO P/PAINEL 10A P/ FIXACAO EM TRILHO COD.13535</v>
      </c>
      <c r="C24093" s="2" t="str">
        <f t="shared" si="948"/>
        <v>UN</v>
      </c>
      <c r="D24093" s="7">
        <v>811</v>
      </c>
      <c r="E24093" s="3">
        <v>11</v>
      </c>
      <c r="F24093" s="3">
        <v>11</v>
      </c>
      <c r="G24093" t="s">
        <v>514</v>
      </c>
    </row>
    <row r="24094" spans="1:7" x14ac:dyDescent="0.25">
      <c r="A24094" s="1" t="str">
        <f>"509304"</f>
        <v>509304</v>
      </c>
      <c r="B24094" s="2" t="str">
        <f>"TOMADA TPA CEGA TC-I 20 1"" 014"</f>
        <v>TOMADA TPA CEGA TC-I 20 1" 014</v>
      </c>
      <c r="C24094" s="2" t="str">
        <f t="shared" si="948"/>
        <v>UN</v>
      </c>
      <c r="D24094" s="7">
        <v>900</v>
      </c>
      <c r="E24094" s="3">
        <v>11</v>
      </c>
      <c r="F24094" s="3">
        <v>11</v>
      </c>
      <c r="G24094" t="s">
        <v>512</v>
      </c>
    </row>
    <row r="24095" spans="1:7" x14ac:dyDescent="0.25">
      <c r="A24095" s="1" t="str">
        <f>"523209"</f>
        <v>523209</v>
      </c>
      <c r="B24095" s="2" t="str">
        <f>"TOMADA TRIFASICO SOBREPOR 16A IP67 4 POLOS A PROVA D'AGUA"</f>
        <v>TOMADA TRIFASICO SOBREPOR 16A IP67 4 POLOS A PROVA D'AGUA</v>
      </c>
      <c r="C24095" s="2" t="str">
        <f t="shared" si="948"/>
        <v>UN</v>
      </c>
      <c r="D24095" s="7">
        <v>811</v>
      </c>
      <c r="E24095" s="3">
        <v>10</v>
      </c>
      <c r="F24095" s="3">
        <v>10</v>
      </c>
      <c r="G24095" t="s">
        <v>513</v>
      </c>
    </row>
    <row r="24096" spans="1:7" x14ac:dyDescent="0.25">
      <c r="A24096" s="1" t="str">
        <f>"505956"</f>
        <v>505956</v>
      </c>
      <c r="B24096" s="2" t="str">
        <f>"TOMADA UNI. 10/15A VT 250V"</f>
        <v>TOMADA UNI. 10/15A VT 250V</v>
      </c>
      <c r="C24096" s="2" t="str">
        <f t="shared" si="948"/>
        <v>UN</v>
      </c>
      <c r="D24096" s="7">
        <v>601</v>
      </c>
      <c r="E24096" s="3">
        <v>8</v>
      </c>
      <c r="F24096" s="3">
        <v>8</v>
      </c>
      <c r="G24096" t="s">
        <v>514</v>
      </c>
    </row>
    <row r="24097" spans="1:7" x14ac:dyDescent="0.25">
      <c r="A24097" s="1" t="str">
        <f>"522434"</f>
        <v>522434</v>
      </c>
      <c r="B24097" s="2" t="str">
        <f>"TOMADA UNIVERSAL 20A 4X2 BRANCA"</f>
        <v>TOMADA UNIVERSAL 20A 4X2 BRANCA</v>
      </c>
      <c r="C24097" s="2" t="str">
        <f t="shared" si="948"/>
        <v>UN</v>
      </c>
      <c r="D24097" s="7">
        <v>811</v>
      </c>
      <c r="E24097" s="3">
        <v>10</v>
      </c>
      <c r="F24097" s="3">
        <v>10</v>
      </c>
      <c r="G24097" t="s">
        <v>514</v>
      </c>
    </row>
    <row r="24098" spans="1:7" x14ac:dyDescent="0.25">
      <c r="A24098" s="1" t="str">
        <f>"527403"</f>
        <v>527403</v>
      </c>
      <c r="B24098" s="2" t="str">
        <f>"TOMADAS 10 AMP  AQUATIC PIAL LEGRAND CÓD. 64218"</f>
        <v>TOMADAS 10 AMP  AQUATIC PIAL LEGRAND CÓD. 64218</v>
      </c>
      <c r="C24098" s="2" t="str">
        <f t="shared" si="948"/>
        <v>UN</v>
      </c>
      <c r="D24098" s="7">
        <v>811</v>
      </c>
      <c r="E24098" s="3">
        <v>8</v>
      </c>
      <c r="F24098" s="3">
        <v>8</v>
      </c>
      <c r="G24098" t="s">
        <v>512</v>
      </c>
    </row>
    <row r="24099" spans="1:7" x14ac:dyDescent="0.25">
      <c r="A24099" s="1" t="str">
        <f>"527655"</f>
        <v>527655</v>
      </c>
      <c r="B24099" s="2" t="str">
        <f>"TOMADAS 20 AMP  AQUATIC PIAL LEGRAND CÓD. 64219"</f>
        <v>TOMADAS 20 AMP  AQUATIC PIAL LEGRAND CÓD. 64219</v>
      </c>
      <c r="C24099" s="2" t="str">
        <f t="shared" si="948"/>
        <v>UN</v>
      </c>
      <c r="D24099" s="7">
        <v>811</v>
      </c>
      <c r="E24099" s="3">
        <v>8</v>
      </c>
      <c r="F24099" s="3">
        <v>8</v>
      </c>
      <c r="G24099" t="s">
        <v>513</v>
      </c>
    </row>
    <row r="24100" spans="1:7" x14ac:dyDescent="0.25">
      <c r="A24100" s="1" t="str">
        <f>"510522"</f>
        <v>510522</v>
      </c>
      <c r="B24100" s="2" t="str">
        <f>"TOMATE"</f>
        <v>TOMATE</v>
      </c>
      <c r="C24100" s="2" t="str">
        <f t="shared" si="948"/>
        <v>UN</v>
      </c>
      <c r="D24100" s="7">
        <v>401</v>
      </c>
      <c r="E24100" s="3">
        <v>4</v>
      </c>
      <c r="F24100" s="3">
        <v>4</v>
      </c>
      <c r="G24100" t="s">
        <v>514</v>
      </c>
    </row>
    <row r="24101" spans="1:7" x14ac:dyDescent="0.25">
      <c r="A24101" s="1" t="str">
        <f>"526292"</f>
        <v>526292</v>
      </c>
      <c r="B24101" s="2" t="str">
        <f>"TOMATE SECO"</f>
        <v>TOMATE SECO</v>
      </c>
      <c r="C24101" s="2" t="str">
        <f t="shared" si="948"/>
        <v>UN</v>
      </c>
      <c r="D24101" s="7">
        <v>99999</v>
      </c>
      <c r="E24101" s="3">
        <v>99</v>
      </c>
      <c r="F24101" s="3">
        <v>99</v>
      </c>
      <c r="G24101" t="s">
        <v>514</v>
      </c>
    </row>
    <row r="24102" spans="1:7" x14ac:dyDescent="0.25">
      <c r="A24102" s="1" t="str">
        <f>"511718"</f>
        <v>511718</v>
      </c>
      <c r="B24102" s="2" t="str">
        <f>"TOMBADOR DE PS MODELO HT-36502"</f>
        <v>TOMBADOR DE PS MODELO HT-36502</v>
      </c>
      <c r="C24102" s="2" t="str">
        <f t="shared" si="948"/>
        <v>UN</v>
      </c>
      <c r="D24102" s="7">
        <v>1300</v>
      </c>
      <c r="E24102" s="3">
        <v>13</v>
      </c>
      <c r="F24102" s="3">
        <v>13</v>
      </c>
      <c r="G24102" t="s">
        <v>514</v>
      </c>
    </row>
    <row r="24103" spans="1:7" x14ac:dyDescent="0.25">
      <c r="A24103" s="1" t="str">
        <f>"523610"</f>
        <v>523610</v>
      </c>
      <c r="B24103" s="2" t="str">
        <f>"TONER BROTHER 2470"</f>
        <v>TONER BROTHER 2470</v>
      </c>
      <c r="C24103" s="2" t="str">
        <f t="shared" si="948"/>
        <v>UN</v>
      </c>
      <c r="D24103" s="7">
        <v>401</v>
      </c>
      <c r="E24103" s="3">
        <v>4</v>
      </c>
      <c r="F24103" s="3">
        <v>4</v>
      </c>
      <c r="G24103" t="s">
        <v>513</v>
      </c>
    </row>
    <row r="24104" spans="1:7" x14ac:dyDescent="0.25">
      <c r="A24104" s="1" t="str">
        <f>"524108"</f>
        <v>524108</v>
      </c>
      <c r="B24104" s="2" t="str">
        <f>"TONER BROTHER 3472"</f>
        <v>TONER BROTHER 3472</v>
      </c>
      <c r="C24104" s="2" t="str">
        <f t="shared" si="948"/>
        <v>UN</v>
      </c>
      <c r="D24104" s="7">
        <v>401</v>
      </c>
      <c r="E24104" s="3">
        <v>4</v>
      </c>
      <c r="F24104" s="3">
        <v>4</v>
      </c>
      <c r="G24104" t="s">
        <v>512</v>
      </c>
    </row>
    <row r="24105" spans="1:7" x14ac:dyDescent="0.25">
      <c r="A24105" s="1" t="str">
        <f>"515740"</f>
        <v>515740</v>
      </c>
      <c r="B24105" s="2" t="str">
        <f>"TONER BROTHER 7040"</f>
        <v>TONER BROTHER 7040</v>
      </c>
      <c r="C24105" s="2" t="str">
        <f t="shared" si="948"/>
        <v>UN</v>
      </c>
      <c r="D24105" s="7">
        <v>401</v>
      </c>
      <c r="E24105" s="3">
        <v>4</v>
      </c>
      <c r="F24105" s="3">
        <v>4</v>
      </c>
      <c r="G24105" t="s">
        <v>513</v>
      </c>
    </row>
    <row r="24106" spans="1:7" x14ac:dyDescent="0.25">
      <c r="A24106" s="1" t="str">
        <f>"519611"</f>
        <v>519611</v>
      </c>
      <c r="B24106" s="2" t="str">
        <f>"TONER BROTHER 7055"</f>
        <v>TONER BROTHER 7055</v>
      </c>
      <c r="C24106" s="2" t="str">
        <f t="shared" si="948"/>
        <v>UN</v>
      </c>
      <c r="D24106" s="7">
        <v>401</v>
      </c>
      <c r="E24106" s="3">
        <v>4</v>
      </c>
      <c r="F24106" s="3">
        <v>4</v>
      </c>
      <c r="G24106" t="s">
        <v>514</v>
      </c>
    </row>
    <row r="24107" spans="1:7" x14ac:dyDescent="0.25">
      <c r="A24107" s="1" t="str">
        <f>"6688"</f>
        <v>6688</v>
      </c>
      <c r="B24107" s="2" t="str">
        <f>"TONER BROTHER 8085 PO"</f>
        <v>TONER BROTHER 8085 PO</v>
      </c>
      <c r="C24107" s="2" t="str">
        <f t="shared" si="948"/>
        <v>UN</v>
      </c>
      <c r="D24107" s="7">
        <v>401</v>
      </c>
      <c r="E24107" s="3">
        <v>4</v>
      </c>
      <c r="F24107" s="3">
        <v>4</v>
      </c>
      <c r="G24107" t="s">
        <v>514</v>
      </c>
    </row>
    <row r="24108" spans="1:7" x14ac:dyDescent="0.25">
      <c r="A24108" s="1" t="str">
        <f>"6354"</f>
        <v>6354</v>
      </c>
      <c r="B24108" s="2" t="str">
        <f>"TONER BROTHER 8152"</f>
        <v>TONER BROTHER 8152</v>
      </c>
      <c r="C24108" s="2" t="str">
        <f t="shared" si="948"/>
        <v>UN</v>
      </c>
      <c r="D24108" s="7">
        <v>401</v>
      </c>
      <c r="E24108" s="3">
        <v>4</v>
      </c>
      <c r="F24108" s="3">
        <v>4</v>
      </c>
      <c r="G24108" t="s">
        <v>514</v>
      </c>
    </row>
    <row r="24109" spans="1:7" x14ac:dyDescent="0.25">
      <c r="A24109" s="1" t="str">
        <f>"514984"</f>
        <v>514984</v>
      </c>
      <c r="B24109" s="2" t="str">
        <f>"TONER BROTHER COLORIDO"</f>
        <v>TONER BROTHER COLORIDO</v>
      </c>
      <c r="C24109" s="2" t="str">
        <f t="shared" si="948"/>
        <v>UN</v>
      </c>
      <c r="D24109" s="7">
        <v>401</v>
      </c>
      <c r="E24109" s="3">
        <v>4</v>
      </c>
      <c r="F24109" s="3">
        <v>4</v>
      </c>
      <c r="G24109" t="s">
        <v>513</v>
      </c>
    </row>
    <row r="24110" spans="1:7" x14ac:dyDescent="0.25">
      <c r="A24110" s="1" t="str">
        <f>"521583"</f>
        <v>521583</v>
      </c>
      <c r="B24110" s="2" t="str">
        <f>"TONER BROTHER TN580/85A"</f>
        <v>TONER BROTHER TN580/85A</v>
      </c>
      <c r="C24110" s="2" t="str">
        <f t="shared" si="948"/>
        <v>UN</v>
      </c>
      <c r="D24110" s="7">
        <v>401</v>
      </c>
      <c r="E24110" s="3">
        <v>4</v>
      </c>
      <c r="F24110" s="3">
        <v>4</v>
      </c>
      <c r="G24110" t="s">
        <v>513</v>
      </c>
    </row>
    <row r="24111" spans="1:7" x14ac:dyDescent="0.25">
      <c r="A24111" s="1" t="str">
        <f>"506386"</f>
        <v>506386</v>
      </c>
      <c r="B24111" s="2" t="str">
        <f>"TONER CB436A - HP LASERJET M1120"</f>
        <v>TONER CB436A - HP LASERJET M1120</v>
      </c>
      <c r="C24111" s="2" t="str">
        <f t="shared" si="948"/>
        <v>UN</v>
      </c>
      <c r="D24111" s="7">
        <v>403</v>
      </c>
      <c r="E24111" s="3">
        <v>4</v>
      </c>
      <c r="F24111" s="3">
        <v>4</v>
      </c>
      <c r="G24111" t="s">
        <v>513</v>
      </c>
    </row>
    <row r="24112" spans="1:7" x14ac:dyDescent="0.25">
      <c r="A24112" s="1" t="str">
        <f>"513794"</f>
        <v>513794</v>
      </c>
      <c r="B24112" s="2" t="str">
        <f>"TONER HP 05A"</f>
        <v>TONER HP 05A</v>
      </c>
      <c r="C24112" s="2" t="str">
        <f t="shared" si="948"/>
        <v>UN</v>
      </c>
      <c r="D24112" s="7">
        <v>401</v>
      </c>
      <c r="E24112" s="3">
        <v>4</v>
      </c>
      <c r="F24112" s="3">
        <v>4</v>
      </c>
      <c r="G24112" t="s">
        <v>512</v>
      </c>
    </row>
    <row r="24113" spans="1:7" x14ac:dyDescent="0.25">
      <c r="A24113" s="1" t="str">
        <f>"527442"</f>
        <v>527442</v>
      </c>
      <c r="B24113" s="2" t="str">
        <f>"TONER HP 200 COLORIDO"</f>
        <v>TONER HP 200 COLORIDO</v>
      </c>
      <c r="C24113" s="2" t="str">
        <f t="shared" si="948"/>
        <v>UN</v>
      </c>
      <c r="D24113" s="7">
        <v>401</v>
      </c>
      <c r="E24113" s="3">
        <v>4</v>
      </c>
      <c r="F24113" s="3">
        <v>4</v>
      </c>
      <c r="G24113" t="s">
        <v>513</v>
      </c>
    </row>
    <row r="24114" spans="1:7" x14ac:dyDescent="0.25">
      <c r="A24114" s="1" t="str">
        <f>"520698"</f>
        <v>520698</v>
      </c>
      <c r="B24114" s="2" t="str">
        <f>"TONER HP 285A COMPATIVEL"</f>
        <v>TONER HP 285A COMPATIVEL</v>
      </c>
      <c r="C24114" s="2" t="str">
        <f t="shared" si="948"/>
        <v>UN</v>
      </c>
      <c r="D24114" s="7">
        <v>99999</v>
      </c>
      <c r="E24114" s="3">
        <v>99</v>
      </c>
      <c r="F24114" s="3">
        <v>99</v>
      </c>
      <c r="G24114" t="s">
        <v>514</v>
      </c>
    </row>
    <row r="24115" spans="1:7" x14ac:dyDescent="0.25">
      <c r="A24115" s="1" t="str">
        <f>"6335"</f>
        <v>6335</v>
      </c>
      <c r="B24115" s="2" t="str">
        <f>"TONER HP 35A"</f>
        <v>TONER HP 35A</v>
      </c>
      <c r="C24115" s="2" t="str">
        <f t="shared" si="948"/>
        <v>UN</v>
      </c>
      <c r="D24115" s="7">
        <v>401</v>
      </c>
      <c r="E24115" s="3">
        <v>4</v>
      </c>
      <c r="F24115" s="3">
        <v>4</v>
      </c>
      <c r="G24115" t="s">
        <v>515</v>
      </c>
    </row>
    <row r="24116" spans="1:7" x14ac:dyDescent="0.25">
      <c r="A24116" s="1" t="str">
        <f>"6336"</f>
        <v>6336</v>
      </c>
      <c r="B24116" s="2" t="str">
        <f>"TONER HP 36A"</f>
        <v>TONER HP 36A</v>
      </c>
      <c r="C24116" s="2" t="str">
        <f t="shared" si="948"/>
        <v>UN</v>
      </c>
      <c r="D24116" s="7">
        <v>401</v>
      </c>
      <c r="E24116" s="3">
        <v>4</v>
      </c>
      <c r="F24116" s="3">
        <v>4</v>
      </c>
      <c r="G24116" t="s">
        <v>512</v>
      </c>
    </row>
    <row r="24117" spans="1:7" x14ac:dyDescent="0.25">
      <c r="A24117" s="1" t="str">
        <f>"3428"</f>
        <v>3428</v>
      </c>
      <c r="B24117" s="2" t="str">
        <f>"TONER HP 49/53"</f>
        <v>TONER HP 49/53</v>
      </c>
      <c r="C24117" s="2" t="str">
        <f t="shared" si="948"/>
        <v>UN</v>
      </c>
      <c r="D24117" s="7">
        <v>401</v>
      </c>
      <c r="E24117" s="3">
        <v>4</v>
      </c>
      <c r="F24117" s="3">
        <v>4</v>
      </c>
      <c r="G24117" t="s">
        <v>516</v>
      </c>
    </row>
    <row r="24118" spans="1:7" x14ac:dyDescent="0.25">
      <c r="A24118" s="1" t="str">
        <f>"905"</f>
        <v>905</v>
      </c>
      <c r="B24118" s="2" t="str">
        <f>"TONER HP 500 COLORIDO"</f>
        <v>TONER HP 500 COLORIDO</v>
      </c>
      <c r="C24118" s="2" t="str">
        <f t="shared" si="948"/>
        <v>UN</v>
      </c>
      <c r="D24118" s="7">
        <v>401</v>
      </c>
      <c r="E24118" s="3">
        <v>4</v>
      </c>
      <c r="F24118" s="3">
        <v>4</v>
      </c>
      <c r="G24118" t="s">
        <v>515</v>
      </c>
    </row>
    <row r="24119" spans="1:7" x14ac:dyDescent="0.25">
      <c r="A24119" s="1" t="str">
        <f>"515185"</f>
        <v>515185</v>
      </c>
      <c r="B24119" s="2" t="str">
        <f>"TONER HP 53A"</f>
        <v>TONER HP 53A</v>
      </c>
      <c r="C24119" s="2" t="str">
        <f t="shared" si="948"/>
        <v>UN</v>
      </c>
      <c r="D24119" s="7">
        <v>401</v>
      </c>
      <c r="E24119" s="3">
        <v>4</v>
      </c>
      <c r="F24119" s="3">
        <v>4</v>
      </c>
      <c r="G24119" t="s">
        <v>514</v>
      </c>
    </row>
    <row r="24120" spans="1:7" x14ac:dyDescent="0.25">
      <c r="A24120" s="1" t="str">
        <f>"515186"</f>
        <v>515186</v>
      </c>
      <c r="B24120" s="2" t="str">
        <f>"TONER HP 53XL"</f>
        <v>TONER HP 53XL</v>
      </c>
      <c r="C24120" s="2" t="str">
        <f t="shared" si="948"/>
        <v>UN</v>
      </c>
      <c r="D24120" s="7">
        <v>401</v>
      </c>
      <c r="E24120" s="3">
        <v>4</v>
      </c>
      <c r="F24120" s="3">
        <v>4</v>
      </c>
      <c r="G24120" t="s">
        <v>512</v>
      </c>
    </row>
    <row r="24121" spans="1:7" x14ac:dyDescent="0.25">
      <c r="A24121" s="1" t="str">
        <f>"523970"</f>
        <v>523970</v>
      </c>
      <c r="B24121" s="2" t="str">
        <f>"TONER HP 78/1536"</f>
        <v>TONER HP 78/1536</v>
      </c>
      <c r="C24121" s="2" t="str">
        <f t="shared" si="948"/>
        <v>UN</v>
      </c>
      <c r="D24121" s="7">
        <v>401</v>
      </c>
      <c r="E24121" s="3">
        <v>4</v>
      </c>
      <c r="F24121" s="3">
        <v>4</v>
      </c>
      <c r="G24121" t="s">
        <v>513</v>
      </c>
    </row>
    <row r="24122" spans="1:7" x14ac:dyDescent="0.25">
      <c r="A24122" s="1" t="str">
        <f>"519769"</f>
        <v>519769</v>
      </c>
      <c r="B24122" s="2" t="str">
        <f>"TONER HP 83A"</f>
        <v>TONER HP 83A</v>
      </c>
      <c r="C24122" s="2" t="str">
        <f t="shared" si="948"/>
        <v>UN</v>
      </c>
      <c r="D24122" s="7">
        <v>401</v>
      </c>
      <c r="E24122" s="3">
        <v>4</v>
      </c>
      <c r="F24122" s="3">
        <v>4</v>
      </c>
      <c r="G24122" t="s">
        <v>514</v>
      </c>
    </row>
    <row r="24123" spans="1:7" x14ac:dyDescent="0.25">
      <c r="A24123" s="1" t="str">
        <f>"515766"</f>
        <v>515766</v>
      </c>
      <c r="B24123" s="2" t="str">
        <f>"TONER HP 85A"</f>
        <v>TONER HP 85A</v>
      </c>
      <c r="C24123" s="2" t="str">
        <f t="shared" si="948"/>
        <v>UN</v>
      </c>
      <c r="D24123" s="7">
        <v>401</v>
      </c>
      <c r="E24123" s="3">
        <v>4</v>
      </c>
      <c r="F24123" s="3">
        <v>4</v>
      </c>
      <c r="G24123" t="s">
        <v>514</v>
      </c>
    </row>
    <row r="24124" spans="1:7" x14ac:dyDescent="0.25">
      <c r="A24124" s="1" t="str">
        <f>"524107"</f>
        <v>524107</v>
      </c>
      <c r="B24124" s="2" t="str">
        <f>"TONER HP COLORIDO"</f>
        <v>TONER HP COLORIDO</v>
      </c>
      <c r="C24124" s="2" t="str">
        <f t="shared" si="948"/>
        <v>UN</v>
      </c>
      <c r="D24124" s="7">
        <v>401</v>
      </c>
      <c r="E24124" s="3">
        <v>4</v>
      </c>
      <c r="F24124" s="3">
        <v>4</v>
      </c>
      <c r="G24124" t="s">
        <v>512</v>
      </c>
    </row>
    <row r="24125" spans="1:7" x14ac:dyDescent="0.25">
      <c r="A24125" s="1" t="str">
        <f>"514983"</f>
        <v>514983</v>
      </c>
      <c r="B24125" s="2" t="str">
        <f>"TONER KYOCERA"</f>
        <v>TONER KYOCERA</v>
      </c>
      <c r="C24125" s="2" t="str">
        <f t="shared" si="948"/>
        <v>UN</v>
      </c>
      <c r="D24125" s="7">
        <v>401</v>
      </c>
      <c r="E24125" s="3">
        <v>4</v>
      </c>
      <c r="F24125" s="3">
        <v>4</v>
      </c>
      <c r="G24125" t="s">
        <v>513</v>
      </c>
    </row>
    <row r="24126" spans="1:7" x14ac:dyDescent="0.25">
      <c r="A24126" s="1" t="str">
        <f>"510677"</f>
        <v>510677</v>
      </c>
      <c r="B24126" s="2" t="str">
        <f>"TONER LAZER HP M 1120"</f>
        <v>TONER LAZER HP M 1120</v>
      </c>
      <c r="C24126" s="2" t="str">
        <f t="shared" si="948"/>
        <v>UN</v>
      </c>
      <c r="D24126" s="7">
        <v>401</v>
      </c>
      <c r="E24126" s="3">
        <v>4</v>
      </c>
      <c r="F24126" s="3">
        <v>4</v>
      </c>
      <c r="G24126" t="s">
        <v>514</v>
      </c>
    </row>
    <row r="24127" spans="1:7" x14ac:dyDescent="0.25">
      <c r="A24127" s="1" t="str">
        <f>"516123"</f>
        <v>516123</v>
      </c>
      <c r="B24127" s="2" t="str">
        <f>"TONER LEXMARK E 350 DN"</f>
        <v>TONER LEXMARK E 350 DN</v>
      </c>
      <c r="C24127" s="2" t="str">
        <f t="shared" si="948"/>
        <v>UN</v>
      </c>
      <c r="D24127" s="7">
        <v>401</v>
      </c>
      <c r="E24127" s="3">
        <v>4</v>
      </c>
      <c r="F24127" s="3">
        <v>4</v>
      </c>
      <c r="G24127" t="s">
        <v>514</v>
      </c>
    </row>
    <row r="24128" spans="1:7" x14ac:dyDescent="0.25">
      <c r="A24128" s="1" t="str">
        <f>"521810"</f>
        <v>521810</v>
      </c>
      <c r="B24128" s="2" t="str">
        <f>"TONER PÓ SAMSUNG 2010"</f>
        <v>TONER PÓ SAMSUNG 2010</v>
      </c>
      <c r="C24128" s="2" t="str">
        <f t="shared" si="948"/>
        <v>UN</v>
      </c>
      <c r="D24128" s="7">
        <v>401</v>
      </c>
      <c r="E24128" s="3">
        <v>4</v>
      </c>
      <c r="F24128" s="3">
        <v>4</v>
      </c>
      <c r="G24128" t="s">
        <v>514</v>
      </c>
    </row>
    <row r="24129" spans="1:7" x14ac:dyDescent="0.25">
      <c r="A24129" s="1" t="str">
        <f>"3420"</f>
        <v>3420</v>
      </c>
      <c r="B24129" s="2" t="str">
        <f>"TONER PRINT HP 13 A / X"</f>
        <v>TONER PRINT HP 13 A / X</v>
      </c>
      <c r="C24129" s="2" t="str">
        <f>"PC"</f>
        <v>PC</v>
      </c>
      <c r="D24129" s="7">
        <v>401</v>
      </c>
      <c r="E24129" s="3">
        <v>4</v>
      </c>
      <c r="F24129" s="3">
        <v>4</v>
      </c>
      <c r="G24129" t="s">
        <v>513</v>
      </c>
    </row>
    <row r="24130" spans="1:7" x14ac:dyDescent="0.25">
      <c r="A24130" s="1" t="str">
        <f>"2493"</f>
        <v>2493</v>
      </c>
      <c r="B24130" s="2" t="str">
        <f>"TONER PRINT HP 2612 A"</f>
        <v>TONER PRINT HP 2612 A</v>
      </c>
      <c r="C24130" s="2" t="str">
        <f>"PC"</f>
        <v>PC</v>
      </c>
      <c r="D24130" s="7">
        <v>401</v>
      </c>
      <c r="E24130" s="3">
        <v>4</v>
      </c>
      <c r="F24130" s="3">
        <v>4</v>
      </c>
      <c r="G24130" t="s">
        <v>512</v>
      </c>
    </row>
    <row r="24131" spans="1:7" x14ac:dyDescent="0.25">
      <c r="A24131" s="1" t="str">
        <f>"528079"</f>
        <v>528079</v>
      </c>
      <c r="B24131" s="2" t="str">
        <f>"TONER SAMSUNG 2850"</f>
        <v>TONER SAMSUNG 2850</v>
      </c>
      <c r="C24131" s="2" t="str">
        <f t="shared" ref="C24131:C24141" si="949">"UN"</f>
        <v>UN</v>
      </c>
      <c r="D24131" s="7">
        <v>401</v>
      </c>
      <c r="E24131" s="3">
        <v>4</v>
      </c>
      <c r="F24131" s="3">
        <v>4</v>
      </c>
      <c r="G24131" t="s">
        <v>513</v>
      </c>
    </row>
    <row r="24132" spans="1:7" x14ac:dyDescent="0.25">
      <c r="A24132" s="1" t="str">
        <f>"6696"</f>
        <v>6696</v>
      </c>
      <c r="B24132" s="2" t="str">
        <f>"TONER SAMSUNG 3200"</f>
        <v>TONER SAMSUNG 3200</v>
      </c>
      <c r="C24132" s="2" t="str">
        <f t="shared" si="949"/>
        <v>UN</v>
      </c>
      <c r="D24132" s="7">
        <v>401</v>
      </c>
      <c r="E24132" s="3">
        <v>4</v>
      </c>
      <c r="F24132" s="3">
        <v>4</v>
      </c>
      <c r="G24132" t="s">
        <v>514</v>
      </c>
    </row>
    <row r="24133" spans="1:7" x14ac:dyDescent="0.25">
      <c r="A24133" s="1" t="str">
        <f>"523810"</f>
        <v>523810</v>
      </c>
      <c r="B24133" s="2" t="str">
        <f>"TONER SAMSUNG 3405"</f>
        <v>TONER SAMSUNG 3405</v>
      </c>
      <c r="C24133" s="2" t="str">
        <f t="shared" si="949"/>
        <v>UN</v>
      </c>
      <c r="D24133" s="7">
        <v>401</v>
      </c>
      <c r="E24133" s="3">
        <v>4</v>
      </c>
      <c r="F24133" s="3">
        <v>4</v>
      </c>
      <c r="G24133" t="s">
        <v>514</v>
      </c>
    </row>
    <row r="24134" spans="1:7" x14ac:dyDescent="0.25">
      <c r="A24134" s="1" t="str">
        <f>"519798"</f>
        <v>519798</v>
      </c>
      <c r="B24134" s="2" t="str">
        <f>"TONER SAMSUNG 3710"</f>
        <v>TONER SAMSUNG 3710</v>
      </c>
      <c r="C24134" s="2" t="str">
        <f t="shared" si="949"/>
        <v>UN</v>
      </c>
      <c r="D24134" s="7">
        <v>401</v>
      </c>
      <c r="E24134" s="3">
        <v>4</v>
      </c>
      <c r="F24134" s="3">
        <v>4</v>
      </c>
      <c r="G24134" t="s">
        <v>514</v>
      </c>
    </row>
    <row r="24135" spans="1:7" x14ac:dyDescent="0.25">
      <c r="A24135" s="1" t="str">
        <f>"513654"</f>
        <v>513654</v>
      </c>
      <c r="B24135" s="2" t="str">
        <f>"TONER SAMSUNG 3750"</f>
        <v>TONER SAMSUNG 3750</v>
      </c>
      <c r="C24135" s="2" t="str">
        <f t="shared" si="949"/>
        <v>UN</v>
      </c>
      <c r="D24135" s="7">
        <v>401</v>
      </c>
      <c r="E24135" s="3">
        <v>4</v>
      </c>
      <c r="F24135" s="3">
        <v>4</v>
      </c>
      <c r="G24135" t="s">
        <v>513</v>
      </c>
    </row>
    <row r="24136" spans="1:7" x14ac:dyDescent="0.25">
      <c r="A24136" s="1" t="str">
        <f>"527845"</f>
        <v>527845</v>
      </c>
      <c r="B24136" s="2" t="str">
        <f>"TONER SAMSUNG 4070"</f>
        <v>TONER SAMSUNG 4070</v>
      </c>
      <c r="C24136" s="2" t="str">
        <f t="shared" si="949"/>
        <v>UN</v>
      </c>
      <c r="D24136" s="7">
        <v>401</v>
      </c>
      <c r="E24136" s="3">
        <v>4</v>
      </c>
      <c r="F24136" s="3">
        <v>4</v>
      </c>
      <c r="G24136" t="s">
        <v>513</v>
      </c>
    </row>
    <row r="24137" spans="1:7" x14ac:dyDescent="0.25">
      <c r="A24137" s="1" t="str">
        <f>"522936"</f>
        <v>522936</v>
      </c>
      <c r="B24137" s="2" t="str">
        <f>"TONER SAMSUNG 4623"</f>
        <v>TONER SAMSUNG 4623</v>
      </c>
      <c r="C24137" s="2" t="str">
        <f t="shared" si="949"/>
        <v>UN</v>
      </c>
      <c r="D24137" s="7">
        <v>401</v>
      </c>
      <c r="E24137" s="3">
        <v>4</v>
      </c>
      <c r="F24137" s="3">
        <v>4</v>
      </c>
      <c r="G24137" t="s">
        <v>513</v>
      </c>
    </row>
    <row r="24138" spans="1:7" x14ac:dyDescent="0.25">
      <c r="A24138" s="1" t="str">
        <f>"6695"</f>
        <v>6695</v>
      </c>
      <c r="B24138" s="2" t="str">
        <f>"TONER SAMSUNG 5637/3310"</f>
        <v>TONER SAMSUNG 5637/3310</v>
      </c>
      <c r="C24138" s="2" t="str">
        <f t="shared" si="949"/>
        <v>UN</v>
      </c>
      <c r="D24138" s="7">
        <v>401</v>
      </c>
      <c r="E24138" s="3">
        <v>4</v>
      </c>
      <c r="F24138" s="3">
        <v>4</v>
      </c>
      <c r="G24138" t="s">
        <v>512</v>
      </c>
    </row>
    <row r="24139" spans="1:7" x14ac:dyDescent="0.25">
      <c r="A24139" s="1" t="str">
        <f>"522201"</f>
        <v>522201</v>
      </c>
      <c r="B24139" s="2" t="str">
        <f>"TONER SAMSUNG D104"</f>
        <v>TONER SAMSUNG D104</v>
      </c>
      <c r="C24139" s="2" t="str">
        <f t="shared" si="949"/>
        <v>UN</v>
      </c>
      <c r="D24139" s="7">
        <v>401</v>
      </c>
      <c r="E24139" s="3">
        <v>4</v>
      </c>
      <c r="F24139" s="3">
        <v>4</v>
      </c>
      <c r="G24139" t="s">
        <v>513</v>
      </c>
    </row>
    <row r="24140" spans="1:7" x14ac:dyDescent="0.25">
      <c r="A24140" s="1" t="str">
        <f>"513795"</f>
        <v>513795</v>
      </c>
      <c r="B24140" s="2" t="str">
        <f>"TONER SAMSUNG ML 1610/4521"</f>
        <v>TONER SAMSUNG ML 1610/4521</v>
      </c>
      <c r="C24140" s="2" t="str">
        <f t="shared" si="949"/>
        <v>UN</v>
      </c>
      <c r="D24140" s="7">
        <v>401</v>
      </c>
      <c r="E24140" s="3">
        <v>4</v>
      </c>
      <c r="F24140" s="3">
        <v>4</v>
      </c>
      <c r="G24140" t="s">
        <v>514</v>
      </c>
    </row>
    <row r="24141" spans="1:7" x14ac:dyDescent="0.25">
      <c r="A24141" s="1" t="str">
        <f>"514719"</f>
        <v>514719</v>
      </c>
      <c r="B24141" s="2" t="str">
        <f>"TONER SAMSUNG ML 2165/3405"</f>
        <v>TONER SAMSUNG ML 2165/3405</v>
      </c>
      <c r="C24141" s="2" t="str">
        <f t="shared" si="949"/>
        <v>UN</v>
      </c>
      <c r="D24141" s="7">
        <v>401</v>
      </c>
      <c r="E24141" s="3">
        <v>4</v>
      </c>
      <c r="F24141" s="3">
        <v>4</v>
      </c>
      <c r="G24141" t="s">
        <v>515</v>
      </c>
    </row>
    <row r="24142" spans="1:7" x14ac:dyDescent="0.25">
      <c r="A24142" s="1" t="str">
        <f>"6091"</f>
        <v>6091</v>
      </c>
      <c r="B24142" s="2" t="str">
        <f>"TONER SAMSUNG SCX 4600"</f>
        <v>TONER SAMSUNG SCX 4600</v>
      </c>
      <c r="C24142" s="2" t="str">
        <f>"PC"</f>
        <v>PC</v>
      </c>
      <c r="D24142" s="7">
        <v>401</v>
      </c>
      <c r="E24142" s="3">
        <v>4</v>
      </c>
      <c r="F24142" s="3">
        <v>4</v>
      </c>
      <c r="G24142" t="s">
        <v>512</v>
      </c>
    </row>
    <row r="24143" spans="1:7" x14ac:dyDescent="0.25">
      <c r="A24143" s="1" t="str">
        <f>"6367"</f>
        <v>6367</v>
      </c>
      <c r="B24143" s="2" t="str">
        <f>"TONER SANSUNG SCX 4200"</f>
        <v>TONER SANSUNG SCX 4200</v>
      </c>
      <c r="C24143" s="2" t="str">
        <f t="shared" ref="C24143:C24152" si="950">"UN"</f>
        <v>UN</v>
      </c>
      <c r="D24143" s="7">
        <v>401</v>
      </c>
      <c r="E24143" s="3">
        <v>4</v>
      </c>
      <c r="F24143" s="3">
        <v>4</v>
      </c>
      <c r="G24143" t="s">
        <v>516</v>
      </c>
    </row>
    <row r="24144" spans="1:7" x14ac:dyDescent="0.25">
      <c r="A24144" s="1" t="str">
        <f>"512932"</f>
        <v>512932</v>
      </c>
      <c r="B24144" s="2" t="str">
        <f>"TONER TN-360"</f>
        <v>TONER TN-360</v>
      </c>
      <c r="C24144" s="2" t="str">
        <f t="shared" si="950"/>
        <v>UN</v>
      </c>
      <c r="D24144" s="7">
        <v>401</v>
      </c>
      <c r="E24144" s="3">
        <v>4</v>
      </c>
      <c r="F24144" s="3">
        <v>4</v>
      </c>
      <c r="G24144" t="s">
        <v>515</v>
      </c>
    </row>
    <row r="24145" spans="1:7" x14ac:dyDescent="0.25">
      <c r="A24145" s="1" t="str">
        <f>"513520"</f>
        <v>513520</v>
      </c>
      <c r="B24145" s="2" t="str">
        <f>"TONER XEROX 3160"</f>
        <v>TONER XEROX 3160</v>
      </c>
      <c r="C24145" s="2" t="str">
        <f t="shared" si="950"/>
        <v>UN</v>
      </c>
      <c r="D24145" s="7">
        <v>401</v>
      </c>
      <c r="E24145" s="3">
        <v>4</v>
      </c>
      <c r="F24145" s="3">
        <v>4</v>
      </c>
      <c r="G24145" t="s">
        <v>514</v>
      </c>
    </row>
    <row r="24146" spans="1:7" x14ac:dyDescent="0.25">
      <c r="A24146" s="1" t="str">
        <f>"513519"</f>
        <v>513519</v>
      </c>
      <c r="B24146" s="2" t="str">
        <f>"TONER XEROX 3220"</f>
        <v>TONER XEROX 3220</v>
      </c>
      <c r="C24146" s="2" t="str">
        <f t="shared" si="950"/>
        <v>UN</v>
      </c>
      <c r="D24146" s="7">
        <v>401</v>
      </c>
      <c r="E24146" s="3">
        <v>4</v>
      </c>
      <c r="F24146" s="3">
        <v>4</v>
      </c>
      <c r="G24146" t="s">
        <v>512</v>
      </c>
    </row>
    <row r="24147" spans="1:7" x14ac:dyDescent="0.25">
      <c r="A24147" s="1" t="str">
        <f>"522185"</f>
        <v>522185</v>
      </c>
      <c r="B24147" s="2" t="str">
        <f>"TONER XEROX 3428"</f>
        <v>TONER XEROX 3428</v>
      </c>
      <c r="C24147" s="2" t="str">
        <f t="shared" si="950"/>
        <v>UN</v>
      </c>
      <c r="D24147" s="7">
        <v>401</v>
      </c>
      <c r="E24147" s="3">
        <v>4</v>
      </c>
      <c r="F24147" s="3">
        <v>4</v>
      </c>
      <c r="G24147" t="s">
        <v>513</v>
      </c>
    </row>
    <row r="24148" spans="1:7" x14ac:dyDescent="0.25">
      <c r="A24148" s="1" t="str">
        <f>"6353"</f>
        <v>6353</v>
      </c>
      <c r="B24148" s="2" t="str">
        <f>"TONER XEROX 6180"</f>
        <v>TONER XEROX 6180</v>
      </c>
      <c r="C24148" s="2" t="str">
        <f t="shared" si="950"/>
        <v>UN</v>
      </c>
      <c r="D24148" s="7">
        <v>401</v>
      </c>
      <c r="E24148" s="3">
        <v>4</v>
      </c>
      <c r="F24148" s="3">
        <v>4</v>
      </c>
      <c r="G24148" t="s">
        <v>514</v>
      </c>
    </row>
    <row r="24149" spans="1:7" x14ac:dyDescent="0.25">
      <c r="A24149" s="1" t="str">
        <f>"6355"</f>
        <v>6355</v>
      </c>
      <c r="B24149" s="2" t="str">
        <f>"TONER XEROX 6500 (ORIGINAL)"</f>
        <v>TONER XEROX 6500 (ORIGINAL)</v>
      </c>
      <c r="C24149" s="2" t="str">
        <f t="shared" si="950"/>
        <v>UN</v>
      </c>
      <c r="D24149" s="7">
        <v>401</v>
      </c>
      <c r="E24149" s="3">
        <v>4</v>
      </c>
      <c r="F24149" s="3">
        <v>4</v>
      </c>
      <c r="G24149" t="s">
        <v>514</v>
      </c>
    </row>
    <row r="24150" spans="1:7" x14ac:dyDescent="0.25">
      <c r="A24150" s="1" t="str">
        <f>"513655"</f>
        <v>513655</v>
      </c>
      <c r="B24150" s="2" t="str">
        <f>"TONER XEROX COLORIDO"</f>
        <v>TONER XEROX COLORIDO</v>
      </c>
      <c r="C24150" s="2" t="str">
        <f t="shared" si="950"/>
        <v>UN</v>
      </c>
      <c r="D24150" s="7">
        <v>401</v>
      </c>
      <c r="E24150" s="3">
        <v>4</v>
      </c>
      <c r="F24150" s="3">
        <v>4</v>
      </c>
      <c r="G24150" t="s">
        <v>512</v>
      </c>
    </row>
    <row r="24151" spans="1:7" x14ac:dyDescent="0.25">
      <c r="A24151" s="1" t="str">
        <f>"505102"</f>
        <v>505102</v>
      </c>
      <c r="B24151" s="2" t="str">
        <f>"TOP DE BORRACHA"</f>
        <v>TOP DE BORRACHA</v>
      </c>
      <c r="C24151" s="2" t="str">
        <f t="shared" si="950"/>
        <v>UN</v>
      </c>
      <c r="D24151" s="7">
        <v>918</v>
      </c>
      <c r="E24151" s="3">
        <v>11</v>
      </c>
      <c r="F24151" s="3">
        <v>11</v>
      </c>
      <c r="G24151" t="s">
        <v>513</v>
      </c>
    </row>
    <row r="24152" spans="1:7" x14ac:dyDescent="0.25">
      <c r="A24152" s="1" t="str">
        <f>"513998"</f>
        <v>513998</v>
      </c>
      <c r="B24152" s="2" t="str">
        <f>"TOP EM SUPLEX"</f>
        <v>TOP EM SUPLEX</v>
      </c>
      <c r="C24152" s="2" t="str">
        <f t="shared" si="950"/>
        <v>UN</v>
      </c>
      <c r="D24152" s="7">
        <v>500</v>
      </c>
      <c r="E24152" s="3">
        <v>5</v>
      </c>
      <c r="F24152" s="3">
        <v>5</v>
      </c>
      <c r="G24152" t="s">
        <v>514</v>
      </c>
    </row>
    <row r="24153" spans="1:7" x14ac:dyDescent="0.25">
      <c r="A24153" s="1" t="str">
        <f>"4039"</f>
        <v>4039</v>
      </c>
      <c r="B24153" s="2" t="str">
        <f>"TOP LAC 60 ADE"</f>
        <v>TOP LAC 60 ADE</v>
      </c>
      <c r="C24153" s="2" t="str">
        <f>"KG"</f>
        <v>KG</v>
      </c>
      <c r="D24153" s="7">
        <v>407</v>
      </c>
      <c r="E24153" s="3">
        <v>17</v>
      </c>
      <c r="F24153" s="3">
        <v>17</v>
      </c>
      <c r="G24153" t="s">
        <v>514</v>
      </c>
    </row>
    <row r="24154" spans="1:7" x14ac:dyDescent="0.25">
      <c r="A24154" s="1" t="str">
        <f>"512544"</f>
        <v>512544</v>
      </c>
      <c r="B24154" s="2" t="str">
        <f>"TOP PEN DRIVE"</f>
        <v>TOP PEN DRIVE</v>
      </c>
      <c r="C24154" s="2" t="str">
        <f>"UN"</f>
        <v>UN</v>
      </c>
      <c r="D24154" s="7">
        <v>811</v>
      </c>
      <c r="E24154" s="3">
        <v>10</v>
      </c>
      <c r="F24154" s="3">
        <v>10</v>
      </c>
      <c r="G24154" t="s">
        <v>514</v>
      </c>
    </row>
    <row r="24155" spans="1:7" x14ac:dyDescent="0.25">
      <c r="A24155" s="1" t="str">
        <f>"182"</f>
        <v>182</v>
      </c>
      <c r="B24155" s="2" t="str">
        <f>"TOPAX 12 NK BB 60L(64KG) - CÓD.7300063 (ECOLAB)"</f>
        <v>TOPAX 12 NK BB 60L(64KG) - CÓD.7300063 (ECOLAB)</v>
      </c>
      <c r="C24155" s="2" t="str">
        <f>"KG"</f>
        <v>KG</v>
      </c>
      <c r="D24155" s="7">
        <v>400</v>
      </c>
      <c r="E24155" s="3">
        <v>4</v>
      </c>
      <c r="F24155" s="3">
        <v>4</v>
      </c>
      <c r="G24155" t="s">
        <v>513</v>
      </c>
    </row>
    <row r="24156" spans="1:7" x14ac:dyDescent="0.25">
      <c r="A24156" s="1" t="str">
        <f>"189"</f>
        <v>189</v>
      </c>
      <c r="B24156" s="2" t="str">
        <f>"TOPAX 56 BB 60L(70KG) - CÓD. 86581 (ECOLAB)"</f>
        <v>TOPAX 56 BB 60L(70KG) - CÓD. 86581 (ECOLAB)</v>
      </c>
      <c r="C24156" s="2" t="str">
        <f>"KG"</f>
        <v>KG</v>
      </c>
      <c r="D24156" s="7">
        <v>400</v>
      </c>
      <c r="E24156" s="3">
        <v>4</v>
      </c>
      <c r="F24156" s="3">
        <v>4</v>
      </c>
      <c r="G24156" t="s">
        <v>512</v>
      </c>
    </row>
    <row r="24157" spans="1:7" x14ac:dyDescent="0.25">
      <c r="A24157" s="1" t="str">
        <f>"184"</f>
        <v>184</v>
      </c>
      <c r="B24157" s="2" t="str">
        <f>"TOPAX 66 BB 60L(68KG) - CÓD.77481 (ECOLAB)"</f>
        <v>TOPAX 66 BB 60L(68KG) - CÓD.77481 (ECOLAB)</v>
      </c>
      <c r="C24157" s="2" t="str">
        <f>"KG"</f>
        <v>KG</v>
      </c>
      <c r="D24157" s="7">
        <v>400</v>
      </c>
      <c r="E24157" s="3">
        <v>4</v>
      </c>
      <c r="F24157" s="3">
        <v>4</v>
      </c>
      <c r="G24157" t="s">
        <v>513</v>
      </c>
    </row>
    <row r="24158" spans="1:7" x14ac:dyDescent="0.25">
      <c r="A24158" s="1" t="str">
        <f>"173"</f>
        <v>173</v>
      </c>
      <c r="B24158" s="2" t="str">
        <f>"TOPAX 67 BB 60L - CÓD. 90981 (ECOLAB)"</f>
        <v>TOPAX 67 BB 60L - CÓD. 90981 (ECOLAB)</v>
      </c>
      <c r="C24158" s="2" t="str">
        <f>"KG"</f>
        <v>KG</v>
      </c>
      <c r="D24158" s="7">
        <v>400</v>
      </c>
      <c r="E24158" s="3">
        <v>4</v>
      </c>
      <c r="F24158" s="3">
        <v>4</v>
      </c>
      <c r="G24158" t="s">
        <v>514</v>
      </c>
    </row>
    <row r="24159" spans="1:7" x14ac:dyDescent="0.25">
      <c r="A24159" s="1" t="str">
        <f>"515695"</f>
        <v>515695</v>
      </c>
      <c r="B24159" s="2" t="str">
        <f>"TORCAO 685"</f>
        <v>TORCAO 685</v>
      </c>
      <c r="C24159" s="2" t="str">
        <f>"UN"</f>
        <v>UN</v>
      </c>
      <c r="D24159" s="7">
        <v>812</v>
      </c>
      <c r="E24159" s="3">
        <v>4</v>
      </c>
      <c r="F24159" s="3">
        <v>4</v>
      </c>
      <c r="G24159" t="s">
        <v>514</v>
      </c>
    </row>
    <row r="24160" spans="1:7" x14ac:dyDescent="0.25">
      <c r="A24160" s="1" t="str">
        <f>"522067"</f>
        <v>522067</v>
      </c>
      <c r="B24160" s="2" t="str">
        <f>"TORCILAX"</f>
        <v>TORCILAX</v>
      </c>
      <c r="C24160" s="2" t="str">
        <f>"UN"</f>
        <v>UN</v>
      </c>
      <c r="D24160" s="7">
        <v>99999</v>
      </c>
      <c r="E24160" s="3">
        <v>99</v>
      </c>
      <c r="F24160" s="3">
        <v>99</v>
      </c>
      <c r="G24160" t="s">
        <v>514</v>
      </c>
    </row>
    <row r="24161" spans="1:7" x14ac:dyDescent="0.25">
      <c r="A24161" s="1" t="str">
        <f>"519411"</f>
        <v>519411</v>
      </c>
      <c r="B24161" s="2" t="str">
        <f>"TORNEIRA 3/4 P/ PIA EM INOX"</f>
        <v>TORNEIRA 3/4 P/ PIA EM INOX</v>
      </c>
      <c r="C24161" s="2" t="str">
        <f>"BR"</f>
        <v>BR</v>
      </c>
      <c r="D24161" s="7">
        <v>808</v>
      </c>
      <c r="E24161" s="3">
        <v>10</v>
      </c>
      <c r="F24161" s="3">
        <v>10</v>
      </c>
      <c r="G24161" t="s">
        <v>513</v>
      </c>
    </row>
    <row r="24162" spans="1:7" x14ac:dyDescent="0.25">
      <c r="A24162" s="1" t="str">
        <f>"502335"</f>
        <v>502335</v>
      </c>
      <c r="B24162" s="2" t="str">
        <f>"TORNEIRA AMOSTRA 90G M SMS DE 1"""</f>
        <v>TORNEIRA AMOSTRA 90G M SMS DE 1"</v>
      </c>
      <c r="C24162" s="2" t="str">
        <f>"BR"</f>
        <v>BR</v>
      </c>
      <c r="D24162" s="7">
        <v>807</v>
      </c>
      <c r="E24162" s="3">
        <v>10</v>
      </c>
      <c r="F24162" s="3">
        <v>10</v>
      </c>
      <c r="G24162" t="s">
        <v>513</v>
      </c>
    </row>
    <row r="24163" spans="1:7" x14ac:dyDescent="0.25">
      <c r="A24163" s="1" t="str">
        <f>"525299"</f>
        <v>525299</v>
      </c>
      <c r="B24163" s="2" t="str">
        <f>"TORNEIRA AMOSTRA 90G NP SMS DE 1"""</f>
        <v>TORNEIRA AMOSTRA 90G NP SMS DE 1"</v>
      </c>
      <c r="C24163" s="2" t="str">
        <f>"BR"</f>
        <v>BR</v>
      </c>
      <c r="D24163" s="7">
        <v>807</v>
      </c>
      <c r="E24163" s="3">
        <v>10</v>
      </c>
      <c r="F24163" s="3">
        <v>10</v>
      </c>
      <c r="G24163" t="s">
        <v>513</v>
      </c>
    </row>
    <row r="24164" spans="1:7" x14ac:dyDescent="0.25">
      <c r="A24164" s="1" t="str">
        <f>"519947"</f>
        <v>519947</v>
      </c>
      <c r="B24164" s="2" t="str">
        <f>"TORNEIRA AUT. DECAMATIC - DECA (SAIDA PIA)"</f>
        <v>TORNEIRA AUT. DECAMATIC - DECA (SAIDA PIA)</v>
      </c>
      <c r="C24164" s="2" t="str">
        <f>"UN"</f>
        <v>UN</v>
      </c>
      <c r="D24164" s="7">
        <v>808</v>
      </c>
      <c r="E24164" s="3">
        <v>10</v>
      </c>
      <c r="F24164" s="3">
        <v>10</v>
      </c>
      <c r="G24164" t="s">
        <v>512</v>
      </c>
    </row>
    <row r="24165" spans="1:7" x14ac:dyDescent="0.25">
      <c r="A24165" s="1" t="str">
        <f>"500611"</f>
        <v>500611</v>
      </c>
      <c r="B24165" s="2" t="str">
        <f>"TORNEIRA AUTOMATICA DOCOL DE 1/2"""</f>
        <v>TORNEIRA AUTOMATICA DOCOL DE 1/2"</v>
      </c>
      <c r="C24165" s="2" t="str">
        <f>"BR"</f>
        <v>BR</v>
      </c>
      <c r="D24165" s="7">
        <v>808</v>
      </c>
      <c r="E24165" s="3">
        <v>10</v>
      </c>
      <c r="F24165" s="3">
        <v>10</v>
      </c>
      <c r="G24165" t="s">
        <v>513</v>
      </c>
    </row>
    <row r="24166" spans="1:7" x14ac:dyDescent="0.25">
      <c r="A24166" s="1" t="str">
        <f>"527582"</f>
        <v>527582</v>
      </c>
      <c r="B24166" s="2" t="str">
        <f>"TORNEIRA BICA DE COZINHA RAVENA REF 1163"</f>
        <v>TORNEIRA BICA DE COZINHA RAVENA REF 1163</v>
      </c>
      <c r="C24166" s="2" t="str">
        <f>"PC"</f>
        <v>PC</v>
      </c>
      <c r="D24166" s="7">
        <v>808</v>
      </c>
      <c r="E24166" s="3">
        <v>10</v>
      </c>
      <c r="F24166" s="3">
        <v>10</v>
      </c>
      <c r="G24166" t="s">
        <v>514</v>
      </c>
    </row>
    <row r="24167" spans="1:7" x14ac:dyDescent="0.25">
      <c r="A24167" s="1" t="str">
        <f>"522248"</f>
        <v>522248</v>
      </c>
      <c r="B24167" s="2" t="str">
        <f>"TORNEIRA BICA MEDIA DE MESA P/ ACIONADOR PEDAL SEM REGISTRO"</f>
        <v>TORNEIRA BICA MEDIA DE MESA P/ ACIONADOR PEDAL SEM REGISTRO</v>
      </c>
      <c r="C24167" s="2" t="str">
        <f>"PC"</f>
        <v>PC</v>
      </c>
      <c r="D24167" s="7">
        <v>808</v>
      </c>
      <c r="E24167" s="3">
        <v>10</v>
      </c>
      <c r="F24167" s="3">
        <v>10</v>
      </c>
      <c r="G24167" t="s">
        <v>515</v>
      </c>
    </row>
    <row r="24168" spans="1:7" x14ac:dyDescent="0.25">
      <c r="A24168" s="1" t="str">
        <f>"510245"</f>
        <v>510245</v>
      </c>
      <c r="B24168" s="2" t="str">
        <f>"TORNEIRA BOIA DECA 1.1/2 DN32"</f>
        <v>TORNEIRA BOIA DECA 1.1/2 DN32</v>
      </c>
      <c r="C24168" s="2" t="str">
        <f>"UN"</f>
        <v>UN</v>
      </c>
      <c r="D24168" s="7">
        <v>912</v>
      </c>
      <c r="E24168" s="3">
        <v>11</v>
      </c>
      <c r="F24168" s="3">
        <v>11</v>
      </c>
      <c r="G24168" t="s">
        <v>512</v>
      </c>
    </row>
    <row r="24169" spans="1:7" x14ac:dyDescent="0.25">
      <c r="A24169" s="1" t="str">
        <f>"519948"</f>
        <v>519948</v>
      </c>
      <c r="B24169" s="2" t="str">
        <f>"TORNEIRA C/ FECHAMENTO AUT. DE PAREDE - DECA"</f>
        <v>TORNEIRA C/ FECHAMENTO AUT. DE PAREDE - DECA</v>
      </c>
      <c r="C24169" s="2" t="str">
        <f>"UN"</f>
        <v>UN</v>
      </c>
      <c r="D24169" s="7">
        <v>808</v>
      </c>
      <c r="E24169" s="3">
        <v>10</v>
      </c>
      <c r="F24169" s="3">
        <v>10</v>
      </c>
      <c r="G24169" t="s">
        <v>516</v>
      </c>
    </row>
    <row r="24170" spans="1:7" x14ac:dyDescent="0.25">
      <c r="A24170" s="1" t="str">
        <f>"505069"</f>
        <v>505069</v>
      </c>
      <c r="B24170" s="2" t="str">
        <f>"TORNEIRA COROTE"</f>
        <v>TORNEIRA COROTE</v>
      </c>
      <c r="C24170" s="2" t="str">
        <f>"UN"</f>
        <v>UN</v>
      </c>
      <c r="D24170" s="7">
        <v>704</v>
      </c>
      <c r="E24170" s="3">
        <v>9</v>
      </c>
      <c r="F24170" s="3">
        <v>9</v>
      </c>
      <c r="G24170" t="s">
        <v>515</v>
      </c>
    </row>
    <row r="24171" spans="1:7" x14ac:dyDescent="0.25">
      <c r="A24171" s="1" t="str">
        <f>"525366"</f>
        <v>525366</v>
      </c>
      <c r="B24171" s="2" t="str">
        <f>"TORNEIRA DE BANCADA TIPO MOVEL"</f>
        <v>TORNEIRA DE BANCADA TIPO MOVEL</v>
      </c>
      <c r="C24171" s="2" t="str">
        <f>"UN"</f>
        <v>UN</v>
      </c>
      <c r="D24171" s="7">
        <v>408</v>
      </c>
      <c r="E24171" s="3">
        <v>4</v>
      </c>
      <c r="F24171" s="3">
        <v>4</v>
      </c>
      <c r="G24171" t="s">
        <v>514</v>
      </c>
    </row>
    <row r="24172" spans="1:7" x14ac:dyDescent="0.25">
      <c r="A24172" s="1" t="str">
        <f>"502636"</f>
        <v>502636</v>
      </c>
      <c r="B24172" s="2" t="str">
        <f>"TORNEIRA DE DRENO"</f>
        <v>TORNEIRA DE DRENO</v>
      </c>
      <c r="C24172" s="2" t="str">
        <f>"UN"</f>
        <v>UN</v>
      </c>
      <c r="D24172" s="7">
        <v>704</v>
      </c>
      <c r="E24172" s="3">
        <v>9</v>
      </c>
      <c r="F24172" s="3">
        <v>9</v>
      </c>
      <c r="G24172" t="s">
        <v>512</v>
      </c>
    </row>
    <row r="24173" spans="1:7" x14ac:dyDescent="0.25">
      <c r="A24173" s="1" t="str">
        <f>"505606"</f>
        <v>505606</v>
      </c>
      <c r="B24173" s="2" t="str">
        <f>"TORNEIRA ESFERA 1/2"""</f>
        <v>TORNEIRA ESFERA 1/2"</v>
      </c>
      <c r="C24173" s="2" t="str">
        <f>"BR"</f>
        <v>BR</v>
      </c>
      <c r="D24173" s="7">
        <v>808</v>
      </c>
      <c r="E24173" s="3">
        <v>10</v>
      </c>
      <c r="F24173" s="3">
        <v>10</v>
      </c>
      <c r="G24173" t="s">
        <v>513</v>
      </c>
    </row>
    <row r="24174" spans="1:7" x14ac:dyDescent="0.25">
      <c r="A24174" s="1" t="str">
        <f>"522328"</f>
        <v>522328</v>
      </c>
      <c r="B24174" s="2" t="str">
        <f>"TORNEIRA FRIGORIFICA 150 X 2,5MM PM 1123"</f>
        <v>TORNEIRA FRIGORIFICA 150 X 2,5MM PM 1123</v>
      </c>
      <c r="C24174" s="2" t="str">
        <f>"UN"</f>
        <v>UN</v>
      </c>
      <c r="D24174" s="7">
        <v>912</v>
      </c>
      <c r="E24174" s="3">
        <v>10</v>
      </c>
      <c r="F24174" s="3">
        <v>10</v>
      </c>
      <c r="G24174" t="s">
        <v>514</v>
      </c>
    </row>
    <row r="24175" spans="1:7" x14ac:dyDescent="0.25">
      <c r="A24175" s="1" t="str">
        <f>"526352"</f>
        <v>526352</v>
      </c>
      <c r="B24175" s="2" t="str">
        <f>"TORNEIRA FRIGORIFICA 150 X 3,5MM PM 1124"</f>
        <v>TORNEIRA FRIGORIFICA 150 X 3,5MM PM 1124</v>
      </c>
      <c r="C24175" s="2" t="str">
        <f>"UN"</f>
        <v>UN</v>
      </c>
      <c r="D24175" s="7">
        <v>912</v>
      </c>
      <c r="E24175" s="3">
        <v>10</v>
      </c>
      <c r="F24175" s="3">
        <v>10</v>
      </c>
      <c r="G24175" t="s">
        <v>514</v>
      </c>
    </row>
    <row r="24176" spans="1:7" x14ac:dyDescent="0.25">
      <c r="A24176" s="1" t="str">
        <f>"525984"</f>
        <v>525984</v>
      </c>
      <c r="B24176" s="2" t="str">
        <f>"TORNEIRA JAPI PIA 1158 C37"</f>
        <v>TORNEIRA JAPI PIA 1158 C37</v>
      </c>
      <c r="C24176" s="2" t="str">
        <f>"BR"</f>
        <v>BR</v>
      </c>
      <c r="D24176" s="7">
        <v>807</v>
      </c>
      <c r="E24176" s="3">
        <v>10</v>
      </c>
      <c r="F24176" s="3">
        <v>10</v>
      </c>
      <c r="G24176" t="s">
        <v>512</v>
      </c>
    </row>
    <row r="24177" spans="1:7" x14ac:dyDescent="0.25">
      <c r="A24177" s="1" t="str">
        <f>"513413"</f>
        <v>513413</v>
      </c>
      <c r="B24177" s="2" t="str">
        <f>"TORNEIRA JARDIM 3/4"</f>
        <v>TORNEIRA JARDIM 3/4</v>
      </c>
      <c r="C24177" s="2" t="str">
        <f>"UN"</f>
        <v>UN</v>
      </c>
      <c r="D24177" s="7">
        <v>803</v>
      </c>
      <c r="E24177" s="3">
        <v>4</v>
      </c>
      <c r="F24177" s="3">
        <v>4</v>
      </c>
      <c r="G24177" t="s">
        <v>513</v>
      </c>
    </row>
    <row r="24178" spans="1:7" x14ac:dyDescent="0.25">
      <c r="A24178" s="1" t="str">
        <f>"514216"</f>
        <v>514216</v>
      </c>
      <c r="B24178" s="2" t="str">
        <f>"TORNEIRA LONGA METAL BICA MOVEL SAIDA PAREDE 1/2"""</f>
        <v>TORNEIRA LONGA METAL BICA MOVEL SAIDA PAREDE 1/2"</v>
      </c>
      <c r="C24178" s="2" t="str">
        <f>"UN"</f>
        <v>UN</v>
      </c>
      <c r="D24178" s="7">
        <v>808</v>
      </c>
      <c r="E24178" s="3">
        <v>10</v>
      </c>
      <c r="F24178" s="3">
        <v>10</v>
      </c>
      <c r="G24178" t="s">
        <v>514</v>
      </c>
    </row>
    <row r="24179" spans="1:7" x14ac:dyDescent="0.25">
      <c r="A24179" s="1" t="str">
        <f>"512085"</f>
        <v>512085</v>
      </c>
      <c r="B24179" s="2" t="str">
        <f>"TORNEIRA P/ BEBEDOURO JATO"</f>
        <v>TORNEIRA P/ BEBEDOURO JATO</v>
      </c>
      <c r="C24179" s="2" t="str">
        <f>"UN"</f>
        <v>UN</v>
      </c>
      <c r="D24179" s="7">
        <v>402</v>
      </c>
      <c r="E24179" s="3">
        <v>4</v>
      </c>
      <c r="F24179" s="3">
        <v>4</v>
      </c>
      <c r="G24179" t="s">
        <v>514</v>
      </c>
    </row>
    <row r="24180" spans="1:7" x14ac:dyDescent="0.25">
      <c r="A24180" s="1" t="str">
        <f>"512086"</f>
        <v>512086</v>
      </c>
      <c r="B24180" s="2" t="str">
        <f>"TORNEIRA P/ BEBEDOURO PRESSAO"</f>
        <v>TORNEIRA P/ BEBEDOURO PRESSAO</v>
      </c>
      <c r="C24180" s="2" t="str">
        <f>"UN"</f>
        <v>UN</v>
      </c>
      <c r="D24180" s="7">
        <v>402</v>
      </c>
      <c r="E24180" s="3">
        <v>4</v>
      </c>
      <c r="F24180" s="3">
        <v>4</v>
      </c>
      <c r="G24180" t="s">
        <v>514</v>
      </c>
    </row>
    <row r="24181" spans="1:7" x14ac:dyDescent="0.25">
      <c r="A24181" s="1" t="str">
        <f>"525438"</f>
        <v>525438</v>
      </c>
      <c r="B24181" s="2" t="str">
        <f>"TORNEIRA P/ LAVATÓRIO METAL 1/2 SAIDA PAREDE"</f>
        <v>TORNEIRA P/ LAVATÓRIO METAL 1/2 SAIDA PAREDE</v>
      </c>
      <c r="C24181" s="2" t="str">
        <f>"UN"</f>
        <v>UN</v>
      </c>
      <c r="D24181" s="7">
        <v>808</v>
      </c>
      <c r="E24181" s="3">
        <v>10</v>
      </c>
      <c r="F24181" s="3">
        <v>10</v>
      </c>
      <c r="G24181" t="s">
        <v>513</v>
      </c>
    </row>
    <row r="24182" spans="1:7" x14ac:dyDescent="0.25">
      <c r="A24182" s="1" t="str">
        <f>"500612"</f>
        <v>500612</v>
      </c>
      <c r="B24182" s="2" t="str">
        <f>"TORNEIRA P/ LAVATORIO PEVILON 1193"</f>
        <v>TORNEIRA P/ LAVATORIO PEVILON 1193</v>
      </c>
      <c r="C24182" s="2" t="str">
        <f>"BR"</f>
        <v>BR</v>
      </c>
      <c r="D24182" s="7">
        <v>808</v>
      </c>
      <c r="E24182" s="3">
        <v>10</v>
      </c>
      <c r="F24182" s="3">
        <v>10</v>
      </c>
      <c r="G24182" t="s">
        <v>512</v>
      </c>
    </row>
    <row r="24183" spans="1:7" x14ac:dyDescent="0.25">
      <c r="A24183" s="1" t="str">
        <f>"513657"</f>
        <v>513657</v>
      </c>
      <c r="B24183" s="2" t="str">
        <f>"TORNEIRA P/ TANQUE 2 SAIDAS INOX"</f>
        <v>TORNEIRA P/ TANQUE 2 SAIDAS INOX</v>
      </c>
      <c r="C24183" s="2" t="str">
        <f t="shared" ref="C24183:C24214" si="951">"UN"</f>
        <v>UN</v>
      </c>
      <c r="D24183" s="7">
        <v>402</v>
      </c>
      <c r="E24183" s="3">
        <v>4</v>
      </c>
      <c r="F24183" s="3">
        <v>4</v>
      </c>
      <c r="G24183" t="s">
        <v>513</v>
      </c>
    </row>
    <row r="24184" spans="1:7" x14ac:dyDescent="0.25">
      <c r="A24184" s="1" t="str">
        <f>"520931"</f>
        <v>520931</v>
      </c>
      <c r="B24184" s="2" t="str">
        <f>"TORNEIRA PLASTICA 1/2"""</f>
        <v>TORNEIRA PLASTICA 1/2"</v>
      </c>
      <c r="C24184" s="2" t="str">
        <f t="shared" si="951"/>
        <v>UN</v>
      </c>
      <c r="D24184" s="7">
        <v>917</v>
      </c>
      <c r="E24184" s="3">
        <v>10</v>
      </c>
      <c r="F24184" s="3">
        <v>10</v>
      </c>
      <c r="G24184" t="s">
        <v>514</v>
      </c>
    </row>
    <row r="24185" spans="1:7" x14ac:dyDescent="0.25">
      <c r="A24185" s="1" t="str">
        <f>"509990"</f>
        <v>509990</v>
      </c>
      <c r="B24185" s="2" t="str">
        <f>"TORNO DE BANCADA"</f>
        <v>TORNO DE BANCADA</v>
      </c>
      <c r="C24185" s="2" t="str">
        <f t="shared" si="951"/>
        <v>UN</v>
      </c>
      <c r="D24185" s="7">
        <v>402</v>
      </c>
      <c r="E24185" s="3">
        <v>4</v>
      </c>
      <c r="F24185" s="3">
        <v>4</v>
      </c>
      <c r="G24185" t="s">
        <v>514</v>
      </c>
    </row>
    <row r="24186" spans="1:7" x14ac:dyDescent="0.25">
      <c r="A24186" s="1" t="str">
        <f>"522614"</f>
        <v>522614</v>
      </c>
      <c r="B24186" s="2" t="str">
        <f>"TORNO DE BANCADA FIXO AÇO FORJADO N°6 (FORJASUL)"</f>
        <v>TORNO DE BANCADA FIXO AÇO FORJADO N°6 (FORJASUL)</v>
      </c>
      <c r="C24186" s="2" t="str">
        <f t="shared" si="951"/>
        <v>UN</v>
      </c>
      <c r="D24186" s="7">
        <v>817</v>
      </c>
      <c r="E24186" s="3">
        <v>10</v>
      </c>
      <c r="F24186" s="3">
        <v>10</v>
      </c>
      <c r="G24186" t="s">
        <v>514</v>
      </c>
    </row>
    <row r="24187" spans="1:7" x14ac:dyDescent="0.25">
      <c r="A24187" s="1" t="str">
        <f>"522615"</f>
        <v>522615</v>
      </c>
      <c r="B24187" s="2" t="str">
        <f>"TORNO DE BANCADA FIXO AÇO FORJADO N°8 (FORJASUL)"</f>
        <v>TORNO DE BANCADA FIXO AÇO FORJADO N°8 (FORJASUL)</v>
      </c>
      <c r="C24187" s="2" t="str">
        <f t="shared" si="951"/>
        <v>UN</v>
      </c>
      <c r="D24187" s="7">
        <v>817</v>
      </c>
      <c r="E24187" s="3">
        <v>10</v>
      </c>
      <c r="F24187" s="3">
        <v>10</v>
      </c>
      <c r="G24187" t="s">
        <v>513</v>
      </c>
    </row>
    <row r="24188" spans="1:7" x14ac:dyDescent="0.25">
      <c r="A24188" s="1" t="str">
        <f>"505144"</f>
        <v>505144</v>
      </c>
      <c r="B24188" s="2" t="str">
        <f>"TORPEDO"</f>
        <v>TORPEDO</v>
      </c>
      <c r="C24188" s="2" t="str">
        <f t="shared" si="951"/>
        <v>UN</v>
      </c>
      <c r="D24188" s="7">
        <v>918</v>
      </c>
      <c r="E24188" s="3">
        <v>11</v>
      </c>
      <c r="F24188" s="3">
        <v>11</v>
      </c>
      <c r="G24188" t="s">
        <v>513</v>
      </c>
    </row>
    <row r="24189" spans="1:7" x14ac:dyDescent="0.25">
      <c r="A24189" s="1" t="str">
        <f>"527440"</f>
        <v>527440</v>
      </c>
      <c r="B24189" s="2" t="str">
        <f>"TORPEDO APLICAÇAO ROTULO 1200GR"</f>
        <v>TORPEDO APLICAÇAO ROTULO 1200GR</v>
      </c>
      <c r="C24189" s="2" t="str">
        <f t="shared" si="951"/>
        <v>UN</v>
      </c>
      <c r="D24189" s="7">
        <v>918</v>
      </c>
      <c r="E24189" s="3">
        <v>11</v>
      </c>
      <c r="F24189" s="3">
        <v>11</v>
      </c>
      <c r="G24189" t="s">
        <v>513</v>
      </c>
    </row>
    <row r="24190" spans="1:7" x14ac:dyDescent="0.25">
      <c r="A24190" s="1" t="str">
        <f>"512109"</f>
        <v>512109</v>
      </c>
      <c r="B24190" s="2" t="str">
        <f>"TORPEDO APLICAÇAO ROTULO 900GR"</f>
        <v>TORPEDO APLICAÇAO ROTULO 900GR</v>
      </c>
      <c r="C24190" s="2" t="str">
        <f t="shared" si="951"/>
        <v>UN</v>
      </c>
      <c r="D24190" s="7">
        <v>918</v>
      </c>
      <c r="E24190" s="3">
        <v>11</v>
      </c>
      <c r="F24190" s="3">
        <v>11</v>
      </c>
      <c r="G24190" t="s">
        <v>512</v>
      </c>
    </row>
    <row r="24191" spans="1:7" x14ac:dyDescent="0.25">
      <c r="A24191" s="1" t="str">
        <f>"517254"</f>
        <v>517254</v>
      </c>
      <c r="B24191" s="2" t="str">
        <f>"TORQUIMETRO CARLSONS 2505 DSI"</f>
        <v>TORQUIMETRO CARLSONS 2505 DSI</v>
      </c>
      <c r="C24191" s="2" t="str">
        <f t="shared" si="951"/>
        <v>UN</v>
      </c>
      <c r="D24191" s="7">
        <v>918</v>
      </c>
      <c r="E24191" s="3">
        <v>4</v>
      </c>
      <c r="F24191" s="3">
        <v>4</v>
      </c>
      <c r="G24191" t="s">
        <v>513</v>
      </c>
    </row>
    <row r="24192" spans="1:7" x14ac:dyDescent="0.25">
      <c r="A24192" s="1" t="str">
        <f>"523792"</f>
        <v>523792</v>
      </c>
      <c r="B24192" s="2" t="str">
        <f>"TORRADEIRA"</f>
        <v>TORRADEIRA</v>
      </c>
      <c r="C24192" s="2" t="str">
        <f t="shared" si="951"/>
        <v>UN</v>
      </c>
      <c r="D24192" s="7">
        <v>99999</v>
      </c>
      <c r="E24192" s="3">
        <v>99</v>
      </c>
      <c r="F24192" s="3">
        <v>99</v>
      </c>
      <c r="G24192" t="s">
        <v>514</v>
      </c>
    </row>
    <row r="24193" spans="1:7" x14ac:dyDescent="0.25">
      <c r="A24193" s="1" t="str">
        <f>"515710"</f>
        <v>515710</v>
      </c>
      <c r="B24193" s="2" t="str">
        <f>"TORRADINHA"</f>
        <v>TORRADINHA</v>
      </c>
      <c r="C24193" s="2" t="str">
        <f t="shared" si="951"/>
        <v>UN</v>
      </c>
      <c r="D24193" s="7">
        <v>401</v>
      </c>
      <c r="E24193" s="3">
        <v>4</v>
      </c>
      <c r="F24193" s="3">
        <v>4</v>
      </c>
      <c r="G24193" t="s">
        <v>515</v>
      </c>
    </row>
    <row r="24194" spans="1:7" x14ac:dyDescent="0.25">
      <c r="A24194" s="1" t="str">
        <f>"526116"</f>
        <v>526116</v>
      </c>
      <c r="B24194" s="2" t="str">
        <f>"TORRE CAMBIO"</f>
        <v>TORRE CAMBIO</v>
      </c>
      <c r="C24194" s="2" t="str">
        <f t="shared" si="951"/>
        <v>UN</v>
      </c>
      <c r="D24194" s="7">
        <v>704</v>
      </c>
      <c r="E24194" s="3">
        <v>9</v>
      </c>
      <c r="F24194" s="3">
        <v>9</v>
      </c>
      <c r="G24194" t="s">
        <v>512</v>
      </c>
    </row>
    <row r="24195" spans="1:7" x14ac:dyDescent="0.25">
      <c r="A24195" s="1" t="str">
        <f>"521166"</f>
        <v>521166</v>
      </c>
      <c r="B24195" s="2" t="str">
        <f>"TORRE DE RESFRIAMENTO DE AGUA"</f>
        <v>TORRE DE RESFRIAMENTO DE AGUA</v>
      </c>
      <c r="C24195" s="2" t="str">
        <f t="shared" si="951"/>
        <v>UN</v>
      </c>
      <c r="D24195" s="7">
        <v>99999</v>
      </c>
      <c r="E24195" s="3">
        <v>99</v>
      </c>
      <c r="F24195" s="3">
        <v>99</v>
      </c>
      <c r="G24195" t="s">
        <v>516</v>
      </c>
    </row>
    <row r="24196" spans="1:7" x14ac:dyDescent="0.25">
      <c r="A24196" s="1" t="str">
        <f>"514861"</f>
        <v>514861</v>
      </c>
      <c r="B24196" s="2" t="str">
        <f>"TORRE RESFRIAMENTO DE AGUA MOD. 16/3-SGC-II-E"</f>
        <v>TORRE RESFRIAMENTO DE AGUA MOD. 16/3-SGC-II-E</v>
      </c>
      <c r="C24196" s="2" t="str">
        <f t="shared" si="951"/>
        <v>UN</v>
      </c>
      <c r="D24196" s="7">
        <v>808</v>
      </c>
      <c r="E24196" s="3">
        <v>13</v>
      </c>
      <c r="F24196" s="3">
        <v>13</v>
      </c>
      <c r="G24196" t="s">
        <v>515</v>
      </c>
    </row>
    <row r="24197" spans="1:7" x14ac:dyDescent="0.25">
      <c r="A24197" s="1" t="str">
        <f>"522198"</f>
        <v>522198</v>
      </c>
      <c r="B24197" s="2" t="str">
        <f>"TORSILAX"</f>
        <v>TORSILAX</v>
      </c>
      <c r="C24197" s="2" t="str">
        <f t="shared" si="951"/>
        <v>UN</v>
      </c>
      <c r="D24197" s="7">
        <v>406</v>
      </c>
      <c r="E24197" s="3">
        <v>4</v>
      </c>
      <c r="F24197" s="3">
        <v>4</v>
      </c>
      <c r="G24197" t="s">
        <v>514</v>
      </c>
    </row>
    <row r="24198" spans="1:7" x14ac:dyDescent="0.25">
      <c r="A24198" s="1" t="str">
        <f>"516658"</f>
        <v>516658</v>
      </c>
      <c r="B24198" s="2" t="str">
        <f>"TORSITE APF-6838 RANNIE 132T-70.140"</f>
        <v>TORSITE APF-6838 RANNIE 132T-70.140</v>
      </c>
      <c r="C24198" s="2" t="str">
        <f t="shared" si="951"/>
        <v>UN</v>
      </c>
      <c r="D24198" s="7">
        <v>918</v>
      </c>
      <c r="E24198" s="3">
        <v>11</v>
      </c>
      <c r="F24198" s="3">
        <v>11</v>
      </c>
      <c r="G24198" t="s">
        <v>512</v>
      </c>
    </row>
    <row r="24199" spans="1:7" x14ac:dyDescent="0.25">
      <c r="A24199" s="1" t="str">
        <f>"512797"</f>
        <v>512797</v>
      </c>
      <c r="B24199" s="2" t="str">
        <f>"TORSITE K116066 APV CUBE 4600 APF-9243"</f>
        <v>TORSITE K116066 APV CUBE 4600 APF-9243</v>
      </c>
      <c r="C24199" s="2" t="str">
        <f t="shared" si="951"/>
        <v>UN</v>
      </c>
      <c r="D24199" s="7">
        <v>918</v>
      </c>
      <c r="E24199" s="3">
        <v>11</v>
      </c>
      <c r="F24199" s="3">
        <v>11</v>
      </c>
      <c r="G24199" t="s">
        <v>513</v>
      </c>
    </row>
    <row r="24200" spans="1:7" x14ac:dyDescent="0.25">
      <c r="A24200" s="1" t="str">
        <f>"518414"</f>
        <v>518414</v>
      </c>
      <c r="B24200" s="2" t="str">
        <f>"TORTA"</f>
        <v>TORTA</v>
      </c>
      <c r="C24200" s="2" t="str">
        <f t="shared" si="951"/>
        <v>UN</v>
      </c>
      <c r="D24200" s="7">
        <v>99999</v>
      </c>
      <c r="E24200" s="3">
        <v>99</v>
      </c>
      <c r="F24200" s="3">
        <v>99</v>
      </c>
      <c r="G24200" t="s">
        <v>514</v>
      </c>
    </row>
    <row r="24201" spans="1:7" x14ac:dyDescent="0.25">
      <c r="A24201" s="1" t="str">
        <f>"515690"</f>
        <v>515690</v>
      </c>
      <c r="B24201" s="2" t="str">
        <f>"TOSTADOR ELECTROLUX"</f>
        <v>TOSTADOR ELECTROLUX</v>
      </c>
      <c r="C24201" s="2" t="str">
        <f t="shared" si="951"/>
        <v>UN</v>
      </c>
      <c r="D24201" s="7">
        <v>401</v>
      </c>
      <c r="E24201" s="3">
        <v>4</v>
      </c>
      <c r="F24201" s="3">
        <v>4</v>
      </c>
      <c r="G24201" t="s">
        <v>514</v>
      </c>
    </row>
    <row r="24202" spans="1:7" x14ac:dyDescent="0.25">
      <c r="A24202" s="1" t="str">
        <f>"523552"</f>
        <v>523552</v>
      </c>
      <c r="B24202" s="2" t="str">
        <f>"TOTALIZADOR DE HORA  COEL COD DH1/100 220VAC"</f>
        <v>TOTALIZADOR DE HORA  COEL COD DH1/100 220VAC</v>
      </c>
      <c r="C24202" s="2" t="str">
        <f t="shared" si="951"/>
        <v>UN</v>
      </c>
      <c r="D24202" s="7">
        <v>811</v>
      </c>
      <c r="E24202" s="3">
        <v>8</v>
      </c>
      <c r="F24202" s="3">
        <v>8</v>
      </c>
      <c r="G24202" t="s">
        <v>512</v>
      </c>
    </row>
    <row r="24203" spans="1:7" x14ac:dyDescent="0.25">
      <c r="A24203" s="1" t="str">
        <f>"508865"</f>
        <v>508865</v>
      </c>
      <c r="B24203" s="2" t="str">
        <f>"TOTALIZADOR DE HORAS MOD. E-520"</f>
        <v>TOTALIZADOR DE HORAS MOD. E-520</v>
      </c>
      <c r="C24203" s="2" t="str">
        <f t="shared" si="951"/>
        <v>UN</v>
      </c>
      <c r="D24203" s="7">
        <v>600</v>
      </c>
      <c r="E24203" s="3">
        <v>8</v>
      </c>
      <c r="F24203" s="3">
        <v>8</v>
      </c>
      <c r="G24203" t="s">
        <v>513</v>
      </c>
    </row>
    <row r="24204" spans="1:7" x14ac:dyDescent="0.25">
      <c r="A24204" s="1" t="str">
        <f>"521710"</f>
        <v>521710</v>
      </c>
      <c r="B24204" s="2" t="str">
        <f>"TOTEM"</f>
        <v>TOTEM</v>
      </c>
      <c r="C24204" s="2" t="str">
        <f t="shared" si="951"/>
        <v>UN</v>
      </c>
      <c r="D24204" s="7">
        <v>99999</v>
      </c>
      <c r="E24204" s="3">
        <v>99</v>
      </c>
      <c r="F24204" s="3">
        <v>99</v>
      </c>
      <c r="G24204" t="s">
        <v>514</v>
      </c>
    </row>
    <row r="24205" spans="1:7" x14ac:dyDescent="0.25">
      <c r="A24205" s="1" t="str">
        <f>"350"</f>
        <v>350</v>
      </c>
      <c r="B24205" s="2" t="str">
        <f>"TOUCA BRANCA - DESCARTAVEL DIV00122 PP20.0 S/ LATEX PREVEMAX"</f>
        <v>TOUCA BRANCA - DESCARTAVEL DIV00122 PP20.0 S/ LATEX PREVEMAX</v>
      </c>
      <c r="C24205" s="2" t="str">
        <f t="shared" si="951"/>
        <v>UN</v>
      </c>
      <c r="D24205" s="7">
        <v>502</v>
      </c>
      <c r="E24205" s="3">
        <v>5</v>
      </c>
      <c r="F24205" s="3">
        <v>5</v>
      </c>
      <c r="G24205" t="s">
        <v>514</v>
      </c>
    </row>
    <row r="24206" spans="1:7" x14ac:dyDescent="0.25">
      <c r="A24206" s="1" t="str">
        <f>"634"</f>
        <v>634</v>
      </c>
      <c r="B24206" s="2" t="str">
        <f>"TOUCA BRANCA - REDINHA"</f>
        <v>TOUCA BRANCA - REDINHA</v>
      </c>
      <c r="C24206" s="2" t="str">
        <f t="shared" si="951"/>
        <v>UN</v>
      </c>
      <c r="D24206" s="7">
        <v>502</v>
      </c>
      <c r="E24206" s="3">
        <v>5</v>
      </c>
      <c r="F24206" s="3">
        <v>5</v>
      </c>
      <c r="G24206" t="s">
        <v>514</v>
      </c>
    </row>
    <row r="24207" spans="1:7" x14ac:dyDescent="0.25">
      <c r="A24207" s="1" t="str">
        <f>"511026"</f>
        <v>511026</v>
      </c>
      <c r="B24207" s="2" t="str">
        <f>"TOUCA DE LA"</f>
        <v>TOUCA DE LA</v>
      </c>
      <c r="C24207" s="2" t="str">
        <f t="shared" si="951"/>
        <v>UN</v>
      </c>
      <c r="D24207" s="7">
        <v>401</v>
      </c>
      <c r="E24207" s="3">
        <v>4</v>
      </c>
      <c r="F24207" s="3">
        <v>4</v>
      </c>
      <c r="G24207" t="s">
        <v>513</v>
      </c>
    </row>
    <row r="24208" spans="1:7" x14ac:dyDescent="0.25">
      <c r="A24208" s="1" t="str">
        <f>"6366"</f>
        <v>6366</v>
      </c>
      <c r="B24208" s="2" t="str">
        <f>"TOUCA DE LA"</f>
        <v>TOUCA DE LA</v>
      </c>
      <c r="C24208" s="2" t="str">
        <f t="shared" si="951"/>
        <v>UN</v>
      </c>
      <c r="D24208" s="7">
        <v>501</v>
      </c>
      <c r="E24208" s="3">
        <v>5</v>
      </c>
      <c r="F24208" s="3">
        <v>5</v>
      </c>
      <c r="G24208" t="s">
        <v>512</v>
      </c>
    </row>
    <row r="24209" spans="1:7" x14ac:dyDescent="0.25">
      <c r="A24209" s="1" t="str">
        <f>"521719"</f>
        <v>521719</v>
      </c>
      <c r="B24209" s="2" t="str">
        <f>"TOUCA DE TECIDO"</f>
        <v>TOUCA DE TECIDO</v>
      </c>
      <c r="C24209" s="2" t="str">
        <f t="shared" si="951"/>
        <v>UN</v>
      </c>
      <c r="D24209" s="7">
        <v>99999</v>
      </c>
      <c r="E24209" s="3">
        <v>99</v>
      </c>
      <c r="F24209" s="3">
        <v>99</v>
      </c>
      <c r="G24209" t="s">
        <v>513</v>
      </c>
    </row>
    <row r="24210" spans="1:7" x14ac:dyDescent="0.25">
      <c r="A24210" s="1" t="str">
        <f>"524262"</f>
        <v>524262</v>
      </c>
      <c r="B24210" s="2" t="str">
        <f>"TOUCA TNT (HOMOLOGAÇÃO)"</f>
        <v>TOUCA TNT (HOMOLOGAÇÃO)</v>
      </c>
      <c r="C24210" s="2" t="str">
        <f t="shared" si="951"/>
        <v>UN</v>
      </c>
      <c r="D24210" s="7">
        <v>501</v>
      </c>
      <c r="E24210" s="3">
        <v>5</v>
      </c>
      <c r="F24210" s="3">
        <v>5</v>
      </c>
      <c r="G24210" t="s">
        <v>514</v>
      </c>
    </row>
    <row r="24211" spans="1:7" x14ac:dyDescent="0.25">
      <c r="A24211" s="1" t="str">
        <f>"516883"</f>
        <v>516883</v>
      </c>
      <c r="B24211" s="2" t="str">
        <f>"TOUCH PAINEL MONO PNBASIC SIMATIC KTP 400 6AV6647-0AA11-3AX0"</f>
        <v>TOUCH PAINEL MONO PNBASIC SIMATIC KTP 400 6AV6647-0AA11-3AX0</v>
      </c>
      <c r="C24211" s="2" t="str">
        <f t="shared" si="951"/>
        <v>UN</v>
      </c>
      <c r="D24211" s="7">
        <v>811</v>
      </c>
      <c r="E24211" s="3">
        <v>8</v>
      </c>
      <c r="F24211" s="3">
        <v>8</v>
      </c>
      <c r="G24211" t="s">
        <v>514</v>
      </c>
    </row>
    <row r="24212" spans="1:7" x14ac:dyDescent="0.25">
      <c r="A24212" s="1" t="str">
        <f>"515018"</f>
        <v>515018</v>
      </c>
      <c r="B24212" s="2" t="str">
        <f>"TOYOTA HILUX CD 4X4 SRV"</f>
        <v>TOYOTA HILUX CD 4X4 SRV</v>
      </c>
      <c r="C24212" s="2" t="str">
        <f t="shared" si="951"/>
        <v>UN</v>
      </c>
      <c r="D24212" s="7">
        <v>2000</v>
      </c>
      <c r="E24212" s="3">
        <v>16</v>
      </c>
      <c r="F24212" s="3">
        <v>16</v>
      </c>
      <c r="G24212" t="s">
        <v>514</v>
      </c>
    </row>
    <row r="24213" spans="1:7" x14ac:dyDescent="0.25">
      <c r="A24213" s="1" t="str">
        <f>"522687"</f>
        <v>522687</v>
      </c>
      <c r="B24213" s="2" t="str">
        <f>"TP PORTA 2FL 1800X1500 CPFL QD MED. TRAFO EM POSTE"</f>
        <v>TP PORTA 2FL 1800X1500 CPFL QD MED. TRAFO EM POSTE</v>
      </c>
      <c r="C24213" s="2" t="str">
        <f t="shared" si="951"/>
        <v>UN</v>
      </c>
      <c r="D24213" s="7">
        <v>811</v>
      </c>
      <c r="E24213" s="3">
        <v>8</v>
      </c>
      <c r="F24213" s="3">
        <v>8</v>
      </c>
      <c r="G24213" t="s">
        <v>513</v>
      </c>
    </row>
    <row r="24214" spans="1:7" x14ac:dyDescent="0.25">
      <c r="A24214" s="1" t="str">
        <f>"523271"</f>
        <v>523271</v>
      </c>
      <c r="B24214" s="2" t="str">
        <f>"TP-7 1/2""NPT 0-10 BARG SAIDA 4-20MA TRANSMISSOR DE PRESSÃO"</f>
        <v>TP-7 1/2"NPT 0-10 BARG SAIDA 4-20MA TRANSMISSOR DE PRESSÃO</v>
      </c>
      <c r="C24214" s="2" t="str">
        <f t="shared" si="951"/>
        <v>UN</v>
      </c>
      <c r="D24214" s="7">
        <v>811</v>
      </c>
      <c r="E24214" s="3">
        <v>8</v>
      </c>
      <c r="F24214" s="3">
        <v>8</v>
      </c>
      <c r="G24214" t="s">
        <v>513</v>
      </c>
    </row>
    <row r="24215" spans="1:7" x14ac:dyDescent="0.25">
      <c r="A24215" s="1" t="str">
        <f>"3645"</f>
        <v>3645</v>
      </c>
      <c r="B24215" s="2" t="str">
        <f>"TQ COALHADA INTEGRAL 160G"</f>
        <v>TQ COALHADA INTEGRAL 160G</v>
      </c>
      <c r="C24215" s="2" t="str">
        <f t="shared" ref="C24215:C24246" si="952">"UN"</f>
        <v>UN</v>
      </c>
      <c r="D24215" s="7">
        <v>39</v>
      </c>
      <c r="E24215" s="3">
        <v>6</v>
      </c>
      <c r="F24215" s="3">
        <v>6</v>
      </c>
      <c r="G24215" t="s">
        <v>513</v>
      </c>
    </row>
    <row r="24216" spans="1:7" x14ac:dyDescent="0.25">
      <c r="A24216" s="1" t="str">
        <f>"3643"</f>
        <v>3643</v>
      </c>
      <c r="B24216" s="2" t="str">
        <f>"TQ IOGURTE DESNATADO 160G - TAEQ"</f>
        <v>TQ IOGURTE DESNATADO 160G - TAEQ</v>
      </c>
      <c r="C24216" s="2" t="str">
        <f t="shared" si="952"/>
        <v>UN</v>
      </c>
      <c r="D24216" s="7">
        <v>39</v>
      </c>
      <c r="E24216" s="3">
        <v>6</v>
      </c>
      <c r="F24216" s="3">
        <v>6</v>
      </c>
      <c r="G24216" t="s">
        <v>512</v>
      </c>
    </row>
    <row r="24217" spans="1:7" x14ac:dyDescent="0.25">
      <c r="A24217" s="1" t="str">
        <f>"3644"</f>
        <v>3644</v>
      </c>
      <c r="B24217" s="2" t="str">
        <f>"TQ IOGURTE DESNATADO COM MEL 160G - TAEQ"</f>
        <v>TQ IOGURTE DESNATADO COM MEL 160G - TAEQ</v>
      </c>
      <c r="C24217" s="2" t="str">
        <f t="shared" si="952"/>
        <v>UN</v>
      </c>
      <c r="D24217" s="7">
        <v>39</v>
      </c>
      <c r="E24217" s="3">
        <v>6</v>
      </c>
      <c r="F24217" s="3">
        <v>6</v>
      </c>
      <c r="G24217" t="s">
        <v>513</v>
      </c>
    </row>
    <row r="24218" spans="1:7" x14ac:dyDescent="0.25">
      <c r="A24218" s="1" t="str">
        <f>"3615"</f>
        <v>3615</v>
      </c>
      <c r="B24218" s="2" t="str">
        <f>"TQ IOGURTE DESNATADO COM MEL 170G - TAEQ"</f>
        <v>TQ IOGURTE DESNATADO COM MEL 170G - TAEQ</v>
      </c>
      <c r="C24218" s="2" t="str">
        <f t="shared" si="952"/>
        <v>UN</v>
      </c>
      <c r="D24218" s="7">
        <v>35</v>
      </c>
      <c r="E24218" s="3">
        <v>6</v>
      </c>
      <c r="F24218" s="3">
        <v>6</v>
      </c>
      <c r="G24218" t="s">
        <v>514</v>
      </c>
    </row>
    <row r="24219" spans="1:7" x14ac:dyDescent="0.25">
      <c r="A24219" s="1" t="str">
        <f>"3642"</f>
        <v>3642</v>
      </c>
      <c r="B24219" s="2" t="str">
        <f>"TQ IOGURTE INTEGRAL 160G - TAEQ"</f>
        <v>TQ IOGURTE INTEGRAL 160G - TAEQ</v>
      </c>
      <c r="C24219" s="2" t="str">
        <f t="shared" si="952"/>
        <v>UN</v>
      </c>
      <c r="D24219" s="7">
        <v>39</v>
      </c>
      <c r="E24219" s="3">
        <v>6</v>
      </c>
      <c r="F24219" s="3">
        <v>6</v>
      </c>
      <c r="G24219" t="s">
        <v>515</v>
      </c>
    </row>
    <row r="24220" spans="1:7" x14ac:dyDescent="0.25">
      <c r="A24220" s="1" t="str">
        <f>"3614"</f>
        <v>3614</v>
      </c>
      <c r="B24220" s="2" t="str">
        <f>"TQ IOGURTE NAT DESNATADO 170G - TAEQ"</f>
        <v>TQ IOGURTE NAT DESNATADO 170G - TAEQ</v>
      </c>
      <c r="C24220" s="2" t="str">
        <f t="shared" si="952"/>
        <v>UN</v>
      </c>
      <c r="D24220" s="7">
        <v>35</v>
      </c>
      <c r="E24220" s="3">
        <v>6</v>
      </c>
      <c r="F24220" s="3">
        <v>6</v>
      </c>
      <c r="G24220" t="s">
        <v>512</v>
      </c>
    </row>
    <row r="24221" spans="1:7" x14ac:dyDescent="0.25">
      <c r="A24221" s="1" t="str">
        <f>"3613"</f>
        <v>3613</v>
      </c>
      <c r="B24221" s="2" t="str">
        <f>"TQ IOGURTE NAT INTEGRAL 170G - TAEQ"</f>
        <v>TQ IOGURTE NAT INTEGRAL 170G - TAEQ</v>
      </c>
      <c r="C24221" s="2" t="str">
        <f t="shared" si="952"/>
        <v>UN</v>
      </c>
      <c r="D24221" s="7">
        <v>35</v>
      </c>
      <c r="E24221" s="3">
        <v>6</v>
      </c>
      <c r="F24221" s="3">
        <v>6</v>
      </c>
      <c r="G24221" t="s">
        <v>516</v>
      </c>
    </row>
    <row r="24222" spans="1:7" x14ac:dyDescent="0.25">
      <c r="A24222" s="1" t="str">
        <f>"506161"</f>
        <v>506161</v>
      </c>
      <c r="B24222" s="2" t="str">
        <f>"TRAFO 10 KVA 380V/220V"</f>
        <v>TRAFO 10 KVA 380V/220V</v>
      </c>
      <c r="C24222" s="2" t="str">
        <f t="shared" si="952"/>
        <v>UN</v>
      </c>
      <c r="D24222" s="7">
        <v>600</v>
      </c>
      <c r="E24222" s="3">
        <v>8</v>
      </c>
      <c r="F24222" s="3">
        <v>8</v>
      </c>
      <c r="G24222" t="s">
        <v>515</v>
      </c>
    </row>
    <row r="24223" spans="1:7" x14ac:dyDescent="0.25">
      <c r="A24223" s="1" t="str">
        <f>"502472"</f>
        <v>502472</v>
      </c>
      <c r="B24223" s="2" t="str">
        <f>"TRAFO 100CV 380V AUTOCOMPENSADORA"</f>
        <v>TRAFO 100CV 380V AUTOCOMPENSADORA</v>
      </c>
      <c r="C24223" s="2" t="str">
        <f t="shared" si="952"/>
        <v>UN</v>
      </c>
      <c r="D24223" s="7">
        <v>600</v>
      </c>
      <c r="E24223" s="3">
        <v>8</v>
      </c>
      <c r="F24223" s="3">
        <v>8</v>
      </c>
      <c r="G24223" t="s">
        <v>514</v>
      </c>
    </row>
    <row r="24224" spans="1:7" x14ac:dyDescent="0.25">
      <c r="A24224" s="1" t="str">
        <f>"505121"</f>
        <v>505121</v>
      </c>
      <c r="B24224" s="2" t="str">
        <f>"TRAFO 10CV 380V AUTOCOMPENSADORA"</f>
        <v>TRAFO 10CV 380V AUTOCOMPENSADORA</v>
      </c>
      <c r="C24224" s="2" t="str">
        <f t="shared" si="952"/>
        <v>UN</v>
      </c>
      <c r="D24224" s="7">
        <v>600</v>
      </c>
      <c r="E24224" s="3">
        <v>8</v>
      </c>
      <c r="F24224" s="3">
        <v>8</v>
      </c>
      <c r="G24224" t="s">
        <v>512</v>
      </c>
    </row>
    <row r="24225" spans="1:7" x14ac:dyDescent="0.25">
      <c r="A24225" s="1" t="str">
        <f>"508168"</f>
        <v>508168</v>
      </c>
      <c r="B24225" s="2" t="str">
        <f>"TRAFO 150CV 380V 45S P. PESADA"</f>
        <v>TRAFO 150CV 380V 45S P. PESADA</v>
      </c>
      <c r="C24225" s="2" t="str">
        <f t="shared" si="952"/>
        <v>UN</v>
      </c>
      <c r="D24225" s="7">
        <v>600</v>
      </c>
      <c r="E24225" s="3">
        <v>8</v>
      </c>
      <c r="F24225" s="3">
        <v>8</v>
      </c>
      <c r="G24225" t="s">
        <v>513</v>
      </c>
    </row>
    <row r="24226" spans="1:7" x14ac:dyDescent="0.25">
      <c r="A24226" s="1" t="str">
        <f>"503727"</f>
        <v>503727</v>
      </c>
      <c r="B24226" s="2" t="str">
        <f>"TRAFO 220V 100VA 500W"</f>
        <v>TRAFO 220V 100VA 500W</v>
      </c>
      <c r="C24226" s="2" t="str">
        <f t="shared" si="952"/>
        <v>UN</v>
      </c>
      <c r="D24226" s="7">
        <v>600</v>
      </c>
      <c r="E24226" s="3">
        <v>8</v>
      </c>
      <c r="F24226" s="3">
        <v>8</v>
      </c>
      <c r="G24226" t="s">
        <v>514</v>
      </c>
    </row>
    <row r="24227" spans="1:7" x14ac:dyDescent="0.25">
      <c r="A24227" s="1" t="str">
        <f>"505120"</f>
        <v>505120</v>
      </c>
      <c r="B24227" s="2" t="str">
        <f>"TRAFO 25CV 380V AUTOCOMPENSADORA"</f>
        <v>TRAFO 25CV 380V AUTOCOMPENSADORA</v>
      </c>
      <c r="C24227" s="2" t="str">
        <f t="shared" si="952"/>
        <v>UN</v>
      </c>
      <c r="D24227" s="7">
        <v>600</v>
      </c>
      <c r="E24227" s="3">
        <v>8</v>
      </c>
      <c r="F24227" s="3">
        <v>8</v>
      </c>
      <c r="G24227" t="s">
        <v>514</v>
      </c>
    </row>
    <row r="24228" spans="1:7" x14ac:dyDescent="0.25">
      <c r="A24228" s="1" t="str">
        <f>"505808"</f>
        <v>505808</v>
      </c>
      <c r="B24228" s="2" t="str">
        <f>"TRAFO 500VA 220V"</f>
        <v>TRAFO 500VA 220V</v>
      </c>
      <c r="C24228" s="2" t="str">
        <f t="shared" si="952"/>
        <v>UN</v>
      </c>
      <c r="D24228" s="7">
        <v>600</v>
      </c>
      <c r="E24228" s="3">
        <v>8</v>
      </c>
      <c r="F24228" s="3">
        <v>8</v>
      </c>
      <c r="G24228" t="s">
        <v>512</v>
      </c>
    </row>
    <row r="24229" spans="1:7" x14ac:dyDescent="0.25">
      <c r="A24229" s="1" t="str">
        <f>"500747"</f>
        <v>500747</v>
      </c>
      <c r="B24229" s="2" t="str">
        <f>"TRAFO 75CV 380V AUTOCOMPENSADORA"</f>
        <v>TRAFO 75CV 380V AUTOCOMPENSADORA</v>
      </c>
      <c r="C24229" s="2" t="str">
        <f t="shared" si="952"/>
        <v>UN</v>
      </c>
      <c r="D24229" s="7">
        <v>600</v>
      </c>
      <c r="E24229" s="3">
        <v>8</v>
      </c>
      <c r="F24229" s="3">
        <v>8</v>
      </c>
      <c r="G24229" t="s">
        <v>513</v>
      </c>
    </row>
    <row r="24230" spans="1:7" x14ac:dyDescent="0.25">
      <c r="A24230" s="1" t="str">
        <f>"511801"</f>
        <v>511801</v>
      </c>
      <c r="B24230" s="2" t="str">
        <f>"TRAFO CORR. JANELA 3000/5A CATERPILLAR"</f>
        <v>TRAFO CORR. JANELA 3000/5A CATERPILLAR</v>
      </c>
      <c r="C24230" s="2" t="str">
        <f t="shared" si="952"/>
        <v>UN</v>
      </c>
      <c r="D24230" s="7">
        <v>600</v>
      </c>
      <c r="E24230" s="3">
        <v>8</v>
      </c>
      <c r="F24230" s="3">
        <v>8</v>
      </c>
      <c r="G24230" t="s">
        <v>514</v>
      </c>
    </row>
    <row r="24231" spans="1:7" x14ac:dyDescent="0.25">
      <c r="A24231" s="1" t="str">
        <f>"511281"</f>
        <v>511281</v>
      </c>
      <c r="B24231" s="2" t="str">
        <f>"TRAFO CORR. JANELA 800/5A KR174/KTA12"</f>
        <v>TRAFO CORR. JANELA 800/5A KR174/KTA12</v>
      </c>
      <c r="C24231" s="2" t="str">
        <f t="shared" si="952"/>
        <v>UN</v>
      </c>
      <c r="D24231" s="7">
        <v>601</v>
      </c>
      <c r="E24231" s="3">
        <v>8</v>
      </c>
      <c r="F24231" s="3">
        <v>8</v>
      </c>
      <c r="G24231" t="s">
        <v>514</v>
      </c>
    </row>
    <row r="24232" spans="1:7" x14ac:dyDescent="0.25">
      <c r="A24232" s="1" t="str">
        <f>"513514"</f>
        <v>513514</v>
      </c>
      <c r="B24232" s="2" t="str">
        <f>"TRAFO CORRENTE PARTIDA 1500/5A"</f>
        <v>TRAFO CORRENTE PARTIDA 1500/5A</v>
      </c>
      <c r="C24232" s="2" t="str">
        <f t="shared" si="952"/>
        <v>UN</v>
      </c>
      <c r="D24232" s="7">
        <v>811</v>
      </c>
      <c r="E24232" s="3">
        <v>8</v>
      </c>
      <c r="F24232" s="3">
        <v>8</v>
      </c>
      <c r="G24232" t="s">
        <v>514</v>
      </c>
    </row>
    <row r="24233" spans="1:7" x14ac:dyDescent="0.25">
      <c r="A24233" s="1" t="str">
        <f>"521301"</f>
        <v>521301</v>
      </c>
      <c r="B24233" s="2" t="str">
        <f>"TRAFO ISOLADOR 35KVA 220X380V TRIFASICO A SECO"</f>
        <v>TRAFO ISOLADOR 35KVA 220X380V TRIFASICO A SECO</v>
      </c>
      <c r="C24233" s="2" t="str">
        <f t="shared" si="952"/>
        <v>UN</v>
      </c>
      <c r="D24233" s="7">
        <v>600</v>
      </c>
      <c r="E24233" s="3">
        <v>8</v>
      </c>
      <c r="F24233" s="3">
        <v>8</v>
      </c>
      <c r="G24233" t="s">
        <v>513</v>
      </c>
    </row>
    <row r="24234" spans="1:7" x14ac:dyDescent="0.25">
      <c r="A24234" s="1" t="str">
        <f>"509450"</f>
        <v>509450</v>
      </c>
      <c r="B24234" s="2" t="str">
        <f>"TRAMONI"</f>
        <v>TRAMONI</v>
      </c>
      <c r="C24234" s="2" t="str">
        <f t="shared" si="952"/>
        <v>UN</v>
      </c>
      <c r="D24234" s="7">
        <v>402</v>
      </c>
      <c r="E24234" s="3">
        <v>4</v>
      </c>
      <c r="F24234" s="3">
        <v>4</v>
      </c>
      <c r="G24234" t="s">
        <v>512</v>
      </c>
    </row>
    <row r="24235" spans="1:7" x14ac:dyDescent="0.25">
      <c r="A24235" s="1" t="str">
        <f>"520973"</f>
        <v>520973</v>
      </c>
      <c r="B24235" s="2" t="str">
        <f>"TRANCA PARA CADEADO"</f>
        <v>TRANCA PARA CADEADO</v>
      </c>
      <c r="C24235" s="2" t="str">
        <f t="shared" si="952"/>
        <v>UN</v>
      </c>
      <c r="D24235" s="7">
        <v>811</v>
      </c>
      <c r="E24235" s="3">
        <v>8</v>
      </c>
      <c r="F24235" s="3">
        <v>8</v>
      </c>
      <c r="G24235" t="s">
        <v>513</v>
      </c>
    </row>
    <row r="24236" spans="1:7" x14ac:dyDescent="0.25">
      <c r="A24236" s="1" t="str">
        <f>"511082"</f>
        <v>511082</v>
      </c>
      <c r="B24236" s="2" t="str">
        <f>"TRANFORMADOR COMANDO 300VA 220X24VAC"</f>
        <v>TRANFORMADOR COMANDO 300VA 220X24VAC</v>
      </c>
      <c r="C24236" s="2" t="str">
        <f t="shared" si="952"/>
        <v>UN</v>
      </c>
      <c r="D24236" s="7">
        <v>600</v>
      </c>
      <c r="E24236" s="3">
        <v>8</v>
      </c>
      <c r="F24236" s="3">
        <v>8</v>
      </c>
      <c r="G24236" t="s">
        <v>514</v>
      </c>
    </row>
    <row r="24237" spans="1:7" x14ac:dyDescent="0.25">
      <c r="A24237" s="1" t="str">
        <f>"521997"</f>
        <v>521997</v>
      </c>
      <c r="B24237" s="8" t="s">
        <v>270</v>
      </c>
      <c r="C24237" s="2" t="str">
        <f t="shared" si="952"/>
        <v>UN</v>
      </c>
      <c r="D24237" s="7">
        <v>901</v>
      </c>
      <c r="E24237" s="3">
        <v>11</v>
      </c>
      <c r="F24237" s="3">
        <v>11</v>
      </c>
      <c r="G24237" t="s">
        <v>514</v>
      </c>
    </row>
    <row r="24238" spans="1:7" x14ac:dyDescent="0.25">
      <c r="A24238" s="1" t="str">
        <f>"513277"</f>
        <v>513277</v>
      </c>
      <c r="B24238" s="2" t="str">
        <f>"TRANSDUTOR DE PRESSAO 1089057543-J"</f>
        <v>TRANSDUTOR DE PRESSAO 1089057543-J</v>
      </c>
      <c r="C24238" s="2" t="str">
        <f t="shared" si="952"/>
        <v>UN</v>
      </c>
      <c r="D24238" s="7">
        <v>918</v>
      </c>
      <c r="E24238" s="3">
        <v>11</v>
      </c>
      <c r="F24238" s="3">
        <v>11</v>
      </c>
      <c r="G24238" t="s">
        <v>514</v>
      </c>
    </row>
    <row r="24239" spans="1:7" x14ac:dyDescent="0.25">
      <c r="A24239" s="1" t="str">
        <f>"524645"</f>
        <v>524645</v>
      </c>
      <c r="B24239" s="2" t="str">
        <f>"TRANSDUTOR DE PRESSÃO GA132 1089962513 ATLAS COPCO"</f>
        <v>TRANSDUTOR DE PRESSÃO GA132 1089962513 ATLAS COPCO</v>
      </c>
      <c r="C24239" s="2" t="str">
        <f t="shared" si="952"/>
        <v>UN</v>
      </c>
      <c r="D24239" s="7">
        <v>901</v>
      </c>
      <c r="E24239" s="3">
        <v>11</v>
      </c>
      <c r="F24239" s="3">
        <v>11</v>
      </c>
      <c r="G24239" t="s">
        <v>513</v>
      </c>
    </row>
    <row r="24240" spans="1:7" x14ac:dyDescent="0.25">
      <c r="A24240" s="1" t="str">
        <f>"524646"</f>
        <v>524646</v>
      </c>
      <c r="B24240" s="2" t="str">
        <f>"TRANSDUTOR DE PRESSÃO GA132 1089962518 ATLAS COPCO"</f>
        <v>TRANSDUTOR DE PRESSÃO GA132 1089962518 ATLAS COPCO</v>
      </c>
      <c r="C24240" s="2" t="str">
        <f t="shared" si="952"/>
        <v>UN</v>
      </c>
      <c r="D24240" s="7">
        <v>901</v>
      </c>
      <c r="E24240" s="3">
        <v>11</v>
      </c>
      <c r="F24240" s="3">
        <v>11</v>
      </c>
      <c r="G24240" t="s">
        <v>513</v>
      </c>
    </row>
    <row r="24241" spans="1:7" x14ac:dyDescent="0.25">
      <c r="A24241" s="1" t="str">
        <f>"520832"</f>
        <v>520832</v>
      </c>
      <c r="B24241" s="2" t="str">
        <f>"TRANSDUTOR LINER GEFRAN 4-20MA 24VCC R. M8X1,5 PCUR098"</f>
        <v>TRANSDUTOR LINER GEFRAN 4-20MA 24VCC R. M8X1,5 PCUR098</v>
      </c>
      <c r="C24241" s="2" t="str">
        <f t="shared" si="952"/>
        <v>UN</v>
      </c>
      <c r="D24241" s="7">
        <v>908</v>
      </c>
      <c r="E24241" s="3">
        <v>11</v>
      </c>
      <c r="F24241" s="3">
        <v>11</v>
      </c>
      <c r="G24241" t="s">
        <v>513</v>
      </c>
    </row>
    <row r="24242" spans="1:7" x14ac:dyDescent="0.25">
      <c r="A24242" s="1" t="str">
        <f>"516558"</f>
        <v>516558</v>
      </c>
      <c r="B24242" s="2" t="str">
        <f>"TRANSDUTOR NIVEL CAPACITIVO SC404 6TRTL950N17"</f>
        <v>TRANSDUTOR NIVEL CAPACITIVO SC404 6TRTL950N17</v>
      </c>
      <c r="C24242" s="2" t="str">
        <f t="shared" si="952"/>
        <v>UN</v>
      </c>
      <c r="D24242" s="7">
        <v>811</v>
      </c>
      <c r="E24242" s="3">
        <v>8</v>
      </c>
      <c r="F24242" s="3">
        <v>8</v>
      </c>
      <c r="G24242" t="s">
        <v>512</v>
      </c>
    </row>
    <row r="24243" spans="1:7" x14ac:dyDescent="0.25">
      <c r="A24243" s="1" t="str">
        <f>"519396"</f>
        <v>519396</v>
      </c>
      <c r="B24243" s="2" t="str">
        <f>"TRANSF MONO COD 212147 PRIM. 220+380V SEC 48V 30VA S478/1301"</f>
        <v>TRANSF MONO COD 212147 PRIM. 220+380V SEC 48V 30VA S478/1301</v>
      </c>
      <c r="C24243" s="2" t="str">
        <f t="shared" si="952"/>
        <v>UN</v>
      </c>
      <c r="D24243" s="7">
        <v>811</v>
      </c>
      <c r="E24243" s="3">
        <v>8</v>
      </c>
      <c r="F24243" s="3">
        <v>8</v>
      </c>
      <c r="G24243" t="s">
        <v>513</v>
      </c>
    </row>
    <row r="24244" spans="1:7" x14ac:dyDescent="0.25">
      <c r="A24244" s="1" t="str">
        <f>"519301"</f>
        <v>519301</v>
      </c>
      <c r="B24244" s="2" t="str">
        <f>"TRANSF. 05KVA 220/380/440 V ELEVADOR/REBAIXADOR"</f>
        <v>TRANSF. 05KVA 220/380/440 V ELEVADOR/REBAIXADOR</v>
      </c>
      <c r="C24244" s="2" t="str">
        <f t="shared" si="952"/>
        <v>UN</v>
      </c>
      <c r="D24244" s="7">
        <v>600</v>
      </c>
      <c r="E24244" s="3">
        <v>8</v>
      </c>
      <c r="F24244" s="3">
        <v>8</v>
      </c>
      <c r="G24244" t="s">
        <v>514</v>
      </c>
    </row>
    <row r="24245" spans="1:7" x14ac:dyDescent="0.25">
      <c r="A24245" s="1" t="str">
        <f>"506172"</f>
        <v>506172</v>
      </c>
      <c r="B24245" s="2" t="str">
        <f>"TRANSF. 10KVA 220/380/440 V ELEVADOR"</f>
        <v>TRANSF. 10KVA 220/380/440 V ELEVADOR</v>
      </c>
      <c r="C24245" s="2" t="str">
        <f t="shared" si="952"/>
        <v>UN</v>
      </c>
      <c r="D24245" s="7">
        <v>600</v>
      </c>
      <c r="E24245" s="3">
        <v>8</v>
      </c>
      <c r="F24245" s="3">
        <v>8</v>
      </c>
      <c r="G24245" t="s">
        <v>515</v>
      </c>
    </row>
    <row r="24246" spans="1:7" x14ac:dyDescent="0.25">
      <c r="A24246" s="1" t="str">
        <f>"527948"</f>
        <v>527948</v>
      </c>
      <c r="B24246" s="2" t="str">
        <f>"TRANSF. AUTOTRAFO 100 KVA 220/380V + N ELEV/REBAIX C/CX IP23"</f>
        <v>TRANSF. AUTOTRAFO 100 KVA 220/380V + N ELEV/REBAIX C/CX IP23</v>
      </c>
      <c r="C24246" s="2" t="str">
        <f t="shared" si="952"/>
        <v>UN</v>
      </c>
      <c r="D24246" s="7">
        <v>811</v>
      </c>
      <c r="E24246" s="3">
        <v>10</v>
      </c>
      <c r="F24246" s="3">
        <v>10</v>
      </c>
      <c r="G24246" t="s">
        <v>512</v>
      </c>
    </row>
    <row r="24247" spans="1:7" x14ac:dyDescent="0.25">
      <c r="A24247" s="1" t="str">
        <f>"518305"</f>
        <v>518305</v>
      </c>
      <c r="B24247" s="2" t="str">
        <f>"TRANSF. COMANDO 230/380V X 48V TALHA LODE"</f>
        <v>TRANSF. COMANDO 230/380V X 48V TALHA LODE</v>
      </c>
      <c r="C24247" s="2" t="str">
        <f t="shared" ref="C24247:C24278" si="953">"UN"</f>
        <v>UN</v>
      </c>
      <c r="D24247" s="7">
        <v>811</v>
      </c>
      <c r="E24247" s="3">
        <v>8</v>
      </c>
      <c r="F24247" s="3">
        <v>8</v>
      </c>
      <c r="G24247" t="s">
        <v>516</v>
      </c>
    </row>
    <row r="24248" spans="1:7" x14ac:dyDescent="0.25">
      <c r="A24248" s="1" t="str">
        <f>"518296"</f>
        <v>518296</v>
      </c>
      <c r="B24248" s="2" t="str">
        <f>"TRANSF. MONO 480VA 60HZ E220S 12/24"</f>
        <v>TRANSF. MONO 480VA 60HZ E220S 12/24</v>
      </c>
      <c r="C24248" s="2" t="str">
        <f t="shared" si="953"/>
        <v>UN</v>
      </c>
      <c r="D24248" s="7">
        <v>811</v>
      </c>
      <c r="E24248" s="3">
        <v>8</v>
      </c>
      <c r="F24248" s="3">
        <v>8</v>
      </c>
      <c r="G24248" t="s">
        <v>515</v>
      </c>
    </row>
    <row r="24249" spans="1:7" x14ac:dyDescent="0.25">
      <c r="A24249" s="1" t="str">
        <f>"509744"</f>
        <v>509744</v>
      </c>
      <c r="B24249" s="2" t="str">
        <f>"TRANSF. P/ CHAVE COMPENSADORA 25CV 380V"</f>
        <v>TRANSF. P/ CHAVE COMPENSADORA 25CV 380V</v>
      </c>
      <c r="C24249" s="2" t="str">
        <f t="shared" si="953"/>
        <v>UN</v>
      </c>
      <c r="D24249" s="7">
        <v>600</v>
      </c>
      <c r="E24249" s="3">
        <v>8</v>
      </c>
      <c r="F24249" s="3">
        <v>8</v>
      </c>
      <c r="G24249" t="s">
        <v>514</v>
      </c>
    </row>
    <row r="24250" spans="1:7" x14ac:dyDescent="0.25">
      <c r="A24250" s="1" t="str">
        <f>"987"</f>
        <v>987</v>
      </c>
      <c r="B24250" s="2" t="str">
        <f>"TRANSFERÊNCIA DE SALDO CREDOR - R$ 51.228,75"</f>
        <v>TRANSFERÊNCIA DE SALDO CREDOR - R$ 51.228,75</v>
      </c>
      <c r="C24250" s="2" t="str">
        <f t="shared" si="953"/>
        <v>UN</v>
      </c>
      <c r="D24250" s="7">
        <v>99999</v>
      </c>
      <c r="E24250" s="3">
        <v>99</v>
      </c>
      <c r="F24250" s="3">
        <v>99</v>
      </c>
      <c r="G24250" t="s">
        <v>512</v>
      </c>
    </row>
    <row r="24251" spans="1:7" x14ac:dyDescent="0.25">
      <c r="A24251" s="1" t="str">
        <f>"518884"</f>
        <v>518884</v>
      </c>
      <c r="B24251" s="2" t="str">
        <f>"TRANSFORMADOR 1000KVA FLANG. OP 11,4KV TS 220/380V"</f>
        <v>TRANSFORMADOR 1000KVA FLANG. OP 11,4KV TS 220/380V</v>
      </c>
      <c r="C24251" s="2" t="str">
        <f t="shared" si="953"/>
        <v>UN</v>
      </c>
      <c r="D24251" s="7">
        <v>811</v>
      </c>
      <c r="E24251" s="3">
        <v>8</v>
      </c>
      <c r="F24251" s="3">
        <v>8</v>
      </c>
      <c r="G24251" t="s">
        <v>513</v>
      </c>
    </row>
    <row r="24252" spans="1:7" x14ac:dyDescent="0.25">
      <c r="A24252" s="1" t="str">
        <f>"505201"</f>
        <v>505201</v>
      </c>
      <c r="B24252" s="2" t="str">
        <f>"TRANSFORMADOR 1000VA E220/380/440V"</f>
        <v>TRANSFORMADOR 1000VA E220/380/440V</v>
      </c>
      <c r="C24252" s="2" t="str">
        <f t="shared" si="953"/>
        <v>UN</v>
      </c>
      <c r="D24252" s="7">
        <v>600</v>
      </c>
      <c r="E24252" s="3">
        <v>8</v>
      </c>
      <c r="F24252" s="3">
        <v>8</v>
      </c>
      <c r="G24252" t="s">
        <v>514</v>
      </c>
    </row>
    <row r="24253" spans="1:7" x14ac:dyDescent="0.25">
      <c r="A24253" s="1" t="str">
        <f>"511756"</f>
        <v>511756</v>
      </c>
      <c r="B24253" s="2" t="str">
        <f>"TRANSFORMADOR 220 X 24VCC 03A"</f>
        <v>TRANSFORMADOR 220 X 24VCC 03A</v>
      </c>
      <c r="C24253" s="2" t="str">
        <f t="shared" si="953"/>
        <v>UN</v>
      </c>
      <c r="D24253" s="7">
        <v>99999</v>
      </c>
      <c r="E24253" s="3">
        <v>99</v>
      </c>
      <c r="F24253" s="3">
        <v>99</v>
      </c>
      <c r="G24253" t="s">
        <v>514</v>
      </c>
    </row>
    <row r="24254" spans="1:7" x14ac:dyDescent="0.25">
      <c r="A24254" s="1" t="str">
        <f>"519553"</f>
        <v>519553</v>
      </c>
      <c r="B24254" s="2" t="str">
        <f>"TRANSFORMADOR 220/380V X 48V 30VA"</f>
        <v>TRANSFORMADOR 220/380V X 48V 30VA</v>
      </c>
      <c r="C24254" s="2" t="str">
        <f t="shared" si="953"/>
        <v>UN</v>
      </c>
      <c r="D24254" s="7">
        <v>99999</v>
      </c>
      <c r="E24254" s="3">
        <v>99</v>
      </c>
      <c r="F24254" s="3">
        <v>99</v>
      </c>
      <c r="G24254" t="s">
        <v>512</v>
      </c>
    </row>
    <row r="24255" spans="1:7" x14ac:dyDescent="0.25">
      <c r="A24255" s="1" t="str">
        <f>"504058"</f>
        <v>504058</v>
      </c>
      <c r="B24255" s="2" t="str">
        <f>"TRANSFORMADOR 220V X 24 VOLTS 100VA"</f>
        <v>TRANSFORMADOR 220V X 24 VOLTS 100VA</v>
      </c>
      <c r="C24255" s="2" t="str">
        <f t="shared" si="953"/>
        <v>UN</v>
      </c>
      <c r="D24255" s="7">
        <v>600</v>
      </c>
      <c r="E24255" s="3">
        <v>8</v>
      </c>
      <c r="F24255" s="3">
        <v>8</v>
      </c>
      <c r="G24255" t="s">
        <v>513</v>
      </c>
    </row>
    <row r="24256" spans="1:7" x14ac:dyDescent="0.25">
      <c r="A24256" s="1" t="str">
        <f>"501692"</f>
        <v>501692</v>
      </c>
      <c r="B24256" s="2" t="str">
        <f>"TRANSFORMADOR 3000W BIVOLT"</f>
        <v>TRANSFORMADOR 3000W BIVOLT</v>
      </c>
      <c r="C24256" s="2" t="str">
        <f t="shared" si="953"/>
        <v>UN</v>
      </c>
      <c r="D24256" s="7">
        <v>600</v>
      </c>
      <c r="E24256" s="3">
        <v>8</v>
      </c>
      <c r="F24256" s="3">
        <v>8</v>
      </c>
      <c r="G24256" t="s">
        <v>514</v>
      </c>
    </row>
    <row r="24257" spans="1:7" x14ac:dyDescent="0.25">
      <c r="A24257" s="1" t="str">
        <f>"523024"</f>
        <v>523024</v>
      </c>
      <c r="B24257" s="2" t="str">
        <f>"TRANSFORMADOR A OLEO MIN. 1000KVA 60Hz 380/220V"</f>
        <v>TRANSFORMADOR A OLEO MIN. 1000KVA 60Hz 380/220V</v>
      </c>
      <c r="C24257" s="2" t="str">
        <f t="shared" si="953"/>
        <v>UN</v>
      </c>
      <c r="D24257" s="7">
        <v>811</v>
      </c>
      <c r="E24257" s="3">
        <v>10</v>
      </c>
      <c r="F24257" s="3">
        <v>10</v>
      </c>
      <c r="G24257" t="s">
        <v>514</v>
      </c>
    </row>
    <row r="24258" spans="1:7" x14ac:dyDescent="0.25">
      <c r="A24258" s="1" t="str">
        <f>"523025"</f>
        <v>523025</v>
      </c>
      <c r="B24258" s="2" t="str">
        <f>"TRANSFORMADOR A OLEO MIN. 225KVA 60Hz 380/220V"</f>
        <v>TRANSFORMADOR A OLEO MIN. 225KVA 60Hz 380/220V</v>
      </c>
      <c r="C24258" s="2" t="str">
        <f t="shared" si="953"/>
        <v>UN</v>
      </c>
      <c r="D24258" s="7">
        <v>811</v>
      </c>
      <c r="E24258" s="3">
        <v>10</v>
      </c>
      <c r="F24258" s="3">
        <v>10</v>
      </c>
      <c r="G24258" t="s">
        <v>514</v>
      </c>
    </row>
    <row r="24259" spans="1:7" x14ac:dyDescent="0.25">
      <c r="A24259" s="1" t="str">
        <f>"516511"</f>
        <v>516511</v>
      </c>
      <c r="B24259" s="2" t="str">
        <f>"TRANSFORMADOR A SECO IP00 100KV 1KV BT 380/220V"</f>
        <v>TRANSFORMADOR A SECO IP00 100KV 1KV BT 380/220V</v>
      </c>
      <c r="C24259" s="2" t="str">
        <f t="shared" si="953"/>
        <v>UN</v>
      </c>
      <c r="D24259" s="7">
        <v>811</v>
      </c>
      <c r="E24259" s="3">
        <v>8</v>
      </c>
      <c r="F24259" s="3">
        <v>8</v>
      </c>
      <c r="G24259" t="s">
        <v>513</v>
      </c>
    </row>
    <row r="24260" spans="1:7" x14ac:dyDescent="0.25">
      <c r="A24260" s="1" t="str">
        <f>"511497"</f>
        <v>511497</v>
      </c>
      <c r="B24260" s="2" t="str">
        <f>"TRANSFORMADOR AMPERES JANELA 800/5A"</f>
        <v>TRANSFORMADOR AMPERES JANELA 800/5A</v>
      </c>
      <c r="C24260" s="2" t="str">
        <f t="shared" si="953"/>
        <v>UN</v>
      </c>
      <c r="D24260" s="7">
        <v>600</v>
      </c>
      <c r="E24260" s="3">
        <v>8</v>
      </c>
      <c r="F24260" s="3">
        <v>8</v>
      </c>
      <c r="G24260" t="s">
        <v>512</v>
      </c>
    </row>
    <row r="24261" spans="1:7" x14ac:dyDescent="0.25">
      <c r="A24261" s="1" t="str">
        <f>"510388"</f>
        <v>510388</v>
      </c>
      <c r="B24261" s="2" t="str">
        <f>"TRANSFORMADOR BIVOLT 220X110V 1000VA"</f>
        <v>TRANSFORMADOR BIVOLT 220X110V 1000VA</v>
      </c>
      <c r="C24261" s="2" t="str">
        <f t="shared" si="953"/>
        <v>UN</v>
      </c>
      <c r="D24261" s="7">
        <v>600</v>
      </c>
      <c r="E24261" s="3">
        <v>8</v>
      </c>
      <c r="F24261" s="3">
        <v>8</v>
      </c>
      <c r="G24261" t="s">
        <v>513</v>
      </c>
    </row>
    <row r="24262" spans="1:7" x14ac:dyDescent="0.25">
      <c r="A24262" s="1" t="str">
        <f>"511182"</f>
        <v>511182</v>
      </c>
      <c r="B24262" s="2" t="str">
        <f>"TRANSFORMADOR BIVOLT 220X110V 2000VA"</f>
        <v>TRANSFORMADOR BIVOLT 220X110V 2000VA</v>
      </c>
      <c r="C24262" s="2" t="str">
        <f t="shared" si="953"/>
        <v>UN</v>
      </c>
      <c r="D24262" s="7">
        <v>600</v>
      </c>
      <c r="E24262" s="3">
        <v>8</v>
      </c>
      <c r="F24262" s="3">
        <v>8</v>
      </c>
      <c r="G24262" t="s">
        <v>514</v>
      </c>
    </row>
    <row r="24263" spans="1:7" x14ac:dyDescent="0.25">
      <c r="A24263" s="1" t="str">
        <f>"509392"</f>
        <v>509392</v>
      </c>
      <c r="B24263" s="2" t="str">
        <f>"TRANSFORMADOR BIVOLT 220X110V 5000VA"</f>
        <v>TRANSFORMADOR BIVOLT 220X110V 5000VA</v>
      </c>
      <c r="C24263" s="2" t="str">
        <f t="shared" si="953"/>
        <v>UN</v>
      </c>
      <c r="D24263" s="7">
        <v>600</v>
      </c>
      <c r="E24263" s="3">
        <v>8</v>
      </c>
      <c r="F24263" s="3">
        <v>8</v>
      </c>
      <c r="G24263" t="s">
        <v>514</v>
      </c>
    </row>
    <row r="24264" spans="1:7" x14ac:dyDescent="0.25">
      <c r="A24264" s="1" t="str">
        <f>"509727"</f>
        <v>509727</v>
      </c>
      <c r="B24264" s="2" t="str">
        <f>"TRANSFORMADOR BIVOLT 220X110V 6000VA"</f>
        <v>TRANSFORMADOR BIVOLT 220X110V 6000VA</v>
      </c>
      <c r="C24264" s="2" t="str">
        <f t="shared" si="953"/>
        <v>UN</v>
      </c>
      <c r="D24264" s="7">
        <v>811</v>
      </c>
      <c r="E24264" s="3">
        <v>10</v>
      </c>
      <c r="F24264" s="3">
        <v>10</v>
      </c>
      <c r="G24264" t="s">
        <v>514</v>
      </c>
    </row>
    <row r="24265" spans="1:7" x14ac:dyDescent="0.25">
      <c r="A24265" s="1" t="str">
        <f>"517087"</f>
        <v>517087</v>
      </c>
      <c r="B24265" s="2" t="str">
        <f>"TRANSFORMADOR BIVOLT 220X110V 6000VA"</f>
        <v>TRANSFORMADOR BIVOLT 220X110V 6000VA</v>
      </c>
      <c r="C24265" s="2" t="str">
        <f t="shared" si="953"/>
        <v>UN</v>
      </c>
      <c r="D24265" s="7">
        <v>811</v>
      </c>
      <c r="E24265" s="3">
        <v>8</v>
      </c>
      <c r="F24265" s="3">
        <v>8</v>
      </c>
      <c r="G24265" t="s">
        <v>513</v>
      </c>
    </row>
    <row r="24266" spans="1:7" x14ac:dyDescent="0.25">
      <c r="A24266" s="1" t="str">
        <f>"512521"</f>
        <v>512521</v>
      </c>
      <c r="B24266" s="2" t="str">
        <f>"TRANSFORMADOR CHOQUE 12MHX40ADC"</f>
        <v>TRANSFORMADOR CHOQUE 12MHX40ADC</v>
      </c>
      <c r="C24266" s="2" t="str">
        <f t="shared" si="953"/>
        <v>UN</v>
      </c>
      <c r="D24266" s="7">
        <v>600</v>
      </c>
      <c r="E24266" s="3">
        <v>8</v>
      </c>
      <c r="F24266" s="3">
        <v>8</v>
      </c>
      <c r="G24266" t="s">
        <v>513</v>
      </c>
    </row>
    <row r="24267" spans="1:7" x14ac:dyDescent="0.25">
      <c r="A24267" s="1" t="str">
        <f>"511744"</f>
        <v>511744</v>
      </c>
      <c r="B24267" s="2" t="str">
        <f>"TRANSFORMADOR CORRENTE 1500/5A"</f>
        <v>TRANSFORMADOR CORRENTE 1500/5A</v>
      </c>
      <c r="C24267" s="2" t="str">
        <f t="shared" si="953"/>
        <v>UN</v>
      </c>
      <c r="D24267" s="7">
        <v>600</v>
      </c>
      <c r="E24267" s="3">
        <v>8</v>
      </c>
      <c r="F24267" s="3">
        <v>8</v>
      </c>
      <c r="G24267" t="s">
        <v>513</v>
      </c>
    </row>
    <row r="24268" spans="1:7" x14ac:dyDescent="0.25">
      <c r="A24268" s="1" t="str">
        <f>"520160"</f>
        <v>520160</v>
      </c>
      <c r="B24268" s="2" t="str">
        <f>"TRANSFORMADOR CORRENTE 200/5A"</f>
        <v>TRANSFORMADOR CORRENTE 200/5A</v>
      </c>
      <c r="C24268" s="2" t="str">
        <f t="shared" si="953"/>
        <v>UN</v>
      </c>
      <c r="D24268" s="7">
        <v>600</v>
      </c>
      <c r="E24268" s="3">
        <v>8</v>
      </c>
      <c r="F24268" s="3">
        <v>8</v>
      </c>
      <c r="G24268" t="s">
        <v>512</v>
      </c>
    </row>
    <row r="24269" spans="1:7" x14ac:dyDescent="0.25">
      <c r="A24269" s="1" t="str">
        <f>"525485"</f>
        <v>525485</v>
      </c>
      <c r="B24269" s="2" t="str">
        <f>"TRANSFORMADOR CORRENTE 600A PARA 5A KRON K238"</f>
        <v>TRANSFORMADOR CORRENTE 600A PARA 5A KRON K238</v>
      </c>
      <c r="C24269" s="2" t="str">
        <f t="shared" si="953"/>
        <v>UN</v>
      </c>
      <c r="D24269" s="7">
        <v>600</v>
      </c>
      <c r="E24269" s="3">
        <v>8</v>
      </c>
      <c r="F24269" s="3">
        <v>8</v>
      </c>
      <c r="G24269" t="s">
        <v>513</v>
      </c>
    </row>
    <row r="24270" spans="1:7" x14ac:dyDescent="0.25">
      <c r="A24270" s="1" t="str">
        <f>"503184"</f>
        <v>503184</v>
      </c>
      <c r="B24270" s="2" t="str">
        <f>"TRANSFORMADOR CORRENTE AMPERES 150/5A"</f>
        <v>TRANSFORMADOR CORRENTE AMPERES 150/5A</v>
      </c>
      <c r="C24270" s="2" t="str">
        <f t="shared" si="953"/>
        <v>UN</v>
      </c>
      <c r="D24270" s="7">
        <v>600</v>
      </c>
      <c r="E24270" s="3">
        <v>8</v>
      </c>
      <c r="F24270" s="3">
        <v>8</v>
      </c>
      <c r="G24270" t="s">
        <v>514</v>
      </c>
    </row>
    <row r="24271" spans="1:7" x14ac:dyDescent="0.25">
      <c r="A24271" s="1" t="str">
        <f>"509729"</f>
        <v>509729</v>
      </c>
      <c r="B24271" s="2" t="str">
        <f>"TRANSFORMADOR ELEV/REBEIX 150KVA 220/380/440V"</f>
        <v>TRANSFORMADOR ELEV/REBEIX 150KVA 220/380/440V</v>
      </c>
      <c r="C24271" s="2" t="str">
        <f t="shared" si="953"/>
        <v>UN</v>
      </c>
      <c r="D24271" s="7">
        <v>811</v>
      </c>
      <c r="E24271" s="3">
        <v>10</v>
      </c>
      <c r="F24271" s="3">
        <v>10</v>
      </c>
      <c r="G24271" t="s">
        <v>515</v>
      </c>
    </row>
    <row r="24272" spans="1:7" x14ac:dyDescent="0.25">
      <c r="A24272" s="1" t="str">
        <f>"521483"</f>
        <v>521483</v>
      </c>
      <c r="B24272" s="2" t="str">
        <f>"TRANSFORMADOR ELEV/REBEIX 75KVA 220/380/440V"</f>
        <v>TRANSFORMADOR ELEV/REBEIX 75KVA 220/380/440V</v>
      </c>
      <c r="C24272" s="2" t="str">
        <f t="shared" si="953"/>
        <v>UN</v>
      </c>
      <c r="D24272" s="7">
        <v>811</v>
      </c>
      <c r="E24272" s="3">
        <v>10</v>
      </c>
      <c r="F24272" s="3">
        <v>10</v>
      </c>
      <c r="G24272" t="s">
        <v>512</v>
      </c>
    </row>
    <row r="24273" spans="1:7" x14ac:dyDescent="0.25">
      <c r="A24273" s="1" t="str">
        <f>"511601"</f>
        <v>511601</v>
      </c>
      <c r="B24273" s="2" t="str">
        <f>"TRANSFORMADOR ENCAPSULADO 750KVA 41664"</f>
        <v>TRANSFORMADOR ENCAPSULADO 750KVA 41664</v>
      </c>
      <c r="C24273" s="2" t="str">
        <f t="shared" si="953"/>
        <v>UN</v>
      </c>
      <c r="D24273" s="7">
        <v>1500</v>
      </c>
      <c r="E24273" s="3">
        <v>13</v>
      </c>
      <c r="F24273" s="3">
        <v>13</v>
      </c>
      <c r="G24273" t="s">
        <v>516</v>
      </c>
    </row>
    <row r="24274" spans="1:7" x14ac:dyDescent="0.25">
      <c r="A24274" s="1" t="str">
        <f>"505914"</f>
        <v>505914</v>
      </c>
      <c r="B24274" s="2" t="str">
        <f>"TRANSFORMADOR ETSCHEID 1KW"</f>
        <v>TRANSFORMADOR ETSCHEID 1KW</v>
      </c>
      <c r="C24274" s="2" t="str">
        <f t="shared" si="953"/>
        <v>UN</v>
      </c>
      <c r="D24274" s="7">
        <v>600</v>
      </c>
      <c r="E24274" s="3">
        <v>8</v>
      </c>
      <c r="F24274" s="3">
        <v>8</v>
      </c>
      <c r="G24274" t="s">
        <v>515</v>
      </c>
    </row>
    <row r="24275" spans="1:7" x14ac:dyDescent="0.25">
      <c r="A24275" s="1" t="str">
        <f>"514850"</f>
        <v>514850</v>
      </c>
      <c r="B24275" s="2" t="str">
        <f>"TRANSFORMADOR MONOFASICO 220V"</f>
        <v>TRANSFORMADOR MONOFASICO 220V</v>
      </c>
      <c r="C24275" s="2" t="str">
        <f t="shared" si="953"/>
        <v>UN</v>
      </c>
      <c r="D24275" s="7">
        <v>811</v>
      </c>
      <c r="E24275" s="3">
        <v>8</v>
      </c>
      <c r="F24275" s="3">
        <v>8</v>
      </c>
      <c r="G24275" t="s">
        <v>514</v>
      </c>
    </row>
    <row r="24276" spans="1:7" x14ac:dyDescent="0.25">
      <c r="A24276" s="1" t="str">
        <f>"515539"</f>
        <v>515539</v>
      </c>
      <c r="B24276" s="8" t="s">
        <v>73</v>
      </c>
      <c r="C24276" s="2" t="str">
        <f t="shared" si="953"/>
        <v>UN</v>
      </c>
      <c r="D24276" s="7">
        <v>811</v>
      </c>
      <c r="E24276" s="3">
        <v>8</v>
      </c>
      <c r="F24276" s="3">
        <v>8</v>
      </c>
      <c r="G24276" t="s">
        <v>512</v>
      </c>
    </row>
    <row r="24277" spans="1:7" x14ac:dyDescent="0.25">
      <c r="A24277" s="1" t="str">
        <f>"513920"</f>
        <v>513920</v>
      </c>
      <c r="B24277" s="2" t="str">
        <f>"TRANSFORMADOR MONOFASICO E127V S12V 2A"</f>
        <v>TRANSFORMADOR MONOFASICO E127V S12V 2A</v>
      </c>
      <c r="C24277" s="2" t="str">
        <f t="shared" si="953"/>
        <v>UN</v>
      </c>
      <c r="D24277" s="7">
        <v>600</v>
      </c>
      <c r="E24277" s="3">
        <v>8</v>
      </c>
      <c r="F24277" s="3">
        <v>8</v>
      </c>
      <c r="G24277" t="s">
        <v>513</v>
      </c>
    </row>
    <row r="24278" spans="1:7" x14ac:dyDescent="0.25">
      <c r="A24278" s="1" t="str">
        <f>"503158"</f>
        <v>503158</v>
      </c>
      <c r="B24278" s="2" t="str">
        <f>"TRANSFORMADOR P-106"</f>
        <v>TRANSFORMADOR P-106</v>
      </c>
      <c r="C24278" s="2" t="str">
        <f t="shared" si="953"/>
        <v>UN</v>
      </c>
      <c r="D24278" s="7">
        <v>600</v>
      </c>
      <c r="E24278" s="3">
        <v>8</v>
      </c>
      <c r="F24278" s="3">
        <v>8</v>
      </c>
      <c r="G24278" t="s">
        <v>514</v>
      </c>
    </row>
    <row r="24279" spans="1:7" x14ac:dyDescent="0.25">
      <c r="A24279" s="1" t="str">
        <f>"527590"</f>
        <v>527590</v>
      </c>
      <c r="B24279" s="2" t="str">
        <f>"TRANSFORMADOR PARA COMANDO 4AM59 95-0AT60-0C SIEMENS"</f>
        <v>TRANSFORMADOR PARA COMANDO 4AM59 95-0AT60-0C SIEMENS</v>
      </c>
      <c r="C24279" s="2" t="str">
        <f t="shared" ref="C24279:C24286" si="954">"UN"</f>
        <v>UN</v>
      </c>
      <c r="D24279" s="7">
        <v>811</v>
      </c>
      <c r="E24279" s="3">
        <v>8</v>
      </c>
      <c r="F24279" s="3">
        <v>8</v>
      </c>
      <c r="G24279" t="s">
        <v>514</v>
      </c>
    </row>
    <row r="24280" spans="1:7" x14ac:dyDescent="0.25">
      <c r="A24280" s="1" t="str">
        <f>"517136"</f>
        <v>517136</v>
      </c>
      <c r="B24280" s="2" t="str">
        <f>"TRANSFORMADOR REBAIXADOR TRIF. 380 X 220 V C/ CAPA PROTETORA"</f>
        <v>TRANSFORMADOR REBAIXADOR TRIF. 380 X 220 V C/ CAPA PROTETORA</v>
      </c>
      <c r="C24280" s="2" t="str">
        <f t="shared" si="954"/>
        <v>UN</v>
      </c>
      <c r="D24280" s="7">
        <v>811</v>
      </c>
      <c r="E24280" s="3">
        <v>8</v>
      </c>
      <c r="F24280" s="3">
        <v>8</v>
      </c>
      <c r="G24280" t="s">
        <v>512</v>
      </c>
    </row>
    <row r="24281" spans="1:7" x14ac:dyDescent="0.25">
      <c r="A24281" s="1" t="str">
        <f>"511291"</f>
        <v>511291</v>
      </c>
      <c r="B24281" s="2" t="str">
        <f>"TRANSFORMADOR SECO 750KVA SERIE 041664 BEM 1950/0000"</f>
        <v>TRANSFORMADOR SECO 750KVA SERIE 041664 BEM 1950/0000</v>
      </c>
      <c r="C24281" s="2" t="str">
        <f t="shared" si="954"/>
        <v>UN</v>
      </c>
      <c r="D24281" s="7">
        <v>600</v>
      </c>
      <c r="E24281" s="3">
        <v>8</v>
      </c>
      <c r="F24281" s="3">
        <v>8</v>
      </c>
      <c r="G24281" t="s">
        <v>513</v>
      </c>
    </row>
    <row r="24282" spans="1:7" x14ac:dyDescent="0.25">
      <c r="A24282" s="1" t="str">
        <f>"525210"</f>
        <v>525210</v>
      </c>
      <c r="B24282" s="2" t="str">
        <f>"TRANSFORMADOR TRIF. 1000KVA 60HZ 380/220V 13,8/13,2/12,6/12,"</f>
        <v>TRANSFORMADOR TRIF. 1000KVA 60HZ 380/220V 13,8/13,2/12,6/12,</v>
      </c>
      <c r="C24282" s="2" t="str">
        <f t="shared" si="954"/>
        <v>UN</v>
      </c>
      <c r="D24282" s="7">
        <v>811</v>
      </c>
      <c r="E24282" s="3">
        <v>10</v>
      </c>
      <c r="F24282" s="3">
        <v>10</v>
      </c>
      <c r="G24282" t="s">
        <v>514</v>
      </c>
    </row>
    <row r="24283" spans="1:7" x14ac:dyDescent="0.25">
      <c r="A24283" s="1" t="str">
        <f>"511303"</f>
        <v>511303</v>
      </c>
      <c r="B24283" s="2" t="str">
        <f>"TRANSISTOR"</f>
        <v>TRANSISTOR</v>
      </c>
      <c r="C24283" s="2" t="str">
        <f t="shared" si="954"/>
        <v>UN</v>
      </c>
      <c r="D24283" s="7">
        <v>600</v>
      </c>
      <c r="E24283" s="3">
        <v>8</v>
      </c>
      <c r="F24283" s="3">
        <v>8</v>
      </c>
      <c r="G24283" t="s">
        <v>514</v>
      </c>
    </row>
    <row r="24284" spans="1:7" x14ac:dyDescent="0.25">
      <c r="A24284" s="1" t="str">
        <f>"510147"</f>
        <v>510147</v>
      </c>
      <c r="B24284" s="2" t="str">
        <f>"TRANSISTOR TIP 120"</f>
        <v>TRANSISTOR TIP 120</v>
      </c>
      <c r="C24284" s="2" t="str">
        <f t="shared" si="954"/>
        <v>UN</v>
      </c>
      <c r="D24284" s="7">
        <v>900</v>
      </c>
      <c r="E24284" s="3">
        <v>11</v>
      </c>
      <c r="F24284" s="3">
        <v>11</v>
      </c>
      <c r="G24284" t="s">
        <v>514</v>
      </c>
    </row>
    <row r="24285" spans="1:7" x14ac:dyDescent="0.25">
      <c r="A24285" s="1" t="str">
        <f>"511905"</f>
        <v>511905</v>
      </c>
      <c r="B24285" s="2" t="str">
        <f>"TRANSLUCIDA LEITOSA RT-17/0980 3200MT"</f>
        <v>TRANSLUCIDA LEITOSA RT-17/0980 3200MT</v>
      </c>
      <c r="C24285" s="2" t="str">
        <f t="shared" si="954"/>
        <v>UN</v>
      </c>
      <c r="D24285" s="7">
        <v>803</v>
      </c>
      <c r="E24285" s="3">
        <v>10</v>
      </c>
      <c r="F24285" s="3">
        <v>10</v>
      </c>
      <c r="G24285" t="s">
        <v>513</v>
      </c>
    </row>
    <row r="24286" spans="1:7" x14ac:dyDescent="0.25">
      <c r="A24286" s="1" t="str">
        <f>"511906"</f>
        <v>511906</v>
      </c>
      <c r="B24286" s="2" t="str">
        <f>"TRANSLUCIDA LEITOSA RT-17/0980 4400MT"</f>
        <v>TRANSLUCIDA LEITOSA RT-17/0980 4400MT</v>
      </c>
      <c r="C24286" s="2" t="str">
        <f t="shared" si="954"/>
        <v>UN</v>
      </c>
      <c r="D24286" s="7">
        <v>803</v>
      </c>
      <c r="E24286" s="3">
        <v>10</v>
      </c>
      <c r="F24286" s="3">
        <v>10</v>
      </c>
      <c r="G24286" t="s">
        <v>512</v>
      </c>
    </row>
    <row r="24287" spans="1:7" x14ac:dyDescent="0.25">
      <c r="A24287" s="1" t="str">
        <f>"526568"</f>
        <v>526568</v>
      </c>
      <c r="B24287" s="2" t="str">
        <f>"TRANSM. ANALISE DE LIQUI.CM442-2LC8/0-AAM1A2F011A+AG"</f>
        <v>TRANSM. ANALISE DE LIQUI.CM442-2LC8/0-AAM1A2F011A+AG</v>
      </c>
      <c r="C24287" s="2" t="str">
        <f>"PC"</f>
        <v>PC</v>
      </c>
      <c r="D24287" s="7">
        <v>600</v>
      </c>
      <c r="E24287" s="3">
        <v>8</v>
      </c>
      <c r="F24287" s="3">
        <v>8</v>
      </c>
      <c r="G24287" t="s">
        <v>513</v>
      </c>
    </row>
    <row r="24288" spans="1:7" x14ac:dyDescent="0.25">
      <c r="A24288" s="1" t="str">
        <f>"513451"</f>
        <v>513451</v>
      </c>
      <c r="B24288" s="2" t="str">
        <f>"TRANSMISSÃO CPL P/ ST 220/280/160"</f>
        <v>TRANSMISSÃO CPL P/ ST 220/280/160</v>
      </c>
      <c r="C24288" s="2" t="str">
        <f t="shared" ref="C24288:C24319" si="955">"UN"</f>
        <v>UN</v>
      </c>
      <c r="D24288" s="7">
        <v>918</v>
      </c>
      <c r="E24288" s="3">
        <v>11</v>
      </c>
      <c r="F24288" s="3">
        <v>11</v>
      </c>
      <c r="G24288" t="s">
        <v>514</v>
      </c>
    </row>
    <row r="24289" spans="1:7" x14ac:dyDescent="0.25">
      <c r="A24289" s="1" t="str">
        <f>"527480"</f>
        <v>527480</v>
      </c>
      <c r="B24289" s="2" t="str">
        <f>"TRANSMISSOR DE NIVEL ULTRASSONICO MOD. SPA-380-4"</f>
        <v>TRANSMISSOR DE NIVEL ULTRASSONICO MOD. SPA-380-4</v>
      </c>
      <c r="C24289" s="2" t="str">
        <f t="shared" si="955"/>
        <v>UN</v>
      </c>
      <c r="D24289" s="7">
        <v>811</v>
      </c>
      <c r="E24289" s="3">
        <v>11</v>
      </c>
      <c r="F24289" s="3">
        <v>11</v>
      </c>
      <c r="G24289" t="s">
        <v>514</v>
      </c>
    </row>
    <row r="24290" spans="1:7" x14ac:dyDescent="0.25">
      <c r="A24290" s="1" t="str">
        <f>"524393"</f>
        <v>524393</v>
      </c>
      <c r="B24290" s="8" t="s">
        <v>373</v>
      </c>
      <c r="C24290" s="2" t="str">
        <f t="shared" si="955"/>
        <v>UN</v>
      </c>
      <c r="D24290" s="7">
        <v>811</v>
      </c>
      <c r="E24290" s="3">
        <v>11</v>
      </c>
      <c r="F24290" s="3">
        <v>11</v>
      </c>
      <c r="G24290" t="s">
        <v>514</v>
      </c>
    </row>
    <row r="24291" spans="1:7" x14ac:dyDescent="0.25">
      <c r="A24291" s="1" t="str">
        <f>"524394"</f>
        <v>524394</v>
      </c>
      <c r="B24291" s="8" t="s">
        <v>374</v>
      </c>
      <c r="C24291" s="2" t="str">
        <f t="shared" si="955"/>
        <v>UN</v>
      </c>
      <c r="D24291" s="7">
        <v>811</v>
      </c>
      <c r="E24291" s="3">
        <v>11</v>
      </c>
      <c r="F24291" s="3">
        <v>11</v>
      </c>
      <c r="G24291" t="s">
        <v>513</v>
      </c>
    </row>
    <row r="24292" spans="1:7" x14ac:dyDescent="0.25">
      <c r="A24292" s="1" t="str">
        <f>"527323"</f>
        <v>527323</v>
      </c>
      <c r="B24292" s="2" t="str">
        <f>"TRANSMISSOR DE PRESSÃO IFM COD PG2793"</f>
        <v>TRANSMISSOR DE PRESSÃO IFM COD PG2793</v>
      </c>
      <c r="C24292" s="2" t="str">
        <f t="shared" si="955"/>
        <v>UN</v>
      </c>
      <c r="D24292" s="7">
        <v>811</v>
      </c>
      <c r="E24292" s="3">
        <v>11</v>
      </c>
      <c r="F24292" s="3">
        <v>11</v>
      </c>
      <c r="G24292" t="s">
        <v>513</v>
      </c>
    </row>
    <row r="24293" spans="1:7" x14ac:dyDescent="0.25">
      <c r="A24293" s="1" t="str">
        <f>"527451"</f>
        <v>527451</v>
      </c>
      <c r="B24293" s="2" t="str">
        <f>"TRANSMISSOR DE PRESSÃO IFM COD PG2794"</f>
        <v>TRANSMISSOR DE PRESSÃO IFM COD PG2794</v>
      </c>
      <c r="C24293" s="2" t="str">
        <f t="shared" si="955"/>
        <v>UN</v>
      </c>
      <c r="D24293" s="7">
        <v>811</v>
      </c>
      <c r="E24293" s="3">
        <v>11</v>
      </c>
      <c r="F24293" s="3">
        <v>11</v>
      </c>
      <c r="G24293" t="s">
        <v>513</v>
      </c>
    </row>
    <row r="24294" spans="1:7" x14ac:dyDescent="0.25">
      <c r="A24294" s="1" t="str">
        <f>"526976"</f>
        <v>526976</v>
      </c>
      <c r="B24294" s="2" t="str">
        <f>"TRANSMISSOR DE TEM.1XPT1000 50MM MEDIÇÃO-50A150C° 300BAR M12"</f>
        <v>TRANSMISSOR DE TEM.1XPT1000 50MM MEDIÇÃO-50A150C° 300BAR M12</v>
      </c>
      <c r="C24294" s="2" t="str">
        <f t="shared" si="955"/>
        <v>UN</v>
      </c>
      <c r="D24294" s="7">
        <v>1300</v>
      </c>
      <c r="E24294" s="3">
        <v>13</v>
      </c>
      <c r="F24294" s="3">
        <v>13</v>
      </c>
      <c r="G24294" t="s">
        <v>512</v>
      </c>
    </row>
    <row r="24295" spans="1:7" x14ac:dyDescent="0.25">
      <c r="A24295" s="1" t="str">
        <f>"521407"</f>
        <v>521407</v>
      </c>
      <c r="B24295" s="2" t="str">
        <f>"TRANSMISSOR DE TEMPERATURA"</f>
        <v>TRANSMISSOR DE TEMPERATURA</v>
      </c>
      <c r="C24295" s="2" t="str">
        <f t="shared" si="955"/>
        <v>UN</v>
      </c>
      <c r="D24295" s="7">
        <v>1300</v>
      </c>
      <c r="E24295" s="3">
        <v>13</v>
      </c>
      <c r="F24295" s="3">
        <v>13</v>
      </c>
      <c r="G24295" t="s">
        <v>513</v>
      </c>
    </row>
    <row r="24296" spans="1:7" x14ac:dyDescent="0.25">
      <c r="A24296" s="1" t="str">
        <f>"524396"</f>
        <v>524396</v>
      </c>
      <c r="B24296" s="2" t="str">
        <f>"TRANSMISSOR DE TEMPERATURA 0 150.C - MOD.TR10 - U=50"</f>
        <v>TRANSMISSOR DE TEMPERATURA 0 150.C - MOD.TR10 - U=50</v>
      </c>
      <c r="C24296" s="2" t="str">
        <f t="shared" si="955"/>
        <v>UN</v>
      </c>
      <c r="D24296" s="7">
        <v>811</v>
      </c>
      <c r="E24296" s="3">
        <v>11</v>
      </c>
      <c r="F24296" s="3">
        <v>11</v>
      </c>
      <c r="G24296" t="s">
        <v>514</v>
      </c>
    </row>
    <row r="24297" spans="1:7" x14ac:dyDescent="0.25">
      <c r="A24297" s="1" t="str">
        <f>"524395"</f>
        <v>524395</v>
      </c>
      <c r="B24297" s="2" t="str">
        <f>"TRANSMISSOR DE TEMPERATURA -50.C +50.C - MOD. TR10 - U=130"</f>
        <v>TRANSMISSOR DE TEMPERATURA -50.C +50.C - MOD. TR10 - U=130</v>
      </c>
      <c r="C24297" s="2" t="str">
        <f t="shared" si="955"/>
        <v>UN</v>
      </c>
      <c r="D24297" s="7">
        <v>811</v>
      </c>
      <c r="E24297" s="3">
        <v>11</v>
      </c>
      <c r="F24297" s="3">
        <v>11</v>
      </c>
      <c r="G24297" t="s">
        <v>515</v>
      </c>
    </row>
    <row r="24298" spans="1:7" x14ac:dyDescent="0.25">
      <c r="A24298" s="1" t="str">
        <f>"526531"</f>
        <v>526531</v>
      </c>
      <c r="B24298" s="2" t="str">
        <f>"TRANSMISSOR DE TEMPERATURA P/LINHA 50MM TD2811"</f>
        <v>TRANSMISSOR DE TEMPERATURA P/LINHA 50MM TD2811</v>
      </c>
      <c r="C24298" s="2" t="str">
        <f t="shared" si="955"/>
        <v>UN</v>
      </c>
      <c r="D24298" s="7">
        <v>811</v>
      </c>
      <c r="E24298" s="3">
        <v>11</v>
      </c>
      <c r="F24298" s="3">
        <v>11</v>
      </c>
      <c r="G24298" t="s">
        <v>512</v>
      </c>
    </row>
    <row r="24299" spans="1:7" x14ac:dyDescent="0.25">
      <c r="A24299" s="1" t="str">
        <f>"517148"</f>
        <v>517148</v>
      </c>
      <c r="B24299" s="2" t="str">
        <f>"TRANSMISSOR PRESSÃO 0 - 10 BAR R.1/2 BSP P3.SR 10BAR TC.38"</f>
        <v>TRANSMISSOR PRESSÃO 0 - 10 BAR R.1/2 BSP P3.SR 10BAR TC.38</v>
      </c>
      <c r="C24299" s="2" t="str">
        <f t="shared" si="955"/>
        <v>UN</v>
      </c>
      <c r="D24299" s="7">
        <v>811</v>
      </c>
      <c r="E24299" s="3">
        <v>8</v>
      </c>
      <c r="F24299" s="3">
        <v>8</v>
      </c>
      <c r="G24299" t="s">
        <v>516</v>
      </c>
    </row>
    <row r="24300" spans="1:7" x14ac:dyDescent="0.25">
      <c r="A24300" s="1" t="str">
        <f>"521012"</f>
        <v>521012</v>
      </c>
      <c r="B24300" s="2" t="str">
        <f>"TRANSMISSOR PRESSÃO 0 - 20 BAR 4 - 20 MA ROSCA BSP 3/8"</f>
        <v>TRANSMISSOR PRESSÃO 0 - 20 BAR 4 - 20 MA ROSCA BSP 3/8</v>
      </c>
      <c r="C24300" s="2" t="str">
        <f t="shared" si="955"/>
        <v>UN</v>
      </c>
      <c r="D24300" s="7">
        <v>811</v>
      </c>
      <c r="E24300" s="3">
        <v>8</v>
      </c>
      <c r="F24300" s="3">
        <v>8</v>
      </c>
      <c r="G24300" t="s">
        <v>515</v>
      </c>
    </row>
    <row r="24301" spans="1:7" x14ac:dyDescent="0.25">
      <c r="A24301" s="1" t="str">
        <f>"513578"</f>
        <v>513578</v>
      </c>
      <c r="B24301" s="2" t="str">
        <f>"TRANSMISSOR PRESSÃO 0-10 BAR R.1/2 BSP PSI.010 A3 10BAR 12B"</f>
        <v>TRANSMISSOR PRESSÃO 0-10 BAR R.1/2 BSP PSI.010 A3 10BAR 12B</v>
      </c>
      <c r="C24301" s="2" t="str">
        <f t="shared" si="955"/>
        <v>UN</v>
      </c>
      <c r="D24301" s="7">
        <v>811</v>
      </c>
      <c r="E24301" s="3">
        <v>8</v>
      </c>
      <c r="F24301" s="3">
        <v>8</v>
      </c>
      <c r="G24301" t="s">
        <v>514</v>
      </c>
    </row>
    <row r="24302" spans="1:7" x14ac:dyDescent="0.25">
      <c r="A24302" s="1" t="str">
        <f>"517147"</f>
        <v>517147</v>
      </c>
      <c r="B24302" s="2" t="str">
        <f>"TRANSMISSOR PRESSÃO 0-20 BAR R.1/2BSP TS.3AA320BAR4-20MATC51"</f>
        <v>TRANSMISSOR PRESSÃO 0-20 BAR R.1/2BSP TS.3AA320BAR4-20MATC51</v>
      </c>
      <c r="C24302" s="2" t="str">
        <f t="shared" si="955"/>
        <v>UN</v>
      </c>
      <c r="D24302" s="7">
        <v>811</v>
      </c>
      <c r="E24302" s="3">
        <v>8</v>
      </c>
      <c r="F24302" s="3">
        <v>8</v>
      </c>
      <c r="G24302" t="s">
        <v>512</v>
      </c>
    </row>
    <row r="24303" spans="1:7" x14ac:dyDescent="0.25">
      <c r="A24303" s="1" t="str">
        <f>"517866"</f>
        <v>517866</v>
      </c>
      <c r="B24303" s="2" t="str">
        <f>"TRANSMISSOR PRESSÃO -1 a 20 BAR SINAL 0 A 10V R.1/2 BSP"</f>
        <v>TRANSMISSOR PRESSÃO -1 a 20 BAR SINAL 0 A 10V R.1/2 BSP</v>
      </c>
      <c r="C24303" s="2" t="str">
        <f t="shared" si="955"/>
        <v>UN</v>
      </c>
      <c r="D24303" s="7">
        <v>811</v>
      </c>
      <c r="E24303" s="3">
        <v>8</v>
      </c>
      <c r="F24303" s="3">
        <v>8</v>
      </c>
      <c r="G24303" t="s">
        <v>513</v>
      </c>
    </row>
    <row r="24304" spans="1:7" x14ac:dyDescent="0.25">
      <c r="A24304" s="1" t="str">
        <f>"521010"</f>
        <v>521010</v>
      </c>
      <c r="B24304" s="2" t="str">
        <f>"TRANSMISSOR PRESSÃO DANFOS 0-10 BAR 4 - 20MA ROSCA 1/2"</f>
        <v>TRANSMISSOR PRESSÃO DANFOS 0-10 BAR 4 - 20MA ROSCA 1/2</v>
      </c>
      <c r="C24304" s="2" t="str">
        <f t="shared" si="955"/>
        <v>UN</v>
      </c>
      <c r="D24304" s="7">
        <v>811</v>
      </c>
      <c r="E24304" s="3">
        <v>8</v>
      </c>
      <c r="F24304" s="3">
        <v>8</v>
      </c>
      <c r="G24304" t="s">
        <v>514</v>
      </c>
    </row>
    <row r="24305" spans="1:7" x14ac:dyDescent="0.25">
      <c r="A24305" s="1" t="str">
        <f>"521011"</f>
        <v>521011</v>
      </c>
      <c r="B24305" s="2" t="str">
        <f>"TRANSMISSOR PRESSÃO DANFOS 0-25 BAR 4-20MA ROSCA 1/2 MBS1700"</f>
        <v>TRANSMISSOR PRESSÃO DANFOS 0-25 BAR 4-20MA ROSCA 1/2 MBS1700</v>
      </c>
      <c r="C24305" s="2" t="str">
        <f t="shared" si="955"/>
        <v>UN</v>
      </c>
      <c r="D24305" s="7">
        <v>811</v>
      </c>
      <c r="E24305" s="3">
        <v>8</v>
      </c>
      <c r="F24305" s="3">
        <v>8</v>
      </c>
      <c r="G24305" t="s">
        <v>514</v>
      </c>
    </row>
    <row r="24306" spans="1:7" x14ac:dyDescent="0.25">
      <c r="A24306" s="1" t="str">
        <f>"517883"</f>
        <v>517883</v>
      </c>
      <c r="B24306" s="2" t="str">
        <f>"TRANSMISSOR PRESSÃO RANGE 0 A 100BAR SINAL 4A/20MA/0A10V"</f>
        <v>TRANSMISSOR PRESSÃO RANGE 0 A 100BAR SINAL 4A/20MA/0A10V</v>
      </c>
      <c r="C24306" s="2" t="str">
        <f t="shared" si="955"/>
        <v>UN</v>
      </c>
      <c r="D24306" s="7">
        <v>811</v>
      </c>
      <c r="E24306" s="3">
        <v>8</v>
      </c>
      <c r="F24306" s="3">
        <v>8</v>
      </c>
      <c r="G24306" t="s">
        <v>512</v>
      </c>
    </row>
    <row r="24307" spans="1:7" x14ac:dyDescent="0.25">
      <c r="A24307" s="1" t="str">
        <f>"517884"</f>
        <v>517884</v>
      </c>
      <c r="B24307" s="2" t="str">
        <f>"TRANSMISSOR PRESSÃO RANGE 0 A 400BAR SINAL 4A/20MA/0A10V"</f>
        <v>TRANSMISSOR PRESSÃO RANGE 0 A 400BAR SINAL 4A/20MA/0A10V</v>
      </c>
      <c r="C24307" s="2" t="str">
        <f t="shared" si="955"/>
        <v>UN</v>
      </c>
      <c r="D24307" s="7">
        <v>811</v>
      </c>
      <c r="E24307" s="3">
        <v>8</v>
      </c>
      <c r="F24307" s="3">
        <v>8</v>
      </c>
      <c r="G24307" t="s">
        <v>513</v>
      </c>
    </row>
    <row r="24308" spans="1:7" x14ac:dyDescent="0.25">
      <c r="A24308" s="1" t="str">
        <f>"525096"</f>
        <v>525096</v>
      </c>
      <c r="B24308" s="2" t="str">
        <f>"TRANSPALETE P/ TROCA DE BATERIAS DE EMPILHADEIRAS"</f>
        <v>TRANSPALETE P/ TROCA DE BATERIAS DE EMPILHADEIRAS</v>
      </c>
      <c r="C24308" s="2" t="str">
        <f t="shared" si="955"/>
        <v>UN</v>
      </c>
      <c r="D24308" s="7">
        <v>99999</v>
      </c>
      <c r="E24308" s="3">
        <v>99</v>
      </c>
      <c r="F24308" s="3">
        <v>99</v>
      </c>
      <c r="G24308" t="s">
        <v>514</v>
      </c>
    </row>
    <row r="24309" spans="1:7" x14ac:dyDescent="0.25">
      <c r="A24309" s="1" t="str">
        <f>"524867"</f>
        <v>524867</v>
      </c>
      <c r="B24309" s="2" t="str">
        <f>"TRANSPORTADOR VECTOR 60X4 DIVER. BTM00830"</f>
        <v>TRANSPORTADOR VECTOR 60X4 DIVER. BTM00830</v>
      </c>
      <c r="C24309" s="2" t="str">
        <f t="shared" si="955"/>
        <v>UN</v>
      </c>
      <c r="D24309" s="7">
        <v>811</v>
      </c>
      <c r="E24309" s="3">
        <v>8</v>
      </c>
      <c r="F24309" s="3">
        <v>8</v>
      </c>
      <c r="G24309" t="s">
        <v>514</v>
      </c>
    </row>
    <row r="24310" spans="1:7" x14ac:dyDescent="0.25">
      <c r="A24310" s="1" t="str">
        <f>"513193"</f>
        <v>513193</v>
      </c>
      <c r="B24310" s="2" t="str">
        <f>"TRANSPORTE RODOVIARIO - COMPRAS"</f>
        <v>TRANSPORTE RODOVIARIO - COMPRAS</v>
      </c>
      <c r="C24310" s="2" t="str">
        <f t="shared" si="955"/>
        <v>UN</v>
      </c>
      <c r="D24310" s="7">
        <v>99999</v>
      </c>
      <c r="E24310" s="3">
        <v>99</v>
      </c>
      <c r="F24310" s="3">
        <v>99</v>
      </c>
      <c r="G24310" t="s">
        <v>514</v>
      </c>
    </row>
    <row r="24311" spans="1:7" x14ac:dyDescent="0.25">
      <c r="A24311" s="1" t="str">
        <f>"513185"</f>
        <v>513185</v>
      </c>
      <c r="B24311" s="2" t="str">
        <f>"TRANSPORTE RODOVIARIO - COMPRAS MP"</f>
        <v>TRANSPORTE RODOVIARIO - COMPRAS MP</v>
      </c>
      <c r="C24311" s="2" t="str">
        <f t="shared" si="955"/>
        <v>UN</v>
      </c>
      <c r="D24311" s="7">
        <v>401</v>
      </c>
      <c r="E24311" s="3">
        <v>4</v>
      </c>
      <c r="F24311" s="3">
        <v>4</v>
      </c>
      <c r="G24311" t="s">
        <v>513</v>
      </c>
    </row>
    <row r="24312" spans="1:7" x14ac:dyDescent="0.25">
      <c r="A24312" s="1" t="str">
        <f>"513186"</f>
        <v>513186</v>
      </c>
      <c r="B24312" s="2" t="str">
        <f>"TRANSPORTE RODOVIARIO - GERAL"</f>
        <v>TRANSPORTE RODOVIARIO - GERAL</v>
      </c>
      <c r="C24312" s="2" t="str">
        <f t="shared" si="955"/>
        <v>UN</v>
      </c>
      <c r="D24312" s="7">
        <v>401</v>
      </c>
      <c r="E24312" s="3">
        <v>4</v>
      </c>
      <c r="F24312" s="3">
        <v>4</v>
      </c>
      <c r="G24312" t="s">
        <v>512</v>
      </c>
    </row>
    <row r="24313" spans="1:7" x14ac:dyDescent="0.25">
      <c r="A24313" s="1" t="str">
        <f>"513194"</f>
        <v>513194</v>
      </c>
      <c r="B24313" s="2" t="str">
        <f>"TRANSPORTE RODOVIARIO - OUTROS"</f>
        <v>TRANSPORTE RODOVIARIO - OUTROS</v>
      </c>
      <c r="C24313" s="2" t="str">
        <f t="shared" si="955"/>
        <v>UN</v>
      </c>
      <c r="D24313" s="7">
        <v>99999</v>
      </c>
      <c r="E24313" s="3">
        <v>99</v>
      </c>
      <c r="F24313" s="3">
        <v>99</v>
      </c>
      <c r="G24313" t="s">
        <v>513</v>
      </c>
    </row>
    <row r="24314" spans="1:7" x14ac:dyDescent="0.25">
      <c r="A24314" s="1" t="str">
        <f>"513184"</f>
        <v>513184</v>
      </c>
      <c r="B24314" s="2" t="str">
        <f>"TRANSPORTE RODOVIARIO - VENDAS"</f>
        <v>TRANSPORTE RODOVIARIO - VENDAS</v>
      </c>
      <c r="C24314" s="2" t="str">
        <f t="shared" si="955"/>
        <v>UN</v>
      </c>
      <c r="D24314" s="7">
        <v>401</v>
      </c>
      <c r="E24314" s="3">
        <v>4</v>
      </c>
      <c r="F24314" s="3">
        <v>4</v>
      </c>
      <c r="G24314" t="s">
        <v>514</v>
      </c>
    </row>
    <row r="24315" spans="1:7" x14ac:dyDescent="0.25">
      <c r="A24315" s="1" t="str">
        <f>"521871"</f>
        <v>521871</v>
      </c>
      <c r="B24315" s="2" t="str">
        <f>"TRASEIRO CARGO 4331 MAXI TON"</f>
        <v>TRASEIRO CARGO 4331 MAXI TON</v>
      </c>
      <c r="C24315" s="2" t="str">
        <f t="shared" si="955"/>
        <v>UN</v>
      </c>
      <c r="D24315" s="7">
        <v>704</v>
      </c>
      <c r="E24315" s="3">
        <v>9</v>
      </c>
      <c r="F24315" s="3">
        <v>9</v>
      </c>
      <c r="G24315" t="s">
        <v>514</v>
      </c>
    </row>
    <row r="24316" spans="1:7" x14ac:dyDescent="0.25">
      <c r="A24316" s="1" t="str">
        <f>"524924"</f>
        <v>524924</v>
      </c>
      <c r="B24316" s="2" t="str">
        <f>"TRAV.CADEADO REMOVIVEL 29370 SCHNEIDER"</f>
        <v>TRAV.CADEADO REMOVIVEL 29370 SCHNEIDER</v>
      </c>
      <c r="C24316" s="2" t="str">
        <f t="shared" si="955"/>
        <v>UN</v>
      </c>
      <c r="D24316" s="7">
        <v>811</v>
      </c>
      <c r="E24316" s="3">
        <v>8</v>
      </c>
      <c r="F24316" s="3">
        <v>8</v>
      </c>
      <c r="G24316" t="s">
        <v>514</v>
      </c>
    </row>
    <row r="24317" spans="1:7" x14ac:dyDescent="0.25">
      <c r="A24317" s="1" t="str">
        <f>"509283"</f>
        <v>509283</v>
      </c>
      <c r="B24317" s="2" t="str">
        <f>"TRAVA"</f>
        <v>TRAVA</v>
      </c>
      <c r="C24317" s="2" t="str">
        <f t="shared" si="955"/>
        <v>UN</v>
      </c>
      <c r="D24317" s="7">
        <v>900</v>
      </c>
      <c r="E24317" s="3">
        <v>11</v>
      </c>
      <c r="F24317" s="3">
        <v>11</v>
      </c>
      <c r="G24317" t="s">
        <v>513</v>
      </c>
    </row>
    <row r="24318" spans="1:7" x14ac:dyDescent="0.25">
      <c r="A24318" s="1" t="str">
        <f>"514541"</f>
        <v>514541</v>
      </c>
      <c r="B24318" s="2" t="str">
        <f>"TRAVA ALFINETE UNIVERSAL"</f>
        <v>TRAVA ALFINETE UNIVERSAL</v>
      </c>
      <c r="C24318" s="2" t="str">
        <f t="shared" si="955"/>
        <v>UN</v>
      </c>
      <c r="D24318" s="7">
        <v>704</v>
      </c>
      <c r="E24318" s="3">
        <v>9</v>
      </c>
      <c r="F24318" s="3">
        <v>9</v>
      </c>
      <c r="G24318" t="s">
        <v>513</v>
      </c>
    </row>
    <row r="24319" spans="1:7" x14ac:dyDescent="0.25">
      <c r="A24319" s="1" t="str">
        <f>"513124"</f>
        <v>513124</v>
      </c>
      <c r="B24319" s="2" t="str">
        <f>"TRAVA ANEL"</f>
        <v>TRAVA ANEL</v>
      </c>
      <c r="C24319" s="2" t="str">
        <f t="shared" si="955"/>
        <v>UN</v>
      </c>
      <c r="D24319" s="7">
        <v>918</v>
      </c>
      <c r="E24319" s="3">
        <v>11</v>
      </c>
      <c r="F24319" s="3">
        <v>11</v>
      </c>
      <c r="G24319" t="s">
        <v>513</v>
      </c>
    </row>
    <row r="24320" spans="1:7" x14ac:dyDescent="0.25">
      <c r="A24320" s="1" t="str">
        <f>"513948"</f>
        <v>513948</v>
      </c>
      <c r="B24320" s="2" t="str">
        <f>"TRAVA ARANHA SR GUERRA"</f>
        <v>TRAVA ARANHA SR GUERRA</v>
      </c>
      <c r="C24320" s="2" t="str">
        <f t="shared" ref="C24320:C24351" si="956">"UN"</f>
        <v>UN</v>
      </c>
      <c r="D24320" s="7">
        <v>99999</v>
      </c>
      <c r="E24320" s="3">
        <v>99</v>
      </c>
      <c r="F24320" s="3">
        <v>99</v>
      </c>
      <c r="G24320" t="s">
        <v>512</v>
      </c>
    </row>
    <row r="24321" spans="1:7" x14ac:dyDescent="0.25">
      <c r="A24321" s="1" t="str">
        <f>"515748"</f>
        <v>515748</v>
      </c>
      <c r="B24321" s="2" t="str">
        <f>"TRAVA CARROCERIA"</f>
        <v>TRAVA CARROCERIA</v>
      </c>
      <c r="C24321" s="2" t="str">
        <f t="shared" si="956"/>
        <v>UN</v>
      </c>
      <c r="D24321" s="7">
        <v>704</v>
      </c>
      <c r="E24321" s="3">
        <v>9</v>
      </c>
      <c r="F24321" s="3">
        <v>9</v>
      </c>
      <c r="G24321" t="s">
        <v>513</v>
      </c>
    </row>
    <row r="24322" spans="1:7" x14ac:dyDescent="0.25">
      <c r="A24322" s="1" t="str">
        <f>"518751"</f>
        <v>518751</v>
      </c>
      <c r="B24322" s="2" t="str">
        <f>"TRAVA CHAVE AR RODOAR"</f>
        <v>TRAVA CHAVE AR RODOAR</v>
      </c>
      <c r="C24322" s="2" t="str">
        <f t="shared" si="956"/>
        <v>UN</v>
      </c>
      <c r="D24322" s="7">
        <v>918</v>
      </c>
      <c r="E24322" s="3">
        <v>9</v>
      </c>
      <c r="F24322" s="3">
        <v>9</v>
      </c>
      <c r="G24322" t="s">
        <v>514</v>
      </c>
    </row>
    <row r="24323" spans="1:7" x14ac:dyDescent="0.25">
      <c r="A24323" s="1" t="str">
        <f>"501828"</f>
        <v>501828</v>
      </c>
      <c r="B24323" s="2" t="str">
        <f>"TRAVA CONICA MANCAL BALANÇA"</f>
        <v>TRAVA CONICA MANCAL BALANÇA</v>
      </c>
      <c r="C24323" s="2" t="str">
        <f t="shared" si="956"/>
        <v>UN</v>
      </c>
      <c r="D24323" s="7">
        <v>704</v>
      </c>
      <c r="E24323" s="3">
        <v>9</v>
      </c>
      <c r="F24323" s="3">
        <v>9</v>
      </c>
      <c r="G24323" t="s">
        <v>515</v>
      </c>
    </row>
    <row r="24324" spans="1:7" x14ac:dyDescent="0.25">
      <c r="A24324" s="1" t="str">
        <f>"501848"</f>
        <v>501848</v>
      </c>
      <c r="B24324" s="2" t="str">
        <f>"TRAVA CUBO TRAS."</f>
        <v>TRAVA CUBO TRAS.</v>
      </c>
      <c r="C24324" s="2" t="str">
        <f t="shared" si="956"/>
        <v>UN</v>
      </c>
      <c r="D24324" s="7">
        <v>704</v>
      </c>
      <c r="E24324" s="3">
        <v>9</v>
      </c>
      <c r="F24324" s="3">
        <v>9</v>
      </c>
      <c r="G24324" t="s">
        <v>512</v>
      </c>
    </row>
    <row r="24325" spans="1:7" x14ac:dyDescent="0.25">
      <c r="A24325" s="1" t="str">
        <f>"501703"</f>
        <v>501703</v>
      </c>
      <c r="B24325" s="2" t="str">
        <f>"TRAVA DA TAMPA/VARETA"</f>
        <v>TRAVA DA TAMPA/VARETA</v>
      </c>
      <c r="C24325" s="2" t="str">
        <f t="shared" si="956"/>
        <v>UN</v>
      </c>
      <c r="D24325" s="7">
        <v>704</v>
      </c>
      <c r="E24325" s="3">
        <v>9</v>
      </c>
      <c r="F24325" s="3">
        <v>9</v>
      </c>
      <c r="G24325" t="s">
        <v>516</v>
      </c>
    </row>
    <row r="24326" spans="1:7" x14ac:dyDescent="0.25">
      <c r="A24326" s="1" t="str">
        <f>"515005"</f>
        <v>515005</v>
      </c>
      <c r="B24326" s="2" t="str">
        <f>"TRAVA DE CHICOTE"</f>
        <v>TRAVA DE CHICOTE</v>
      </c>
      <c r="C24326" s="2" t="str">
        <f t="shared" si="956"/>
        <v>UN</v>
      </c>
      <c r="D24326" s="7">
        <v>704</v>
      </c>
      <c r="E24326" s="3">
        <v>9</v>
      </c>
      <c r="F24326" s="3">
        <v>9</v>
      </c>
      <c r="G24326" t="s">
        <v>515</v>
      </c>
    </row>
    <row r="24327" spans="1:7" x14ac:dyDescent="0.25">
      <c r="A24327" s="1" t="str">
        <f>"519834"</f>
        <v>519834</v>
      </c>
      <c r="B24327" s="2" t="str">
        <f>"TRAVA DIAGONAL ANDAIME 1,00 X 1,50M"</f>
        <v>TRAVA DIAGONAL ANDAIME 1,00 X 1,50M</v>
      </c>
      <c r="C24327" s="2" t="str">
        <f t="shared" si="956"/>
        <v>UN</v>
      </c>
      <c r="D24327" s="7">
        <v>919</v>
      </c>
      <c r="E24327" s="3">
        <v>4</v>
      </c>
      <c r="F24327" s="3">
        <v>4</v>
      </c>
      <c r="G24327" t="s">
        <v>514</v>
      </c>
    </row>
    <row r="24328" spans="1:7" x14ac:dyDescent="0.25">
      <c r="A24328" s="1" t="str">
        <f>"506797"</f>
        <v>506797</v>
      </c>
      <c r="B24328" s="2" t="str">
        <f>"TRAVA ELASICA EXTERNA 15MM"</f>
        <v>TRAVA ELASICA EXTERNA 15MM</v>
      </c>
      <c r="C24328" s="2" t="str">
        <f t="shared" si="956"/>
        <v>UN</v>
      </c>
      <c r="D24328" s="7">
        <v>918</v>
      </c>
      <c r="E24328" s="3">
        <v>11</v>
      </c>
      <c r="F24328" s="3">
        <v>11</v>
      </c>
      <c r="G24328" t="s">
        <v>512</v>
      </c>
    </row>
    <row r="24329" spans="1:7" x14ac:dyDescent="0.25">
      <c r="A24329" s="1" t="str">
        <f>"512224"</f>
        <v>512224</v>
      </c>
      <c r="B24329" s="2" t="str">
        <f>"TRAVA ELASTICA 20043"</f>
        <v>TRAVA ELASTICA 20043</v>
      </c>
      <c r="C24329" s="2" t="str">
        <f t="shared" si="956"/>
        <v>UN</v>
      </c>
      <c r="D24329" s="7">
        <v>918</v>
      </c>
      <c r="E24329" s="3">
        <v>11</v>
      </c>
      <c r="F24329" s="3">
        <v>11</v>
      </c>
      <c r="G24329" t="s">
        <v>513</v>
      </c>
    </row>
    <row r="24330" spans="1:7" x14ac:dyDescent="0.25">
      <c r="A24330" s="1" t="str">
        <f>"512225"</f>
        <v>512225</v>
      </c>
      <c r="B24330" s="2" t="str">
        <f>"TRAVA ELASTICA 20642"</f>
        <v>TRAVA ELASTICA 20642</v>
      </c>
      <c r="C24330" s="2" t="str">
        <f t="shared" si="956"/>
        <v>UN</v>
      </c>
      <c r="D24330" s="7">
        <v>918</v>
      </c>
      <c r="E24330" s="3">
        <v>11</v>
      </c>
      <c r="F24330" s="3">
        <v>11</v>
      </c>
      <c r="G24330" t="s">
        <v>514</v>
      </c>
    </row>
    <row r="24331" spans="1:7" x14ac:dyDescent="0.25">
      <c r="A24331" s="1" t="str">
        <f>"512223"</f>
        <v>512223</v>
      </c>
      <c r="B24331" s="2" t="str">
        <f>"TRAVA ELASTICA 215282"</f>
        <v>TRAVA ELASTICA 215282</v>
      </c>
      <c r="C24331" s="2" t="str">
        <f t="shared" si="956"/>
        <v>UN</v>
      </c>
      <c r="D24331" s="7">
        <v>918</v>
      </c>
      <c r="E24331" s="3">
        <v>11</v>
      </c>
      <c r="F24331" s="3">
        <v>11</v>
      </c>
      <c r="G24331" t="s">
        <v>514</v>
      </c>
    </row>
    <row r="24332" spans="1:7" x14ac:dyDescent="0.25">
      <c r="A24332" s="1" t="str">
        <f>"512218"</f>
        <v>512218</v>
      </c>
      <c r="B24332" s="2" t="str">
        <f>"TRAVA ELASTICA 21737"</f>
        <v>TRAVA ELASTICA 21737</v>
      </c>
      <c r="C24332" s="2" t="str">
        <f t="shared" si="956"/>
        <v>UN</v>
      </c>
      <c r="D24332" s="7">
        <v>918</v>
      </c>
      <c r="E24332" s="3">
        <v>11</v>
      </c>
      <c r="F24332" s="3">
        <v>11</v>
      </c>
      <c r="G24332" t="s">
        <v>512</v>
      </c>
    </row>
    <row r="24333" spans="1:7" x14ac:dyDescent="0.25">
      <c r="A24333" s="1" t="str">
        <f>"512234"</f>
        <v>512234</v>
      </c>
      <c r="B24333" s="2" t="str">
        <f>"TRAVA ELASTICA 243891"</f>
        <v>TRAVA ELASTICA 243891</v>
      </c>
      <c r="C24333" s="2" t="str">
        <f t="shared" si="956"/>
        <v>UN</v>
      </c>
      <c r="D24333" s="7">
        <v>918</v>
      </c>
      <c r="E24333" s="3">
        <v>11</v>
      </c>
      <c r="F24333" s="3">
        <v>11</v>
      </c>
      <c r="G24333" t="s">
        <v>513</v>
      </c>
    </row>
    <row r="24334" spans="1:7" x14ac:dyDescent="0.25">
      <c r="A24334" s="1" t="str">
        <f>"502592"</f>
        <v>502592</v>
      </c>
      <c r="B24334" s="2" t="str">
        <f>"TRAVA ELASTICA EXT COD.6900227 BYG L2000"</f>
        <v>TRAVA ELASTICA EXT COD.6900227 BYG L2000</v>
      </c>
      <c r="C24334" s="2" t="str">
        <f t="shared" si="956"/>
        <v>UN</v>
      </c>
      <c r="D24334" s="7">
        <v>918</v>
      </c>
      <c r="E24334" s="3">
        <v>11</v>
      </c>
      <c r="F24334" s="3">
        <v>11</v>
      </c>
      <c r="G24334" t="s">
        <v>514</v>
      </c>
    </row>
    <row r="24335" spans="1:7" x14ac:dyDescent="0.25">
      <c r="A24335" s="1" t="str">
        <f>"506793"</f>
        <v>506793</v>
      </c>
      <c r="B24335" s="2" t="str">
        <f>"TRAVA ELASTICA EXTERNA 08MM"</f>
        <v>TRAVA ELASTICA EXTERNA 08MM</v>
      </c>
      <c r="C24335" s="2" t="str">
        <f t="shared" si="956"/>
        <v>UN</v>
      </c>
      <c r="D24335" s="7">
        <v>918</v>
      </c>
      <c r="E24335" s="3">
        <v>11</v>
      </c>
      <c r="F24335" s="3">
        <v>11</v>
      </c>
      <c r="G24335" t="s">
        <v>514</v>
      </c>
    </row>
    <row r="24336" spans="1:7" x14ac:dyDescent="0.25">
      <c r="A24336" s="1" t="str">
        <f>"506794"</f>
        <v>506794</v>
      </c>
      <c r="B24336" s="2" t="str">
        <f>"TRAVA ELASTICA EXTERNA 10MM"</f>
        <v>TRAVA ELASTICA EXTERNA 10MM</v>
      </c>
      <c r="C24336" s="2" t="str">
        <f t="shared" si="956"/>
        <v>UN</v>
      </c>
      <c r="D24336" s="7">
        <v>918</v>
      </c>
      <c r="E24336" s="3">
        <v>11</v>
      </c>
      <c r="F24336" s="3">
        <v>11</v>
      </c>
      <c r="G24336" t="s">
        <v>514</v>
      </c>
    </row>
    <row r="24337" spans="1:7" x14ac:dyDescent="0.25">
      <c r="A24337" s="1" t="str">
        <f>"501041"</f>
        <v>501041</v>
      </c>
      <c r="B24337" s="2" t="str">
        <f>"TRAVA ELASTICA EXTERNA 12MM"</f>
        <v>TRAVA ELASTICA EXTERNA 12MM</v>
      </c>
      <c r="C24337" s="2" t="str">
        <f t="shared" si="956"/>
        <v>UN</v>
      </c>
      <c r="D24337" s="7">
        <v>402</v>
      </c>
      <c r="E24337" s="3">
        <v>4</v>
      </c>
      <c r="F24337" s="3">
        <v>4</v>
      </c>
      <c r="G24337" t="s">
        <v>513</v>
      </c>
    </row>
    <row r="24338" spans="1:7" x14ac:dyDescent="0.25">
      <c r="A24338" s="1" t="str">
        <f>"506795"</f>
        <v>506795</v>
      </c>
      <c r="B24338" s="2" t="str">
        <f>"TRAVA ELASTICA EXTERNA 14MM"</f>
        <v>TRAVA ELASTICA EXTERNA 14MM</v>
      </c>
      <c r="C24338" s="2" t="str">
        <f t="shared" si="956"/>
        <v>UN</v>
      </c>
      <c r="D24338" s="7">
        <v>918</v>
      </c>
      <c r="E24338" s="3">
        <v>11</v>
      </c>
      <c r="F24338" s="3">
        <v>11</v>
      </c>
      <c r="G24338" t="s">
        <v>512</v>
      </c>
    </row>
    <row r="24339" spans="1:7" x14ac:dyDescent="0.25">
      <c r="A24339" s="1" t="str">
        <f>"501043"</f>
        <v>501043</v>
      </c>
      <c r="B24339" s="2" t="str">
        <f>"TRAVA ELASTICA EXTERNA 17MM"</f>
        <v>TRAVA ELASTICA EXTERNA 17MM</v>
      </c>
      <c r="C24339" s="2" t="str">
        <f t="shared" si="956"/>
        <v>UN</v>
      </c>
      <c r="D24339" s="7">
        <v>402</v>
      </c>
      <c r="E24339" s="3">
        <v>4</v>
      </c>
      <c r="F24339" s="3">
        <v>4</v>
      </c>
      <c r="G24339" t="s">
        <v>513</v>
      </c>
    </row>
    <row r="24340" spans="1:7" x14ac:dyDescent="0.25">
      <c r="A24340" s="1" t="str">
        <f>"500300"</f>
        <v>500300</v>
      </c>
      <c r="B24340" s="2" t="str">
        <f>"TRAVA ELASTICA EXTERNA 18MM"</f>
        <v>TRAVA ELASTICA EXTERNA 18MM</v>
      </c>
      <c r="C24340" s="2" t="str">
        <f t="shared" si="956"/>
        <v>UN</v>
      </c>
      <c r="D24340" s="7">
        <v>99999</v>
      </c>
      <c r="E24340" s="3">
        <v>99</v>
      </c>
      <c r="F24340" s="3">
        <v>99</v>
      </c>
      <c r="G24340" t="s">
        <v>514</v>
      </c>
    </row>
    <row r="24341" spans="1:7" x14ac:dyDescent="0.25">
      <c r="A24341" s="1" t="str">
        <f>"501044"</f>
        <v>501044</v>
      </c>
      <c r="B24341" s="2" t="str">
        <f>"TRAVA ELASTICA EXTERNA 19MM"</f>
        <v>TRAVA ELASTICA EXTERNA 19MM</v>
      </c>
      <c r="C24341" s="2" t="str">
        <f t="shared" si="956"/>
        <v>UN</v>
      </c>
      <c r="D24341" s="7">
        <v>402</v>
      </c>
      <c r="E24341" s="3">
        <v>4</v>
      </c>
      <c r="F24341" s="3">
        <v>4</v>
      </c>
      <c r="G24341" t="s">
        <v>514</v>
      </c>
    </row>
    <row r="24342" spans="1:7" x14ac:dyDescent="0.25">
      <c r="A24342" s="1" t="str">
        <f>"501045"</f>
        <v>501045</v>
      </c>
      <c r="B24342" s="2" t="str">
        <f>"TRAVA ELASTICA EXTERNA 22MM"</f>
        <v>TRAVA ELASTICA EXTERNA 22MM</v>
      </c>
      <c r="C24342" s="2" t="str">
        <f t="shared" si="956"/>
        <v>UN</v>
      </c>
      <c r="D24342" s="7">
        <v>402</v>
      </c>
      <c r="E24342" s="3">
        <v>4</v>
      </c>
      <c r="F24342" s="3">
        <v>4</v>
      </c>
      <c r="G24342" t="s">
        <v>514</v>
      </c>
    </row>
    <row r="24343" spans="1:7" x14ac:dyDescent="0.25">
      <c r="A24343" s="1" t="str">
        <f>"502667"</f>
        <v>502667</v>
      </c>
      <c r="B24343" s="2" t="str">
        <f>"TRAVA ELASTICA EXTERNA 24MM"</f>
        <v>TRAVA ELASTICA EXTERNA 24MM</v>
      </c>
      <c r="C24343" s="2" t="str">
        <f t="shared" si="956"/>
        <v>UN</v>
      </c>
      <c r="D24343" s="7">
        <v>402</v>
      </c>
      <c r="E24343" s="3">
        <v>4</v>
      </c>
      <c r="F24343" s="3">
        <v>4</v>
      </c>
      <c r="G24343" t="s">
        <v>513</v>
      </c>
    </row>
    <row r="24344" spans="1:7" x14ac:dyDescent="0.25">
      <c r="A24344" s="1" t="str">
        <f>"525410"</f>
        <v>525410</v>
      </c>
      <c r="B24344" s="2" t="str">
        <f>"TRAVA ELASTICA EXTERNA 60MM"</f>
        <v>TRAVA ELASTICA EXTERNA 60MM</v>
      </c>
      <c r="C24344" s="2" t="str">
        <f t="shared" si="956"/>
        <v>UN</v>
      </c>
      <c r="D24344" s="7">
        <v>402</v>
      </c>
      <c r="E24344" s="3">
        <v>4</v>
      </c>
      <c r="F24344" s="3">
        <v>4</v>
      </c>
      <c r="G24344" t="s">
        <v>513</v>
      </c>
    </row>
    <row r="24345" spans="1:7" x14ac:dyDescent="0.25">
      <c r="A24345" s="1" t="str">
        <f>"501036"</f>
        <v>501036</v>
      </c>
      <c r="B24345" s="2" t="str">
        <f>"TRAVA ELASTICA INTERNA 12MM"</f>
        <v>TRAVA ELASTICA INTERNA 12MM</v>
      </c>
      <c r="C24345" s="2" t="str">
        <f t="shared" si="956"/>
        <v>UN</v>
      </c>
      <c r="D24345" s="7">
        <v>402</v>
      </c>
      <c r="E24345" s="3">
        <v>4</v>
      </c>
      <c r="F24345" s="3">
        <v>4</v>
      </c>
      <c r="G24345" t="s">
        <v>513</v>
      </c>
    </row>
    <row r="24346" spans="1:7" x14ac:dyDescent="0.25">
      <c r="A24346" s="1" t="str">
        <f>"501037"</f>
        <v>501037</v>
      </c>
      <c r="B24346" s="2" t="str">
        <f>"TRAVA ELASTICA INTERNA 14MM"</f>
        <v>TRAVA ELASTICA INTERNA 14MM</v>
      </c>
      <c r="C24346" s="2" t="str">
        <f t="shared" si="956"/>
        <v>UN</v>
      </c>
      <c r="D24346" s="7">
        <v>402</v>
      </c>
      <c r="E24346" s="3">
        <v>4</v>
      </c>
      <c r="F24346" s="3">
        <v>4</v>
      </c>
      <c r="G24346" t="s">
        <v>512</v>
      </c>
    </row>
    <row r="24347" spans="1:7" x14ac:dyDescent="0.25">
      <c r="A24347" s="1" t="str">
        <f>"506798"</f>
        <v>506798</v>
      </c>
      <c r="B24347" s="2" t="str">
        <f>"TRAVA ELASTICA INTERNA 16MM"</f>
        <v>TRAVA ELASTICA INTERNA 16MM</v>
      </c>
      <c r="C24347" s="2" t="str">
        <f t="shared" si="956"/>
        <v>UN</v>
      </c>
      <c r="D24347" s="7">
        <v>918</v>
      </c>
      <c r="E24347" s="3">
        <v>11</v>
      </c>
      <c r="F24347" s="3">
        <v>11</v>
      </c>
      <c r="G24347" t="s">
        <v>513</v>
      </c>
    </row>
    <row r="24348" spans="1:7" x14ac:dyDescent="0.25">
      <c r="A24348" s="1" t="str">
        <f>"501038"</f>
        <v>501038</v>
      </c>
      <c r="B24348" s="2" t="str">
        <f>"TRAVA ELASTICA INTERNA 17MM"</f>
        <v>TRAVA ELASTICA INTERNA 17MM</v>
      </c>
      <c r="C24348" s="2" t="str">
        <f t="shared" si="956"/>
        <v>UN</v>
      </c>
      <c r="D24348" s="7">
        <v>402</v>
      </c>
      <c r="E24348" s="3">
        <v>4</v>
      </c>
      <c r="F24348" s="3">
        <v>4</v>
      </c>
      <c r="G24348" t="s">
        <v>514</v>
      </c>
    </row>
    <row r="24349" spans="1:7" x14ac:dyDescent="0.25">
      <c r="A24349" s="1" t="str">
        <f>"501039"</f>
        <v>501039</v>
      </c>
      <c r="B24349" s="2" t="str">
        <f>"TRAVA ELASTICA INTERNA 19MM"</f>
        <v>TRAVA ELASTICA INTERNA 19MM</v>
      </c>
      <c r="C24349" s="2" t="str">
        <f t="shared" si="956"/>
        <v>UN</v>
      </c>
      <c r="D24349" s="7">
        <v>402</v>
      </c>
      <c r="E24349" s="3">
        <v>4</v>
      </c>
      <c r="F24349" s="3">
        <v>4</v>
      </c>
      <c r="G24349" t="s">
        <v>515</v>
      </c>
    </row>
    <row r="24350" spans="1:7" x14ac:dyDescent="0.25">
      <c r="A24350" s="1" t="str">
        <f>"506800"</f>
        <v>506800</v>
      </c>
      <c r="B24350" s="2" t="str">
        <f>"TRAVA ELASTICA INTERNA 20MM"</f>
        <v>TRAVA ELASTICA INTERNA 20MM</v>
      </c>
      <c r="C24350" s="2" t="str">
        <f t="shared" si="956"/>
        <v>UN</v>
      </c>
      <c r="D24350" s="7">
        <v>918</v>
      </c>
      <c r="E24350" s="3">
        <v>11</v>
      </c>
      <c r="F24350" s="3">
        <v>11</v>
      </c>
      <c r="G24350" t="s">
        <v>512</v>
      </c>
    </row>
    <row r="24351" spans="1:7" x14ac:dyDescent="0.25">
      <c r="A24351" s="1" t="str">
        <f>"501040"</f>
        <v>501040</v>
      </c>
      <c r="B24351" s="2" t="str">
        <f>"TRAVA ELASTICA INTERNA 22MM"</f>
        <v>TRAVA ELASTICA INTERNA 22MM</v>
      </c>
      <c r="C24351" s="2" t="str">
        <f t="shared" si="956"/>
        <v>UN</v>
      </c>
      <c r="D24351" s="7">
        <v>402</v>
      </c>
      <c r="E24351" s="3">
        <v>4</v>
      </c>
      <c r="F24351" s="3">
        <v>4</v>
      </c>
      <c r="G24351" t="s">
        <v>516</v>
      </c>
    </row>
    <row r="24352" spans="1:7" x14ac:dyDescent="0.25">
      <c r="A24352" s="1" t="str">
        <f>"506799"</f>
        <v>506799</v>
      </c>
      <c r="B24352" s="2" t="str">
        <f>"TRAVA ELASTICA INTERNA 32MM"</f>
        <v>TRAVA ELASTICA INTERNA 32MM</v>
      </c>
      <c r="C24352" s="2" t="str">
        <f t="shared" ref="C24352:C24369" si="957">"UN"</f>
        <v>UN</v>
      </c>
      <c r="D24352" s="7">
        <v>918</v>
      </c>
      <c r="E24352" s="3">
        <v>11</v>
      </c>
      <c r="F24352" s="3">
        <v>11</v>
      </c>
      <c r="G24352" t="s">
        <v>515</v>
      </c>
    </row>
    <row r="24353" spans="1:7" x14ac:dyDescent="0.25">
      <c r="A24353" s="1" t="str">
        <f>"515240"</f>
        <v>515240</v>
      </c>
      <c r="B24353" s="2" t="str">
        <f>"TRAVA ELETRICA"</f>
        <v>TRAVA ELETRICA</v>
      </c>
      <c r="C24353" s="2" t="str">
        <f t="shared" si="957"/>
        <v>UN</v>
      </c>
      <c r="D24353" s="7">
        <v>704</v>
      </c>
      <c r="E24353" s="3">
        <v>9</v>
      </c>
      <c r="F24353" s="3">
        <v>9</v>
      </c>
      <c r="G24353" t="s">
        <v>514</v>
      </c>
    </row>
    <row r="24354" spans="1:7" x14ac:dyDescent="0.25">
      <c r="A24354" s="1" t="str">
        <f>"505246"</f>
        <v>505246</v>
      </c>
      <c r="B24354" s="2" t="str">
        <f>"TRAVA ELETRICA CLIO II 4P"</f>
        <v>TRAVA ELETRICA CLIO II 4P</v>
      </c>
      <c r="C24354" s="2" t="str">
        <f t="shared" si="957"/>
        <v>UN</v>
      </c>
      <c r="D24354" s="7">
        <v>704</v>
      </c>
      <c r="E24354" s="3">
        <v>9</v>
      </c>
      <c r="F24354" s="3">
        <v>9</v>
      </c>
      <c r="G24354" t="s">
        <v>512</v>
      </c>
    </row>
    <row r="24355" spans="1:7" x14ac:dyDescent="0.25">
      <c r="A24355" s="1" t="str">
        <f>"527194"</f>
        <v>527194</v>
      </c>
      <c r="B24355" s="2" t="str">
        <f>"TRAVA ELETRICA UNIVERSAL  AUTOMOTIVA"</f>
        <v>TRAVA ELETRICA UNIVERSAL  AUTOMOTIVA</v>
      </c>
      <c r="C24355" s="2" t="str">
        <f t="shared" si="957"/>
        <v>UN</v>
      </c>
      <c r="D24355" s="7">
        <v>918</v>
      </c>
      <c r="E24355" s="3">
        <v>11</v>
      </c>
      <c r="F24355" s="3">
        <v>11</v>
      </c>
      <c r="G24355" t="s">
        <v>513</v>
      </c>
    </row>
    <row r="24356" spans="1:7" x14ac:dyDescent="0.25">
      <c r="A24356" s="1" t="str">
        <f>"508133"</f>
        <v>508133</v>
      </c>
      <c r="B24356" s="2" t="str">
        <f>"TRAVA GIRATORIA DA TAMPA - UMMSK-130E"</f>
        <v>TRAVA GIRATORIA DA TAMPA - UMMSK-130E</v>
      </c>
      <c r="C24356" s="2" t="str">
        <f t="shared" si="957"/>
        <v>UN</v>
      </c>
      <c r="D24356" s="7">
        <v>918</v>
      </c>
      <c r="E24356" s="3">
        <v>11</v>
      </c>
      <c r="F24356" s="3">
        <v>11</v>
      </c>
      <c r="G24356" t="s">
        <v>514</v>
      </c>
    </row>
    <row r="24357" spans="1:7" x14ac:dyDescent="0.25">
      <c r="A24357" s="1" t="str">
        <f>"519886"</f>
        <v>519886</v>
      </c>
      <c r="B24357" s="2" t="str">
        <f>"TRAVA GRADE"</f>
        <v>TRAVA GRADE</v>
      </c>
      <c r="C24357" s="2" t="str">
        <f t="shared" si="957"/>
        <v>UN</v>
      </c>
      <c r="D24357" s="7">
        <v>704</v>
      </c>
      <c r="E24357" s="3">
        <v>9</v>
      </c>
      <c r="F24357" s="3">
        <v>9</v>
      </c>
      <c r="G24357" t="s">
        <v>514</v>
      </c>
    </row>
    <row r="24358" spans="1:7" x14ac:dyDescent="0.25">
      <c r="A24358" s="1" t="str">
        <f>"505525"</f>
        <v>505525</v>
      </c>
      <c r="B24358" s="2" t="str">
        <f>"TRAVA LISA TRUCK SCHIFFER"</f>
        <v>TRAVA LISA TRUCK SCHIFFER</v>
      </c>
      <c r="C24358" s="2" t="str">
        <f t="shared" si="957"/>
        <v>UN</v>
      </c>
      <c r="D24358" s="7">
        <v>704</v>
      </c>
      <c r="E24358" s="3">
        <v>9</v>
      </c>
      <c r="F24358" s="3">
        <v>9</v>
      </c>
      <c r="G24358" t="s">
        <v>512</v>
      </c>
    </row>
    <row r="24359" spans="1:7" x14ac:dyDescent="0.25">
      <c r="A24359" s="1" t="str">
        <f>"526024"</f>
        <v>526024</v>
      </c>
      <c r="B24359" s="2" t="str">
        <f>"TRAVA P/ CATRACA HCA"</f>
        <v>TRAVA P/ CATRACA HCA</v>
      </c>
      <c r="C24359" s="2" t="str">
        <f t="shared" si="957"/>
        <v>UN</v>
      </c>
      <c r="D24359" s="7">
        <v>501</v>
      </c>
      <c r="E24359" s="3">
        <v>4</v>
      </c>
      <c r="F24359" s="3">
        <v>4</v>
      </c>
      <c r="G24359" t="s">
        <v>513</v>
      </c>
    </row>
    <row r="24360" spans="1:7" x14ac:dyDescent="0.25">
      <c r="A24360" s="1" t="str">
        <f>"505823"</f>
        <v>505823</v>
      </c>
      <c r="B24360" s="2" t="str">
        <f>"TRAVA P/ EXTINTOR"</f>
        <v>TRAVA P/ EXTINTOR</v>
      </c>
      <c r="C24360" s="2" t="str">
        <f t="shared" si="957"/>
        <v>UN</v>
      </c>
      <c r="D24360" s="7">
        <v>402</v>
      </c>
      <c r="E24360" s="3">
        <v>4</v>
      </c>
      <c r="F24360" s="3">
        <v>4</v>
      </c>
      <c r="G24360" t="s">
        <v>514</v>
      </c>
    </row>
    <row r="24361" spans="1:7" x14ac:dyDescent="0.25">
      <c r="A24361" s="1" t="str">
        <f>"508308"</f>
        <v>508308</v>
      </c>
      <c r="B24361" s="2" t="str">
        <f>"TRAVA PARA PORTA DE INOX"</f>
        <v>TRAVA PARA PORTA DE INOX</v>
      </c>
      <c r="C24361" s="2" t="str">
        <f t="shared" si="957"/>
        <v>UN</v>
      </c>
      <c r="D24361" s="7">
        <v>704</v>
      </c>
      <c r="E24361" s="3">
        <v>9</v>
      </c>
      <c r="F24361" s="3">
        <v>9</v>
      </c>
      <c r="G24361" t="s">
        <v>514</v>
      </c>
    </row>
    <row r="24362" spans="1:7" x14ac:dyDescent="0.25">
      <c r="A24362" s="1" t="str">
        <f>"501711"</f>
        <v>501711</v>
      </c>
      <c r="B24362" s="2" t="str">
        <f>"TRAVA PINGO D`AGUA"</f>
        <v>TRAVA PINGO D`AGUA</v>
      </c>
      <c r="C24362" s="2" t="str">
        <f t="shared" si="957"/>
        <v>UN</v>
      </c>
      <c r="D24362" s="7">
        <v>704</v>
      </c>
      <c r="E24362" s="3">
        <v>9</v>
      </c>
      <c r="F24362" s="3">
        <v>9</v>
      </c>
      <c r="G24362" t="s">
        <v>514</v>
      </c>
    </row>
    <row r="24363" spans="1:7" x14ac:dyDescent="0.25">
      <c r="A24363" s="1" t="str">
        <f>"514716"</f>
        <v>514716</v>
      </c>
      <c r="B24363" s="2" t="str">
        <f>"TRAVA PINO PISTAO 100"</f>
        <v>TRAVA PINO PISTAO 100</v>
      </c>
      <c r="C24363" s="2" t="str">
        <f t="shared" si="957"/>
        <v>UN</v>
      </c>
      <c r="D24363" s="7">
        <v>901</v>
      </c>
      <c r="E24363" s="3">
        <v>11</v>
      </c>
      <c r="F24363" s="3">
        <v>11</v>
      </c>
      <c r="G24363" t="s">
        <v>513</v>
      </c>
    </row>
    <row r="24364" spans="1:7" x14ac:dyDescent="0.25">
      <c r="A24364" s="1" t="str">
        <f>"511396"</f>
        <v>511396</v>
      </c>
      <c r="B24364" s="2" t="str">
        <f>"TRAVA PORTA ABERTA M/F"</f>
        <v>TRAVA PORTA ABERTA M/F</v>
      </c>
      <c r="C24364" s="2" t="str">
        <f t="shared" si="957"/>
        <v>UN</v>
      </c>
      <c r="D24364" s="7">
        <v>704</v>
      </c>
      <c r="E24364" s="3">
        <v>9</v>
      </c>
      <c r="F24364" s="3">
        <v>9</v>
      </c>
      <c r="G24364" t="s">
        <v>512</v>
      </c>
    </row>
    <row r="24365" spans="1:7" x14ac:dyDescent="0.25">
      <c r="A24365" s="1" t="str">
        <f>"513629"</f>
        <v>513629</v>
      </c>
      <c r="B24365" s="2" t="str">
        <f>"TRAVA QUEDA P/ CABO AÇO 8MM"</f>
        <v>TRAVA QUEDA P/ CABO AÇO 8MM</v>
      </c>
      <c r="C24365" s="2" t="str">
        <f t="shared" si="957"/>
        <v>UN</v>
      </c>
      <c r="D24365" s="7">
        <v>501</v>
      </c>
      <c r="E24365" s="3">
        <v>4</v>
      </c>
      <c r="F24365" s="3">
        <v>4</v>
      </c>
      <c r="G24365" t="s">
        <v>513</v>
      </c>
    </row>
    <row r="24366" spans="1:7" x14ac:dyDescent="0.25">
      <c r="A24366" s="1" t="str">
        <f>"524423"</f>
        <v>524423</v>
      </c>
      <c r="B24366" s="2" t="str">
        <f>"TRAVA QUEDA P/ CABO AÇO 8MM HCGI00801 HERCULES"</f>
        <v>TRAVA QUEDA P/ CABO AÇO 8MM HCGI00801 HERCULES</v>
      </c>
      <c r="C24366" s="2" t="str">
        <f t="shared" si="957"/>
        <v>UN</v>
      </c>
      <c r="D24366" s="7">
        <v>501</v>
      </c>
      <c r="E24366" s="3">
        <v>4</v>
      </c>
      <c r="F24366" s="3">
        <v>4</v>
      </c>
      <c r="G24366" t="s">
        <v>514</v>
      </c>
    </row>
    <row r="24367" spans="1:7" x14ac:dyDescent="0.25">
      <c r="A24367" s="1" t="str">
        <f>"522545"</f>
        <v>522545</v>
      </c>
      <c r="B24367" s="2" t="str">
        <f>"TRAVA QUEDA RETR. CABO AÇO GALV. 10MT HERCULES HCA100AG"</f>
        <v>TRAVA QUEDA RETR. CABO AÇO GALV. 10MT HERCULES HCA100AG</v>
      </c>
      <c r="C24367" s="2" t="str">
        <f t="shared" si="957"/>
        <v>UN</v>
      </c>
      <c r="D24367" s="7">
        <v>501</v>
      </c>
      <c r="E24367" s="3">
        <v>5</v>
      </c>
      <c r="F24367" s="3">
        <v>5</v>
      </c>
      <c r="G24367" t="s">
        <v>514</v>
      </c>
    </row>
    <row r="24368" spans="1:7" x14ac:dyDescent="0.25">
      <c r="A24368" s="1" t="str">
        <f>"527848"</f>
        <v>527848</v>
      </c>
      <c r="B24368" s="2" t="str">
        <f>"TRAVA QUEDA RETR. PES 6MT HERCULES HTQR060C"</f>
        <v>TRAVA QUEDA RETR. PES 6MT HERCULES HTQR060C</v>
      </c>
      <c r="C24368" s="2" t="str">
        <f t="shared" si="957"/>
        <v>UN</v>
      </c>
      <c r="D24368" s="7">
        <v>501</v>
      </c>
      <c r="E24368" s="3">
        <v>5</v>
      </c>
      <c r="F24368" s="3">
        <v>5</v>
      </c>
      <c r="G24368" t="s">
        <v>514</v>
      </c>
    </row>
    <row r="24369" spans="1:7" x14ac:dyDescent="0.25">
      <c r="A24369" s="1" t="str">
        <f>"520920"</f>
        <v>520920</v>
      </c>
      <c r="B24369" s="2" t="str">
        <f>"TRAVA QUEDAS"</f>
        <v>TRAVA QUEDAS</v>
      </c>
      <c r="C24369" s="2" t="str">
        <f t="shared" si="957"/>
        <v>UN</v>
      </c>
      <c r="D24369" s="7">
        <v>914</v>
      </c>
      <c r="E24369" s="3">
        <v>10</v>
      </c>
      <c r="F24369" s="3">
        <v>10</v>
      </c>
      <c r="G24369" t="s">
        <v>513</v>
      </c>
    </row>
    <row r="24370" spans="1:7" x14ac:dyDescent="0.25">
      <c r="A24370" s="1" t="str">
        <f>"521364"</f>
        <v>521364</v>
      </c>
      <c r="B24370" s="2" t="str">
        <f>"TRAVA QUEDAS P/ CORDA 12MM AÇO GALV. HRGG01201N HERCULES"</f>
        <v>TRAVA QUEDAS P/ CORDA 12MM AÇO GALV. HRGG01201N HERCULES</v>
      </c>
      <c r="C24370" s="2" t="str">
        <f>"PC"</f>
        <v>PC</v>
      </c>
      <c r="D24370" s="7">
        <v>501</v>
      </c>
      <c r="E24370" s="3">
        <v>5</v>
      </c>
      <c r="F24370" s="3">
        <v>5</v>
      </c>
      <c r="G24370" t="s">
        <v>513</v>
      </c>
    </row>
    <row r="24371" spans="1:7" x14ac:dyDescent="0.25">
      <c r="A24371" s="1" t="str">
        <f>"514171"</f>
        <v>514171</v>
      </c>
      <c r="B24371" s="2" t="str">
        <f>"TRAVA ROLETE PATIM"</f>
        <v>TRAVA ROLETE PATIM</v>
      </c>
      <c r="C24371" s="2" t="str">
        <f>"UN"</f>
        <v>UN</v>
      </c>
      <c r="D24371" s="7">
        <v>704</v>
      </c>
      <c r="E24371" s="3">
        <v>9</v>
      </c>
      <c r="F24371" s="3">
        <v>9</v>
      </c>
      <c r="G24371" t="s">
        <v>513</v>
      </c>
    </row>
    <row r="24372" spans="1:7" x14ac:dyDescent="0.25">
      <c r="A24372" s="1" t="str">
        <f>"526082"</f>
        <v>526082</v>
      </c>
      <c r="B24372" s="2" t="str">
        <f>"TRAVA ROSCA LIQUIDA ALTO W777 50GR"</f>
        <v>TRAVA ROSCA LIQUIDA ALTO W777 50GR</v>
      </c>
      <c r="C24372" s="2" t="str">
        <f>"UN"</f>
        <v>UN</v>
      </c>
      <c r="D24372" s="7">
        <v>402</v>
      </c>
      <c r="E24372" s="3">
        <v>4</v>
      </c>
      <c r="F24372" s="3">
        <v>4</v>
      </c>
      <c r="G24372" t="s">
        <v>512</v>
      </c>
    </row>
    <row r="24373" spans="1:7" x14ac:dyDescent="0.25">
      <c r="A24373" s="1" t="str">
        <f>"501934"</f>
        <v>501934</v>
      </c>
      <c r="B24373" s="2" t="str">
        <f>"TRAVA ROSCA LIQUIDA MEDIO W742 50GR"</f>
        <v>TRAVA ROSCA LIQUIDA MEDIO W742 50GR</v>
      </c>
      <c r="C24373" s="2" t="str">
        <f>"UN"</f>
        <v>UN</v>
      </c>
      <c r="D24373" s="7">
        <v>402</v>
      </c>
      <c r="E24373" s="3">
        <v>4</v>
      </c>
      <c r="F24373" s="3">
        <v>4</v>
      </c>
      <c r="G24373" t="s">
        <v>513</v>
      </c>
    </row>
    <row r="24374" spans="1:7" x14ac:dyDescent="0.25">
      <c r="A24374" s="1" t="str">
        <f>"511399"</f>
        <v>511399</v>
      </c>
      <c r="B24374" s="2" t="str">
        <f>"TRAVESSA CARRETA"</f>
        <v>TRAVESSA CARRETA</v>
      </c>
      <c r="C24374" s="2" t="str">
        <f>"UN"</f>
        <v>UN</v>
      </c>
      <c r="D24374" s="7">
        <v>704</v>
      </c>
      <c r="E24374" s="3">
        <v>9</v>
      </c>
      <c r="F24374" s="3">
        <v>9</v>
      </c>
      <c r="G24374" t="s">
        <v>514</v>
      </c>
    </row>
    <row r="24375" spans="1:7" x14ac:dyDescent="0.25">
      <c r="A24375" s="1" t="str">
        <f>"527744"</f>
        <v>527744</v>
      </c>
      <c r="B24375" s="2" t="str">
        <f>"TRAVESSA CENTRAL SUPREMA (SU227)"</f>
        <v>TRAVESSA CENTRAL SUPREMA (SU227)</v>
      </c>
      <c r="C24375" s="2" t="str">
        <f>"PC"</f>
        <v>PC</v>
      </c>
      <c r="D24375" s="7">
        <v>806</v>
      </c>
      <c r="E24375" s="3">
        <v>10</v>
      </c>
      <c r="F24375" s="3">
        <v>10</v>
      </c>
      <c r="G24375" t="s">
        <v>515</v>
      </c>
    </row>
    <row r="24376" spans="1:7" x14ac:dyDescent="0.25">
      <c r="A24376" s="1" t="str">
        <f>"519892"</f>
        <v>519892</v>
      </c>
      <c r="B24376" s="2" t="str">
        <f>"TRAVESSA DIANT. ASSOALHO CARGO"</f>
        <v>TRAVESSA DIANT. ASSOALHO CARGO</v>
      </c>
      <c r="C24376" s="2" t="str">
        <f>"UN"</f>
        <v>UN</v>
      </c>
      <c r="D24376" s="7">
        <v>704</v>
      </c>
      <c r="E24376" s="3">
        <v>9</v>
      </c>
      <c r="F24376" s="3">
        <v>9</v>
      </c>
      <c r="G24376" t="s">
        <v>512</v>
      </c>
    </row>
    <row r="24377" spans="1:7" x14ac:dyDescent="0.25">
      <c r="A24377" s="1" t="str">
        <f>"519893"</f>
        <v>519893</v>
      </c>
      <c r="B24377" s="2" t="str">
        <f>"TRAVESSA DIANT. INTERNO ASSOALHO CARGO"</f>
        <v>TRAVESSA DIANT. INTERNO ASSOALHO CARGO</v>
      </c>
      <c r="C24377" s="2" t="str">
        <f>"UN"</f>
        <v>UN</v>
      </c>
      <c r="D24377" s="7">
        <v>704</v>
      </c>
      <c r="E24377" s="3">
        <v>9</v>
      </c>
      <c r="F24377" s="3">
        <v>9</v>
      </c>
      <c r="G24377" t="s">
        <v>516</v>
      </c>
    </row>
    <row r="24378" spans="1:7" x14ac:dyDescent="0.25">
      <c r="A24378" s="1" t="str">
        <f>"511402"</f>
        <v>511402</v>
      </c>
      <c r="B24378" s="2" t="str">
        <f>"TRAVESSA INTERNA PORTA"</f>
        <v>TRAVESSA INTERNA PORTA</v>
      </c>
      <c r="C24378" s="2" t="str">
        <f>"UN"</f>
        <v>UN</v>
      </c>
      <c r="D24378" s="7">
        <v>704</v>
      </c>
      <c r="E24378" s="3">
        <v>9</v>
      </c>
      <c r="F24378" s="3">
        <v>9</v>
      </c>
      <c r="G24378" t="s">
        <v>515</v>
      </c>
    </row>
    <row r="24379" spans="1:7" x14ac:dyDescent="0.25">
      <c r="A24379" s="1" t="str">
        <f>"504984"</f>
        <v>504984</v>
      </c>
      <c r="B24379" s="2" t="str">
        <f>"TRAVESSA LIGACAO RODA DUPLA"</f>
        <v>TRAVESSA LIGACAO RODA DUPLA</v>
      </c>
      <c r="C24379" s="2" t="str">
        <f>"UN"</f>
        <v>UN</v>
      </c>
      <c r="D24379" s="7">
        <v>704</v>
      </c>
      <c r="E24379" s="3">
        <v>9</v>
      </c>
      <c r="F24379" s="3">
        <v>9</v>
      </c>
      <c r="G24379" t="s">
        <v>514</v>
      </c>
    </row>
    <row r="24380" spans="1:7" x14ac:dyDescent="0.25">
      <c r="A24380" s="1" t="str">
        <f>"513621"</f>
        <v>513621</v>
      </c>
      <c r="B24380" s="2" t="str">
        <f>"TREINAMENTO TURBIDIMETRO BANCADA 2100 (REALIZADO NA HEXIS)"</f>
        <v>TREINAMENTO TURBIDIMETRO BANCADA 2100 (REALIZADO NA HEXIS)</v>
      </c>
      <c r="C24380" s="2" t="str">
        <f>"UN"</f>
        <v>UN</v>
      </c>
      <c r="D24380" s="7">
        <v>406</v>
      </c>
      <c r="E24380" s="3">
        <v>13</v>
      </c>
      <c r="F24380" s="3">
        <v>13</v>
      </c>
      <c r="G24380" t="s">
        <v>512</v>
      </c>
    </row>
    <row r="24381" spans="1:7" x14ac:dyDescent="0.25">
      <c r="A24381" s="1" t="str">
        <f>"523304"</f>
        <v>523304</v>
      </c>
      <c r="B24381" s="2" t="str">
        <f>"TRELIÇA FERRO H6 BARRA 6MT"</f>
        <v>TRELIÇA FERRO H6 BARRA 6MT</v>
      </c>
      <c r="C24381" s="2" t="str">
        <f>"BR"</f>
        <v>BR</v>
      </c>
      <c r="D24381" s="7">
        <v>917</v>
      </c>
      <c r="E24381" s="3">
        <v>10</v>
      </c>
      <c r="F24381" s="3">
        <v>10</v>
      </c>
      <c r="G24381" t="s">
        <v>513</v>
      </c>
    </row>
    <row r="24382" spans="1:7" x14ac:dyDescent="0.25">
      <c r="A24382" s="1" t="str">
        <f>"517068"</f>
        <v>517068</v>
      </c>
      <c r="B24382" s="2" t="str">
        <f>"TRELIÇA FERRO H8 BARRA 6MT"</f>
        <v>TRELIÇA FERRO H8 BARRA 6MT</v>
      </c>
      <c r="C24382" s="2" t="str">
        <f>"BR"</f>
        <v>BR</v>
      </c>
      <c r="D24382" s="7">
        <v>917</v>
      </c>
      <c r="E24382" s="3">
        <v>10</v>
      </c>
      <c r="F24382" s="3">
        <v>10</v>
      </c>
      <c r="G24382" t="s">
        <v>514</v>
      </c>
    </row>
    <row r="24383" spans="1:7" x14ac:dyDescent="0.25">
      <c r="A24383" s="1" t="str">
        <f>"521884"</f>
        <v>521884</v>
      </c>
      <c r="B24383" s="2" t="str">
        <f>"TRELIÇA H12 BARRA 6MT"</f>
        <v>TRELIÇA H12 BARRA 6MT</v>
      </c>
      <c r="C24383" s="2" t="str">
        <f>"BR"</f>
        <v>BR</v>
      </c>
      <c r="D24383" s="7">
        <v>917</v>
      </c>
      <c r="E24383" s="3">
        <v>10</v>
      </c>
      <c r="F24383" s="3">
        <v>10</v>
      </c>
      <c r="G24383" t="s">
        <v>514</v>
      </c>
    </row>
    <row r="24384" spans="1:7" x14ac:dyDescent="0.25">
      <c r="A24384" s="1" t="str">
        <f>"527497"</f>
        <v>527497</v>
      </c>
      <c r="B24384" s="2" t="str">
        <f>"TRENA 05MX19MM C/TRAVA EMBORR. PONTA MAG. L716MAGCME LUFKIN"</f>
        <v>TRENA 05MX19MM C/TRAVA EMBORR. PONTA MAG. L716MAGCME LUFKIN</v>
      </c>
      <c r="C24384" s="2" t="str">
        <f t="shared" ref="C24384:C24410" si="958">"UN"</f>
        <v>UN</v>
      </c>
      <c r="D24384" s="7">
        <v>99999</v>
      </c>
      <c r="E24384" s="3">
        <v>99</v>
      </c>
      <c r="F24384" s="3">
        <v>99</v>
      </c>
      <c r="G24384" t="s">
        <v>512</v>
      </c>
    </row>
    <row r="24385" spans="1:7" x14ac:dyDescent="0.25">
      <c r="A24385" s="1" t="str">
        <f>"525012"</f>
        <v>525012</v>
      </c>
      <c r="B24385" s="2" t="str">
        <f>"TRENA 3MT"</f>
        <v>TRENA 3MT</v>
      </c>
      <c r="C24385" s="2" t="str">
        <f t="shared" si="958"/>
        <v>UN</v>
      </c>
      <c r="D24385" s="7">
        <v>919</v>
      </c>
      <c r="E24385" s="3">
        <v>11</v>
      </c>
      <c r="F24385" s="3">
        <v>11</v>
      </c>
      <c r="G24385" t="s">
        <v>513</v>
      </c>
    </row>
    <row r="24386" spans="1:7" x14ac:dyDescent="0.25">
      <c r="A24386" s="1" t="str">
        <f>"521955"</f>
        <v>521955</v>
      </c>
      <c r="B24386" s="2" t="str">
        <f>"TRENA 50MT"</f>
        <v>TRENA 50MT</v>
      </c>
      <c r="C24386" s="2" t="str">
        <f t="shared" si="958"/>
        <v>UN</v>
      </c>
      <c r="D24386" s="7">
        <v>920</v>
      </c>
      <c r="E24386" s="3">
        <v>4</v>
      </c>
      <c r="F24386" s="3">
        <v>4</v>
      </c>
      <c r="G24386" t="s">
        <v>514</v>
      </c>
    </row>
    <row r="24387" spans="1:7" x14ac:dyDescent="0.25">
      <c r="A24387" s="1" t="str">
        <f>"513313"</f>
        <v>513313</v>
      </c>
      <c r="B24387" s="2" t="str">
        <f>"TRENA 5MT"</f>
        <v>TRENA 5MT</v>
      </c>
      <c r="C24387" s="2" t="str">
        <f t="shared" si="958"/>
        <v>UN</v>
      </c>
      <c r="D24387" s="7">
        <v>919</v>
      </c>
      <c r="E24387" s="3">
        <v>11</v>
      </c>
      <c r="F24387" s="3">
        <v>11</v>
      </c>
      <c r="G24387" t="s">
        <v>514</v>
      </c>
    </row>
    <row r="24388" spans="1:7" x14ac:dyDescent="0.25">
      <c r="A24388" s="1" t="str">
        <f>"519116"</f>
        <v>519116</v>
      </c>
      <c r="B24388" s="2" t="str">
        <f>"TRENA 7,5MT"</f>
        <v>TRENA 7,5MT</v>
      </c>
      <c r="C24388" s="2" t="str">
        <f t="shared" si="958"/>
        <v>UN</v>
      </c>
      <c r="D24388" s="7">
        <v>920</v>
      </c>
      <c r="E24388" s="3">
        <v>4</v>
      </c>
      <c r="F24388" s="3">
        <v>4</v>
      </c>
      <c r="G24388" t="s">
        <v>514</v>
      </c>
    </row>
    <row r="24389" spans="1:7" x14ac:dyDescent="0.25">
      <c r="A24389" s="1" t="str">
        <f>"517145"</f>
        <v>517145</v>
      </c>
      <c r="B24389" s="2" t="str">
        <f>"TRENA 8MT"</f>
        <v>TRENA 8MT</v>
      </c>
      <c r="C24389" s="2" t="str">
        <f t="shared" si="958"/>
        <v>UN</v>
      </c>
      <c r="D24389" s="7">
        <v>920</v>
      </c>
      <c r="E24389" s="3">
        <v>4</v>
      </c>
      <c r="F24389" s="3">
        <v>4</v>
      </c>
      <c r="G24389" t="s">
        <v>513</v>
      </c>
    </row>
    <row r="24390" spans="1:7" x14ac:dyDescent="0.25">
      <c r="A24390" s="1" t="str">
        <f>"527493"</f>
        <v>527493</v>
      </c>
      <c r="B24390" s="2" t="str">
        <f>"TRENA FB. VIDRO 050MX12,5MM CX.PLAST. ABER 3869503050 VONDER"</f>
        <v>TRENA FB. VIDRO 050MX12,5MM CX.PLAST. ABER 3869503050 VONDER</v>
      </c>
      <c r="C24390" s="2" t="str">
        <f t="shared" si="958"/>
        <v>UN</v>
      </c>
      <c r="D24390" s="7">
        <v>99999</v>
      </c>
      <c r="E24390" s="3">
        <v>99</v>
      </c>
      <c r="F24390" s="3">
        <v>99</v>
      </c>
      <c r="G24390" t="s">
        <v>512</v>
      </c>
    </row>
    <row r="24391" spans="1:7" x14ac:dyDescent="0.25">
      <c r="A24391" s="1" t="str">
        <f>"521645"</f>
        <v>521645</v>
      </c>
      <c r="B24391" s="2" t="str">
        <f>"TRENA LASER BOSCH GLM 80 PREC. 0,05-80M +-1,5MM 0601072300"</f>
        <v>TRENA LASER BOSCH GLM 80 PREC. 0,05-80M +-1,5MM 0601072300</v>
      </c>
      <c r="C24391" s="2" t="str">
        <f t="shared" si="958"/>
        <v>UN</v>
      </c>
      <c r="D24391" s="7">
        <v>99999</v>
      </c>
      <c r="E24391" s="3">
        <v>99</v>
      </c>
      <c r="F24391" s="3">
        <v>99</v>
      </c>
      <c r="G24391" t="s">
        <v>513</v>
      </c>
    </row>
    <row r="24392" spans="1:7" x14ac:dyDescent="0.25">
      <c r="A24392" s="1" t="str">
        <f>"518162"</f>
        <v>518162</v>
      </c>
      <c r="B24392" s="2" t="str">
        <f>"TRENA METRICA PULL LOCK 5MT - PONTA MAGNETICA"</f>
        <v>TRENA METRICA PULL LOCK 5MT - PONTA MAGNETICA</v>
      </c>
      <c r="C24392" s="2" t="str">
        <f t="shared" si="958"/>
        <v>UN</v>
      </c>
      <c r="D24392" s="7">
        <v>920</v>
      </c>
      <c r="E24392" s="3">
        <v>4</v>
      </c>
      <c r="F24392" s="3">
        <v>4</v>
      </c>
      <c r="G24392" t="s">
        <v>514</v>
      </c>
    </row>
    <row r="24393" spans="1:7" x14ac:dyDescent="0.25">
      <c r="A24393" s="1" t="str">
        <f>"517144"</f>
        <v>517144</v>
      </c>
      <c r="B24393" s="2" t="str">
        <f>"TRENA STARRET 3MT"</f>
        <v>TRENA STARRET 3MT</v>
      </c>
      <c r="C24393" s="2" t="str">
        <f t="shared" si="958"/>
        <v>UN</v>
      </c>
      <c r="D24393" s="7">
        <v>920</v>
      </c>
      <c r="E24393" s="3">
        <v>4</v>
      </c>
      <c r="F24393" s="3">
        <v>4</v>
      </c>
      <c r="G24393" t="s">
        <v>514</v>
      </c>
    </row>
    <row r="24394" spans="1:7" x14ac:dyDescent="0.25">
      <c r="A24394" s="1" t="str">
        <f>"514570"</f>
        <v>514570</v>
      </c>
      <c r="B24394" s="2" t="str">
        <f>"TRI-BLENDER"</f>
        <v>TRI-BLENDER</v>
      </c>
      <c r="C24394" s="2" t="str">
        <f t="shared" si="958"/>
        <v>UN</v>
      </c>
      <c r="D24394" s="7">
        <v>1300</v>
      </c>
      <c r="E24394" s="3">
        <v>13</v>
      </c>
      <c r="F24394" s="3">
        <v>13</v>
      </c>
      <c r="G24394" t="s">
        <v>514</v>
      </c>
    </row>
    <row r="24395" spans="1:7" x14ac:dyDescent="0.25">
      <c r="A24395" s="1" t="str">
        <f>"507774"</f>
        <v>507774</v>
      </c>
      <c r="B24395" s="2" t="str">
        <f>"TRICO QUEBRA-VENTO"</f>
        <v>TRICO QUEBRA-VENTO</v>
      </c>
      <c r="C24395" s="2" t="str">
        <f t="shared" si="958"/>
        <v>UN</v>
      </c>
      <c r="D24395" s="7">
        <v>704</v>
      </c>
      <c r="E24395" s="3">
        <v>9</v>
      </c>
      <c r="F24395" s="3">
        <v>9</v>
      </c>
      <c r="G24395" t="s">
        <v>513</v>
      </c>
    </row>
    <row r="24396" spans="1:7" x14ac:dyDescent="0.25">
      <c r="A24396" s="1" t="str">
        <f>"516635"</f>
        <v>516635</v>
      </c>
      <c r="B24396" s="2" t="str">
        <f>"TRICOLINE MISTA"</f>
        <v>TRICOLINE MISTA</v>
      </c>
      <c r="C24396" s="2" t="str">
        <f t="shared" si="958"/>
        <v>UN</v>
      </c>
      <c r="D24396" s="7">
        <v>401</v>
      </c>
      <c r="E24396" s="3">
        <v>4</v>
      </c>
      <c r="F24396" s="3">
        <v>4</v>
      </c>
      <c r="G24396" t="s">
        <v>513</v>
      </c>
    </row>
    <row r="24397" spans="1:7" x14ac:dyDescent="0.25">
      <c r="A24397" s="1" t="str">
        <f>"519783"</f>
        <v>519783</v>
      </c>
      <c r="B24397" s="2" t="str">
        <f>"TRILHO AÇO PORTÃO"</f>
        <v>TRILHO AÇO PORTÃO</v>
      </c>
      <c r="C24397" s="2" t="str">
        <f t="shared" si="958"/>
        <v>UN</v>
      </c>
      <c r="D24397" s="7">
        <v>918</v>
      </c>
      <c r="E24397" s="3">
        <v>11</v>
      </c>
      <c r="F24397" s="3">
        <v>11</v>
      </c>
      <c r="G24397" t="s">
        <v>513</v>
      </c>
    </row>
    <row r="24398" spans="1:7" x14ac:dyDescent="0.25">
      <c r="A24398" s="1" t="str">
        <f>"505367"</f>
        <v>505367</v>
      </c>
      <c r="B24398" s="2" t="str">
        <f>"TRILHO ALUMINIO TS-35 X 7,5MM X 2MT"</f>
        <v>TRILHO ALUMINIO TS-35 X 7,5MM X 2MT</v>
      </c>
      <c r="C24398" s="2" t="str">
        <f t="shared" si="958"/>
        <v>UN</v>
      </c>
      <c r="D24398" s="7">
        <v>600</v>
      </c>
      <c r="E24398" s="3">
        <v>8</v>
      </c>
      <c r="F24398" s="3">
        <v>8</v>
      </c>
      <c r="G24398" t="s">
        <v>512</v>
      </c>
    </row>
    <row r="24399" spans="1:7" x14ac:dyDescent="0.25">
      <c r="A24399" s="1" t="str">
        <f>"524873"</f>
        <v>524873</v>
      </c>
      <c r="B24399" s="2" t="str">
        <f>"TRILHO BAGUETE AÇO CARBONO 1/2"</f>
        <v>TRILHO BAGUETE AÇO CARBONO 1/2</v>
      </c>
      <c r="C24399" s="2" t="str">
        <f t="shared" si="958"/>
        <v>UN</v>
      </c>
      <c r="D24399" s="7">
        <v>917</v>
      </c>
      <c r="E24399" s="3">
        <v>4</v>
      </c>
      <c r="F24399" s="3">
        <v>4</v>
      </c>
      <c r="G24399" t="s">
        <v>513</v>
      </c>
    </row>
    <row r="24400" spans="1:7" x14ac:dyDescent="0.25">
      <c r="A24400" s="1" t="str">
        <f>"510295"</f>
        <v>510295</v>
      </c>
      <c r="B24400" s="2" t="str">
        <f>"TRILHO DA PORTA"</f>
        <v>TRILHO DA PORTA</v>
      </c>
      <c r="C24400" s="2" t="str">
        <f t="shared" si="958"/>
        <v>UN</v>
      </c>
      <c r="D24400" s="7">
        <v>704</v>
      </c>
      <c r="E24400" s="3">
        <v>9</v>
      </c>
      <c r="F24400" s="3">
        <v>9</v>
      </c>
      <c r="G24400" t="s">
        <v>514</v>
      </c>
    </row>
    <row r="24401" spans="1:7" x14ac:dyDescent="0.25">
      <c r="A24401" s="1" t="str">
        <f>"501499"</f>
        <v>501499</v>
      </c>
      <c r="B24401" s="2" t="str">
        <f>"TRILHO DE DISJUNTOR DIN"</f>
        <v>TRILHO DE DISJUNTOR DIN</v>
      </c>
      <c r="C24401" s="2" t="str">
        <f t="shared" si="958"/>
        <v>UN</v>
      </c>
      <c r="D24401" s="7">
        <v>600</v>
      </c>
      <c r="E24401" s="3">
        <v>8</v>
      </c>
      <c r="F24401" s="3">
        <v>8</v>
      </c>
      <c r="G24401" t="s">
        <v>515</v>
      </c>
    </row>
    <row r="24402" spans="1:7" x14ac:dyDescent="0.25">
      <c r="A24402" s="1" t="str">
        <f>"523546"</f>
        <v>523546</v>
      </c>
      <c r="B24402" s="2" t="str">
        <f>"TRILHO P/ FIXAÇÃO COMPONENTE TS35 CONEXEL"</f>
        <v>TRILHO P/ FIXAÇÃO COMPONENTE TS35 CONEXEL</v>
      </c>
      <c r="C24402" s="2" t="str">
        <f t="shared" si="958"/>
        <v>UN</v>
      </c>
      <c r="D24402" s="7">
        <v>811</v>
      </c>
      <c r="E24402" s="3">
        <v>8</v>
      </c>
      <c r="F24402" s="3">
        <v>8</v>
      </c>
      <c r="G24402" t="s">
        <v>512</v>
      </c>
    </row>
    <row r="24403" spans="1:7" x14ac:dyDescent="0.25">
      <c r="A24403" s="1" t="str">
        <f>"525472"</f>
        <v>525472</v>
      </c>
      <c r="B24403" s="2" t="str">
        <f>"TRILHO SIGMA 5.092MM P/ DRIVE THRU"</f>
        <v>TRILHO SIGMA 5.092MM P/ DRIVE THRU</v>
      </c>
      <c r="C24403" s="2" t="str">
        <f t="shared" si="958"/>
        <v>UN</v>
      </c>
      <c r="D24403" s="7">
        <v>806</v>
      </c>
      <c r="E24403" s="3">
        <v>10</v>
      </c>
      <c r="F24403" s="3">
        <v>10</v>
      </c>
      <c r="G24403" t="s">
        <v>516</v>
      </c>
    </row>
    <row r="24404" spans="1:7" x14ac:dyDescent="0.25">
      <c r="A24404" s="1" t="str">
        <f>"514727"</f>
        <v>514727</v>
      </c>
      <c r="B24404" s="2" t="str">
        <f>"TRILHO STANLEY # 14"</f>
        <v>TRILHO STANLEY # 14</v>
      </c>
      <c r="C24404" s="2" t="str">
        <f t="shared" si="958"/>
        <v>UN</v>
      </c>
      <c r="D24404" s="7">
        <v>704</v>
      </c>
      <c r="E24404" s="3">
        <v>9</v>
      </c>
      <c r="F24404" s="3">
        <v>9</v>
      </c>
      <c r="G24404" t="s">
        <v>515</v>
      </c>
    </row>
    <row r="24405" spans="1:7" x14ac:dyDescent="0.25">
      <c r="A24405" s="1" t="str">
        <f>"524681"</f>
        <v>524681</v>
      </c>
      <c r="B24405" s="2" t="str">
        <f>"TRILHO TIPO GANCHEIRA 1MT P/ PENDURAIS DE CONTINA DE PVC"</f>
        <v>TRILHO TIPO GANCHEIRA 1MT P/ PENDURAIS DE CONTINA DE PVC</v>
      </c>
      <c r="C24405" s="2" t="str">
        <f t="shared" si="958"/>
        <v>UN</v>
      </c>
      <c r="D24405" s="7">
        <v>99999</v>
      </c>
      <c r="E24405" s="3">
        <v>99</v>
      </c>
      <c r="F24405" s="3">
        <v>99</v>
      </c>
      <c r="G24405" t="s">
        <v>514</v>
      </c>
    </row>
    <row r="24406" spans="1:7" x14ac:dyDescent="0.25">
      <c r="A24406" s="1" t="str">
        <f>"515536"</f>
        <v>515536</v>
      </c>
      <c r="B24406" s="2" t="str">
        <f>"TRILHO TS35"</f>
        <v>TRILHO TS35</v>
      </c>
      <c r="C24406" s="2" t="str">
        <f t="shared" si="958"/>
        <v>UN</v>
      </c>
      <c r="D24406" s="7">
        <v>811</v>
      </c>
      <c r="E24406" s="3">
        <v>8</v>
      </c>
      <c r="F24406" s="3">
        <v>8</v>
      </c>
      <c r="G24406" t="s">
        <v>512</v>
      </c>
    </row>
    <row r="24407" spans="1:7" x14ac:dyDescent="0.25">
      <c r="A24407" s="1" t="str">
        <f>"510296"</f>
        <v>510296</v>
      </c>
      <c r="B24407" s="2" t="str">
        <f>"TRINCAP - FECHO P/ PORTAS"</f>
        <v>TRINCAP - FECHO P/ PORTAS</v>
      </c>
      <c r="C24407" s="2" t="str">
        <f t="shared" si="958"/>
        <v>UN</v>
      </c>
      <c r="D24407" s="7">
        <v>918</v>
      </c>
      <c r="E24407" s="3">
        <v>11</v>
      </c>
      <c r="F24407" s="3">
        <v>11</v>
      </c>
      <c r="G24407" t="s">
        <v>513</v>
      </c>
    </row>
    <row r="24408" spans="1:7" x14ac:dyDescent="0.25">
      <c r="A24408" s="1" t="str">
        <f>"500225"</f>
        <v>500225</v>
      </c>
      <c r="B24408" s="2" t="str">
        <f>"TRINCHA"</f>
        <v>TRINCHA</v>
      </c>
      <c r="C24408" s="2" t="str">
        <f t="shared" si="958"/>
        <v>UN</v>
      </c>
      <c r="D24408" s="7">
        <v>403</v>
      </c>
      <c r="E24408" s="3">
        <v>4</v>
      </c>
      <c r="F24408" s="3">
        <v>4</v>
      </c>
      <c r="G24408" t="s">
        <v>514</v>
      </c>
    </row>
    <row r="24409" spans="1:7" x14ac:dyDescent="0.25">
      <c r="A24409" s="1" t="str">
        <f>"524537"</f>
        <v>524537</v>
      </c>
      <c r="B24409" s="2" t="str">
        <f>"TRINCHA 2.1/2"" REF 319 ATLAS"</f>
        <v>TRINCHA 2.1/2" REF 319 ATLAS</v>
      </c>
      <c r="C24409" s="2" t="str">
        <f t="shared" si="958"/>
        <v>UN</v>
      </c>
      <c r="D24409" s="7">
        <v>917</v>
      </c>
      <c r="E24409" s="3">
        <v>4</v>
      </c>
      <c r="F24409" s="3">
        <v>4</v>
      </c>
      <c r="G24409" t="s">
        <v>514</v>
      </c>
    </row>
    <row r="24410" spans="1:7" x14ac:dyDescent="0.25">
      <c r="A24410" s="1" t="str">
        <f>"523362"</f>
        <v>523362</v>
      </c>
      <c r="B24410" s="2" t="str">
        <f>"TRINCO COMPLETO ELEVADOR"</f>
        <v>TRINCO COMPLETO ELEVADOR</v>
      </c>
      <c r="C24410" s="2" t="str">
        <f t="shared" si="958"/>
        <v>UN</v>
      </c>
      <c r="D24410" s="7">
        <v>900</v>
      </c>
      <c r="E24410" s="3">
        <v>11</v>
      </c>
      <c r="F24410" s="3">
        <v>11</v>
      </c>
      <c r="G24410" t="s">
        <v>512</v>
      </c>
    </row>
    <row r="24411" spans="1:7" x14ac:dyDescent="0.25">
      <c r="A24411" s="1" t="str">
        <f>"508807"</f>
        <v>508807</v>
      </c>
      <c r="B24411" s="2" t="str">
        <f>"TRINCO E SUPORTE PONTEIRA DO VARAO"</f>
        <v>TRINCO E SUPORTE PONTEIRA DO VARAO</v>
      </c>
      <c r="C24411" s="2" t="str">
        <f>"PC"</f>
        <v>PC</v>
      </c>
      <c r="D24411" s="7">
        <v>806</v>
      </c>
      <c r="E24411" s="3">
        <v>10</v>
      </c>
      <c r="F24411" s="3">
        <v>10</v>
      </c>
      <c r="G24411" t="s">
        <v>513</v>
      </c>
    </row>
    <row r="24412" spans="1:7" x14ac:dyDescent="0.25">
      <c r="A24412" s="1" t="str">
        <f>"510889"</f>
        <v>510889</v>
      </c>
      <c r="B24412" s="2" t="str">
        <f>"TRINCO FECHO AUTOMATICO"</f>
        <v>TRINCO FECHO AUTOMATICO</v>
      </c>
      <c r="C24412" s="2" t="str">
        <f>"UN"</f>
        <v>UN</v>
      </c>
      <c r="D24412" s="7">
        <v>918</v>
      </c>
      <c r="E24412" s="3">
        <v>11</v>
      </c>
      <c r="F24412" s="3">
        <v>11</v>
      </c>
      <c r="G24412" t="s">
        <v>514</v>
      </c>
    </row>
    <row r="24413" spans="1:7" x14ac:dyDescent="0.25">
      <c r="A24413" s="1" t="str">
        <f>"523567"</f>
        <v>523567</v>
      </c>
      <c r="B24413" s="2" t="str">
        <f>"TRINCO JANELA/PORTA BRONZE 1521"</f>
        <v>TRINCO JANELA/PORTA BRONZE 1521</v>
      </c>
      <c r="C24413" s="2" t="str">
        <f>"PC"</f>
        <v>PC</v>
      </c>
      <c r="D24413" s="7">
        <v>806</v>
      </c>
      <c r="E24413" s="3">
        <v>10</v>
      </c>
      <c r="F24413" s="3">
        <v>10</v>
      </c>
      <c r="G24413" t="s">
        <v>514</v>
      </c>
    </row>
    <row r="24414" spans="1:7" x14ac:dyDescent="0.25">
      <c r="A24414" s="1" t="str">
        <f>"525158"</f>
        <v>525158</v>
      </c>
      <c r="B24414" s="2" t="str">
        <f>"TRINCO P/ CADEADO"</f>
        <v>TRINCO P/ CADEADO</v>
      </c>
      <c r="C24414" s="2" t="str">
        <f>"UN"</f>
        <v>UN</v>
      </c>
      <c r="D24414" s="7">
        <v>99999</v>
      </c>
      <c r="E24414" s="3">
        <v>99</v>
      </c>
      <c r="F24414" s="3">
        <v>99</v>
      </c>
      <c r="G24414" t="s">
        <v>514</v>
      </c>
    </row>
    <row r="24415" spans="1:7" x14ac:dyDescent="0.25">
      <c r="A24415" s="1" t="str">
        <f>"527523"</f>
        <v>527523</v>
      </c>
      <c r="B24415" s="2" t="str">
        <f>"TRINCO PARA  JANELA BASCULANTE 1523"</f>
        <v>TRINCO PARA  JANELA BASCULANTE 1523</v>
      </c>
      <c r="C24415" s="2" t="str">
        <f>"UN"</f>
        <v>UN</v>
      </c>
      <c r="D24415" s="7">
        <v>917</v>
      </c>
      <c r="E24415" s="3">
        <v>11</v>
      </c>
      <c r="F24415" s="3">
        <v>11</v>
      </c>
      <c r="G24415" t="s">
        <v>513</v>
      </c>
    </row>
    <row r="24416" spans="1:7" x14ac:dyDescent="0.25">
      <c r="A24416" s="1" t="str">
        <f>"503196"</f>
        <v>503196</v>
      </c>
      <c r="B24416" s="2" t="str">
        <f>"TRINPOTES"</f>
        <v>TRINPOTES</v>
      </c>
      <c r="C24416" s="2" t="str">
        <f>"UN"</f>
        <v>UN</v>
      </c>
      <c r="D24416" s="7">
        <v>600</v>
      </c>
      <c r="E24416" s="3">
        <v>8</v>
      </c>
      <c r="F24416" s="3">
        <v>8</v>
      </c>
      <c r="G24416" t="s">
        <v>512</v>
      </c>
    </row>
    <row r="24417" spans="1:7" x14ac:dyDescent="0.25">
      <c r="A24417" s="1" t="str">
        <f>"522119"</f>
        <v>522119</v>
      </c>
      <c r="B24417" s="2" t="str">
        <f>"TRIPÉ (SUPORTE P/ BANNER)"</f>
        <v>TRIPÉ (SUPORTE P/ BANNER)</v>
      </c>
      <c r="C24417" s="2" t="str">
        <f>"UN"</f>
        <v>UN</v>
      </c>
      <c r="D24417" s="7">
        <v>99999</v>
      </c>
      <c r="E24417" s="3">
        <v>99</v>
      </c>
      <c r="F24417" s="3">
        <v>99</v>
      </c>
      <c r="G24417" t="s">
        <v>513</v>
      </c>
    </row>
    <row r="24418" spans="1:7" x14ac:dyDescent="0.25">
      <c r="A24418" s="1" t="str">
        <f>"516926"</f>
        <v>516926</v>
      </c>
      <c r="B24418" s="2" t="str">
        <f>"TRIPÉ POLIAM. PRETO DF48,3 COD.3010 ASTERBELT"</f>
        <v>TRIPÉ POLIAM. PRETO DF48,3 COD.3010 ASTERBELT</v>
      </c>
      <c r="C24418" s="2" t="str">
        <f>"UN"</f>
        <v>UN</v>
      </c>
      <c r="D24418" s="7">
        <v>918</v>
      </c>
      <c r="E24418" s="3">
        <v>11</v>
      </c>
      <c r="F24418" s="3">
        <v>11</v>
      </c>
      <c r="G24418" t="s">
        <v>514</v>
      </c>
    </row>
    <row r="24419" spans="1:7" x14ac:dyDescent="0.25">
      <c r="A24419" s="1" t="str">
        <f>"514947"</f>
        <v>514947</v>
      </c>
      <c r="B24419" s="2" t="str">
        <f>"TRI-PFAN (SOLUTION) 5 L"</f>
        <v>TRI-PFAN (SOLUTION) 5 L</v>
      </c>
      <c r="C24419" s="2" t="str">
        <f>"LT"</f>
        <v>LT</v>
      </c>
      <c r="D24419" s="7">
        <v>407</v>
      </c>
      <c r="E24419" s="3">
        <v>4</v>
      </c>
      <c r="F24419" s="3">
        <v>4</v>
      </c>
      <c r="G24419" t="s">
        <v>514</v>
      </c>
    </row>
    <row r="24420" spans="1:7" x14ac:dyDescent="0.25">
      <c r="A24420" s="1" t="str">
        <f>"514948"</f>
        <v>514948</v>
      </c>
      <c r="B24420" s="2" t="str">
        <f>"TRI-PFAN 20 L"</f>
        <v>TRI-PFAN 20 L</v>
      </c>
      <c r="C24420" s="2" t="str">
        <f>"LT"</f>
        <v>LT</v>
      </c>
      <c r="D24420" s="7">
        <v>407</v>
      </c>
      <c r="E24420" s="3">
        <v>4</v>
      </c>
      <c r="F24420" s="3">
        <v>4</v>
      </c>
      <c r="G24420" t="s">
        <v>514</v>
      </c>
    </row>
    <row r="24421" spans="1:7" x14ac:dyDescent="0.25">
      <c r="A24421" s="1" t="str">
        <f>"510989"</f>
        <v>510989</v>
      </c>
      <c r="B24421" s="2" t="str">
        <f>"TRITURADOR INDUSTRIAL TAR-02 120308"</f>
        <v>TRITURADOR INDUSTRIAL TAR-02 120308</v>
      </c>
      <c r="C24421" s="2" t="str">
        <f>"UN"</f>
        <v>UN</v>
      </c>
      <c r="D24421" s="7">
        <v>406</v>
      </c>
      <c r="E24421" s="3">
        <v>4</v>
      </c>
      <c r="F24421" s="3">
        <v>4</v>
      </c>
      <c r="G24421" t="s">
        <v>513</v>
      </c>
    </row>
    <row r="24422" spans="1:7" x14ac:dyDescent="0.25">
      <c r="A24422" s="1" t="str">
        <f>"509805"</f>
        <v>509805</v>
      </c>
      <c r="B24422" s="2" t="str">
        <f>"TROCA DE PNEU"</f>
        <v>TROCA DE PNEU</v>
      </c>
      <c r="C24422" s="2" t="str">
        <f>"UN"</f>
        <v>UN</v>
      </c>
      <c r="D24422" s="7">
        <v>704</v>
      </c>
      <c r="E24422" s="3">
        <v>9</v>
      </c>
      <c r="F24422" s="3">
        <v>9</v>
      </c>
      <c r="G24422" t="s">
        <v>513</v>
      </c>
    </row>
    <row r="24423" spans="1:7" x14ac:dyDescent="0.25">
      <c r="A24423" s="1" t="str">
        <f>"506182"</f>
        <v>506182</v>
      </c>
      <c r="B24423" s="2" t="str">
        <f>"TROCADOR CALOR BRASADO COMP MOD.SL34TL14"</f>
        <v>TROCADOR CALOR BRASADO COMP MOD.SL34TL14</v>
      </c>
      <c r="C24423" s="2" t="str">
        <f>"BR"</f>
        <v>BR</v>
      </c>
      <c r="D24423" s="7">
        <v>808</v>
      </c>
      <c r="E24423" s="3">
        <v>10</v>
      </c>
      <c r="F24423" s="3">
        <v>10</v>
      </c>
      <c r="G24423" t="s">
        <v>513</v>
      </c>
    </row>
    <row r="24424" spans="1:7" x14ac:dyDescent="0.25">
      <c r="A24424" s="1" t="str">
        <f>"506183"</f>
        <v>506183</v>
      </c>
      <c r="B24424" s="2" t="str">
        <f>"TROCADOR CALOR BRASADO COMP MOD.SL70TK10"</f>
        <v>TROCADOR CALOR BRASADO COMP MOD.SL70TK10</v>
      </c>
      <c r="C24424" s="2" t="str">
        <f>"BR"</f>
        <v>BR</v>
      </c>
      <c r="D24424" s="7">
        <v>808</v>
      </c>
      <c r="E24424" s="3">
        <v>10</v>
      </c>
      <c r="F24424" s="3">
        <v>10</v>
      </c>
      <c r="G24424" t="s">
        <v>512</v>
      </c>
    </row>
    <row r="24425" spans="1:7" x14ac:dyDescent="0.25">
      <c r="A24425" s="1" t="str">
        <f>"509854"</f>
        <v>509854</v>
      </c>
      <c r="B24425" s="2" t="str">
        <f>"TROCADOR CALOR BRASOLANDA"</f>
        <v>TROCADOR CALOR BRASOLANDA</v>
      </c>
      <c r="C24425" s="2" t="str">
        <f t="shared" ref="C24425:C24430" si="959">"UN"</f>
        <v>UN</v>
      </c>
      <c r="D24425" s="7">
        <v>1001</v>
      </c>
      <c r="E24425" s="3">
        <v>13</v>
      </c>
      <c r="F24425" s="3">
        <v>13</v>
      </c>
      <c r="G24425" t="s">
        <v>513</v>
      </c>
    </row>
    <row r="24426" spans="1:7" x14ac:dyDescent="0.25">
      <c r="A24426" s="1" t="str">
        <f>"517004"</f>
        <v>517004</v>
      </c>
      <c r="B24426" s="2" t="str">
        <f>"TROCADOR DE CALOR A PLACAS"</f>
        <v>TROCADOR DE CALOR A PLACAS</v>
      </c>
      <c r="C24426" s="2" t="str">
        <f t="shared" si="959"/>
        <v>UN</v>
      </c>
      <c r="D24426" s="7">
        <v>915</v>
      </c>
      <c r="E24426" s="3">
        <v>10</v>
      </c>
      <c r="F24426" s="3">
        <v>10</v>
      </c>
      <c r="G24426" t="s">
        <v>514</v>
      </c>
    </row>
    <row r="24427" spans="1:7" x14ac:dyDescent="0.25">
      <c r="A24427" s="1" t="str">
        <f>"522272"</f>
        <v>522272</v>
      </c>
      <c r="B24427" s="2" t="str">
        <f>"TROCADOR DE CALOR A PLACAS MS10-SR"</f>
        <v>TROCADOR DE CALOR A PLACAS MS10-SR</v>
      </c>
      <c r="C24427" s="2" t="str">
        <f t="shared" si="959"/>
        <v>UN</v>
      </c>
      <c r="D24427" s="7">
        <v>916</v>
      </c>
      <c r="E24427" s="3">
        <v>13</v>
      </c>
      <c r="F24427" s="3">
        <v>13</v>
      </c>
      <c r="G24427" t="s">
        <v>515</v>
      </c>
    </row>
    <row r="24428" spans="1:7" x14ac:dyDescent="0.25">
      <c r="A24428" s="1" t="str">
        <f>"516484"</f>
        <v>516484</v>
      </c>
      <c r="B24428" s="2" t="str">
        <f>"TROCADOR DE CALOR CADRI"</f>
        <v>TROCADOR DE CALOR CADRI</v>
      </c>
      <c r="C24428" s="2" t="str">
        <f t="shared" si="959"/>
        <v>UN</v>
      </c>
      <c r="D24428" s="7">
        <v>912</v>
      </c>
      <c r="E24428" s="3">
        <v>10</v>
      </c>
      <c r="F24428" s="3">
        <v>10</v>
      </c>
      <c r="G24428" t="s">
        <v>512</v>
      </c>
    </row>
    <row r="24429" spans="1:7" x14ac:dyDescent="0.25">
      <c r="A24429" s="1" t="str">
        <f>"527983"</f>
        <v>527983</v>
      </c>
      <c r="B24429" s="8" t="s">
        <v>508</v>
      </c>
      <c r="C24429" s="2" t="str">
        <f t="shared" si="959"/>
        <v>UN</v>
      </c>
      <c r="D24429" s="7">
        <v>408</v>
      </c>
      <c r="E24429" s="3">
        <v>13</v>
      </c>
      <c r="F24429" s="3">
        <v>13</v>
      </c>
      <c r="G24429" t="s">
        <v>516</v>
      </c>
    </row>
    <row r="24430" spans="1:7" x14ac:dyDescent="0.25">
      <c r="A24430" s="1" t="str">
        <f>"510638"</f>
        <v>510638</v>
      </c>
      <c r="B24430" s="2" t="str">
        <f>"TROCADOR DE CALOR PY-4-5-750-D"</f>
        <v>TROCADOR DE CALOR PY-4-5-750-D</v>
      </c>
      <c r="C24430" s="2" t="str">
        <f t="shared" si="959"/>
        <v>UN</v>
      </c>
      <c r="D24430" s="7">
        <v>912</v>
      </c>
      <c r="E24430" s="3">
        <v>11</v>
      </c>
      <c r="F24430" s="3">
        <v>11</v>
      </c>
      <c r="G24430" t="s">
        <v>515</v>
      </c>
    </row>
    <row r="24431" spans="1:7" x14ac:dyDescent="0.25">
      <c r="A24431" s="1" t="str">
        <f>"509770"</f>
        <v>509770</v>
      </c>
      <c r="B24431" s="2" t="str">
        <f>"TROCADOR DE CALOR PYRO COD.5-750 - 1.37M"</f>
        <v>TROCADOR DE CALOR PYRO COD.5-750 - 1.37M</v>
      </c>
      <c r="C24431" s="2" t="str">
        <f>"BR"</f>
        <v>BR</v>
      </c>
      <c r="D24431" s="7">
        <v>808</v>
      </c>
      <c r="E24431" s="3">
        <v>10</v>
      </c>
      <c r="F24431" s="3">
        <v>10</v>
      </c>
      <c r="G24431" t="s">
        <v>514</v>
      </c>
    </row>
    <row r="24432" spans="1:7" x14ac:dyDescent="0.25">
      <c r="A24432" s="1" t="str">
        <f>"516974"</f>
        <v>516974</v>
      </c>
      <c r="B24432" s="2" t="str">
        <f>"TROLE ELETRICO CAPACIDADE CARGA 2TN RAILSTAR"</f>
        <v>TROLE ELETRICO CAPACIDADE CARGA 2TN RAILSTAR</v>
      </c>
      <c r="C24432" s="2" t="str">
        <f t="shared" ref="C24432:C24452" si="960">"UN"</f>
        <v>UN</v>
      </c>
      <c r="D24432" s="7">
        <v>811</v>
      </c>
      <c r="E24432" s="3">
        <v>8</v>
      </c>
      <c r="F24432" s="3">
        <v>8</v>
      </c>
      <c r="G24432" t="s">
        <v>512</v>
      </c>
    </row>
    <row r="24433" spans="1:7" x14ac:dyDescent="0.25">
      <c r="A24433" s="1" t="str">
        <f>"513323"</f>
        <v>513323</v>
      </c>
      <c r="B24433" s="2" t="str">
        <f>"TROP 1 LITRO"</f>
        <v>TROP 1 LITRO</v>
      </c>
      <c r="C24433" s="2" t="str">
        <f t="shared" si="960"/>
        <v>UN</v>
      </c>
      <c r="D24433" s="7">
        <v>917</v>
      </c>
      <c r="E24433" s="3">
        <v>11</v>
      </c>
      <c r="F24433" s="3">
        <v>11</v>
      </c>
      <c r="G24433" t="s">
        <v>513</v>
      </c>
    </row>
    <row r="24434" spans="1:7" x14ac:dyDescent="0.25">
      <c r="A24434" s="1" t="str">
        <f>"526867"</f>
        <v>526867</v>
      </c>
      <c r="B24434" s="2" t="str">
        <f>"TRUQUESA"</f>
        <v>TRUQUESA</v>
      </c>
      <c r="C24434" s="2" t="str">
        <f t="shared" si="960"/>
        <v>UN</v>
      </c>
      <c r="D24434" s="7">
        <v>402</v>
      </c>
      <c r="E24434" s="3">
        <v>4</v>
      </c>
      <c r="F24434" s="3">
        <v>4</v>
      </c>
      <c r="G24434" t="s">
        <v>514</v>
      </c>
    </row>
    <row r="24435" spans="1:7" x14ac:dyDescent="0.25">
      <c r="A24435" s="1" t="str">
        <f>"517517"</f>
        <v>517517</v>
      </c>
      <c r="B24435" s="2" t="str">
        <f>"TS.3A A3 10BAR 4-20MA TC.38"</f>
        <v>TS.3A A3 10BAR 4-20MA TC.38</v>
      </c>
      <c r="C24435" s="2" t="str">
        <f t="shared" si="960"/>
        <v>UN</v>
      </c>
      <c r="D24435" s="7">
        <v>918</v>
      </c>
      <c r="E24435" s="3">
        <v>11</v>
      </c>
      <c r="F24435" s="3">
        <v>11</v>
      </c>
      <c r="G24435" t="s">
        <v>514</v>
      </c>
    </row>
    <row r="24436" spans="1:7" x14ac:dyDescent="0.25">
      <c r="A24436" s="1" t="str">
        <f>"527067"</f>
        <v>527067</v>
      </c>
      <c r="B24436" s="2" t="str">
        <f>"TU430 TURBIDIMETRO DIGITAL"</f>
        <v>TU430 TURBIDIMETRO DIGITAL</v>
      </c>
      <c r="C24436" s="2" t="str">
        <f t="shared" si="960"/>
        <v>UN</v>
      </c>
      <c r="D24436" s="7">
        <v>1500</v>
      </c>
      <c r="E24436" s="3">
        <v>13</v>
      </c>
      <c r="F24436" s="3">
        <v>13</v>
      </c>
      <c r="G24436" t="s">
        <v>512</v>
      </c>
    </row>
    <row r="24437" spans="1:7" x14ac:dyDescent="0.25">
      <c r="A24437" s="1" t="str">
        <f>"509485"</f>
        <v>509485</v>
      </c>
      <c r="B24437" s="2" t="str">
        <f>"TUBEIRA"</f>
        <v>TUBEIRA</v>
      </c>
      <c r="C24437" s="2" t="str">
        <f t="shared" si="960"/>
        <v>UN</v>
      </c>
      <c r="D24437" s="7">
        <v>402</v>
      </c>
      <c r="E24437" s="3">
        <v>4</v>
      </c>
      <c r="F24437" s="3">
        <v>4</v>
      </c>
      <c r="G24437" t="s">
        <v>513</v>
      </c>
    </row>
    <row r="24438" spans="1:7" x14ac:dyDescent="0.25">
      <c r="A24438" s="1" t="str">
        <f>"527738"</f>
        <v>527738</v>
      </c>
      <c r="B24438" s="2" t="str">
        <f>"TUBETE DE PAPELAO 301 X 203 X 10MM"</f>
        <v>TUBETE DE PAPELAO 301 X 203 X 10MM</v>
      </c>
      <c r="C24438" s="2" t="str">
        <f t="shared" si="960"/>
        <v>UN</v>
      </c>
      <c r="D24438" s="7">
        <v>99999</v>
      </c>
      <c r="E24438" s="3">
        <v>99</v>
      </c>
      <c r="F24438" s="3">
        <v>99</v>
      </c>
      <c r="G24438" t="s">
        <v>514</v>
      </c>
    </row>
    <row r="24439" spans="1:7" x14ac:dyDescent="0.25">
      <c r="A24439" s="1" t="str">
        <f>"527735"</f>
        <v>527735</v>
      </c>
      <c r="B24439" s="2" t="str">
        <f>"TUBETE DE PAPELAO 402 X 203 X 10MM"</f>
        <v>TUBETE DE PAPELAO 402 X 203 X 10MM</v>
      </c>
      <c r="C24439" s="2" t="str">
        <f t="shared" si="960"/>
        <v>UN</v>
      </c>
      <c r="D24439" s="7">
        <v>99999</v>
      </c>
      <c r="E24439" s="3">
        <v>99</v>
      </c>
      <c r="F24439" s="3">
        <v>99</v>
      </c>
      <c r="G24439" t="s">
        <v>514</v>
      </c>
    </row>
    <row r="24440" spans="1:7" x14ac:dyDescent="0.25">
      <c r="A24440" s="1" t="str">
        <f>"527737"</f>
        <v>527737</v>
      </c>
      <c r="B24440" s="2" t="str">
        <f>"TUBETE DE PAPELAO 421 X 203 X 10MM"</f>
        <v>TUBETE DE PAPELAO 421 X 203 X 10MM</v>
      </c>
      <c r="C24440" s="2" t="str">
        <f t="shared" si="960"/>
        <v>UN</v>
      </c>
      <c r="D24440" s="7">
        <v>99999</v>
      </c>
      <c r="E24440" s="3">
        <v>99</v>
      </c>
      <c r="F24440" s="3">
        <v>99</v>
      </c>
      <c r="G24440" t="s">
        <v>514</v>
      </c>
    </row>
    <row r="24441" spans="1:7" x14ac:dyDescent="0.25">
      <c r="A24441" s="1" t="str">
        <f>"527736"</f>
        <v>527736</v>
      </c>
      <c r="B24441" s="2" t="str">
        <f>"TUBETE DE PAPELAO 524 X 203 X 10MM"</f>
        <v>TUBETE DE PAPELAO 524 X 203 X 10MM</v>
      </c>
      <c r="C24441" s="2" t="str">
        <f t="shared" si="960"/>
        <v>UN</v>
      </c>
      <c r="D24441" s="7">
        <v>99999</v>
      </c>
      <c r="E24441" s="3">
        <v>99</v>
      </c>
      <c r="F24441" s="3">
        <v>99</v>
      </c>
      <c r="G24441" t="s">
        <v>513</v>
      </c>
    </row>
    <row r="24442" spans="1:7" x14ac:dyDescent="0.25">
      <c r="A24442" s="1" t="str">
        <f>"514035"</f>
        <v>514035</v>
      </c>
      <c r="B24442" s="2" t="str">
        <f>"TUBETES"</f>
        <v>TUBETES</v>
      </c>
      <c r="C24442" s="2" t="str">
        <f t="shared" si="960"/>
        <v>UN</v>
      </c>
      <c r="D24442" s="7">
        <v>99999</v>
      </c>
      <c r="E24442" s="3">
        <v>99</v>
      </c>
      <c r="F24442" s="3">
        <v>99</v>
      </c>
      <c r="G24442" t="s">
        <v>512</v>
      </c>
    </row>
    <row r="24443" spans="1:7" x14ac:dyDescent="0.25">
      <c r="A24443" s="1" t="str">
        <f>"514252"</f>
        <v>514252</v>
      </c>
      <c r="B24443" s="2" t="str">
        <f>"TUBETES"</f>
        <v>TUBETES</v>
      </c>
      <c r="C24443" s="2" t="str">
        <f t="shared" si="960"/>
        <v>UN</v>
      </c>
      <c r="D24443" s="7">
        <v>99999</v>
      </c>
      <c r="E24443" s="3">
        <v>99</v>
      </c>
      <c r="F24443" s="3">
        <v>99</v>
      </c>
      <c r="G24443" t="s">
        <v>513</v>
      </c>
    </row>
    <row r="24444" spans="1:7" x14ac:dyDescent="0.25">
      <c r="A24444" s="1" t="str">
        <f>"515122"</f>
        <v>515122</v>
      </c>
      <c r="B24444" s="2" t="str">
        <f>"TUBETES DE 5"""</f>
        <v>TUBETES DE 5"</v>
      </c>
      <c r="C24444" s="2" t="str">
        <f t="shared" si="960"/>
        <v>UN</v>
      </c>
      <c r="D24444" s="7">
        <v>301</v>
      </c>
      <c r="E24444" s="3">
        <v>1</v>
      </c>
      <c r="F24444" s="3">
        <v>1</v>
      </c>
      <c r="G24444" t="s">
        <v>514</v>
      </c>
    </row>
    <row r="24445" spans="1:7" x14ac:dyDescent="0.25">
      <c r="A24445" s="1" t="str">
        <f>"515123"</f>
        <v>515123</v>
      </c>
      <c r="B24445" s="2" t="str">
        <f>"TUBETES DE 6"""</f>
        <v>TUBETES DE 6"</v>
      </c>
      <c r="C24445" s="2" t="str">
        <f t="shared" si="960"/>
        <v>UN</v>
      </c>
      <c r="D24445" s="7">
        <v>301</v>
      </c>
      <c r="E24445" s="3">
        <v>1</v>
      </c>
      <c r="F24445" s="3">
        <v>1</v>
      </c>
      <c r="G24445" t="s">
        <v>514</v>
      </c>
    </row>
    <row r="24446" spans="1:7" x14ac:dyDescent="0.25">
      <c r="A24446" s="1" t="str">
        <f>"514504"</f>
        <v>514504</v>
      </c>
      <c r="B24446" s="2" t="str">
        <f>"TUBO"</f>
        <v>TUBO</v>
      </c>
      <c r="C24446" s="2" t="str">
        <f t="shared" si="960"/>
        <v>UN</v>
      </c>
      <c r="D24446" s="7">
        <v>920</v>
      </c>
      <c r="E24446" s="3">
        <v>4</v>
      </c>
      <c r="F24446" s="3">
        <v>4</v>
      </c>
      <c r="G24446" t="s">
        <v>514</v>
      </c>
    </row>
    <row r="24447" spans="1:7" x14ac:dyDescent="0.25">
      <c r="A24447" s="1" t="str">
        <f>"524488"</f>
        <v>524488</v>
      </c>
      <c r="B24447" s="2" t="str">
        <f>"TUBO 1"" AÇO CARBONO ASMI B16,5 SCH40 - 6MTS"</f>
        <v>TUBO 1" AÇO CARBONO ASMI B16,5 SCH40 - 6MTS</v>
      </c>
      <c r="C24447" s="2" t="str">
        <f t="shared" si="960"/>
        <v>UN</v>
      </c>
      <c r="D24447" s="7">
        <v>807</v>
      </c>
      <c r="E24447" s="3">
        <v>10</v>
      </c>
      <c r="F24447" s="3">
        <v>10</v>
      </c>
      <c r="G24447" t="s">
        <v>513</v>
      </c>
    </row>
    <row r="24448" spans="1:7" x14ac:dyDescent="0.25">
      <c r="A24448" s="1" t="str">
        <f>"524489"</f>
        <v>524489</v>
      </c>
      <c r="B24448" s="2" t="str">
        <f>"TUBO 1X1/2"" AÇO CARBONO ASMI B16,5 SCH40 - 6MTS"</f>
        <v>TUBO 1X1/2" AÇO CARBONO ASMI B16,5 SCH40 - 6MTS</v>
      </c>
      <c r="C24448" s="2" t="str">
        <f t="shared" si="960"/>
        <v>UN</v>
      </c>
      <c r="D24448" s="7">
        <v>807</v>
      </c>
      <c r="E24448" s="3">
        <v>10</v>
      </c>
      <c r="F24448" s="3">
        <v>10</v>
      </c>
      <c r="G24448" t="s">
        <v>513</v>
      </c>
    </row>
    <row r="24449" spans="1:7" x14ac:dyDescent="0.25">
      <c r="A24449" s="1" t="str">
        <f>"524487"</f>
        <v>524487</v>
      </c>
      <c r="B24449" s="2" t="str">
        <f>"TUBO 2"" AÇO CARBONO ASMI B16,5 SCH40 - 6MTS"</f>
        <v>TUBO 2" AÇO CARBONO ASMI B16,5 SCH40 - 6MTS</v>
      </c>
      <c r="C24449" s="2" t="str">
        <f t="shared" si="960"/>
        <v>UN</v>
      </c>
      <c r="D24449" s="7">
        <v>807</v>
      </c>
      <c r="E24449" s="3">
        <v>10</v>
      </c>
      <c r="F24449" s="3">
        <v>10</v>
      </c>
      <c r="G24449" t="s">
        <v>513</v>
      </c>
    </row>
    <row r="24450" spans="1:7" x14ac:dyDescent="0.25">
      <c r="A24450" s="1" t="str">
        <f>"524490"</f>
        <v>524490</v>
      </c>
      <c r="B24450" s="2" t="str">
        <f>"TUBO 2X1/2"" AÇO CARBONO ASMI B16,5 SCH40 - 6MTS"</f>
        <v>TUBO 2X1/2" AÇO CARBONO ASMI B16,5 SCH40 - 6MTS</v>
      </c>
      <c r="C24450" s="2" t="str">
        <f t="shared" si="960"/>
        <v>UN</v>
      </c>
      <c r="D24450" s="7">
        <v>807</v>
      </c>
      <c r="E24450" s="3">
        <v>10</v>
      </c>
      <c r="F24450" s="3">
        <v>10</v>
      </c>
      <c r="G24450" t="s">
        <v>512</v>
      </c>
    </row>
    <row r="24451" spans="1:7" x14ac:dyDescent="0.25">
      <c r="A24451" s="1" t="str">
        <f>"524486"</f>
        <v>524486</v>
      </c>
      <c r="B24451" s="2" t="str">
        <f>"TUBO 3"" AÇO CARBONO ASMI B16,5 SCH40 - 6MTS"</f>
        <v>TUBO 3" AÇO CARBONO ASMI B16,5 SCH40 - 6MTS</v>
      </c>
      <c r="C24451" s="2" t="str">
        <f t="shared" si="960"/>
        <v>UN</v>
      </c>
      <c r="D24451" s="7">
        <v>807</v>
      </c>
      <c r="E24451" s="3">
        <v>10</v>
      </c>
      <c r="F24451" s="3">
        <v>10</v>
      </c>
      <c r="G24451" t="s">
        <v>513</v>
      </c>
    </row>
    <row r="24452" spans="1:7" x14ac:dyDescent="0.25">
      <c r="A24452" s="1" t="str">
        <f>"527711"</f>
        <v>527711</v>
      </c>
      <c r="B24452" s="2" t="str">
        <f>"TUBO 3/8"" OD X 0,065"" PAREDE 6M INOX 316"</f>
        <v>TUBO 3/8" OD X 0,065" PAREDE 6M INOX 316</v>
      </c>
      <c r="C24452" s="2" t="str">
        <f t="shared" si="960"/>
        <v>UN</v>
      </c>
      <c r="D24452" s="7">
        <v>807</v>
      </c>
      <c r="E24452" s="3">
        <v>10</v>
      </c>
      <c r="F24452" s="3">
        <v>10</v>
      </c>
      <c r="G24452" t="s">
        <v>514</v>
      </c>
    </row>
    <row r="24453" spans="1:7" x14ac:dyDescent="0.25">
      <c r="A24453" s="1" t="str">
        <f>"511702"</f>
        <v>511702</v>
      </c>
      <c r="B24453" s="2" t="str">
        <f>"TUBO 304 50X30X1,5 RETANGULAR"</f>
        <v>TUBO 304 50X30X1,5 RETANGULAR</v>
      </c>
      <c r="C24453" s="2" t="str">
        <f>"PC"</f>
        <v>PC</v>
      </c>
      <c r="D24453" s="7">
        <v>806</v>
      </c>
      <c r="E24453" s="3">
        <v>10</v>
      </c>
      <c r="F24453" s="3">
        <v>10</v>
      </c>
      <c r="G24453" t="s">
        <v>515</v>
      </c>
    </row>
    <row r="24454" spans="1:7" x14ac:dyDescent="0.25">
      <c r="A24454" s="1" t="str">
        <f>"524485"</f>
        <v>524485</v>
      </c>
      <c r="B24454" s="2" t="str">
        <f>"TUBO 4"" AÇO CARBONO ASMI B16,5 SCH40 - 6MTS"</f>
        <v>TUBO 4" AÇO CARBONO ASMI B16,5 SCH40 - 6MTS</v>
      </c>
      <c r="C24454" s="2" t="str">
        <f>"UN"</f>
        <v>UN</v>
      </c>
      <c r="D24454" s="7">
        <v>807</v>
      </c>
      <c r="E24454" s="3">
        <v>10</v>
      </c>
      <c r="F24454" s="3">
        <v>10</v>
      </c>
      <c r="G24454" t="s">
        <v>512</v>
      </c>
    </row>
    <row r="24455" spans="1:7" x14ac:dyDescent="0.25">
      <c r="A24455" s="1" t="str">
        <f>"510480"</f>
        <v>510480</v>
      </c>
      <c r="B24455" s="2" t="str">
        <f>"TUBO 50X100X1200MM"</f>
        <v>TUBO 50X100X1200MM</v>
      </c>
      <c r="C24455" s="2" t="str">
        <f>"PC"</f>
        <v>PC</v>
      </c>
      <c r="D24455" s="7">
        <v>806</v>
      </c>
      <c r="E24455" s="3">
        <v>10</v>
      </c>
      <c r="F24455" s="3">
        <v>10</v>
      </c>
      <c r="G24455" t="s">
        <v>516</v>
      </c>
    </row>
    <row r="24456" spans="1:7" x14ac:dyDescent="0.25">
      <c r="A24456" s="1" t="str">
        <f>"524491"</f>
        <v>524491</v>
      </c>
      <c r="B24456" s="2" t="str">
        <f>"TUBO 6"" AÇO CARBONO ASMI B16,5 SCH40 - 6MTS"</f>
        <v>TUBO 6" AÇO CARBONO ASMI B16,5 SCH40 - 6MTS</v>
      </c>
      <c r="C24456" s="2" t="str">
        <f>"UN"</f>
        <v>UN</v>
      </c>
      <c r="D24456" s="7">
        <v>807</v>
      </c>
      <c r="E24456" s="3">
        <v>10</v>
      </c>
      <c r="F24456" s="3">
        <v>10</v>
      </c>
      <c r="G24456" t="s">
        <v>515</v>
      </c>
    </row>
    <row r="24457" spans="1:7" x14ac:dyDescent="0.25">
      <c r="A24457" s="1" t="str">
        <f>"523245"</f>
        <v>523245</v>
      </c>
      <c r="B24457" s="2" t="str">
        <f>"TUBO ACO CARBONO 1 1/2"" SCH40"</f>
        <v>TUBO ACO CARBONO 1 1/2" SCH40</v>
      </c>
      <c r="C24457" s="2" t="str">
        <f>"UN"</f>
        <v>UN</v>
      </c>
      <c r="D24457" s="7">
        <v>912</v>
      </c>
      <c r="E24457" s="3">
        <v>11</v>
      </c>
      <c r="F24457" s="3">
        <v>11</v>
      </c>
      <c r="G24457" t="s">
        <v>514</v>
      </c>
    </row>
    <row r="24458" spans="1:7" x14ac:dyDescent="0.25">
      <c r="A24458" s="1" t="str">
        <f>"513608"</f>
        <v>513608</v>
      </c>
      <c r="B24458" s="2" t="str">
        <f>"TUBO ACO CARBONO 1 1/2"" SH40"</f>
        <v>TUBO ACO CARBONO 1 1/2" SH40</v>
      </c>
      <c r="C24458" s="2" t="str">
        <f>"BR"</f>
        <v>BR</v>
      </c>
      <c r="D24458" s="7">
        <v>808</v>
      </c>
      <c r="E24458" s="3">
        <v>10</v>
      </c>
      <c r="F24458" s="3">
        <v>10</v>
      </c>
      <c r="G24458" t="s">
        <v>512</v>
      </c>
    </row>
    <row r="24459" spans="1:7" x14ac:dyDescent="0.25">
      <c r="A24459" s="1" t="str">
        <f>"523244"</f>
        <v>523244</v>
      </c>
      <c r="B24459" s="2" t="str">
        <f>"TUBO ACO CARBONO 1 1/4"" #3MM"</f>
        <v>TUBO ACO CARBONO 1 1/4" #3MM</v>
      </c>
      <c r="C24459" s="2" t="str">
        <f>"UN"</f>
        <v>UN</v>
      </c>
      <c r="D24459" s="7">
        <v>912</v>
      </c>
      <c r="E24459" s="3">
        <v>11</v>
      </c>
      <c r="F24459" s="3">
        <v>11</v>
      </c>
      <c r="G24459" t="s">
        <v>513</v>
      </c>
    </row>
    <row r="24460" spans="1:7" x14ac:dyDescent="0.25">
      <c r="A24460" s="1" t="str">
        <f>"510743"</f>
        <v>510743</v>
      </c>
      <c r="B24460" s="2" t="str">
        <f>"TUBO ACO CARBONO 1 1/4"" PAREDE 2,0 MM"</f>
        <v>TUBO ACO CARBONO 1 1/4" PAREDE 2,0 MM</v>
      </c>
      <c r="C24460" s="2" t="str">
        <f>"BR"</f>
        <v>BR</v>
      </c>
      <c r="D24460" s="7">
        <v>808</v>
      </c>
      <c r="E24460" s="3">
        <v>10</v>
      </c>
      <c r="F24460" s="3">
        <v>10</v>
      </c>
      <c r="G24460" t="s">
        <v>514</v>
      </c>
    </row>
    <row r="24461" spans="1:7" x14ac:dyDescent="0.25">
      <c r="A24461" s="1" t="str">
        <f>"517976"</f>
        <v>517976</v>
      </c>
      <c r="B24461" s="2" t="str">
        <f>"TUBO ACO CARBONO 1"""</f>
        <v>TUBO ACO CARBONO 1"</v>
      </c>
      <c r="C24461" s="2" t="str">
        <f>"BR"</f>
        <v>BR</v>
      </c>
      <c r="D24461" s="7">
        <v>912</v>
      </c>
      <c r="E24461" s="3">
        <v>10</v>
      </c>
      <c r="F24461" s="3">
        <v>10</v>
      </c>
      <c r="G24461" t="s">
        <v>514</v>
      </c>
    </row>
    <row r="24462" spans="1:7" x14ac:dyDescent="0.25">
      <c r="A24462" s="1" t="str">
        <f>"510746"</f>
        <v>510746</v>
      </c>
      <c r="B24462" s="2" t="str">
        <f>"TUBO ACO CARBONO 1"" PAREDE 1,5MM"</f>
        <v>TUBO ACO CARBONO 1" PAREDE 1,5MM</v>
      </c>
      <c r="C24462" s="2" t="str">
        <f>"BR"</f>
        <v>BR</v>
      </c>
      <c r="D24462" s="7">
        <v>808</v>
      </c>
      <c r="E24462" s="3">
        <v>10</v>
      </c>
      <c r="F24462" s="3">
        <v>10</v>
      </c>
      <c r="G24462" t="s">
        <v>512</v>
      </c>
    </row>
    <row r="24463" spans="1:7" x14ac:dyDescent="0.25">
      <c r="A24463" s="1" t="str">
        <f>"519160"</f>
        <v>519160</v>
      </c>
      <c r="B24463" s="2" t="str">
        <f>"TUBO ACO CARBONO 1"" SCH40 S/C"</f>
        <v>TUBO ACO CARBONO 1" SCH40 S/C</v>
      </c>
      <c r="C24463" s="2" t="str">
        <f>"UN"</f>
        <v>UN</v>
      </c>
      <c r="D24463" s="7">
        <v>912</v>
      </c>
      <c r="E24463" s="3">
        <v>11</v>
      </c>
      <c r="F24463" s="3">
        <v>11</v>
      </c>
      <c r="G24463" t="s">
        <v>513</v>
      </c>
    </row>
    <row r="24464" spans="1:7" x14ac:dyDescent="0.25">
      <c r="A24464" s="1" t="str">
        <f>"521225"</f>
        <v>521225</v>
      </c>
      <c r="B24464" s="2" t="str">
        <f>"TUBO ACO CARBONO 1"" SCHD40 S/ CUSTURA"</f>
        <v>TUBO ACO CARBONO 1" SCHD40 S/ CUSTURA</v>
      </c>
      <c r="C24464" s="2" t="str">
        <f>"BR"</f>
        <v>BR</v>
      </c>
      <c r="D24464" s="7">
        <v>808</v>
      </c>
      <c r="E24464" s="3">
        <v>10</v>
      </c>
      <c r="F24464" s="3">
        <v>10</v>
      </c>
      <c r="G24464" t="s">
        <v>514</v>
      </c>
    </row>
    <row r="24465" spans="1:7" x14ac:dyDescent="0.25">
      <c r="A24465" s="1" t="str">
        <f>"517975"</f>
        <v>517975</v>
      </c>
      <c r="B24465" s="2" t="str">
        <f>"TUBO ACO CARBONO 1"" X 11"""</f>
        <v>TUBO ACO CARBONO 1" X 11"</v>
      </c>
      <c r="C24465" s="2" t="str">
        <f>"BR"</f>
        <v>BR</v>
      </c>
      <c r="D24465" s="7">
        <v>808</v>
      </c>
      <c r="E24465" s="3">
        <v>10</v>
      </c>
      <c r="F24465" s="3">
        <v>10</v>
      </c>
      <c r="G24465" t="s">
        <v>514</v>
      </c>
    </row>
    <row r="24466" spans="1:7" x14ac:dyDescent="0.25">
      <c r="A24466" s="1" t="str">
        <f>"510750"</f>
        <v>510750</v>
      </c>
      <c r="B24466" s="2" t="str">
        <f>"TUBO ACO CARBONO 1/2"" SH40 S/C"</f>
        <v>TUBO ACO CARBONO 1/2" SH40 S/C</v>
      </c>
      <c r="C24466" s="2" t="str">
        <f>"BR"</f>
        <v>BR</v>
      </c>
      <c r="D24466" s="7">
        <v>808</v>
      </c>
      <c r="E24466" s="3">
        <v>10</v>
      </c>
      <c r="F24466" s="3">
        <v>10</v>
      </c>
      <c r="G24466" t="s">
        <v>514</v>
      </c>
    </row>
    <row r="24467" spans="1:7" x14ac:dyDescent="0.25">
      <c r="A24467" s="1" t="str">
        <f>"510737"</f>
        <v>510737</v>
      </c>
      <c r="B24467" s="2" t="str">
        <f>"TUBO ACO CARBONO 2 1/2 PAREDE 2,5MM"</f>
        <v>TUBO ACO CARBONO 2 1/2 PAREDE 2,5MM</v>
      </c>
      <c r="C24467" s="2" t="str">
        <f>"BR"</f>
        <v>BR</v>
      </c>
      <c r="D24467" s="7">
        <v>808</v>
      </c>
      <c r="E24467" s="3">
        <v>10</v>
      </c>
      <c r="F24467" s="3">
        <v>10</v>
      </c>
      <c r="G24467" t="s">
        <v>513</v>
      </c>
    </row>
    <row r="24468" spans="1:7" x14ac:dyDescent="0.25">
      <c r="A24468" s="1" t="str">
        <f>"517855"</f>
        <v>517855</v>
      </c>
      <c r="B24468" s="2" t="str">
        <f>"TUBO ACO CARBONO 2 1/2"" SCH40"</f>
        <v>TUBO ACO CARBONO 2 1/2" SCH40</v>
      </c>
      <c r="C24468" s="2" t="str">
        <f>"UN"</f>
        <v>UN</v>
      </c>
      <c r="D24468" s="7">
        <v>912</v>
      </c>
      <c r="E24468" s="3">
        <v>11</v>
      </c>
      <c r="F24468" s="3">
        <v>11</v>
      </c>
      <c r="G24468" t="s">
        <v>512</v>
      </c>
    </row>
    <row r="24469" spans="1:7" x14ac:dyDescent="0.25">
      <c r="A24469" s="1" t="str">
        <f>"510740"</f>
        <v>510740</v>
      </c>
      <c r="B24469" s="2" t="str">
        <f>"TUBO ACO CARBONO 2"" #14"</f>
        <v>TUBO ACO CARBONO 2" #14</v>
      </c>
      <c r="C24469" s="2" t="str">
        <f>"BR"</f>
        <v>BR</v>
      </c>
      <c r="D24469" s="7">
        <v>808</v>
      </c>
      <c r="E24469" s="3">
        <v>10</v>
      </c>
      <c r="F24469" s="3">
        <v>10</v>
      </c>
      <c r="G24469" t="s">
        <v>513</v>
      </c>
    </row>
    <row r="24470" spans="1:7" x14ac:dyDescent="0.25">
      <c r="A24470" s="1" t="str">
        <f>"501017"</f>
        <v>501017</v>
      </c>
      <c r="B24470" s="2" t="str">
        <f>"TUBO ACO CARBONO 2"" #16"</f>
        <v>TUBO ACO CARBONO 2" #16</v>
      </c>
      <c r="C24470" s="2" t="str">
        <f>"MT"</f>
        <v>MT</v>
      </c>
      <c r="D24470" s="7">
        <v>808</v>
      </c>
      <c r="E24470" s="3">
        <v>10</v>
      </c>
      <c r="F24470" s="3">
        <v>10</v>
      </c>
      <c r="G24470" t="s">
        <v>514</v>
      </c>
    </row>
    <row r="24471" spans="1:7" x14ac:dyDescent="0.25">
      <c r="A24471" s="1" t="str">
        <f>"517854"</f>
        <v>517854</v>
      </c>
      <c r="B24471" s="2" t="str">
        <f>"TUBO ACO CARBONO 2"" SCH40 S/C"</f>
        <v>TUBO ACO CARBONO 2" SCH40 S/C</v>
      </c>
      <c r="C24471" s="2" t="str">
        <f>"UN"</f>
        <v>UN</v>
      </c>
      <c r="D24471" s="7">
        <v>912</v>
      </c>
      <c r="E24471" s="3">
        <v>11</v>
      </c>
      <c r="F24471" s="3">
        <v>11</v>
      </c>
      <c r="G24471" t="s">
        <v>514</v>
      </c>
    </row>
    <row r="24472" spans="1:7" x14ac:dyDescent="0.25">
      <c r="A24472" s="1" t="str">
        <f>"506021"</f>
        <v>506021</v>
      </c>
      <c r="B24472" s="2" t="str">
        <f>"TUBO ACO CARBONO 25MM INTERNO #2MM"</f>
        <v>TUBO ACO CARBONO 25MM INTERNO #2MM</v>
      </c>
      <c r="C24472" s="2" t="str">
        <f>"BR"</f>
        <v>BR</v>
      </c>
      <c r="D24472" s="7">
        <v>808</v>
      </c>
      <c r="E24472" s="3">
        <v>10</v>
      </c>
      <c r="F24472" s="3">
        <v>10</v>
      </c>
      <c r="G24472" t="s">
        <v>514</v>
      </c>
    </row>
    <row r="24473" spans="1:7" x14ac:dyDescent="0.25">
      <c r="A24473" s="1" t="str">
        <f>"517007"</f>
        <v>517007</v>
      </c>
      <c r="B24473" s="2" t="str">
        <f>"TUBO ACO CARBONO 3 1/2"" PAREDE 4MM"</f>
        <v>TUBO ACO CARBONO 3 1/2" PAREDE 4MM</v>
      </c>
      <c r="C24473" s="2" t="str">
        <f>"BR"</f>
        <v>BR</v>
      </c>
      <c r="D24473" s="7">
        <v>808</v>
      </c>
      <c r="E24473" s="3">
        <v>10</v>
      </c>
      <c r="F24473" s="3">
        <v>10</v>
      </c>
      <c r="G24473" t="s">
        <v>513</v>
      </c>
    </row>
    <row r="24474" spans="1:7" x14ac:dyDescent="0.25">
      <c r="A24474" s="1" t="str">
        <f>"510731"</f>
        <v>510731</v>
      </c>
      <c r="B24474" s="2" t="str">
        <f>"TUBO ACO CARBONO 3"" PAREDE 2,5MM"</f>
        <v>TUBO ACO CARBONO 3" PAREDE 2,5MM</v>
      </c>
      <c r="C24474" s="2" t="str">
        <f>"BR"</f>
        <v>BR</v>
      </c>
      <c r="D24474" s="7">
        <v>808</v>
      </c>
      <c r="E24474" s="3">
        <v>10</v>
      </c>
      <c r="F24474" s="3">
        <v>10</v>
      </c>
      <c r="G24474" t="s">
        <v>513</v>
      </c>
    </row>
    <row r="24475" spans="1:7" x14ac:dyDescent="0.25">
      <c r="A24475" s="1" t="str">
        <f>"510780"</f>
        <v>510780</v>
      </c>
      <c r="B24475" s="2" t="str">
        <f>"TUBO ACO CARBONO 3"" PAREDE 4MM"</f>
        <v>TUBO ACO CARBONO 3" PAREDE 4MM</v>
      </c>
      <c r="C24475" s="2" t="str">
        <f>"BR"</f>
        <v>BR</v>
      </c>
      <c r="D24475" s="7">
        <v>808</v>
      </c>
      <c r="E24475" s="3">
        <v>10</v>
      </c>
      <c r="F24475" s="3">
        <v>10</v>
      </c>
      <c r="G24475" t="s">
        <v>513</v>
      </c>
    </row>
    <row r="24476" spans="1:7" x14ac:dyDescent="0.25">
      <c r="A24476" s="1" t="str">
        <f>"510736"</f>
        <v>510736</v>
      </c>
      <c r="B24476" s="2" t="str">
        <f>"TUBO ACO CARBONO 3"" PAREDE 5MM"</f>
        <v>TUBO ACO CARBONO 3" PAREDE 5MM</v>
      </c>
      <c r="C24476" s="2" t="str">
        <f>"BR"</f>
        <v>BR</v>
      </c>
      <c r="D24476" s="7">
        <v>808</v>
      </c>
      <c r="E24476" s="3">
        <v>10</v>
      </c>
      <c r="F24476" s="3">
        <v>10</v>
      </c>
      <c r="G24476" t="s">
        <v>512</v>
      </c>
    </row>
    <row r="24477" spans="1:7" x14ac:dyDescent="0.25">
      <c r="A24477" s="1" t="str">
        <f>"510425"</f>
        <v>510425</v>
      </c>
      <c r="B24477" s="2" t="str">
        <f>"TUBO ACO CARBONO 3"" SCH40"</f>
        <v>TUBO ACO CARBONO 3" SCH40</v>
      </c>
      <c r="C24477" s="2" t="str">
        <f>"UN"</f>
        <v>UN</v>
      </c>
      <c r="D24477" s="7">
        <v>912</v>
      </c>
      <c r="E24477" s="3">
        <v>11</v>
      </c>
      <c r="F24477" s="3">
        <v>11</v>
      </c>
      <c r="G24477" t="s">
        <v>513</v>
      </c>
    </row>
    <row r="24478" spans="1:7" x14ac:dyDescent="0.25">
      <c r="A24478" s="1" t="str">
        <f>"510749"</f>
        <v>510749</v>
      </c>
      <c r="B24478" s="2" t="str">
        <f>"TUBO ACO CARBONO 3/4"" SCH40"</f>
        <v>TUBO ACO CARBONO 3/4" SCH40</v>
      </c>
      <c r="C24478" s="2" t="str">
        <f>"BR"</f>
        <v>BR</v>
      </c>
      <c r="D24478" s="7">
        <v>808</v>
      </c>
      <c r="E24478" s="3">
        <v>10</v>
      </c>
      <c r="F24478" s="3">
        <v>10</v>
      </c>
      <c r="G24478" t="s">
        <v>514</v>
      </c>
    </row>
    <row r="24479" spans="1:7" x14ac:dyDescent="0.25">
      <c r="A24479" s="1" t="str">
        <f>"510754"</f>
        <v>510754</v>
      </c>
      <c r="B24479" s="2" t="str">
        <f>"TUBO ACO CARBONO 35MM INTERNO # 2MM"</f>
        <v>TUBO ACO CARBONO 35MM INTERNO # 2MM</v>
      </c>
      <c r="C24479" s="2" t="str">
        <f>"BR"</f>
        <v>BR</v>
      </c>
      <c r="D24479" s="7">
        <v>808</v>
      </c>
      <c r="E24479" s="3">
        <v>10</v>
      </c>
      <c r="F24479" s="3">
        <v>10</v>
      </c>
      <c r="G24479" t="s">
        <v>515</v>
      </c>
    </row>
    <row r="24480" spans="1:7" x14ac:dyDescent="0.25">
      <c r="A24480" s="1" t="str">
        <f>"512502"</f>
        <v>512502</v>
      </c>
      <c r="B24480" s="2" t="str">
        <f>"TUBO ACO CARBONO 382MM X 1500MM X 2,5MM"</f>
        <v>TUBO ACO CARBONO 382MM X 1500MM X 2,5MM</v>
      </c>
      <c r="C24480" s="2" t="str">
        <f>"BR"</f>
        <v>BR</v>
      </c>
      <c r="D24480" s="7">
        <v>808</v>
      </c>
      <c r="E24480" s="3">
        <v>10</v>
      </c>
      <c r="F24480" s="3">
        <v>10</v>
      </c>
      <c r="G24480" t="s">
        <v>512</v>
      </c>
    </row>
    <row r="24481" spans="1:7" x14ac:dyDescent="0.25">
      <c r="A24481" s="1" t="str">
        <f>"520235"</f>
        <v>520235</v>
      </c>
      <c r="B24481" s="2" t="str">
        <f>"TUBO ACO CARBONO 4""  # 3MM"</f>
        <v>TUBO ACO CARBONO 4"  # 3MM</v>
      </c>
      <c r="C24481" s="2" t="str">
        <f>"UN"</f>
        <v>UN</v>
      </c>
      <c r="D24481" s="7">
        <v>912</v>
      </c>
      <c r="E24481" s="3">
        <v>11</v>
      </c>
      <c r="F24481" s="3">
        <v>11</v>
      </c>
      <c r="G24481" t="s">
        <v>516</v>
      </c>
    </row>
    <row r="24482" spans="1:7" x14ac:dyDescent="0.25">
      <c r="A24482" s="1" t="str">
        <f>"525027"</f>
        <v>525027</v>
      </c>
      <c r="B24482" s="2" t="str">
        <f>"TUBO AÇO CARBONO 4"" DIN 40"</f>
        <v>TUBO AÇO CARBONO 4" DIN 40</v>
      </c>
      <c r="C24482" s="2" t="str">
        <f>"BR"</f>
        <v>BR</v>
      </c>
      <c r="D24482" s="7">
        <v>807</v>
      </c>
      <c r="E24482" s="3">
        <v>10</v>
      </c>
      <c r="F24482" s="3">
        <v>10</v>
      </c>
      <c r="G24482" t="s">
        <v>515</v>
      </c>
    </row>
    <row r="24483" spans="1:7" x14ac:dyDescent="0.25">
      <c r="A24483" s="1" t="str">
        <f>"510197"</f>
        <v>510197</v>
      </c>
      <c r="B24483" s="2" t="str">
        <f>"TUBO ACO CARBONO 4"" SCH40"</f>
        <v>TUBO ACO CARBONO 4" SCH40</v>
      </c>
      <c r="C24483" s="2" t="str">
        <f>"UN"</f>
        <v>UN</v>
      </c>
      <c r="D24483" s="7">
        <v>912</v>
      </c>
      <c r="E24483" s="3">
        <v>11</v>
      </c>
      <c r="F24483" s="3">
        <v>11</v>
      </c>
      <c r="G24483" t="s">
        <v>514</v>
      </c>
    </row>
    <row r="24484" spans="1:7" x14ac:dyDescent="0.25">
      <c r="A24484" s="1" t="str">
        <f>"521549"</f>
        <v>521549</v>
      </c>
      <c r="B24484" s="2" t="str">
        <f>"TUBO ACO CARBONO 40MM INTERNO # 2MM"</f>
        <v>TUBO ACO CARBONO 40MM INTERNO # 2MM</v>
      </c>
      <c r="C24484" s="2" t="str">
        <f>"BR"</f>
        <v>BR</v>
      </c>
      <c r="D24484" s="7">
        <v>808</v>
      </c>
      <c r="E24484" s="3">
        <v>10</v>
      </c>
      <c r="F24484" s="3">
        <v>10</v>
      </c>
      <c r="G24484" t="s">
        <v>512</v>
      </c>
    </row>
    <row r="24485" spans="1:7" x14ac:dyDescent="0.25">
      <c r="A24485" s="1" t="str">
        <f>"505536"</f>
        <v>505536</v>
      </c>
      <c r="B24485" s="2" t="str">
        <f>"TUBO ACO CARBONO 5"" X 6MM"</f>
        <v>TUBO ACO CARBONO 5" X 6MM</v>
      </c>
      <c r="C24485" s="2" t="str">
        <f>"BR"</f>
        <v>BR</v>
      </c>
      <c r="D24485" s="7">
        <v>808</v>
      </c>
      <c r="E24485" s="3">
        <v>10</v>
      </c>
      <c r="F24485" s="3">
        <v>10</v>
      </c>
      <c r="G24485" t="s">
        <v>513</v>
      </c>
    </row>
    <row r="24486" spans="1:7" x14ac:dyDescent="0.25">
      <c r="A24486" s="1" t="str">
        <f>"510781"</f>
        <v>510781</v>
      </c>
      <c r="B24486" s="2" t="str">
        <f>"TUBO ACO CARBONO 6"" S-40 VAPOR"</f>
        <v>TUBO ACO CARBONO 6" S-40 VAPOR</v>
      </c>
      <c r="C24486" s="2" t="str">
        <f>"BR"</f>
        <v>BR</v>
      </c>
      <c r="D24486" s="7">
        <v>808</v>
      </c>
      <c r="E24486" s="3">
        <v>10</v>
      </c>
      <c r="F24486" s="3">
        <v>10</v>
      </c>
      <c r="G24486" t="s">
        <v>514</v>
      </c>
    </row>
    <row r="24487" spans="1:7" x14ac:dyDescent="0.25">
      <c r="A24487" s="1" t="str">
        <f>"516125"</f>
        <v>516125</v>
      </c>
      <c r="B24487" s="2" t="str">
        <f>"TUBO ACO CARBONO SCHEDULE 8"" BR 6 MT"</f>
        <v>TUBO ACO CARBONO SCHEDULE 8" BR 6 MT</v>
      </c>
      <c r="C24487" s="2" t="str">
        <f>"BR"</f>
        <v>BR</v>
      </c>
      <c r="D24487" s="7">
        <v>808</v>
      </c>
      <c r="E24487" s="3">
        <v>10</v>
      </c>
      <c r="F24487" s="3">
        <v>10</v>
      </c>
      <c r="G24487" t="s">
        <v>514</v>
      </c>
    </row>
    <row r="24488" spans="1:7" x14ac:dyDescent="0.25">
      <c r="A24488" s="1" t="str">
        <f>"515978"</f>
        <v>515978</v>
      </c>
      <c r="B24488" s="2" t="str">
        <f>"TUBO AÇO CARBONO SH40 1 1/2"""</f>
        <v>TUBO AÇO CARBONO SH40 1 1/2"</v>
      </c>
      <c r="C24488" s="2" t="str">
        <f>"BR"</f>
        <v>BR</v>
      </c>
      <c r="D24488" s="7">
        <v>807</v>
      </c>
      <c r="E24488" s="3">
        <v>10</v>
      </c>
      <c r="F24488" s="3">
        <v>10</v>
      </c>
      <c r="G24488" t="s">
        <v>512</v>
      </c>
    </row>
    <row r="24489" spans="1:7" x14ac:dyDescent="0.25">
      <c r="A24489" s="1" t="str">
        <f>"522493"</f>
        <v>522493</v>
      </c>
      <c r="B24489" s="2" t="str">
        <f>"TUBO AÇO CARBOO 1 1/4 # 3,25MM"</f>
        <v>TUBO AÇO CARBOO 1 1/4 # 3,25MM</v>
      </c>
      <c r="C24489" s="2" t="str">
        <f>"UN"</f>
        <v>UN</v>
      </c>
      <c r="D24489" s="7">
        <v>807</v>
      </c>
      <c r="E24489" s="3">
        <v>10</v>
      </c>
      <c r="F24489" s="3">
        <v>10</v>
      </c>
      <c r="G24489" t="s">
        <v>513</v>
      </c>
    </row>
    <row r="24490" spans="1:7" x14ac:dyDescent="0.25">
      <c r="A24490" s="1" t="str">
        <f>"508087"</f>
        <v>508087</v>
      </c>
      <c r="B24490" s="2" t="str">
        <f>"TUBO BIPARTIDO LA DE VIDRO 50MM 1000X500"</f>
        <v>TUBO BIPARTIDO LA DE VIDRO 50MM 1000X500</v>
      </c>
      <c r="C24490" s="2" t="str">
        <f>"BR"</f>
        <v>BR</v>
      </c>
      <c r="D24490" s="7">
        <v>808</v>
      </c>
      <c r="E24490" s="3">
        <v>10</v>
      </c>
      <c r="F24490" s="3">
        <v>10</v>
      </c>
      <c r="G24490" t="s">
        <v>514</v>
      </c>
    </row>
    <row r="24491" spans="1:7" x14ac:dyDescent="0.25">
      <c r="A24491" s="1" t="str">
        <f>"525400"</f>
        <v>525400</v>
      </c>
      <c r="B24491" s="2" t="str">
        <f>"TUBO BLINDADO PRETO 10X19 3/4 SC180MT"</f>
        <v>TUBO BLINDADO PRETO 10X19 3/4 SC180MT</v>
      </c>
      <c r="C24491" s="2" t="str">
        <f>"UN"</f>
        <v>UN</v>
      </c>
      <c r="D24491" s="7">
        <v>818</v>
      </c>
      <c r="E24491" s="3">
        <v>10</v>
      </c>
      <c r="F24491" s="3">
        <v>10</v>
      </c>
      <c r="G24491" t="s">
        <v>514</v>
      </c>
    </row>
    <row r="24492" spans="1:7" x14ac:dyDescent="0.25">
      <c r="A24492" s="1" t="str">
        <f>"525401"</f>
        <v>525401</v>
      </c>
      <c r="B24492" s="2" t="str">
        <f>"TUBO BLINDADO PRETO INVERTER 3/8 X 10MM SC 300"</f>
        <v>TUBO BLINDADO PRETO INVERTER 3/8 X 10MM SC 300</v>
      </c>
      <c r="C24492" s="2" t="str">
        <f>"UN"</f>
        <v>UN</v>
      </c>
      <c r="D24492" s="7">
        <v>818</v>
      </c>
      <c r="E24492" s="3">
        <v>10</v>
      </c>
      <c r="F24492" s="3">
        <v>10</v>
      </c>
      <c r="G24492" t="s">
        <v>514</v>
      </c>
    </row>
    <row r="24493" spans="1:7" x14ac:dyDescent="0.25">
      <c r="A24493" s="1" t="str">
        <f>"519567"</f>
        <v>519567</v>
      </c>
      <c r="B24493" s="2" t="str">
        <f>"TUBO C/C INOX 304 168,28X2,77MM (6"" SH5) DECAPADO"</f>
        <v>TUBO C/C INOX 304 168,28X2,77MM (6" SH5) DECAPADO</v>
      </c>
      <c r="C24493" s="2" t="str">
        <f>"BR"</f>
        <v>BR</v>
      </c>
      <c r="D24493" s="7">
        <v>807</v>
      </c>
      <c r="E24493" s="3">
        <v>10</v>
      </c>
      <c r="F24493" s="3">
        <v>10</v>
      </c>
      <c r="G24493" t="s">
        <v>513</v>
      </c>
    </row>
    <row r="24494" spans="1:7" x14ac:dyDescent="0.25">
      <c r="A24494" s="1" t="str">
        <f>"519570"</f>
        <v>519570</v>
      </c>
      <c r="B24494" s="2" t="str">
        <f>"TUBO C/C INOX 304 168,28X2,77MM (6"" SH5) DECAPADO"</f>
        <v>TUBO C/C INOX 304 168,28X2,77MM (6" SH5) DECAPADO</v>
      </c>
      <c r="C24494" s="2" t="str">
        <f>"MT"</f>
        <v>MT</v>
      </c>
      <c r="D24494" s="7">
        <v>807</v>
      </c>
      <c r="E24494" s="3">
        <v>10</v>
      </c>
      <c r="F24494" s="3">
        <v>10</v>
      </c>
      <c r="G24494" t="s">
        <v>512</v>
      </c>
    </row>
    <row r="24495" spans="1:7" x14ac:dyDescent="0.25">
      <c r="A24495" s="1" t="str">
        <f>"516044"</f>
        <v>516044</v>
      </c>
      <c r="B24495" s="2" t="str">
        <f>"TUBO C/C INOX 304 ESCOVADO 10"" X 1000MM X 4MM"</f>
        <v>TUBO C/C INOX 304 ESCOVADO 10" X 1000MM X 4MM</v>
      </c>
      <c r="C24495" s="2" t="str">
        <f>"UN"</f>
        <v>UN</v>
      </c>
      <c r="D24495" s="7">
        <v>99999</v>
      </c>
      <c r="E24495" s="3">
        <v>99</v>
      </c>
      <c r="F24495" s="3">
        <v>99</v>
      </c>
      <c r="G24495" t="s">
        <v>513</v>
      </c>
    </row>
    <row r="24496" spans="1:7" x14ac:dyDescent="0.25">
      <c r="A24496" s="1" t="str">
        <f>"522681"</f>
        <v>522681</v>
      </c>
      <c r="B24496" s="2" t="str">
        <f>"TUBO C/C INOX 304 OD 1 1/2 "" PE 1.5MM"</f>
        <v>TUBO C/C INOX 304 OD 1 1/2 " PE 1.5MM</v>
      </c>
      <c r="C24496" s="2" t="str">
        <f>"UN"</f>
        <v>UN</v>
      </c>
      <c r="D24496" s="7">
        <v>915</v>
      </c>
      <c r="E24496" s="3">
        <v>10</v>
      </c>
      <c r="F24496" s="3">
        <v>10</v>
      </c>
      <c r="G24496" t="s">
        <v>514</v>
      </c>
    </row>
    <row r="24497" spans="1:7" x14ac:dyDescent="0.25">
      <c r="A24497" s="1" t="str">
        <f>"518376"</f>
        <v>518376</v>
      </c>
      <c r="B24497" s="2" t="str">
        <f>"TUBO C/C INOX 304 OD 1 1/2""  PI/PE 1.2MM"</f>
        <v>TUBO C/C INOX 304 OD 1 1/2"  PI/PE 1.2MM</v>
      </c>
      <c r="C24497" s="2" t="str">
        <f>"BR"</f>
        <v>BR</v>
      </c>
      <c r="D24497" s="7">
        <v>807</v>
      </c>
      <c r="E24497" s="3">
        <v>10</v>
      </c>
      <c r="F24497" s="3">
        <v>10</v>
      </c>
      <c r="G24497" t="s">
        <v>514</v>
      </c>
    </row>
    <row r="24498" spans="1:7" x14ac:dyDescent="0.25">
      <c r="A24498" s="1" t="str">
        <f>"517698"</f>
        <v>517698</v>
      </c>
      <c r="B24498" s="2" t="str">
        <f>"TUBO C/C INOX 304 OD 1 1/2""  PI/PE 1.5MM"</f>
        <v>TUBO C/C INOX 304 OD 1 1/2"  PI/PE 1.5MM</v>
      </c>
      <c r="C24498" s="2" t="str">
        <f>"UN"</f>
        <v>UN</v>
      </c>
      <c r="D24498" s="7">
        <v>915</v>
      </c>
      <c r="E24498" s="3">
        <v>10</v>
      </c>
      <c r="F24498" s="3">
        <v>10</v>
      </c>
      <c r="G24498" t="s">
        <v>514</v>
      </c>
    </row>
    <row r="24499" spans="1:7" x14ac:dyDescent="0.25">
      <c r="A24499" s="1" t="str">
        <f>"505013"</f>
        <v>505013</v>
      </c>
      <c r="B24499" s="2" t="str">
        <f>"TUBO C/C INOX 304 OD 1 1/2""  PI/PE 2MM"</f>
        <v>TUBO C/C INOX 304 OD 1 1/2"  PI/PE 2MM</v>
      </c>
      <c r="C24499" s="2" t="str">
        <f>"BR"</f>
        <v>BR</v>
      </c>
      <c r="D24499" s="7">
        <v>807</v>
      </c>
      <c r="E24499" s="3">
        <v>10</v>
      </c>
      <c r="F24499" s="3">
        <v>10</v>
      </c>
      <c r="G24499" t="s">
        <v>513</v>
      </c>
    </row>
    <row r="24500" spans="1:7" x14ac:dyDescent="0.25">
      <c r="A24500" s="1" t="str">
        <f>"522675"</f>
        <v>522675</v>
      </c>
      <c r="B24500" s="2" t="str">
        <f>"TUBO C/C INOX 304 OD 1 1/4"" PE 1.2MM"</f>
        <v>TUBO C/C INOX 304 OD 1 1/4" PE 1.2MM</v>
      </c>
      <c r="C24500" s="2" t="str">
        <f>"UN"</f>
        <v>UN</v>
      </c>
      <c r="D24500" s="7">
        <v>915</v>
      </c>
      <c r="E24500" s="3">
        <v>10</v>
      </c>
      <c r="F24500" s="3">
        <v>10</v>
      </c>
      <c r="G24500" t="s">
        <v>513</v>
      </c>
    </row>
    <row r="24501" spans="1:7" x14ac:dyDescent="0.25">
      <c r="A24501" s="1" t="str">
        <f>"522723"</f>
        <v>522723</v>
      </c>
      <c r="B24501" s="2" t="str">
        <f>"TUBO C/C INOX 304 OD 1"" PAREDE 1,2MM"</f>
        <v>TUBO C/C INOX 304 OD 1" PAREDE 1,2MM</v>
      </c>
      <c r="C24501" s="2" t="str">
        <f>"MT"</f>
        <v>MT</v>
      </c>
      <c r="D24501" s="7">
        <v>807</v>
      </c>
      <c r="E24501" s="3">
        <v>10</v>
      </c>
      <c r="F24501" s="3">
        <v>10</v>
      </c>
      <c r="G24501" t="s">
        <v>513</v>
      </c>
    </row>
    <row r="24502" spans="1:7" x14ac:dyDescent="0.25">
      <c r="A24502" s="1" t="str">
        <f>"527880"</f>
        <v>527880</v>
      </c>
      <c r="B24502" s="2" t="str">
        <f>"TUBO C/C INOX 304 OD 1"" PAREDE 3,0MM"</f>
        <v>TUBO C/C INOX 304 OD 1" PAREDE 3,0MM</v>
      </c>
      <c r="C24502" s="2" t="str">
        <f>"UN"</f>
        <v>UN</v>
      </c>
      <c r="D24502" s="7">
        <v>807</v>
      </c>
      <c r="E24502" s="3">
        <v>10</v>
      </c>
      <c r="F24502" s="3">
        <v>10</v>
      </c>
      <c r="G24502" t="s">
        <v>512</v>
      </c>
    </row>
    <row r="24503" spans="1:7" x14ac:dyDescent="0.25">
      <c r="A24503" s="1" t="str">
        <f>"517418"</f>
        <v>517418</v>
      </c>
      <c r="B24503" s="2" t="str">
        <f>"TUBO C/C INOX 304 OD 1"" PE/PI - PAREDE 1,5MM"</f>
        <v>TUBO C/C INOX 304 OD 1" PE/PI - PAREDE 1,5MM</v>
      </c>
      <c r="C24503" s="2" t="str">
        <f>"BR"</f>
        <v>BR</v>
      </c>
      <c r="D24503" s="7">
        <v>915</v>
      </c>
      <c r="E24503" s="3">
        <v>10</v>
      </c>
      <c r="F24503" s="3">
        <v>10</v>
      </c>
      <c r="G24503" t="s">
        <v>513</v>
      </c>
    </row>
    <row r="24504" spans="1:7" x14ac:dyDescent="0.25">
      <c r="A24504" s="1" t="str">
        <f>"527601"</f>
        <v>527601</v>
      </c>
      <c r="B24504" s="2" t="str">
        <f>"TUBO C/C INOX 304 OD 1"" PE/PI - PAREDE 2,0 MM"</f>
        <v>TUBO C/C INOX 304 OD 1" PE/PI - PAREDE 2,0 MM</v>
      </c>
      <c r="C24504" s="2" t="str">
        <f>"BR"</f>
        <v>BR</v>
      </c>
      <c r="D24504" s="7">
        <v>818</v>
      </c>
      <c r="E24504" s="3">
        <v>10</v>
      </c>
      <c r="F24504" s="3">
        <v>10</v>
      </c>
      <c r="G24504" t="s">
        <v>514</v>
      </c>
    </row>
    <row r="24505" spans="1:7" x14ac:dyDescent="0.25">
      <c r="A24505" s="1" t="str">
        <f>"518375"</f>
        <v>518375</v>
      </c>
      <c r="B24505" s="2" t="str">
        <f>"TUBO C/C INOX 304 OD 1"" PE/PI- PAREDE 1,0MM"</f>
        <v>TUBO C/C INOX 304 OD 1" PE/PI- PAREDE 1,0MM</v>
      </c>
      <c r="C24505" s="2" t="str">
        <f>"BR"</f>
        <v>BR</v>
      </c>
      <c r="D24505" s="7">
        <v>807</v>
      </c>
      <c r="E24505" s="3">
        <v>10</v>
      </c>
      <c r="F24505" s="3">
        <v>10</v>
      </c>
      <c r="G24505" t="s">
        <v>515</v>
      </c>
    </row>
    <row r="24506" spans="1:7" x14ac:dyDescent="0.25">
      <c r="A24506" s="1" t="str">
        <f>"502582"</f>
        <v>502582</v>
      </c>
      <c r="B24506" s="2" t="str">
        <f>"TUBO C/C INOX 304 OD 1"" PE/PI- PAREDE 1,2MM"</f>
        <v>TUBO C/C INOX 304 OD 1" PE/PI- PAREDE 1,2MM</v>
      </c>
      <c r="C24506" s="2" t="str">
        <f>"MT"</f>
        <v>MT</v>
      </c>
      <c r="D24506" s="7">
        <v>807</v>
      </c>
      <c r="E24506" s="3">
        <v>10</v>
      </c>
      <c r="F24506" s="3">
        <v>10</v>
      </c>
      <c r="G24506" t="s">
        <v>512</v>
      </c>
    </row>
    <row r="24507" spans="1:7" x14ac:dyDescent="0.25">
      <c r="A24507" s="1" t="str">
        <f>"522676"</f>
        <v>522676</v>
      </c>
      <c r="B24507" s="2" t="str">
        <f>"TUBO C/C INOX 304 OD 1/2 "" PIPE 1,5MM"</f>
        <v>TUBO C/C INOX 304 OD 1/2 " PIPE 1,5MM</v>
      </c>
      <c r="C24507" s="2" t="str">
        <f>"UN"</f>
        <v>UN</v>
      </c>
      <c r="D24507" s="7">
        <v>915</v>
      </c>
      <c r="E24507" s="3">
        <v>10</v>
      </c>
      <c r="F24507" s="3">
        <v>10</v>
      </c>
      <c r="G24507" t="s">
        <v>516</v>
      </c>
    </row>
    <row r="24508" spans="1:7" x14ac:dyDescent="0.25">
      <c r="A24508" s="1" t="str">
        <f>"516046"</f>
        <v>516046</v>
      </c>
      <c r="B24508" s="2" t="str">
        <f>"TUBO C/C INOX 304 OD 1/2"" PAREDE 1,2MM"</f>
        <v>TUBO C/C INOX 304 OD 1/2" PAREDE 1,2MM</v>
      </c>
      <c r="C24508" s="2" t="str">
        <f>"BR"</f>
        <v>BR</v>
      </c>
      <c r="D24508" s="7">
        <v>99999</v>
      </c>
      <c r="E24508" s="3">
        <v>99</v>
      </c>
      <c r="F24508" s="3">
        <v>99</v>
      </c>
      <c r="G24508" t="s">
        <v>515</v>
      </c>
    </row>
    <row r="24509" spans="1:7" x14ac:dyDescent="0.25">
      <c r="A24509" s="1" t="str">
        <f>"502204"</f>
        <v>502204</v>
      </c>
      <c r="B24509" s="2" t="str">
        <f>"TUBO C/C INOX 304 OD 1/4P X 5/16P 1,50MM"</f>
        <v>TUBO C/C INOX 304 OD 1/4P X 5/16P 1,50MM</v>
      </c>
      <c r="C24509" s="2" t="str">
        <f>"BR"</f>
        <v>BR</v>
      </c>
      <c r="D24509" s="7">
        <v>807</v>
      </c>
      <c r="E24509" s="3">
        <v>10</v>
      </c>
      <c r="F24509" s="3">
        <v>10</v>
      </c>
      <c r="G24509" t="s">
        <v>514</v>
      </c>
    </row>
    <row r="24510" spans="1:7" x14ac:dyDescent="0.25">
      <c r="A24510" s="1" t="str">
        <f>"516230"</f>
        <v>516230</v>
      </c>
      <c r="B24510" s="2" t="str">
        <f>"TUBO C/C INOX 304 OD 2 1/2"" PI/PE DE 1,5MM"</f>
        <v>TUBO C/C INOX 304 OD 2 1/2" PI/PE DE 1,5MM</v>
      </c>
      <c r="C24510" s="2" t="str">
        <f>"UN"</f>
        <v>UN</v>
      </c>
      <c r="D24510" s="7">
        <v>915</v>
      </c>
      <c r="E24510" s="3">
        <v>10</v>
      </c>
      <c r="F24510" s="3">
        <v>10</v>
      </c>
      <c r="G24510" t="s">
        <v>512</v>
      </c>
    </row>
    <row r="24511" spans="1:7" x14ac:dyDescent="0.25">
      <c r="A24511" s="1" t="str">
        <f>"518380"</f>
        <v>518380</v>
      </c>
      <c r="B24511" s="2" t="str">
        <f>"TUBO C/C INOX 304 OD 2"" PE/PI DE 1,5MM"</f>
        <v>TUBO C/C INOX 304 OD 2" PE/PI DE 1,5MM</v>
      </c>
      <c r="C24511" s="2" t="str">
        <f t="shared" ref="C24511:C24518" si="961">"BR"</f>
        <v>BR</v>
      </c>
      <c r="D24511" s="7">
        <v>807</v>
      </c>
      <c r="E24511" s="3">
        <v>10</v>
      </c>
      <c r="F24511" s="3">
        <v>10</v>
      </c>
      <c r="G24511" t="s">
        <v>513</v>
      </c>
    </row>
    <row r="24512" spans="1:7" x14ac:dyDescent="0.25">
      <c r="A24512" s="1" t="str">
        <f>"502028"</f>
        <v>502028</v>
      </c>
      <c r="B24512" s="2" t="str">
        <f>"TUBO C/C INOX 304 OD 2"" PE/PI PAREDE DE 1,2MM."</f>
        <v>TUBO C/C INOX 304 OD 2" PE/PI PAREDE DE 1,2MM.</v>
      </c>
      <c r="C24512" s="2" t="str">
        <f t="shared" si="961"/>
        <v>BR</v>
      </c>
      <c r="D24512" s="7">
        <v>807</v>
      </c>
      <c r="E24512" s="3">
        <v>10</v>
      </c>
      <c r="F24512" s="3">
        <v>10</v>
      </c>
      <c r="G24512" t="s">
        <v>514</v>
      </c>
    </row>
    <row r="24513" spans="1:7" x14ac:dyDescent="0.25">
      <c r="A24513" s="1" t="str">
        <f>"501325"</f>
        <v>501325</v>
      </c>
      <c r="B24513" s="2" t="str">
        <f>"TUBO C/C INOX 304 OD 3"" PAREDE 1,2MM"</f>
        <v>TUBO C/C INOX 304 OD 3" PAREDE 1,2MM</v>
      </c>
      <c r="C24513" s="2" t="str">
        <f t="shared" si="961"/>
        <v>BR</v>
      </c>
      <c r="D24513" s="7">
        <v>807</v>
      </c>
      <c r="E24513" s="3">
        <v>10</v>
      </c>
      <c r="F24513" s="3">
        <v>10</v>
      </c>
      <c r="G24513" t="s">
        <v>514</v>
      </c>
    </row>
    <row r="24514" spans="1:7" x14ac:dyDescent="0.25">
      <c r="A24514" s="1" t="str">
        <f>"513017"</f>
        <v>513017</v>
      </c>
      <c r="B24514" s="2" t="str">
        <f>"TUBO C/C INOX 304 OD 3"" PAREDE 1,2MM DECAPADO"</f>
        <v>TUBO C/C INOX 304 OD 3" PAREDE 1,2MM DECAPADO</v>
      </c>
      <c r="C24514" s="2" t="str">
        <f t="shared" si="961"/>
        <v>BR</v>
      </c>
      <c r="D24514" s="7">
        <v>807</v>
      </c>
      <c r="E24514" s="3">
        <v>10</v>
      </c>
      <c r="F24514" s="3">
        <v>10</v>
      </c>
      <c r="G24514" t="s">
        <v>512</v>
      </c>
    </row>
    <row r="24515" spans="1:7" x14ac:dyDescent="0.25">
      <c r="A24515" s="1" t="str">
        <f>"518832"</f>
        <v>518832</v>
      </c>
      <c r="B24515" s="2" t="str">
        <f>"TUBO C/C INOX 304 OD 3"" PAREDE 1,5MM PI/PE"</f>
        <v>TUBO C/C INOX 304 OD 3" PAREDE 1,5MM PI/PE</v>
      </c>
      <c r="C24515" s="2" t="str">
        <f t="shared" si="961"/>
        <v>BR</v>
      </c>
      <c r="D24515" s="7">
        <v>807</v>
      </c>
      <c r="E24515" s="3">
        <v>10</v>
      </c>
      <c r="F24515" s="3">
        <v>10</v>
      </c>
      <c r="G24515" t="s">
        <v>513</v>
      </c>
    </row>
    <row r="24516" spans="1:7" x14ac:dyDescent="0.25">
      <c r="A24516" s="1" t="str">
        <f>"523393"</f>
        <v>523393</v>
      </c>
      <c r="B24516" s="2" t="str">
        <f>"TUBO C/C INOX 304 OD 3"" PAREDE 2MM PI/PE"</f>
        <v>TUBO C/C INOX 304 OD 3" PAREDE 2MM PI/PE</v>
      </c>
      <c r="C24516" s="2" t="str">
        <f t="shared" si="961"/>
        <v>BR</v>
      </c>
      <c r="D24516" s="7">
        <v>807</v>
      </c>
      <c r="E24516" s="3">
        <v>10</v>
      </c>
      <c r="F24516" s="3">
        <v>10</v>
      </c>
      <c r="G24516" t="s">
        <v>514</v>
      </c>
    </row>
    <row r="24517" spans="1:7" x14ac:dyDescent="0.25">
      <c r="A24517" s="1" t="str">
        <f>"505188"</f>
        <v>505188</v>
      </c>
      <c r="B24517" s="2" t="str">
        <f>"TUBO C/C INOX 304 OD 3.1/2"""</f>
        <v>TUBO C/C INOX 304 OD 3.1/2"</v>
      </c>
      <c r="C24517" s="2" t="str">
        <f t="shared" si="961"/>
        <v>BR</v>
      </c>
      <c r="D24517" s="7">
        <v>807</v>
      </c>
      <c r="E24517" s="3">
        <v>10</v>
      </c>
      <c r="F24517" s="3">
        <v>10</v>
      </c>
      <c r="G24517" t="s">
        <v>514</v>
      </c>
    </row>
    <row r="24518" spans="1:7" x14ac:dyDescent="0.25">
      <c r="A24518" s="1" t="str">
        <f>"505012"</f>
        <v>505012</v>
      </c>
      <c r="B24518" s="2" t="str">
        <f>"TUBO C/C INOX 304 OD 4"" PI/PE 2,0MM"</f>
        <v>TUBO C/C INOX 304 OD 4" PI/PE 2,0MM</v>
      </c>
      <c r="C24518" s="2" t="str">
        <f t="shared" si="961"/>
        <v>BR</v>
      </c>
      <c r="D24518" s="7">
        <v>807</v>
      </c>
      <c r="E24518" s="3">
        <v>10</v>
      </c>
      <c r="F24518" s="3">
        <v>10</v>
      </c>
      <c r="G24518" t="s">
        <v>514</v>
      </c>
    </row>
    <row r="24519" spans="1:7" x14ac:dyDescent="0.25">
      <c r="A24519" s="1" t="str">
        <f>"517609"</f>
        <v>517609</v>
      </c>
      <c r="B24519" s="2" t="str">
        <f>"TUBO C/C INOX 304 OD 4"" PI/PE 2MM OD"</f>
        <v>TUBO C/C INOX 304 OD 4" PI/PE 2MM OD</v>
      </c>
      <c r="C24519" s="2" t="str">
        <f>"UN"</f>
        <v>UN</v>
      </c>
      <c r="D24519" s="7">
        <v>915</v>
      </c>
      <c r="E24519" s="3">
        <v>10</v>
      </c>
      <c r="F24519" s="3">
        <v>10</v>
      </c>
      <c r="G24519" t="s">
        <v>513</v>
      </c>
    </row>
    <row r="24520" spans="1:7" x14ac:dyDescent="0.25">
      <c r="A24520" s="1" t="str">
        <f>"523164"</f>
        <v>523164</v>
      </c>
      <c r="B24520" s="2" t="str">
        <f>"TUBO C/C INOX 304 OD 6"" PAREDE 1,5MM PI/PE"</f>
        <v>TUBO C/C INOX 304 OD 6" PAREDE 1,5MM PI/PE</v>
      </c>
      <c r="C24520" s="2" t="str">
        <f>"BR"</f>
        <v>BR</v>
      </c>
      <c r="D24520" s="7">
        <v>807</v>
      </c>
      <c r="E24520" s="3">
        <v>10</v>
      </c>
      <c r="F24520" s="3">
        <v>10</v>
      </c>
      <c r="G24520" t="s">
        <v>512</v>
      </c>
    </row>
    <row r="24521" spans="1:7" x14ac:dyDescent="0.25">
      <c r="A24521" s="1" t="str">
        <f>"511964"</f>
        <v>511964</v>
      </c>
      <c r="B24521" s="2" t="str">
        <f>"TUBO C/C INOX 304 OD 6"" PI INOX 314L - OD"</f>
        <v>TUBO C/C INOX 304 OD 6" PI INOX 314L - OD</v>
      </c>
      <c r="C24521" s="2" t="str">
        <f>"BR"</f>
        <v>BR</v>
      </c>
      <c r="D24521" s="7">
        <v>807</v>
      </c>
      <c r="E24521" s="3">
        <v>10</v>
      </c>
      <c r="F24521" s="3">
        <v>10</v>
      </c>
      <c r="G24521" t="s">
        <v>513</v>
      </c>
    </row>
    <row r="24522" spans="1:7" x14ac:dyDescent="0.25">
      <c r="A24522" s="1" t="str">
        <f>"502745"</f>
        <v>502745</v>
      </c>
      <c r="B24522" s="2" t="str">
        <f>"TUBO C/C INOX 304 OD 8"" 2MM"</f>
        <v>TUBO C/C INOX 304 OD 8" 2MM</v>
      </c>
      <c r="C24522" s="2" t="str">
        <f>"BR"</f>
        <v>BR</v>
      </c>
      <c r="D24522" s="7">
        <v>807</v>
      </c>
      <c r="E24522" s="3">
        <v>10</v>
      </c>
      <c r="F24522" s="3">
        <v>10</v>
      </c>
      <c r="G24522" t="s">
        <v>514</v>
      </c>
    </row>
    <row r="24523" spans="1:7" x14ac:dyDescent="0.25">
      <c r="A24523" s="1" t="str">
        <f>"503724"</f>
        <v>503724</v>
      </c>
      <c r="B24523" s="2" t="str">
        <f>"TUBO C/C INOX 304 OD DE 3"""</f>
        <v>TUBO C/C INOX 304 OD DE 3"</v>
      </c>
      <c r="C24523" s="2" t="str">
        <f>"BR"</f>
        <v>BR</v>
      </c>
      <c r="D24523" s="7">
        <v>807</v>
      </c>
      <c r="E24523" s="3">
        <v>10</v>
      </c>
      <c r="F24523" s="3">
        <v>10</v>
      </c>
      <c r="G24523" t="s">
        <v>514</v>
      </c>
    </row>
    <row r="24524" spans="1:7" x14ac:dyDescent="0.25">
      <c r="A24524" s="1" t="str">
        <f>"526708"</f>
        <v>526708</v>
      </c>
      <c r="B24524" s="2" t="str">
        <f>"TUBO C/C INOX 304 SCH10 4"""</f>
        <v>TUBO C/C INOX 304 SCH10 4"</v>
      </c>
      <c r="C24524" s="2" t="str">
        <f>"UN"</f>
        <v>UN</v>
      </c>
      <c r="D24524" s="7">
        <v>807</v>
      </c>
      <c r="E24524" s="3">
        <v>13</v>
      </c>
      <c r="F24524" s="3">
        <v>13</v>
      </c>
      <c r="G24524" t="s">
        <v>514</v>
      </c>
    </row>
    <row r="24525" spans="1:7" x14ac:dyDescent="0.25">
      <c r="A24525" s="1" t="str">
        <f>"525026"</f>
        <v>525026</v>
      </c>
      <c r="B24525" s="2" t="str">
        <f>"TUBO C/C INOX 304 SCH40 4"""</f>
        <v>TUBO C/C INOX 304 SCH40 4"</v>
      </c>
      <c r="C24525" s="2" t="str">
        <f>"BR"</f>
        <v>BR</v>
      </c>
      <c r="D24525" s="7">
        <v>807</v>
      </c>
      <c r="E24525" s="3">
        <v>10</v>
      </c>
      <c r="F24525" s="3">
        <v>10</v>
      </c>
      <c r="G24525" t="s">
        <v>513</v>
      </c>
    </row>
    <row r="24526" spans="1:7" x14ac:dyDescent="0.25">
      <c r="A24526" s="1" t="str">
        <f>"527862"</f>
        <v>527862</v>
      </c>
      <c r="B24526" s="2" t="str">
        <f>"TUBO C/C INOX LINHA 200 OD 1"" PE 3,0MM"</f>
        <v>TUBO C/C INOX LINHA 200 OD 1" PE 3,0MM</v>
      </c>
      <c r="C24526" s="2" t="str">
        <f>"BR"</f>
        <v>BR</v>
      </c>
      <c r="D24526" s="7">
        <v>807</v>
      </c>
      <c r="E24526" s="3">
        <v>10</v>
      </c>
      <c r="F24526" s="3">
        <v>10</v>
      </c>
      <c r="G24526" t="s">
        <v>513</v>
      </c>
    </row>
    <row r="24527" spans="1:7" x14ac:dyDescent="0.25">
      <c r="A24527" s="1" t="str">
        <f>"527922"</f>
        <v>527922</v>
      </c>
      <c r="B24527" s="2" t="str">
        <f>"TUBO C/C INOX LINHA 200 OD 3"" PE 1,2MM"</f>
        <v>TUBO C/C INOX LINHA 200 OD 3" PE 1,2MM</v>
      </c>
      <c r="C24527" s="2" t="str">
        <f>"BR"</f>
        <v>BR</v>
      </c>
      <c r="D24527" s="7">
        <v>807</v>
      </c>
      <c r="E24527" s="3">
        <v>10</v>
      </c>
      <c r="F24527" s="3">
        <v>10</v>
      </c>
      <c r="G24527" t="s">
        <v>513</v>
      </c>
    </row>
    <row r="24528" spans="1:7" x14ac:dyDescent="0.25">
      <c r="A24528" s="1" t="str">
        <f>"527859"</f>
        <v>527859</v>
      </c>
      <c r="B24528" s="2" t="str">
        <f>"TUBO C/C INOX LINHA 200 OD 4"" PE 1,5MM"</f>
        <v>TUBO C/C INOX LINHA 200 OD 4" PE 1,5MM</v>
      </c>
      <c r="C24528" s="2" t="str">
        <f>"BR"</f>
        <v>BR</v>
      </c>
      <c r="D24528" s="7">
        <v>807</v>
      </c>
      <c r="E24528" s="3">
        <v>10</v>
      </c>
      <c r="F24528" s="3">
        <v>10</v>
      </c>
      <c r="G24528" t="s">
        <v>512</v>
      </c>
    </row>
    <row r="24529" spans="1:7" x14ac:dyDescent="0.25">
      <c r="A24529" s="1" t="str">
        <f>"507806"</f>
        <v>507806</v>
      </c>
      <c r="B24529" s="2" t="str">
        <f>"TUBO CAPILAR 0,36MM ROLO C/ 3MT"</f>
        <v>TUBO CAPILAR 0,36MM ROLO C/ 3MT</v>
      </c>
      <c r="C24529" s="2" t="str">
        <f>"UN"</f>
        <v>UN</v>
      </c>
      <c r="D24529" s="7">
        <v>916</v>
      </c>
      <c r="E24529" s="3">
        <v>11</v>
      </c>
      <c r="F24529" s="3">
        <v>11</v>
      </c>
      <c r="G24529" t="s">
        <v>513</v>
      </c>
    </row>
    <row r="24530" spans="1:7" x14ac:dyDescent="0.25">
      <c r="A24530" s="1" t="str">
        <f>"507807"</f>
        <v>507807</v>
      </c>
      <c r="B24530" s="2" t="str">
        <f>"TUBO CAPILAR 0,42MM ROLO C/ 3MT"</f>
        <v>TUBO CAPILAR 0,42MM ROLO C/ 3MT</v>
      </c>
      <c r="C24530" s="2" t="str">
        <f>"UN"</f>
        <v>UN</v>
      </c>
      <c r="D24530" s="7">
        <v>916</v>
      </c>
      <c r="E24530" s="3">
        <v>11</v>
      </c>
      <c r="F24530" s="3">
        <v>11</v>
      </c>
      <c r="G24530" t="s">
        <v>514</v>
      </c>
    </row>
    <row r="24531" spans="1:7" x14ac:dyDescent="0.25">
      <c r="A24531" s="1" t="str">
        <f>"501175"</f>
        <v>501175</v>
      </c>
      <c r="B24531" s="2" t="str">
        <f>"TUBO CELERON DINIEPER COD.E8199-42004"</f>
        <v>TUBO CELERON DINIEPER COD.E8199-42004</v>
      </c>
      <c r="C24531" s="2" t="str">
        <f>"UN"</f>
        <v>UN</v>
      </c>
      <c r="D24531" s="7">
        <v>913</v>
      </c>
      <c r="E24531" s="3">
        <v>11</v>
      </c>
      <c r="F24531" s="3">
        <v>11</v>
      </c>
      <c r="G24531" t="s">
        <v>515</v>
      </c>
    </row>
    <row r="24532" spans="1:7" x14ac:dyDescent="0.25">
      <c r="A24532" s="1" t="str">
        <f>"505749"</f>
        <v>505749</v>
      </c>
      <c r="B24532" s="2" t="str">
        <f>"TUBO COMPRESSOR"</f>
        <v>TUBO COMPRESSOR</v>
      </c>
      <c r="C24532" s="2" t="str">
        <f>"UN"</f>
        <v>UN</v>
      </c>
      <c r="D24532" s="7">
        <v>704</v>
      </c>
      <c r="E24532" s="3">
        <v>9</v>
      </c>
      <c r="F24532" s="3">
        <v>9</v>
      </c>
      <c r="G24532" t="s">
        <v>512</v>
      </c>
    </row>
    <row r="24533" spans="1:7" x14ac:dyDescent="0.25">
      <c r="A24533" s="1" t="str">
        <f>"513919"</f>
        <v>513919</v>
      </c>
      <c r="B24533" s="2" t="str">
        <f>"TUBO CONCRETO VIB PRÉ MOLDADO 0,30 X 1,00 MF SP"</f>
        <v>TUBO CONCRETO VIB PRÉ MOLDADO 0,30 X 1,00 MF SP</v>
      </c>
      <c r="C24533" s="2" t="str">
        <f>"UN"</f>
        <v>UN</v>
      </c>
      <c r="D24533" s="7">
        <v>917</v>
      </c>
      <c r="E24533" s="3">
        <v>10</v>
      </c>
      <c r="F24533" s="3">
        <v>10</v>
      </c>
      <c r="G24533" t="s">
        <v>516</v>
      </c>
    </row>
    <row r="24534" spans="1:7" x14ac:dyDescent="0.25">
      <c r="A24534" s="1" t="str">
        <f>"519604"</f>
        <v>519604</v>
      </c>
      <c r="B24534" s="2" t="str">
        <f>"TUBO CONCRETO VIB PRÉ MOLDADO 0,30 X 1,50"</f>
        <v>TUBO CONCRETO VIB PRÉ MOLDADO 0,30 X 1,50</v>
      </c>
      <c r="C24534" s="2" t="str">
        <f>"MT"</f>
        <v>MT</v>
      </c>
      <c r="D24534" s="7">
        <v>917</v>
      </c>
      <c r="E24534" s="3">
        <v>10</v>
      </c>
      <c r="F24534" s="3">
        <v>10</v>
      </c>
      <c r="G24534" t="s">
        <v>515</v>
      </c>
    </row>
    <row r="24535" spans="1:7" x14ac:dyDescent="0.25">
      <c r="A24535" s="1" t="str">
        <f>"517191"</f>
        <v>517191</v>
      </c>
      <c r="B24535" s="2" t="str">
        <f>"TUBO CONCRETO VIB PRÉ MOLDADO 0,50 X 1,50-PB-PS1"</f>
        <v>TUBO CONCRETO VIB PRÉ MOLDADO 0,50 X 1,50-PB-PS1</v>
      </c>
      <c r="C24535" s="2" t="str">
        <f>"UN"</f>
        <v>UN</v>
      </c>
      <c r="D24535" s="7">
        <v>917</v>
      </c>
      <c r="E24535" s="3">
        <v>10</v>
      </c>
      <c r="F24535" s="3">
        <v>10</v>
      </c>
      <c r="G24535" t="s">
        <v>514</v>
      </c>
    </row>
    <row r="24536" spans="1:7" x14ac:dyDescent="0.25">
      <c r="A24536" s="1" t="str">
        <f>"517190"</f>
        <v>517190</v>
      </c>
      <c r="B24536" s="2" t="str">
        <f>"TUBO CONCRETO VIB PRÉ MOLDADO 0,80 X 1,50-PB-PA1"</f>
        <v>TUBO CONCRETO VIB PRÉ MOLDADO 0,80 X 1,50-PB-PA1</v>
      </c>
      <c r="C24536" s="2" t="str">
        <f>"UN"</f>
        <v>UN</v>
      </c>
      <c r="D24536" s="7">
        <v>917</v>
      </c>
      <c r="E24536" s="3">
        <v>10</v>
      </c>
      <c r="F24536" s="3">
        <v>10</v>
      </c>
      <c r="G24536" t="s">
        <v>512</v>
      </c>
    </row>
    <row r="24537" spans="1:7" x14ac:dyDescent="0.25">
      <c r="A24537" s="1" t="str">
        <f>"506192"</f>
        <v>506192</v>
      </c>
      <c r="B24537" s="2" t="str">
        <f>"TUBO CONCRETO VIB PRE MOLDADO 1,00X1,50"</f>
        <v>TUBO CONCRETO VIB PRE MOLDADO 1,00X1,50</v>
      </c>
      <c r="C24537" s="2" t="str">
        <f>"BR"</f>
        <v>BR</v>
      </c>
      <c r="D24537" s="7">
        <v>809</v>
      </c>
      <c r="E24537" s="3">
        <v>10</v>
      </c>
      <c r="F24537" s="3">
        <v>10</v>
      </c>
      <c r="G24537" t="s">
        <v>513</v>
      </c>
    </row>
    <row r="24538" spans="1:7" x14ac:dyDescent="0.25">
      <c r="A24538" s="1" t="str">
        <f>"516369"</f>
        <v>516369</v>
      </c>
      <c r="B24538" s="2" t="str">
        <f>"TUBO CONCRETO VIB PRE MOLDADO 1000 X 600MM"</f>
        <v>TUBO CONCRETO VIB PRE MOLDADO 1000 X 600MM</v>
      </c>
      <c r="C24538" s="2" t="str">
        <f>"UN"</f>
        <v>UN</v>
      </c>
      <c r="D24538" s="7">
        <v>809</v>
      </c>
      <c r="E24538" s="3">
        <v>10</v>
      </c>
      <c r="F24538" s="3">
        <v>10</v>
      </c>
      <c r="G24538" t="s">
        <v>514</v>
      </c>
    </row>
    <row r="24539" spans="1:7" x14ac:dyDescent="0.25">
      <c r="A24539" s="1" t="str">
        <f>"516236"</f>
        <v>516236</v>
      </c>
      <c r="B24539" s="2" t="str">
        <f>"TUBO CONCRETO VIB PRE MOLDADO 1000MM X 1500MM"</f>
        <v>TUBO CONCRETO VIB PRE MOLDADO 1000MM X 1500MM</v>
      </c>
      <c r="C24539" s="2" t="str">
        <f>"UN"</f>
        <v>UN</v>
      </c>
      <c r="D24539" s="7">
        <v>912</v>
      </c>
      <c r="E24539" s="3">
        <v>8</v>
      </c>
      <c r="F24539" s="3">
        <v>8</v>
      </c>
      <c r="G24539" t="s">
        <v>514</v>
      </c>
    </row>
    <row r="24540" spans="1:7" x14ac:dyDescent="0.25">
      <c r="A24540" s="1" t="str">
        <f>"523840"</f>
        <v>523840</v>
      </c>
      <c r="B24540" s="2" t="str">
        <f>"TUBO CRIOSCOPIO PZL"</f>
        <v>TUBO CRIOSCOPIO PZL</v>
      </c>
      <c r="C24540" s="2" t="str">
        <f>"UN"</f>
        <v>UN</v>
      </c>
      <c r="D24540" s="7">
        <v>99999</v>
      </c>
      <c r="E24540" s="3">
        <v>99</v>
      </c>
      <c r="F24540" s="3">
        <v>99</v>
      </c>
      <c r="G24540" t="s">
        <v>512</v>
      </c>
    </row>
    <row r="24541" spans="1:7" x14ac:dyDescent="0.25">
      <c r="A24541" s="1" t="str">
        <f>"524556"</f>
        <v>524556</v>
      </c>
      <c r="B24541" s="2" t="str">
        <f>"TUBO CROMADO DE LIGAÇÃO 30CM X 40MM"</f>
        <v>TUBO CROMADO DE LIGAÇÃO 30CM X 40MM</v>
      </c>
      <c r="C24541" s="2" t="str">
        <f>"UN"</f>
        <v>UN</v>
      </c>
      <c r="D24541" s="7">
        <v>917</v>
      </c>
      <c r="E24541" s="3">
        <v>10</v>
      </c>
      <c r="F24541" s="3">
        <v>10</v>
      </c>
      <c r="G24541" t="s">
        <v>513</v>
      </c>
    </row>
    <row r="24542" spans="1:7" x14ac:dyDescent="0.25">
      <c r="A24542" s="1" t="str">
        <f>"503944"</f>
        <v>503944</v>
      </c>
      <c r="B24542" s="2" t="str">
        <f>"TUBO DE ACO INOX 1/8""INTERNO 3MM"</f>
        <v>TUBO DE ACO INOX 1/8"INTERNO 3MM</v>
      </c>
      <c r="C24542" s="2" t="str">
        <f>"BR"</f>
        <v>BR</v>
      </c>
      <c r="D24542" s="7">
        <v>807</v>
      </c>
      <c r="E24542" s="3">
        <v>10</v>
      </c>
      <c r="F24542" s="3">
        <v>10</v>
      </c>
      <c r="G24542" t="s">
        <v>514</v>
      </c>
    </row>
    <row r="24543" spans="1:7" x14ac:dyDescent="0.25">
      <c r="A24543" s="1" t="str">
        <f>"502869"</f>
        <v>502869</v>
      </c>
      <c r="B24543" s="2" t="str">
        <f>"TUBO DE AGUA DO CABEÇOTE"</f>
        <v>TUBO DE AGUA DO CABEÇOTE</v>
      </c>
      <c r="C24543" s="2" t="str">
        <f t="shared" ref="C24543:C24555" si="962">"UN"</f>
        <v>UN</v>
      </c>
      <c r="D24543" s="7">
        <v>704</v>
      </c>
      <c r="E24543" s="3">
        <v>9</v>
      </c>
      <c r="F24543" s="3">
        <v>9</v>
      </c>
      <c r="G24543" t="s">
        <v>514</v>
      </c>
    </row>
    <row r="24544" spans="1:7" x14ac:dyDescent="0.25">
      <c r="A24544" s="1" t="str">
        <f>"502393"</f>
        <v>502393</v>
      </c>
      <c r="B24544" s="2" t="str">
        <f>"TUBO DE AR"</f>
        <v>TUBO DE AR</v>
      </c>
      <c r="C24544" s="2" t="str">
        <f t="shared" si="962"/>
        <v>UN</v>
      </c>
      <c r="D24544" s="7">
        <v>704</v>
      </c>
      <c r="E24544" s="3">
        <v>9</v>
      </c>
      <c r="F24544" s="3">
        <v>9</v>
      </c>
      <c r="G24544" t="s">
        <v>514</v>
      </c>
    </row>
    <row r="24545" spans="1:7" x14ac:dyDescent="0.25">
      <c r="A24545" s="1" t="str">
        <f>"503249"</f>
        <v>503249</v>
      </c>
      <c r="B24545" s="2" t="str">
        <f>"TUBO DE COBRE 1/2"""</f>
        <v>TUBO DE COBRE 1/2"</v>
      </c>
      <c r="C24545" s="2" t="str">
        <f t="shared" si="962"/>
        <v>UN</v>
      </c>
      <c r="D24545" s="7">
        <v>818</v>
      </c>
      <c r="E24545" s="3">
        <v>10</v>
      </c>
      <c r="F24545" s="3">
        <v>10</v>
      </c>
      <c r="G24545" t="s">
        <v>513</v>
      </c>
    </row>
    <row r="24546" spans="1:7" x14ac:dyDescent="0.25">
      <c r="A24546" s="1" t="str">
        <f>"503252"</f>
        <v>503252</v>
      </c>
      <c r="B24546" s="2" t="str">
        <f>"TUBO DE COBRE 1/4"""</f>
        <v>TUBO DE COBRE 1/4"</v>
      </c>
      <c r="C24546" s="2" t="str">
        <f t="shared" si="962"/>
        <v>UN</v>
      </c>
      <c r="D24546" s="7">
        <v>818</v>
      </c>
      <c r="E24546" s="3">
        <v>10</v>
      </c>
      <c r="F24546" s="3">
        <v>10</v>
      </c>
      <c r="G24546" t="s">
        <v>512</v>
      </c>
    </row>
    <row r="24547" spans="1:7" x14ac:dyDescent="0.25">
      <c r="A24547" s="1" t="str">
        <f>"505305"</f>
        <v>505305</v>
      </c>
      <c r="B24547" s="2" t="str">
        <f>"TUBO DE COBRE 1/8"""</f>
        <v>TUBO DE COBRE 1/8"</v>
      </c>
      <c r="C24547" s="2" t="str">
        <f t="shared" si="962"/>
        <v>UN</v>
      </c>
      <c r="D24547" s="7">
        <v>818</v>
      </c>
      <c r="E24547" s="3">
        <v>10</v>
      </c>
      <c r="F24547" s="3">
        <v>10</v>
      </c>
      <c r="G24547" t="s">
        <v>513</v>
      </c>
    </row>
    <row r="24548" spans="1:7" x14ac:dyDescent="0.25">
      <c r="A24548" s="1" t="str">
        <f>"505304"</f>
        <v>505304</v>
      </c>
      <c r="B24548" s="2" t="str">
        <f>"TUBO DE COBRE 3/16"""</f>
        <v>TUBO DE COBRE 3/16"</v>
      </c>
      <c r="C24548" s="2" t="str">
        <f t="shared" si="962"/>
        <v>UN</v>
      </c>
      <c r="D24548" s="7">
        <v>818</v>
      </c>
      <c r="E24548" s="3">
        <v>10</v>
      </c>
      <c r="F24548" s="3">
        <v>10</v>
      </c>
      <c r="G24548" t="s">
        <v>514</v>
      </c>
    </row>
    <row r="24549" spans="1:7" x14ac:dyDescent="0.25">
      <c r="A24549" s="1" t="str">
        <f>"503247"</f>
        <v>503247</v>
      </c>
      <c r="B24549" s="2" t="str">
        <f>"TUBO DE COBRE 3/4"""</f>
        <v>TUBO DE COBRE 3/4"</v>
      </c>
      <c r="C24549" s="2" t="str">
        <f t="shared" si="962"/>
        <v>UN</v>
      </c>
      <c r="D24549" s="7">
        <v>818</v>
      </c>
      <c r="E24549" s="3">
        <v>10</v>
      </c>
      <c r="F24549" s="3">
        <v>10</v>
      </c>
      <c r="G24549" t="s">
        <v>514</v>
      </c>
    </row>
    <row r="24550" spans="1:7" x14ac:dyDescent="0.25">
      <c r="A24550" s="1" t="str">
        <f>"503250"</f>
        <v>503250</v>
      </c>
      <c r="B24550" s="2" t="str">
        <f>"TUBO DE COBRE 3/8"""</f>
        <v>TUBO DE COBRE 3/8"</v>
      </c>
      <c r="C24550" s="2" t="str">
        <f t="shared" si="962"/>
        <v>UN</v>
      </c>
      <c r="D24550" s="7">
        <v>818</v>
      </c>
      <c r="E24550" s="3">
        <v>10</v>
      </c>
      <c r="F24550" s="3">
        <v>10</v>
      </c>
      <c r="G24550" t="s">
        <v>514</v>
      </c>
    </row>
    <row r="24551" spans="1:7" x14ac:dyDescent="0.25">
      <c r="A24551" s="1" t="str">
        <f>"503251"</f>
        <v>503251</v>
      </c>
      <c r="B24551" s="2" t="str">
        <f>"TUBO DE COBRE 5/16"""</f>
        <v>TUBO DE COBRE 5/16"</v>
      </c>
      <c r="C24551" s="2" t="str">
        <f t="shared" si="962"/>
        <v>UN</v>
      </c>
      <c r="D24551" s="7">
        <v>818</v>
      </c>
      <c r="E24551" s="3">
        <v>10</v>
      </c>
      <c r="F24551" s="3">
        <v>10</v>
      </c>
      <c r="G24551" t="s">
        <v>513</v>
      </c>
    </row>
    <row r="24552" spans="1:7" x14ac:dyDescent="0.25">
      <c r="A24552" s="1" t="str">
        <f>"503248"</f>
        <v>503248</v>
      </c>
      <c r="B24552" s="2" t="str">
        <f>"TUBO DE COBRE 5/8"""</f>
        <v>TUBO DE COBRE 5/8"</v>
      </c>
      <c r="C24552" s="2" t="str">
        <f t="shared" si="962"/>
        <v>UN</v>
      </c>
      <c r="D24552" s="7">
        <v>818</v>
      </c>
      <c r="E24552" s="3">
        <v>10</v>
      </c>
      <c r="F24552" s="3">
        <v>10</v>
      </c>
      <c r="G24552" t="s">
        <v>513</v>
      </c>
    </row>
    <row r="24553" spans="1:7" x14ac:dyDescent="0.25">
      <c r="A24553" s="1" t="str">
        <f>"513092"</f>
        <v>513092</v>
      </c>
      <c r="B24553" s="2" t="str">
        <f>"TUBO DE COBRE 7/8"""</f>
        <v>TUBO DE COBRE 7/8"</v>
      </c>
      <c r="C24553" s="2" t="str">
        <f t="shared" si="962"/>
        <v>UN</v>
      </c>
      <c r="D24553" s="7">
        <v>818</v>
      </c>
      <c r="E24553" s="3">
        <v>10</v>
      </c>
      <c r="F24553" s="3">
        <v>10</v>
      </c>
      <c r="G24553" t="s">
        <v>513</v>
      </c>
    </row>
    <row r="24554" spans="1:7" x14ac:dyDescent="0.25">
      <c r="A24554" s="1" t="str">
        <f>"504998"</f>
        <v>504998</v>
      </c>
      <c r="B24554" s="2" t="str">
        <f>"TUBO DE DESCARGA 24220/2000"</f>
        <v>TUBO DE DESCARGA 24220/2000</v>
      </c>
      <c r="C24554" s="2" t="str">
        <f t="shared" si="962"/>
        <v>UN</v>
      </c>
      <c r="D24554" s="7">
        <v>704</v>
      </c>
      <c r="E24554" s="3">
        <v>9</v>
      </c>
      <c r="F24554" s="3">
        <v>9</v>
      </c>
      <c r="G24554" t="s">
        <v>512</v>
      </c>
    </row>
    <row r="24555" spans="1:7" x14ac:dyDescent="0.25">
      <c r="A24555" s="1" t="str">
        <f>"524749"</f>
        <v>524749</v>
      </c>
      <c r="B24555" s="2" t="str">
        <f>"TUBO DE DRENAGEM L773101 SPX"</f>
        <v>TUBO DE DRENAGEM L773101 SPX</v>
      </c>
      <c r="C24555" s="2" t="str">
        <f t="shared" si="962"/>
        <v>UN</v>
      </c>
      <c r="D24555" s="7">
        <v>807</v>
      </c>
      <c r="E24555" s="3">
        <v>11</v>
      </c>
      <c r="F24555" s="3">
        <v>11</v>
      </c>
      <c r="G24555" t="s">
        <v>513</v>
      </c>
    </row>
    <row r="24556" spans="1:7" x14ac:dyDescent="0.25">
      <c r="A24556" s="1" t="str">
        <f>"508977"</f>
        <v>508977</v>
      </c>
      <c r="B24556" s="2" t="str">
        <f>"TUBO DE ENSAIO 13 X 100 - 09ML"</f>
        <v>TUBO DE ENSAIO 13 X 100 - 09ML</v>
      </c>
      <c r="C24556" s="2" t="str">
        <f>"PC"</f>
        <v>PC</v>
      </c>
      <c r="D24556" s="7">
        <v>406</v>
      </c>
      <c r="E24556" s="3">
        <v>4</v>
      </c>
      <c r="F24556" s="3">
        <v>4</v>
      </c>
      <c r="G24556" t="s">
        <v>514</v>
      </c>
    </row>
    <row r="24557" spans="1:7" x14ac:dyDescent="0.25">
      <c r="A24557" s="1" t="str">
        <f>"504977"</f>
        <v>504977</v>
      </c>
      <c r="B24557" s="2" t="str">
        <f>"TUBO DE FIXACAO"</f>
        <v>TUBO DE FIXACAO</v>
      </c>
      <c r="C24557" s="2" t="str">
        <f>"UN"</f>
        <v>UN</v>
      </c>
      <c r="D24557" s="7">
        <v>704</v>
      </c>
      <c r="E24557" s="3">
        <v>9</v>
      </c>
      <c r="F24557" s="3">
        <v>9</v>
      </c>
      <c r="G24557" t="s">
        <v>515</v>
      </c>
    </row>
    <row r="24558" spans="1:7" x14ac:dyDescent="0.25">
      <c r="A24558" s="1" t="str">
        <f>"503723"</f>
        <v>503723</v>
      </c>
      <c r="B24558" s="2" t="str">
        <f>"TUBO DE INOX 3"""</f>
        <v>TUBO DE INOX 3"</v>
      </c>
      <c r="C24558" s="2" t="str">
        <f>"BR"</f>
        <v>BR</v>
      </c>
      <c r="D24558" s="7">
        <v>807</v>
      </c>
      <c r="E24558" s="3">
        <v>10</v>
      </c>
      <c r="F24558" s="3">
        <v>10</v>
      </c>
      <c r="G24558" t="s">
        <v>512</v>
      </c>
    </row>
    <row r="24559" spans="1:7" x14ac:dyDescent="0.25">
      <c r="A24559" s="1" t="str">
        <f>"502781"</f>
        <v>502781</v>
      </c>
      <c r="B24559" s="2" t="str">
        <f>"TUBO DE PRESSAO C"</f>
        <v>TUBO DE PRESSAO C</v>
      </c>
      <c r="C24559" s="2" t="str">
        <f t="shared" ref="C24559:C24569" si="963">"UN"</f>
        <v>UN</v>
      </c>
      <c r="D24559" s="7">
        <v>704</v>
      </c>
      <c r="E24559" s="3">
        <v>9</v>
      </c>
      <c r="F24559" s="3">
        <v>9</v>
      </c>
      <c r="G24559" t="s">
        <v>516</v>
      </c>
    </row>
    <row r="24560" spans="1:7" x14ac:dyDescent="0.25">
      <c r="A24560" s="1" t="str">
        <f>"520840"</f>
        <v>520840</v>
      </c>
      <c r="B24560" s="2" t="str">
        <f>"TUBO DE REFRIGERAÇÃO D4399-54516"</f>
        <v>TUBO DE REFRIGERAÇÃO D4399-54516</v>
      </c>
      <c r="C24560" s="2" t="str">
        <f t="shared" si="963"/>
        <v>UN</v>
      </c>
      <c r="D24560" s="7">
        <v>1300</v>
      </c>
      <c r="E24560" s="3">
        <v>11</v>
      </c>
      <c r="F24560" s="3">
        <v>11</v>
      </c>
      <c r="G24560" t="s">
        <v>515</v>
      </c>
    </row>
    <row r="24561" spans="1:7" x14ac:dyDescent="0.25">
      <c r="A24561" s="1" t="str">
        <f>"514178"</f>
        <v>514178</v>
      </c>
      <c r="B24561" s="2" t="str">
        <f>"TUBO DE TORÇAO"</f>
        <v>TUBO DE TORÇAO</v>
      </c>
      <c r="C24561" s="2" t="str">
        <f t="shared" si="963"/>
        <v>UN</v>
      </c>
      <c r="D24561" s="7">
        <v>704</v>
      </c>
      <c r="E24561" s="3">
        <v>9</v>
      </c>
      <c r="F24561" s="3">
        <v>9</v>
      </c>
      <c r="G24561" t="s">
        <v>514</v>
      </c>
    </row>
    <row r="24562" spans="1:7" x14ac:dyDescent="0.25">
      <c r="A24562" s="1" t="str">
        <f>"505748"</f>
        <v>505748</v>
      </c>
      <c r="B24562" s="2" t="str">
        <f>"TUBO DIANTEIRO"</f>
        <v>TUBO DIANTEIRO</v>
      </c>
      <c r="C24562" s="2" t="str">
        <f t="shared" si="963"/>
        <v>UN</v>
      </c>
      <c r="D24562" s="7">
        <v>704</v>
      </c>
      <c r="E24562" s="3">
        <v>9</v>
      </c>
      <c r="F24562" s="3">
        <v>9</v>
      </c>
      <c r="G24562" t="s">
        <v>512</v>
      </c>
    </row>
    <row r="24563" spans="1:7" x14ac:dyDescent="0.25">
      <c r="A24563" s="1" t="str">
        <f>"524801"</f>
        <v>524801</v>
      </c>
      <c r="B24563" s="2" t="str">
        <f>"TUBO DO HIDRAULICO"</f>
        <v>TUBO DO HIDRAULICO</v>
      </c>
      <c r="C24563" s="2" t="str">
        <f t="shared" si="963"/>
        <v>UN</v>
      </c>
      <c r="D24563" s="7">
        <v>99999</v>
      </c>
      <c r="E24563" s="3">
        <v>99</v>
      </c>
      <c r="F24563" s="3">
        <v>99</v>
      </c>
      <c r="G24563" t="s">
        <v>513</v>
      </c>
    </row>
    <row r="24564" spans="1:7" x14ac:dyDescent="0.25">
      <c r="A24564" s="1" t="str">
        <f>"515559"</f>
        <v>515559</v>
      </c>
      <c r="B24564" s="2" t="str">
        <f>"TUBO DURHAN 7 X 45"</f>
        <v>TUBO DURHAN 7 X 45</v>
      </c>
      <c r="C24564" s="2" t="str">
        <f t="shared" si="963"/>
        <v>UN</v>
      </c>
      <c r="D24564" s="7">
        <v>406</v>
      </c>
      <c r="E24564" s="3">
        <v>4</v>
      </c>
      <c r="F24564" s="3">
        <v>4</v>
      </c>
      <c r="G24564" t="s">
        <v>514</v>
      </c>
    </row>
    <row r="24565" spans="1:7" x14ac:dyDescent="0.25">
      <c r="A24565" s="1" t="str">
        <f>"512007"</f>
        <v>512007</v>
      </c>
      <c r="B24565" s="2" t="str">
        <f>"TUBO ENSAIO 13X100"</f>
        <v>TUBO ENSAIO 13X100</v>
      </c>
      <c r="C24565" s="2" t="str">
        <f t="shared" si="963"/>
        <v>UN</v>
      </c>
      <c r="D24565" s="7">
        <v>402</v>
      </c>
      <c r="E24565" s="3">
        <v>4</v>
      </c>
      <c r="F24565" s="3">
        <v>4</v>
      </c>
      <c r="G24565" t="s">
        <v>514</v>
      </c>
    </row>
    <row r="24566" spans="1:7" x14ac:dyDescent="0.25">
      <c r="A24566" s="1" t="str">
        <f>"519138"</f>
        <v>519138</v>
      </c>
      <c r="B24566" s="2" t="str">
        <f>"TUBO ENSAIO 16X150"</f>
        <v>TUBO ENSAIO 16X150</v>
      </c>
      <c r="C24566" s="2" t="str">
        <f t="shared" si="963"/>
        <v>UN</v>
      </c>
      <c r="D24566" s="7">
        <v>402</v>
      </c>
      <c r="E24566" s="3">
        <v>4</v>
      </c>
      <c r="F24566" s="3">
        <v>4</v>
      </c>
      <c r="G24566" t="s">
        <v>512</v>
      </c>
    </row>
    <row r="24567" spans="1:7" x14ac:dyDescent="0.25">
      <c r="A24567" s="1" t="str">
        <f>"513563"</f>
        <v>513563</v>
      </c>
      <c r="B24567" s="2" t="str">
        <f>"TUBO ENSAIO 16X150 COM TAMPA"</f>
        <v>TUBO ENSAIO 16X150 COM TAMPA</v>
      </c>
      <c r="C24567" s="2" t="str">
        <f t="shared" si="963"/>
        <v>UN</v>
      </c>
      <c r="D24567" s="7">
        <v>402</v>
      </c>
      <c r="E24567" s="3">
        <v>4</v>
      </c>
      <c r="F24567" s="3">
        <v>4</v>
      </c>
      <c r="G24567" t="s">
        <v>513</v>
      </c>
    </row>
    <row r="24568" spans="1:7" x14ac:dyDescent="0.25">
      <c r="A24568" s="1" t="str">
        <f>"523658"</f>
        <v>523658</v>
      </c>
      <c r="B24568" s="2" t="str">
        <f>"TUBO ENSAIO 18X180MM 30ML C/ TAMPA"</f>
        <v>TUBO ENSAIO 18X180MM 30ML C/ TAMPA</v>
      </c>
      <c r="C24568" s="2" t="str">
        <f t="shared" si="963"/>
        <v>UN</v>
      </c>
      <c r="D24568" s="7">
        <v>402</v>
      </c>
      <c r="E24568" s="3">
        <v>4</v>
      </c>
      <c r="F24568" s="3">
        <v>4</v>
      </c>
      <c r="G24568" t="s">
        <v>514</v>
      </c>
    </row>
    <row r="24569" spans="1:7" x14ac:dyDescent="0.25">
      <c r="A24569" s="1" t="str">
        <f>"512006"</f>
        <v>512006</v>
      </c>
      <c r="B24569" s="2" t="str">
        <f>"TUBO ENSAIO 20X200MM 45ML C/ TAMPA"</f>
        <v>TUBO ENSAIO 20X200MM 45ML C/ TAMPA</v>
      </c>
      <c r="C24569" s="2" t="str">
        <f t="shared" si="963"/>
        <v>UN</v>
      </c>
      <c r="D24569" s="7">
        <v>402</v>
      </c>
      <c r="E24569" s="3">
        <v>4</v>
      </c>
      <c r="F24569" s="3">
        <v>4</v>
      </c>
      <c r="G24569" t="s">
        <v>514</v>
      </c>
    </row>
    <row r="24570" spans="1:7" x14ac:dyDescent="0.25">
      <c r="A24570" s="1" t="str">
        <f>"500372"</f>
        <v>500372</v>
      </c>
      <c r="B24570" s="2" t="str">
        <f>"TUBO ESGOTO  40MM"</f>
        <v>TUBO ESGOTO  40MM</v>
      </c>
      <c r="C24570" s="2" t="str">
        <f>"BR"</f>
        <v>BR</v>
      </c>
      <c r="D24570" s="7">
        <v>809</v>
      </c>
      <c r="E24570" s="3">
        <v>10</v>
      </c>
      <c r="F24570" s="3">
        <v>10</v>
      </c>
      <c r="G24570" t="s">
        <v>514</v>
      </c>
    </row>
    <row r="24571" spans="1:7" x14ac:dyDescent="0.25">
      <c r="A24571" s="1" t="str">
        <f>"517957"</f>
        <v>517957</v>
      </c>
      <c r="B24571" s="2" t="str">
        <f>"TUBO ESGOTO  50MM"</f>
        <v>TUBO ESGOTO  50MM</v>
      </c>
      <c r="C24571" s="2" t="str">
        <f>"BR"</f>
        <v>BR</v>
      </c>
      <c r="D24571" s="7">
        <v>809</v>
      </c>
      <c r="E24571" s="3">
        <v>10</v>
      </c>
      <c r="F24571" s="3">
        <v>10</v>
      </c>
      <c r="G24571" t="s">
        <v>513</v>
      </c>
    </row>
    <row r="24572" spans="1:7" x14ac:dyDescent="0.25">
      <c r="A24572" s="1" t="str">
        <f>"510472"</f>
        <v>510472</v>
      </c>
      <c r="B24572" s="2" t="str">
        <f>"TUBO ESGOTO  75MM"</f>
        <v>TUBO ESGOTO  75MM</v>
      </c>
      <c r="C24572" s="2" t="str">
        <f>"UN"</f>
        <v>UN</v>
      </c>
      <c r="D24572" s="7">
        <v>912</v>
      </c>
      <c r="E24572" s="3">
        <v>11</v>
      </c>
      <c r="F24572" s="3">
        <v>11</v>
      </c>
      <c r="G24572" t="s">
        <v>512</v>
      </c>
    </row>
    <row r="24573" spans="1:7" x14ac:dyDescent="0.25">
      <c r="A24573" s="1" t="str">
        <f>"520436"</f>
        <v>520436</v>
      </c>
      <c r="B24573" s="2" t="str">
        <f>"TUBO ESGOTO  85MM"</f>
        <v>TUBO ESGOTO  85MM</v>
      </c>
      <c r="C24573" s="2" t="str">
        <f>"UN"</f>
        <v>UN</v>
      </c>
      <c r="D24573" s="7">
        <v>912</v>
      </c>
      <c r="E24573" s="3">
        <v>11</v>
      </c>
      <c r="F24573" s="3">
        <v>11</v>
      </c>
      <c r="G24573" t="s">
        <v>513</v>
      </c>
    </row>
    <row r="24574" spans="1:7" x14ac:dyDescent="0.25">
      <c r="A24574" s="1" t="str">
        <f>"524363"</f>
        <v>524363</v>
      </c>
      <c r="B24574" s="2" t="str">
        <f>"TUBO ESGOTO  90MM"</f>
        <v>TUBO ESGOTO  90MM</v>
      </c>
      <c r="C24574" s="2" t="str">
        <f>"UN"</f>
        <v>UN</v>
      </c>
      <c r="D24574" s="7">
        <v>912</v>
      </c>
      <c r="E24574" s="3">
        <v>11</v>
      </c>
      <c r="F24574" s="3">
        <v>11</v>
      </c>
      <c r="G24574" t="s">
        <v>514</v>
      </c>
    </row>
    <row r="24575" spans="1:7" x14ac:dyDescent="0.25">
      <c r="A24575" s="1" t="str">
        <f>"500263"</f>
        <v>500263</v>
      </c>
      <c r="B24575" s="2" t="str">
        <f>"TUBO ESGOTO 100MM"</f>
        <v>TUBO ESGOTO 100MM</v>
      </c>
      <c r="C24575" s="2" t="str">
        <f>"BR"</f>
        <v>BR</v>
      </c>
      <c r="D24575" s="7">
        <v>809</v>
      </c>
      <c r="E24575" s="3">
        <v>10</v>
      </c>
      <c r="F24575" s="3">
        <v>10</v>
      </c>
      <c r="G24575" t="s">
        <v>514</v>
      </c>
    </row>
    <row r="24576" spans="1:7" x14ac:dyDescent="0.25">
      <c r="A24576" s="1" t="str">
        <f>"500232"</f>
        <v>500232</v>
      </c>
      <c r="B24576" s="2" t="str">
        <f>"TUBO ESGOTO 150MM"</f>
        <v>TUBO ESGOTO 150MM</v>
      </c>
      <c r="C24576" s="2" t="str">
        <f>"BR"</f>
        <v>BR</v>
      </c>
      <c r="D24576" s="7">
        <v>809</v>
      </c>
      <c r="E24576" s="3">
        <v>10</v>
      </c>
      <c r="F24576" s="3">
        <v>10</v>
      </c>
      <c r="G24576" t="s">
        <v>514</v>
      </c>
    </row>
    <row r="24577" spans="1:7" x14ac:dyDescent="0.25">
      <c r="A24577" s="1" t="str">
        <f>"516901"</f>
        <v>516901</v>
      </c>
      <c r="B24577" s="2" t="str">
        <f>"TUBO ESGOTO 200MM"</f>
        <v>TUBO ESGOTO 200MM</v>
      </c>
      <c r="C24577" s="2" t="str">
        <f>"BR"</f>
        <v>BR</v>
      </c>
      <c r="D24577" s="7">
        <v>809</v>
      </c>
      <c r="E24577" s="3">
        <v>10</v>
      </c>
      <c r="F24577" s="3">
        <v>10</v>
      </c>
      <c r="G24577" t="s">
        <v>513</v>
      </c>
    </row>
    <row r="24578" spans="1:7" x14ac:dyDescent="0.25">
      <c r="A24578" s="1" t="str">
        <f>"516594"</f>
        <v>516594</v>
      </c>
      <c r="B24578" s="2" t="str">
        <f>"TUBO ESGOTO 300MM"</f>
        <v>TUBO ESGOTO 300MM</v>
      </c>
      <c r="C24578" s="2" t="str">
        <f>"BR"</f>
        <v>BR</v>
      </c>
      <c r="D24578" s="7">
        <v>808</v>
      </c>
      <c r="E24578" s="3">
        <v>10</v>
      </c>
      <c r="F24578" s="3">
        <v>10</v>
      </c>
      <c r="G24578" t="s">
        <v>513</v>
      </c>
    </row>
    <row r="24579" spans="1:7" x14ac:dyDescent="0.25">
      <c r="A24579" s="1" t="str">
        <f>"513475"</f>
        <v>513475</v>
      </c>
      <c r="B24579" s="2" t="str">
        <f>"TUBO ESPIRALADO 8MM 1500MM"</f>
        <v>TUBO ESPIRALADO 8MM 1500MM</v>
      </c>
      <c r="C24579" s="2" t="str">
        <f t="shared" ref="C24579:C24587" si="964">"UN"</f>
        <v>UN</v>
      </c>
      <c r="D24579" s="7">
        <v>916</v>
      </c>
      <c r="E24579" s="3">
        <v>11</v>
      </c>
      <c r="F24579" s="3">
        <v>11</v>
      </c>
      <c r="G24579" t="s">
        <v>513</v>
      </c>
    </row>
    <row r="24580" spans="1:7" x14ac:dyDescent="0.25">
      <c r="A24580" s="1" t="str">
        <f>"528136"</f>
        <v>528136</v>
      </c>
      <c r="B24580" s="2" t="str">
        <f>"TUBO ESPONJOSO 2"</f>
        <v>TUBO ESPONJOSO 2</v>
      </c>
      <c r="C24580" s="2" t="str">
        <f t="shared" si="964"/>
        <v>UN</v>
      </c>
      <c r="D24580" s="7">
        <v>810</v>
      </c>
      <c r="E24580" s="3">
        <v>11</v>
      </c>
      <c r="F24580" s="3">
        <v>11</v>
      </c>
      <c r="G24580" t="s">
        <v>512</v>
      </c>
    </row>
    <row r="24581" spans="1:7" x14ac:dyDescent="0.25">
      <c r="A24581" s="1" t="str">
        <f>"527734"</f>
        <v>527734</v>
      </c>
      <c r="B24581" s="2" t="str">
        <f>"TUBO ESPONJOSO BRANCO 1''"</f>
        <v>TUBO ESPONJOSO BRANCO 1''</v>
      </c>
      <c r="C24581" s="2" t="str">
        <f t="shared" si="964"/>
        <v>UN</v>
      </c>
      <c r="D24581" s="7">
        <v>810</v>
      </c>
      <c r="E24581" s="3">
        <v>10</v>
      </c>
      <c r="F24581" s="3">
        <v>10</v>
      </c>
      <c r="G24581" t="s">
        <v>513</v>
      </c>
    </row>
    <row r="24582" spans="1:7" x14ac:dyDescent="0.25">
      <c r="A24582" s="1" t="str">
        <f>"528109"</f>
        <v>528109</v>
      </c>
      <c r="B24582" s="2" t="str">
        <f>"TUBO ESPONJOSO BRANCO 1 1/4 - BARRA 2M"</f>
        <v>TUBO ESPONJOSO BRANCO 1 1/4 - BARRA 2M</v>
      </c>
      <c r="C24582" s="2" t="str">
        <f t="shared" si="964"/>
        <v>UN</v>
      </c>
      <c r="D24582" s="7">
        <v>810</v>
      </c>
      <c r="E24582" s="3">
        <v>11</v>
      </c>
      <c r="F24582" s="3">
        <v>11</v>
      </c>
      <c r="G24582" t="s">
        <v>514</v>
      </c>
    </row>
    <row r="24583" spans="1:7" x14ac:dyDescent="0.25">
      <c r="A24583" s="1" t="str">
        <f>"519685"</f>
        <v>519685</v>
      </c>
      <c r="B24583" s="2" t="str">
        <f>"TUBO ESPONJOSO BRANCO 1/2"""</f>
        <v>TUBO ESPONJOSO BRANCO 1/2"</v>
      </c>
      <c r="C24583" s="2" t="str">
        <f t="shared" si="964"/>
        <v>UN</v>
      </c>
      <c r="D24583" s="7">
        <v>916</v>
      </c>
      <c r="E24583" s="3">
        <v>10</v>
      </c>
      <c r="F24583" s="3">
        <v>10</v>
      </c>
      <c r="G24583" t="s">
        <v>515</v>
      </c>
    </row>
    <row r="24584" spans="1:7" x14ac:dyDescent="0.25">
      <c r="A24584" s="1" t="str">
        <f>"518507"</f>
        <v>518507</v>
      </c>
      <c r="B24584" s="2" t="str">
        <f>"TUBO ESPONJOSO BRANCO 5/8"""</f>
        <v>TUBO ESPONJOSO BRANCO 5/8"</v>
      </c>
      <c r="C24584" s="2" t="str">
        <f t="shared" si="964"/>
        <v>UN</v>
      </c>
      <c r="D24584" s="7">
        <v>916</v>
      </c>
      <c r="E24584" s="3">
        <v>10</v>
      </c>
      <c r="F24584" s="3">
        <v>10</v>
      </c>
      <c r="G24584" t="s">
        <v>512</v>
      </c>
    </row>
    <row r="24585" spans="1:7" x14ac:dyDescent="0.25">
      <c r="A24585" s="1" t="str">
        <f>"525002"</f>
        <v>525002</v>
      </c>
      <c r="B24585" s="2" t="str">
        <f>"TUBO ESPONJOSO BRANCO 7/8"</f>
        <v>TUBO ESPONJOSO BRANCO 7/8</v>
      </c>
      <c r="C24585" s="2" t="str">
        <f t="shared" si="964"/>
        <v>UN</v>
      </c>
      <c r="D24585" s="7">
        <v>99999</v>
      </c>
      <c r="E24585" s="3">
        <v>99</v>
      </c>
      <c r="F24585" s="3">
        <v>99</v>
      </c>
      <c r="G24585" t="s">
        <v>516</v>
      </c>
    </row>
    <row r="24586" spans="1:7" x14ac:dyDescent="0.25">
      <c r="A24586" s="1" t="str">
        <f>"508305"</f>
        <v>508305</v>
      </c>
      <c r="B24586" s="2" t="str">
        <f>"TUBO F.F 20X30"</f>
        <v>TUBO F.F 20X30</v>
      </c>
      <c r="C24586" s="2" t="str">
        <f t="shared" si="964"/>
        <v>UN</v>
      </c>
      <c r="D24586" s="7">
        <v>704</v>
      </c>
      <c r="E24586" s="3">
        <v>9</v>
      </c>
      <c r="F24586" s="3">
        <v>9</v>
      </c>
      <c r="G24586" t="s">
        <v>515</v>
      </c>
    </row>
    <row r="24587" spans="1:7" x14ac:dyDescent="0.25">
      <c r="A24587" s="1" t="str">
        <f>"524785"</f>
        <v>524785</v>
      </c>
      <c r="B24587" s="2" t="str">
        <f>"TUBO FLEXIVEL DE ASPIRAÇÃO"</f>
        <v>TUBO FLEXIVEL DE ASPIRAÇÃO</v>
      </c>
      <c r="C24587" s="2" t="str">
        <f t="shared" si="964"/>
        <v>UN</v>
      </c>
      <c r="D24587" s="7">
        <v>99999</v>
      </c>
      <c r="E24587" s="3">
        <v>99</v>
      </c>
      <c r="F24587" s="3">
        <v>99</v>
      </c>
      <c r="G24587" t="s">
        <v>514</v>
      </c>
    </row>
    <row r="24588" spans="1:7" x14ac:dyDescent="0.25">
      <c r="A24588" s="1" t="str">
        <f>"527022"</f>
        <v>527022</v>
      </c>
      <c r="B24588" s="2" t="str">
        <f>"TUBO FLEXIVEL PTFEN-12X2NT"</f>
        <v>TUBO FLEXIVEL PTFEN-12X2NT</v>
      </c>
      <c r="C24588" s="2" t="str">
        <f>"BR"</f>
        <v>BR</v>
      </c>
      <c r="D24588" s="7">
        <v>808</v>
      </c>
      <c r="E24588" s="3">
        <v>10</v>
      </c>
      <c r="F24588" s="3">
        <v>10</v>
      </c>
      <c r="G24588" t="s">
        <v>512</v>
      </c>
    </row>
    <row r="24589" spans="1:7" x14ac:dyDescent="0.25">
      <c r="A24589" s="1" t="str">
        <f>"513544"</f>
        <v>513544</v>
      </c>
      <c r="B24589" s="2" t="str">
        <f>"TUBO GALVANIZADO 3"""</f>
        <v>TUBO GALVANIZADO 3"</v>
      </c>
      <c r="C24589" s="2" t="str">
        <f>"BR"</f>
        <v>BR</v>
      </c>
      <c r="D24589" s="7">
        <v>808</v>
      </c>
      <c r="E24589" s="3">
        <v>10</v>
      </c>
      <c r="F24589" s="3">
        <v>10</v>
      </c>
      <c r="G24589" t="s">
        <v>513</v>
      </c>
    </row>
    <row r="24590" spans="1:7" x14ac:dyDescent="0.25">
      <c r="A24590" s="1" t="str">
        <f>"513541"</f>
        <v>513541</v>
      </c>
      <c r="B24590" s="2" t="str">
        <f>"TUBO GALVANIZADO 4"""</f>
        <v>TUBO GALVANIZADO 4"</v>
      </c>
      <c r="C24590" s="2" t="str">
        <f>"BR"</f>
        <v>BR</v>
      </c>
      <c r="D24590" s="7">
        <v>808</v>
      </c>
      <c r="E24590" s="3">
        <v>10</v>
      </c>
      <c r="F24590" s="3">
        <v>10</v>
      </c>
      <c r="G24590" t="s">
        <v>514</v>
      </c>
    </row>
    <row r="24591" spans="1:7" x14ac:dyDescent="0.25">
      <c r="A24591" s="1" t="str">
        <f>"523784"</f>
        <v>523784</v>
      </c>
      <c r="B24591" s="2" t="str">
        <f>"TUBO GALVANIZADO 48,30 X 3,00 X 4000MM"</f>
        <v>TUBO GALVANIZADO 48,30 X 3,00 X 4000MM</v>
      </c>
      <c r="C24591" s="2" t="str">
        <f>"UN"</f>
        <v>UN</v>
      </c>
      <c r="D24591" s="7">
        <v>99999</v>
      </c>
      <c r="E24591" s="3">
        <v>99</v>
      </c>
      <c r="F24591" s="3">
        <v>99</v>
      </c>
      <c r="G24591" t="s">
        <v>514</v>
      </c>
    </row>
    <row r="24592" spans="1:7" x14ac:dyDescent="0.25">
      <c r="A24592" s="1" t="str">
        <f>"510753"</f>
        <v>510753</v>
      </c>
      <c r="B24592" s="2" t="str">
        <f>"TUBO GALVANIZADO NBR 5580 C/R 1"""</f>
        <v>TUBO GALVANIZADO NBR 5580 C/R 1"</v>
      </c>
      <c r="C24592" s="2" t="str">
        <f t="shared" ref="C24592:C24605" si="965">"BR"</f>
        <v>BR</v>
      </c>
      <c r="D24592" s="7">
        <v>808</v>
      </c>
      <c r="E24592" s="3">
        <v>10</v>
      </c>
      <c r="F24592" s="3">
        <v>10</v>
      </c>
      <c r="G24592" t="s">
        <v>512</v>
      </c>
    </row>
    <row r="24593" spans="1:7" x14ac:dyDescent="0.25">
      <c r="A24593" s="1" t="str">
        <f>"500453"</f>
        <v>500453</v>
      </c>
      <c r="B24593" s="2" t="str">
        <f>"TUBO GALVANIZADO NBR 5580 C/R 1""1/2"""</f>
        <v>TUBO GALVANIZADO NBR 5580 C/R 1"1/2"</v>
      </c>
      <c r="C24593" s="2" t="str">
        <f t="shared" si="965"/>
        <v>BR</v>
      </c>
      <c r="D24593" s="7">
        <v>808</v>
      </c>
      <c r="E24593" s="3">
        <v>10</v>
      </c>
      <c r="F24593" s="3">
        <v>10</v>
      </c>
      <c r="G24593" t="s">
        <v>513</v>
      </c>
    </row>
    <row r="24594" spans="1:7" x14ac:dyDescent="0.25">
      <c r="A24594" s="1" t="str">
        <f>"502240"</f>
        <v>502240</v>
      </c>
      <c r="B24594" s="2" t="str">
        <f>"TUBO GALVANIZADO NBR 5580 C/R 1/2"""</f>
        <v>TUBO GALVANIZADO NBR 5580 C/R 1/2"</v>
      </c>
      <c r="C24594" s="2" t="str">
        <f t="shared" si="965"/>
        <v>BR</v>
      </c>
      <c r="D24594" s="7">
        <v>808</v>
      </c>
      <c r="E24594" s="3">
        <v>10</v>
      </c>
      <c r="F24594" s="3">
        <v>10</v>
      </c>
      <c r="G24594" t="s">
        <v>514</v>
      </c>
    </row>
    <row r="24595" spans="1:7" x14ac:dyDescent="0.25">
      <c r="A24595" s="1" t="str">
        <f>"500452"</f>
        <v>500452</v>
      </c>
      <c r="B24595" s="2" t="str">
        <f>"TUBO GALVANIZADO NBR 5580 C/R 2 1/2"""</f>
        <v>TUBO GALVANIZADO NBR 5580 C/R 2 1/2"</v>
      </c>
      <c r="C24595" s="2" t="str">
        <f t="shared" si="965"/>
        <v>BR</v>
      </c>
      <c r="D24595" s="7">
        <v>808</v>
      </c>
      <c r="E24595" s="3">
        <v>10</v>
      </c>
      <c r="F24595" s="3">
        <v>10</v>
      </c>
      <c r="G24595" t="s">
        <v>514</v>
      </c>
    </row>
    <row r="24596" spans="1:7" x14ac:dyDescent="0.25">
      <c r="A24596" s="1" t="str">
        <f>"510752"</f>
        <v>510752</v>
      </c>
      <c r="B24596" s="2" t="str">
        <f>"TUBO GALVANIZADO NBR 5580 C/R 2"""</f>
        <v>TUBO GALVANIZADO NBR 5580 C/R 2"</v>
      </c>
      <c r="C24596" s="2" t="str">
        <f t="shared" si="965"/>
        <v>BR</v>
      </c>
      <c r="D24596" s="7">
        <v>808</v>
      </c>
      <c r="E24596" s="3">
        <v>10</v>
      </c>
      <c r="F24596" s="3">
        <v>10</v>
      </c>
      <c r="G24596" t="s">
        <v>514</v>
      </c>
    </row>
    <row r="24597" spans="1:7" x14ac:dyDescent="0.25">
      <c r="A24597" s="1" t="str">
        <f>"511779"</f>
        <v>511779</v>
      </c>
      <c r="B24597" s="2" t="str">
        <f>"TUBO GALVANIZADO NBR 5580 C/R 3"""</f>
        <v>TUBO GALVANIZADO NBR 5580 C/R 3"</v>
      </c>
      <c r="C24597" s="2" t="str">
        <f t="shared" si="965"/>
        <v>BR</v>
      </c>
      <c r="D24597" s="7">
        <v>808</v>
      </c>
      <c r="E24597" s="3">
        <v>10</v>
      </c>
      <c r="F24597" s="3">
        <v>10</v>
      </c>
      <c r="G24597" t="s">
        <v>513</v>
      </c>
    </row>
    <row r="24598" spans="1:7" x14ac:dyDescent="0.25">
      <c r="A24598" s="1" t="str">
        <f>"501314"</f>
        <v>501314</v>
      </c>
      <c r="B24598" s="2" t="str">
        <f>"TUBO GALVANIZADO NBR 5580 C/R 3/4"""</f>
        <v>TUBO GALVANIZADO NBR 5580 C/R 3/4"</v>
      </c>
      <c r="C24598" s="2" t="str">
        <f t="shared" si="965"/>
        <v>BR</v>
      </c>
      <c r="D24598" s="7">
        <v>808</v>
      </c>
      <c r="E24598" s="3">
        <v>10</v>
      </c>
      <c r="F24598" s="3">
        <v>10</v>
      </c>
      <c r="G24598" t="s">
        <v>512</v>
      </c>
    </row>
    <row r="24599" spans="1:7" x14ac:dyDescent="0.25">
      <c r="A24599" s="1" t="str">
        <f>"502239"</f>
        <v>502239</v>
      </c>
      <c r="B24599" s="2" t="str">
        <f>"TUBO GALVANIZADO NBR 5580 C/R 3/8"""</f>
        <v>TUBO GALVANIZADO NBR 5580 C/R 3/8"</v>
      </c>
      <c r="C24599" s="2" t="str">
        <f t="shared" si="965"/>
        <v>BR</v>
      </c>
      <c r="D24599" s="7">
        <v>808</v>
      </c>
      <c r="E24599" s="3">
        <v>10</v>
      </c>
      <c r="F24599" s="3">
        <v>10</v>
      </c>
      <c r="G24599" t="s">
        <v>513</v>
      </c>
    </row>
    <row r="24600" spans="1:7" x14ac:dyDescent="0.25">
      <c r="A24600" s="1" t="str">
        <f>"520765"</f>
        <v>520765</v>
      </c>
      <c r="B24600" s="2" t="str">
        <f>"TUBO GALVANIZADO NBR 5580 C/R 60MM"</f>
        <v>TUBO GALVANIZADO NBR 5580 C/R 60MM</v>
      </c>
      <c r="C24600" s="2" t="str">
        <f t="shared" si="965"/>
        <v>BR</v>
      </c>
      <c r="D24600" s="7">
        <v>808</v>
      </c>
      <c r="E24600" s="3">
        <v>10</v>
      </c>
      <c r="F24600" s="3">
        <v>10</v>
      </c>
      <c r="G24600" t="s">
        <v>514</v>
      </c>
    </row>
    <row r="24601" spans="1:7" x14ac:dyDescent="0.25">
      <c r="A24601" s="1" t="str">
        <f>"509608"</f>
        <v>509608</v>
      </c>
      <c r="B24601" s="2" t="str">
        <f>"TUBO INOX 1/2"" X 1,2MM"</f>
        <v>TUBO INOX 1/2" X 1,2MM</v>
      </c>
      <c r="C24601" s="2" t="str">
        <f t="shared" si="965"/>
        <v>BR</v>
      </c>
      <c r="D24601" s="7">
        <v>807</v>
      </c>
      <c r="E24601" s="3">
        <v>10</v>
      </c>
      <c r="F24601" s="3">
        <v>10</v>
      </c>
      <c r="G24601" t="s">
        <v>514</v>
      </c>
    </row>
    <row r="24602" spans="1:7" x14ac:dyDescent="0.25">
      <c r="A24602" s="1" t="str">
        <f>"502706"</f>
        <v>502706</v>
      </c>
      <c r="B24602" s="2" t="str">
        <f>"TUBO INOX 25MM 1,2 POLIDO"</f>
        <v>TUBO INOX 25MM 1,2 POLIDO</v>
      </c>
      <c r="C24602" s="2" t="str">
        <f t="shared" si="965"/>
        <v>BR</v>
      </c>
      <c r="D24602" s="7">
        <v>807</v>
      </c>
      <c r="E24602" s="3">
        <v>10</v>
      </c>
      <c r="F24602" s="3">
        <v>10</v>
      </c>
      <c r="G24602" t="s">
        <v>514</v>
      </c>
    </row>
    <row r="24603" spans="1:7" x14ac:dyDescent="0.25">
      <c r="A24603" s="1" t="str">
        <f>"516102"</f>
        <v>516102</v>
      </c>
      <c r="B24603" s="2" t="str">
        <f>"TUBO INOX 3"" PAREDE 2MM PRESSÃO 10KG/CM2 P/ AR COMPRIMIDO"</f>
        <v>TUBO INOX 3" PAREDE 2MM PRESSÃO 10KG/CM2 P/ AR COMPRIMIDO</v>
      </c>
      <c r="C24603" s="2" t="str">
        <f t="shared" si="965"/>
        <v>BR</v>
      </c>
      <c r="D24603" s="7">
        <v>807</v>
      </c>
      <c r="E24603" s="3">
        <v>10</v>
      </c>
      <c r="F24603" s="3">
        <v>10</v>
      </c>
      <c r="G24603" t="s">
        <v>513</v>
      </c>
    </row>
    <row r="24604" spans="1:7" x14ac:dyDescent="0.25">
      <c r="A24604" s="1" t="str">
        <f>"520151"</f>
        <v>520151</v>
      </c>
      <c r="B24604" s="2" t="str">
        <f>"TUBO INOX 304 3"" PAREDE 1,2MM PI/PE"</f>
        <v>TUBO INOX 304 3" PAREDE 1,2MM PI/PE</v>
      </c>
      <c r="C24604" s="2" t="str">
        <f t="shared" si="965"/>
        <v>BR</v>
      </c>
      <c r="D24604" s="7">
        <v>807</v>
      </c>
      <c r="E24604" s="3">
        <v>10</v>
      </c>
      <c r="F24604" s="3">
        <v>10</v>
      </c>
      <c r="G24604" t="s">
        <v>513</v>
      </c>
    </row>
    <row r="24605" spans="1:7" x14ac:dyDescent="0.25">
      <c r="A24605" s="1" t="str">
        <f>"527503"</f>
        <v>527503</v>
      </c>
      <c r="B24605" s="2" t="str">
        <f>"TUBO INOX 304 4"" PAREDE 1,5MM PI/PE"</f>
        <v>TUBO INOX 304 4" PAREDE 1,5MM PI/PE</v>
      </c>
      <c r="C24605" s="2" t="str">
        <f t="shared" si="965"/>
        <v>BR</v>
      </c>
      <c r="D24605" s="7">
        <v>807</v>
      </c>
      <c r="E24605" s="3">
        <v>10</v>
      </c>
      <c r="F24605" s="3">
        <v>10</v>
      </c>
      <c r="G24605" t="s">
        <v>513</v>
      </c>
    </row>
    <row r="24606" spans="1:7" x14ac:dyDescent="0.25">
      <c r="A24606" s="1" t="str">
        <f>"516272"</f>
        <v>516272</v>
      </c>
      <c r="B24606" s="2" t="str">
        <f>"TUBO INOX 304 SCH40 2"" PE/PI PAREDE 4MM"</f>
        <v>TUBO INOX 304 SCH40 2" PE/PI PAREDE 4MM</v>
      </c>
      <c r="C24606" s="2" t="str">
        <f>"UN"</f>
        <v>UN</v>
      </c>
      <c r="D24606" s="7">
        <v>915</v>
      </c>
      <c r="E24606" s="3">
        <v>10</v>
      </c>
      <c r="F24606" s="3">
        <v>10</v>
      </c>
      <c r="G24606" t="s">
        <v>512</v>
      </c>
    </row>
    <row r="24607" spans="1:7" x14ac:dyDescent="0.25">
      <c r="A24607" s="1" t="str">
        <f>"521942"</f>
        <v>521942</v>
      </c>
      <c r="B24607" s="2" t="str">
        <f>"TUBO INOX 314L OD 4"""</f>
        <v>TUBO INOX 314L OD 4"</v>
      </c>
      <c r="C24607" s="2" t="str">
        <f>"UN"</f>
        <v>UN</v>
      </c>
      <c r="D24607" s="7">
        <v>915</v>
      </c>
      <c r="E24607" s="3">
        <v>10</v>
      </c>
      <c r="F24607" s="3">
        <v>10</v>
      </c>
      <c r="G24607" t="s">
        <v>513</v>
      </c>
    </row>
    <row r="24608" spans="1:7" x14ac:dyDescent="0.25">
      <c r="A24608" s="1" t="str">
        <f>"521943"</f>
        <v>521943</v>
      </c>
      <c r="B24608" s="2" t="str">
        <f>"TUBO INOX 314L OD 6"""</f>
        <v>TUBO INOX 314L OD 6"</v>
      </c>
      <c r="C24608" s="2" t="str">
        <f>"UN"</f>
        <v>UN</v>
      </c>
      <c r="D24608" s="7">
        <v>915</v>
      </c>
      <c r="E24608" s="3">
        <v>10</v>
      </c>
      <c r="F24608" s="3">
        <v>10</v>
      </c>
      <c r="G24608" t="s">
        <v>514</v>
      </c>
    </row>
    <row r="24609" spans="1:7" x14ac:dyDescent="0.25">
      <c r="A24609" s="1" t="str">
        <f>"521944"</f>
        <v>521944</v>
      </c>
      <c r="B24609" s="2" t="str">
        <f>"TUBO INOX 314L OD 8"""</f>
        <v>TUBO INOX 314L OD 8"</v>
      </c>
      <c r="C24609" s="2" t="str">
        <f>"UN"</f>
        <v>UN</v>
      </c>
      <c r="D24609" s="7">
        <v>915</v>
      </c>
      <c r="E24609" s="3">
        <v>10</v>
      </c>
      <c r="F24609" s="3">
        <v>10</v>
      </c>
      <c r="G24609" t="s">
        <v>515</v>
      </c>
    </row>
    <row r="24610" spans="1:7" x14ac:dyDescent="0.25">
      <c r="A24610" s="1" t="str">
        <f>"525269"</f>
        <v>525269</v>
      </c>
      <c r="B24610" s="2" t="str">
        <f>"TUBO INOX 316 PE 1"" PAREDE 1,2MM"</f>
        <v>TUBO INOX 316 PE 1" PAREDE 1,2MM</v>
      </c>
      <c r="C24610" s="2" t="str">
        <f>"MT"</f>
        <v>MT</v>
      </c>
      <c r="D24610" s="7">
        <v>807</v>
      </c>
      <c r="E24610" s="3">
        <v>10</v>
      </c>
      <c r="F24610" s="3">
        <v>10</v>
      </c>
      <c r="G24610" t="s">
        <v>512</v>
      </c>
    </row>
    <row r="24611" spans="1:7" x14ac:dyDescent="0.25">
      <c r="A24611" s="1" t="str">
        <f>"526611"</f>
        <v>526611</v>
      </c>
      <c r="B24611" s="2" t="str">
        <f>"TUBO INOX 316L OD 1"" 1,5mm"</f>
        <v>TUBO INOX 316L OD 1" 1,5mm</v>
      </c>
      <c r="C24611" s="2" t="str">
        <f>"UN"</f>
        <v>UN</v>
      </c>
      <c r="D24611" s="7">
        <v>915</v>
      </c>
      <c r="E24611" s="3">
        <v>10</v>
      </c>
      <c r="F24611" s="3">
        <v>10</v>
      </c>
      <c r="G24611" t="s">
        <v>516</v>
      </c>
    </row>
    <row r="24612" spans="1:7" x14ac:dyDescent="0.25">
      <c r="A24612" s="1" t="str">
        <f>"516104"</f>
        <v>516104</v>
      </c>
      <c r="B24612" s="2" t="str">
        <f>"TUBO INOX 6"" PAREDE 2MM PRESSÃO 04KG/CM2"</f>
        <v>TUBO INOX 6" PAREDE 2MM PRESSÃO 04KG/CM2</v>
      </c>
      <c r="C24612" s="2" t="str">
        <f>"BR"</f>
        <v>BR</v>
      </c>
      <c r="D24612" s="7">
        <v>807</v>
      </c>
      <c r="E24612" s="3">
        <v>10</v>
      </c>
      <c r="F24612" s="3">
        <v>10</v>
      </c>
      <c r="G24612" t="s">
        <v>515</v>
      </c>
    </row>
    <row r="24613" spans="1:7" x14ac:dyDescent="0.25">
      <c r="A24613" s="1" t="str">
        <f>"522672"</f>
        <v>522672</v>
      </c>
      <c r="B24613" s="2" t="str">
        <f>"TUBO INOX 700MM X 21MM"</f>
        <v>TUBO INOX 700MM X 21MM</v>
      </c>
      <c r="C24613" s="2" t="str">
        <f>"UN"</f>
        <v>UN</v>
      </c>
      <c r="D24613" s="7">
        <v>807</v>
      </c>
      <c r="E24613" s="3">
        <v>10</v>
      </c>
      <c r="F24613" s="3">
        <v>10</v>
      </c>
      <c r="G24613" t="s">
        <v>514</v>
      </c>
    </row>
    <row r="24614" spans="1:7" x14ac:dyDescent="0.25">
      <c r="A24614" s="1" t="str">
        <f>"523145"</f>
        <v>523145</v>
      </c>
      <c r="B24614" s="2" t="str">
        <f>"TUBO INOX 8"" # 1,5MM S/ POLIMENTO"</f>
        <v>TUBO INOX 8" # 1,5MM S/ POLIMENTO</v>
      </c>
      <c r="C24614" s="2" t="str">
        <f>"UN"</f>
        <v>UN</v>
      </c>
      <c r="D24614" s="7">
        <v>807</v>
      </c>
      <c r="E24614" s="3">
        <v>10</v>
      </c>
      <c r="F24614" s="3">
        <v>10</v>
      </c>
      <c r="G24614" t="s">
        <v>512</v>
      </c>
    </row>
    <row r="24615" spans="1:7" x14ac:dyDescent="0.25">
      <c r="A24615" s="1" t="str">
        <f>"527883"</f>
        <v>527883</v>
      </c>
      <c r="B24615" s="2" t="str">
        <f>"TUBO INOX C/C 304 SCH40 2"" DC PAREDE 3,91MM"</f>
        <v>TUBO INOX C/C 304 SCH40 2" DC PAREDE 3,91MM</v>
      </c>
      <c r="C24615" s="2" t="str">
        <f>"UN"</f>
        <v>UN</v>
      </c>
      <c r="D24615" s="7">
        <v>915</v>
      </c>
      <c r="E24615" s="3">
        <v>10</v>
      </c>
      <c r="F24615" s="3">
        <v>10</v>
      </c>
      <c r="G24615" t="s">
        <v>513</v>
      </c>
    </row>
    <row r="24616" spans="1:7" x14ac:dyDescent="0.25">
      <c r="A24616" s="1" t="str">
        <f>"500209"</f>
        <v>500209</v>
      </c>
      <c r="B24616" s="2" t="str">
        <f>"TUBO INTERM."</f>
        <v>TUBO INTERM.</v>
      </c>
      <c r="C24616" s="2" t="str">
        <f>"BR"</f>
        <v>BR</v>
      </c>
      <c r="D24616" s="7">
        <v>808</v>
      </c>
      <c r="E24616" s="3">
        <v>10</v>
      </c>
      <c r="F24616" s="3">
        <v>10</v>
      </c>
      <c r="G24616" t="s">
        <v>514</v>
      </c>
    </row>
    <row r="24617" spans="1:7" x14ac:dyDescent="0.25">
      <c r="A24617" s="1" t="str">
        <f>"525378"</f>
        <v>525378</v>
      </c>
      <c r="B24617" s="2" t="str">
        <f>"TUBO ISOL 09MM X 06 1/4 ARMAFLEX CX 352MT"</f>
        <v>TUBO ISOL 09MM X 06 1/4 ARMAFLEX CX 352MT</v>
      </c>
      <c r="C24617" s="2" t="str">
        <f t="shared" ref="C24617:C24623" si="966">"UN"</f>
        <v>UN</v>
      </c>
      <c r="D24617" s="7">
        <v>918</v>
      </c>
      <c r="E24617" s="3">
        <v>10</v>
      </c>
      <c r="F24617" s="3">
        <v>10</v>
      </c>
      <c r="G24617" t="s">
        <v>514</v>
      </c>
    </row>
    <row r="24618" spans="1:7" x14ac:dyDescent="0.25">
      <c r="A24618" s="1" t="str">
        <f>"525379"</f>
        <v>525379</v>
      </c>
      <c r="B24618" s="2" t="str">
        <f>"TUBO ISOL 09MM X 10 3/8 ARMAFLEX CX 264MT"</f>
        <v>TUBO ISOL 09MM X 10 3/8 ARMAFLEX CX 264MT</v>
      </c>
      <c r="C24618" s="2" t="str">
        <f t="shared" si="966"/>
        <v>UN</v>
      </c>
      <c r="D24618" s="7">
        <v>918</v>
      </c>
      <c r="E24618" s="3">
        <v>10</v>
      </c>
      <c r="F24618" s="3">
        <v>10</v>
      </c>
      <c r="G24618" t="s">
        <v>512</v>
      </c>
    </row>
    <row r="24619" spans="1:7" x14ac:dyDescent="0.25">
      <c r="A24619" s="1" t="str">
        <f>"517484"</f>
        <v>517484</v>
      </c>
      <c r="B24619" s="2" t="str">
        <f>"TUBO ISOL 09MM X 12 1/2 ARMAFLEX CX 220MT"</f>
        <v>TUBO ISOL 09MM X 12 1/2 ARMAFLEX CX 220MT</v>
      </c>
      <c r="C24619" s="2" t="str">
        <f t="shared" si="966"/>
        <v>UN</v>
      </c>
      <c r="D24619" s="7">
        <v>918</v>
      </c>
      <c r="E24619" s="3">
        <v>10</v>
      </c>
      <c r="F24619" s="3">
        <v>10</v>
      </c>
      <c r="G24619" t="s">
        <v>513</v>
      </c>
    </row>
    <row r="24620" spans="1:7" x14ac:dyDescent="0.25">
      <c r="A24620" s="1" t="str">
        <f>"525380"</f>
        <v>525380</v>
      </c>
      <c r="B24620" s="2" t="str">
        <f>"TUBO ISOL 09MM X 15 5/8 ARMAFLEX CX 180MT"</f>
        <v>TUBO ISOL 09MM X 15 5/8 ARMAFLEX CX 180MT</v>
      </c>
      <c r="C24620" s="2" t="str">
        <f t="shared" si="966"/>
        <v>UN</v>
      </c>
      <c r="D24620" s="7">
        <v>918</v>
      </c>
      <c r="E24620" s="3">
        <v>10</v>
      </c>
      <c r="F24620" s="3">
        <v>10</v>
      </c>
      <c r="G24620" t="s">
        <v>514</v>
      </c>
    </row>
    <row r="24621" spans="1:7" x14ac:dyDescent="0.25">
      <c r="A24621" s="1" t="str">
        <f>"517485"</f>
        <v>517485</v>
      </c>
      <c r="B24621" s="2" t="str">
        <f>"TUBO ISOL 09MM X 28 1 1/8 ARMAFLEX CX 98MT"</f>
        <v>TUBO ISOL 09MM X 28 1 1/8 ARMAFLEX CX 98MT</v>
      </c>
      <c r="C24621" s="2" t="str">
        <f t="shared" si="966"/>
        <v>UN</v>
      </c>
      <c r="D24621" s="7">
        <v>918</v>
      </c>
      <c r="E24621" s="3">
        <v>10</v>
      </c>
      <c r="F24621" s="3">
        <v>10</v>
      </c>
      <c r="G24621" t="s">
        <v>514</v>
      </c>
    </row>
    <row r="24622" spans="1:7" x14ac:dyDescent="0.25">
      <c r="A24622" s="1" t="str">
        <f>"513098"</f>
        <v>513098</v>
      </c>
      <c r="B24622" s="2" t="str">
        <f>"TUBO ISOL HT BLINDADO 19 X 10MM 3/4 SC200"</f>
        <v>TUBO ISOL HT BLINDADO 19 X 10MM 3/4 SC200</v>
      </c>
      <c r="C24622" s="2" t="str">
        <f t="shared" si="966"/>
        <v>UN</v>
      </c>
      <c r="D24622" s="7">
        <v>918</v>
      </c>
      <c r="E24622" s="3">
        <v>10</v>
      </c>
      <c r="F24622" s="3">
        <v>10</v>
      </c>
      <c r="G24622" t="s">
        <v>514</v>
      </c>
    </row>
    <row r="24623" spans="1:7" x14ac:dyDescent="0.25">
      <c r="A24623" s="1" t="str">
        <f>"513099"</f>
        <v>513099</v>
      </c>
      <c r="B24623" s="2" t="str">
        <f>"TUBO ISOL HT BLINDADO 9 X 10MM 3/8 SC300"</f>
        <v>TUBO ISOL HT BLINDADO 9 X 10MM 3/8 SC300</v>
      </c>
      <c r="C24623" s="2" t="str">
        <f t="shared" si="966"/>
        <v>UN</v>
      </c>
      <c r="D24623" s="7">
        <v>918</v>
      </c>
      <c r="E24623" s="3">
        <v>10</v>
      </c>
      <c r="F24623" s="3">
        <v>10</v>
      </c>
      <c r="G24623" t="s">
        <v>513</v>
      </c>
    </row>
    <row r="24624" spans="1:7" x14ac:dyDescent="0.25">
      <c r="A24624" s="1" t="str">
        <f>"519210"</f>
        <v>519210</v>
      </c>
      <c r="B24624" s="2" t="str">
        <f>"TUBO JEI OCRE ESGOTO 150MM"</f>
        <v>TUBO JEI OCRE ESGOTO 150MM</v>
      </c>
      <c r="C24624" s="2" t="str">
        <f>"BR"</f>
        <v>BR</v>
      </c>
      <c r="D24624" s="7">
        <v>809</v>
      </c>
      <c r="E24624" s="3">
        <v>10</v>
      </c>
      <c r="F24624" s="3">
        <v>10</v>
      </c>
      <c r="G24624" t="s">
        <v>512</v>
      </c>
    </row>
    <row r="24625" spans="1:7" x14ac:dyDescent="0.25">
      <c r="A24625" s="1" t="str">
        <f>"527087"</f>
        <v>527087</v>
      </c>
      <c r="B24625" s="2" t="str">
        <f>"TUBO MARPRENE L=67 MM COD. 60015934"</f>
        <v>TUBO MARPRENE L=67 MM COD. 60015934</v>
      </c>
      <c r="C24625" s="2" t="str">
        <f>"UN"</f>
        <v>UN</v>
      </c>
      <c r="D24625" s="7">
        <v>810</v>
      </c>
      <c r="E24625" s="3">
        <v>11</v>
      </c>
      <c r="F24625" s="3">
        <v>11</v>
      </c>
      <c r="G24625" t="s">
        <v>513</v>
      </c>
    </row>
    <row r="24626" spans="1:7" x14ac:dyDescent="0.25">
      <c r="A24626" s="1" t="str">
        <f>"503980"</f>
        <v>503980</v>
      </c>
      <c r="B24626" s="2" t="str">
        <f>"TUBO MARROM PVC 110MM"</f>
        <v>TUBO MARROM PVC 110MM</v>
      </c>
      <c r="C24626" s="2" t="str">
        <f>"BR"</f>
        <v>BR</v>
      </c>
      <c r="D24626" s="7">
        <v>808</v>
      </c>
      <c r="E24626" s="3">
        <v>10</v>
      </c>
      <c r="F24626" s="3">
        <v>10</v>
      </c>
      <c r="G24626" t="s">
        <v>514</v>
      </c>
    </row>
    <row r="24627" spans="1:7" x14ac:dyDescent="0.25">
      <c r="A24627" s="1" t="str">
        <f>"503498"</f>
        <v>503498</v>
      </c>
      <c r="B24627" s="2" t="str">
        <f>"TUBO NYLON 4X2MM COD.009-0029-0"</f>
        <v>TUBO NYLON 4X2MM COD.009-0029-0</v>
      </c>
      <c r="C24627" s="2" t="str">
        <f t="shared" ref="C24627:C24633" si="967">"UN"</f>
        <v>UN</v>
      </c>
      <c r="D24627" s="7">
        <v>913</v>
      </c>
      <c r="E24627" s="3">
        <v>11</v>
      </c>
      <c r="F24627" s="3">
        <v>11</v>
      </c>
      <c r="G24627" t="s">
        <v>514</v>
      </c>
    </row>
    <row r="24628" spans="1:7" x14ac:dyDescent="0.25">
      <c r="A24628" s="1" t="str">
        <f>"519236"</f>
        <v>519236</v>
      </c>
      <c r="B24628" s="2" t="str">
        <f>"TUBO NYLON UNIVERSAL 12MM"</f>
        <v>TUBO NYLON UNIVERSAL 12MM</v>
      </c>
      <c r="C24628" s="2" t="str">
        <f t="shared" si="967"/>
        <v>UN</v>
      </c>
      <c r="D24628" s="7">
        <v>704</v>
      </c>
      <c r="E24628" s="3">
        <v>9</v>
      </c>
      <c r="F24628" s="3">
        <v>9</v>
      </c>
      <c r="G24628" t="s">
        <v>514</v>
      </c>
    </row>
    <row r="24629" spans="1:7" x14ac:dyDescent="0.25">
      <c r="A24629" s="1" t="str">
        <f>"504504"</f>
        <v>504504</v>
      </c>
      <c r="B24629" s="2" t="str">
        <f>"TUBO NYLON UNIVERSAL 6 MM"</f>
        <v>TUBO NYLON UNIVERSAL 6 MM</v>
      </c>
      <c r="C24629" s="2" t="str">
        <f t="shared" si="967"/>
        <v>UN</v>
      </c>
      <c r="D24629" s="7">
        <v>704</v>
      </c>
      <c r="E24629" s="3">
        <v>9</v>
      </c>
      <c r="F24629" s="3">
        <v>9</v>
      </c>
      <c r="G24629" t="s">
        <v>513</v>
      </c>
    </row>
    <row r="24630" spans="1:7" x14ac:dyDescent="0.25">
      <c r="A24630" s="1" t="str">
        <f>"524553"</f>
        <v>524553</v>
      </c>
      <c r="B24630" s="2" t="str">
        <f>"TUBO Ø4"" EM INOX ASTM A 106 Gr B  SEM COSTURA SCH 40S"</f>
        <v>TUBO Ø4" EM INOX ASTM A 106 Gr B  SEM COSTURA SCH 40S</v>
      </c>
      <c r="C24630" s="2" t="str">
        <f t="shared" si="967"/>
        <v>UN</v>
      </c>
      <c r="D24630" s="7">
        <v>807</v>
      </c>
      <c r="E24630" s="3">
        <v>10</v>
      </c>
      <c r="F24630" s="3">
        <v>10</v>
      </c>
      <c r="G24630" t="s">
        <v>513</v>
      </c>
    </row>
    <row r="24631" spans="1:7" x14ac:dyDescent="0.25">
      <c r="A24631" s="1" t="str">
        <f>"524775"</f>
        <v>524775</v>
      </c>
      <c r="B24631" s="2" t="str">
        <f>"TUBO Ø6"" EM INOX ASTM A 312 TP304 SEM COSTURA SCH 10S."</f>
        <v>TUBO Ø6" EM INOX ASTM A 312 TP304 SEM COSTURA SCH 10S.</v>
      </c>
      <c r="C24631" s="2" t="str">
        <f t="shared" si="967"/>
        <v>UN</v>
      </c>
      <c r="D24631" s="7">
        <v>807</v>
      </c>
      <c r="E24631" s="3">
        <v>10</v>
      </c>
      <c r="F24631" s="3">
        <v>10</v>
      </c>
      <c r="G24631" t="s">
        <v>513</v>
      </c>
    </row>
    <row r="24632" spans="1:7" x14ac:dyDescent="0.25">
      <c r="A24632" s="1" t="str">
        <f>"514560"</f>
        <v>514560</v>
      </c>
      <c r="B24632" s="2" t="str">
        <f>"TUBO PARA CRIOSCOPIO"</f>
        <v>TUBO PARA CRIOSCOPIO</v>
      </c>
      <c r="C24632" s="2" t="str">
        <f t="shared" si="967"/>
        <v>UN</v>
      </c>
      <c r="D24632" s="7">
        <v>406</v>
      </c>
      <c r="E24632" s="3">
        <v>4</v>
      </c>
      <c r="F24632" s="3">
        <v>4</v>
      </c>
      <c r="G24632" t="s">
        <v>512</v>
      </c>
    </row>
    <row r="24633" spans="1:7" x14ac:dyDescent="0.25">
      <c r="A24633" s="1" t="str">
        <f>"520901"</f>
        <v>520901</v>
      </c>
      <c r="B24633" s="2" t="str">
        <f>"TUBO PLASTICO C/ TAMPA 27ML EKOMILK"</f>
        <v>TUBO PLASTICO C/ TAMPA 27ML EKOMILK</v>
      </c>
      <c r="C24633" s="2" t="str">
        <f t="shared" si="967"/>
        <v>UN</v>
      </c>
      <c r="D24633" s="7">
        <v>303</v>
      </c>
      <c r="E24633" s="3">
        <v>3</v>
      </c>
      <c r="F24633" s="3">
        <v>3</v>
      </c>
      <c r="G24633" t="s">
        <v>513</v>
      </c>
    </row>
    <row r="24634" spans="1:7" x14ac:dyDescent="0.25">
      <c r="A24634" s="1" t="str">
        <f>"505471"</f>
        <v>505471</v>
      </c>
      <c r="B24634" s="2" t="str">
        <f>"TUBO PNEUM FESTO PP-4-NT 16MM"</f>
        <v>TUBO PNEUM FESTO PP-4-NT 16MM</v>
      </c>
      <c r="C24634" s="2" t="str">
        <f>"BR"</f>
        <v>BR</v>
      </c>
      <c r="D24634" s="7">
        <v>808</v>
      </c>
      <c r="E24634" s="3">
        <v>10</v>
      </c>
      <c r="F24634" s="3">
        <v>10</v>
      </c>
      <c r="G24634" t="s">
        <v>514</v>
      </c>
    </row>
    <row r="24635" spans="1:7" x14ac:dyDescent="0.25">
      <c r="A24635" s="1" t="str">
        <f>"505469"</f>
        <v>505469</v>
      </c>
      <c r="B24635" s="2" t="str">
        <f>"TUBO PNEUM FESTO PP-4-NT 6MM"</f>
        <v>TUBO PNEUM FESTO PP-4-NT 6MM</v>
      </c>
      <c r="C24635" s="2" t="str">
        <f>"BR"</f>
        <v>BR</v>
      </c>
      <c r="D24635" s="7">
        <v>808</v>
      </c>
      <c r="E24635" s="3">
        <v>10</v>
      </c>
      <c r="F24635" s="3">
        <v>10</v>
      </c>
      <c r="G24635" t="s">
        <v>515</v>
      </c>
    </row>
    <row r="24636" spans="1:7" x14ac:dyDescent="0.25">
      <c r="A24636" s="1" t="str">
        <f>"505470"</f>
        <v>505470</v>
      </c>
      <c r="B24636" s="2" t="str">
        <f>"TUBO PNEUM FESTO PP-4-NT 8MM"</f>
        <v>TUBO PNEUM FESTO PP-4-NT 8MM</v>
      </c>
      <c r="C24636" s="2" t="str">
        <f>"BR"</f>
        <v>BR</v>
      </c>
      <c r="D24636" s="7">
        <v>808</v>
      </c>
      <c r="E24636" s="3">
        <v>10</v>
      </c>
      <c r="F24636" s="3">
        <v>10</v>
      </c>
      <c r="G24636" t="s">
        <v>512</v>
      </c>
    </row>
    <row r="24637" spans="1:7" x14ac:dyDescent="0.25">
      <c r="A24637" s="1" t="str">
        <f>"513765"</f>
        <v>513765</v>
      </c>
      <c r="B24637" s="2" t="str">
        <f>"TUBO POLIET. PRETO 1/2 X 2,0"</f>
        <v>TUBO POLIET. PRETO 1/2 X 2,0</v>
      </c>
      <c r="C24637" s="2" t="str">
        <f>"UN"</f>
        <v>UN</v>
      </c>
      <c r="D24637" s="7">
        <v>919</v>
      </c>
      <c r="E24637" s="3">
        <v>4</v>
      </c>
      <c r="F24637" s="3">
        <v>4</v>
      </c>
      <c r="G24637" t="s">
        <v>516</v>
      </c>
    </row>
    <row r="24638" spans="1:7" x14ac:dyDescent="0.25">
      <c r="A24638" s="1" t="str">
        <f>"508892"</f>
        <v>508892</v>
      </c>
      <c r="B24638" s="2" t="str">
        <f>"TUBO POLIETILETO VERMELHO 1 1/2 X 3,5"</f>
        <v>TUBO POLIETILETO VERMELHO 1 1/2 X 3,5</v>
      </c>
      <c r="C24638" s="2" t="str">
        <f>"BR"</f>
        <v>BR</v>
      </c>
      <c r="D24638" s="7">
        <v>808</v>
      </c>
      <c r="E24638" s="3">
        <v>10</v>
      </c>
      <c r="F24638" s="3">
        <v>10</v>
      </c>
      <c r="G24638" t="s">
        <v>515</v>
      </c>
    </row>
    <row r="24639" spans="1:7" x14ac:dyDescent="0.25">
      <c r="A24639" s="1" t="str">
        <f>"513766"</f>
        <v>513766</v>
      </c>
      <c r="B24639" s="2" t="str">
        <f>"TUBO POLIT. 1 1/2 X 3,5"</f>
        <v>TUBO POLIT. 1 1/2 X 3,5</v>
      </c>
      <c r="C24639" s="2" t="str">
        <f>"UN"</f>
        <v>UN</v>
      </c>
      <c r="D24639" s="7">
        <v>919</v>
      </c>
      <c r="E24639" s="3">
        <v>9</v>
      </c>
      <c r="F24639" s="3">
        <v>9</v>
      </c>
      <c r="G24639" t="s">
        <v>514</v>
      </c>
    </row>
    <row r="24640" spans="1:7" x14ac:dyDescent="0.25">
      <c r="A24640" s="1" t="str">
        <f>"508126"</f>
        <v>508126</v>
      </c>
      <c r="B24640" s="2" t="str">
        <f>"TUBO PRESSÃO EMBREAGEM"</f>
        <v>TUBO PRESSÃO EMBREAGEM</v>
      </c>
      <c r="C24640" s="2" t="str">
        <f>"UN"</f>
        <v>UN</v>
      </c>
      <c r="D24640" s="7">
        <v>704</v>
      </c>
      <c r="E24640" s="3">
        <v>9</v>
      </c>
      <c r="F24640" s="3">
        <v>9</v>
      </c>
      <c r="G24640" t="s">
        <v>512</v>
      </c>
    </row>
    <row r="24641" spans="1:7" x14ac:dyDescent="0.25">
      <c r="A24641" s="1" t="str">
        <f>"501615"</f>
        <v>501615</v>
      </c>
      <c r="B24641" s="2" t="str">
        <f>"TUBO PRETO 4.1/2"""</f>
        <v>TUBO PRETO 4.1/2"</v>
      </c>
      <c r="C24641" s="2" t="str">
        <f t="shared" ref="C24641:C24649" si="968">"BR"</f>
        <v>BR</v>
      </c>
      <c r="D24641" s="7">
        <v>808</v>
      </c>
      <c r="E24641" s="3">
        <v>10</v>
      </c>
      <c r="F24641" s="3">
        <v>10</v>
      </c>
      <c r="G24641" t="s">
        <v>513</v>
      </c>
    </row>
    <row r="24642" spans="1:7" x14ac:dyDescent="0.25">
      <c r="A24642" s="1" t="str">
        <f>"501605"</f>
        <v>501605</v>
      </c>
      <c r="B24642" s="2" t="str">
        <f>"TUBO PRETO C/C DIN 2440 1 1/4"" NBR 5580"</f>
        <v>TUBO PRETO C/C DIN 2440 1 1/4" NBR 5580</v>
      </c>
      <c r="C24642" s="2" t="str">
        <f t="shared" si="968"/>
        <v>BR</v>
      </c>
      <c r="D24642" s="7">
        <v>808</v>
      </c>
      <c r="E24642" s="3">
        <v>10</v>
      </c>
      <c r="F24642" s="3">
        <v>10</v>
      </c>
      <c r="G24642" t="s">
        <v>514</v>
      </c>
    </row>
    <row r="24643" spans="1:7" x14ac:dyDescent="0.25">
      <c r="A24643" s="1" t="str">
        <f>"501661"</f>
        <v>501661</v>
      </c>
      <c r="B24643" s="2" t="str">
        <f>"TUBO PRETO C/C DIN 2440 3""NBR 5580"</f>
        <v>TUBO PRETO C/C DIN 2440 3"NBR 5580</v>
      </c>
      <c r="C24643" s="2" t="str">
        <f t="shared" si="968"/>
        <v>BR</v>
      </c>
      <c r="D24643" s="7">
        <v>808</v>
      </c>
      <c r="E24643" s="3">
        <v>10</v>
      </c>
      <c r="F24643" s="3">
        <v>10</v>
      </c>
      <c r="G24643" t="s">
        <v>514</v>
      </c>
    </row>
    <row r="24644" spans="1:7" x14ac:dyDescent="0.25">
      <c r="A24644" s="1" t="str">
        <f>"501512"</f>
        <v>501512</v>
      </c>
      <c r="B24644" s="2" t="str">
        <f>"TUBO PRETO C/C DIN 2440 3/4 NBR"</f>
        <v>TUBO PRETO C/C DIN 2440 3/4 NBR</v>
      </c>
      <c r="C24644" s="2" t="str">
        <f t="shared" si="968"/>
        <v>BR</v>
      </c>
      <c r="D24644" s="7">
        <v>808</v>
      </c>
      <c r="E24644" s="3">
        <v>10</v>
      </c>
      <c r="F24644" s="3">
        <v>10</v>
      </c>
      <c r="G24644" t="s">
        <v>512</v>
      </c>
    </row>
    <row r="24645" spans="1:7" x14ac:dyDescent="0.25">
      <c r="A24645" s="1" t="str">
        <f>"501603"</f>
        <v>501603</v>
      </c>
      <c r="B24645" s="2" t="str">
        <f>"TUBO PRETO C/C PAREDE 2MM DE 4"" EXTERNO"</f>
        <v>TUBO PRETO C/C PAREDE 2MM DE 4" EXTERNO</v>
      </c>
      <c r="C24645" s="2" t="str">
        <f t="shared" si="968"/>
        <v>BR</v>
      </c>
      <c r="D24645" s="7">
        <v>808</v>
      </c>
      <c r="E24645" s="3">
        <v>10</v>
      </c>
      <c r="F24645" s="3">
        <v>10</v>
      </c>
      <c r="G24645" t="s">
        <v>513</v>
      </c>
    </row>
    <row r="24646" spans="1:7" x14ac:dyDescent="0.25">
      <c r="A24646" s="1" t="str">
        <f>"501662"</f>
        <v>501662</v>
      </c>
      <c r="B24646" s="2" t="str">
        <f>"TUBO PRETO C/C/ DIN 2440  1 NBR 5580"</f>
        <v>TUBO PRETO C/C/ DIN 2440  1 NBR 5580</v>
      </c>
      <c r="C24646" s="2" t="str">
        <f t="shared" si="968"/>
        <v>BR</v>
      </c>
      <c r="D24646" s="7">
        <v>808</v>
      </c>
      <c r="E24646" s="3">
        <v>10</v>
      </c>
      <c r="F24646" s="3">
        <v>10</v>
      </c>
      <c r="G24646" t="s">
        <v>514</v>
      </c>
    </row>
    <row r="24647" spans="1:7" x14ac:dyDescent="0.25">
      <c r="A24647" s="1" t="str">
        <f>"505478"</f>
        <v>505478</v>
      </c>
      <c r="B24647" s="2" t="str">
        <f>"TUBO PRETO C/COSTURA 2""1/2"" - 3,52MM"</f>
        <v>TUBO PRETO C/COSTURA 2"1/2" - 3,52MM</v>
      </c>
      <c r="C24647" s="2" t="str">
        <f t="shared" si="968"/>
        <v>BR</v>
      </c>
      <c r="D24647" s="7">
        <v>808</v>
      </c>
      <c r="E24647" s="3">
        <v>10</v>
      </c>
      <c r="F24647" s="3">
        <v>10</v>
      </c>
      <c r="G24647" t="s">
        <v>514</v>
      </c>
    </row>
    <row r="24648" spans="1:7" x14ac:dyDescent="0.25">
      <c r="A24648" s="1" t="str">
        <f>"502861"</f>
        <v>502861</v>
      </c>
      <c r="B24648" s="2" t="str">
        <f>"TUBO PRETO RETANGULAR 40X20MM"</f>
        <v>TUBO PRETO RETANGULAR 40X20MM</v>
      </c>
      <c r="C24648" s="2" t="str">
        <f t="shared" si="968"/>
        <v>BR</v>
      </c>
      <c r="D24648" s="7">
        <v>808</v>
      </c>
      <c r="E24648" s="3">
        <v>10</v>
      </c>
      <c r="F24648" s="3">
        <v>10</v>
      </c>
      <c r="G24648" t="s">
        <v>514</v>
      </c>
    </row>
    <row r="24649" spans="1:7" x14ac:dyDescent="0.25">
      <c r="A24649" s="1" t="str">
        <f>"501604"</f>
        <v>501604</v>
      </c>
      <c r="B24649" s="2" t="str">
        <f>"TUBO PRETO S/ C DIN 2440 2"" NBR 5580"</f>
        <v>TUBO PRETO S/ C DIN 2440 2" NBR 5580</v>
      </c>
      <c r="C24649" s="2" t="str">
        <f t="shared" si="968"/>
        <v>BR</v>
      </c>
      <c r="D24649" s="7">
        <v>808</v>
      </c>
      <c r="E24649" s="3">
        <v>10</v>
      </c>
      <c r="F24649" s="3">
        <v>10</v>
      </c>
      <c r="G24649" t="s">
        <v>513</v>
      </c>
    </row>
    <row r="24650" spans="1:7" x14ac:dyDescent="0.25">
      <c r="A24650" s="1" t="str">
        <f>"505482"</f>
        <v>505482</v>
      </c>
      <c r="B24650" s="2" t="str">
        <f>"TUBO PRETO S/COSTURA 1""1/2"" - 3,68MM"</f>
        <v>TUBO PRETO S/COSTURA 1"1/2" - 3,68MM</v>
      </c>
      <c r="C24650" s="2" t="str">
        <f>"UN"</f>
        <v>UN</v>
      </c>
      <c r="D24650" s="7">
        <v>402</v>
      </c>
      <c r="E24650" s="3">
        <v>4</v>
      </c>
      <c r="F24650" s="3">
        <v>4</v>
      </c>
      <c r="G24650" t="s">
        <v>512</v>
      </c>
    </row>
    <row r="24651" spans="1:7" x14ac:dyDescent="0.25">
      <c r="A24651" s="1" t="str">
        <f>"505481"</f>
        <v>505481</v>
      </c>
      <c r="B24651" s="2" t="str">
        <f>"TUBO PRETO S/COSTURA 2""1/2"" - 3,35MM"</f>
        <v>TUBO PRETO S/COSTURA 2"1/2" - 3,35MM</v>
      </c>
      <c r="C24651" s="2" t="str">
        <f>"UN"</f>
        <v>UN</v>
      </c>
      <c r="D24651" s="7">
        <v>402</v>
      </c>
      <c r="E24651" s="3">
        <v>4</v>
      </c>
      <c r="F24651" s="3">
        <v>4</v>
      </c>
      <c r="G24651" t="s">
        <v>513</v>
      </c>
    </row>
    <row r="24652" spans="1:7" x14ac:dyDescent="0.25">
      <c r="A24652" s="1" t="str">
        <f>"505483"</f>
        <v>505483</v>
      </c>
      <c r="B24652" s="2" t="str">
        <f>"TUBO PRETO S/COSTURA 3/4"" - 2,87MM"</f>
        <v>TUBO PRETO S/COSTURA 3/4" - 2,87MM</v>
      </c>
      <c r="C24652" s="2" t="str">
        <f>"UN"</f>
        <v>UN</v>
      </c>
      <c r="D24652" s="7">
        <v>402</v>
      </c>
      <c r="E24652" s="3">
        <v>4</v>
      </c>
      <c r="F24652" s="3">
        <v>4</v>
      </c>
      <c r="G24652" t="s">
        <v>514</v>
      </c>
    </row>
    <row r="24653" spans="1:7" x14ac:dyDescent="0.25">
      <c r="A24653" s="1" t="str">
        <f>"511158"</f>
        <v>511158</v>
      </c>
      <c r="B24653" s="2" t="str">
        <f>"TUBO PTFE 1/8"" 501.0002.101"</f>
        <v>TUBO PTFE 1/8" 501.0002.101</v>
      </c>
      <c r="C24653" s="2" t="str">
        <f>"UN"</f>
        <v>UN</v>
      </c>
      <c r="D24653" s="7">
        <v>913</v>
      </c>
      <c r="E24653" s="3">
        <v>11</v>
      </c>
      <c r="F24653" s="3">
        <v>11</v>
      </c>
      <c r="G24653" t="s">
        <v>514</v>
      </c>
    </row>
    <row r="24654" spans="1:7" x14ac:dyDescent="0.25">
      <c r="A24654" s="1" t="str">
        <f>"500370"</f>
        <v>500370</v>
      </c>
      <c r="B24654" s="2" t="str">
        <f>"TUBO PVC -   1"" MARROM"</f>
        <v>TUBO PVC -   1" MARROM</v>
      </c>
      <c r="C24654" s="2" t="str">
        <f t="shared" ref="C24654:C24661" si="969">"BR"</f>
        <v>BR</v>
      </c>
      <c r="D24654" s="7">
        <v>808</v>
      </c>
      <c r="E24654" s="3">
        <v>10</v>
      </c>
      <c r="F24654" s="3">
        <v>10</v>
      </c>
      <c r="G24654" t="s">
        <v>514</v>
      </c>
    </row>
    <row r="24655" spans="1:7" x14ac:dyDescent="0.25">
      <c r="A24655" s="1" t="str">
        <f>"516229"</f>
        <v>516229</v>
      </c>
      <c r="B24655" s="2" t="str">
        <f>"TUBO PVC -   140MM OCRE"</f>
        <v>TUBO PVC -   140MM OCRE</v>
      </c>
      <c r="C24655" s="2" t="str">
        <f t="shared" si="969"/>
        <v>BR</v>
      </c>
      <c r="D24655" s="7">
        <v>808</v>
      </c>
      <c r="E24655" s="3">
        <v>10</v>
      </c>
      <c r="F24655" s="3">
        <v>10</v>
      </c>
      <c r="G24655" t="s">
        <v>513</v>
      </c>
    </row>
    <row r="24656" spans="1:7" x14ac:dyDescent="0.25">
      <c r="A24656" s="1" t="str">
        <f>"500337"</f>
        <v>500337</v>
      </c>
      <c r="B24656" s="2" t="str">
        <f>"TUBO PVC - 1/2"" MARROM"</f>
        <v>TUBO PVC - 1/2" MARROM</v>
      </c>
      <c r="C24656" s="2" t="str">
        <f t="shared" si="969"/>
        <v>BR</v>
      </c>
      <c r="D24656" s="7">
        <v>808</v>
      </c>
      <c r="E24656" s="3">
        <v>10</v>
      </c>
      <c r="F24656" s="3">
        <v>10</v>
      </c>
      <c r="G24656" t="s">
        <v>513</v>
      </c>
    </row>
    <row r="24657" spans="1:7" x14ac:dyDescent="0.25">
      <c r="A24657" s="1" t="str">
        <f>"500321"</f>
        <v>500321</v>
      </c>
      <c r="B24657" s="2" t="str">
        <f>"TUBO PVC - 3/4"" MARROM"</f>
        <v>TUBO PVC - 3/4" MARROM</v>
      </c>
      <c r="C24657" s="2" t="str">
        <f t="shared" si="969"/>
        <v>BR</v>
      </c>
      <c r="D24657" s="7">
        <v>808</v>
      </c>
      <c r="E24657" s="3">
        <v>10</v>
      </c>
      <c r="F24657" s="3">
        <v>10</v>
      </c>
      <c r="G24657" t="s">
        <v>513</v>
      </c>
    </row>
    <row r="24658" spans="1:7" x14ac:dyDescent="0.25">
      <c r="A24658" s="1" t="str">
        <f>"519381"</f>
        <v>519381</v>
      </c>
      <c r="B24658" s="2" t="str">
        <f>"TUBO PVC - 85MM MARRON"</f>
        <v>TUBO PVC - 85MM MARRON</v>
      </c>
      <c r="C24658" s="2" t="str">
        <f t="shared" si="969"/>
        <v>BR</v>
      </c>
      <c r="D24658" s="7">
        <v>808</v>
      </c>
      <c r="E24658" s="3">
        <v>10</v>
      </c>
      <c r="F24658" s="3">
        <v>10</v>
      </c>
      <c r="G24658" t="s">
        <v>512</v>
      </c>
    </row>
    <row r="24659" spans="1:7" x14ac:dyDescent="0.25">
      <c r="A24659" s="1" t="str">
        <f>"507629"</f>
        <v>507629</v>
      </c>
      <c r="B24659" s="2" t="str">
        <f>"TUBO PVC 1 1/4"" MARROM"</f>
        <v>TUBO PVC 1 1/4" MARROM</v>
      </c>
      <c r="C24659" s="2" t="str">
        <f t="shared" si="969"/>
        <v>BR</v>
      </c>
      <c r="D24659" s="7">
        <v>808</v>
      </c>
      <c r="E24659" s="3">
        <v>10</v>
      </c>
      <c r="F24659" s="3">
        <v>10</v>
      </c>
      <c r="G24659" t="s">
        <v>513</v>
      </c>
    </row>
    <row r="24660" spans="1:7" x14ac:dyDescent="0.25">
      <c r="A24660" s="1" t="str">
        <f>"521933"</f>
        <v>521933</v>
      </c>
      <c r="B24660" s="2" t="str">
        <f>"TUBO PVC 100MM"</f>
        <v>TUBO PVC 100MM</v>
      </c>
      <c r="C24660" s="2" t="str">
        <f t="shared" si="969"/>
        <v>BR</v>
      </c>
      <c r="D24660" s="7">
        <v>809</v>
      </c>
      <c r="E24660" s="3">
        <v>10</v>
      </c>
      <c r="F24660" s="3">
        <v>10</v>
      </c>
      <c r="G24660" t="s">
        <v>514</v>
      </c>
    </row>
    <row r="24661" spans="1:7" x14ac:dyDescent="0.25">
      <c r="A24661" s="1" t="str">
        <f>"518438"</f>
        <v>518438</v>
      </c>
      <c r="B24661" s="2" t="str">
        <f>"TUBO PVC 140/160MM - MARROM"</f>
        <v>TUBO PVC 140/160MM - MARROM</v>
      </c>
      <c r="C24661" s="2" t="str">
        <f t="shared" si="969"/>
        <v>BR</v>
      </c>
      <c r="D24661" s="7">
        <v>807</v>
      </c>
      <c r="E24661" s="3">
        <v>10</v>
      </c>
      <c r="F24661" s="3">
        <v>10</v>
      </c>
      <c r="G24661" t="s">
        <v>515</v>
      </c>
    </row>
    <row r="24662" spans="1:7" x14ac:dyDescent="0.25">
      <c r="A24662" s="1" t="str">
        <f>"510473"</f>
        <v>510473</v>
      </c>
      <c r="B24662" s="2" t="str">
        <f>"TUBO PVC 40MM - MARROM"</f>
        <v>TUBO PVC 40MM - MARROM</v>
      </c>
      <c r="C24662" s="2" t="str">
        <f>"UN"</f>
        <v>UN</v>
      </c>
      <c r="D24662" s="7">
        <v>912</v>
      </c>
      <c r="E24662" s="3">
        <v>11</v>
      </c>
      <c r="F24662" s="3">
        <v>11</v>
      </c>
      <c r="G24662" t="s">
        <v>512</v>
      </c>
    </row>
    <row r="24663" spans="1:7" x14ac:dyDescent="0.25">
      <c r="A24663" s="1" t="str">
        <f>"501521"</f>
        <v>501521</v>
      </c>
      <c r="B24663" s="2" t="str">
        <f>"TUBO PVC 50MM - MARROM"</f>
        <v>TUBO PVC 50MM - MARROM</v>
      </c>
      <c r="C24663" s="2" t="str">
        <f>"BR"</f>
        <v>BR</v>
      </c>
      <c r="D24663" s="7">
        <v>808</v>
      </c>
      <c r="E24663" s="3">
        <v>10</v>
      </c>
      <c r="F24663" s="3">
        <v>10</v>
      </c>
      <c r="G24663" t="s">
        <v>516</v>
      </c>
    </row>
    <row r="24664" spans="1:7" x14ac:dyDescent="0.25">
      <c r="A24664" s="1" t="str">
        <f>"513432"</f>
        <v>513432</v>
      </c>
      <c r="B24664" s="2" t="str">
        <f>"TUBO PVC 60MM - MARROM"</f>
        <v>TUBO PVC 60MM - MARROM</v>
      </c>
      <c r="C24664" s="2" t="str">
        <f>"BR"</f>
        <v>BR</v>
      </c>
      <c r="D24664" s="7">
        <v>808</v>
      </c>
      <c r="E24664" s="3">
        <v>10</v>
      </c>
      <c r="F24664" s="3">
        <v>10</v>
      </c>
      <c r="G24664" t="s">
        <v>515</v>
      </c>
    </row>
    <row r="24665" spans="1:7" x14ac:dyDescent="0.25">
      <c r="A24665" s="1" t="str">
        <f>"518353"</f>
        <v>518353</v>
      </c>
      <c r="B24665" s="2" t="str">
        <f>"TUBO PVC BRANCO ROSCA 1/2"</f>
        <v>TUBO PVC BRANCO ROSCA 1/2</v>
      </c>
      <c r="C24665" s="2" t="str">
        <f>"BR"</f>
        <v>BR</v>
      </c>
      <c r="D24665" s="7">
        <v>912</v>
      </c>
      <c r="E24665" s="3">
        <v>10</v>
      </c>
      <c r="F24665" s="3">
        <v>10</v>
      </c>
      <c r="G24665" t="s">
        <v>514</v>
      </c>
    </row>
    <row r="24666" spans="1:7" x14ac:dyDescent="0.25">
      <c r="A24666" s="1" t="str">
        <f>"510808"</f>
        <v>510808</v>
      </c>
      <c r="B24666" s="2" t="str">
        <f>"TUBO PVC MARROM 3"""</f>
        <v>TUBO PVC MARROM 3"</v>
      </c>
      <c r="C24666" s="2" t="str">
        <f>"UN"</f>
        <v>UN</v>
      </c>
      <c r="D24666" s="7">
        <v>912</v>
      </c>
      <c r="E24666" s="3">
        <v>11</v>
      </c>
      <c r="F24666" s="3">
        <v>11</v>
      </c>
      <c r="G24666" t="s">
        <v>512</v>
      </c>
    </row>
    <row r="24667" spans="1:7" x14ac:dyDescent="0.25">
      <c r="A24667" s="1" t="str">
        <f>"524653"</f>
        <v>524653</v>
      </c>
      <c r="B24667" s="2" t="str">
        <f>"TUBO PVC MARRON 75MM"</f>
        <v>TUBO PVC MARRON 75MM</v>
      </c>
      <c r="C24667" s="2" t="str">
        <f>"UN"</f>
        <v>UN</v>
      </c>
      <c r="D24667" s="7">
        <v>807</v>
      </c>
      <c r="E24667" s="3">
        <v>10</v>
      </c>
      <c r="F24667" s="3">
        <v>10</v>
      </c>
      <c r="G24667" t="s">
        <v>513</v>
      </c>
    </row>
    <row r="24668" spans="1:7" x14ac:dyDescent="0.25">
      <c r="A24668" s="1" t="str">
        <f>"522079"</f>
        <v>522079</v>
      </c>
      <c r="B24668" s="2" t="str">
        <f>"TUBO PVC SERIE R C/ DN 100MM"</f>
        <v>TUBO PVC SERIE R C/ DN 100MM</v>
      </c>
      <c r="C24668" s="2" t="str">
        <f>"BR"</f>
        <v>BR</v>
      </c>
      <c r="D24668" s="7">
        <v>809</v>
      </c>
      <c r="E24668" s="3">
        <v>10</v>
      </c>
      <c r="F24668" s="3">
        <v>10</v>
      </c>
      <c r="G24668" t="s">
        <v>514</v>
      </c>
    </row>
    <row r="24669" spans="1:7" x14ac:dyDescent="0.25">
      <c r="A24669" s="1" t="str">
        <f>"521934"</f>
        <v>521934</v>
      </c>
      <c r="B24669" s="2" t="str">
        <f>"TUBO PVC SERIE R C/ DN 150MM"</f>
        <v>TUBO PVC SERIE R C/ DN 150MM</v>
      </c>
      <c r="C24669" s="2" t="str">
        <f>"BR"</f>
        <v>BR</v>
      </c>
      <c r="D24669" s="7">
        <v>809</v>
      </c>
      <c r="E24669" s="3">
        <v>10</v>
      </c>
      <c r="F24669" s="3">
        <v>10</v>
      </c>
      <c r="G24669" t="s">
        <v>514</v>
      </c>
    </row>
    <row r="24670" spans="1:7" x14ac:dyDescent="0.25">
      <c r="A24670" s="1" t="str">
        <f>"522074"</f>
        <v>522074</v>
      </c>
      <c r="B24670" s="2" t="str">
        <f>"TUBO PVC SERIE R C/ DN 50MM"</f>
        <v>TUBO PVC SERIE R C/ DN 50MM</v>
      </c>
      <c r="C24670" s="2" t="str">
        <f>"BR"</f>
        <v>BR</v>
      </c>
      <c r="D24670" s="7">
        <v>809</v>
      </c>
      <c r="E24670" s="3">
        <v>10</v>
      </c>
      <c r="F24670" s="3">
        <v>10</v>
      </c>
      <c r="G24670" t="s">
        <v>512</v>
      </c>
    </row>
    <row r="24671" spans="1:7" x14ac:dyDescent="0.25">
      <c r="A24671" s="1" t="str">
        <f>"527605"</f>
        <v>527605</v>
      </c>
      <c r="B24671" s="2" t="str">
        <f>"TUBO QUADRADO 100 X 100 X 3MM PE INOX 304"</f>
        <v>TUBO QUADRADO 100 X 100 X 3MM PE INOX 304</v>
      </c>
      <c r="C24671" s="2" t="str">
        <f t="shared" ref="C24671:C24683" si="970">"PC"</f>
        <v>PC</v>
      </c>
      <c r="D24671" s="7">
        <v>806</v>
      </c>
      <c r="E24671" s="3">
        <v>10</v>
      </c>
      <c r="F24671" s="3">
        <v>10</v>
      </c>
      <c r="G24671" t="s">
        <v>513</v>
      </c>
    </row>
    <row r="24672" spans="1:7" x14ac:dyDescent="0.25">
      <c r="A24672" s="1" t="str">
        <f>"527333"</f>
        <v>527333</v>
      </c>
      <c r="B24672" s="2" t="str">
        <f>"TUBO QUADRADO 20x50 # 1,2MM INOX 304"</f>
        <v>TUBO QUADRADO 20x50 # 1,2MM INOX 304</v>
      </c>
      <c r="C24672" s="2" t="str">
        <f t="shared" si="970"/>
        <v>PC</v>
      </c>
      <c r="D24672" s="7">
        <v>806</v>
      </c>
      <c r="E24672" s="3">
        <v>10</v>
      </c>
      <c r="F24672" s="3">
        <v>10</v>
      </c>
      <c r="G24672" t="s">
        <v>514</v>
      </c>
    </row>
    <row r="24673" spans="1:7" x14ac:dyDescent="0.25">
      <c r="A24673" s="1" t="str">
        <f>"505014"</f>
        <v>505014</v>
      </c>
      <c r="B24673" s="2" t="str">
        <f>"TUBO QUADRADO 25X25 # 1,5MM INOX 304 ESCOVADO"</f>
        <v>TUBO QUADRADO 25X25 # 1,5MM INOX 304 ESCOVADO</v>
      </c>
      <c r="C24673" s="2" t="str">
        <f t="shared" si="970"/>
        <v>PC</v>
      </c>
      <c r="D24673" s="7">
        <v>806</v>
      </c>
      <c r="E24673" s="3">
        <v>10</v>
      </c>
      <c r="F24673" s="3">
        <v>10</v>
      </c>
      <c r="G24673" t="s">
        <v>514</v>
      </c>
    </row>
    <row r="24674" spans="1:7" x14ac:dyDescent="0.25">
      <c r="A24674" s="1" t="str">
        <f>"523186"</f>
        <v>523186</v>
      </c>
      <c r="B24674" s="2" t="str">
        <f>"TUBO QUADRADO 30x30 # 2MM INOX 304"</f>
        <v>TUBO QUADRADO 30x30 # 2MM INOX 304</v>
      </c>
      <c r="C24674" s="2" t="str">
        <f t="shared" si="970"/>
        <v>PC</v>
      </c>
      <c r="D24674" s="7">
        <v>806</v>
      </c>
      <c r="E24674" s="3">
        <v>10</v>
      </c>
      <c r="F24674" s="3">
        <v>10</v>
      </c>
      <c r="G24674" t="s">
        <v>514</v>
      </c>
    </row>
    <row r="24675" spans="1:7" x14ac:dyDescent="0.25">
      <c r="A24675" s="1" t="str">
        <f>"522498"</f>
        <v>522498</v>
      </c>
      <c r="B24675" s="2" t="str">
        <f>"TUBO QUADRADO 30x50 # 1,5MM INOX 304 ESCOVADO"</f>
        <v>TUBO QUADRADO 30x50 # 1,5MM INOX 304 ESCOVADO</v>
      </c>
      <c r="C24675" s="2" t="str">
        <f t="shared" si="970"/>
        <v>PC</v>
      </c>
      <c r="D24675" s="7">
        <v>806</v>
      </c>
      <c r="E24675" s="3">
        <v>10</v>
      </c>
      <c r="F24675" s="3">
        <v>10</v>
      </c>
      <c r="G24675" t="s">
        <v>513</v>
      </c>
    </row>
    <row r="24676" spans="1:7" x14ac:dyDescent="0.25">
      <c r="A24676" s="1" t="str">
        <f>"527604"</f>
        <v>527604</v>
      </c>
      <c r="B24676" s="2" t="str">
        <f>"TUBO QUADRADO 40 X 40 X 3MM PE INOX 304"</f>
        <v>TUBO QUADRADO 40 X 40 X 3MM PE INOX 304</v>
      </c>
      <c r="C24676" s="2" t="str">
        <f t="shared" si="970"/>
        <v>PC</v>
      </c>
      <c r="D24676" s="7">
        <v>806</v>
      </c>
      <c r="E24676" s="3">
        <v>10</v>
      </c>
      <c r="F24676" s="3">
        <v>10</v>
      </c>
      <c r="G24676" t="s">
        <v>512</v>
      </c>
    </row>
    <row r="24677" spans="1:7" x14ac:dyDescent="0.25">
      <c r="A24677" s="1" t="str">
        <f>"522204"</f>
        <v>522204</v>
      </c>
      <c r="B24677" s="2" t="str">
        <f>"TUBO QUADRADO 40X40 # 1,5MM INOX 304"</f>
        <v>TUBO QUADRADO 40X40 # 1,5MM INOX 304</v>
      </c>
      <c r="C24677" s="2" t="str">
        <f t="shared" si="970"/>
        <v>PC</v>
      </c>
      <c r="D24677" s="7">
        <v>806</v>
      </c>
      <c r="E24677" s="3">
        <v>10</v>
      </c>
      <c r="F24677" s="3">
        <v>10</v>
      </c>
      <c r="G24677" t="s">
        <v>513</v>
      </c>
    </row>
    <row r="24678" spans="1:7" x14ac:dyDescent="0.25">
      <c r="A24678" s="1" t="str">
        <f>"523187"</f>
        <v>523187</v>
      </c>
      <c r="B24678" s="2" t="str">
        <f>"TUBO QUADRADO 40x40 # 2MM INOX 304"</f>
        <v>TUBO QUADRADO 40x40 # 2MM INOX 304</v>
      </c>
      <c r="C24678" s="2" t="str">
        <f t="shared" si="970"/>
        <v>PC</v>
      </c>
      <c r="D24678" s="7">
        <v>806</v>
      </c>
      <c r="E24678" s="3">
        <v>10</v>
      </c>
      <c r="F24678" s="3">
        <v>10</v>
      </c>
      <c r="G24678" t="s">
        <v>514</v>
      </c>
    </row>
    <row r="24679" spans="1:7" x14ac:dyDescent="0.25">
      <c r="A24679" s="1" t="str">
        <f>"502249"</f>
        <v>502249</v>
      </c>
      <c r="B24679" s="2" t="str">
        <f>"TUBO QUADRADO 50X50 # 1,5MM INOX 304 ESCOVADO"</f>
        <v>TUBO QUADRADO 50X50 # 1,5MM INOX 304 ESCOVADO</v>
      </c>
      <c r="C24679" s="2" t="str">
        <f t="shared" si="970"/>
        <v>PC</v>
      </c>
      <c r="D24679" s="7">
        <v>806</v>
      </c>
      <c r="E24679" s="3">
        <v>10</v>
      </c>
      <c r="F24679" s="3">
        <v>10</v>
      </c>
      <c r="G24679" t="s">
        <v>514</v>
      </c>
    </row>
    <row r="24680" spans="1:7" x14ac:dyDescent="0.25">
      <c r="A24680" s="1" t="str">
        <f>"524418"</f>
        <v>524418</v>
      </c>
      <c r="B24680" s="2" t="str">
        <f>"TUBO QUADRADO 60x40 #2MM INOX 304"</f>
        <v>TUBO QUADRADO 60x40 #2MM INOX 304</v>
      </c>
      <c r="C24680" s="2" t="str">
        <f t="shared" si="970"/>
        <v>PC</v>
      </c>
      <c r="D24680" s="7">
        <v>806</v>
      </c>
      <c r="E24680" s="3">
        <v>10</v>
      </c>
      <c r="F24680" s="3">
        <v>10</v>
      </c>
      <c r="G24680" t="s">
        <v>514</v>
      </c>
    </row>
    <row r="24681" spans="1:7" x14ac:dyDescent="0.25">
      <c r="A24681" s="1" t="str">
        <f>"522465"</f>
        <v>522465</v>
      </c>
      <c r="B24681" s="2" t="str">
        <f>"TUBO QUADRADO 60X60 # 1,5MM INOX 304 ESCOVADO"</f>
        <v>TUBO QUADRADO 60X60 # 1,5MM INOX 304 ESCOVADO</v>
      </c>
      <c r="C24681" s="2" t="str">
        <f t="shared" si="970"/>
        <v>PC</v>
      </c>
      <c r="D24681" s="7">
        <v>806</v>
      </c>
      <c r="E24681" s="3">
        <v>10</v>
      </c>
      <c r="F24681" s="3">
        <v>10</v>
      </c>
      <c r="G24681" t="s">
        <v>513</v>
      </c>
    </row>
    <row r="24682" spans="1:7" x14ac:dyDescent="0.25">
      <c r="A24682" s="1" t="str">
        <f>"523188"</f>
        <v>523188</v>
      </c>
      <c r="B24682" s="2" t="str">
        <f>"TUBO QUADRADO 60x60 # 2MM INOX 304"</f>
        <v>TUBO QUADRADO 60x60 # 2MM INOX 304</v>
      </c>
      <c r="C24682" s="2" t="str">
        <f t="shared" si="970"/>
        <v>PC</v>
      </c>
      <c r="D24682" s="7">
        <v>806</v>
      </c>
      <c r="E24682" s="3">
        <v>10</v>
      </c>
      <c r="F24682" s="3">
        <v>10</v>
      </c>
      <c r="G24682" t="s">
        <v>513</v>
      </c>
    </row>
    <row r="24683" spans="1:7" x14ac:dyDescent="0.25">
      <c r="A24683" s="1" t="str">
        <f>"527184"</f>
        <v>527184</v>
      </c>
      <c r="B24683" s="2" t="str">
        <f>"TUBO QUADRADO 80x80 # 2MM FG"</f>
        <v>TUBO QUADRADO 80x80 # 2MM FG</v>
      </c>
      <c r="C24683" s="2" t="str">
        <f t="shared" si="970"/>
        <v>PC</v>
      </c>
      <c r="D24683" s="7">
        <v>806</v>
      </c>
      <c r="E24683" s="3">
        <v>10</v>
      </c>
      <c r="F24683" s="3">
        <v>10</v>
      </c>
      <c r="G24683" t="s">
        <v>513</v>
      </c>
    </row>
    <row r="24684" spans="1:7" x14ac:dyDescent="0.25">
      <c r="A24684" s="1" t="str">
        <f>"501837"</f>
        <v>501837</v>
      </c>
      <c r="B24684" s="2" t="str">
        <f>"TUBO QUADRADO 80X80#1/4"</f>
        <v>TUBO QUADRADO 80X80#1/4</v>
      </c>
      <c r="C24684" s="2" t="str">
        <f>"UN"</f>
        <v>UN</v>
      </c>
      <c r="D24684" s="7">
        <v>704</v>
      </c>
      <c r="E24684" s="3">
        <v>9</v>
      </c>
      <c r="F24684" s="3">
        <v>9</v>
      </c>
      <c r="G24684" t="s">
        <v>512</v>
      </c>
    </row>
    <row r="24685" spans="1:7" x14ac:dyDescent="0.25">
      <c r="A24685" s="1" t="str">
        <f>"519534"</f>
        <v>519534</v>
      </c>
      <c r="B24685" s="2" t="str">
        <f>"TUBO REFRIGERAÇÃO COD D-4399-54516 2/22/1433/11"</f>
        <v>TUBO REFRIGERAÇÃO COD D-4399-54516 2/22/1433/11</v>
      </c>
      <c r="C24685" s="2" t="str">
        <f>"UN"</f>
        <v>UN</v>
      </c>
      <c r="D24685" s="7">
        <v>918</v>
      </c>
      <c r="E24685" s="3">
        <v>11</v>
      </c>
      <c r="F24685" s="3">
        <v>11</v>
      </c>
      <c r="G24685" t="s">
        <v>513</v>
      </c>
    </row>
    <row r="24686" spans="1:7" x14ac:dyDescent="0.25">
      <c r="A24686" s="1" t="str">
        <f>"518033"</f>
        <v>518033</v>
      </c>
      <c r="B24686" s="2" t="str">
        <f>"TUBO REFRIGERAÇÃO PLACA CONTATO"</f>
        <v>TUBO REFRIGERAÇÃO PLACA CONTATO</v>
      </c>
      <c r="C24686" s="2" t="str">
        <f>"UN"</f>
        <v>UN</v>
      </c>
      <c r="D24686" s="7">
        <v>918</v>
      </c>
      <c r="E24686" s="3">
        <v>11</v>
      </c>
      <c r="F24686" s="3">
        <v>11</v>
      </c>
      <c r="G24686" t="s">
        <v>514</v>
      </c>
    </row>
    <row r="24687" spans="1:7" x14ac:dyDescent="0.25">
      <c r="A24687" s="1" t="str">
        <f>"523275"</f>
        <v>523275</v>
      </c>
      <c r="B24687" s="2" t="str">
        <f>"TUBO S/C INOX 304 DEC SCH10 4"""</f>
        <v>TUBO S/C INOX 304 DEC SCH10 4"</v>
      </c>
      <c r="C24687" s="2" t="str">
        <f>"BR"</f>
        <v>BR</v>
      </c>
      <c r="D24687" s="7">
        <v>807</v>
      </c>
      <c r="E24687" s="3">
        <v>10</v>
      </c>
      <c r="F24687" s="3">
        <v>10</v>
      </c>
      <c r="G24687" t="s">
        <v>515</v>
      </c>
    </row>
    <row r="24688" spans="1:7" x14ac:dyDescent="0.25">
      <c r="A24688" s="1" t="str">
        <f>"523278"</f>
        <v>523278</v>
      </c>
      <c r="B24688" s="2" t="str">
        <f>"TUBO S/C INOX 304 DEC SCH10 4"""</f>
        <v>TUBO S/C INOX 304 DEC SCH10 4"</v>
      </c>
      <c r="C24688" s="2" t="str">
        <f>"BR"</f>
        <v>BR</v>
      </c>
      <c r="D24688" s="7">
        <v>807</v>
      </c>
      <c r="E24688" s="3">
        <v>10</v>
      </c>
      <c r="F24688" s="3">
        <v>10</v>
      </c>
      <c r="G24688" t="s">
        <v>512</v>
      </c>
    </row>
    <row r="24689" spans="1:7" x14ac:dyDescent="0.25">
      <c r="A24689" s="1" t="str">
        <f>"523276"</f>
        <v>523276</v>
      </c>
      <c r="B24689" s="2" t="str">
        <f>"TUBO S/C INOX 304 DEC SCH10 6"""</f>
        <v>TUBO S/C INOX 304 DEC SCH10 6"</v>
      </c>
      <c r="C24689" s="2" t="str">
        <f>"BR"</f>
        <v>BR</v>
      </c>
      <c r="D24689" s="7">
        <v>807</v>
      </c>
      <c r="E24689" s="3">
        <v>10</v>
      </c>
      <c r="F24689" s="3">
        <v>10</v>
      </c>
      <c r="G24689" t="s">
        <v>516</v>
      </c>
    </row>
    <row r="24690" spans="1:7" x14ac:dyDescent="0.25">
      <c r="A24690" s="1" t="str">
        <f>"523277"</f>
        <v>523277</v>
      </c>
      <c r="B24690" s="2" t="str">
        <f>"TUBO S/C INOX 304 DEC SCH10 8"""</f>
        <v>TUBO S/C INOX 304 DEC SCH10 8"</v>
      </c>
      <c r="C24690" s="2" t="str">
        <f>"BR"</f>
        <v>BR</v>
      </c>
      <c r="D24690" s="7">
        <v>807</v>
      </c>
      <c r="E24690" s="3">
        <v>10</v>
      </c>
      <c r="F24690" s="3">
        <v>10</v>
      </c>
      <c r="G24690" t="s">
        <v>515</v>
      </c>
    </row>
    <row r="24691" spans="1:7" x14ac:dyDescent="0.25">
      <c r="A24691" s="1" t="str">
        <f>"527910"</f>
        <v>527910</v>
      </c>
      <c r="B24691" s="2" t="str">
        <f>"TUBO SIFAO TIPO ""T"" 1/2""NPT AI304"</f>
        <v>TUBO SIFAO TIPO "T" 1/2"NPT AI304</v>
      </c>
      <c r="C24691" s="2" t="str">
        <f t="shared" ref="C24691:C24701" si="971">"UN"</f>
        <v>UN</v>
      </c>
      <c r="D24691" s="7">
        <v>918</v>
      </c>
      <c r="E24691" s="3">
        <v>10</v>
      </c>
      <c r="F24691" s="3">
        <v>10</v>
      </c>
      <c r="G24691" t="s">
        <v>514</v>
      </c>
    </row>
    <row r="24692" spans="1:7" x14ac:dyDescent="0.25">
      <c r="A24692" s="1" t="str">
        <f>"513325"</f>
        <v>513325</v>
      </c>
      <c r="B24692" s="2" t="str">
        <f>"TUBO SOLDA"</f>
        <v>TUBO SOLDA</v>
      </c>
      <c r="C24692" s="2" t="str">
        <f t="shared" si="971"/>
        <v>UN</v>
      </c>
      <c r="D24692" s="7">
        <v>912</v>
      </c>
      <c r="E24692" s="3">
        <v>11</v>
      </c>
      <c r="F24692" s="3">
        <v>11</v>
      </c>
      <c r="G24692" t="s">
        <v>512</v>
      </c>
    </row>
    <row r="24693" spans="1:7" x14ac:dyDescent="0.25">
      <c r="A24693" s="1" t="str">
        <f>"510100"</f>
        <v>510100</v>
      </c>
      <c r="B24693" s="2" t="str">
        <f>"TUBO SOLDAVEL 1"""</f>
        <v>TUBO SOLDAVEL 1"</v>
      </c>
      <c r="C24693" s="2" t="str">
        <f t="shared" si="971"/>
        <v>UN</v>
      </c>
      <c r="D24693" s="7">
        <v>912</v>
      </c>
      <c r="E24693" s="3">
        <v>11</v>
      </c>
      <c r="F24693" s="3">
        <v>11</v>
      </c>
      <c r="G24693" t="s">
        <v>513</v>
      </c>
    </row>
    <row r="24694" spans="1:7" x14ac:dyDescent="0.25">
      <c r="A24694" s="1" t="str">
        <f>"525256"</f>
        <v>525256</v>
      </c>
      <c r="B24694" s="2" t="str">
        <f>"TUBO SUPORTE 304 F600"</f>
        <v>TUBO SUPORTE 304 F600</v>
      </c>
      <c r="C24694" s="2" t="str">
        <f t="shared" si="971"/>
        <v>UN</v>
      </c>
      <c r="D24694" s="7">
        <v>807</v>
      </c>
      <c r="E24694" s="3">
        <v>10</v>
      </c>
      <c r="F24694" s="3">
        <v>10</v>
      </c>
      <c r="G24694" t="s">
        <v>514</v>
      </c>
    </row>
    <row r="24695" spans="1:7" x14ac:dyDescent="0.25">
      <c r="A24695" s="1" t="str">
        <f>"513014"</f>
        <v>513014</v>
      </c>
      <c r="B24695" s="2" t="str">
        <f>"TUBO TECALON 5MM"</f>
        <v>TUBO TECALON 5MM</v>
      </c>
      <c r="C24695" s="2" t="str">
        <f t="shared" si="971"/>
        <v>UN</v>
      </c>
      <c r="D24695" s="7">
        <v>913</v>
      </c>
      <c r="E24695" s="3">
        <v>11</v>
      </c>
      <c r="F24695" s="3">
        <v>11</v>
      </c>
      <c r="G24695" t="s">
        <v>514</v>
      </c>
    </row>
    <row r="24696" spans="1:7" x14ac:dyDescent="0.25">
      <c r="A24696" s="1" t="str">
        <f>"508125"</f>
        <v>508125</v>
      </c>
      <c r="B24696" s="2" t="str">
        <f>"TUBO TORÇÃO"</f>
        <v>TUBO TORÇÃO</v>
      </c>
      <c r="C24696" s="2" t="str">
        <f t="shared" si="971"/>
        <v>UN</v>
      </c>
      <c r="D24696" s="7">
        <v>704</v>
      </c>
      <c r="E24696" s="3">
        <v>9</v>
      </c>
      <c r="F24696" s="3">
        <v>9</v>
      </c>
      <c r="G24696" t="s">
        <v>512</v>
      </c>
    </row>
    <row r="24697" spans="1:7" x14ac:dyDescent="0.25">
      <c r="A24697" s="1" t="str">
        <f>"518510"</f>
        <v>518510</v>
      </c>
      <c r="B24697" s="2" t="str">
        <f>"TUBO VIDRO SERIGRAFIA I.T.R"</f>
        <v>TUBO VIDRO SERIGRAFIA I.T.R</v>
      </c>
      <c r="C24697" s="2" t="str">
        <f t="shared" si="971"/>
        <v>UN</v>
      </c>
      <c r="D24697" s="7">
        <v>406</v>
      </c>
      <c r="E24697" s="3">
        <v>10</v>
      </c>
      <c r="F24697" s="3">
        <v>10</v>
      </c>
      <c r="G24697" t="s">
        <v>513</v>
      </c>
    </row>
    <row r="24698" spans="1:7" x14ac:dyDescent="0.25">
      <c r="A24698" s="1" t="str">
        <f>"522229"</f>
        <v>522229</v>
      </c>
      <c r="B24698" s="2" t="str">
        <f>"TUBULAÇÕES EM AÇO INOX"</f>
        <v>TUBULAÇÕES EM AÇO INOX</v>
      </c>
      <c r="C24698" s="2" t="str">
        <f t="shared" si="971"/>
        <v>UN</v>
      </c>
      <c r="D24698" s="7">
        <v>807</v>
      </c>
      <c r="E24698" s="3">
        <v>13</v>
      </c>
      <c r="F24698" s="3">
        <v>13</v>
      </c>
      <c r="G24698" t="s">
        <v>514</v>
      </c>
    </row>
    <row r="24699" spans="1:7" x14ac:dyDescent="0.25">
      <c r="A24699" s="1" t="str">
        <f>"517046"</f>
        <v>517046</v>
      </c>
      <c r="B24699" s="2" t="str">
        <f>"TUBULAÇÕES VENTILADOR EM AÇO INOX"</f>
        <v>TUBULAÇÕES VENTILADOR EM AÇO INOX</v>
      </c>
      <c r="C24699" s="2" t="str">
        <f t="shared" si="971"/>
        <v>UN</v>
      </c>
      <c r="D24699" s="7">
        <v>915</v>
      </c>
      <c r="E24699" s="3">
        <v>10</v>
      </c>
      <c r="F24699" s="3">
        <v>10</v>
      </c>
      <c r="G24699" t="s">
        <v>514</v>
      </c>
    </row>
    <row r="24700" spans="1:7" x14ac:dyDescent="0.25">
      <c r="A24700" s="1" t="str">
        <f>"512271"</f>
        <v>512271</v>
      </c>
      <c r="B24700" s="2" t="str">
        <f>"TUCHO M6XM10X15MM"</f>
        <v>TUCHO M6XM10X15MM</v>
      </c>
      <c r="C24700" s="2" t="str">
        <f t="shared" si="971"/>
        <v>UN</v>
      </c>
      <c r="D24700" s="7">
        <v>918</v>
      </c>
      <c r="E24700" s="3">
        <v>11</v>
      </c>
      <c r="F24700" s="3">
        <v>11</v>
      </c>
      <c r="G24700" t="s">
        <v>514</v>
      </c>
    </row>
    <row r="24701" spans="1:7" x14ac:dyDescent="0.25">
      <c r="A24701" s="1" t="str">
        <f>"502189"</f>
        <v>502189</v>
      </c>
      <c r="B24701" s="2" t="str">
        <f>"TUGSTENIO DE 2,5MM"</f>
        <v>TUGSTENIO DE 2,5MM</v>
      </c>
      <c r="C24701" s="2" t="str">
        <f t="shared" si="971"/>
        <v>UN</v>
      </c>
      <c r="D24701" s="7">
        <v>402</v>
      </c>
      <c r="E24701" s="3">
        <v>4</v>
      </c>
      <c r="F24701" s="3">
        <v>4</v>
      </c>
      <c r="G24701" t="s">
        <v>513</v>
      </c>
    </row>
    <row r="24702" spans="1:7" x14ac:dyDescent="0.25">
      <c r="A24702" s="1" t="str">
        <f>"527690"</f>
        <v>527690</v>
      </c>
      <c r="B24702" s="2" t="str">
        <f>"TULE"</f>
        <v>TULE</v>
      </c>
      <c r="C24702" s="2" t="str">
        <f>"MT"</f>
        <v>MT</v>
      </c>
      <c r="D24702" s="7">
        <v>99999</v>
      </c>
      <c r="E24702" s="3">
        <v>99</v>
      </c>
      <c r="F24702" s="3">
        <v>99</v>
      </c>
      <c r="G24702" t="s">
        <v>512</v>
      </c>
    </row>
    <row r="24703" spans="1:7" x14ac:dyDescent="0.25">
      <c r="A24703" s="1" t="str">
        <f>"514887"</f>
        <v>514887</v>
      </c>
      <c r="B24703" s="2" t="str">
        <f>"TULIPA"</f>
        <v>TULIPA</v>
      </c>
      <c r="C24703" s="2" t="str">
        <f t="shared" ref="C24703:C24734" si="972">"UN"</f>
        <v>UN</v>
      </c>
      <c r="D24703" s="7">
        <v>401</v>
      </c>
      <c r="E24703" s="3">
        <v>4</v>
      </c>
      <c r="F24703" s="3">
        <v>4</v>
      </c>
      <c r="G24703" t="s">
        <v>513</v>
      </c>
    </row>
    <row r="24704" spans="1:7" x14ac:dyDescent="0.25">
      <c r="A24704" s="1" t="str">
        <f>"510846"</f>
        <v>510846</v>
      </c>
      <c r="B24704" s="2" t="str">
        <f>"TUNEL DE ENCOLHIMENTO LV 09 AD"</f>
        <v>TUNEL DE ENCOLHIMENTO LV 09 AD</v>
      </c>
      <c r="C24704" s="2" t="str">
        <f t="shared" si="972"/>
        <v>UN</v>
      </c>
      <c r="D24704" s="7">
        <v>1300</v>
      </c>
      <c r="E24704" s="3">
        <v>13</v>
      </c>
      <c r="F24704" s="3">
        <v>13</v>
      </c>
      <c r="G24704" t="s">
        <v>514</v>
      </c>
    </row>
    <row r="24705" spans="1:7" x14ac:dyDescent="0.25">
      <c r="A24705" s="1" t="str">
        <f>"510847"</f>
        <v>510847</v>
      </c>
      <c r="B24705" s="2" t="str">
        <f>"TUNEL DE ENCOLHIMENTO LV 12 AD"</f>
        <v>TUNEL DE ENCOLHIMENTO LV 12 AD</v>
      </c>
      <c r="C24705" s="2" t="str">
        <f t="shared" si="972"/>
        <v>UN</v>
      </c>
      <c r="D24705" s="7">
        <v>1300</v>
      </c>
      <c r="E24705" s="3">
        <v>13</v>
      </c>
      <c r="F24705" s="3">
        <v>13</v>
      </c>
      <c r="G24705" t="s">
        <v>514</v>
      </c>
    </row>
    <row r="24706" spans="1:7" x14ac:dyDescent="0.25">
      <c r="A24706" s="1" t="str">
        <f>"517371"</f>
        <v>517371</v>
      </c>
      <c r="B24706" s="2" t="str">
        <f>"TUNEL VAPOR"</f>
        <v>TUNEL VAPOR</v>
      </c>
      <c r="C24706" s="2" t="str">
        <f t="shared" si="972"/>
        <v>UN</v>
      </c>
      <c r="D24706" s="7">
        <v>1300</v>
      </c>
      <c r="E24706" s="3">
        <v>13</v>
      </c>
      <c r="F24706" s="3">
        <v>13</v>
      </c>
      <c r="G24706" t="s">
        <v>514</v>
      </c>
    </row>
    <row r="24707" spans="1:7" x14ac:dyDescent="0.25">
      <c r="A24707" s="1" t="str">
        <f>"518215"</f>
        <v>518215</v>
      </c>
      <c r="B24707" s="2" t="str">
        <f>"TUNGSTENIO 3/32"" X 150MM - VERDE"</f>
        <v>TUNGSTENIO 3/32" X 150MM - VERDE</v>
      </c>
      <c r="C24707" s="2" t="str">
        <f t="shared" si="972"/>
        <v>UN</v>
      </c>
      <c r="D24707" s="7">
        <v>402</v>
      </c>
      <c r="E24707" s="3">
        <v>4</v>
      </c>
      <c r="F24707" s="3">
        <v>4</v>
      </c>
      <c r="G24707" t="s">
        <v>513</v>
      </c>
    </row>
    <row r="24708" spans="1:7" x14ac:dyDescent="0.25">
      <c r="A24708" s="1" t="str">
        <f>"504901"</f>
        <v>504901</v>
      </c>
      <c r="B24708" s="2" t="str">
        <f>"TUNGSTENIO 3/32"" X 150MM - VERMELHO"</f>
        <v>TUNGSTENIO 3/32" X 150MM - VERMELHO</v>
      </c>
      <c r="C24708" s="2" t="str">
        <f t="shared" si="972"/>
        <v>UN</v>
      </c>
      <c r="D24708" s="7">
        <v>402</v>
      </c>
      <c r="E24708" s="3">
        <v>4</v>
      </c>
      <c r="F24708" s="3">
        <v>4</v>
      </c>
      <c r="G24708" t="s">
        <v>513</v>
      </c>
    </row>
    <row r="24709" spans="1:7" x14ac:dyDescent="0.25">
      <c r="A24709" s="1" t="str">
        <f>"513618"</f>
        <v>513618</v>
      </c>
      <c r="B24709" s="2" t="str">
        <f>"TURBIDIMETRO PORTATIL 210Q BIVOLT HACH HX0001-3290"</f>
        <v>TURBIDIMETRO PORTATIL 210Q BIVOLT HACH HX0001-3290</v>
      </c>
      <c r="C24709" s="2" t="str">
        <f t="shared" si="972"/>
        <v>UN</v>
      </c>
      <c r="D24709" s="7">
        <v>406</v>
      </c>
      <c r="E24709" s="3">
        <v>13</v>
      </c>
      <c r="F24709" s="3">
        <v>13</v>
      </c>
      <c r="G24709" t="s">
        <v>513</v>
      </c>
    </row>
    <row r="24710" spans="1:7" x14ac:dyDescent="0.25">
      <c r="A24710" s="1" t="str">
        <f>"519338"</f>
        <v>519338</v>
      </c>
      <c r="B24710" s="2" t="str">
        <f>"TURBINA ALIMENTAÇÃO VW CONSTELATION 24250"</f>
        <v>TURBINA ALIMENTAÇÃO VW CONSTELATION 24250</v>
      </c>
      <c r="C24710" s="2" t="str">
        <f t="shared" si="972"/>
        <v>UN</v>
      </c>
      <c r="D24710" s="7">
        <v>704</v>
      </c>
      <c r="E24710" s="3">
        <v>9</v>
      </c>
      <c r="F24710" s="3">
        <v>9</v>
      </c>
      <c r="G24710" t="s">
        <v>512</v>
      </c>
    </row>
    <row r="24711" spans="1:7" x14ac:dyDescent="0.25">
      <c r="A24711" s="1" t="str">
        <f>"512860"</f>
        <v>512860</v>
      </c>
      <c r="B24711" s="2" t="str">
        <f>"TURBINA MB 1938/1944"</f>
        <v>TURBINA MB 1938/1944</v>
      </c>
      <c r="C24711" s="2" t="str">
        <f t="shared" si="972"/>
        <v>UN</v>
      </c>
      <c r="D24711" s="7">
        <v>704</v>
      </c>
      <c r="E24711" s="3">
        <v>9</v>
      </c>
      <c r="F24711" s="3">
        <v>9</v>
      </c>
      <c r="G24711" t="s">
        <v>513</v>
      </c>
    </row>
    <row r="24712" spans="1:7" x14ac:dyDescent="0.25">
      <c r="A24712" s="1" t="str">
        <f>"523424"</f>
        <v>523424</v>
      </c>
      <c r="B24712" s="2" t="str">
        <f>"TURBINA ZM4"</f>
        <v>TURBINA ZM4</v>
      </c>
      <c r="C24712" s="2" t="str">
        <f t="shared" si="972"/>
        <v>UN</v>
      </c>
      <c r="D24712" s="7">
        <v>402</v>
      </c>
      <c r="E24712" s="3">
        <v>4</v>
      </c>
      <c r="F24712" s="3">
        <v>4</v>
      </c>
      <c r="G24712" t="s">
        <v>514</v>
      </c>
    </row>
    <row r="24713" spans="1:7" x14ac:dyDescent="0.25">
      <c r="A24713" s="1" t="str">
        <f>"523124"</f>
        <v>523124</v>
      </c>
      <c r="B24713" s="2" t="str">
        <f>"TURBO COMPRESSOR"</f>
        <v>TURBO COMPRESSOR</v>
      </c>
      <c r="C24713" s="2" t="str">
        <f t="shared" si="972"/>
        <v>UN</v>
      </c>
      <c r="D24713" s="7">
        <v>704</v>
      </c>
      <c r="E24713" s="3">
        <v>9</v>
      </c>
      <c r="F24713" s="3">
        <v>9</v>
      </c>
      <c r="G24713" t="s">
        <v>515</v>
      </c>
    </row>
    <row r="24714" spans="1:7" x14ac:dyDescent="0.25">
      <c r="A24714" s="1" t="str">
        <f>"501762"</f>
        <v>501762</v>
      </c>
      <c r="B24714" s="2" t="str">
        <f>"TURBO RECONDICIONADO"</f>
        <v>TURBO RECONDICIONADO</v>
      </c>
      <c r="C24714" s="2" t="str">
        <f t="shared" si="972"/>
        <v>UN</v>
      </c>
      <c r="D24714" s="7">
        <v>704</v>
      </c>
      <c r="E24714" s="3">
        <v>9</v>
      </c>
      <c r="F24714" s="3">
        <v>9</v>
      </c>
      <c r="G24714" t="s">
        <v>512</v>
      </c>
    </row>
    <row r="24715" spans="1:7" x14ac:dyDescent="0.25">
      <c r="A24715" s="1" t="str">
        <f>"514395"</f>
        <v>514395</v>
      </c>
      <c r="B24715" s="2" t="str">
        <f>"TURBO VM23"</f>
        <v>TURBO VM23</v>
      </c>
      <c r="C24715" s="2" t="str">
        <f t="shared" si="972"/>
        <v>UN</v>
      </c>
      <c r="D24715" s="7">
        <v>704</v>
      </c>
      <c r="E24715" s="3">
        <v>9</v>
      </c>
      <c r="F24715" s="3">
        <v>9</v>
      </c>
      <c r="G24715" t="s">
        <v>516</v>
      </c>
    </row>
    <row r="24716" spans="1:7" x14ac:dyDescent="0.25">
      <c r="A24716" s="1" t="str">
        <f>"514592"</f>
        <v>514592</v>
      </c>
      <c r="B24716" s="2" t="str">
        <f>"TURQUEZA ARMADOR"</f>
        <v>TURQUEZA ARMADOR</v>
      </c>
      <c r="C24716" s="2" t="str">
        <f t="shared" si="972"/>
        <v>UN</v>
      </c>
      <c r="D24716" s="7">
        <v>817</v>
      </c>
      <c r="E24716" s="3">
        <v>4</v>
      </c>
      <c r="F24716" s="3">
        <v>4</v>
      </c>
      <c r="G24716" t="s">
        <v>515</v>
      </c>
    </row>
    <row r="24717" spans="1:7" x14ac:dyDescent="0.25">
      <c r="A24717" s="1" t="str">
        <f>"514729"</f>
        <v>514729</v>
      </c>
      <c r="B24717" s="2" t="str">
        <f>"TV LED 22 FULL HD"</f>
        <v>TV LED 22 FULL HD</v>
      </c>
      <c r="C24717" s="2" t="str">
        <f t="shared" si="972"/>
        <v>UN</v>
      </c>
      <c r="D24717" s="7">
        <v>401</v>
      </c>
      <c r="E24717" s="3">
        <v>4</v>
      </c>
      <c r="F24717" s="3">
        <v>4</v>
      </c>
      <c r="G24717" t="s">
        <v>514</v>
      </c>
    </row>
    <row r="24718" spans="1:7" x14ac:dyDescent="0.25">
      <c r="A24718" s="1" t="str">
        <f>"527525"</f>
        <v>527525</v>
      </c>
      <c r="B24718" s="2" t="str">
        <f>"TV LED 39"""</f>
        <v>TV LED 39"</v>
      </c>
      <c r="C24718" s="2" t="str">
        <f t="shared" si="972"/>
        <v>UN</v>
      </c>
      <c r="D24718" s="7">
        <v>401</v>
      </c>
      <c r="E24718" s="3">
        <v>4</v>
      </c>
      <c r="F24718" s="3">
        <v>4</v>
      </c>
      <c r="G24718" t="s">
        <v>512</v>
      </c>
    </row>
    <row r="24719" spans="1:7" x14ac:dyDescent="0.25">
      <c r="A24719" s="1" t="str">
        <f>"528022"</f>
        <v>528022</v>
      </c>
      <c r="B24719" s="2" t="str">
        <f>"TWINSENSOR BT - 96 TESTES"</f>
        <v>TWINSENSOR BT - 96 TESTES</v>
      </c>
      <c r="C24719" s="2" t="str">
        <f t="shared" si="972"/>
        <v>UN</v>
      </c>
      <c r="D24719" s="7">
        <v>406</v>
      </c>
      <c r="E24719" s="3">
        <v>4</v>
      </c>
      <c r="F24719" s="3">
        <v>4</v>
      </c>
      <c r="G24719" t="s">
        <v>513</v>
      </c>
    </row>
    <row r="24720" spans="1:7" x14ac:dyDescent="0.25">
      <c r="A24720" s="1" t="str">
        <f>"520855"</f>
        <v>520855</v>
      </c>
      <c r="B24720" s="2" t="str">
        <f>"U.V. - MATERIAL DE COBERTURA"</f>
        <v>U.V. - MATERIAL DE COBERTURA</v>
      </c>
      <c r="C24720" s="2" t="str">
        <f t="shared" si="972"/>
        <v>UN</v>
      </c>
      <c r="D24720" s="7">
        <v>1300</v>
      </c>
      <c r="E24720" s="3">
        <v>11</v>
      </c>
      <c r="F24720" s="3">
        <v>11</v>
      </c>
      <c r="G24720" t="s">
        <v>514</v>
      </c>
    </row>
    <row r="24721" spans="1:7" x14ac:dyDescent="0.25">
      <c r="A24721" s="1" t="str">
        <f>"525017"</f>
        <v>525017</v>
      </c>
      <c r="B24721" s="2" t="str">
        <f>"UAP 500PP - UNIDADE AUT. DE POLIMERO"</f>
        <v>UAP 500PP - UNIDADE AUT. DE POLIMERO</v>
      </c>
      <c r="C24721" s="2" t="str">
        <f t="shared" si="972"/>
        <v>UN</v>
      </c>
      <c r="D24721" s="7">
        <v>1300</v>
      </c>
      <c r="E24721" s="3">
        <v>13</v>
      </c>
      <c r="F24721" s="3">
        <v>13</v>
      </c>
      <c r="G24721" t="s">
        <v>514</v>
      </c>
    </row>
    <row r="24722" spans="1:7" x14ac:dyDescent="0.25">
      <c r="A24722" s="1" t="str">
        <f>"513094"</f>
        <v>513094</v>
      </c>
      <c r="B24722" s="2" t="str">
        <f>"UC MAN HCM/HJM40-B/D20V-4 380V TRIF"</f>
        <v>UC MAN HCM/HJM40-B/D20V-4 380V TRIF</v>
      </c>
      <c r="C24722" s="2" t="str">
        <f t="shared" si="972"/>
        <v>UN</v>
      </c>
      <c r="D24722" s="7">
        <v>818</v>
      </c>
      <c r="E24722" s="3">
        <v>10</v>
      </c>
      <c r="F24722" s="3">
        <v>10</v>
      </c>
      <c r="G24722" t="s">
        <v>512</v>
      </c>
    </row>
    <row r="24723" spans="1:7" x14ac:dyDescent="0.25">
      <c r="A24723" s="1" t="str">
        <f>"517472"</f>
        <v>517472</v>
      </c>
      <c r="B24723" s="2" t="str">
        <f>"UC MANEUROP HCM-64-B20Q-3 220V TRIF (P-05)"</f>
        <v>UC MANEUROP HCM-64-B20Q-3 220V TRIF (P-05)</v>
      </c>
      <c r="C24723" s="2" t="str">
        <f t="shared" si="972"/>
        <v>UN</v>
      </c>
      <c r="D24723" s="7">
        <v>918</v>
      </c>
      <c r="E24723" s="3">
        <v>10</v>
      </c>
      <c r="F24723" s="3">
        <v>10</v>
      </c>
      <c r="G24723" t="s">
        <v>513</v>
      </c>
    </row>
    <row r="24724" spans="1:7" x14ac:dyDescent="0.25">
      <c r="A24724" s="1" t="str">
        <f>"512588"</f>
        <v>512588</v>
      </c>
      <c r="B24724" s="2" t="str">
        <f>"UCRETE F5 1ST"</f>
        <v>UCRETE F5 1ST</v>
      </c>
      <c r="C24724" s="2" t="str">
        <f t="shared" si="972"/>
        <v>UN</v>
      </c>
      <c r="D24724" s="7">
        <v>803</v>
      </c>
      <c r="E24724" s="3">
        <v>10</v>
      </c>
      <c r="F24724" s="3">
        <v>10</v>
      </c>
      <c r="G24724" t="s">
        <v>514</v>
      </c>
    </row>
    <row r="24725" spans="1:7" x14ac:dyDescent="0.25">
      <c r="A24725" s="1" t="str">
        <f>"511122"</f>
        <v>511122</v>
      </c>
      <c r="B24725" s="2" t="str">
        <f>"UCRETE HF MICROBAN PART 1 1ST"</f>
        <v>UCRETE HF MICROBAN PART 1 1ST</v>
      </c>
      <c r="C24725" s="2" t="str">
        <f t="shared" si="972"/>
        <v>UN</v>
      </c>
      <c r="D24725" s="7">
        <v>803</v>
      </c>
      <c r="E24725" s="3">
        <v>10</v>
      </c>
      <c r="F24725" s="3">
        <v>10</v>
      </c>
      <c r="G24725" t="s">
        <v>514</v>
      </c>
    </row>
    <row r="24726" spans="1:7" x14ac:dyDescent="0.25">
      <c r="A24726" s="1" t="str">
        <f>"526849"</f>
        <v>526849</v>
      </c>
      <c r="B24726" s="2" t="str">
        <f>"UCRETE HF PARTE 3 CINZA 25KG"</f>
        <v>UCRETE HF PARTE 3 CINZA 25KG</v>
      </c>
      <c r="C24726" s="2" t="str">
        <f t="shared" si="972"/>
        <v>UN</v>
      </c>
      <c r="D24726" s="7">
        <v>917</v>
      </c>
      <c r="E24726" s="3">
        <v>4</v>
      </c>
      <c r="F24726" s="3">
        <v>4</v>
      </c>
      <c r="G24726" t="s">
        <v>514</v>
      </c>
    </row>
    <row r="24727" spans="1:7" x14ac:dyDescent="0.25">
      <c r="A24727" s="1" t="str">
        <f>"511124"</f>
        <v>511124</v>
      </c>
      <c r="B24727" s="2" t="str">
        <f>"UCRETE HF PARTE 3 CREME 1ST"</f>
        <v>UCRETE HF PARTE 3 CREME 1ST</v>
      </c>
      <c r="C24727" s="2" t="str">
        <f t="shared" si="972"/>
        <v>UN</v>
      </c>
      <c r="D24727" s="7">
        <v>803</v>
      </c>
      <c r="E24727" s="3">
        <v>10</v>
      </c>
      <c r="F24727" s="3">
        <v>10</v>
      </c>
      <c r="G24727" t="s">
        <v>513</v>
      </c>
    </row>
    <row r="24728" spans="1:7" x14ac:dyDescent="0.25">
      <c r="A24728" s="1" t="str">
        <f>"526093"</f>
        <v>526093</v>
      </c>
      <c r="B24728" s="2" t="str">
        <f>"UCRETE HF PARTE 3 CREME 25KG"</f>
        <v>UCRETE HF PARTE 3 CREME 25KG</v>
      </c>
      <c r="C24728" s="2" t="str">
        <f t="shared" si="972"/>
        <v>UN</v>
      </c>
      <c r="D24728" s="7">
        <v>917</v>
      </c>
      <c r="E24728" s="3">
        <v>4</v>
      </c>
      <c r="F24728" s="3">
        <v>4</v>
      </c>
      <c r="G24728" t="s">
        <v>512</v>
      </c>
    </row>
    <row r="24729" spans="1:7" x14ac:dyDescent="0.25">
      <c r="A24729" s="1" t="str">
        <f>"511123"</f>
        <v>511123</v>
      </c>
      <c r="B24729" s="2" t="str">
        <f>"UCRETE HF/HF100 RT/IF - PARTE 2 1"</f>
        <v>UCRETE HF/HF100 RT/IF - PARTE 2 1</v>
      </c>
      <c r="C24729" s="2" t="str">
        <f t="shared" si="972"/>
        <v>UN</v>
      </c>
      <c r="D24729" s="7">
        <v>803</v>
      </c>
      <c r="E24729" s="3">
        <v>10</v>
      </c>
      <c r="F24729" s="3">
        <v>10</v>
      </c>
      <c r="G24729" t="s">
        <v>513</v>
      </c>
    </row>
    <row r="24730" spans="1:7" x14ac:dyDescent="0.25">
      <c r="A24730" s="1" t="str">
        <f>"522127"</f>
        <v>522127</v>
      </c>
      <c r="B24730" s="2" t="str">
        <f>"UCRETE HF/IF/MF PARTE 1 2,38KG"</f>
        <v>UCRETE HF/IF/MF PARTE 1 2,38KG</v>
      </c>
      <c r="C24730" s="2" t="str">
        <f t="shared" si="972"/>
        <v>UN</v>
      </c>
      <c r="D24730" s="7">
        <v>917</v>
      </c>
      <c r="E24730" s="3">
        <v>4</v>
      </c>
      <c r="F24730" s="3">
        <v>4</v>
      </c>
      <c r="G24730" t="s">
        <v>514</v>
      </c>
    </row>
    <row r="24731" spans="1:7" x14ac:dyDescent="0.25">
      <c r="A24731" s="1" t="str">
        <f>"522128"</f>
        <v>522128</v>
      </c>
      <c r="B24731" s="2" t="str">
        <f>"UCRETE HF/IF/MF PARTE 2 2,6KG"</f>
        <v>UCRETE HF/IF/MF PARTE 2 2,6KG</v>
      </c>
      <c r="C24731" s="2" t="str">
        <f t="shared" si="972"/>
        <v>UN</v>
      </c>
      <c r="D24731" s="7">
        <v>917</v>
      </c>
      <c r="E24731" s="3">
        <v>4</v>
      </c>
      <c r="F24731" s="3">
        <v>4</v>
      </c>
      <c r="G24731" t="s">
        <v>514</v>
      </c>
    </row>
    <row r="24732" spans="1:7" x14ac:dyDescent="0.25">
      <c r="A24732" s="1" t="str">
        <f>"522129"</f>
        <v>522129</v>
      </c>
      <c r="B24732" s="2" t="str">
        <f>"UCRETE HF/IF/MF PARTE 3 CREME"</f>
        <v>UCRETE HF/IF/MF PARTE 3 CREME</v>
      </c>
      <c r="C24732" s="2" t="str">
        <f t="shared" si="972"/>
        <v>UN</v>
      </c>
      <c r="D24732" s="7">
        <v>917</v>
      </c>
      <c r="E24732" s="3">
        <v>4</v>
      </c>
      <c r="F24732" s="3">
        <v>4</v>
      </c>
      <c r="G24732" t="s">
        <v>514</v>
      </c>
    </row>
    <row r="24733" spans="1:7" x14ac:dyDescent="0.25">
      <c r="A24733" s="1" t="str">
        <f>"522232"</f>
        <v>522232</v>
      </c>
      <c r="B24733" s="2" t="str">
        <f>"UCRETE HF/IF/MF PARTE 3 CREME 25KG"</f>
        <v>UCRETE HF/IF/MF PARTE 3 CREME 25KG</v>
      </c>
      <c r="C24733" s="2" t="str">
        <f t="shared" si="972"/>
        <v>UN</v>
      </c>
      <c r="D24733" s="7">
        <v>917</v>
      </c>
      <c r="E24733" s="3">
        <v>4</v>
      </c>
      <c r="F24733" s="3">
        <v>4</v>
      </c>
      <c r="G24733" t="s">
        <v>513</v>
      </c>
    </row>
    <row r="24734" spans="1:7" x14ac:dyDescent="0.25">
      <c r="A24734" s="1" t="str">
        <f>"526091"</f>
        <v>526091</v>
      </c>
      <c r="B24734" s="2" t="str">
        <f>"UCRETE HF/WR PARTE 1 2,38KG"</f>
        <v>UCRETE HF/WR PARTE 1 2,38KG</v>
      </c>
      <c r="C24734" s="2" t="str">
        <f t="shared" si="972"/>
        <v>UN</v>
      </c>
      <c r="D24734" s="7">
        <v>917</v>
      </c>
      <c r="E24734" s="3">
        <v>4</v>
      </c>
      <c r="F24734" s="3">
        <v>4</v>
      </c>
      <c r="G24734" t="s">
        <v>513</v>
      </c>
    </row>
    <row r="24735" spans="1:7" x14ac:dyDescent="0.25">
      <c r="A24735" s="1" t="str">
        <f>"526092"</f>
        <v>526092</v>
      </c>
      <c r="B24735" s="2" t="str">
        <f>"UCRETE HF/WR PARTE 2 2,26KG"</f>
        <v>UCRETE HF/WR PARTE 2 2,26KG</v>
      </c>
      <c r="C24735" s="2" t="str">
        <f t="shared" ref="C24735:C24756" si="973">"UN"</f>
        <v>UN</v>
      </c>
      <c r="D24735" s="7">
        <v>917</v>
      </c>
      <c r="E24735" s="3">
        <v>4</v>
      </c>
      <c r="F24735" s="3">
        <v>4</v>
      </c>
      <c r="G24735" t="s">
        <v>513</v>
      </c>
    </row>
    <row r="24736" spans="1:7" x14ac:dyDescent="0.25">
      <c r="A24736" s="1" t="str">
        <f>"522121"</f>
        <v>522121</v>
      </c>
      <c r="B24736" s="2" t="str">
        <f>"UCRETE MF PARTE 1"</f>
        <v>UCRETE MF PARTE 1</v>
      </c>
      <c r="C24736" s="2" t="str">
        <f t="shared" si="973"/>
        <v>UN</v>
      </c>
      <c r="D24736" s="7">
        <v>917</v>
      </c>
      <c r="E24736" s="3">
        <v>4</v>
      </c>
      <c r="F24736" s="3">
        <v>4</v>
      </c>
      <c r="G24736" t="s">
        <v>512</v>
      </c>
    </row>
    <row r="24737" spans="1:7" x14ac:dyDescent="0.25">
      <c r="A24737" s="1" t="str">
        <f>"522122"</f>
        <v>522122</v>
      </c>
      <c r="B24737" s="2" t="str">
        <f>"UCRETE MF PARTE 2"</f>
        <v>UCRETE MF PARTE 2</v>
      </c>
      <c r="C24737" s="2" t="str">
        <f t="shared" si="973"/>
        <v>UN</v>
      </c>
      <c r="D24737" s="7">
        <v>917</v>
      </c>
      <c r="E24737" s="3">
        <v>4</v>
      </c>
      <c r="F24737" s="3">
        <v>4</v>
      </c>
      <c r="G24737" t="s">
        <v>513</v>
      </c>
    </row>
    <row r="24738" spans="1:7" x14ac:dyDescent="0.25">
      <c r="A24738" s="1" t="str">
        <f>"522130"</f>
        <v>522130</v>
      </c>
      <c r="B24738" s="2" t="str">
        <f>"UCRETE MF PARTE 3 CINZA"</f>
        <v>UCRETE MF PARTE 3 CINZA</v>
      </c>
      <c r="C24738" s="2" t="str">
        <f t="shared" si="973"/>
        <v>UN</v>
      </c>
      <c r="D24738" s="7">
        <v>917</v>
      </c>
      <c r="E24738" s="3">
        <v>4</v>
      </c>
      <c r="F24738" s="3">
        <v>4</v>
      </c>
      <c r="G24738" t="s">
        <v>514</v>
      </c>
    </row>
    <row r="24739" spans="1:7" x14ac:dyDescent="0.25">
      <c r="A24739" s="1" t="str">
        <f>"522123"</f>
        <v>522123</v>
      </c>
      <c r="B24739" s="2" t="str">
        <f>"UCRETE MF PARTE 3 CREME"</f>
        <v>UCRETE MF PARTE 3 CREME</v>
      </c>
      <c r="C24739" s="2" t="str">
        <f t="shared" si="973"/>
        <v>UN</v>
      </c>
      <c r="D24739" s="7">
        <v>917</v>
      </c>
      <c r="E24739" s="3">
        <v>4</v>
      </c>
      <c r="F24739" s="3">
        <v>4</v>
      </c>
      <c r="G24739" t="s">
        <v>515</v>
      </c>
    </row>
    <row r="24740" spans="1:7" x14ac:dyDescent="0.25">
      <c r="A24740" s="1" t="str">
        <f>"522257"</f>
        <v>522257</v>
      </c>
      <c r="B24740" s="2" t="str">
        <f>"UCRETE WR 6  X 0,939 KG"</f>
        <v>UCRETE WR 6  X 0,939 KG</v>
      </c>
      <c r="C24740" s="2" t="str">
        <f t="shared" si="973"/>
        <v>UN</v>
      </c>
      <c r="D24740" s="7">
        <v>917</v>
      </c>
      <c r="E24740" s="3">
        <v>4</v>
      </c>
      <c r="F24740" s="3">
        <v>4</v>
      </c>
      <c r="G24740" t="s">
        <v>512</v>
      </c>
    </row>
    <row r="24741" spans="1:7" x14ac:dyDescent="0.25">
      <c r="A24741" s="1" t="str">
        <f>"511126"</f>
        <v>511126</v>
      </c>
      <c r="B24741" s="2" t="str">
        <f>"UCRETE WR HP TC PARTE 2 1ST"</f>
        <v>UCRETE WR HP TC PARTE 2 1ST</v>
      </c>
      <c r="C24741" s="2" t="str">
        <f t="shared" si="973"/>
        <v>UN</v>
      </c>
      <c r="D24741" s="7">
        <v>803</v>
      </c>
      <c r="E24741" s="3">
        <v>10</v>
      </c>
      <c r="F24741" s="3">
        <v>10</v>
      </c>
      <c r="G24741" t="s">
        <v>516</v>
      </c>
    </row>
    <row r="24742" spans="1:7" x14ac:dyDescent="0.25">
      <c r="A24742" s="1" t="str">
        <f>"526094"</f>
        <v>526094</v>
      </c>
      <c r="B24742" s="2" t="str">
        <f>"UCRETE WR PARTE 1 6X0,939 KG"</f>
        <v>UCRETE WR PARTE 1 6X0,939 KG</v>
      </c>
      <c r="C24742" s="2" t="str">
        <f t="shared" si="973"/>
        <v>UN</v>
      </c>
      <c r="D24742" s="7">
        <v>917</v>
      </c>
      <c r="E24742" s="3">
        <v>4</v>
      </c>
      <c r="F24742" s="3">
        <v>4</v>
      </c>
      <c r="G24742" t="s">
        <v>515</v>
      </c>
    </row>
    <row r="24743" spans="1:7" x14ac:dyDescent="0.25">
      <c r="A24743" s="1" t="str">
        <f>"522124"</f>
        <v>522124</v>
      </c>
      <c r="B24743" s="2" t="str">
        <f>"UCRETE WR PARTE 1 6X0,939KG"</f>
        <v>UCRETE WR PARTE 1 6X0,939KG</v>
      </c>
      <c r="C24743" s="2" t="str">
        <f t="shared" si="973"/>
        <v>UN</v>
      </c>
      <c r="D24743" s="7">
        <v>917</v>
      </c>
      <c r="E24743" s="3">
        <v>4</v>
      </c>
      <c r="F24743" s="3">
        <v>4</v>
      </c>
      <c r="G24743" t="s">
        <v>514</v>
      </c>
    </row>
    <row r="24744" spans="1:7" x14ac:dyDescent="0.25">
      <c r="A24744" s="1" t="str">
        <f>"526095"</f>
        <v>526095</v>
      </c>
      <c r="B24744" s="2" t="str">
        <f>"UCRETE WR PARTE 2 1 KG"</f>
        <v>UCRETE WR PARTE 2 1 KG</v>
      </c>
      <c r="C24744" s="2" t="str">
        <f t="shared" si="973"/>
        <v>UN</v>
      </c>
      <c r="D24744" s="7">
        <v>917</v>
      </c>
      <c r="E24744" s="3">
        <v>4</v>
      </c>
      <c r="F24744" s="3">
        <v>4</v>
      </c>
      <c r="G24744" t="s">
        <v>512</v>
      </c>
    </row>
    <row r="24745" spans="1:7" x14ac:dyDescent="0.25">
      <c r="A24745" s="1" t="str">
        <f>"522125"</f>
        <v>522125</v>
      </c>
      <c r="B24745" s="2" t="str">
        <f>"UCRETE WR PARTE 2 1KG"</f>
        <v>UCRETE WR PARTE 2 1KG</v>
      </c>
      <c r="C24745" s="2" t="str">
        <f t="shared" si="973"/>
        <v>UN</v>
      </c>
      <c r="D24745" s="7">
        <v>917</v>
      </c>
      <c r="E24745" s="3">
        <v>4</v>
      </c>
      <c r="F24745" s="3">
        <v>4</v>
      </c>
      <c r="G24745" t="s">
        <v>513</v>
      </c>
    </row>
    <row r="24746" spans="1:7" x14ac:dyDescent="0.25">
      <c r="A24746" s="1" t="str">
        <f>"511127"</f>
        <v>511127</v>
      </c>
      <c r="B24746" s="2" t="str">
        <f>"UCRETE WR PARTE 3 - CREME 10,7KG"</f>
        <v>UCRETE WR PARTE 3 - CREME 10,7KG</v>
      </c>
      <c r="C24746" s="2" t="str">
        <f t="shared" si="973"/>
        <v>UN</v>
      </c>
      <c r="D24746" s="7">
        <v>803</v>
      </c>
      <c r="E24746" s="3">
        <v>10</v>
      </c>
      <c r="F24746" s="3">
        <v>10</v>
      </c>
      <c r="G24746" t="s">
        <v>514</v>
      </c>
    </row>
    <row r="24747" spans="1:7" x14ac:dyDescent="0.25">
      <c r="A24747" s="1" t="str">
        <f>"513122"</f>
        <v>513122</v>
      </c>
      <c r="B24747" s="2" t="str">
        <f>"UCRETE WR PARTE 3 CINZA 1ST"</f>
        <v>UCRETE WR PARTE 3 CINZA 1ST</v>
      </c>
      <c r="C24747" s="2" t="str">
        <f t="shared" si="973"/>
        <v>UN</v>
      </c>
      <c r="D24747" s="7">
        <v>803</v>
      </c>
      <c r="E24747" s="3">
        <v>10</v>
      </c>
      <c r="F24747" s="3">
        <v>10</v>
      </c>
      <c r="G24747" t="s">
        <v>514</v>
      </c>
    </row>
    <row r="24748" spans="1:7" x14ac:dyDescent="0.25">
      <c r="A24748" s="1" t="str">
        <f>"522131"</f>
        <v>522131</v>
      </c>
      <c r="B24748" s="2" t="str">
        <f>"UCRETE WR PARTE 3 CREME"</f>
        <v>UCRETE WR PARTE 3 CREME</v>
      </c>
      <c r="C24748" s="2" t="str">
        <f t="shared" si="973"/>
        <v>UN</v>
      </c>
      <c r="D24748" s="7">
        <v>917</v>
      </c>
      <c r="E24748" s="3">
        <v>4</v>
      </c>
      <c r="F24748" s="3">
        <v>4</v>
      </c>
      <c r="G24748" t="s">
        <v>512</v>
      </c>
    </row>
    <row r="24749" spans="1:7" x14ac:dyDescent="0.25">
      <c r="A24749" s="1" t="str">
        <f>"522126"</f>
        <v>522126</v>
      </c>
      <c r="B24749" s="2" t="str">
        <f>"UCRETE WR PARTE 3 CREME 10,66KG"</f>
        <v>UCRETE WR PARTE 3 CREME 10,66KG</v>
      </c>
      <c r="C24749" s="2" t="str">
        <f t="shared" si="973"/>
        <v>UN</v>
      </c>
      <c r="D24749" s="7">
        <v>917</v>
      </c>
      <c r="E24749" s="3">
        <v>4</v>
      </c>
      <c r="F24749" s="3">
        <v>4</v>
      </c>
      <c r="G24749" t="s">
        <v>513</v>
      </c>
    </row>
    <row r="24750" spans="1:7" x14ac:dyDescent="0.25">
      <c r="A24750" s="1" t="str">
        <f>"526096"</f>
        <v>526096</v>
      </c>
      <c r="B24750" s="2" t="str">
        <f>"UCRETE WR PARTE 3 CREME 10,66KG"</f>
        <v>UCRETE WR PARTE 3 CREME 10,66KG</v>
      </c>
      <c r="C24750" s="2" t="str">
        <f t="shared" si="973"/>
        <v>UN</v>
      </c>
      <c r="D24750" s="7">
        <v>917</v>
      </c>
      <c r="E24750" s="3">
        <v>4</v>
      </c>
      <c r="F24750" s="3">
        <v>4</v>
      </c>
      <c r="G24750" t="s">
        <v>514</v>
      </c>
    </row>
    <row r="24751" spans="1:7" x14ac:dyDescent="0.25">
      <c r="A24751" s="1" t="str">
        <f>"526097"</f>
        <v>526097</v>
      </c>
      <c r="B24751" s="2" t="str">
        <f>"UCRETE WR PARTE 3 CREME 10,66KG"</f>
        <v>UCRETE WR PARTE 3 CREME 10,66KG</v>
      </c>
      <c r="C24751" s="2" t="str">
        <f t="shared" si="973"/>
        <v>UN</v>
      </c>
      <c r="D24751" s="7">
        <v>917</v>
      </c>
      <c r="E24751" s="3">
        <v>4</v>
      </c>
      <c r="F24751" s="3">
        <v>4</v>
      </c>
      <c r="G24751" t="s">
        <v>514</v>
      </c>
    </row>
    <row r="24752" spans="1:7" x14ac:dyDescent="0.25">
      <c r="A24752" s="1" t="str">
        <f>"511125"</f>
        <v>511125</v>
      </c>
      <c r="B24752" s="2" t="str">
        <f>"UCRETE WR/TC MICROBAN P 1 1ST"</f>
        <v>UCRETE WR/TC MICROBAN P 1 1ST</v>
      </c>
      <c r="C24752" s="2" t="str">
        <f t="shared" si="973"/>
        <v>UN</v>
      </c>
      <c r="D24752" s="7">
        <v>803</v>
      </c>
      <c r="E24752" s="3">
        <v>10</v>
      </c>
      <c r="F24752" s="3">
        <v>10</v>
      </c>
      <c r="G24752" t="s">
        <v>514</v>
      </c>
    </row>
    <row r="24753" spans="1:7" x14ac:dyDescent="0.25">
      <c r="A24753" s="1" t="str">
        <f>"514062"</f>
        <v>514062</v>
      </c>
      <c r="B24753" s="2" t="str">
        <f>"ULTRA GREY"</f>
        <v>ULTRA GREY</v>
      </c>
      <c r="C24753" s="2" t="str">
        <f t="shared" si="973"/>
        <v>UN</v>
      </c>
      <c r="D24753" s="7">
        <v>704</v>
      </c>
      <c r="E24753" s="3">
        <v>9</v>
      </c>
      <c r="F24753" s="3">
        <v>9</v>
      </c>
      <c r="G24753" t="s">
        <v>513</v>
      </c>
    </row>
    <row r="24754" spans="1:7" x14ac:dyDescent="0.25">
      <c r="A24754" s="1" t="str">
        <f>"501222"</f>
        <v>501222</v>
      </c>
      <c r="B24754" s="2" t="str">
        <f>"UNHO 10X28mm MAQ. 200/1000ml"</f>
        <v>UNHO 10X28mm MAQ. 200/1000ml</v>
      </c>
      <c r="C24754" s="2" t="str">
        <f t="shared" si="973"/>
        <v>UN</v>
      </c>
      <c r="D24754" s="7">
        <v>918</v>
      </c>
      <c r="E24754" s="3">
        <v>11</v>
      </c>
      <c r="F24754" s="3">
        <v>11</v>
      </c>
      <c r="G24754" t="s">
        <v>512</v>
      </c>
    </row>
    <row r="24755" spans="1:7" x14ac:dyDescent="0.25">
      <c r="A24755" s="1" t="str">
        <f>"518266"</f>
        <v>518266</v>
      </c>
      <c r="B24755" s="2" t="str">
        <f>"UNHO PLASTICO 7/8"</f>
        <v>UNHO PLASTICO 7/8</v>
      </c>
      <c r="C24755" s="2" t="str">
        <f t="shared" si="973"/>
        <v>UN</v>
      </c>
      <c r="D24755" s="7">
        <v>919</v>
      </c>
      <c r="E24755" s="3">
        <v>4</v>
      </c>
      <c r="F24755" s="3">
        <v>4</v>
      </c>
      <c r="G24755" t="s">
        <v>513</v>
      </c>
    </row>
    <row r="24756" spans="1:7" x14ac:dyDescent="0.25">
      <c r="A24756" s="1" t="str">
        <f>"514069"</f>
        <v>514069</v>
      </c>
      <c r="B24756" s="2" t="str">
        <f>"UNIAO"</f>
        <v>UNIAO</v>
      </c>
      <c r="C24756" s="2" t="str">
        <f t="shared" si="973"/>
        <v>UN</v>
      </c>
      <c r="D24756" s="7">
        <v>704</v>
      </c>
      <c r="E24756" s="3">
        <v>9</v>
      </c>
      <c r="F24756" s="3">
        <v>9</v>
      </c>
      <c r="G24756" t="s">
        <v>514</v>
      </c>
    </row>
    <row r="24757" spans="1:7" x14ac:dyDescent="0.25">
      <c r="A24757" s="1" t="str">
        <f>"500173"</f>
        <v>500173</v>
      </c>
      <c r="B24757" s="2" t="str">
        <f>"UNIAO 1 1/4 - PVC - MANGUEIRA"</f>
        <v>UNIAO 1 1/4 - PVC - MANGUEIRA</v>
      </c>
      <c r="C24757" s="2" t="str">
        <f>"BR"</f>
        <v>BR</v>
      </c>
      <c r="D24757" s="7">
        <v>808</v>
      </c>
      <c r="E24757" s="3">
        <v>10</v>
      </c>
      <c r="F24757" s="3">
        <v>10</v>
      </c>
      <c r="G24757" t="s">
        <v>514</v>
      </c>
    </row>
    <row r="24758" spans="1:7" x14ac:dyDescent="0.25">
      <c r="A24758" s="1" t="str">
        <f>"501620"</f>
        <v>501620</v>
      </c>
      <c r="B24758" s="2" t="str">
        <f>"UNIAO 1/4"</f>
        <v>UNIAO 1/4</v>
      </c>
      <c r="C24758" s="2" t="str">
        <f>"UN"</f>
        <v>UN</v>
      </c>
      <c r="D24758" s="7">
        <v>704</v>
      </c>
      <c r="E24758" s="3">
        <v>9</v>
      </c>
      <c r="F24758" s="3">
        <v>9</v>
      </c>
      <c r="G24758" t="s">
        <v>514</v>
      </c>
    </row>
    <row r="24759" spans="1:7" x14ac:dyDescent="0.25">
      <c r="A24759" s="1" t="str">
        <f>"500342"</f>
        <v>500342</v>
      </c>
      <c r="B24759" s="2" t="str">
        <f>"UNIAO 3/4 - PVC"</f>
        <v>UNIAO 3/4 - PVC</v>
      </c>
      <c r="C24759" s="2" t="str">
        <f>"BR"</f>
        <v>BR</v>
      </c>
      <c r="D24759" s="7">
        <v>808</v>
      </c>
      <c r="E24759" s="3">
        <v>10</v>
      </c>
      <c r="F24759" s="3">
        <v>10</v>
      </c>
      <c r="G24759" t="s">
        <v>513</v>
      </c>
    </row>
    <row r="24760" spans="1:7" x14ac:dyDescent="0.25">
      <c r="A24760" s="1" t="str">
        <f>"518506"</f>
        <v>518506</v>
      </c>
      <c r="B24760" s="2" t="str">
        <f>"UNIAO 3/4 SAE"</f>
        <v>UNIAO 3/4 SAE</v>
      </c>
      <c r="C24760" s="2" t="str">
        <f>"UN"</f>
        <v>UN</v>
      </c>
      <c r="D24760" s="7">
        <v>916</v>
      </c>
      <c r="E24760" s="3">
        <v>4</v>
      </c>
      <c r="F24760" s="3">
        <v>4</v>
      </c>
      <c r="G24760" t="s">
        <v>513</v>
      </c>
    </row>
    <row r="24761" spans="1:7" x14ac:dyDescent="0.25">
      <c r="A24761" s="1" t="str">
        <f>"501979"</f>
        <v>501979</v>
      </c>
      <c r="B24761" s="2" t="str">
        <f>"UNIAO 3/8 SAE"</f>
        <v>UNIAO 3/8 SAE</v>
      </c>
      <c r="C24761" s="2" t="str">
        <f>"BR"</f>
        <v>BR</v>
      </c>
      <c r="D24761" s="7">
        <v>808</v>
      </c>
      <c r="E24761" s="3">
        <v>10</v>
      </c>
      <c r="F24761" s="3">
        <v>10</v>
      </c>
      <c r="G24761" t="s">
        <v>513</v>
      </c>
    </row>
    <row r="24762" spans="1:7" x14ac:dyDescent="0.25">
      <c r="A24762" s="1" t="str">
        <f>"527717"</f>
        <v>527717</v>
      </c>
      <c r="B24762" s="2" t="str">
        <f>"UNIÃO 3/8"" INOX 316"</f>
        <v>UNIÃO 3/8" INOX 316</v>
      </c>
      <c r="C24762" s="2" t="str">
        <f>"UN"</f>
        <v>UN</v>
      </c>
      <c r="D24762" s="7">
        <v>807</v>
      </c>
      <c r="E24762" s="3">
        <v>10</v>
      </c>
      <c r="F24762" s="3">
        <v>10</v>
      </c>
      <c r="G24762" t="s">
        <v>512</v>
      </c>
    </row>
    <row r="24763" spans="1:7" x14ac:dyDescent="0.25">
      <c r="A24763" s="1" t="str">
        <f>"505637"</f>
        <v>505637</v>
      </c>
      <c r="B24763" s="2" t="str">
        <f>"UNIAO 8MM"</f>
        <v>UNIAO 8MM</v>
      </c>
      <c r="C24763" s="2" t="str">
        <f>"UN"</f>
        <v>UN</v>
      </c>
      <c r="D24763" s="7">
        <v>704</v>
      </c>
      <c r="E24763" s="3">
        <v>9</v>
      </c>
      <c r="F24763" s="3">
        <v>9</v>
      </c>
      <c r="G24763" t="s">
        <v>513</v>
      </c>
    </row>
    <row r="24764" spans="1:7" x14ac:dyDescent="0.25">
      <c r="A24764" s="1" t="str">
        <f>"510999"</f>
        <v>510999</v>
      </c>
      <c r="B24764" s="2" t="str">
        <f>"UNIAO ASSENTO PLANO GALVANIZADO 3"" BSP"</f>
        <v>UNIAO ASSENTO PLANO GALVANIZADO 3" BSP</v>
      </c>
      <c r="C24764" s="2" t="str">
        <f>"UN"</f>
        <v>UN</v>
      </c>
      <c r="D24764" s="7">
        <v>912</v>
      </c>
      <c r="E24764" s="3">
        <v>11</v>
      </c>
      <c r="F24764" s="3">
        <v>11</v>
      </c>
      <c r="G24764" t="s">
        <v>514</v>
      </c>
    </row>
    <row r="24765" spans="1:7" x14ac:dyDescent="0.25">
      <c r="A24765" s="1" t="str">
        <f>"521161"</f>
        <v>521161</v>
      </c>
      <c r="B24765" s="2" t="str">
        <f>"UNIAO BRONZE 2"""</f>
        <v>UNIAO BRONZE 2"</v>
      </c>
      <c r="C24765" s="2" t="str">
        <f>"BR"</f>
        <v>BR</v>
      </c>
      <c r="D24765" s="7">
        <v>807</v>
      </c>
      <c r="E24765" s="3">
        <v>10</v>
      </c>
      <c r="F24765" s="3">
        <v>10</v>
      </c>
      <c r="G24765" t="s">
        <v>515</v>
      </c>
    </row>
    <row r="24766" spans="1:7" x14ac:dyDescent="0.25">
      <c r="A24766" s="1" t="str">
        <f>"519905"</f>
        <v>519905</v>
      </c>
      <c r="B24766" s="2" t="str">
        <f>"UNIAO C/ ROSCA 3"" - PVC"</f>
        <v>UNIAO C/ ROSCA 3" - PVC</v>
      </c>
      <c r="C24766" s="2" t="str">
        <f>"UN"</f>
        <v>UN</v>
      </c>
      <c r="D24766" s="7">
        <v>808</v>
      </c>
      <c r="E24766" s="3">
        <v>10</v>
      </c>
      <c r="F24766" s="3">
        <v>10</v>
      </c>
      <c r="G24766" t="s">
        <v>512</v>
      </c>
    </row>
    <row r="24767" spans="1:7" x14ac:dyDescent="0.25">
      <c r="A24767" s="1" t="str">
        <f>"519904"</f>
        <v>519904</v>
      </c>
      <c r="B24767" s="2" t="str">
        <f>"UNIAO C/ ROSCA 40MM - PVC"</f>
        <v>UNIAO C/ ROSCA 40MM - PVC</v>
      </c>
      <c r="C24767" s="2" t="str">
        <f>"UN"</f>
        <v>UN</v>
      </c>
      <c r="D24767" s="7">
        <v>808</v>
      </c>
      <c r="E24767" s="3">
        <v>10</v>
      </c>
      <c r="F24767" s="3">
        <v>10</v>
      </c>
      <c r="G24767" t="s">
        <v>516</v>
      </c>
    </row>
    <row r="24768" spans="1:7" x14ac:dyDescent="0.25">
      <c r="A24768" s="1" t="str">
        <f>"502101"</f>
        <v>502101</v>
      </c>
      <c r="B24768" s="2" t="str">
        <f>"UNIAO C/ACENTO CONICO GALVANIZADO 1 1/2"""</f>
        <v>UNIAO C/ACENTO CONICO GALVANIZADO 1 1/2"</v>
      </c>
      <c r="C24768" s="2" t="str">
        <f t="shared" ref="C24768:C24779" si="974">"BR"</f>
        <v>BR</v>
      </c>
      <c r="D24768" s="7">
        <v>808</v>
      </c>
      <c r="E24768" s="3">
        <v>10</v>
      </c>
      <c r="F24768" s="3">
        <v>10</v>
      </c>
      <c r="G24768" t="s">
        <v>515</v>
      </c>
    </row>
    <row r="24769" spans="1:7" x14ac:dyDescent="0.25">
      <c r="A24769" s="1" t="str">
        <f>"500032"</f>
        <v>500032</v>
      </c>
      <c r="B24769" s="2" t="str">
        <f>"UNIAO C/ACENTO CONICO GALVANIZADO 1"""</f>
        <v>UNIAO C/ACENTO CONICO GALVANIZADO 1"</v>
      </c>
      <c r="C24769" s="2" t="str">
        <f t="shared" si="974"/>
        <v>BR</v>
      </c>
      <c r="D24769" s="7">
        <v>808</v>
      </c>
      <c r="E24769" s="3">
        <v>10</v>
      </c>
      <c r="F24769" s="3">
        <v>10</v>
      </c>
      <c r="G24769" t="s">
        <v>514</v>
      </c>
    </row>
    <row r="24770" spans="1:7" x14ac:dyDescent="0.25">
      <c r="A24770" s="1" t="str">
        <f>"502134"</f>
        <v>502134</v>
      </c>
      <c r="B24770" s="2" t="str">
        <f>"UNIAO C/ACENTO CONICO GALVANIZADO 1/2"""</f>
        <v>UNIAO C/ACENTO CONICO GALVANIZADO 1/2"</v>
      </c>
      <c r="C24770" s="2" t="str">
        <f t="shared" si="974"/>
        <v>BR</v>
      </c>
      <c r="D24770" s="7">
        <v>808</v>
      </c>
      <c r="E24770" s="3">
        <v>10</v>
      </c>
      <c r="F24770" s="3">
        <v>10</v>
      </c>
      <c r="G24770" t="s">
        <v>512</v>
      </c>
    </row>
    <row r="24771" spans="1:7" x14ac:dyDescent="0.25">
      <c r="A24771" s="1" t="str">
        <f>"504268"</f>
        <v>504268</v>
      </c>
      <c r="B24771" s="2" t="str">
        <f>"UNIAO C/ACENTO CONICO GALVANIZADO 2 1/2"""</f>
        <v>UNIAO C/ACENTO CONICO GALVANIZADO 2 1/2"</v>
      </c>
      <c r="C24771" s="2" t="str">
        <f t="shared" si="974"/>
        <v>BR</v>
      </c>
      <c r="D24771" s="7">
        <v>808</v>
      </c>
      <c r="E24771" s="3">
        <v>10</v>
      </c>
      <c r="F24771" s="3">
        <v>10</v>
      </c>
      <c r="G24771" t="s">
        <v>513</v>
      </c>
    </row>
    <row r="24772" spans="1:7" x14ac:dyDescent="0.25">
      <c r="A24772" s="1" t="str">
        <f>"502604"</f>
        <v>502604</v>
      </c>
      <c r="B24772" s="2" t="str">
        <f>"UNIAO C/ACENTO CONICO GALVANIZADO 2"""</f>
        <v>UNIAO C/ACENTO CONICO GALVANIZADO 2"</v>
      </c>
      <c r="C24772" s="2" t="str">
        <f t="shared" si="974"/>
        <v>BR</v>
      </c>
      <c r="D24772" s="7">
        <v>808</v>
      </c>
      <c r="E24772" s="3">
        <v>10</v>
      </c>
      <c r="F24772" s="3">
        <v>10</v>
      </c>
      <c r="G24772" t="s">
        <v>514</v>
      </c>
    </row>
    <row r="24773" spans="1:7" x14ac:dyDescent="0.25">
      <c r="A24773" s="1" t="str">
        <f>"511782"</f>
        <v>511782</v>
      </c>
      <c r="B24773" s="2" t="str">
        <f>"UNIAO C/ACENTO CONICO GALVANIZADO 3"""</f>
        <v>UNIAO C/ACENTO CONICO GALVANIZADO 3"</v>
      </c>
      <c r="C24773" s="2" t="str">
        <f t="shared" si="974"/>
        <v>BR</v>
      </c>
      <c r="D24773" s="7">
        <v>808</v>
      </c>
      <c r="E24773" s="3">
        <v>10</v>
      </c>
      <c r="F24773" s="3">
        <v>10</v>
      </c>
      <c r="G24773" t="s">
        <v>514</v>
      </c>
    </row>
    <row r="24774" spans="1:7" x14ac:dyDescent="0.25">
      <c r="A24774" s="1" t="str">
        <f>"500920"</f>
        <v>500920</v>
      </c>
      <c r="B24774" s="2" t="str">
        <f>"UNIAO C/ACENTO CONICO GALVANIZADO 3/4"""</f>
        <v>UNIAO C/ACENTO CONICO GALVANIZADO 3/4"</v>
      </c>
      <c r="C24774" s="2" t="str">
        <f t="shared" si="974"/>
        <v>BR</v>
      </c>
      <c r="D24774" s="7">
        <v>808</v>
      </c>
      <c r="E24774" s="3">
        <v>10</v>
      </c>
      <c r="F24774" s="3">
        <v>10</v>
      </c>
      <c r="G24774" t="s">
        <v>512</v>
      </c>
    </row>
    <row r="24775" spans="1:7" x14ac:dyDescent="0.25">
      <c r="A24775" s="1" t="str">
        <f>"509695"</f>
        <v>509695</v>
      </c>
      <c r="B24775" s="2" t="str">
        <f>"UNIAO C/ACENTO CONICO GALVANIZADO 4"""</f>
        <v>UNIAO C/ACENTO CONICO GALVANIZADO 4"</v>
      </c>
      <c r="C24775" s="2" t="str">
        <f t="shared" si="974"/>
        <v>BR</v>
      </c>
      <c r="D24775" s="7">
        <v>808</v>
      </c>
      <c r="E24775" s="3">
        <v>10</v>
      </c>
      <c r="F24775" s="3">
        <v>10</v>
      </c>
      <c r="G24775" t="s">
        <v>513</v>
      </c>
    </row>
    <row r="24776" spans="1:7" x14ac:dyDescent="0.25">
      <c r="A24776" s="1" t="str">
        <f>"521180"</f>
        <v>521180</v>
      </c>
      <c r="B24776" s="2" t="str">
        <f>"UNIAO DE F.G. 1.1/2"""</f>
        <v>UNIAO DE F.G. 1.1/2"</v>
      </c>
      <c r="C24776" s="2" t="str">
        <f t="shared" si="974"/>
        <v>BR</v>
      </c>
      <c r="D24776" s="7">
        <v>808</v>
      </c>
      <c r="E24776" s="3">
        <v>10</v>
      </c>
      <c r="F24776" s="3">
        <v>10</v>
      </c>
      <c r="G24776" t="s">
        <v>514</v>
      </c>
    </row>
    <row r="24777" spans="1:7" x14ac:dyDescent="0.25">
      <c r="A24777" s="1" t="str">
        <f>"502203"</f>
        <v>502203</v>
      </c>
      <c r="B24777" s="2" t="str">
        <f>"UNIAO DE SOLDA SMS DE 4"""</f>
        <v>UNIAO DE SOLDA SMS DE 4"</v>
      </c>
      <c r="C24777" s="2" t="str">
        <f t="shared" si="974"/>
        <v>BR</v>
      </c>
      <c r="D24777" s="7">
        <v>807</v>
      </c>
      <c r="E24777" s="3">
        <v>10</v>
      </c>
      <c r="F24777" s="3">
        <v>10</v>
      </c>
      <c r="G24777" t="s">
        <v>514</v>
      </c>
    </row>
    <row r="24778" spans="1:7" x14ac:dyDescent="0.25">
      <c r="A24778" s="1" t="str">
        <f>"521841"</f>
        <v>521841</v>
      </c>
      <c r="B24778" s="2" t="str">
        <f>"UNIAO DIN 304 2 1/2"""</f>
        <v>UNIAO DIN 304 2 1/2"</v>
      </c>
      <c r="C24778" s="2" t="str">
        <f t="shared" si="974"/>
        <v>BR</v>
      </c>
      <c r="D24778" s="7">
        <v>807</v>
      </c>
      <c r="E24778" s="3">
        <v>10</v>
      </c>
      <c r="F24778" s="3">
        <v>10</v>
      </c>
      <c r="G24778" t="s">
        <v>514</v>
      </c>
    </row>
    <row r="24779" spans="1:7" x14ac:dyDescent="0.25">
      <c r="A24779" s="1" t="str">
        <f>"521842"</f>
        <v>521842</v>
      </c>
      <c r="B24779" s="2" t="str">
        <f>"UNIAO DIN 304 3"""</f>
        <v>UNIAO DIN 304 3"</v>
      </c>
      <c r="C24779" s="2" t="str">
        <f t="shared" si="974"/>
        <v>BR</v>
      </c>
      <c r="D24779" s="7">
        <v>807</v>
      </c>
      <c r="E24779" s="3">
        <v>10</v>
      </c>
      <c r="F24779" s="3">
        <v>10</v>
      </c>
      <c r="G24779" t="s">
        <v>513</v>
      </c>
    </row>
    <row r="24780" spans="1:7" x14ac:dyDescent="0.25">
      <c r="A24780" s="1" t="str">
        <f>"505110"</f>
        <v>505110</v>
      </c>
      <c r="B24780" s="2" t="str">
        <f>"UNIAO DO RODOAR"</f>
        <v>UNIAO DO RODOAR</v>
      </c>
      <c r="C24780" s="2" t="str">
        <f>"UN"</f>
        <v>UN</v>
      </c>
      <c r="D24780" s="7">
        <v>704</v>
      </c>
      <c r="E24780" s="3">
        <v>9</v>
      </c>
      <c r="F24780" s="3">
        <v>9</v>
      </c>
      <c r="G24780" t="s">
        <v>512</v>
      </c>
    </row>
    <row r="24781" spans="1:7" x14ac:dyDescent="0.25">
      <c r="A24781" s="1" t="str">
        <f>"513547"</f>
        <v>513547</v>
      </c>
      <c r="B24781" s="2" t="str">
        <f>"UNIAO F. G . 1/4"</f>
        <v>UNIAO F. G . 1/4</v>
      </c>
      <c r="C24781" s="2" t="str">
        <f t="shared" ref="C24781:C24787" si="975">"BR"</f>
        <v>BR</v>
      </c>
      <c r="D24781" s="7">
        <v>808</v>
      </c>
      <c r="E24781" s="3">
        <v>10</v>
      </c>
      <c r="F24781" s="3">
        <v>10</v>
      </c>
      <c r="G24781" t="s">
        <v>513</v>
      </c>
    </row>
    <row r="24782" spans="1:7" x14ac:dyDescent="0.25">
      <c r="A24782" s="1" t="str">
        <f>"520175"</f>
        <v>520175</v>
      </c>
      <c r="B24782" s="2" t="str">
        <f>"UNIAO F.G 1"""</f>
        <v>UNIAO F.G 1"</v>
      </c>
      <c r="C24782" s="2" t="str">
        <f t="shared" si="975"/>
        <v>BR</v>
      </c>
      <c r="D24782" s="7">
        <v>808</v>
      </c>
      <c r="E24782" s="3">
        <v>10</v>
      </c>
      <c r="F24782" s="3">
        <v>10</v>
      </c>
      <c r="G24782" t="s">
        <v>514</v>
      </c>
    </row>
    <row r="24783" spans="1:7" x14ac:dyDescent="0.25">
      <c r="A24783" s="1" t="str">
        <f>"520176"</f>
        <v>520176</v>
      </c>
      <c r="B24783" s="2" t="str">
        <f>"UNIAO F.G 1/2"""</f>
        <v>UNIAO F.G 1/2"</v>
      </c>
      <c r="C24783" s="2" t="str">
        <f t="shared" si="975"/>
        <v>BR</v>
      </c>
      <c r="D24783" s="7">
        <v>808</v>
      </c>
      <c r="E24783" s="3">
        <v>10</v>
      </c>
      <c r="F24783" s="3">
        <v>10</v>
      </c>
      <c r="G24783" t="s">
        <v>514</v>
      </c>
    </row>
    <row r="24784" spans="1:7" x14ac:dyDescent="0.25">
      <c r="A24784" s="1" t="str">
        <f>"520341"</f>
        <v>520341</v>
      </c>
      <c r="B24784" s="2" t="str">
        <f>"UNIAO F.G 1/4"""</f>
        <v>UNIAO F.G 1/4"</v>
      </c>
      <c r="C24784" s="2" t="str">
        <f t="shared" si="975"/>
        <v>BR</v>
      </c>
      <c r="D24784" s="7">
        <v>808</v>
      </c>
      <c r="E24784" s="3">
        <v>10</v>
      </c>
      <c r="F24784" s="3">
        <v>10</v>
      </c>
      <c r="G24784" t="s">
        <v>514</v>
      </c>
    </row>
    <row r="24785" spans="1:7" x14ac:dyDescent="0.25">
      <c r="A24785" s="1" t="str">
        <f>"526799"</f>
        <v>526799</v>
      </c>
      <c r="B24785" s="2" t="str">
        <f>"UNIAO F.G 3"""</f>
        <v>UNIAO F.G 3"</v>
      </c>
      <c r="C24785" s="2" t="str">
        <f t="shared" si="975"/>
        <v>BR</v>
      </c>
      <c r="D24785" s="7">
        <v>808</v>
      </c>
      <c r="E24785" s="3">
        <v>10</v>
      </c>
      <c r="F24785" s="3">
        <v>10</v>
      </c>
      <c r="G24785" t="s">
        <v>513</v>
      </c>
    </row>
    <row r="24786" spans="1:7" x14ac:dyDescent="0.25">
      <c r="A24786" s="1" t="str">
        <f>"520174"</f>
        <v>520174</v>
      </c>
      <c r="B24786" s="2" t="str">
        <f>"UNIAO F.G 3/4"""</f>
        <v>UNIAO F.G 3/4"</v>
      </c>
      <c r="C24786" s="2" t="str">
        <f t="shared" si="975"/>
        <v>BR</v>
      </c>
      <c r="D24786" s="7">
        <v>808</v>
      </c>
      <c r="E24786" s="3">
        <v>10</v>
      </c>
      <c r="F24786" s="3">
        <v>10</v>
      </c>
      <c r="G24786" t="s">
        <v>513</v>
      </c>
    </row>
    <row r="24787" spans="1:7" x14ac:dyDescent="0.25">
      <c r="A24787" s="1" t="str">
        <f>"513542"</f>
        <v>513542</v>
      </c>
      <c r="B24787" s="2" t="str">
        <f>"UNIAO GALVANIZADA A/B 4"""</f>
        <v>UNIAO GALVANIZADA A/B 4"</v>
      </c>
      <c r="C24787" s="2" t="str">
        <f t="shared" si="975"/>
        <v>BR</v>
      </c>
      <c r="D24787" s="7">
        <v>808</v>
      </c>
      <c r="E24787" s="3">
        <v>10</v>
      </c>
      <c r="F24787" s="3">
        <v>10</v>
      </c>
      <c r="G24787" t="s">
        <v>513</v>
      </c>
    </row>
    <row r="24788" spans="1:7" x14ac:dyDescent="0.25">
      <c r="A24788" s="1" t="str">
        <f>"505498"</f>
        <v>505498</v>
      </c>
      <c r="B24788" s="2" t="str">
        <f>"UNIAO INSTANTANEA 6MM"</f>
        <v>UNIAO INSTANTANEA 6MM</v>
      </c>
      <c r="C24788" s="2" t="str">
        <f t="shared" ref="C24788:C24800" si="976">"UN"</f>
        <v>UN</v>
      </c>
      <c r="D24788" s="7">
        <v>704</v>
      </c>
      <c r="E24788" s="3">
        <v>9</v>
      </c>
      <c r="F24788" s="3">
        <v>9</v>
      </c>
      <c r="G24788" t="s">
        <v>512</v>
      </c>
    </row>
    <row r="24789" spans="1:7" x14ac:dyDescent="0.25">
      <c r="A24789" s="1" t="str">
        <f>"508316"</f>
        <v>508316</v>
      </c>
      <c r="B24789" s="2" t="str">
        <f>"UNIAO INSTANTANEA PLASTICA 6MM"</f>
        <v>UNIAO INSTANTANEA PLASTICA 6MM</v>
      </c>
      <c r="C24789" s="2" t="str">
        <f t="shared" si="976"/>
        <v>UN</v>
      </c>
      <c r="D24789" s="7">
        <v>704</v>
      </c>
      <c r="E24789" s="3">
        <v>9</v>
      </c>
      <c r="F24789" s="3">
        <v>9</v>
      </c>
      <c r="G24789" t="s">
        <v>513</v>
      </c>
    </row>
    <row r="24790" spans="1:7" x14ac:dyDescent="0.25">
      <c r="A24790" s="1" t="str">
        <f>"505640"</f>
        <v>505640</v>
      </c>
      <c r="B24790" s="2" t="str">
        <f>"UNIAO MARROM 1 1/4"" PVC SOLDA"</f>
        <v>UNIAO MARROM 1 1/4" PVC SOLDA</v>
      </c>
      <c r="C24790" s="2" t="str">
        <f t="shared" si="976"/>
        <v>UN</v>
      </c>
      <c r="D24790" s="7">
        <v>704</v>
      </c>
      <c r="E24790" s="3">
        <v>9</v>
      </c>
      <c r="F24790" s="3">
        <v>9</v>
      </c>
      <c r="G24790" t="s">
        <v>514</v>
      </c>
    </row>
    <row r="24791" spans="1:7" x14ac:dyDescent="0.25">
      <c r="A24791" s="1" t="str">
        <f>"520247"</f>
        <v>520247</v>
      </c>
      <c r="B24791" s="2" t="str">
        <f>"UNIÃO MARRON 1/2 - PVC"</f>
        <v>UNIÃO MARRON 1/2 - PVC</v>
      </c>
      <c r="C24791" s="2" t="str">
        <f t="shared" si="976"/>
        <v>UN</v>
      </c>
      <c r="D24791" s="7">
        <v>808</v>
      </c>
      <c r="E24791" s="3">
        <v>10</v>
      </c>
      <c r="F24791" s="3">
        <v>10</v>
      </c>
      <c r="G24791" t="s">
        <v>515</v>
      </c>
    </row>
    <row r="24792" spans="1:7" x14ac:dyDescent="0.25">
      <c r="A24792" s="1" t="str">
        <f>"519718"</f>
        <v>519718</v>
      </c>
      <c r="B24792" s="2" t="str">
        <f>"UNIÃO MARRON 3/4 - PVC"</f>
        <v>UNIÃO MARRON 3/4 - PVC</v>
      </c>
      <c r="C24792" s="2" t="str">
        <f t="shared" si="976"/>
        <v>UN</v>
      </c>
      <c r="D24792" s="7">
        <v>808</v>
      </c>
      <c r="E24792" s="3">
        <v>10</v>
      </c>
      <c r="F24792" s="3">
        <v>10</v>
      </c>
      <c r="G24792" t="s">
        <v>512</v>
      </c>
    </row>
    <row r="24793" spans="1:7" x14ac:dyDescent="0.25">
      <c r="A24793" s="1" t="str">
        <f>"519955"</f>
        <v>519955</v>
      </c>
      <c r="B24793" s="2" t="str">
        <f>"UNIÃO MARRON 32MM - PVC"</f>
        <v>UNIÃO MARRON 32MM - PVC</v>
      </c>
      <c r="C24793" s="2" t="str">
        <f t="shared" si="976"/>
        <v>UN</v>
      </c>
      <c r="D24793" s="7">
        <v>808</v>
      </c>
      <c r="E24793" s="3">
        <v>10</v>
      </c>
      <c r="F24793" s="3">
        <v>10</v>
      </c>
      <c r="G24793" t="s">
        <v>516</v>
      </c>
    </row>
    <row r="24794" spans="1:7" x14ac:dyDescent="0.25">
      <c r="A24794" s="1" t="str">
        <f>"519956"</f>
        <v>519956</v>
      </c>
      <c r="B24794" s="2" t="str">
        <f>"UNIÃO MARRON 50MM - PVC"</f>
        <v>UNIÃO MARRON 50MM - PVC</v>
      </c>
      <c r="C24794" s="2" t="str">
        <f t="shared" si="976"/>
        <v>UN</v>
      </c>
      <c r="D24794" s="7">
        <v>808</v>
      </c>
      <c r="E24794" s="3">
        <v>10</v>
      </c>
      <c r="F24794" s="3">
        <v>10</v>
      </c>
      <c r="G24794" t="s">
        <v>515</v>
      </c>
    </row>
    <row r="24795" spans="1:7" x14ac:dyDescent="0.25">
      <c r="A24795" s="1" t="str">
        <f>"505026"</f>
        <v>505026</v>
      </c>
      <c r="B24795" s="2" t="str">
        <f>"UNIAO METAL 3/4"""</f>
        <v>UNIAO METAL 3/4"</v>
      </c>
      <c r="C24795" s="2" t="str">
        <f t="shared" si="976"/>
        <v>UN</v>
      </c>
      <c r="D24795" s="7">
        <v>818</v>
      </c>
      <c r="E24795" s="3">
        <v>10</v>
      </c>
      <c r="F24795" s="3">
        <v>10</v>
      </c>
      <c r="G24795" t="s">
        <v>514</v>
      </c>
    </row>
    <row r="24796" spans="1:7" x14ac:dyDescent="0.25">
      <c r="A24796" s="1" t="str">
        <f>"506072"</f>
        <v>506072</v>
      </c>
      <c r="B24796" s="2" t="str">
        <f>"UNIAO METAL 5/8"""</f>
        <v>UNIAO METAL 5/8"</v>
      </c>
      <c r="C24796" s="2" t="str">
        <f t="shared" si="976"/>
        <v>UN</v>
      </c>
      <c r="D24796" s="7">
        <v>818</v>
      </c>
      <c r="E24796" s="3">
        <v>10</v>
      </c>
      <c r="F24796" s="3">
        <v>10</v>
      </c>
      <c r="G24796" t="s">
        <v>512</v>
      </c>
    </row>
    <row r="24797" spans="1:7" x14ac:dyDescent="0.25">
      <c r="A24797" s="1" t="str">
        <f>"527720"</f>
        <v>527720</v>
      </c>
      <c r="B24797" s="2" t="str">
        <f>"UNIÃO NPT 1/2"" INOX 316"</f>
        <v>UNIÃO NPT 1/2" INOX 316</v>
      </c>
      <c r="C24797" s="2" t="str">
        <f t="shared" si="976"/>
        <v>UN</v>
      </c>
      <c r="D24797" s="7">
        <v>807</v>
      </c>
      <c r="E24797" s="3">
        <v>10</v>
      </c>
      <c r="F24797" s="3">
        <v>10</v>
      </c>
      <c r="G24797" t="s">
        <v>513</v>
      </c>
    </row>
    <row r="24798" spans="1:7" x14ac:dyDescent="0.25">
      <c r="A24798" s="1" t="str">
        <f>"524947"</f>
        <v>524947</v>
      </c>
      <c r="B24798" s="2" t="str">
        <f>"UNIÃO PARA ACESSÓRIOS BA120"</f>
        <v>UNIÃO PARA ACESSÓRIOS BA120</v>
      </c>
      <c r="C24798" s="2" t="str">
        <f t="shared" si="976"/>
        <v>UN</v>
      </c>
      <c r="D24798" s="7">
        <v>811</v>
      </c>
      <c r="E24798" s="3">
        <v>10</v>
      </c>
      <c r="F24798" s="3">
        <v>10</v>
      </c>
      <c r="G24798" t="s">
        <v>514</v>
      </c>
    </row>
    <row r="24799" spans="1:7" x14ac:dyDescent="0.25">
      <c r="A24799" s="1" t="str">
        <f>"524946"</f>
        <v>524946</v>
      </c>
      <c r="B24799" s="2" t="str">
        <f>"UNIÃO PARA TRECHO RETO INOX BA040"</f>
        <v>UNIÃO PARA TRECHO RETO INOX BA040</v>
      </c>
      <c r="C24799" s="2" t="str">
        <f t="shared" si="976"/>
        <v>UN</v>
      </c>
      <c r="D24799" s="7">
        <v>811</v>
      </c>
      <c r="E24799" s="3">
        <v>10</v>
      </c>
      <c r="F24799" s="3">
        <v>10</v>
      </c>
      <c r="G24799" t="s">
        <v>514</v>
      </c>
    </row>
    <row r="24800" spans="1:7" x14ac:dyDescent="0.25">
      <c r="A24800" s="1" t="str">
        <f>"512468"</f>
        <v>512468</v>
      </c>
      <c r="B24800" s="2" t="str">
        <f>"UNIAO PNEUMATICA 06MM 153032"</f>
        <v>UNIAO PNEUMATICA 06MM 153032</v>
      </c>
      <c r="C24800" s="2" t="str">
        <f t="shared" si="976"/>
        <v>UN</v>
      </c>
      <c r="D24800" s="7">
        <v>913</v>
      </c>
      <c r="E24800" s="3">
        <v>11</v>
      </c>
      <c r="F24800" s="3">
        <v>11</v>
      </c>
      <c r="G24800" t="s">
        <v>512</v>
      </c>
    </row>
    <row r="24801" spans="1:7" x14ac:dyDescent="0.25">
      <c r="A24801" s="1" t="str">
        <f>"503212"</f>
        <v>503212</v>
      </c>
      <c r="B24801" s="2" t="str">
        <f>"UNIAO PNEUMATICA 08MM 153033"</f>
        <v>UNIAO PNEUMATICA 08MM 153033</v>
      </c>
      <c r="C24801" s="2" t="str">
        <f>"PC"</f>
        <v>PC</v>
      </c>
      <c r="D24801" s="7">
        <v>808</v>
      </c>
      <c r="E24801" s="3">
        <v>10</v>
      </c>
      <c r="F24801" s="3">
        <v>10</v>
      </c>
      <c r="G24801" t="s">
        <v>513</v>
      </c>
    </row>
    <row r="24802" spans="1:7" x14ac:dyDescent="0.25">
      <c r="A24802" s="1" t="str">
        <f>"503213"</f>
        <v>503213</v>
      </c>
      <c r="B24802" s="2" t="str">
        <f>"UNIAO PNEUMATICA 10MM 153034"</f>
        <v>UNIAO PNEUMATICA 10MM 153034</v>
      </c>
      <c r="C24802" s="2" t="str">
        <f t="shared" ref="C24802:C24807" si="977">"UN"</f>
        <v>UN</v>
      </c>
      <c r="D24802" s="7">
        <v>808</v>
      </c>
      <c r="E24802" s="3">
        <v>10</v>
      </c>
      <c r="F24802" s="3">
        <v>10</v>
      </c>
      <c r="G24802" t="s">
        <v>514</v>
      </c>
    </row>
    <row r="24803" spans="1:7" x14ac:dyDescent="0.25">
      <c r="A24803" s="1" t="str">
        <f>"516246"</f>
        <v>516246</v>
      </c>
      <c r="B24803" s="2" t="str">
        <f>"UNIAO PNEUMATICA 12MM 153035"</f>
        <v>UNIAO PNEUMATICA 12MM 153035</v>
      </c>
      <c r="C24803" s="2" t="str">
        <f t="shared" si="977"/>
        <v>UN</v>
      </c>
      <c r="D24803" s="7">
        <v>913</v>
      </c>
      <c r="E24803" s="3">
        <v>11</v>
      </c>
      <c r="F24803" s="3">
        <v>11</v>
      </c>
      <c r="G24803" t="s">
        <v>514</v>
      </c>
    </row>
    <row r="24804" spans="1:7" x14ac:dyDescent="0.25">
      <c r="A24804" s="1" t="str">
        <f>"516247"</f>
        <v>516247</v>
      </c>
      <c r="B24804" s="2" t="str">
        <f>"UNIAO PNEUMATICA 16MM"</f>
        <v>UNIAO PNEUMATICA 16MM</v>
      </c>
      <c r="C24804" s="2" t="str">
        <f t="shared" si="977"/>
        <v>UN</v>
      </c>
      <c r="D24804" s="7">
        <v>913</v>
      </c>
      <c r="E24804" s="3">
        <v>11</v>
      </c>
      <c r="F24804" s="3">
        <v>11</v>
      </c>
      <c r="G24804" t="s">
        <v>514</v>
      </c>
    </row>
    <row r="24805" spans="1:7" x14ac:dyDescent="0.25">
      <c r="A24805" s="1" t="str">
        <f>"512467"</f>
        <v>512467</v>
      </c>
      <c r="B24805" s="2" t="str">
        <f>"UNIAO PNEUMATICA 8 X 10MM 153039"</f>
        <v>UNIAO PNEUMATICA 8 X 10MM 153039</v>
      </c>
      <c r="C24805" s="2" t="str">
        <f t="shared" si="977"/>
        <v>UN</v>
      </c>
      <c r="D24805" s="7">
        <v>913</v>
      </c>
      <c r="E24805" s="3">
        <v>11</v>
      </c>
      <c r="F24805" s="3">
        <v>11</v>
      </c>
      <c r="G24805" t="s">
        <v>513</v>
      </c>
    </row>
    <row r="24806" spans="1:7" x14ac:dyDescent="0.25">
      <c r="A24806" s="1" t="str">
        <f>"523419"</f>
        <v>523419</v>
      </c>
      <c r="B24806" s="2" t="str">
        <f>"UNIAO PNEUMATICA 8 X 6MM"</f>
        <v>UNIAO PNEUMATICA 8 X 6MM</v>
      </c>
      <c r="C24806" s="2" t="str">
        <f t="shared" si="977"/>
        <v>UN</v>
      </c>
      <c r="D24806" s="7">
        <v>913</v>
      </c>
      <c r="E24806" s="3">
        <v>11</v>
      </c>
      <c r="F24806" s="3">
        <v>11</v>
      </c>
      <c r="G24806" t="s">
        <v>512</v>
      </c>
    </row>
    <row r="24807" spans="1:7" x14ac:dyDescent="0.25">
      <c r="A24807" s="1" t="str">
        <f>"516183"</f>
        <v>516183</v>
      </c>
      <c r="B24807" s="2" t="str">
        <f>"UNIAO PNEUMATICA L 08MM"</f>
        <v>UNIAO PNEUMATICA L 08MM</v>
      </c>
      <c r="C24807" s="2" t="str">
        <f t="shared" si="977"/>
        <v>UN</v>
      </c>
      <c r="D24807" s="7">
        <v>913</v>
      </c>
      <c r="E24807" s="3">
        <v>11</v>
      </c>
      <c r="F24807" s="3">
        <v>11</v>
      </c>
      <c r="G24807" t="s">
        <v>513</v>
      </c>
    </row>
    <row r="24808" spans="1:7" x14ac:dyDescent="0.25">
      <c r="A24808" s="1" t="str">
        <f>"519327"</f>
        <v>519327</v>
      </c>
      <c r="B24808" s="2" t="str">
        <f>"UNIAO PVC 20MM SOLDA"</f>
        <v>UNIAO PVC 20MM SOLDA</v>
      </c>
      <c r="C24808" s="2" t="str">
        <f t="shared" ref="C24808:C24814" si="978">"BR"</f>
        <v>BR</v>
      </c>
      <c r="D24808" s="7">
        <v>808</v>
      </c>
      <c r="E24808" s="3">
        <v>10</v>
      </c>
      <c r="F24808" s="3">
        <v>10</v>
      </c>
      <c r="G24808" t="s">
        <v>514</v>
      </c>
    </row>
    <row r="24809" spans="1:7" x14ac:dyDescent="0.25">
      <c r="A24809" s="1" t="str">
        <f>"505250"</f>
        <v>505250</v>
      </c>
      <c r="B24809" s="2" t="str">
        <f>"UNIAO PVC 25MM SOLDA"</f>
        <v>UNIAO PVC 25MM SOLDA</v>
      </c>
      <c r="C24809" s="2" t="str">
        <f t="shared" si="978"/>
        <v>BR</v>
      </c>
      <c r="D24809" s="7">
        <v>808</v>
      </c>
      <c r="E24809" s="3">
        <v>10</v>
      </c>
      <c r="F24809" s="3">
        <v>10</v>
      </c>
      <c r="G24809" t="s">
        <v>514</v>
      </c>
    </row>
    <row r="24810" spans="1:7" x14ac:dyDescent="0.25">
      <c r="A24810" s="1" t="str">
        <f>"518890"</f>
        <v>518890</v>
      </c>
      <c r="B24810" s="2" t="str">
        <f>"UNIAO PVC 32MM SOLDA"</f>
        <v>UNIAO PVC 32MM SOLDA</v>
      </c>
      <c r="C24810" s="2" t="str">
        <f t="shared" si="978"/>
        <v>BR</v>
      </c>
      <c r="D24810" s="7">
        <v>808</v>
      </c>
      <c r="E24810" s="3">
        <v>10</v>
      </c>
      <c r="F24810" s="3">
        <v>10</v>
      </c>
      <c r="G24810" t="s">
        <v>514</v>
      </c>
    </row>
    <row r="24811" spans="1:7" x14ac:dyDescent="0.25">
      <c r="A24811" s="1" t="str">
        <f>"523380"</f>
        <v>523380</v>
      </c>
      <c r="B24811" s="2" t="str">
        <f>"UNIAO PVC 40MM SOLDA"</f>
        <v>UNIAO PVC 40MM SOLDA</v>
      </c>
      <c r="C24811" s="2" t="str">
        <f t="shared" si="978"/>
        <v>BR</v>
      </c>
      <c r="D24811" s="7">
        <v>808</v>
      </c>
      <c r="E24811" s="3">
        <v>10</v>
      </c>
      <c r="F24811" s="3">
        <v>10</v>
      </c>
      <c r="G24811" t="s">
        <v>513</v>
      </c>
    </row>
    <row r="24812" spans="1:7" x14ac:dyDescent="0.25">
      <c r="A24812" s="1" t="str">
        <f>"513060"</f>
        <v>513060</v>
      </c>
      <c r="B24812" s="2" t="str">
        <f>"UNIAO PVC 60MM SOLDA"</f>
        <v>UNIAO PVC 60MM SOLDA</v>
      </c>
      <c r="C24812" s="2" t="str">
        <f t="shared" si="978"/>
        <v>BR</v>
      </c>
      <c r="D24812" s="7">
        <v>808</v>
      </c>
      <c r="E24812" s="3">
        <v>10</v>
      </c>
      <c r="F24812" s="3">
        <v>10</v>
      </c>
      <c r="G24812" t="s">
        <v>513</v>
      </c>
    </row>
    <row r="24813" spans="1:7" x14ac:dyDescent="0.25">
      <c r="A24813" s="1" t="str">
        <f>"512890"</f>
        <v>512890</v>
      </c>
      <c r="B24813" s="2" t="str">
        <f>"UNIAO PVC 75MM SOLDA"</f>
        <v>UNIAO PVC 75MM SOLDA</v>
      </c>
      <c r="C24813" s="2" t="str">
        <f t="shared" si="978"/>
        <v>BR</v>
      </c>
      <c r="D24813" s="7">
        <v>808</v>
      </c>
      <c r="E24813" s="3">
        <v>10</v>
      </c>
      <c r="F24813" s="3">
        <v>10</v>
      </c>
      <c r="G24813" t="s">
        <v>513</v>
      </c>
    </row>
    <row r="24814" spans="1:7" x14ac:dyDescent="0.25">
      <c r="A24814" s="1" t="str">
        <f>"518894"</f>
        <v>518894</v>
      </c>
      <c r="B24814" s="2" t="str">
        <f>"UNIAO PVC BRANCO 50MM SOLDA"</f>
        <v>UNIAO PVC BRANCO 50MM SOLDA</v>
      </c>
      <c r="C24814" s="2" t="str">
        <f t="shared" si="978"/>
        <v>BR</v>
      </c>
      <c r="D24814" s="7">
        <v>808</v>
      </c>
      <c r="E24814" s="3">
        <v>10</v>
      </c>
      <c r="F24814" s="3">
        <v>10</v>
      </c>
      <c r="G24814" t="s">
        <v>512</v>
      </c>
    </row>
    <row r="24815" spans="1:7" x14ac:dyDescent="0.25">
      <c r="A24815" s="1" t="str">
        <f>"520522"</f>
        <v>520522</v>
      </c>
      <c r="B24815" s="2" t="str">
        <f>"UNIÃO PVC C/ ROSCA 3/4"</f>
        <v>UNIÃO PVC C/ ROSCA 3/4</v>
      </c>
      <c r="C24815" s="2" t="str">
        <f>"UN"</f>
        <v>UN</v>
      </c>
      <c r="D24815" s="7">
        <v>808</v>
      </c>
      <c r="E24815" s="3">
        <v>10</v>
      </c>
      <c r="F24815" s="3">
        <v>10</v>
      </c>
      <c r="G24815" t="s">
        <v>513</v>
      </c>
    </row>
    <row r="24816" spans="1:7" x14ac:dyDescent="0.25">
      <c r="A24816" s="1" t="str">
        <f>"518708"</f>
        <v>518708</v>
      </c>
      <c r="B24816" s="2" t="str">
        <f>"UNIÃO REGULAR 1/4 SAE"</f>
        <v>UNIÃO REGULAR 1/4 SAE</v>
      </c>
      <c r="C24816" s="2" t="str">
        <f>"UN"</f>
        <v>UN</v>
      </c>
      <c r="D24816" s="7">
        <v>818</v>
      </c>
      <c r="E24816" s="3">
        <v>11</v>
      </c>
      <c r="F24816" s="3">
        <v>11</v>
      </c>
      <c r="G24816" t="s">
        <v>514</v>
      </c>
    </row>
    <row r="24817" spans="1:7" x14ac:dyDescent="0.25">
      <c r="A24817" s="1" t="str">
        <f>"527377"</f>
        <v>527377</v>
      </c>
      <c r="B24817" s="2" t="str">
        <f>"UNIAO S RJT 304 1 1/2"""</f>
        <v>UNIAO S RJT 304 1 1/2"</v>
      </c>
      <c r="C24817" s="2" t="str">
        <f>"UN"</f>
        <v>UN</v>
      </c>
      <c r="D24817" s="7">
        <v>807</v>
      </c>
      <c r="E24817" s="3">
        <v>10</v>
      </c>
      <c r="F24817" s="3">
        <v>10</v>
      </c>
      <c r="G24817" t="s">
        <v>515</v>
      </c>
    </row>
    <row r="24818" spans="1:7" x14ac:dyDescent="0.25">
      <c r="A24818" s="1" t="str">
        <f>"519989"</f>
        <v>519989</v>
      </c>
      <c r="B24818" s="2" t="str">
        <f>"UNIAO S RJT 304 1"""</f>
        <v>UNIAO S RJT 304 1"</v>
      </c>
      <c r="C24818" s="2" t="str">
        <f>"UN"</f>
        <v>UN</v>
      </c>
      <c r="D24818" s="7">
        <v>807</v>
      </c>
      <c r="E24818" s="3">
        <v>10</v>
      </c>
      <c r="F24818" s="3">
        <v>10</v>
      </c>
      <c r="G24818" t="s">
        <v>512</v>
      </c>
    </row>
    <row r="24819" spans="1:7" x14ac:dyDescent="0.25">
      <c r="A24819" s="1" t="str">
        <f>"504297"</f>
        <v>504297</v>
      </c>
      <c r="B24819" s="2" t="str">
        <f>"UNIAO S RJT 304 2"""</f>
        <v>UNIAO S RJT 304 2"</v>
      </c>
      <c r="C24819" s="2" t="str">
        <f>"BR"</f>
        <v>BR</v>
      </c>
      <c r="D24819" s="7">
        <v>807</v>
      </c>
      <c r="E24819" s="3">
        <v>10</v>
      </c>
      <c r="F24819" s="3">
        <v>10</v>
      </c>
      <c r="G24819" t="s">
        <v>516</v>
      </c>
    </row>
    <row r="24820" spans="1:7" x14ac:dyDescent="0.25">
      <c r="A24820" s="1" t="str">
        <f>"501328"</f>
        <v>501328</v>
      </c>
      <c r="B24820" s="2" t="str">
        <f>"UNIAO S RJT 304 2""1/2"</f>
        <v>UNIAO S RJT 304 2"1/2</v>
      </c>
      <c r="C24820" s="2" t="str">
        <f>"BR"</f>
        <v>BR</v>
      </c>
      <c r="D24820" s="7">
        <v>807</v>
      </c>
      <c r="E24820" s="3">
        <v>10</v>
      </c>
      <c r="F24820" s="3">
        <v>10</v>
      </c>
      <c r="G24820" t="s">
        <v>515</v>
      </c>
    </row>
    <row r="24821" spans="1:7" x14ac:dyDescent="0.25">
      <c r="A24821" s="1" t="str">
        <f>"526010"</f>
        <v>526010</v>
      </c>
      <c r="B24821" s="2" t="str">
        <f>"UNIAO S RJT 304 3"""</f>
        <v>UNIAO S RJT 304 3"</v>
      </c>
      <c r="C24821" s="2" t="str">
        <f>"UN"</f>
        <v>UN</v>
      </c>
      <c r="D24821" s="7">
        <v>807</v>
      </c>
      <c r="E24821" s="3">
        <v>11</v>
      </c>
      <c r="F24821" s="3">
        <v>11</v>
      </c>
      <c r="G24821" t="s">
        <v>514</v>
      </c>
    </row>
    <row r="24822" spans="1:7" x14ac:dyDescent="0.25">
      <c r="A24822" s="1" t="str">
        <f>"524777"</f>
        <v>524777</v>
      </c>
      <c r="B24822" s="2" t="str">
        <f>"UNIÃO S SMS 1/2"""</f>
        <v>UNIÃO S SMS 1/2"</v>
      </c>
      <c r="C24822" s="2" t="str">
        <f>"UN"</f>
        <v>UN</v>
      </c>
      <c r="D24822" s="7">
        <v>807</v>
      </c>
      <c r="E24822" s="3">
        <v>10</v>
      </c>
      <c r="F24822" s="3">
        <v>10</v>
      </c>
      <c r="G24822" t="s">
        <v>512</v>
      </c>
    </row>
    <row r="24823" spans="1:7" x14ac:dyDescent="0.25">
      <c r="A24823" s="1" t="str">
        <f>"503862"</f>
        <v>503862</v>
      </c>
      <c r="B24823" s="2" t="str">
        <f>"UNIAO S SMS 304 1"""</f>
        <v>UNIAO S SMS 304 1"</v>
      </c>
      <c r="C24823" s="2" t="str">
        <f t="shared" ref="C24823:C24830" si="979">"BR"</f>
        <v>BR</v>
      </c>
      <c r="D24823" s="7">
        <v>807</v>
      </c>
      <c r="E24823" s="3">
        <v>10</v>
      </c>
      <c r="F24823" s="3">
        <v>10</v>
      </c>
      <c r="G24823" t="s">
        <v>513</v>
      </c>
    </row>
    <row r="24824" spans="1:7" x14ac:dyDescent="0.25">
      <c r="A24824" s="1" t="str">
        <f>"502090"</f>
        <v>502090</v>
      </c>
      <c r="B24824" s="2" t="str">
        <f>"UNIAO S SMS 304 1""1/2"</f>
        <v>UNIAO S SMS 304 1"1/2</v>
      </c>
      <c r="C24824" s="2" t="str">
        <f t="shared" si="979"/>
        <v>BR</v>
      </c>
      <c r="D24824" s="7">
        <v>807</v>
      </c>
      <c r="E24824" s="3">
        <v>10</v>
      </c>
      <c r="F24824" s="3">
        <v>10</v>
      </c>
      <c r="G24824" t="s">
        <v>514</v>
      </c>
    </row>
    <row r="24825" spans="1:7" x14ac:dyDescent="0.25">
      <c r="A24825" s="1" t="str">
        <f>"502027"</f>
        <v>502027</v>
      </c>
      <c r="B24825" s="2" t="str">
        <f>"UNIAO S SMS 304 2"""</f>
        <v>UNIAO S SMS 304 2"</v>
      </c>
      <c r="C24825" s="2" t="str">
        <f t="shared" si="979"/>
        <v>BR</v>
      </c>
      <c r="D24825" s="7">
        <v>807</v>
      </c>
      <c r="E24825" s="3">
        <v>10</v>
      </c>
      <c r="F24825" s="3">
        <v>10</v>
      </c>
      <c r="G24825" t="s">
        <v>514</v>
      </c>
    </row>
    <row r="24826" spans="1:7" x14ac:dyDescent="0.25">
      <c r="A24826" s="1" t="str">
        <f>"502065"</f>
        <v>502065</v>
      </c>
      <c r="B24826" s="2" t="str">
        <f>"UNIAO S SMS 304 2""1/2"</f>
        <v>UNIAO S SMS 304 2"1/2</v>
      </c>
      <c r="C24826" s="2" t="str">
        <f t="shared" si="979"/>
        <v>BR</v>
      </c>
      <c r="D24826" s="7">
        <v>807</v>
      </c>
      <c r="E24826" s="3">
        <v>10</v>
      </c>
      <c r="F24826" s="3">
        <v>10</v>
      </c>
      <c r="G24826" t="s">
        <v>512</v>
      </c>
    </row>
    <row r="24827" spans="1:7" x14ac:dyDescent="0.25">
      <c r="A24827" s="1" t="str">
        <f>"504041"</f>
        <v>504041</v>
      </c>
      <c r="B24827" s="2" t="str">
        <f>"UNIAO S SMS 304 3"""</f>
        <v>UNIAO S SMS 304 3"</v>
      </c>
      <c r="C24827" s="2" t="str">
        <f t="shared" si="979"/>
        <v>BR</v>
      </c>
      <c r="D24827" s="7">
        <v>807</v>
      </c>
      <c r="E24827" s="3">
        <v>10</v>
      </c>
      <c r="F24827" s="3">
        <v>10</v>
      </c>
      <c r="G24827" t="s">
        <v>513</v>
      </c>
    </row>
    <row r="24828" spans="1:7" x14ac:dyDescent="0.25">
      <c r="A24828" s="1" t="str">
        <f>"504905"</f>
        <v>504905</v>
      </c>
      <c r="B24828" s="2" t="str">
        <f>"UNIAO S SMS 304 4"""</f>
        <v>UNIAO S SMS 304 4"</v>
      </c>
      <c r="C24828" s="2" t="str">
        <f t="shared" si="979"/>
        <v>BR</v>
      </c>
      <c r="D24828" s="7">
        <v>807</v>
      </c>
      <c r="E24828" s="3">
        <v>10</v>
      </c>
      <c r="F24828" s="3">
        <v>10</v>
      </c>
      <c r="G24828" t="s">
        <v>514</v>
      </c>
    </row>
    <row r="24829" spans="1:7" x14ac:dyDescent="0.25">
      <c r="A24829" s="1" t="str">
        <f>"504104"</f>
        <v>504104</v>
      </c>
      <c r="B24829" s="2" t="str">
        <f>"UNIAO S TC 1"""</f>
        <v>UNIAO S TC 1"</v>
      </c>
      <c r="C24829" s="2" t="str">
        <f t="shared" si="979"/>
        <v>BR</v>
      </c>
      <c r="D24829" s="7">
        <v>807</v>
      </c>
      <c r="E24829" s="3">
        <v>10</v>
      </c>
      <c r="F24829" s="3">
        <v>10</v>
      </c>
      <c r="G24829" t="s">
        <v>514</v>
      </c>
    </row>
    <row r="24830" spans="1:7" x14ac:dyDescent="0.25">
      <c r="A24830" s="1" t="str">
        <f>"504179"</f>
        <v>504179</v>
      </c>
      <c r="B24830" s="2" t="str">
        <f>"UNIAO S TC 1""1/2"""</f>
        <v>UNIAO S TC 1"1/2"</v>
      </c>
      <c r="C24830" s="2" t="str">
        <f t="shared" si="979"/>
        <v>BR</v>
      </c>
      <c r="D24830" s="7">
        <v>807</v>
      </c>
      <c r="E24830" s="3">
        <v>10</v>
      </c>
      <c r="F24830" s="3">
        <v>10</v>
      </c>
      <c r="G24830" t="s">
        <v>514</v>
      </c>
    </row>
    <row r="24831" spans="1:7" x14ac:dyDescent="0.25">
      <c r="A24831" s="1" t="str">
        <f>"512972"</f>
        <v>512972</v>
      </c>
      <c r="B24831" s="2" t="str">
        <f>"UNIAO S TC 1/2"""</f>
        <v>UNIAO S TC 1/2"</v>
      </c>
      <c r="C24831" s="2" t="str">
        <f>"UN"</f>
        <v>UN</v>
      </c>
      <c r="D24831" s="7">
        <v>915</v>
      </c>
      <c r="E24831" s="3">
        <v>10</v>
      </c>
      <c r="F24831" s="3">
        <v>10</v>
      </c>
      <c r="G24831" t="s">
        <v>513</v>
      </c>
    </row>
    <row r="24832" spans="1:7" x14ac:dyDescent="0.25">
      <c r="A24832" s="1" t="str">
        <f>"516850"</f>
        <v>516850</v>
      </c>
      <c r="B24832" s="2" t="str">
        <f>"UNIAO S TC 2 1/2"""</f>
        <v>UNIAO S TC 2 1/2"</v>
      </c>
      <c r="C24832" s="2" t="str">
        <f>"UN"</f>
        <v>UN</v>
      </c>
      <c r="D24832" s="7">
        <v>915</v>
      </c>
      <c r="E24832" s="3">
        <v>10</v>
      </c>
      <c r="F24832" s="3">
        <v>10</v>
      </c>
      <c r="G24832" t="s">
        <v>512</v>
      </c>
    </row>
    <row r="24833" spans="1:7" x14ac:dyDescent="0.25">
      <c r="A24833" s="1" t="str">
        <f>"502540"</f>
        <v>502540</v>
      </c>
      <c r="B24833" s="2" t="str">
        <f>"UNIAO S TC 2"""</f>
        <v>UNIAO S TC 2"</v>
      </c>
      <c r="C24833" s="2" t="str">
        <f>"BR"</f>
        <v>BR</v>
      </c>
      <c r="D24833" s="7">
        <v>807</v>
      </c>
      <c r="E24833" s="3">
        <v>10</v>
      </c>
      <c r="F24833" s="3">
        <v>10</v>
      </c>
      <c r="G24833" t="s">
        <v>513</v>
      </c>
    </row>
    <row r="24834" spans="1:7" x14ac:dyDescent="0.25">
      <c r="A24834" s="1" t="str">
        <f>"516851"</f>
        <v>516851</v>
      </c>
      <c r="B24834" s="2" t="str">
        <f>"UNIAO S TC 3"""</f>
        <v>UNIAO S TC 3"</v>
      </c>
      <c r="C24834" s="2" t="str">
        <f>"UN"</f>
        <v>UN</v>
      </c>
      <c r="D24834" s="7">
        <v>915</v>
      </c>
      <c r="E24834" s="3">
        <v>10</v>
      </c>
      <c r="F24834" s="3">
        <v>10</v>
      </c>
      <c r="G24834" t="s">
        <v>514</v>
      </c>
    </row>
    <row r="24835" spans="1:7" x14ac:dyDescent="0.25">
      <c r="A24835" s="1" t="str">
        <f>"520556"</f>
        <v>520556</v>
      </c>
      <c r="B24835" s="2" t="str">
        <f>"UNIAO S TC 5/8"""</f>
        <v>UNIAO S TC 5/8"</v>
      </c>
      <c r="C24835" s="2" t="str">
        <f>"BR"</f>
        <v>BR</v>
      </c>
      <c r="D24835" s="7">
        <v>807</v>
      </c>
      <c r="E24835" s="3">
        <v>10</v>
      </c>
      <c r="F24835" s="3">
        <v>10</v>
      </c>
      <c r="G24835" t="s">
        <v>514</v>
      </c>
    </row>
    <row r="24836" spans="1:7" x14ac:dyDescent="0.25">
      <c r="A24836" s="1" t="str">
        <f>"525995"</f>
        <v>525995</v>
      </c>
      <c r="B24836" s="2" t="str">
        <f>"UNIÃO S/ ROSCA 2``- PVC CINZA IPEX 150PSI/73ºF"</f>
        <v>UNIÃO S/ ROSCA 2``- PVC CINZA IPEX 150PSI/73ºF</v>
      </c>
      <c r="C24836" s="2" t="str">
        <f>"UN"</f>
        <v>UN</v>
      </c>
      <c r="D24836" s="7">
        <v>808</v>
      </c>
      <c r="E24836" s="3">
        <v>10</v>
      </c>
      <c r="F24836" s="3">
        <v>10</v>
      </c>
      <c r="G24836" t="s">
        <v>514</v>
      </c>
    </row>
    <row r="24837" spans="1:7" x14ac:dyDescent="0.25">
      <c r="A24837" s="1" t="str">
        <f>"519903"</f>
        <v>519903</v>
      </c>
      <c r="B24837" s="2" t="str">
        <f>"UNIAO S/ ROSCA 40MM - PVC"</f>
        <v>UNIAO S/ ROSCA 40MM - PVC</v>
      </c>
      <c r="C24837" s="2" t="str">
        <f>"UN"</f>
        <v>UN</v>
      </c>
      <c r="D24837" s="7">
        <v>808</v>
      </c>
      <c r="E24837" s="3">
        <v>10</v>
      </c>
      <c r="F24837" s="3">
        <v>10</v>
      </c>
      <c r="G24837" t="s">
        <v>513</v>
      </c>
    </row>
    <row r="24838" spans="1:7" x14ac:dyDescent="0.25">
      <c r="A24838" s="1" t="str">
        <f>"500051"</f>
        <v>500051</v>
      </c>
      <c r="B24838" s="2" t="str">
        <f>"UNIAO S/ ROSCA 50 MM - PVC"</f>
        <v>UNIAO S/ ROSCA 50 MM - PVC</v>
      </c>
      <c r="C24838" s="2" t="str">
        <f>"BR"</f>
        <v>BR</v>
      </c>
      <c r="D24838" s="7">
        <v>808</v>
      </c>
      <c r="E24838" s="3">
        <v>10</v>
      </c>
      <c r="F24838" s="3">
        <v>10</v>
      </c>
      <c r="G24838" t="s">
        <v>513</v>
      </c>
    </row>
    <row r="24839" spans="1:7" x14ac:dyDescent="0.25">
      <c r="A24839" s="1" t="str">
        <f>"519902"</f>
        <v>519902</v>
      </c>
      <c r="B24839" s="2" t="str">
        <f>"UNIÃO S/ ROSCA 60MM - PVC"</f>
        <v>UNIÃO S/ ROSCA 60MM - PVC</v>
      </c>
      <c r="C24839" s="2" t="str">
        <f>"UN"</f>
        <v>UN</v>
      </c>
      <c r="D24839" s="7">
        <v>808</v>
      </c>
      <c r="E24839" s="3">
        <v>10</v>
      </c>
      <c r="F24839" s="3">
        <v>10</v>
      </c>
      <c r="G24839" t="s">
        <v>513</v>
      </c>
    </row>
    <row r="24840" spans="1:7" x14ac:dyDescent="0.25">
      <c r="A24840" s="1" t="str">
        <f>"513866"</f>
        <v>513866</v>
      </c>
      <c r="B24840" s="2" t="str">
        <f>"UNIAO SCHRADER 1/4 SAE X 1/4 SOLDA 10CM"</f>
        <v>UNIAO SCHRADER 1/4 SAE X 1/4 SOLDA 10CM</v>
      </c>
      <c r="C24840" s="2" t="str">
        <f>"UN"</f>
        <v>UN</v>
      </c>
      <c r="D24840" s="7">
        <v>99999</v>
      </c>
      <c r="E24840" s="3">
        <v>99</v>
      </c>
      <c r="F24840" s="3">
        <v>99</v>
      </c>
      <c r="G24840" t="s">
        <v>512</v>
      </c>
    </row>
    <row r="24841" spans="1:7" x14ac:dyDescent="0.25">
      <c r="A24841" s="1" t="str">
        <f>"506002"</f>
        <v>506002</v>
      </c>
      <c r="B24841" s="2" t="str">
        <f>"UNIÃO SIMPLES PVC ESGOTO 300MM"</f>
        <v>UNIÃO SIMPLES PVC ESGOTO 300MM</v>
      </c>
      <c r="C24841" s="2" t="str">
        <f>"UN"</f>
        <v>UN</v>
      </c>
      <c r="D24841" s="7">
        <v>808</v>
      </c>
      <c r="E24841" s="3">
        <v>10</v>
      </c>
      <c r="F24841" s="3">
        <v>10</v>
      </c>
      <c r="G24841" t="s">
        <v>513</v>
      </c>
    </row>
    <row r="24842" spans="1:7" x14ac:dyDescent="0.25">
      <c r="A24842" s="1" t="str">
        <f>"510076"</f>
        <v>510076</v>
      </c>
      <c r="B24842" s="2" t="str">
        <f>"UNIAO SOL SMS 304/EPDM 4"""</f>
        <v>UNIAO SOL SMS 304/EPDM 4"</v>
      </c>
      <c r="C24842" s="2" t="str">
        <f>"UN"</f>
        <v>UN</v>
      </c>
      <c r="D24842" s="7">
        <v>915</v>
      </c>
      <c r="E24842" s="3">
        <v>11</v>
      </c>
      <c r="F24842" s="3">
        <v>11</v>
      </c>
      <c r="G24842" t="s">
        <v>514</v>
      </c>
    </row>
    <row r="24843" spans="1:7" x14ac:dyDescent="0.25">
      <c r="A24843" s="1" t="str">
        <f>"515987"</f>
        <v>515987</v>
      </c>
      <c r="B24843" s="2" t="str">
        <f>"UNIAO TUBOS RED. QS6H4 FESTO 153041"</f>
        <v>UNIAO TUBOS RED. QS6H4 FESTO 153041</v>
      </c>
      <c r="C24843" s="2" t="str">
        <f>"UN"</f>
        <v>UN</v>
      </c>
      <c r="D24843" s="7">
        <v>99999</v>
      </c>
      <c r="E24843" s="3">
        <v>10</v>
      </c>
      <c r="F24843" s="3">
        <v>10</v>
      </c>
      <c r="G24843" t="s">
        <v>515</v>
      </c>
    </row>
    <row r="24844" spans="1:7" x14ac:dyDescent="0.25">
      <c r="A24844" s="1" t="str">
        <f>"512424"</f>
        <v>512424</v>
      </c>
      <c r="B24844" s="2" t="str">
        <f>"UNIAO TUBOS RED. QS8H6 FESTO 153042"</f>
        <v>UNIAO TUBOS RED. QS8H6 FESTO 153042</v>
      </c>
      <c r="C24844" s="2" t="str">
        <f>"PC"</f>
        <v>PC</v>
      </c>
      <c r="D24844" s="7">
        <v>913</v>
      </c>
      <c r="E24844" s="3">
        <v>11</v>
      </c>
      <c r="F24844" s="3">
        <v>11</v>
      </c>
      <c r="G24844" t="s">
        <v>512</v>
      </c>
    </row>
    <row r="24845" spans="1:7" x14ac:dyDescent="0.25">
      <c r="A24845" s="1" t="str">
        <f>"521127"</f>
        <v>521127</v>
      </c>
      <c r="B24845" s="2" t="str">
        <f>"UNID. PROC. DIG. PEQ. CAP. DESKTOP ELITEDESK W7"</f>
        <v>UNID. PROC. DIG. PEQ. CAP. DESKTOP ELITEDESK W7</v>
      </c>
      <c r="C24845" s="2" t="str">
        <f>"UN"</f>
        <v>UN</v>
      </c>
      <c r="D24845" s="7">
        <v>99999</v>
      </c>
      <c r="E24845" s="3">
        <v>99</v>
      </c>
      <c r="F24845" s="3">
        <v>99</v>
      </c>
      <c r="G24845" t="s">
        <v>516</v>
      </c>
    </row>
    <row r="24846" spans="1:7" x14ac:dyDescent="0.25">
      <c r="A24846" s="1" t="str">
        <f>"515144"</f>
        <v>515144</v>
      </c>
      <c r="B24846" s="2" t="str">
        <f>"UNIDADE"</f>
        <v>UNIDADE</v>
      </c>
      <c r="C24846" s="2" t="str">
        <f>"UN"</f>
        <v>UN</v>
      </c>
      <c r="D24846" s="7">
        <v>704</v>
      </c>
      <c r="E24846" s="3">
        <v>9</v>
      </c>
      <c r="F24846" s="3">
        <v>9</v>
      </c>
      <c r="G24846" t="s">
        <v>515</v>
      </c>
    </row>
    <row r="24847" spans="1:7" x14ac:dyDescent="0.25">
      <c r="A24847" s="1" t="str">
        <f>"501048"</f>
        <v>501048</v>
      </c>
      <c r="B24847" s="2" t="str">
        <f>"UNIDADE AR CP12CR1P FESTER"</f>
        <v>UNIDADE AR CP12CR1P FESTER</v>
      </c>
      <c r="C24847" s="2" t="str">
        <f t="shared" ref="C24847:C24853" si="980">"BR"</f>
        <v>BR</v>
      </c>
      <c r="D24847" s="7">
        <v>808</v>
      </c>
      <c r="E24847" s="3">
        <v>10</v>
      </c>
      <c r="F24847" s="3">
        <v>10</v>
      </c>
      <c r="G24847" t="s">
        <v>514</v>
      </c>
    </row>
    <row r="24848" spans="1:7" x14ac:dyDescent="0.25">
      <c r="A24848" s="1" t="str">
        <f>"503613"</f>
        <v>503613</v>
      </c>
      <c r="B24848" s="2" t="str">
        <f>"UNIDADE AR CP13CP1P FESTER"</f>
        <v>UNIDADE AR CP13CP1P FESTER</v>
      </c>
      <c r="C24848" s="2" t="str">
        <f t="shared" si="980"/>
        <v>BR</v>
      </c>
      <c r="D24848" s="7">
        <v>808</v>
      </c>
      <c r="E24848" s="3">
        <v>10</v>
      </c>
      <c r="F24848" s="3">
        <v>10</v>
      </c>
      <c r="G24848" t="s">
        <v>512</v>
      </c>
    </row>
    <row r="24849" spans="1:7" x14ac:dyDescent="0.25">
      <c r="A24849" s="1" t="str">
        <f>"501049"</f>
        <v>501049</v>
      </c>
      <c r="B24849" s="2" t="str">
        <f>"UNIDADE AR CP25CP1P FESTER"</f>
        <v>UNIDADE AR CP25CP1P FESTER</v>
      </c>
      <c r="C24849" s="2" t="str">
        <f t="shared" si="980"/>
        <v>BR</v>
      </c>
      <c r="D24849" s="7">
        <v>808</v>
      </c>
      <c r="E24849" s="3">
        <v>10</v>
      </c>
      <c r="F24849" s="3">
        <v>10</v>
      </c>
      <c r="G24849" t="s">
        <v>513</v>
      </c>
    </row>
    <row r="24850" spans="1:7" x14ac:dyDescent="0.25">
      <c r="A24850" s="1" t="str">
        <f>"503206"</f>
        <v>503206</v>
      </c>
      <c r="B24850" s="2" t="str">
        <f>"UNIDADE AR G3/4 MICRO COD.0.101.003.465"</f>
        <v>UNIDADE AR G3/4 MICRO COD.0.101.003.465</v>
      </c>
      <c r="C24850" s="2" t="str">
        <f t="shared" si="980"/>
        <v>BR</v>
      </c>
      <c r="D24850" s="7">
        <v>808</v>
      </c>
      <c r="E24850" s="3">
        <v>10</v>
      </c>
      <c r="F24850" s="3">
        <v>10</v>
      </c>
      <c r="G24850" t="s">
        <v>514</v>
      </c>
    </row>
    <row r="24851" spans="1:7" x14ac:dyDescent="0.25">
      <c r="A24851" s="1" t="str">
        <f>"503615"</f>
        <v>503615</v>
      </c>
      <c r="B24851" s="2" t="str">
        <f>"UNIDADE AR G3/8 COD.0.101.003.533"</f>
        <v>UNIDADE AR G3/8 COD.0.101.003.533</v>
      </c>
      <c r="C24851" s="2" t="str">
        <f t="shared" si="980"/>
        <v>BR</v>
      </c>
      <c r="D24851" s="7">
        <v>808</v>
      </c>
      <c r="E24851" s="3">
        <v>10</v>
      </c>
      <c r="F24851" s="3">
        <v>10</v>
      </c>
      <c r="G24851" t="s">
        <v>514</v>
      </c>
    </row>
    <row r="24852" spans="1:7" x14ac:dyDescent="0.25">
      <c r="A24852" s="1" t="str">
        <f>"504213"</f>
        <v>504213</v>
      </c>
      <c r="B24852" s="2" t="str">
        <f>"UNIDADE AR MICRO QSB4 REF.0.101.000.766"</f>
        <v>UNIDADE AR MICRO QSB4 REF.0.101.000.766</v>
      </c>
      <c r="C24852" s="2" t="str">
        <f t="shared" si="980"/>
        <v>BR</v>
      </c>
      <c r="D24852" s="7">
        <v>808</v>
      </c>
      <c r="E24852" s="3">
        <v>10</v>
      </c>
      <c r="F24852" s="3">
        <v>10</v>
      </c>
      <c r="G24852" t="s">
        <v>512</v>
      </c>
    </row>
    <row r="24853" spans="1:7" x14ac:dyDescent="0.25">
      <c r="A24853" s="1" t="str">
        <f>"504214"</f>
        <v>504214</v>
      </c>
      <c r="B24853" s="2" t="str">
        <f>"UNIDADE AR MICRO QSB4 REF.0.101.000.866"</f>
        <v>UNIDADE AR MICRO QSB4 REF.0.101.000.866</v>
      </c>
      <c r="C24853" s="2" t="str">
        <f t="shared" si="980"/>
        <v>BR</v>
      </c>
      <c r="D24853" s="7">
        <v>808</v>
      </c>
      <c r="E24853" s="3">
        <v>10</v>
      </c>
      <c r="F24853" s="3">
        <v>10</v>
      </c>
      <c r="G24853" t="s">
        <v>513</v>
      </c>
    </row>
    <row r="24854" spans="1:7" x14ac:dyDescent="0.25">
      <c r="A24854" s="1" t="str">
        <f>"517558"</f>
        <v>517558</v>
      </c>
      <c r="B24854" s="2" t="str">
        <f>"UNIDADE AUTONOMA P/ ACLARAMENTO DE ROTA"</f>
        <v>UNIDADE AUTONOMA P/ ACLARAMENTO DE ROTA</v>
      </c>
      <c r="C24854" s="2" t="str">
        <f t="shared" ref="C24854:C24874" si="981">"UN"</f>
        <v>UN</v>
      </c>
      <c r="D24854" s="7">
        <v>811</v>
      </c>
      <c r="E24854" s="3">
        <v>8</v>
      </c>
      <c r="F24854" s="3">
        <v>8</v>
      </c>
      <c r="G24854" t="s">
        <v>514</v>
      </c>
    </row>
    <row r="24855" spans="1:7" x14ac:dyDescent="0.25">
      <c r="A24855" s="1" t="str">
        <f>"518869"</f>
        <v>518869</v>
      </c>
      <c r="B24855" s="2" t="str">
        <f>"UNIDADE COMANDO P/ MFLV SERIE FL18710"</f>
        <v>UNIDADE COMANDO P/ MFLV SERIE FL18710</v>
      </c>
      <c r="C24855" s="2" t="str">
        <f t="shared" si="981"/>
        <v>UN</v>
      </c>
      <c r="D24855" s="7">
        <v>811</v>
      </c>
      <c r="E24855" s="3">
        <v>8</v>
      </c>
      <c r="F24855" s="3">
        <v>8</v>
      </c>
      <c r="G24855" t="s">
        <v>514</v>
      </c>
    </row>
    <row r="24856" spans="1:7" x14ac:dyDescent="0.25">
      <c r="A24856" s="1" t="str">
        <f>"515206"</f>
        <v>515206</v>
      </c>
      <c r="B24856" s="2" t="str">
        <f>"UNIDADE COMB FRC-1 2-D-MIDI-A"</f>
        <v>UNIDADE COMB FRC-1 2-D-MIDI-A</v>
      </c>
      <c r="C24856" s="2" t="str">
        <f t="shared" si="981"/>
        <v>UN</v>
      </c>
      <c r="D24856" s="7">
        <v>901</v>
      </c>
      <c r="E24856" s="3">
        <v>10</v>
      </c>
      <c r="F24856" s="3">
        <v>10</v>
      </c>
      <c r="G24856" t="s">
        <v>514</v>
      </c>
    </row>
    <row r="24857" spans="1:7" x14ac:dyDescent="0.25">
      <c r="A24857" s="1" t="str">
        <f>"523416"</f>
        <v>523416</v>
      </c>
      <c r="B24857" s="8" t="s">
        <v>367</v>
      </c>
      <c r="C24857" s="2" t="str">
        <f t="shared" si="981"/>
        <v>UN</v>
      </c>
      <c r="D24857" s="7">
        <v>913</v>
      </c>
      <c r="E24857" s="3">
        <v>11</v>
      </c>
      <c r="F24857" s="3">
        <v>11</v>
      </c>
      <c r="G24857" t="s">
        <v>513</v>
      </c>
    </row>
    <row r="24858" spans="1:7" x14ac:dyDescent="0.25">
      <c r="A24858" s="1" t="str">
        <f>"516527"</f>
        <v>516527</v>
      </c>
      <c r="B24858" s="2" t="str">
        <f>"UNIDADE COMB.FRC-1/2-D-MIDI-A 159591"</f>
        <v>UNIDADE COMB.FRC-1/2-D-MIDI-A 159591</v>
      </c>
      <c r="C24858" s="2" t="str">
        <f t="shared" si="981"/>
        <v>UN</v>
      </c>
      <c r="D24858" s="7">
        <v>913</v>
      </c>
      <c r="E24858" s="3">
        <v>11</v>
      </c>
      <c r="F24858" s="3">
        <v>11</v>
      </c>
      <c r="G24858" t="s">
        <v>512</v>
      </c>
    </row>
    <row r="24859" spans="1:7" x14ac:dyDescent="0.25">
      <c r="A24859" s="1" t="str">
        <f>"510566"</f>
        <v>510566</v>
      </c>
      <c r="B24859" s="2" t="str">
        <f>"UNIDADE COMPRESSOR ALTER CMO-26"</f>
        <v>UNIDADE COMPRESSOR ALTER CMO-26</v>
      </c>
      <c r="C24859" s="2" t="str">
        <f t="shared" si="981"/>
        <v>UN</v>
      </c>
      <c r="D24859" s="7">
        <v>1002</v>
      </c>
      <c r="E24859" s="3">
        <v>13</v>
      </c>
      <c r="F24859" s="3">
        <v>13</v>
      </c>
      <c r="G24859" t="s">
        <v>513</v>
      </c>
    </row>
    <row r="24860" spans="1:7" x14ac:dyDescent="0.25">
      <c r="A24860" s="1" t="str">
        <f>"510565"</f>
        <v>510565</v>
      </c>
      <c r="B24860" s="2" t="str">
        <f>"UNIDADE COMPRESSOR ALTER SMC-106L"</f>
        <v>UNIDADE COMPRESSOR ALTER SMC-106L</v>
      </c>
      <c r="C24860" s="2" t="str">
        <f t="shared" si="981"/>
        <v>UN</v>
      </c>
      <c r="D24860" s="7">
        <v>1002</v>
      </c>
      <c r="E24860" s="3">
        <v>13</v>
      </c>
      <c r="F24860" s="3">
        <v>13</v>
      </c>
      <c r="G24860" t="s">
        <v>514</v>
      </c>
    </row>
    <row r="24861" spans="1:7" x14ac:dyDescent="0.25">
      <c r="A24861" s="1" t="str">
        <f>"527272"</f>
        <v>527272</v>
      </c>
      <c r="B24861" s="2" t="str">
        <f>"UNIDADE COMPRESSOR DE AR ATLAS COPCO GA-132"</f>
        <v>UNIDADE COMPRESSOR DE AR ATLAS COPCO GA-132</v>
      </c>
      <c r="C24861" s="2" t="str">
        <f t="shared" si="981"/>
        <v>UN</v>
      </c>
      <c r="D24861" s="7">
        <v>1300</v>
      </c>
      <c r="E24861" s="3">
        <v>13</v>
      </c>
      <c r="F24861" s="3">
        <v>13</v>
      </c>
      <c r="G24861" t="s">
        <v>514</v>
      </c>
    </row>
    <row r="24862" spans="1:7" x14ac:dyDescent="0.25">
      <c r="A24862" s="1" t="str">
        <f>"518618"</f>
        <v>518618</v>
      </c>
      <c r="B24862" s="2" t="str">
        <f>"UNIDADE COMPRESSOR DE AR ATLAS COPCO GA-90"</f>
        <v>UNIDADE COMPRESSOR DE AR ATLAS COPCO GA-90</v>
      </c>
      <c r="C24862" s="2" t="str">
        <f t="shared" si="981"/>
        <v>UN</v>
      </c>
      <c r="D24862" s="7">
        <v>1300</v>
      </c>
      <c r="E24862" s="3">
        <v>13</v>
      </c>
      <c r="F24862" s="3">
        <v>13</v>
      </c>
      <c r="G24862" t="s">
        <v>514</v>
      </c>
    </row>
    <row r="24863" spans="1:7" x14ac:dyDescent="0.25">
      <c r="A24863" s="1" t="str">
        <f>"525418"</f>
        <v>525418</v>
      </c>
      <c r="B24863" s="2" t="str">
        <f>"UNIDADE COND DANFOSS HGZ100D40V 380V 3F"</f>
        <v>UNIDADE COND DANFOSS HGZ100D40V 380V 3F</v>
      </c>
      <c r="C24863" s="2" t="str">
        <f t="shared" si="981"/>
        <v>UN</v>
      </c>
      <c r="D24863" s="7">
        <v>818</v>
      </c>
      <c r="E24863" s="3">
        <v>10</v>
      </c>
      <c r="F24863" s="3">
        <v>10</v>
      </c>
      <c r="G24863" t="s">
        <v>513</v>
      </c>
    </row>
    <row r="24864" spans="1:7" x14ac:dyDescent="0.25">
      <c r="A24864" s="1" t="str">
        <f>"522773"</f>
        <v>522773</v>
      </c>
      <c r="B24864" s="2" t="str">
        <f>"UNIDADE DE CILINDRO BROTHER 7040"</f>
        <v>UNIDADE DE CILINDRO BROTHER 7040</v>
      </c>
      <c r="C24864" s="2" t="str">
        <f t="shared" si="981"/>
        <v>UN</v>
      </c>
      <c r="D24864" s="7">
        <v>401</v>
      </c>
      <c r="E24864" s="3">
        <v>4</v>
      </c>
      <c r="F24864" s="3">
        <v>4</v>
      </c>
      <c r="G24864" t="s">
        <v>513</v>
      </c>
    </row>
    <row r="24865" spans="1:7" x14ac:dyDescent="0.25">
      <c r="A24865" s="1" t="str">
        <f>"518425"</f>
        <v>518425</v>
      </c>
      <c r="B24865" s="2" t="str">
        <f>"UNIDADE DE FUSÃO"</f>
        <v>UNIDADE DE FUSÃO</v>
      </c>
      <c r="C24865" s="2" t="str">
        <f t="shared" si="981"/>
        <v>UN</v>
      </c>
      <c r="D24865" s="7">
        <v>99999</v>
      </c>
      <c r="E24865" s="3">
        <v>99</v>
      </c>
      <c r="F24865" s="3">
        <v>99</v>
      </c>
      <c r="G24865" t="s">
        <v>513</v>
      </c>
    </row>
    <row r="24866" spans="1:7" x14ac:dyDescent="0.25">
      <c r="A24866" s="1" t="str">
        <f>"519805"</f>
        <v>519805</v>
      </c>
      <c r="B24866" s="2" t="str">
        <f>"UNIDADE GIRATORIA DSR-16-180-P 11910"</f>
        <v>UNIDADE GIRATORIA DSR-16-180-P 11910</v>
      </c>
      <c r="C24866" s="2" t="str">
        <f t="shared" si="981"/>
        <v>UN</v>
      </c>
      <c r="D24866" s="7">
        <v>901</v>
      </c>
      <c r="E24866" s="3">
        <v>11</v>
      </c>
      <c r="F24866" s="3">
        <v>11</v>
      </c>
      <c r="G24866" t="s">
        <v>512</v>
      </c>
    </row>
    <row r="24867" spans="1:7" x14ac:dyDescent="0.25">
      <c r="A24867" s="1" t="str">
        <f>"519822"</f>
        <v>519822</v>
      </c>
      <c r="B24867" s="2" t="str">
        <f>"UNIDADE GIRATORIA DSR-40-180-P 13467"</f>
        <v>UNIDADE GIRATORIA DSR-40-180-P 13467</v>
      </c>
      <c r="C24867" s="2" t="str">
        <f t="shared" si="981"/>
        <v>UN</v>
      </c>
      <c r="D24867" s="7">
        <v>901</v>
      </c>
      <c r="E24867" s="3">
        <v>11</v>
      </c>
      <c r="F24867" s="3">
        <v>11</v>
      </c>
      <c r="G24867" t="s">
        <v>513</v>
      </c>
    </row>
    <row r="24868" spans="1:7" x14ac:dyDescent="0.25">
      <c r="A24868" s="1" t="str">
        <f>"523341"</f>
        <v>523341</v>
      </c>
      <c r="B24868" s="2" t="str">
        <f>"UNIDADE HIDR.MONT. COMPLETA BSC2C2PMD2/U04/192"</f>
        <v>UNIDADE HIDR.MONT. COMPLETA BSC2C2PMD2/U04/192</v>
      </c>
      <c r="C24868" s="2" t="str">
        <f t="shared" si="981"/>
        <v>UN</v>
      </c>
      <c r="D24868" s="7">
        <v>918</v>
      </c>
      <c r="E24868" s="3">
        <v>11</v>
      </c>
      <c r="F24868" s="3">
        <v>11</v>
      </c>
      <c r="G24868" t="s">
        <v>514</v>
      </c>
    </row>
    <row r="24869" spans="1:7" x14ac:dyDescent="0.25">
      <c r="A24869" s="1" t="str">
        <f>"507426"</f>
        <v>507426</v>
      </c>
      <c r="B24869" s="2" t="str">
        <f>"UNIDADE HIDRAULICA COMPLETA SHL-30A"</f>
        <v>UNIDADE HIDRAULICA COMPLETA SHL-30A</v>
      </c>
      <c r="C24869" s="2" t="str">
        <f t="shared" si="981"/>
        <v>UN</v>
      </c>
      <c r="D24869" s="7">
        <v>918</v>
      </c>
      <c r="E24869" s="3">
        <v>11</v>
      </c>
      <c r="F24869" s="3">
        <v>11</v>
      </c>
      <c r="G24869" t="s">
        <v>515</v>
      </c>
    </row>
    <row r="24870" spans="1:7" x14ac:dyDescent="0.25">
      <c r="A24870" s="1" t="str">
        <f>"508135"</f>
        <v>508135</v>
      </c>
      <c r="B24870" s="2" t="str">
        <f>"UNIDADE HIDRAULICA DO HOMOGENIZADOR"</f>
        <v>UNIDADE HIDRAULICA DO HOMOGENIZADOR</v>
      </c>
      <c r="C24870" s="2" t="str">
        <f t="shared" si="981"/>
        <v>UN</v>
      </c>
      <c r="D24870" s="7">
        <v>914</v>
      </c>
      <c r="E24870" s="3">
        <v>11</v>
      </c>
      <c r="F24870" s="3">
        <v>11</v>
      </c>
      <c r="G24870" t="s">
        <v>512</v>
      </c>
    </row>
    <row r="24871" spans="1:7" x14ac:dyDescent="0.25">
      <c r="A24871" s="1" t="str">
        <f>"517619"</f>
        <v>517619</v>
      </c>
      <c r="B24871" s="2" t="str">
        <f>"UNIDADE HIDRAULICA SHL-30"</f>
        <v>UNIDADE HIDRAULICA SHL-30</v>
      </c>
      <c r="C24871" s="2" t="str">
        <f t="shared" si="981"/>
        <v>UN</v>
      </c>
      <c r="D24871" s="7">
        <v>1003</v>
      </c>
      <c r="E24871" s="3">
        <v>10</v>
      </c>
      <c r="F24871" s="3">
        <v>10</v>
      </c>
      <c r="G24871" t="s">
        <v>516</v>
      </c>
    </row>
    <row r="24872" spans="1:7" x14ac:dyDescent="0.25">
      <c r="A24872" s="1" t="str">
        <f>"513178"</f>
        <v>513178</v>
      </c>
      <c r="B24872" s="2" t="str">
        <f>"UNIDADE HIDRAULICA SOPRADORA PACK-1"</f>
        <v>UNIDADE HIDRAULICA SOPRADORA PACK-1</v>
      </c>
      <c r="C24872" s="2" t="str">
        <f t="shared" si="981"/>
        <v>UN</v>
      </c>
      <c r="D24872" s="7">
        <v>1300</v>
      </c>
      <c r="E24872" s="3">
        <v>13</v>
      </c>
      <c r="F24872" s="3">
        <v>13</v>
      </c>
      <c r="G24872" t="s">
        <v>515</v>
      </c>
    </row>
    <row r="24873" spans="1:7" x14ac:dyDescent="0.25">
      <c r="A24873" s="1" t="str">
        <f>"509289"</f>
        <v>509289</v>
      </c>
      <c r="B24873" s="2" t="str">
        <f>"UNIDADE HIDRAULICA TOMBADOR PS"</f>
        <v>UNIDADE HIDRAULICA TOMBADOR PS</v>
      </c>
      <c r="C24873" s="2" t="str">
        <f t="shared" si="981"/>
        <v>UN</v>
      </c>
      <c r="D24873" s="7">
        <v>914</v>
      </c>
      <c r="E24873" s="3">
        <v>11</v>
      </c>
      <c r="F24873" s="3">
        <v>11</v>
      </c>
      <c r="G24873" t="s">
        <v>514</v>
      </c>
    </row>
    <row r="24874" spans="1:7" x14ac:dyDescent="0.25">
      <c r="A24874" s="1" t="str">
        <f>"512126"</f>
        <v>512126</v>
      </c>
      <c r="B24874" s="2" t="str">
        <f>"UNIDADE IDENTIFICAÇAO 1 A 5 CABO 1MM"</f>
        <v>UNIDADE IDENTIFICAÇAO 1 A 5 CABO 1MM</v>
      </c>
      <c r="C24874" s="2" t="str">
        <f t="shared" si="981"/>
        <v>UN</v>
      </c>
      <c r="D24874" s="7">
        <v>600</v>
      </c>
      <c r="E24874" s="3">
        <v>8</v>
      </c>
      <c r="F24874" s="3">
        <v>8</v>
      </c>
      <c r="G24874" t="s">
        <v>512</v>
      </c>
    </row>
    <row r="24875" spans="1:7" x14ac:dyDescent="0.25">
      <c r="A24875" s="1" t="str">
        <f>"503041"</f>
        <v>503041</v>
      </c>
      <c r="B24875" s="2" t="str">
        <f>"UNIDADE LUBRIF AR FRL G3/4 REF0101003465"</f>
        <v>UNIDADE LUBRIF AR FRL G3/4 REF0101003465</v>
      </c>
      <c r="C24875" s="2" t="str">
        <f>"BR"</f>
        <v>BR</v>
      </c>
      <c r="D24875" s="7">
        <v>808</v>
      </c>
      <c r="E24875" s="3">
        <v>10</v>
      </c>
      <c r="F24875" s="3">
        <v>10</v>
      </c>
      <c r="G24875" t="s">
        <v>513</v>
      </c>
    </row>
    <row r="24876" spans="1:7" x14ac:dyDescent="0.25">
      <c r="A24876" s="1" t="str">
        <f>"502509"</f>
        <v>502509</v>
      </c>
      <c r="B24876" s="2" t="str">
        <f>"UNIDADE LUBRIFICAÇAO AR FESTO LOE-D-MINI"</f>
        <v>UNIDADE LUBRIFICAÇAO AR FESTO LOE-D-MINI</v>
      </c>
      <c r="C24876" s="2" t="str">
        <f>"BR"</f>
        <v>BR</v>
      </c>
      <c r="D24876" s="7">
        <v>808</v>
      </c>
      <c r="E24876" s="3">
        <v>10</v>
      </c>
      <c r="F24876" s="3">
        <v>10</v>
      </c>
      <c r="G24876" t="s">
        <v>514</v>
      </c>
    </row>
    <row r="24877" spans="1:7" x14ac:dyDescent="0.25">
      <c r="A24877" s="1" t="str">
        <f>"502508"</f>
        <v>502508</v>
      </c>
      <c r="B24877" s="2" t="str">
        <f>"UNIDADE PREPARAÇAO AR FESTO LFR-D-5MMINI"</f>
        <v>UNIDADE PREPARAÇAO AR FESTO LFR-D-5MMINI</v>
      </c>
      <c r="C24877" s="2" t="str">
        <f>"BR"</f>
        <v>BR</v>
      </c>
      <c r="D24877" s="7">
        <v>808</v>
      </c>
      <c r="E24877" s="3">
        <v>10</v>
      </c>
      <c r="F24877" s="3">
        <v>10</v>
      </c>
      <c r="G24877" t="s">
        <v>514</v>
      </c>
    </row>
    <row r="24878" spans="1:7" x14ac:dyDescent="0.25">
      <c r="A24878" s="1" t="str">
        <f>"512002"</f>
        <v>512002</v>
      </c>
      <c r="B24878" s="2" t="str">
        <f>"UNIDADE REPARAÇAO AR LFR-D-MAXI A243-3/8"</f>
        <v>UNIDADE REPARAÇAO AR LFR-D-MAXI A243-3/8</v>
      </c>
      <c r="C24878" s="2" t="str">
        <f t="shared" ref="C24878:C24896" si="982">"UN"</f>
        <v>UN</v>
      </c>
      <c r="D24878" s="7">
        <v>913</v>
      </c>
      <c r="E24878" s="3">
        <v>11</v>
      </c>
      <c r="F24878" s="3">
        <v>11</v>
      </c>
      <c r="G24878" t="s">
        <v>512</v>
      </c>
    </row>
    <row r="24879" spans="1:7" x14ac:dyDescent="0.25">
      <c r="A24879" s="1" t="str">
        <f>"516284"</f>
        <v>516284</v>
      </c>
      <c r="B24879" s="2" t="str">
        <f>"UNIDADE SERVIÇO FRC-1/2-D-MIDI-A"</f>
        <v>UNIDADE SERVIÇO FRC-1/2-D-MIDI-A</v>
      </c>
      <c r="C24879" s="2" t="str">
        <f t="shared" si="982"/>
        <v>UN</v>
      </c>
      <c r="D24879" s="7">
        <v>913</v>
      </c>
      <c r="E24879" s="3">
        <v>11</v>
      </c>
      <c r="F24879" s="3">
        <v>11</v>
      </c>
      <c r="G24879" t="s">
        <v>513</v>
      </c>
    </row>
    <row r="24880" spans="1:7" x14ac:dyDescent="0.25">
      <c r="A24880" s="1" t="str">
        <f>"511734"</f>
        <v>511734</v>
      </c>
      <c r="B24880" s="2" t="str">
        <f>"UNIDANFE V3 PLUS LICENÇA ANUAL"</f>
        <v>UNIDANFE V3 PLUS LICENÇA ANUAL</v>
      </c>
      <c r="C24880" s="2" t="str">
        <f t="shared" si="982"/>
        <v>UN</v>
      </c>
      <c r="D24880" s="7">
        <v>401</v>
      </c>
      <c r="E24880" s="3">
        <v>4</v>
      </c>
      <c r="F24880" s="3">
        <v>4</v>
      </c>
      <c r="G24880" t="s">
        <v>514</v>
      </c>
    </row>
    <row r="24881" spans="1:7" x14ac:dyDescent="0.25">
      <c r="A24881" s="1" t="str">
        <f>"515615"</f>
        <v>515615</v>
      </c>
      <c r="B24881" s="2" t="str">
        <f>"UNIDUT"</f>
        <v>UNIDUT</v>
      </c>
      <c r="C24881" s="2" t="str">
        <f t="shared" si="982"/>
        <v>UN</v>
      </c>
      <c r="D24881" s="7">
        <v>401</v>
      </c>
      <c r="E24881" s="3">
        <v>4</v>
      </c>
      <c r="F24881" s="3">
        <v>4</v>
      </c>
      <c r="G24881" t="s">
        <v>514</v>
      </c>
    </row>
    <row r="24882" spans="1:7" x14ac:dyDescent="0.25">
      <c r="A24882" s="1" t="str">
        <f>"522693"</f>
        <v>522693</v>
      </c>
      <c r="B24882" s="2" t="str">
        <f>"UNIDUT CONICO 4"""</f>
        <v>UNIDUT CONICO 4"</v>
      </c>
      <c r="C24882" s="2" t="str">
        <f t="shared" si="982"/>
        <v>UN</v>
      </c>
      <c r="D24882" s="7">
        <v>601</v>
      </c>
      <c r="E24882" s="3">
        <v>8</v>
      </c>
      <c r="F24882" s="3">
        <v>8</v>
      </c>
      <c r="G24882" t="s">
        <v>514</v>
      </c>
    </row>
    <row r="24883" spans="1:7" x14ac:dyDescent="0.25">
      <c r="A24883" s="1" t="str">
        <f>"523458"</f>
        <v>523458</v>
      </c>
      <c r="B24883" s="2" t="str">
        <f>"UNIDUT MULTIPLO 1"""</f>
        <v>UNIDUT MULTIPLO 1"</v>
      </c>
      <c r="C24883" s="2" t="str">
        <f t="shared" si="982"/>
        <v>UN</v>
      </c>
      <c r="D24883" s="7">
        <v>601</v>
      </c>
      <c r="E24883" s="3">
        <v>8</v>
      </c>
      <c r="F24883" s="3">
        <v>8</v>
      </c>
      <c r="G24883" t="s">
        <v>513</v>
      </c>
    </row>
    <row r="24884" spans="1:7" x14ac:dyDescent="0.25">
      <c r="A24884" s="1" t="str">
        <f>"506962"</f>
        <v>506962</v>
      </c>
      <c r="B24884" s="2" t="str">
        <f>"UNIDUT PVC 1"" - CINZA"</f>
        <v>UNIDUT PVC 1" - CINZA</v>
      </c>
      <c r="C24884" s="2" t="str">
        <f t="shared" si="982"/>
        <v>UN</v>
      </c>
      <c r="D24884" s="7">
        <v>917</v>
      </c>
      <c r="E24884" s="3">
        <v>11</v>
      </c>
      <c r="F24884" s="3">
        <v>11</v>
      </c>
      <c r="G24884" t="s">
        <v>512</v>
      </c>
    </row>
    <row r="24885" spans="1:7" x14ac:dyDescent="0.25">
      <c r="A24885" s="1" t="str">
        <f>"509899"</f>
        <v>509899</v>
      </c>
      <c r="B24885" s="2" t="str">
        <f>"UNIDUT PVC 2"" - CINZA"</f>
        <v>UNIDUT PVC 2" - CINZA</v>
      </c>
      <c r="C24885" s="2" t="str">
        <f t="shared" si="982"/>
        <v>UN</v>
      </c>
      <c r="D24885" s="7">
        <v>601</v>
      </c>
      <c r="E24885" s="3">
        <v>8</v>
      </c>
      <c r="F24885" s="3">
        <v>8</v>
      </c>
      <c r="G24885" t="s">
        <v>513</v>
      </c>
    </row>
    <row r="24886" spans="1:7" x14ac:dyDescent="0.25">
      <c r="A24886" s="1" t="str">
        <f>"509898"</f>
        <v>509898</v>
      </c>
      <c r="B24886" s="2" t="str">
        <f>"UNIDUT PVC 3/4"" - CINZA"</f>
        <v>UNIDUT PVC 3/4" - CINZA</v>
      </c>
      <c r="C24886" s="2" t="str">
        <f t="shared" si="982"/>
        <v>UN</v>
      </c>
      <c r="D24886" s="7">
        <v>601</v>
      </c>
      <c r="E24886" s="3">
        <v>8</v>
      </c>
      <c r="F24886" s="3">
        <v>8</v>
      </c>
      <c r="G24886" t="s">
        <v>514</v>
      </c>
    </row>
    <row r="24887" spans="1:7" x14ac:dyDescent="0.25">
      <c r="A24887" s="1" t="str">
        <f>"522691"</f>
        <v>522691</v>
      </c>
      <c r="B24887" s="2" t="str">
        <f>"UNIDUT RETO 4"""</f>
        <v>UNIDUT RETO 4"</v>
      </c>
      <c r="C24887" s="2" t="str">
        <f t="shared" si="982"/>
        <v>UN</v>
      </c>
      <c r="D24887" s="7">
        <v>601</v>
      </c>
      <c r="E24887" s="3">
        <v>8</v>
      </c>
      <c r="F24887" s="3">
        <v>8</v>
      </c>
      <c r="G24887" t="s">
        <v>514</v>
      </c>
    </row>
    <row r="24888" spans="1:7" x14ac:dyDescent="0.25">
      <c r="A24888" s="1" t="str">
        <f>"520986"</f>
        <v>520986</v>
      </c>
      <c r="B24888" s="2" t="str">
        <f>"UNIFORME P/ DEGUSTADORES"</f>
        <v>UNIFORME P/ DEGUSTADORES</v>
      </c>
      <c r="C24888" s="2" t="str">
        <f t="shared" si="982"/>
        <v>UN</v>
      </c>
      <c r="D24888" s="7">
        <v>500</v>
      </c>
      <c r="E24888" s="3">
        <v>5</v>
      </c>
      <c r="F24888" s="3">
        <v>5</v>
      </c>
      <c r="G24888" t="s">
        <v>514</v>
      </c>
    </row>
    <row r="24889" spans="1:7" x14ac:dyDescent="0.25">
      <c r="A24889" s="1" t="str">
        <f>"526117"</f>
        <v>526117</v>
      </c>
      <c r="B24889" s="2" t="str">
        <f>"UP GRADE DE PC P/ WINDOWS 7 R20T20/720 Série R35211"</f>
        <v>UP GRADE DE PC P/ WINDOWS 7 R20T20/720 Série R35211</v>
      </c>
      <c r="C24889" s="2" t="str">
        <f t="shared" si="982"/>
        <v>UN</v>
      </c>
      <c r="D24889" s="7">
        <v>99999</v>
      </c>
      <c r="E24889" s="3">
        <v>99</v>
      </c>
      <c r="F24889" s="3">
        <v>99</v>
      </c>
      <c r="G24889" t="s">
        <v>513</v>
      </c>
    </row>
    <row r="24890" spans="1:7" x14ac:dyDescent="0.25">
      <c r="A24890" s="1" t="str">
        <f>"525492"</f>
        <v>525492</v>
      </c>
      <c r="B24890" s="2" t="str">
        <f>"UPGPC R20T20/720"</f>
        <v>UPGPC R20T20/720</v>
      </c>
      <c r="C24890" s="2" t="str">
        <f t="shared" si="982"/>
        <v>UN</v>
      </c>
      <c r="D24890" s="7">
        <v>811</v>
      </c>
      <c r="E24890" s="3">
        <v>4</v>
      </c>
      <c r="F24890" s="3">
        <v>4</v>
      </c>
      <c r="G24890" t="s">
        <v>513</v>
      </c>
    </row>
    <row r="24891" spans="1:7" x14ac:dyDescent="0.25">
      <c r="A24891" s="1" t="str">
        <f>"523557"</f>
        <v>523557</v>
      </c>
      <c r="B24891" s="2" t="str">
        <f>"UPGRADE H3K V9 P/ OPENSCAPE BUSINESS X5W V21D"</f>
        <v>UPGRADE H3K V9 P/ OPENSCAPE BUSINESS X5W V21D</v>
      </c>
      <c r="C24891" s="2" t="str">
        <f t="shared" si="982"/>
        <v>UN</v>
      </c>
      <c r="D24891" s="7">
        <v>811</v>
      </c>
      <c r="E24891" s="3">
        <v>8</v>
      </c>
      <c r="F24891" s="3">
        <v>8</v>
      </c>
      <c r="G24891" t="s">
        <v>513</v>
      </c>
    </row>
    <row r="24892" spans="1:7" x14ac:dyDescent="0.25">
      <c r="A24892" s="1" t="str">
        <f>"513427"</f>
        <v>513427</v>
      </c>
      <c r="B24892" s="2" t="str">
        <f>"UPGRADE HP BBWC 512MB P-SERIES BBWC"</f>
        <v>UPGRADE HP BBWC 512MB P-SERIES BBWC</v>
      </c>
      <c r="C24892" s="2" t="str">
        <f t="shared" si="982"/>
        <v>UN</v>
      </c>
      <c r="D24892" s="7">
        <v>1300</v>
      </c>
      <c r="E24892" s="3">
        <v>13</v>
      </c>
      <c r="F24892" s="3">
        <v>13</v>
      </c>
      <c r="G24892" t="s">
        <v>512</v>
      </c>
    </row>
    <row r="24893" spans="1:7" x14ac:dyDescent="0.25">
      <c r="A24893" s="1" t="str">
        <f>"524796"</f>
        <v>524796</v>
      </c>
      <c r="B24893" s="2" t="str">
        <f>"URNA EM MDF BRANCO CIPA"</f>
        <v>URNA EM MDF BRANCO CIPA</v>
      </c>
      <c r="C24893" s="2" t="str">
        <f t="shared" si="982"/>
        <v>UN</v>
      </c>
      <c r="D24893" s="7">
        <v>99999</v>
      </c>
      <c r="E24893" s="3">
        <v>99</v>
      </c>
      <c r="F24893" s="3">
        <v>99</v>
      </c>
      <c r="G24893" t="s">
        <v>513</v>
      </c>
    </row>
    <row r="24894" spans="1:7" x14ac:dyDescent="0.25">
      <c r="A24894" s="1" t="str">
        <f>"502630"</f>
        <v>502630</v>
      </c>
      <c r="B24894" s="2" t="str">
        <f>"URSA LA 50 CF"</f>
        <v>URSA LA 50 CF</v>
      </c>
      <c r="C24894" s="2" t="str">
        <f t="shared" si="982"/>
        <v>UN</v>
      </c>
      <c r="D24894" s="7">
        <v>704</v>
      </c>
      <c r="E24894" s="3">
        <v>9</v>
      </c>
      <c r="F24894" s="3">
        <v>9</v>
      </c>
      <c r="G24894" t="s">
        <v>514</v>
      </c>
    </row>
    <row r="24895" spans="1:7" x14ac:dyDescent="0.25">
      <c r="A24895" s="1" t="str">
        <f>"501970"</f>
        <v>501970</v>
      </c>
      <c r="B24895" s="2" t="str">
        <f>"URSA PREMIUM"</f>
        <v>URSA PREMIUM</v>
      </c>
      <c r="C24895" s="2" t="str">
        <f t="shared" si="982"/>
        <v>UN</v>
      </c>
      <c r="D24895" s="7">
        <v>704</v>
      </c>
      <c r="E24895" s="3">
        <v>9</v>
      </c>
      <c r="F24895" s="3">
        <v>9</v>
      </c>
      <c r="G24895" t="s">
        <v>515</v>
      </c>
    </row>
    <row r="24896" spans="1:7" x14ac:dyDescent="0.25">
      <c r="A24896" s="1" t="str">
        <f>"504336"</f>
        <v>504336</v>
      </c>
      <c r="B24896" s="2" t="str">
        <f>"URSA SUPER TD"</f>
        <v>URSA SUPER TD</v>
      </c>
      <c r="C24896" s="2" t="str">
        <f t="shared" si="982"/>
        <v>UN</v>
      </c>
      <c r="D24896" s="7">
        <v>704</v>
      </c>
      <c r="E24896" s="3">
        <v>9</v>
      </c>
      <c r="F24896" s="3">
        <v>9</v>
      </c>
      <c r="G24896" t="s">
        <v>512</v>
      </c>
    </row>
    <row r="24897" spans="1:7" x14ac:dyDescent="0.25">
      <c r="A24897" s="1" t="str">
        <f>"504337"</f>
        <v>504337</v>
      </c>
      <c r="B24897" s="2" t="str">
        <f>"URSA SUPER TD MOD OMI5W40/B"</f>
        <v>URSA SUPER TD MOD OMI5W40/B</v>
      </c>
      <c r="C24897" s="2" t="str">
        <f>"LT"</f>
        <v>LT</v>
      </c>
      <c r="D24897" s="7">
        <v>702</v>
      </c>
      <c r="E24897" s="3">
        <v>9</v>
      </c>
      <c r="F24897" s="3">
        <v>9</v>
      </c>
      <c r="G24897" t="s">
        <v>516</v>
      </c>
    </row>
    <row r="24898" spans="1:7" x14ac:dyDescent="0.25">
      <c r="A24898" s="1" t="str">
        <f>"520785"</f>
        <v>520785</v>
      </c>
      <c r="B24898" s="2" t="str">
        <f>"URUCUM MONTEBIXIN"</f>
        <v>URUCUM MONTEBIXIN</v>
      </c>
      <c r="C24898" s="2" t="str">
        <f>"KG"</f>
        <v>KG</v>
      </c>
      <c r="D24898" s="7">
        <v>214</v>
      </c>
      <c r="E24898" s="3">
        <v>2</v>
      </c>
      <c r="F24898" s="3">
        <v>2</v>
      </c>
      <c r="G24898" t="s">
        <v>515</v>
      </c>
    </row>
    <row r="24899" spans="1:7" x14ac:dyDescent="0.25">
      <c r="A24899" s="1" t="str">
        <f>"528108"</f>
        <v>528108</v>
      </c>
      <c r="B24899" s="2" t="str">
        <f>"UVA"</f>
        <v>UVA</v>
      </c>
      <c r="C24899" s="2" t="str">
        <f>"UN"</f>
        <v>UN</v>
      </c>
      <c r="D24899" s="7">
        <v>401</v>
      </c>
      <c r="E24899" s="3">
        <v>4</v>
      </c>
      <c r="F24899" s="3">
        <v>4</v>
      </c>
      <c r="G24899" t="s">
        <v>514</v>
      </c>
    </row>
    <row r="24900" spans="1:7" x14ac:dyDescent="0.25">
      <c r="A24900" s="1" t="str">
        <f>"504105"</f>
        <v>504105</v>
      </c>
      <c r="B24900" s="2" t="str">
        <f>"V. QUEBRA VACUO SOLDA 304/EPDM 4"""</f>
        <v>V. QUEBRA VACUO SOLDA 304/EPDM 4"</v>
      </c>
      <c r="C24900" s="2" t="str">
        <f>"BR"</f>
        <v>BR</v>
      </c>
      <c r="D24900" s="7">
        <v>807</v>
      </c>
      <c r="E24900" s="3">
        <v>10</v>
      </c>
      <c r="F24900" s="3">
        <v>10</v>
      </c>
      <c r="G24900" t="s">
        <v>512</v>
      </c>
    </row>
    <row r="24901" spans="1:7" x14ac:dyDescent="0.25">
      <c r="A24901" s="1" t="str">
        <f>"502603"</f>
        <v>502603</v>
      </c>
      <c r="B24901" s="2" t="str">
        <f>"V. RETENCAO 2"" SOLDA AMOMIA VERTICAL"</f>
        <v>V. RETENCAO 2" SOLDA AMOMIA VERTICAL</v>
      </c>
      <c r="C24901" s="2" t="str">
        <f>"BR"</f>
        <v>BR</v>
      </c>
      <c r="D24901" s="7">
        <v>808</v>
      </c>
      <c r="E24901" s="3">
        <v>10</v>
      </c>
      <c r="F24901" s="3">
        <v>10</v>
      </c>
      <c r="G24901" t="s">
        <v>513</v>
      </c>
    </row>
    <row r="24902" spans="1:7" x14ac:dyDescent="0.25">
      <c r="A24902" s="1" t="str">
        <f>"501120"</f>
        <v>501120</v>
      </c>
      <c r="B24902" s="2" t="str">
        <f>"V. SOL.SC-R222-A49 240V/60H - ROSCA BSP"</f>
        <v>V. SOL.SC-R222-A49 240V/60H - ROSCA BSP</v>
      </c>
      <c r="C24902" s="2" t="str">
        <f>"UN"</f>
        <v>UN</v>
      </c>
      <c r="D24902" s="7">
        <v>912</v>
      </c>
      <c r="E24902" s="3">
        <v>11</v>
      </c>
      <c r="F24902" s="3">
        <v>11</v>
      </c>
      <c r="G24902" t="s">
        <v>514</v>
      </c>
    </row>
    <row r="24903" spans="1:7" x14ac:dyDescent="0.25">
      <c r="A24903" s="1" t="str">
        <f>"502088"</f>
        <v>502088</v>
      </c>
      <c r="B24903" s="2" t="str">
        <f>"V.BORBOLETA SOLDA 304 1 1/2"""</f>
        <v>V.BORBOLETA SOLDA 304 1 1/2"</v>
      </c>
      <c r="C24903" s="2" t="str">
        <f>"BR"</f>
        <v>BR</v>
      </c>
      <c r="D24903" s="7">
        <v>807</v>
      </c>
      <c r="E24903" s="3">
        <v>10</v>
      </c>
      <c r="F24903" s="3">
        <v>10</v>
      </c>
      <c r="G24903" t="s">
        <v>514</v>
      </c>
    </row>
    <row r="24904" spans="1:7" x14ac:dyDescent="0.25">
      <c r="A24904" s="1" t="str">
        <f>"502024"</f>
        <v>502024</v>
      </c>
      <c r="B24904" s="2" t="str">
        <f>"V.RETENÇAO SOLDA 304/S  DE 1 1/2"""</f>
        <v>V.RETENÇAO SOLDA 304/S  DE 1 1/2"</v>
      </c>
      <c r="C24904" s="2" t="str">
        <f>"BR"</f>
        <v>BR</v>
      </c>
      <c r="D24904" s="7">
        <v>807</v>
      </c>
      <c r="E24904" s="3">
        <v>10</v>
      </c>
      <c r="F24904" s="3">
        <v>10</v>
      </c>
      <c r="G24904" t="s">
        <v>512</v>
      </c>
    </row>
    <row r="24905" spans="1:7" x14ac:dyDescent="0.25">
      <c r="A24905" s="1" t="str">
        <f>"503441"</f>
        <v>503441</v>
      </c>
      <c r="B24905" s="2" t="str">
        <f>"V.SEGURANÇA MNP SMS AISI 304 1 1/2""8KG"</f>
        <v>V.SEGURANÇA MNP SMS AISI 304 1 1/2"8KG</v>
      </c>
      <c r="C24905" s="2" t="str">
        <f>"BR"</f>
        <v>BR</v>
      </c>
      <c r="D24905" s="7">
        <v>808</v>
      </c>
      <c r="E24905" s="3">
        <v>10</v>
      </c>
      <c r="F24905" s="3">
        <v>10</v>
      </c>
      <c r="G24905" t="s">
        <v>513</v>
      </c>
    </row>
    <row r="24906" spans="1:7" x14ac:dyDescent="0.25">
      <c r="A24906" s="1" t="str">
        <f>"516290"</f>
        <v>516290</v>
      </c>
      <c r="B24906" s="2" t="str">
        <f>"VACUOMETRO 60MM 0-760MMHG 1/4"" FLANGE"</f>
        <v>VACUOMETRO 60MM 0-760MMHG 1/4" FLANGE</v>
      </c>
      <c r="C24906" s="2" t="str">
        <f>"UN"</f>
        <v>UN</v>
      </c>
      <c r="D24906" s="7">
        <v>913</v>
      </c>
      <c r="E24906" s="3">
        <v>11</v>
      </c>
      <c r="F24906" s="3">
        <v>11</v>
      </c>
      <c r="G24906" t="s">
        <v>514</v>
      </c>
    </row>
    <row r="24907" spans="1:7" x14ac:dyDescent="0.25">
      <c r="A24907" s="1" t="str">
        <f>"505430"</f>
        <v>505430</v>
      </c>
      <c r="B24907" s="2" t="str">
        <f>"VACUOMETRO MS-62 30X760"</f>
        <v>VACUOMETRO MS-62 30X760</v>
      </c>
      <c r="C24907" s="2" t="str">
        <f>"UN"</f>
        <v>UN</v>
      </c>
      <c r="D24907" s="7">
        <v>913</v>
      </c>
      <c r="E24907" s="3">
        <v>11</v>
      </c>
      <c r="F24907" s="3">
        <v>11</v>
      </c>
      <c r="G24907" t="s">
        <v>514</v>
      </c>
    </row>
    <row r="24908" spans="1:7" x14ac:dyDescent="0.25">
      <c r="A24908" s="1" t="str">
        <f>"526213"</f>
        <v>526213</v>
      </c>
      <c r="B24908" s="2" t="str">
        <f>"VACUÔMETRO VAM-63-V/0 R ¼"</f>
        <v>VACUÔMETRO VAM-63-V/0 R ¼</v>
      </c>
      <c r="C24908" s="2" t="str">
        <f>"PC"</f>
        <v>PC</v>
      </c>
      <c r="D24908" s="7">
        <v>918</v>
      </c>
      <c r="E24908" s="3">
        <v>11</v>
      </c>
      <c r="F24908" s="3">
        <v>11</v>
      </c>
      <c r="G24908" t="s">
        <v>514</v>
      </c>
    </row>
    <row r="24909" spans="1:7" x14ac:dyDescent="0.25">
      <c r="A24909" s="1" t="str">
        <f>"508738"</f>
        <v>508738</v>
      </c>
      <c r="B24909" s="2" t="str">
        <f>"VACUOSTATO FESTO VPE-1/8-2N-SW 12595"</f>
        <v>VACUOSTATO FESTO VPE-1/8-2N-SW 12595</v>
      </c>
      <c r="C24909" s="2" t="str">
        <f>"PC"</f>
        <v>PC</v>
      </c>
      <c r="D24909" s="7">
        <v>913</v>
      </c>
      <c r="E24909" s="3">
        <v>11</v>
      </c>
      <c r="F24909" s="3">
        <v>11</v>
      </c>
      <c r="G24909" t="s">
        <v>513</v>
      </c>
    </row>
    <row r="24910" spans="1:7" x14ac:dyDescent="0.25">
      <c r="A24910" s="1" t="str">
        <f>"514904"</f>
        <v>514904</v>
      </c>
      <c r="B24910" s="2" t="str">
        <f>"VAGEM"</f>
        <v>VAGEM</v>
      </c>
      <c r="C24910" s="2" t="str">
        <f>"UN"</f>
        <v>UN</v>
      </c>
      <c r="D24910" s="7">
        <v>401</v>
      </c>
      <c r="E24910" s="3">
        <v>4</v>
      </c>
      <c r="F24910" s="3">
        <v>4</v>
      </c>
      <c r="G24910" t="s">
        <v>512</v>
      </c>
    </row>
    <row r="24911" spans="1:7" x14ac:dyDescent="0.25">
      <c r="A24911" s="1" t="str">
        <f>"509247"</f>
        <v>509247</v>
      </c>
      <c r="B24911" s="2" t="str">
        <f>"VAL REG. SPIRAX SARCO BRV2S 3/4 BSP"</f>
        <v>VAL REG. SPIRAX SARCO BRV2S 3/4 BSP</v>
      </c>
      <c r="C24911" s="2" t="str">
        <f>"BR"</f>
        <v>BR</v>
      </c>
      <c r="D24911" s="7">
        <v>808</v>
      </c>
      <c r="E24911" s="3">
        <v>10</v>
      </c>
      <c r="F24911" s="3">
        <v>10</v>
      </c>
      <c r="G24911" t="s">
        <v>513</v>
      </c>
    </row>
    <row r="24912" spans="1:7" x14ac:dyDescent="0.25">
      <c r="A24912" s="1" t="str">
        <f>"501994"</f>
        <v>501994</v>
      </c>
      <c r="B24912" s="2" t="str">
        <f>"VAL. CORET. COMBUSTIVEL"</f>
        <v>VAL. CORET. COMBUSTIVEL</v>
      </c>
      <c r="C24912" s="2" t="str">
        <f>"UN"</f>
        <v>UN</v>
      </c>
      <c r="D24912" s="7">
        <v>704</v>
      </c>
      <c r="E24912" s="3">
        <v>9</v>
      </c>
      <c r="F24912" s="3">
        <v>9</v>
      </c>
      <c r="G24912" t="s">
        <v>514</v>
      </c>
    </row>
    <row r="24913" spans="1:7" x14ac:dyDescent="0.25">
      <c r="A24913" s="1" t="str">
        <f>"508418"</f>
        <v>508418</v>
      </c>
      <c r="B24913" s="2" t="str">
        <f>"VAL. REG. FLUXO GRLA - 1/4-B"</f>
        <v>VAL. REG. FLUXO GRLA - 1/4-B</v>
      </c>
      <c r="C24913" s="2" t="str">
        <f>"UN"</f>
        <v>UN</v>
      </c>
      <c r="D24913" s="7">
        <v>913</v>
      </c>
      <c r="E24913" s="3">
        <v>11</v>
      </c>
      <c r="F24913" s="3">
        <v>11</v>
      </c>
      <c r="G24913" t="s">
        <v>514</v>
      </c>
    </row>
    <row r="24914" spans="1:7" x14ac:dyDescent="0.25">
      <c r="A24914" s="1" t="str">
        <f>"508419"</f>
        <v>508419</v>
      </c>
      <c r="B24914" s="2" t="str">
        <f>"VAL. REG. FLUXO GRLA - 1/8-B"</f>
        <v>VAL. REG. FLUXO GRLA - 1/8-B</v>
      </c>
      <c r="C24914" s="2" t="str">
        <f>"UN"</f>
        <v>UN</v>
      </c>
      <c r="D24914" s="7">
        <v>913</v>
      </c>
      <c r="E24914" s="3">
        <v>11</v>
      </c>
      <c r="F24914" s="3">
        <v>11</v>
      </c>
      <c r="G24914" t="s">
        <v>514</v>
      </c>
    </row>
    <row r="24915" spans="1:7" x14ac:dyDescent="0.25">
      <c r="A24915" s="1" t="str">
        <f>"512032"</f>
        <v>512032</v>
      </c>
      <c r="B24915" s="2" t="str">
        <f>"VAL. REG. PRES. VAPOR 3/4BSP 0A5KG 500KG"</f>
        <v>VAL. REG. PRES. VAPOR 3/4BSP 0A5KG 500KG</v>
      </c>
      <c r="C24915" s="2" t="str">
        <f>"BR"</f>
        <v>BR</v>
      </c>
      <c r="D24915" s="7">
        <v>808</v>
      </c>
      <c r="E24915" s="3">
        <v>10</v>
      </c>
      <c r="F24915" s="3">
        <v>10</v>
      </c>
      <c r="G24915" t="s">
        <v>513</v>
      </c>
    </row>
    <row r="24916" spans="1:7" x14ac:dyDescent="0.25">
      <c r="A24916" s="1" t="str">
        <f>"512577"</f>
        <v>512577</v>
      </c>
      <c r="B24916" s="2" t="str">
        <f>"VAL.SOLEN.3/4"" FPS.FO.FO-220V TEFLON IP65+F2 EICA."</f>
        <v>VAL.SOLEN.3/4" FPS.FO.FO-220V TEFLON IP65+F2 EICA.</v>
      </c>
      <c r="C24916" s="2" t="str">
        <f>"UN"</f>
        <v>UN</v>
      </c>
      <c r="D24916" s="7">
        <v>918</v>
      </c>
      <c r="E24916" s="3">
        <v>11</v>
      </c>
      <c r="F24916" s="3">
        <v>11</v>
      </c>
      <c r="G24916" t="s">
        <v>513</v>
      </c>
    </row>
    <row r="24917" spans="1:7" x14ac:dyDescent="0.25">
      <c r="A24917" s="1" t="str">
        <f>"526755"</f>
        <v>526755</v>
      </c>
      <c r="B24917" s="2" t="str">
        <f>"VAL.SOLENOIDE CPV14-M1H-2X3-GLS-1/8"</f>
        <v>VAL.SOLENOIDE CPV14-M1H-2X3-GLS-1/8</v>
      </c>
      <c r="C24917" s="2" t="str">
        <f>"PÇ"</f>
        <v>PÇ</v>
      </c>
      <c r="D24917" s="7">
        <v>808</v>
      </c>
      <c r="E24917" s="3">
        <v>11</v>
      </c>
      <c r="F24917" s="3">
        <v>11</v>
      </c>
      <c r="G24917" t="s">
        <v>513</v>
      </c>
    </row>
    <row r="24918" spans="1:7" x14ac:dyDescent="0.25">
      <c r="A24918" s="1" t="str">
        <f>"526761"</f>
        <v>526761</v>
      </c>
      <c r="B24918" s="2" t="str">
        <f>"VALV AB.+FECH. MS4-EE-1/4-10V24"</f>
        <v>VALV AB.+FECH. MS4-EE-1/4-10V24</v>
      </c>
      <c r="C24918" s="2" t="str">
        <f>"PÇ"</f>
        <v>PÇ</v>
      </c>
      <c r="D24918" s="7">
        <v>808</v>
      </c>
      <c r="E24918" s="3">
        <v>11</v>
      </c>
      <c r="F24918" s="3">
        <v>11</v>
      </c>
      <c r="G24918" t="s">
        <v>512</v>
      </c>
    </row>
    <row r="24919" spans="1:7" x14ac:dyDescent="0.25">
      <c r="A24919" s="1" t="str">
        <f>"505396"</f>
        <v>505396</v>
      </c>
      <c r="B24919" s="2" t="str">
        <f>"VALV ATUACAO ELET MFHB 3.1/4B REF1428762"</f>
        <v>VALV ATUACAO ELET MFHB 3.1/4B REF1428762</v>
      </c>
      <c r="C24919" s="2" t="str">
        <f t="shared" ref="C24919:C24933" si="983">"UN"</f>
        <v>UN</v>
      </c>
      <c r="D24919" s="7">
        <v>913</v>
      </c>
      <c r="E24919" s="3">
        <v>11</v>
      </c>
      <c r="F24919" s="3">
        <v>11</v>
      </c>
      <c r="G24919" t="s">
        <v>513</v>
      </c>
    </row>
    <row r="24920" spans="1:7" x14ac:dyDescent="0.25">
      <c r="A24920" s="1" t="str">
        <f>"501065"</f>
        <v>501065</v>
      </c>
      <c r="B24920" s="2" t="str">
        <f>"VALV CORTE TEF INF D.53284 COD.10483503"</f>
        <v>VALV CORTE TEF INF D.53284 COD.10483503</v>
      </c>
      <c r="C24920" s="2" t="str">
        <f t="shared" si="983"/>
        <v>UN</v>
      </c>
      <c r="D24920" s="7">
        <v>918</v>
      </c>
      <c r="E24920" s="3">
        <v>11</v>
      </c>
      <c r="F24920" s="3">
        <v>11</v>
      </c>
      <c r="G24920" t="s">
        <v>514</v>
      </c>
    </row>
    <row r="24921" spans="1:7" x14ac:dyDescent="0.25">
      <c r="A24921" s="1" t="str">
        <f>"501064"</f>
        <v>501064</v>
      </c>
      <c r="B24921" s="2" t="str">
        <f>"VALV CORTE TEF SUP D.53285 COD.10483603"</f>
        <v>VALV CORTE TEF SUP D.53285 COD.10483603</v>
      </c>
      <c r="C24921" s="2" t="str">
        <f t="shared" si="983"/>
        <v>UN</v>
      </c>
      <c r="D24921" s="7">
        <v>918</v>
      </c>
      <c r="E24921" s="3">
        <v>11</v>
      </c>
      <c r="F24921" s="3">
        <v>11</v>
      </c>
      <c r="G24921" t="s">
        <v>515</v>
      </c>
    </row>
    <row r="24922" spans="1:7" x14ac:dyDescent="0.25">
      <c r="A24922" s="1" t="str">
        <f>"506399"</f>
        <v>506399</v>
      </c>
      <c r="B24922" s="2" t="str">
        <f>"VALV CORTE TEF/INOX D.58358"</f>
        <v>VALV CORTE TEF/INOX D.58358</v>
      </c>
      <c r="C24922" s="2" t="str">
        <f t="shared" si="983"/>
        <v>UN</v>
      </c>
      <c r="D24922" s="7">
        <v>918</v>
      </c>
      <c r="E24922" s="3">
        <v>11</v>
      </c>
      <c r="F24922" s="3">
        <v>11</v>
      </c>
      <c r="G24922" t="s">
        <v>512</v>
      </c>
    </row>
    <row r="24923" spans="1:7" x14ac:dyDescent="0.25">
      <c r="A24923" s="1" t="str">
        <f>"520453"</f>
        <v>520453</v>
      </c>
      <c r="B24923" s="2" t="str">
        <f>"VALV DE SEGURANCA DUPLA 3/4"" X 1"" 16KGF/CM2"</f>
        <v>VALV DE SEGURANCA DUPLA 3/4" X 1" 16KGF/CM2</v>
      </c>
      <c r="C24923" s="2" t="str">
        <f t="shared" si="983"/>
        <v>UN</v>
      </c>
      <c r="D24923" s="7">
        <v>915</v>
      </c>
      <c r="E24923" s="3">
        <v>10</v>
      </c>
      <c r="F24923" s="3">
        <v>10</v>
      </c>
      <c r="G24923" t="s">
        <v>516</v>
      </c>
    </row>
    <row r="24924" spans="1:7" x14ac:dyDescent="0.25">
      <c r="A24924" s="1" t="str">
        <f>"505205"</f>
        <v>505205</v>
      </c>
      <c r="B24924" s="2" t="str">
        <f>"VALV ESCAPE RAPIDO SE-3/8-B COD.9687"</f>
        <v>VALV ESCAPE RAPIDO SE-3/8-B COD.9687</v>
      </c>
      <c r="C24924" s="2" t="str">
        <f t="shared" si="983"/>
        <v>UN</v>
      </c>
      <c r="D24924" s="7">
        <v>913</v>
      </c>
      <c r="E24924" s="3">
        <v>11</v>
      </c>
      <c r="F24924" s="3">
        <v>11</v>
      </c>
      <c r="G24924" t="s">
        <v>515</v>
      </c>
    </row>
    <row r="24925" spans="1:7" x14ac:dyDescent="0.25">
      <c r="A24925" s="1" t="str">
        <f>"505924"</f>
        <v>505924</v>
      </c>
      <c r="B24925" s="2" t="str">
        <f>"VALV RED. PRESSAO 3/4"" 1,4 4,0 BAR"</f>
        <v>VALV RED. PRESSAO 3/4" 1,4 4,0 BAR</v>
      </c>
      <c r="C24925" s="2" t="str">
        <f t="shared" si="983"/>
        <v>UN</v>
      </c>
      <c r="D24925" s="7">
        <v>913</v>
      </c>
      <c r="E24925" s="3">
        <v>11</v>
      </c>
      <c r="F24925" s="3">
        <v>11</v>
      </c>
      <c r="G24925" t="s">
        <v>514</v>
      </c>
    </row>
    <row r="24926" spans="1:7" x14ac:dyDescent="0.25">
      <c r="A24926" s="1" t="str">
        <f>"526709"</f>
        <v>526709</v>
      </c>
      <c r="B24926" s="2" t="str">
        <f>"VALV. BLOQUEIO 4"" SPIRAX SARCO P/VAPOR C/ FOLE DE SELAGEM"</f>
        <v>VALV. BLOQUEIO 4" SPIRAX SARCO P/VAPOR C/ FOLE DE SELAGEM</v>
      </c>
      <c r="C24926" s="2" t="str">
        <f t="shared" si="983"/>
        <v>UN</v>
      </c>
      <c r="D24926" s="7">
        <v>807</v>
      </c>
      <c r="E24926" s="3">
        <v>13</v>
      </c>
      <c r="F24926" s="3">
        <v>13</v>
      </c>
      <c r="G24926" t="s">
        <v>512</v>
      </c>
    </row>
    <row r="24927" spans="1:7" x14ac:dyDescent="0.25">
      <c r="A24927" s="1" t="str">
        <f>"521094"</f>
        <v>521094</v>
      </c>
      <c r="B24927" s="2" t="str">
        <f>"VÁLV. DE BLOQUEIO 1 1/2"" PASS. RETA, GLOBO, CAST. INCLINADO"</f>
        <v>VÁLV. DE BLOQUEIO 1 1/2" PASS. RETA, GLOBO, CAST. INCLINADO</v>
      </c>
      <c r="C24927" s="2" t="str">
        <f t="shared" si="983"/>
        <v>UN</v>
      </c>
      <c r="D24927" s="7">
        <v>912</v>
      </c>
      <c r="E24927" s="3">
        <v>10</v>
      </c>
      <c r="F24927" s="3">
        <v>10</v>
      </c>
      <c r="G24927" t="s">
        <v>513</v>
      </c>
    </row>
    <row r="24928" spans="1:7" x14ac:dyDescent="0.25">
      <c r="A24928" s="1" t="str">
        <f>"521096"</f>
        <v>521096</v>
      </c>
      <c r="B24928" s="2" t="str">
        <f>"VÁLV. DE BLOQUEIO 1"" PASS. RETA, GLOBO, CAST. INCLINADO"</f>
        <v>VÁLV. DE BLOQUEIO 1" PASS. RETA, GLOBO, CAST. INCLINADO</v>
      </c>
      <c r="C24928" s="2" t="str">
        <f t="shared" si="983"/>
        <v>UN</v>
      </c>
      <c r="D24928" s="7">
        <v>912</v>
      </c>
      <c r="E24928" s="3">
        <v>10</v>
      </c>
      <c r="F24928" s="3">
        <v>10</v>
      </c>
      <c r="G24928" t="s">
        <v>514</v>
      </c>
    </row>
    <row r="24929" spans="1:7" x14ac:dyDescent="0.25">
      <c r="A24929" s="1" t="str">
        <f>"521091"</f>
        <v>521091</v>
      </c>
      <c r="B24929" s="2" t="str">
        <f>"VÁLV. DE BLOQUEIO 3"" PASS. ANGULAR, GLOBO, A.C.LAMINADO A-10"</f>
        <v>VÁLV. DE BLOQUEIO 3" PASS. ANGULAR, GLOBO, A.C.LAMINADO A-10</v>
      </c>
      <c r="C24929" s="2" t="str">
        <f t="shared" si="983"/>
        <v>UN</v>
      </c>
      <c r="D24929" s="7">
        <v>912</v>
      </c>
      <c r="E24929" s="3">
        <v>10</v>
      </c>
      <c r="F24929" s="3">
        <v>10</v>
      </c>
      <c r="G24929" t="s">
        <v>514</v>
      </c>
    </row>
    <row r="24930" spans="1:7" x14ac:dyDescent="0.25">
      <c r="A24930" s="1" t="str">
        <f>"521104"</f>
        <v>521104</v>
      </c>
      <c r="B24930" s="2" t="str">
        <f>"VÁLV. DE BLOQUEIO E RETENÇÃO 2"" PASS. ANGULAR"</f>
        <v>VÁLV. DE BLOQUEIO E RETENÇÃO 2" PASS. ANGULAR</v>
      </c>
      <c r="C24930" s="2" t="str">
        <f t="shared" si="983"/>
        <v>UN</v>
      </c>
      <c r="D24930" s="7">
        <v>912</v>
      </c>
      <c r="E24930" s="3">
        <v>10</v>
      </c>
      <c r="F24930" s="3">
        <v>10</v>
      </c>
      <c r="G24930" t="s">
        <v>512</v>
      </c>
    </row>
    <row r="24931" spans="1:7" x14ac:dyDescent="0.25">
      <c r="A24931" s="1" t="str">
        <f>"521098"</f>
        <v>521098</v>
      </c>
      <c r="B24931" s="2" t="str">
        <f>"VÁLV. DE BLOQUEIO, GLOBO, A. C. LAMINADO A-106 GR."</f>
        <v>VÁLV. DE BLOQUEIO, GLOBO, A. C. LAMINADO A-106 GR.</v>
      </c>
      <c r="C24931" s="2" t="str">
        <f t="shared" si="983"/>
        <v>UN</v>
      </c>
      <c r="D24931" s="7">
        <v>912</v>
      </c>
      <c r="E24931" s="3">
        <v>10</v>
      </c>
      <c r="F24931" s="3">
        <v>10</v>
      </c>
      <c r="G24931" t="s">
        <v>513</v>
      </c>
    </row>
    <row r="24932" spans="1:7" x14ac:dyDescent="0.25">
      <c r="A24932" s="1" t="str">
        <f>"521101"</f>
        <v>521101</v>
      </c>
      <c r="B24932" s="2" t="str">
        <f>"VÁLV. DE BLOQUEIO, PASS. RETA, GLOBO, CAST. INCLINADO"</f>
        <v>VÁLV. DE BLOQUEIO, PASS. RETA, GLOBO, CAST. INCLINADO</v>
      </c>
      <c r="C24932" s="2" t="str">
        <f t="shared" si="983"/>
        <v>UN</v>
      </c>
      <c r="D24932" s="7">
        <v>912</v>
      </c>
      <c r="E24932" s="3">
        <v>10</v>
      </c>
      <c r="F24932" s="3">
        <v>10</v>
      </c>
      <c r="G24932" t="s">
        <v>514</v>
      </c>
    </row>
    <row r="24933" spans="1:7" x14ac:dyDescent="0.25">
      <c r="A24933" s="1" t="str">
        <f>"521092"</f>
        <v>521092</v>
      </c>
      <c r="B24933" s="2" t="str">
        <f>"VÁLV. DE EXPANSÃO MANUAL 1/2 PASS. RETA, GLOBO, A. C.LAMINAD"</f>
        <v>VÁLV. DE EXPANSÃO MANUAL 1/2 PASS. RETA, GLOBO, A. C.LAMINAD</v>
      </c>
      <c r="C24933" s="2" t="str">
        <f t="shared" si="983"/>
        <v>UN</v>
      </c>
      <c r="D24933" s="7">
        <v>912</v>
      </c>
      <c r="E24933" s="3">
        <v>10</v>
      </c>
      <c r="F24933" s="3">
        <v>10</v>
      </c>
      <c r="G24933" t="s">
        <v>514</v>
      </c>
    </row>
    <row r="24934" spans="1:7" x14ac:dyDescent="0.25">
      <c r="A24934" s="1" t="str">
        <f>"503861"</f>
        <v>503861</v>
      </c>
      <c r="B24934" s="2" t="str">
        <f>"VALV. DE RETENÇAO SMS  2"" 304"</f>
        <v>VALV. DE RETENÇAO SMS  2" 304</v>
      </c>
      <c r="C24934" s="2" t="str">
        <f>"BR"</f>
        <v>BR</v>
      </c>
      <c r="D24934" s="7">
        <v>807</v>
      </c>
      <c r="E24934" s="3">
        <v>10</v>
      </c>
      <c r="F24934" s="3">
        <v>10</v>
      </c>
      <c r="G24934" t="s">
        <v>514</v>
      </c>
    </row>
    <row r="24935" spans="1:7" x14ac:dyDescent="0.25">
      <c r="A24935" s="1" t="str">
        <f>"521100"</f>
        <v>521100</v>
      </c>
      <c r="B24935" s="2" t="str">
        <f>"VÁLV. DE RETENÇÃO, TIPO PISTÃO (CARRETEL), A. C."</f>
        <v>VÁLV. DE RETENÇÃO, TIPO PISTÃO (CARRETEL), A. C.</v>
      </c>
      <c r="C24935" s="2" t="str">
        <f>"UN"</f>
        <v>UN</v>
      </c>
      <c r="D24935" s="7">
        <v>912</v>
      </c>
      <c r="E24935" s="3">
        <v>10</v>
      </c>
      <c r="F24935" s="3">
        <v>10</v>
      </c>
      <c r="G24935" t="s">
        <v>513</v>
      </c>
    </row>
    <row r="24936" spans="1:7" x14ac:dyDescent="0.25">
      <c r="A24936" s="1" t="str">
        <f>"510238"</f>
        <v>510238</v>
      </c>
      <c r="B24936" s="2" t="str">
        <f>"VALV. ESFERA PP 1000WOG BW TI 304/T 3"""</f>
        <v>VALV. ESFERA PP 1000WOG BW TI 304/T 3"</v>
      </c>
      <c r="C24936" s="2" t="str">
        <f>"BR"</f>
        <v>BR</v>
      </c>
      <c r="D24936" s="7">
        <v>808</v>
      </c>
      <c r="E24936" s="3">
        <v>10</v>
      </c>
      <c r="F24936" s="3">
        <v>10</v>
      </c>
      <c r="G24936" t="s">
        <v>512</v>
      </c>
    </row>
    <row r="24937" spans="1:7" x14ac:dyDescent="0.25">
      <c r="A24937" s="1" t="str">
        <f>"510237"</f>
        <v>510237</v>
      </c>
      <c r="B24937" s="2" t="str">
        <f>"VALV. ESFERA PP 1000WOG BW TI304/T 2 1/2"</f>
        <v>VALV. ESFERA PP 1000WOG BW TI304/T 2 1/2</v>
      </c>
      <c r="C24937" s="2" t="str">
        <f>"BR"</f>
        <v>BR</v>
      </c>
      <c r="D24937" s="7">
        <v>808</v>
      </c>
      <c r="E24937" s="3">
        <v>10</v>
      </c>
      <c r="F24937" s="3">
        <v>10</v>
      </c>
      <c r="G24937" t="s">
        <v>513</v>
      </c>
    </row>
    <row r="24938" spans="1:7" x14ac:dyDescent="0.25">
      <c r="A24938" s="1" t="str">
        <f>"521103"</f>
        <v>521103</v>
      </c>
      <c r="B24938" s="2" t="str">
        <f>"VÁLV. LIMITADORA DE PRESSÃO, COM CAPACETE, GLOBO, CAST."</f>
        <v>VÁLV. LIMITADORA DE PRESSÃO, COM CAPACETE, GLOBO, CAST.</v>
      </c>
      <c r="C24938" s="2" t="str">
        <f>"UN"</f>
        <v>UN</v>
      </c>
      <c r="D24938" s="7">
        <v>912</v>
      </c>
      <c r="E24938" s="3">
        <v>10</v>
      </c>
      <c r="F24938" s="3">
        <v>10</v>
      </c>
      <c r="G24938" t="s">
        <v>514</v>
      </c>
    </row>
    <row r="24939" spans="1:7" x14ac:dyDescent="0.25">
      <c r="A24939" s="1" t="str">
        <f>"526119"</f>
        <v>526119</v>
      </c>
      <c r="B24939" s="2" t="str">
        <f>"VALV. REG. PRESS. MS6-LR 3/8-D7-VS-DM2 527663"</f>
        <v>VALV. REG. PRESS. MS6-LR 3/8-D7-VS-DM2 527663</v>
      </c>
      <c r="C24939" s="2" t="str">
        <f>"UN"</f>
        <v>UN</v>
      </c>
      <c r="D24939" s="7">
        <v>901</v>
      </c>
      <c r="E24939" s="3">
        <v>11</v>
      </c>
      <c r="F24939" s="3">
        <v>11</v>
      </c>
      <c r="G24939" t="s">
        <v>514</v>
      </c>
    </row>
    <row r="24940" spans="1:7" x14ac:dyDescent="0.25">
      <c r="A24940" s="1" t="str">
        <f>"525356"</f>
        <v>525356</v>
      </c>
      <c r="B24940" s="8" t="s">
        <v>453</v>
      </c>
      <c r="C24940" s="2" t="str">
        <f>"UN"</f>
        <v>UN</v>
      </c>
      <c r="D24940" s="7">
        <v>812</v>
      </c>
      <c r="E24940" s="3">
        <v>11</v>
      </c>
      <c r="F24940" s="3">
        <v>11</v>
      </c>
      <c r="G24940" t="s">
        <v>514</v>
      </c>
    </row>
    <row r="24941" spans="1:7" x14ac:dyDescent="0.25">
      <c r="A24941" s="1" t="str">
        <f>"525355"</f>
        <v>525355</v>
      </c>
      <c r="B24941" s="8" t="s">
        <v>452</v>
      </c>
      <c r="C24941" s="2" t="str">
        <f>"UN"</f>
        <v>UN</v>
      </c>
      <c r="D24941" s="7">
        <v>812</v>
      </c>
      <c r="E24941" s="3">
        <v>11</v>
      </c>
      <c r="F24941" s="3">
        <v>11</v>
      </c>
      <c r="G24941" t="s">
        <v>513</v>
      </c>
    </row>
    <row r="24942" spans="1:7" x14ac:dyDescent="0.25">
      <c r="A24942" s="1" t="str">
        <f>"509538"</f>
        <v>509538</v>
      </c>
      <c r="B24942" s="2" t="str">
        <f>"VALV. RODILLO MICRO0.230.121.311 024-201"</f>
        <v>VALV. RODILLO MICRO0.230.121.311 024-201</v>
      </c>
      <c r="C24942" s="2" t="str">
        <f>"PC"</f>
        <v>PC</v>
      </c>
      <c r="D24942" s="7">
        <v>600</v>
      </c>
      <c r="E24942" s="3">
        <v>8</v>
      </c>
      <c r="F24942" s="3">
        <v>8</v>
      </c>
      <c r="G24942" t="s">
        <v>513</v>
      </c>
    </row>
    <row r="24943" spans="1:7" x14ac:dyDescent="0.25">
      <c r="A24943" s="1" t="str">
        <f>"512578"</f>
        <v>512578</v>
      </c>
      <c r="B24943" s="2" t="str">
        <f>"VALV.SOLEN.1"" FPS.FO.FO 220V TEFLON IP65+F25 EICA."</f>
        <v>VALV.SOLEN.1" FPS.FO.FO 220V TEFLON IP65+F25 EICA.</v>
      </c>
      <c r="C24943" s="2" t="str">
        <f>"UN"</f>
        <v>UN</v>
      </c>
      <c r="D24943" s="7">
        <v>912</v>
      </c>
      <c r="E24943" s="3">
        <v>11</v>
      </c>
      <c r="F24943" s="3">
        <v>11</v>
      </c>
      <c r="G24943" t="s">
        <v>513</v>
      </c>
    </row>
    <row r="24944" spans="1:7" x14ac:dyDescent="0.25">
      <c r="A24944" s="1" t="str">
        <f>"526212"</f>
        <v>526212</v>
      </c>
      <c r="B24944" s="2" t="str">
        <f>"VALVDPV/1-1/1,5PS/316L/EP/VCEM-T"</f>
        <v>VALVDPV/1-1/1,5PS/316L/EP/VCEM-T</v>
      </c>
      <c r="C24944" s="2" t="str">
        <f>"PC"</f>
        <v>PC</v>
      </c>
      <c r="D24944" s="7">
        <v>918</v>
      </c>
      <c r="E24944" s="3">
        <v>11</v>
      </c>
      <c r="F24944" s="3">
        <v>11</v>
      </c>
      <c r="G24944" t="s">
        <v>512</v>
      </c>
    </row>
    <row r="24945" spans="1:7" x14ac:dyDescent="0.25">
      <c r="A24945" s="1" t="str">
        <f>"511197"</f>
        <v>511197</v>
      </c>
      <c r="B24945" s="2" t="str">
        <f>"VALVE CONE COD. 223935"</f>
        <v>VALVE CONE COD. 223935</v>
      </c>
      <c r="C24945" s="2" t="str">
        <f t="shared" ref="C24945:C24961" si="984">"UN"</f>
        <v>UN</v>
      </c>
      <c r="D24945" s="7">
        <v>918</v>
      </c>
      <c r="E24945" s="3">
        <v>11</v>
      </c>
      <c r="F24945" s="3">
        <v>11</v>
      </c>
      <c r="G24945" t="s">
        <v>513</v>
      </c>
    </row>
    <row r="24946" spans="1:7" x14ac:dyDescent="0.25">
      <c r="A24946" s="1" t="str">
        <f>"514299"</f>
        <v>514299</v>
      </c>
      <c r="B24946" s="2" t="str">
        <f>"VALVULA"</f>
        <v>VALVULA</v>
      </c>
      <c r="C24946" s="2" t="str">
        <f t="shared" si="984"/>
        <v>UN</v>
      </c>
      <c r="D24946" s="7">
        <v>704</v>
      </c>
      <c r="E24946" s="3">
        <v>9</v>
      </c>
      <c r="F24946" s="3">
        <v>9</v>
      </c>
      <c r="G24946" t="s">
        <v>514</v>
      </c>
    </row>
    <row r="24947" spans="1:7" x14ac:dyDescent="0.25">
      <c r="A24947" s="1" t="str">
        <f>"520488"</f>
        <v>520488</v>
      </c>
      <c r="B24947" s="2" t="str">
        <f>"VALVULA  BURKET 5281 A 13,0 NBR MS G1/2 PN0,2-16BAR 24V DC8W"</f>
        <v>VALVULA  BURKET 5281 A 13,0 NBR MS G1/2 PN0,2-16BAR 24V DC8W</v>
      </c>
      <c r="C24947" s="2" t="str">
        <f t="shared" si="984"/>
        <v>UN</v>
      </c>
      <c r="D24947" s="7">
        <v>704</v>
      </c>
      <c r="E24947" s="3">
        <v>9</v>
      </c>
      <c r="F24947" s="3">
        <v>9</v>
      </c>
      <c r="G24947" t="s">
        <v>515</v>
      </c>
    </row>
    <row r="24948" spans="1:7" x14ac:dyDescent="0.25">
      <c r="A24948" s="1" t="str">
        <f>"514235"</f>
        <v>514235</v>
      </c>
      <c r="B24948" s="2" t="str">
        <f>"VALVULA  BURKET 5282 A 13,0 NBR MS G1/2 PN0,2-10BAR 24V DC8W"</f>
        <v>VALVULA  BURKET 5282 A 13,0 NBR MS G1/2 PN0,2-10BAR 24V DC8W</v>
      </c>
      <c r="C24948" s="2" t="str">
        <f t="shared" si="984"/>
        <v>UN</v>
      </c>
      <c r="D24948" s="7">
        <v>704</v>
      </c>
      <c r="E24948" s="3">
        <v>9</v>
      </c>
      <c r="F24948" s="3">
        <v>9</v>
      </c>
      <c r="G24948" t="s">
        <v>512</v>
      </c>
    </row>
    <row r="24949" spans="1:7" x14ac:dyDescent="0.25">
      <c r="A24949" s="1" t="str">
        <f>"507931"</f>
        <v>507931</v>
      </c>
      <c r="B24949" s="2" t="str">
        <f>"VALVULA 3 VIAS DESVIO FLUXO INOX B2000JR"</f>
        <v>VALVULA 3 VIAS DESVIO FLUXO INOX B2000JR</v>
      </c>
      <c r="C24949" s="2" t="str">
        <f t="shared" si="984"/>
        <v>UN</v>
      </c>
      <c r="D24949" s="7">
        <v>915</v>
      </c>
      <c r="E24949" s="3">
        <v>11</v>
      </c>
      <c r="F24949" s="3">
        <v>11</v>
      </c>
      <c r="G24949" t="s">
        <v>516</v>
      </c>
    </row>
    <row r="24950" spans="1:7" x14ac:dyDescent="0.25">
      <c r="A24950" s="1" t="str">
        <f>"507152"</f>
        <v>507152</v>
      </c>
      <c r="B24950" s="2" t="str">
        <f>"VALVULA 4 WE 6 D 60/EG 24 N9K4"</f>
        <v>VALVULA 4 WE 6 D 60/EG 24 N9K4</v>
      </c>
      <c r="C24950" s="2" t="str">
        <f t="shared" si="984"/>
        <v>UN</v>
      </c>
      <c r="D24950" s="7">
        <v>915</v>
      </c>
      <c r="E24950" s="3">
        <v>11</v>
      </c>
      <c r="F24950" s="3">
        <v>11</v>
      </c>
      <c r="G24950" t="s">
        <v>515</v>
      </c>
    </row>
    <row r="24951" spans="1:7" x14ac:dyDescent="0.25">
      <c r="A24951" s="1" t="str">
        <f>"510665"</f>
        <v>510665</v>
      </c>
      <c r="B24951" s="2" t="str">
        <f>"VALVULA 4WE10-D101LG24N"</f>
        <v>VALVULA 4WE10-D101LG24N</v>
      </c>
      <c r="C24951" s="2" t="str">
        <f t="shared" si="984"/>
        <v>UN</v>
      </c>
      <c r="D24951" s="7">
        <v>915</v>
      </c>
      <c r="E24951" s="3">
        <v>11</v>
      </c>
      <c r="F24951" s="3">
        <v>11</v>
      </c>
      <c r="G24951" t="s">
        <v>514</v>
      </c>
    </row>
    <row r="24952" spans="1:7" x14ac:dyDescent="0.25">
      <c r="A24952" s="1" t="str">
        <f>"510664"</f>
        <v>510664</v>
      </c>
      <c r="B24952" s="2" t="str">
        <f>"VALVULA 4WE10Q101LG24N"</f>
        <v>VALVULA 4WE10Q101LG24N</v>
      </c>
      <c r="C24952" s="2" t="str">
        <f t="shared" si="984"/>
        <v>UN</v>
      </c>
      <c r="D24952" s="7">
        <v>915</v>
      </c>
      <c r="E24952" s="3">
        <v>11</v>
      </c>
      <c r="F24952" s="3">
        <v>11</v>
      </c>
      <c r="G24952" t="s">
        <v>512</v>
      </c>
    </row>
    <row r="24953" spans="1:7" x14ac:dyDescent="0.25">
      <c r="A24953" s="1" t="str">
        <f>"510663"</f>
        <v>510663</v>
      </c>
      <c r="B24953" s="2" t="str">
        <f>"VALVULA 4WF6D-601EG24N974"</f>
        <v>VALVULA 4WF6D-601EG24N974</v>
      </c>
      <c r="C24953" s="2" t="str">
        <f t="shared" si="984"/>
        <v>UN</v>
      </c>
      <c r="D24953" s="7">
        <v>915</v>
      </c>
      <c r="E24953" s="3">
        <v>11</v>
      </c>
      <c r="F24953" s="3">
        <v>11</v>
      </c>
      <c r="G24953" t="s">
        <v>513</v>
      </c>
    </row>
    <row r="24954" spans="1:7" x14ac:dyDescent="0.25">
      <c r="A24954" s="1" t="str">
        <f>"522477"</f>
        <v>522477</v>
      </c>
      <c r="B24954" s="8" t="s">
        <v>297</v>
      </c>
      <c r="C24954" s="2" t="str">
        <f t="shared" si="984"/>
        <v>UN</v>
      </c>
      <c r="D24954" s="7">
        <v>807</v>
      </c>
      <c r="E24954" s="3">
        <v>10</v>
      </c>
      <c r="F24954" s="3">
        <v>10</v>
      </c>
      <c r="G24954" t="s">
        <v>514</v>
      </c>
    </row>
    <row r="24955" spans="1:7" x14ac:dyDescent="0.25">
      <c r="A24955" s="1" t="str">
        <f>"523158"</f>
        <v>523158</v>
      </c>
      <c r="B24955" s="8" t="s">
        <v>297</v>
      </c>
      <c r="C24955" s="2" t="str">
        <f t="shared" si="984"/>
        <v>UN</v>
      </c>
      <c r="D24955" s="7">
        <v>901</v>
      </c>
      <c r="E24955" s="3">
        <v>10</v>
      </c>
      <c r="F24955" s="3">
        <v>10</v>
      </c>
      <c r="G24955" t="s">
        <v>514</v>
      </c>
    </row>
    <row r="24956" spans="1:7" x14ac:dyDescent="0.25">
      <c r="A24956" s="1" t="str">
        <f>"521390"</f>
        <v>521390</v>
      </c>
      <c r="B24956" s="2" t="str">
        <f>"VALVULA ABERT/FECH. FESTO HEE-D-MAXI-24-E 643"</f>
        <v>VALVULA ABERT/FECH. FESTO HEE-D-MAXI-24-E 643</v>
      </c>
      <c r="C24956" s="2" t="str">
        <f t="shared" si="984"/>
        <v>UN</v>
      </c>
      <c r="D24956" s="7">
        <v>913</v>
      </c>
      <c r="E24956" s="3">
        <v>11</v>
      </c>
      <c r="F24956" s="3">
        <v>11</v>
      </c>
      <c r="G24956" t="s">
        <v>512</v>
      </c>
    </row>
    <row r="24957" spans="1:7" x14ac:dyDescent="0.25">
      <c r="A24957" s="1" t="str">
        <f>"522343"</f>
        <v>522343</v>
      </c>
      <c r="B24957" s="2" t="str">
        <f>"VALVULA AÇO CARBONO 3/4"" SOLDA"</f>
        <v>VALVULA AÇO CARBONO 3/4" SOLDA</v>
      </c>
      <c r="C24957" s="2" t="str">
        <f t="shared" si="984"/>
        <v>UN</v>
      </c>
      <c r="D24957" s="7">
        <v>803</v>
      </c>
      <c r="E24957" s="3">
        <v>10</v>
      </c>
      <c r="F24957" s="3">
        <v>10</v>
      </c>
      <c r="G24957" t="s">
        <v>513</v>
      </c>
    </row>
    <row r="24958" spans="1:7" x14ac:dyDescent="0.25">
      <c r="A24958" s="1" t="str">
        <f>"518264"</f>
        <v>518264</v>
      </c>
      <c r="B24958" s="2" t="str">
        <f>"VALVULA ADIMISSÃO ""SUB-CONJUNTO"" SBV250100 - SELOVAC"</f>
        <v>VALVULA ADIMISSÃO "SUB-CONJUNTO" SBV250100 - SELOVAC</v>
      </c>
      <c r="C24958" s="2" t="str">
        <f t="shared" si="984"/>
        <v>UN</v>
      </c>
      <c r="D24958" s="7">
        <v>918</v>
      </c>
      <c r="E24958" s="3">
        <v>11</v>
      </c>
      <c r="F24958" s="3">
        <v>11</v>
      </c>
      <c r="G24958" t="s">
        <v>514</v>
      </c>
    </row>
    <row r="24959" spans="1:7" x14ac:dyDescent="0.25">
      <c r="A24959" s="1" t="str">
        <f>"511623"</f>
        <v>511623</v>
      </c>
      <c r="B24959" s="2" t="str">
        <f>"VALVULA ADIMISSAO PRODUTO"</f>
        <v>VALVULA ADIMISSAO PRODUTO</v>
      </c>
      <c r="C24959" s="2" t="str">
        <f t="shared" si="984"/>
        <v>UN</v>
      </c>
      <c r="D24959" s="7">
        <v>915</v>
      </c>
      <c r="E24959" s="3">
        <v>11</v>
      </c>
      <c r="F24959" s="3">
        <v>11</v>
      </c>
      <c r="G24959" t="s">
        <v>514</v>
      </c>
    </row>
    <row r="24960" spans="1:7" x14ac:dyDescent="0.25">
      <c r="A24960" s="1" t="str">
        <f>"514065"</f>
        <v>514065</v>
      </c>
      <c r="B24960" s="2" t="str">
        <f>"VALVULA ADMISSAO CUMMIS"</f>
        <v>VALVULA ADMISSAO CUMMIS</v>
      </c>
      <c r="C24960" s="2" t="str">
        <f t="shared" si="984"/>
        <v>UN</v>
      </c>
      <c r="D24960" s="7">
        <v>704</v>
      </c>
      <c r="E24960" s="3">
        <v>9</v>
      </c>
      <c r="F24960" s="3">
        <v>9</v>
      </c>
      <c r="G24960" t="s">
        <v>514</v>
      </c>
    </row>
    <row r="24961" spans="1:7" x14ac:dyDescent="0.25">
      <c r="A24961" s="1" t="str">
        <f>"511841"</f>
        <v>511841</v>
      </c>
      <c r="B24961" s="2" t="str">
        <f>"VALVULA ADMISSAO PRODUTO"</f>
        <v>VALVULA ADMISSAO PRODUTO</v>
      </c>
      <c r="C24961" s="2" t="str">
        <f t="shared" si="984"/>
        <v>UN</v>
      </c>
      <c r="D24961" s="7">
        <v>915</v>
      </c>
      <c r="E24961" s="3">
        <v>11</v>
      </c>
      <c r="F24961" s="3">
        <v>11</v>
      </c>
      <c r="G24961" t="s">
        <v>513</v>
      </c>
    </row>
    <row r="24962" spans="1:7" x14ac:dyDescent="0.25">
      <c r="A24962" s="1" t="str">
        <f>"504095"</f>
        <v>504095</v>
      </c>
      <c r="B24962" s="2" t="str">
        <f>"VALVULA AGULHA 1"" SOLDA FERRO (ACO CARBO"</f>
        <v>VALVULA AGULHA 1" SOLDA FERRO (ACO CARBO</v>
      </c>
      <c r="C24962" s="2" t="str">
        <f>"BR"</f>
        <v>BR</v>
      </c>
      <c r="D24962" s="7">
        <v>808</v>
      </c>
      <c r="E24962" s="3">
        <v>10</v>
      </c>
      <c r="F24962" s="3">
        <v>10</v>
      </c>
      <c r="G24962" t="s">
        <v>512</v>
      </c>
    </row>
    <row r="24963" spans="1:7" x14ac:dyDescent="0.25">
      <c r="A24963" s="1" t="str">
        <f>"517453"</f>
        <v>517453</v>
      </c>
      <c r="B24963" s="2" t="str">
        <f>"VALVULA ALAVANCA H-5-1 4-B"</f>
        <v>VALVULA ALAVANCA H-5-1 4-B</v>
      </c>
      <c r="C24963" s="2" t="str">
        <f t="shared" ref="C24963:C24973" si="985">"UN"</f>
        <v>UN</v>
      </c>
      <c r="D24963" s="7">
        <v>913</v>
      </c>
      <c r="E24963" s="3">
        <v>11</v>
      </c>
      <c r="F24963" s="3">
        <v>11</v>
      </c>
      <c r="G24963" t="s">
        <v>513</v>
      </c>
    </row>
    <row r="24964" spans="1:7" x14ac:dyDescent="0.25">
      <c r="A24964" s="1" t="str">
        <f>"511234"</f>
        <v>511234</v>
      </c>
      <c r="B24964" s="8" t="s">
        <v>30</v>
      </c>
      <c r="C24964" s="2" t="str">
        <f t="shared" si="985"/>
        <v>UN</v>
      </c>
      <c r="D24964" s="7">
        <v>913</v>
      </c>
      <c r="E24964" s="3">
        <v>11</v>
      </c>
      <c r="F24964" s="3">
        <v>11</v>
      </c>
      <c r="G24964" t="s">
        <v>514</v>
      </c>
    </row>
    <row r="24965" spans="1:7" x14ac:dyDescent="0.25">
      <c r="A24965" s="1" t="str">
        <f>"513750"</f>
        <v>513750</v>
      </c>
      <c r="B24965" s="2" t="str">
        <f>"VALVULA ALIVIO 1 1/2"""</f>
        <v>VALVULA ALIVIO 1 1/2"</v>
      </c>
      <c r="C24965" s="2" t="str">
        <f t="shared" si="985"/>
        <v>UN</v>
      </c>
      <c r="D24965" s="7">
        <v>808</v>
      </c>
      <c r="E24965" s="3">
        <v>10</v>
      </c>
      <c r="F24965" s="3">
        <v>10</v>
      </c>
      <c r="G24965" t="s">
        <v>514</v>
      </c>
    </row>
    <row r="24966" spans="1:7" x14ac:dyDescent="0.25">
      <c r="A24966" s="1" t="str">
        <f>"516107"</f>
        <v>516107</v>
      </c>
      <c r="B24966" s="2" t="str">
        <f>"VALVULA AMONIA RETA 1 1/2"" SOLDA"</f>
        <v>VALVULA AMONIA RETA 1 1/2" SOLDA</v>
      </c>
      <c r="C24966" s="2" t="str">
        <f t="shared" si="985"/>
        <v>UN</v>
      </c>
      <c r="D24966" s="7">
        <v>807</v>
      </c>
      <c r="E24966" s="3">
        <v>10</v>
      </c>
      <c r="F24966" s="3">
        <v>10</v>
      </c>
      <c r="G24966" t="s">
        <v>514</v>
      </c>
    </row>
    <row r="24967" spans="1:7" x14ac:dyDescent="0.25">
      <c r="A24967" s="1" t="str">
        <f>"513265"</f>
        <v>513265</v>
      </c>
      <c r="B24967" s="2" t="str">
        <f>"VALVULA AMONIA RETA SOLDA 1 1/2"" AUTOMATICA"</f>
        <v>VALVULA AMONIA RETA SOLDA 1 1/2" AUTOMATICA</v>
      </c>
      <c r="C24967" s="2" t="str">
        <f t="shared" si="985"/>
        <v>UN</v>
      </c>
      <c r="D24967" s="7">
        <v>916</v>
      </c>
      <c r="E24967" s="3">
        <v>10</v>
      </c>
      <c r="F24967" s="3">
        <v>10</v>
      </c>
      <c r="G24967" t="s">
        <v>513</v>
      </c>
    </row>
    <row r="24968" spans="1:7" x14ac:dyDescent="0.25">
      <c r="A24968" s="1" t="str">
        <f>"513266"</f>
        <v>513266</v>
      </c>
      <c r="B24968" s="2" t="str">
        <f>"VALVULA AMONIA RETA SOLDA 1"" AUTOMATICA"</f>
        <v>VALVULA AMONIA RETA SOLDA 1" AUTOMATICA</v>
      </c>
      <c r="C24968" s="2" t="str">
        <f t="shared" si="985"/>
        <v>UN</v>
      </c>
      <c r="D24968" s="7">
        <v>916</v>
      </c>
      <c r="E24968" s="3">
        <v>10</v>
      </c>
      <c r="F24968" s="3">
        <v>10</v>
      </c>
      <c r="G24968" t="s">
        <v>513</v>
      </c>
    </row>
    <row r="24969" spans="1:7" x14ac:dyDescent="0.25">
      <c r="A24969" s="1" t="str">
        <f>"513264"</f>
        <v>513264</v>
      </c>
      <c r="B24969" s="2" t="str">
        <f>"VALVULA AMONIA RETA SOLDA 2"" AUTOMATICA"</f>
        <v>VALVULA AMONIA RETA SOLDA 2" AUTOMATICA</v>
      </c>
      <c r="C24969" s="2" t="str">
        <f t="shared" si="985"/>
        <v>UN</v>
      </c>
      <c r="D24969" s="7">
        <v>916</v>
      </c>
      <c r="E24969" s="3">
        <v>10</v>
      </c>
      <c r="F24969" s="3">
        <v>10</v>
      </c>
      <c r="G24969" t="s">
        <v>513</v>
      </c>
    </row>
    <row r="24970" spans="1:7" x14ac:dyDescent="0.25">
      <c r="A24970" s="1" t="str">
        <f>"513263"</f>
        <v>513263</v>
      </c>
      <c r="B24970" s="2" t="str">
        <f>"VALVULA AMONIA RETA SOLDA 3"" AUTOMATICA"</f>
        <v>VALVULA AMONIA RETA SOLDA 3" AUTOMATICA</v>
      </c>
      <c r="C24970" s="2" t="str">
        <f t="shared" si="985"/>
        <v>UN</v>
      </c>
      <c r="D24970" s="7">
        <v>916</v>
      </c>
      <c r="E24970" s="3">
        <v>10</v>
      </c>
      <c r="F24970" s="3">
        <v>10</v>
      </c>
      <c r="G24970" t="s">
        <v>512</v>
      </c>
    </row>
    <row r="24971" spans="1:7" x14ac:dyDescent="0.25">
      <c r="A24971" s="1" t="str">
        <f>"513279"</f>
        <v>513279</v>
      </c>
      <c r="B24971" s="2" t="str">
        <f>"VALVULA AMONIA RETENÇÃO SOLDA 1"" TIPO PISTÃO"</f>
        <v>VALVULA AMONIA RETENÇÃO SOLDA 1" TIPO PISTÃO</v>
      </c>
      <c r="C24971" s="2" t="str">
        <f t="shared" si="985"/>
        <v>UN</v>
      </c>
      <c r="D24971" s="7">
        <v>916</v>
      </c>
      <c r="E24971" s="3">
        <v>10</v>
      </c>
      <c r="F24971" s="3">
        <v>10</v>
      </c>
      <c r="G24971" t="s">
        <v>513</v>
      </c>
    </row>
    <row r="24972" spans="1:7" x14ac:dyDescent="0.25">
      <c r="A24972" s="1" t="str">
        <f>"525042"</f>
        <v>525042</v>
      </c>
      <c r="B24972" s="2" t="str">
        <f>"VALVULA AMORTECEDORA DE PRESSÃO 0 A 10BAR 2"" INOX"</f>
        <v>VALVULA AMORTECEDORA DE PRESSÃO 0 A 10BAR 2" INOX</v>
      </c>
      <c r="C24972" s="2" t="str">
        <f t="shared" si="985"/>
        <v>UN</v>
      </c>
      <c r="D24972" s="7">
        <v>913</v>
      </c>
      <c r="E24972" s="3">
        <v>10</v>
      </c>
      <c r="F24972" s="3">
        <v>10</v>
      </c>
      <c r="G24972" t="s">
        <v>514</v>
      </c>
    </row>
    <row r="24973" spans="1:7" x14ac:dyDescent="0.25">
      <c r="A24973" s="1" t="str">
        <f>"513286"</f>
        <v>513286</v>
      </c>
      <c r="B24973" s="2" t="str">
        <f>"VALVULA ANGULAR 45°-TIPO CRANE"</f>
        <v>VALVULA ANGULAR 45°-TIPO CRANE</v>
      </c>
      <c r="C24973" s="2" t="str">
        <f t="shared" si="985"/>
        <v>UN</v>
      </c>
      <c r="D24973" s="7">
        <v>912</v>
      </c>
      <c r="E24973" s="3">
        <v>11</v>
      </c>
      <c r="F24973" s="3">
        <v>11</v>
      </c>
      <c r="G24973" t="s">
        <v>515</v>
      </c>
    </row>
    <row r="24974" spans="1:7" x14ac:dyDescent="0.25">
      <c r="A24974" s="1" t="str">
        <f>"519585"</f>
        <v>519585</v>
      </c>
      <c r="B24974" s="2" t="str">
        <f>"VALVULA AR INTERNA"</f>
        <v>VALVULA AR INTERNA</v>
      </c>
      <c r="C24974" s="2" t="str">
        <f>"MT"</f>
        <v>MT</v>
      </c>
      <c r="D24974" s="7">
        <v>918</v>
      </c>
      <c r="E24974" s="3">
        <v>11</v>
      </c>
      <c r="F24974" s="3">
        <v>11</v>
      </c>
      <c r="G24974" t="s">
        <v>512</v>
      </c>
    </row>
    <row r="24975" spans="1:7" x14ac:dyDescent="0.25">
      <c r="A24975" s="1" t="str">
        <f>"512442"</f>
        <v>512442</v>
      </c>
      <c r="B24975" s="2" t="str">
        <f>"VALVULA ASCO 8222/8262E VAPOR NF 1""NPT"</f>
        <v>VALVULA ASCO 8222/8262E VAPOR NF 1"NPT</v>
      </c>
      <c r="C24975" s="2" t="str">
        <f>"BR"</f>
        <v>BR</v>
      </c>
      <c r="D24975" s="7">
        <v>808</v>
      </c>
      <c r="E24975" s="3">
        <v>10</v>
      </c>
      <c r="F24975" s="3">
        <v>10</v>
      </c>
      <c r="G24975" t="s">
        <v>516</v>
      </c>
    </row>
    <row r="24976" spans="1:7" x14ac:dyDescent="0.25">
      <c r="A24976" s="1" t="str">
        <f>"516588"</f>
        <v>516588</v>
      </c>
      <c r="B24976" s="2" t="str">
        <f>"VALVULA ASCO P/ VAPOR 1"""</f>
        <v>VALVULA ASCO P/ VAPOR 1"</v>
      </c>
      <c r="C24976" s="2" t="str">
        <f>"UN"</f>
        <v>UN</v>
      </c>
      <c r="D24976" s="7">
        <v>912</v>
      </c>
      <c r="E24976" s="3">
        <v>10</v>
      </c>
      <c r="F24976" s="3">
        <v>10</v>
      </c>
      <c r="G24976" t="s">
        <v>515</v>
      </c>
    </row>
    <row r="24977" spans="1:7" x14ac:dyDescent="0.25">
      <c r="A24977" s="1" t="str">
        <f>"516589"</f>
        <v>516589</v>
      </c>
      <c r="B24977" s="2" t="str">
        <f>"VALVULA ASSENTO INCLINADO PN25 BURKERT 178674/2002 1"" BSP AT"</f>
        <v>VALVULA ASSENTO INCLINADO PN25 BURKERT 178674/2002 1" BSP AT</v>
      </c>
      <c r="C24977" s="2" t="str">
        <f>"UN"</f>
        <v>UN</v>
      </c>
      <c r="D24977" s="7">
        <v>912</v>
      </c>
      <c r="E24977" s="3">
        <v>10</v>
      </c>
      <c r="F24977" s="3">
        <v>10</v>
      </c>
      <c r="G24977" t="s">
        <v>514</v>
      </c>
    </row>
    <row r="24978" spans="1:7" x14ac:dyDescent="0.25">
      <c r="A24978" s="1" t="str">
        <f>"521752"</f>
        <v>521752</v>
      </c>
      <c r="B24978" s="8" t="s">
        <v>220</v>
      </c>
      <c r="C24978" s="2" t="str">
        <f>"UN"</f>
        <v>UN</v>
      </c>
      <c r="D24978" s="7">
        <v>912</v>
      </c>
      <c r="E24978" s="3">
        <v>10</v>
      </c>
      <c r="F24978" s="3">
        <v>10</v>
      </c>
      <c r="G24978" t="s">
        <v>512</v>
      </c>
    </row>
    <row r="24979" spans="1:7" x14ac:dyDescent="0.25">
      <c r="A24979" s="1" t="str">
        <f>"517631"</f>
        <v>517631</v>
      </c>
      <c r="B24979" s="2" t="str">
        <f>"VALVULA ASSENTO VZXF-L-M22C-M-A-G1-230-E"</f>
        <v>VALVULA ASSENTO VZXF-L-M22C-M-A-G1-230-E</v>
      </c>
      <c r="C24979" s="2" t="str">
        <f>"UN"</f>
        <v>UN</v>
      </c>
      <c r="D24979" s="7">
        <v>912</v>
      </c>
      <c r="E24979" s="3">
        <v>10</v>
      </c>
      <c r="F24979" s="3">
        <v>10</v>
      </c>
      <c r="G24979" t="s">
        <v>513</v>
      </c>
    </row>
    <row r="24980" spans="1:7" x14ac:dyDescent="0.25">
      <c r="A24980" s="1" t="str">
        <f>"522016"</f>
        <v>522016</v>
      </c>
      <c r="B24980" s="2" t="str">
        <f>"VALVULA AUT. SANIT. C/ ATUADOR EM ALUMINIO"</f>
        <v>VALVULA AUT. SANIT. C/ ATUADOR EM ALUMINIO</v>
      </c>
      <c r="C24980" s="2" t="str">
        <f>"BR"</f>
        <v>BR</v>
      </c>
      <c r="D24980" s="7">
        <v>807</v>
      </c>
      <c r="E24980" s="3">
        <v>10</v>
      </c>
      <c r="F24980" s="3">
        <v>10</v>
      </c>
      <c r="G24980" t="s">
        <v>514</v>
      </c>
    </row>
    <row r="24981" spans="1:7" x14ac:dyDescent="0.25">
      <c r="A24981" s="1" t="str">
        <f>"507078"</f>
        <v>507078</v>
      </c>
      <c r="B24981" s="2" t="str">
        <f>"VALVULA BLOBO AEREO 2 1/2"" FL. SAIDA VAP"</f>
        <v>VALVULA BLOBO AEREO 2 1/2" FL. SAIDA VAP</v>
      </c>
      <c r="C24981" s="2" t="str">
        <f>"UN"</f>
        <v>UN</v>
      </c>
      <c r="D24981" s="7">
        <v>918</v>
      </c>
      <c r="E24981" s="3">
        <v>11</v>
      </c>
      <c r="F24981" s="3">
        <v>11</v>
      </c>
      <c r="G24981" t="s">
        <v>514</v>
      </c>
    </row>
    <row r="24982" spans="1:7" x14ac:dyDescent="0.25">
      <c r="A24982" s="1" t="str">
        <f>"516281"</f>
        <v>516281</v>
      </c>
      <c r="B24982" s="2" t="str">
        <f>"VALVULA BLOBO AEREO 6"" FL. SAIDA VAP"</f>
        <v>VALVULA BLOBO AEREO 6" FL. SAIDA VAP</v>
      </c>
      <c r="C24982" s="2" t="str">
        <f>"UN"</f>
        <v>UN</v>
      </c>
      <c r="D24982" s="7">
        <v>912</v>
      </c>
      <c r="E24982" s="3">
        <v>10</v>
      </c>
      <c r="F24982" s="3">
        <v>10</v>
      </c>
      <c r="G24982" t="s">
        <v>512</v>
      </c>
    </row>
    <row r="24983" spans="1:7" x14ac:dyDescent="0.25">
      <c r="A24983" s="1" t="str">
        <f>"517807"</f>
        <v>517807</v>
      </c>
      <c r="B24983" s="2" t="str">
        <f>"VALVULA BLOQ. ESFERA CONSTR. BIP. VMF 2 1/2"" 150# RF PP BIF1"</f>
        <v>VALVULA BLOQ. ESFERA CONSTR. BIP. VMF 2 1/2" 150# RF PP BIF1</v>
      </c>
      <c r="C24983" s="2" t="str">
        <f>"PC"</f>
        <v>PC</v>
      </c>
      <c r="D24983" s="7">
        <v>908</v>
      </c>
      <c r="E24983" s="3">
        <v>10</v>
      </c>
      <c r="F24983" s="3">
        <v>10</v>
      </c>
      <c r="G24983" t="s">
        <v>513</v>
      </c>
    </row>
    <row r="24984" spans="1:7" x14ac:dyDescent="0.25">
      <c r="A24984" s="1" t="str">
        <f>"517806"</f>
        <v>517806</v>
      </c>
      <c r="B24984" s="2" t="str">
        <f>"VALVULA BLOQ. ESFERA CONSTR. BIPARTIDA 3"" 150# PP BI ALAV.F1"</f>
        <v>VALVULA BLOQ. ESFERA CONSTR. BIPARTIDA 3" 150# PP BI ALAV.F1</v>
      </c>
      <c r="C24984" s="2" t="str">
        <f>"PC"</f>
        <v>PC</v>
      </c>
      <c r="D24984" s="7">
        <v>908</v>
      </c>
      <c r="E24984" s="3">
        <v>10</v>
      </c>
      <c r="F24984" s="3">
        <v>10</v>
      </c>
      <c r="G24984" t="s">
        <v>514</v>
      </c>
    </row>
    <row r="24985" spans="1:7" x14ac:dyDescent="0.25">
      <c r="A24985" s="1" t="str">
        <f>"513282"</f>
        <v>513282</v>
      </c>
      <c r="B24985" s="2" t="str">
        <f>"VALVULA BLOQUEIO 3/8 X 1/2"" P/ MANOVACUOMETRO/MANOMETRO"</f>
        <v>VALVULA BLOQUEIO 3/8 X 1/2" P/ MANOVACUOMETRO/MANOMETRO</v>
      </c>
      <c r="C24985" s="2" t="str">
        <f>"UN"</f>
        <v>UN</v>
      </c>
      <c r="D24985" s="7">
        <v>916</v>
      </c>
      <c r="E24985" s="3">
        <v>10</v>
      </c>
      <c r="F24985" s="3">
        <v>10</v>
      </c>
      <c r="G24985" t="s">
        <v>514</v>
      </c>
    </row>
    <row r="24986" spans="1:7" x14ac:dyDescent="0.25">
      <c r="A24986" s="1" t="str">
        <f>"510779"</f>
        <v>510779</v>
      </c>
      <c r="B24986" s="2" t="str">
        <f>"VALVULA BLOQUEIO ANGULAR 3050 3/4"""</f>
        <v>VALVULA BLOQUEIO ANGULAR 3050 3/4"</v>
      </c>
      <c r="C24986" s="2" t="str">
        <f>"BR"</f>
        <v>BR</v>
      </c>
      <c r="D24986" s="7">
        <v>808</v>
      </c>
      <c r="E24986" s="3">
        <v>10</v>
      </c>
      <c r="F24986" s="3">
        <v>10</v>
      </c>
      <c r="G24986" t="s">
        <v>514</v>
      </c>
    </row>
    <row r="24987" spans="1:7" x14ac:dyDescent="0.25">
      <c r="A24987" s="1" t="str">
        <f>"513295"</f>
        <v>513295</v>
      </c>
      <c r="B24987" s="2" t="str">
        <f>"VALVULA BLOQUEIO/RETENÇÃO 2"" ANGULAR SOLDA P/ AMONIA"</f>
        <v>VALVULA BLOQUEIO/RETENÇÃO 2" ANGULAR SOLDA P/ AMONIA</v>
      </c>
      <c r="C24987" s="2" t="str">
        <f>"UN"</f>
        <v>UN</v>
      </c>
      <c r="D24987" s="7">
        <v>916</v>
      </c>
      <c r="E24987" s="3">
        <v>10</v>
      </c>
      <c r="F24987" s="3">
        <v>10</v>
      </c>
      <c r="G24987" t="s">
        <v>513</v>
      </c>
    </row>
    <row r="24988" spans="1:7" x14ac:dyDescent="0.25">
      <c r="A24988" s="1" t="str">
        <f>"519983"</f>
        <v>519983</v>
      </c>
      <c r="B24988" s="2" t="str">
        <f>"VALVULA BORB. 2NP SMS 304 1"""</f>
        <v>VALVULA BORB. 2NP SMS 304 1"</v>
      </c>
      <c r="C24988" s="2" t="str">
        <f>"UN"</f>
        <v>UN</v>
      </c>
      <c r="D24988" s="7">
        <v>807</v>
      </c>
      <c r="E24988" s="3">
        <v>10</v>
      </c>
      <c r="F24988" s="3">
        <v>10</v>
      </c>
      <c r="G24988" t="s">
        <v>512</v>
      </c>
    </row>
    <row r="24989" spans="1:7" x14ac:dyDescent="0.25">
      <c r="A24989" s="1" t="str">
        <f>"519980"</f>
        <v>519980</v>
      </c>
      <c r="B24989" s="2" t="str">
        <f>"VALVULA BORB. 2NP SMS 304/EPDM 3"""</f>
        <v>VALVULA BORB. 2NP SMS 304/EPDM 3"</v>
      </c>
      <c r="C24989" s="2" t="str">
        <f>"UN"</f>
        <v>UN</v>
      </c>
      <c r="D24989" s="7">
        <v>807</v>
      </c>
      <c r="E24989" s="3">
        <v>10</v>
      </c>
      <c r="F24989" s="3">
        <v>10</v>
      </c>
      <c r="G24989" t="s">
        <v>513</v>
      </c>
    </row>
    <row r="24990" spans="1:7" x14ac:dyDescent="0.25">
      <c r="A24990" s="1" t="str">
        <f>"521964"</f>
        <v>521964</v>
      </c>
      <c r="B24990" s="2" t="str">
        <f>"VALVULA BORB. DFPD 40 F0507RDVB2NIEWAF 13082541"</f>
        <v>VALVULA BORB. DFPD 40 F0507RDVB2NIEWAF 13082541</v>
      </c>
      <c r="C24990" s="2" t="str">
        <f>"BR"</f>
        <v>BR</v>
      </c>
      <c r="D24990" s="7">
        <v>807</v>
      </c>
      <c r="E24990" s="3">
        <v>10</v>
      </c>
      <c r="F24990" s="3">
        <v>10</v>
      </c>
      <c r="G24990" t="s">
        <v>514</v>
      </c>
    </row>
    <row r="24991" spans="1:7" x14ac:dyDescent="0.25">
      <c r="A24991" s="1" t="str">
        <f>"519981"</f>
        <v>519981</v>
      </c>
      <c r="B24991" s="2" t="str">
        <f>"VALVULA BORB. MNP RJT 304 1"""</f>
        <v>VALVULA BORB. MNP RJT 304 1"</v>
      </c>
      <c r="C24991" s="2" t="str">
        <f>"UN"</f>
        <v>UN</v>
      </c>
      <c r="D24991" s="7">
        <v>807</v>
      </c>
      <c r="E24991" s="3">
        <v>10</v>
      </c>
      <c r="F24991" s="3">
        <v>10</v>
      </c>
      <c r="G24991" t="s">
        <v>514</v>
      </c>
    </row>
    <row r="24992" spans="1:7" x14ac:dyDescent="0.25">
      <c r="A24992" s="1" t="str">
        <f>"503701"</f>
        <v>503701</v>
      </c>
      <c r="B24992" s="2" t="str">
        <f>"VALVULA BORB. RETRATIL 2NP SMS 304/EPDM 2"""</f>
        <v>VALVULA BORB. RETRATIL 2NP SMS 304/EPDM 2"</v>
      </c>
      <c r="C24992" s="2" t="str">
        <f>"BR"</f>
        <v>BR</v>
      </c>
      <c r="D24992" s="7">
        <v>807</v>
      </c>
      <c r="E24992" s="3">
        <v>10</v>
      </c>
      <c r="F24992" s="3">
        <v>10</v>
      </c>
      <c r="G24992" t="s">
        <v>514</v>
      </c>
    </row>
    <row r="24993" spans="1:7" x14ac:dyDescent="0.25">
      <c r="A24993" s="1" t="str">
        <f>"503902"</f>
        <v>503902</v>
      </c>
      <c r="B24993" s="2" t="str">
        <f>"VALVULA BORB. S 4"" 304"</f>
        <v>VALVULA BORB. S 4" 304</v>
      </c>
      <c r="C24993" s="2" t="str">
        <f>"BR"</f>
        <v>BR</v>
      </c>
      <c r="D24993" s="7">
        <v>807</v>
      </c>
      <c r="E24993" s="3">
        <v>10</v>
      </c>
      <c r="F24993" s="3">
        <v>10</v>
      </c>
      <c r="G24993" t="s">
        <v>513</v>
      </c>
    </row>
    <row r="24994" spans="1:7" x14ac:dyDescent="0.25">
      <c r="A24994" s="1" t="str">
        <f>"526987"</f>
        <v>526987</v>
      </c>
      <c r="B24994" s="2" t="str">
        <f>"VALVULA BORB. SANIT 316L 4"" EPDM SOLDA MOD.K662"</f>
        <v>VALVULA BORB. SANIT 316L 4" EPDM SOLDA MOD.K662</v>
      </c>
      <c r="C24994" s="2" t="str">
        <f>"UN"</f>
        <v>UN</v>
      </c>
      <c r="D24994" s="7">
        <v>915</v>
      </c>
      <c r="E24994" s="3">
        <v>11</v>
      </c>
      <c r="F24994" s="3">
        <v>11</v>
      </c>
      <c r="G24994" t="s">
        <v>513</v>
      </c>
    </row>
    <row r="24995" spans="1:7" x14ac:dyDescent="0.25">
      <c r="A24995" s="1" t="str">
        <f>"501948"</f>
        <v>501948</v>
      </c>
      <c r="B24995" s="2" t="str">
        <f>"VALVULA BORB.MNP SMS 304 2 1/2""/VITON"</f>
        <v>VALVULA BORB.MNP SMS 304 2 1/2"/VITON</v>
      </c>
      <c r="C24995" s="2" t="str">
        <f>"BR"</f>
        <v>BR</v>
      </c>
      <c r="D24995" s="7">
        <v>807</v>
      </c>
      <c r="E24995" s="3">
        <v>10</v>
      </c>
      <c r="F24995" s="3">
        <v>10</v>
      </c>
      <c r="G24995" t="s">
        <v>513</v>
      </c>
    </row>
    <row r="24996" spans="1:7" x14ac:dyDescent="0.25">
      <c r="A24996" s="1" t="str">
        <f>"502972"</f>
        <v>502972</v>
      </c>
      <c r="B24996" s="2" t="str">
        <f>"VALVULA BORB.MNP SMS 304 2""/VITON"</f>
        <v>VALVULA BORB.MNP SMS 304 2"/VITON</v>
      </c>
      <c r="C24996" s="2" t="str">
        <f>"BR"</f>
        <v>BR</v>
      </c>
      <c r="D24996" s="7">
        <v>807</v>
      </c>
      <c r="E24996" s="3">
        <v>10</v>
      </c>
      <c r="F24996" s="3">
        <v>10</v>
      </c>
      <c r="G24996" t="s">
        <v>512</v>
      </c>
    </row>
    <row r="24997" spans="1:7" x14ac:dyDescent="0.25">
      <c r="A24997" s="1" t="str">
        <f>"502089"</f>
        <v>502089</v>
      </c>
      <c r="B24997" s="2" t="str">
        <f>"VALVULA BORB.MNP SMS 304/EPDM 1"""</f>
        <v>VALVULA BORB.MNP SMS 304/EPDM 1"</v>
      </c>
      <c r="C24997" s="2" t="str">
        <f>"BR"</f>
        <v>BR</v>
      </c>
      <c r="D24997" s="7">
        <v>807</v>
      </c>
      <c r="E24997" s="3">
        <v>10</v>
      </c>
      <c r="F24997" s="2">
        <v>8</v>
      </c>
      <c r="G24997" t="s">
        <v>513</v>
      </c>
    </row>
    <row r="24998" spans="1:7" x14ac:dyDescent="0.25">
      <c r="A24998" s="1" t="str">
        <f>"528086"</f>
        <v>528086</v>
      </c>
      <c r="B24998" s="2" t="str">
        <f>"VALVULA BORBOLETA 304 EPDM SOLDA 1 - ATUADOR SIMPLES AR-MOLA"</f>
        <v>VALVULA BORBOLETA 304 EPDM SOLDA 1 - ATUADOR SIMPLES AR-MOLA</v>
      </c>
      <c r="C24998" s="2" t="str">
        <f>"UN"</f>
        <v>UN</v>
      </c>
      <c r="D24998" s="7">
        <v>807</v>
      </c>
      <c r="E24998" s="3">
        <v>11</v>
      </c>
      <c r="F24998" s="2">
        <v>6</v>
      </c>
      <c r="G24998" t="s">
        <v>514</v>
      </c>
    </row>
    <row r="24999" spans="1:7" x14ac:dyDescent="0.25">
      <c r="A24999" s="1" t="str">
        <f>"528084"</f>
        <v>528084</v>
      </c>
      <c r="B24999" s="2" t="str">
        <f>"VALVULA BORBOLETA 304 EPDM SOLDA 2 - ATUADOR SIMPLES AR-MOLA"</f>
        <v>VALVULA BORBOLETA 304 EPDM SOLDA 2 - ATUADOR SIMPLES AR-MOLA</v>
      </c>
      <c r="C24999" s="2" t="str">
        <f>"UN"</f>
        <v>UN</v>
      </c>
      <c r="D24999" s="7">
        <v>807</v>
      </c>
      <c r="E24999" s="3">
        <v>13</v>
      </c>
      <c r="F24999" s="2">
        <v>4</v>
      </c>
      <c r="G24999" t="s">
        <v>515</v>
      </c>
    </row>
    <row r="25000" spans="1:7" x14ac:dyDescent="0.25">
      <c r="A25000" s="1" t="str">
        <f>"521509"</f>
        <v>521509</v>
      </c>
      <c r="B25000" s="2" t="str">
        <f>"VALVULA BORBOLETA DFPD-40-F0507RDVB3NIEWAF 13082543"</f>
        <v>VALVULA BORBOLETA DFPD-40-F0507RDVB3NIEWAF 13082543</v>
      </c>
      <c r="C25000" s="2" t="str">
        <f>"UN"</f>
        <v>UN</v>
      </c>
      <c r="D25000" s="7">
        <v>900</v>
      </c>
      <c r="E25000" s="3">
        <v>11</v>
      </c>
      <c r="F25000" s="2">
        <v>1</v>
      </c>
      <c r="G25000" t="s">
        <v>512</v>
      </c>
    </row>
    <row r="25001" spans="1:7" x14ac:dyDescent="0.25">
      <c r="A25001" s="1" t="str">
        <f>"527452"</f>
        <v>527452</v>
      </c>
      <c r="B25001" s="2" t="str">
        <f>"VALVULA BORBOLETA INOX 316 L S0000818 - K587"</f>
        <v>VALVULA BORBOLETA INOX 316 L S0000818 - K587</v>
      </c>
      <c r="C25001" s="2" t="str">
        <f>"UN"</f>
        <v>UN</v>
      </c>
      <c r="D25001" s="7">
        <v>807</v>
      </c>
      <c r="E25001" s="3">
        <v>11</v>
      </c>
      <c r="F25001" s="2">
        <v>2</v>
      </c>
      <c r="G25001" t="s">
        <v>516</v>
      </c>
    </row>
    <row r="25002" spans="1:7" x14ac:dyDescent="0.25">
      <c r="A25002" s="1" t="str">
        <f>"502177"</f>
        <v>502177</v>
      </c>
      <c r="B25002" s="2" t="str">
        <f>"VALVULA BORBOLETA SMS 304/E 1"""</f>
        <v>VALVULA BORBOLETA SMS 304/E 1"</v>
      </c>
      <c r="C25002" s="2" t="str">
        <f>"BR"</f>
        <v>BR</v>
      </c>
      <c r="D25002" s="7">
        <v>807</v>
      </c>
      <c r="E25002" s="3">
        <v>10</v>
      </c>
      <c r="F25002" s="2">
        <v>7</v>
      </c>
      <c r="G25002" t="s">
        <v>515</v>
      </c>
    </row>
    <row r="25003" spans="1:7" x14ac:dyDescent="0.25">
      <c r="A25003" s="1" t="str">
        <f>"502087"</f>
        <v>502087</v>
      </c>
      <c r="B25003" s="2" t="str">
        <f>"VALVULA BORBOLETA SOLDA 304 1 1/2"""</f>
        <v>VALVULA BORBOLETA SOLDA 304 1 1/2"</v>
      </c>
      <c r="C25003" s="2" t="str">
        <f>"BR"</f>
        <v>BR</v>
      </c>
      <c r="D25003" s="7">
        <v>807</v>
      </c>
      <c r="E25003" s="3">
        <v>10</v>
      </c>
      <c r="F25003" s="2">
        <v>9</v>
      </c>
      <c r="G25003" t="s">
        <v>514</v>
      </c>
    </row>
    <row r="25004" spans="1:7" x14ac:dyDescent="0.25">
      <c r="A25004" s="1" t="str">
        <f>"504420"</f>
        <v>504420</v>
      </c>
      <c r="B25004" s="2" t="str">
        <f>"VALVULA BORBOLETA SOLDA 304 1"""</f>
        <v>VALVULA BORBOLETA SOLDA 304 1"</v>
      </c>
      <c r="C25004" s="2" t="str">
        <f>"BR"</f>
        <v>BR</v>
      </c>
      <c r="D25004" s="7">
        <v>807</v>
      </c>
      <c r="E25004" s="3">
        <v>10</v>
      </c>
      <c r="F25004" s="2">
        <v>0</v>
      </c>
      <c r="G25004" t="s">
        <v>512</v>
      </c>
    </row>
    <row r="25005" spans="1:7" x14ac:dyDescent="0.25">
      <c r="A25005" s="1" t="str">
        <f>"509712"</f>
        <v>509712</v>
      </c>
      <c r="B25005" s="2" t="str">
        <f>"VALVULA BORBOLETA SOLDA 304 2"""</f>
        <v>VALVULA BORBOLETA SOLDA 304 2"</v>
      </c>
      <c r="C25005" s="2" t="str">
        <f t="shared" ref="C25005:C25012" si="986">"UN"</f>
        <v>UN</v>
      </c>
      <c r="D25005" s="7">
        <v>915</v>
      </c>
      <c r="E25005" s="3">
        <v>11</v>
      </c>
      <c r="F25005" s="2">
        <v>0</v>
      </c>
      <c r="G25005" t="s">
        <v>513</v>
      </c>
    </row>
    <row r="25006" spans="1:7" x14ac:dyDescent="0.25">
      <c r="A25006" s="1" t="str">
        <f>"509713"</f>
        <v>509713</v>
      </c>
      <c r="B25006" s="2" t="str">
        <f>"VALVULA BORBOLETA SOLDA 304 2.1/2"""</f>
        <v>VALVULA BORBOLETA SOLDA 304 2.1/2"</v>
      </c>
      <c r="C25006" s="2" t="str">
        <f t="shared" si="986"/>
        <v>UN</v>
      </c>
      <c r="D25006" s="7">
        <v>915</v>
      </c>
      <c r="E25006" s="3">
        <v>11</v>
      </c>
      <c r="F25006" s="2">
        <v>2</v>
      </c>
      <c r="G25006" t="s">
        <v>514</v>
      </c>
    </row>
    <row r="25007" spans="1:7" x14ac:dyDescent="0.25">
      <c r="A25007" s="1" t="str">
        <f>"510078"</f>
        <v>510078</v>
      </c>
      <c r="B25007" s="2" t="str">
        <f>"VALVULA BORBOLETA SOLDA 304 3"""</f>
        <v>VALVULA BORBOLETA SOLDA 304 3"</v>
      </c>
      <c r="C25007" s="2" t="str">
        <f t="shared" si="986"/>
        <v>UN</v>
      </c>
      <c r="D25007" s="7">
        <v>915</v>
      </c>
      <c r="E25007" s="3">
        <v>11</v>
      </c>
      <c r="F25007" s="2">
        <v>5</v>
      </c>
      <c r="G25007" t="s">
        <v>514</v>
      </c>
    </row>
    <row r="25008" spans="1:7" x14ac:dyDescent="0.25">
      <c r="A25008" s="1" t="str">
        <f>"510077"</f>
        <v>510077</v>
      </c>
      <c r="B25008" s="2" t="str">
        <f>"VALVULA BORBOLETA SOLDA 304 4"""</f>
        <v>VALVULA BORBOLETA SOLDA 304 4"</v>
      </c>
      <c r="C25008" s="2" t="str">
        <f t="shared" si="986"/>
        <v>UN</v>
      </c>
      <c r="D25008" s="7">
        <v>915</v>
      </c>
      <c r="E25008" s="3">
        <v>11</v>
      </c>
      <c r="F25008" s="2">
        <v>6</v>
      </c>
      <c r="G25008" t="s">
        <v>512</v>
      </c>
    </row>
    <row r="25009" spans="1:7" x14ac:dyDescent="0.25">
      <c r="A25009" s="1" t="str">
        <f>"524516"</f>
        <v>524516</v>
      </c>
      <c r="B25009" s="2" t="str">
        <f>"VALVULA BORBOLETA SOLDA 304 6"""</f>
        <v>VALVULA BORBOLETA SOLDA 304 6"</v>
      </c>
      <c r="C25009" s="2" t="str">
        <f t="shared" si="986"/>
        <v>UN</v>
      </c>
      <c r="D25009" s="7">
        <v>807</v>
      </c>
      <c r="E25009" s="3">
        <v>10</v>
      </c>
      <c r="F25009" s="2">
        <v>9</v>
      </c>
      <c r="G25009" t="s">
        <v>513</v>
      </c>
    </row>
    <row r="25010" spans="1:7" x14ac:dyDescent="0.25">
      <c r="A25010" s="1" t="str">
        <f>"504886"</f>
        <v>504886</v>
      </c>
      <c r="B25010" s="2" t="str">
        <f>"VALVULA BUZINA DE AR B-018U"</f>
        <v>VALVULA BUZINA DE AR B-018U</v>
      </c>
      <c r="C25010" s="2" t="str">
        <f t="shared" si="986"/>
        <v>UN</v>
      </c>
      <c r="D25010" s="7">
        <v>99999</v>
      </c>
      <c r="E25010" s="3">
        <v>99</v>
      </c>
      <c r="F25010" s="2">
        <v>5</v>
      </c>
      <c r="G25010" t="s">
        <v>514</v>
      </c>
    </row>
    <row r="25011" spans="1:7" x14ac:dyDescent="0.25">
      <c r="A25011" s="1" t="str">
        <f>"511809"</f>
        <v>511809</v>
      </c>
      <c r="B25011" s="2" t="str">
        <f>"VALVULA C. CHAMA VCR-20 ACET/OX/MAÇARICO"</f>
        <v>VALVULA C. CHAMA VCR-20 ACET/OX/MAÇARICO</v>
      </c>
      <c r="C25011" s="2" t="str">
        <f t="shared" si="986"/>
        <v>UN</v>
      </c>
      <c r="D25011" s="7">
        <v>402</v>
      </c>
      <c r="E25011" s="3">
        <v>4</v>
      </c>
      <c r="F25011" s="2">
        <v>3</v>
      </c>
      <c r="G25011" t="s">
        <v>514</v>
      </c>
    </row>
    <row r="25012" spans="1:7" x14ac:dyDescent="0.25">
      <c r="A25012" s="1" t="str">
        <f>"509346"</f>
        <v>509346</v>
      </c>
      <c r="B25012" s="2" t="str">
        <f>"VALVULA CONICA 116299-3"</f>
        <v>VALVULA CONICA 116299-3</v>
      </c>
      <c r="C25012" s="2" t="str">
        <f t="shared" si="986"/>
        <v>UN</v>
      </c>
      <c r="D25012" s="7">
        <v>912</v>
      </c>
      <c r="E25012" s="3">
        <v>11</v>
      </c>
      <c r="F25012" s="2">
        <v>3</v>
      </c>
      <c r="G25012" t="s">
        <v>514</v>
      </c>
    </row>
    <row r="25013" spans="1:7" x14ac:dyDescent="0.25">
      <c r="A25013" s="1" t="str">
        <f>"517804"</f>
        <v>517804</v>
      </c>
      <c r="B25013" s="2" t="str">
        <f>"VALVULA CONTR. GLOBO 2V FIG33 3"" 125#FF T 0,8MM"</f>
        <v>VALVULA CONTR. GLOBO 2V FIG33 3" 125#FF T 0,8MM</v>
      </c>
      <c r="C25013" s="2" t="str">
        <f>"PÇ"</f>
        <v>PÇ</v>
      </c>
      <c r="D25013" s="7">
        <v>808</v>
      </c>
      <c r="E25013" s="3">
        <v>10</v>
      </c>
      <c r="F25013" s="2">
        <v>2</v>
      </c>
      <c r="G25013" t="s">
        <v>513</v>
      </c>
    </row>
    <row r="25014" spans="1:7" x14ac:dyDescent="0.25">
      <c r="A25014" s="1" t="str">
        <f>"517632"</f>
        <v>517632</v>
      </c>
      <c r="B25014" s="2" t="str">
        <f>"VALVULA CONTROLE DE FLUXO1/4 BSP"</f>
        <v>VALVULA CONTROLE DE FLUXO1/4 BSP</v>
      </c>
      <c r="C25014" s="2" t="str">
        <f t="shared" ref="C25014:C25021" si="987">"UN"</f>
        <v>UN</v>
      </c>
      <c r="D25014" s="7">
        <v>918</v>
      </c>
      <c r="E25014" s="3">
        <v>11</v>
      </c>
      <c r="F25014" s="2">
        <v>1</v>
      </c>
      <c r="G25014" t="s">
        <v>512</v>
      </c>
    </row>
    <row r="25015" spans="1:7" x14ac:dyDescent="0.25">
      <c r="A25015" s="1" t="str">
        <f>"527454"</f>
        <v>527454</v>
      </c>
      <c r="B25015" s="2" t="str">
        <f>"VALVULA CONTROLE VAZAO SUDMO"</f>
        <v>VALVULA CONTROLE VAZAO SUDMO</v>
      </c>
      <c r="C25015" s="2" t="str">
        <f t="shared" si="987"/>
        <v>UN</v>
      </c>
      <c r="D25015" s="7">
        <v>807</v>
      </c>
      <c r="E25015" s="3">
        <v>11</v>
      </c>
      <c r="F25015" s="2">
        <v>4</v>
      </c>
      <c r="G25015" t="s">
        <v>513</v>
      </c>
    </row>
    <row r="25016" spans="1:7" x14ac:dyDescent="0.25">
      <c r="A25016" s="1" t="str">
        <f>"516301"</f>
        <v>516301</v>
      </c>
      <c r="B25016" s="2" t="str">
        <f>"VALVULA CORTA FOGO ACETILENO"</f>
        <v>VALVULA CORTA FOGO ACETILENO</v>
      </c>
      <c r="C25016" s="2" t="str">
        <f t="shared" si="987"/>
        <v>UN</v>
      </c>
      <c r="D25016" s="7">
        <v>816</v>
      </c>
      <c r="E25016" s="3">
        <v>4</v>
      </c>
      <c r="F25016" s="2">
        <v>1</v>
      </c>
      <c r="G25016" t="s">
        <v>514</v>
      </c>
    </row>
    <row r="25017" spans="1:7" x14ac:dyDescent="0.25">
      <c r="A25017" s="1" t="str">
        <f>"502197"</f>
        <v>502197</v>
      </c>
      <c r="B25017" s="8" t="s">
        <v>13</v>
      </c>
      <c r="C25017" s="2" t="str">
        <f t="shared" si="987"/>
        <v>UN</v>
      </c>
      <c r="D25017" s="7">
        <v>918</v>
      </c>
      <c r="E25017" s="3">
        <v>11</v>
      </c>
      <c r="F25017" s="2">
        <v>2</v>
      </c>
      <c r="G25017" t="s">
        <v>514</v>
      </c>
    </row>
    <row r="25018" spans="1:7" x14ac:dyDescent="0.25">
      <c r="A25018" s="1" t="str">
        <f>"522380"</f>
        <v>522380</v>
      </c>
      <c r="B25018" s="2" t="str">
        <f>"VALVULA DE ALIVIO 1"""</f>
        <v>VALVULA DE ALIVIO 1"</v>
      </c>
      <c r="C25018" s="2" t="str">
        <f t="shared" si="987"/>
        <v>UN</v>
      </c>
      <c r="D25018" s="7">
        <v>1300</v>
      </c>
      <c r="E25018" s="3">
        <v>11</v>
      </c>
      <c r="F25018" s="2">
        <v>7</v>
      </c>
      <c r="G25018" t="s">
        <v>514</v>
      </c>
    </row>
    <row r="25019" spans="1:7" x14ac:dyDescent="0.25">
      <c r="A25019" s="1" t="str">
        <f>"510320"</f>
        <v>510320</v>
      </c>
      <c r="B25019" s="2" t="str">
        <f>"VALVULA DE ALIVIO 3/4"</f>
        <v>VALVULA DE ALIVIO 3/4</v>
      </c>
      <c r="C25019" s="2" t="str">
        <f t="shared" si="987"/>
        <v>UN</v>
      </c>
      <c r="D25019" s="7">
        <v>912</v>
      </c>
      <c r="E25019" s="3">
        <v>11</v>
      </c>
      <c r="F25019" s="2">
        <v>9</v>
      </c>
      <c r="G25019" t="s">
        <v>513</v>
      </c>
    </row>
    <row r="25020" spans="1:7" x14ac:dyDescent="0.25">
      <c r="A25020" s="1" t="str">
        <f>"522413"</f>
        <v>522413</v>
      </c>
      <c r="B25020" s="2" t="str">
        <f>"VALVULA DE ALIVIO 3/4 RETA 6KGF P/ AMONIA"</f>
        <v>VALVULA DE ALIVIO 3/4 RETA 6KGF P/ AMONIA</v>
      </c>
      <c r="C25020" s="2" t="str">
        <f t="shared" si="987"/>
        <v>UN</v>
      </c>
      <c r="D25020" s="7">
        <v>916</v>
      </c>
      <c r="E25020" s="3">
        <v>11</v>
      </c>
      <c r="F25020" s="2">
        <v>0</v>
      </c>
      <c r="G25020" t="s">
        <v>513</v>
      </c>
    </row>
    <row r="25021" spans="1:7" x14ac:dyDescent="0.25">
      <c r="A25021" s="1" t="str">
        <f>"527752"</f>
        <v>527752</v>
      </c>
      <c r="B25021" s="2" t="str">
        <f>"VALVULA DE ALIVIO DE AR DE INOX LKUV-2 AISI304 EPDM 8481400"</f>
        <v>VALVULA DE ALIVIO DE AR DE INOX LKUV-2 AISI304 EPDM 8481400</v>
      </c>
      <c r="C25021" s="2" t="str">
        <f t="shared" si="987"/>
        <v>UN</v>
      </c>
      <c r="D25021" s="7">
        <v>913</v>
      </c>
      <c r="E25021" s="3">
        <v>11</v>
      </c>
      <c r="F25021" s="2">
        <v>0</v>
      </c>
      <c r="G25021" t="s">
        <v>513</v>
      </c>
    </row>
    <row r="25022" spans="1:7" x14ac:dyDescent="0.25">
      <c r="A25022" s="1" t="str">
        <f>"501485"</f>
        <v>501485</v>
      </c>
      <c r="B25022" s="2" t="str">
        <f>"VALVULA DE ALIVIO(SEGUR.)AÇO INOX 2"""</f>
        <v>VALVULA DE ALIVIO(SEGUR.)AÇO INOX 2"</v>
      </c>
      <c r="C25022" s="2" t="str">
        <f>"BR"</f>
        <v>BR</v>
      </c>
      <c r="D25022" s="7">
        <v>807</v>
      </c>
      <c r="E25022" s="3">
        <v>10</v>
      </c>
      <c r="F25022" s="2">
        <v>4</v>
      </c>
      <c r="G25022" t="s">
        <v>512</v>
      </c>
    </row>
    <row r="25023" spans="1:7" x14ac:dyDescent="0.25">
      <c r="A25023" s="1" t="str">
        <f>"523302"</f>
        <v>523302</v>
      </c>
      <c r="B25023" s="2" t="str">
        <f>"VALVULA DE AR 1/8"</f>
        <v>VALVULA DE AR 1/8</v>
      </c>
      <c r="C25023" s="2" t="str">
        <f t="shared" ref="C25023:C25032" si="988">"UN"</f>
        <v>UN</v>
      </c>
      <c r="D25023" s="7">
        <v>912</v>
      </c>
      <c r="E25023" s="3">
        <v>11</v>
      </c>
      <c r="F25023" s="2">
        <v>1</v>
      </c>
      <c r="G25023" t="s">
        <v>513</v>
      </c>
    </row>
    <row r="25024" spans="1:7" x14ac:dyDescent="0.25">
      <c r="A25024" s="1" t="str">
        <f>"509355"</f>
        <v>509355</v>
      </c>
      <c r="B25024" s="2" t="str">
        <f>"VALVULA DE DESCARGA A - NH3"</f>
        <v>VALVULA DE DESCARGA A - NH3</v>
      </c>
      <c r="C25024" s="2" t="str">
        <f t="shared" si="988"/>
        <v>UN</v>
      </c>
      <c r="D25024" s="7">
        <v>918</v>
      </c>
      <c r="E25024" s="3">
        <v>11</v>
      </c>
      <c r="F25024" s="2">
        <v>2</v>
      </c>
      <c r="G25024" t="s">
        <v>514</v>
      </c>
    </row>
    <row r="25025" spans="1:7" x14ac:dyDescent="0.25">
      <c r="A25025" s="1" t="str">
        <f>"502996"</f>
        <v>502996</v>
      </c>
      <c r="B25025" s="2" t="str">
        <f>"VALVULA DE DESCARGA RAPIDA M16"</f>
        <v>VALVULA DE DESCARGA RAPIDA M16</v>
      </c>
      <c r="C25025" s="2" t="str">
        <f t="shared" si="988"/>
        <v>UN</v>
      </c>
      <c r="D25025" s="7">
        <v>704</v>
      </c>
      <c r="E25025" s="3">
        <v>9</v>
      </c>
      <c r="F25025" s="2">
        <v>7</v>
      </c>
      <c r="G25025" t="s">
        <v>515</v>
      </c>
    </row>
    <row r="25026" spans="1:7" x14ac:dyDescent="0.25">
      <c r="A25026" s="1" t="str">
        <f>"525215"</f>
        <v>525215</v>
      </c>
      <c r="B25026" s="2" t="str">
        <f>"VALVULA DE EXPANSÃO DE 1/2 RETA"</f>
        <v>VALVULA DE EXPANSÃO DE 1/2 RETA</v>
      </c>
      <c r="C25026" s="2" t="str">
        <f t="shared" si="988"/>
        <v>UN</v>
      </c>
      <c r="D25026" s="7">
        <v>807</v>
      </c>
      <c r="E25026" s="3">
        <v>10</v>
      </c>
      <c r="F25026" s="2">
        <v>9</v>
      </c>
      <c r="G25026" t="s">
        <v>512</v>
      </c>
    </row>
    <row r="25027" spans="1:7" x14ac:dyDescent="0.25">
      <c r="A25027" s="1" t="str">
        <f>"520487"</f>
        <v>520487</v>
      </c>
      <c r="B25027" s="8" t="s">
        <v>150</v>
      </c>
      <c r="C25027" s="2" t="str">
        <f t="shared" si="988"/>
        <v>UN</v>
      </c>
      <c r="D25027" s="7">
        <v>901</v>
      </c>
      <c r="E25027" s="3">
        <v>11</v>
      </c>
      <c r="F25027" s="5">
        <v>5</v>
      </c>
      <c r="G25027" t="s">
        <v>516</v>
      </c>
    </row>
    <row r="25028" spans="1:7" x14ac:dyDescent="0.25">
      <c r="A25028" s="1" t="str">
        <f>"523901"</f>
        <v>523901</v>
      </c>
      <c r="B25028" s="2" t="str">
        <f>"VALVULA DE GÁS COZINHA"</f>
        <v>VALVULA DE GÁS COZINHA</v>
      </c>
      <c r="C25028" s="2" t="str">
        <f t="shared" si="988"/>
        <v>UN</v>
      </c>
      <c r="D25028" s="7">
        <v>99999</v>
      </c>
      <c r="E25028" s="3">
        <v>99</v>
      </c>
      <c r="F25028" s="2">
        <v>3</v>
      </c>
      <c r="G25028" t="s">
        <v>515</v>
      </c>
    </row>
    <row r="25029" spans="1:7" x14ac:dyDescent="0.25">
      <c r="A25029" s="1" t="str">
        <f>"507754"</f>
        <v>507754</v>
      </c>
      <c r="B25029" s="2" t="str">
        <f>"VALVULA DE HOMOGENEIZAÇAO APF0016"</f>
        <v>VALVULA DE HOMOGENEIZAÇAO APF0016</v>
      </c>
      <c r="C25029" s="2" t="str">
        <f t="shared" si="988"/>
        <v>UN</v>
      </c>
      <c r="D25029" s="7">
        <v>918</v>
      </c>
      <c r="E25029" s="3">
        <v>11</v>
      </c>
      <c r="F25029" s="2">
        <v>8</v>
      </c>
      <c r="G25029" t="s">
        <v>514</v>
      </c>
    </row>
    <row r="25030" spans="1:7" x14ac:dyDescent="0.25">
      <c r="A25030" s="1" t="str">
        <f>"524791"</f>
        <v>524791</v>
      </c>
      <c r="B25030" s="2" t="str">
        <f>"VALVULA DE HOMOGENEIZAÇÃO APF-5780"</f>
        <v>VALVULA DE HOMOGENEIZAÇÃO APF-5780</v>
      </c>
      <c r="C25030" s="2" t="str">
        <f t="shared" si="988"/>
        <v>UN</v>
      </c>
      <c r="D25030" s="7">
        <v>918</v>
      </c>
      <c r="E25030" s="3">
        <v>10</v>
      </c>
      <c r="F25030" s="2">
        <v>6</v>
      </c>
      <c r="G25030" t="s">
        <v>512</v>
      </c>
    </row>
    <row r="25031" spans="1:7" x14ac:dyDescent="0.25">
      <c r="A25031" s="1" t="str">
        <f>"519336"</f>
        <v>519336</v>
      </c>
      <c r="B25031" s="2" t="str">
        <f>"VALVULA DE PÉ MANNES EG2666"</f>
        <v>VALVULA DE PÉ MANNES EG2666</v>
      </c>
      <c r="C25031" s="2" t="str">
        <f t="shared" si="988"/>
        <v>UN</v>
      </c>
      <c r="D25031" s="7">
        <v>918</v>
      </c>
      <c r="E25031" s="3">
        <v>11</v>
      </c>
      <c r="F25031" s="2">
        <v>4</v>
      </c>
      <c r="G25031" t="s">
        <v>513</v>
      </c>
    </row>
    <row r="25032" spans="1:7" x14ac:dyDescent="0.25">
      <c r="A25032" s="1" t="str">
        <f>"522381"</f>
        <v>522381</v>
      </c>
      <c r="B25032" s="2" t="str">
        <f>"VALVULA DE PRESSÃO"</f>
        <v>VALVULA DE PRESSÃO</v>
      </c>
      <c r="C25032" s="2" t="str">
        <f t="shared" si="988"/>
        <v>UN</v>
      </c>
      <c r="D25032" s="7">
        <v>1300</v>
      </c>
      <c r="E25032" s="3">
        <v>11</v>
      </c>
      <c r="F25032" s="2">
        <v>1</v>
      </c>
      <c r="G25032" t="s">
        <v>514</v>
      </c>
    </row>
    <row r="25033" spans="1:7" x14ac:dyDescent="0.25">
      <c r="A25033" s="1" t="str">
        <f>"503853"</f>
        <v>503853</v>
      </c>
      <c r="B25033" s="2" t="str">
        <f>"VALVULA DE RET. TIPO UNIAO INOX 316 1/2"""</f>
        <v>VALVULA DE RET. TIPO UNIAO INOX 316 1/2"</v>
      </c>
      <c r="C25033" s="2" t="str">
        <f>"BR"</f>
        <v>BR</v>
      </c>
      <c r="D25033" s="7">
        <v>807</v>
      </c>
      <c r="E25033" s="3">
        <v>10</v>
      </c>
      <c r="F25033" s="2">
        <v>2</v>
      </c>
      <c r="G25033" t="s">
        <v>514</v>
      </c>
    </row>
    <row r="25034" spans="1:7" x14ac:dyDescent="0.25">
      <c r="A25034" s="1" t="str">
        <f>"507798"</f>
        <v>507798</v>
      </c>
      <c r="B25034" s="2" t="str">
        <f>"VALVULA DE RETANÇAO 2"" MK1/2/3"</f>
        <v>VALVULA DE RETANÇAO 2" MK1/2/3</v>
      </c>
      <c r="C25034" s="2" t="str">
        <f>"UN"</f>
        <v>UN</v>
      </c>
      <c r="D25034" s="7">
        <v>918</v>
      </c>
      <c r="E25034" s="3">
        <v>11</v>
      </c>
      <c r="F25034" s="2">
        <v>7</v>
      </c>
      <c r="G25034" t="s">
        <v>512</v>
      </c>
    </row>
    <row r="25035" spans="1:7" x14ac:dyDescent="0.25">
      <c r="A25035" s="1" t="str">
        <f>"514140"</f>
        <v>514140</v>
      </c>
      <c r="B25035" s="2" t="str">
        <f>"VALVULA DE RETENCAO 1"" TIPO PISTÃO (CARRETEL)"</f>
        <v>VALVULA DE RETENCAO 1" TIPO PISTÃO (CARRETEL)</v>
      </c>
      <c r="C25035" s="2" t="str">
        <f>"UN"</f>
        <v>UN</v>
      </c>
      <c r="D25035" s="7">
        <v>704</v>
      </c>
      <c r="E25035" s="3">
        <v>9</v>
      </c>
      <c r="F25035" s="2">
        <v>9</v>
      </c>
      <c r="G25035" t="s">
        <v>513</v>
      </c>
    </row>
    <row r="25036" spans="1:7" x14ac:dyDescent="0.25">
      <c r="A25036" s="1" t="str">
        <f>"527716"</f>
        <v>527716</v>
      </c>
      <c r="B25036" s="2" t="str">
        <f>"VÁLVULA DE RETENÇÃO 3/8"" INOX 316"</f>
        <v>VÁLVULA DE RETENÇÃO 3/8" INOX 316</v>
      </c>
      <c r="C25036" s="2" t="str">
        <f>"UN"</f>
        <v>UN</v>
      </c>
      <c r="D25036" s="7">
        <v>807</v>
      </c>
      <c r="E25036" s="3">
        <v>10</v>
      </c>
      <c r="F25036" s="2">
        <v>0</v>
      </c>
      <c r="G25036" t="s">
        <v>514</v>
      </c>
    </row>
    <row r="25037" spans="1:7" x14ac:dyDescent="0.25">
      <c r="A25037" s="1" t="str">
        <f>"521634"</f>
        <v>521634</v>
      </c>
      <c r="B25037" s="2" t="str">
        <f>"VALVULA DE RETENCAO BRONZE VERTICAL 3"""</f>
        <v>VALVULA DE RETENCAO BRONZE VERTICAL 3"</v>
      </c>
      <c r="C25037" s="2" t="str">
        <f>"BR"</f>
        <v>BR</v>
      </c>
      <c r="D25037" s="7">
        <v>808</v>
      </c>
      <c r="E25037" s="3">
        <v>10</v>
      </c>
      <c r="F25037" s="2">
        <v>0</v>
      </c>
      <c r="G25037" t="s">
        <v>514</v>
      </c>
    </row>
    <row r="25038" spans="1:7" x14ac:dyDescent="0.25">
      <c r="A25038" s="1" t="str">
        <f>"519949"</f>
        <v>519949</v>
      </c>
      <c r="B25038" s="2" t="str">
        <f>"VALVULA DE RETENÇÃO C/ PORTINHOLA EM BRONZE 80MM"</f>
        <v>VALVULA DE RETENÇÃO C/ PORTINHOLA EM BRONZE 80MM</v>
      </c>
      <c r="C25038" s="2" t="str">
        <f>"UN"</f>
        <v>UN</v>
      </c>
      <c r="D25038" s="7">
        <v>808</v>
      </c>
      <c r="E25038" s="3">
        <v>10</v>
      </c>
      <c r="F25038" s="2">
        <v>2</v>
      </c>
      <c r="G25038" t="s">
        <v>514</v>
      </c>
    </row>
    <row r="25039" spans="1:7" x14ac:dyDescent="0.25">
      <c r="A25039" s="1" t="str">
        <f>"519950"</f>
        <v>519950</v>
      </c>
      <c r="B25039" s="2" t="str">
        <f>"VALVULA DE RETENÇÃO C/PORTINHOLA EM BRONZE 40MM"</f>
        <v>VALVULA DE RETENÇÃO C/PORTINHOLA EM BRONZE 40MM</v>
      </c>
      <c r="C25039" s="2" t="str">
        <f>"UN"</f>
        <v>UN</v>
      </c>
      <c r="D25039" s="7">
        <v>808</v>
      </c>
      <c r="E25039" s="3">
        <v>10</v>
      </c>
      <c r="F25039" s="2">
        <v>5</v>
      </c>
      <c r="G25039" t="s">
        <v>513</v>
      </c>
    </row>
    <row r="25040" spans="1:7" x14ac:dyDescent="0.25">
      <c r="A25040" s="1" t="str">
        <f>"502143"</f>
        <v>502143</v>
      </c>
      <c r="B25040" s="2" t="str">
        <f>"VALVULA DE RETENCAO F.G. 1"""</f>
        <v>VALVULA DE RETENCAO F.G. 1"</v>
      </c>
      <c r="C25040" s="2" t="str">
        <f>"UN"</f>
        <v>UN</v>
      </c>
      <c r="D25040" s="7">
        <v>808</v>
      </c>
      <c r="E25040" s="3">
        <v>10</v>
      </c>
      <c r="F25040" s="2">
        <v>6</v>
      </c>
      <c r="G25040" t="s">
        <v>512</v>
      </c>
    </row>
    <row r="25041" spans="1:7" x14ac:dyDescent="0.25">
      <c r="A25041" s="1" t="str">
        <f>"503378"</f>
        <v>503378</v>
      </c>
      <c r="B25041" s="2" t="str">
        <f>"VALVULA DE RETENÇAO F.G. 1.1/2"""</f>
        <v>VALVULA DE RETENÇAO F.G. 1.1/2"</v>
      </c>
      <c r="C25041" s="2" t="str">
        <f>"BR"</f>
        <v>BR</v>
      </c>
      <c r="D25041" s="7">
        <v>808</v>
      </c>
      <c r="E25041" s="3">
        <v>10</v>
      </c>
      <c r="F25041" s="2">
        <v>9</v>
      </c>
      <c r="G25041" t="s">
        <v>513</v>
      </c>
    </row>
    <row r="25042" spans="1:7" x14ac:dyDescent="0.25">
      <c r="A25042" s="1" t="str">
        <f>"502141"</f>
        <v>502141</v>
      </c>
      <c r="B25042" s="2" t="str">
        <f>"VALVULA DE RETENCAO F.G. 3/4"""</f>
        <v>VALVULA DE RETENCAO F.G. 3/4"</v>
      </c>
      <c r="C25042" s="2" t="str">
        <f>"BR"</f>
        <v>BR</v>
      </c>
      <c r="D25042" s="7">
        <v>808</v>
      </c>
      <c r="E25042" s="3">
        <v>10</v>
      </c>
      <c r="F25042" s="2">
        <v>5</v>
      </c>
      <c r="G25042" t="s">
        <v>514</v>
      </c>
    </row>
    <row r="25043" spans="1:7" x14ac:dyDescent="0.25">
      <c r="A25043" s="1" t="str">
        <f>"500403"</f>
        <v>500403</v>
      </c>
      <c r="B25043" s="2" t="str">
        <f>"VALVULA DE RETENCAO HORIZONTAL 3/4 DOCOL"</f>
        <v>VALVULA DE RETENCAO HORIZONTAL 3/4 DOCOL</v>
      </c>
      <c r="C25043" s="2" t="str">
        <f>"BR"</f>
        <v>BR</v>
      </c>
      <c r="D25043" s="7">
        <v>808</v>
      </c>
      <c r="E25043" s="3">
        <v>10</v>
      </c>
      <c r="F25043" s="2">
        <v>3</v>
      </c>
      <c r="G25043" t="s">
        <v>514</v>
      </c>
    </row>
    <row r="25044" spans="1:7" x14ac:dyDescent="0.25">
      <c r="A25044" s="1" t="str">
        <f>"502479"</f>
        <v>502479</v>
      </c>
      <c r="B25044" s="2" t="str">
        <f>"VALVULA DE RETENÇAO HORIZONTAL 85MM"</f>
        <v>VALVULA DE RETENÇAO HORIZONTAL 85MM</v>
      </c>
      <c r="C25044" s="2" t="str">
        <f>"UN"</f>
        <v>UN</v>
      </c>
      <c r="D25044" s="7">
        <v>704</v>
      </c>
      <c r="E25044" s="3">
        <v>9</v>
      </c>
      <c r="F25044" s="2">
        <v>3</v>
      </c>
      <c r="G25044" t="s">
        <v>514</v>
      </c>
    </row>
    <row r="25045" spans="1:7" x14ac:dyDescent="0.25">
      <c r="A25045" s="1" t="str">
        <f>"521054"</f>
        <v>521054</v>
      </c>
      <c r="B25045" s="2" t="str">
        <f>"VALVULA DE RETENÇAO H-QS-12 FESTO"</f>
        <v>VALVULA DE RETENÇAO H-QS-12 FESTO</v>
      </c>
      <c r="C25045" s="2" t="str">
        <f>"BR"</f>
        <v>BR</v>
      </c>
      <c r="D25045" s="7">
        <v>808</v>
      </c>
      <c r="E25045" s="3">
        <v>10</v>
      </c>
      <c r="F25045" s="2">
        <v>2</v>
      </c>
      <c r="G25045" t="s">
        <v>513</v>
      </c>
    </row>
    <row r="25046" spans="1:7" x14ac:dyDescent="0.25">
      <c r="A25046" s="1" t="str">
        <f>"502605"</f>
        <v>502605</v>
      </c>
      <c r="B25046" s="2" t="str">
        <f>"VALVULA DE RETENÇAO PVC 1 1/2""(CEBOLA)"</f>
        <v>VALVULA DE RETENÇAO PVC 1 1/2"(CEBOLA)</v>
      </c>
      <c r="C25046" s="2" t="str">
        <f>"BR"</f>
        <v>BR</v>
      </c>
      <c r="D25046" s="7">
        <v>808</v>
      </c>
      <c r="E25046" s="3">
        <v>10</v>
      </c>
      <c r="F25046" s="2">
        <v>1</v>
      </c>
      <c r="G25046" t="s">
        <v>513</v>
      </c>
    </row>
    <row r="25047" spans="1:7" x14ac:dyDescent="0.25">
      <c r="A25047" s="1" t="str">
        <f>"527301"</f>
        <v>527301</v>
      </c>
      <c r="B25047" s="2" t="str">
        <f>"VALVULA DE RETENÇÃO PVC 1/2"</f>
        <v>VALVULA DE RETENÇÃO PVC 1/2</v>
      </c>
      <c r="C25047" s="2" t="str">
        <f>"UN"</f>
        <v>UN</v>
      </c>
      <c r="D25047" s="7">
        <v>601</v>
      </c>
      <c r="E25047" s="3">
        <v>10</v>
      </c>
      <c r="F25047" s="2">
        <v>4</v>
      </c>
      <c r="G25047" t="s">
        <v>513</v>
      </c>
    </row>
    <row r="25048" spans="1:7" x14ac:dyDescent="0.25">
      <c r="A25048" s="1" t="str">
        <f>"520514"</f>
        <v>520514</v>
      </c>
      <c r="B25048" s="2" t="str">
        <f>"VALVULA DE RETENÇÃO PVC DN100"</f>
        <v>VALVULA DE RETENÇÃO PVC DN100</v>
      </c>
      <c r="C25048" s="2" t="str">
        <f>"UN"</f>
        <v>UN</v>
      </c>
      <c r="D25048" s="7">
        <v>807</v>
      </c>
      <c r="E25048" s="3">
        <v>10</v>
      </c>
      <c r="F25048" s="2">
        <v>6</v>
      </c>
      <c r="G25048" t="s">
        <v>512</v>
      </c>
    </row>
    <row r="25049" spans="1:7" x14ac:dyDescent="0.25">
      <c r="A25049" s="1" t="str">
        <f>"502736"</f>
        <v>502736</v>
      </c>
      <c r="B25049" s="2" t="str">
        <f>"VALVULA DE RETENCAO TIPO PORTIOLA 3/4"""</f>
        <v>VALVULA DE RETENCAO TIPO PORTIOLA 3/4"</v>
      </c>
      <c r="C25049" s="2" t="str">
        <f>"BR"</f>
        <v>BR</v>
      </c>
      <c r="D25049" s="7">
        <v>808</v>
      </c>
      <c r="E25049" s="3">
        <v>10</v>
      </c>
      <c r="F25049" s="2">
        <v>8</v>
      </c>
      <c r="G25049" t="s">
        <v>513</v>
      </c>
    </row>
    <row r="25050" spans="1:7" x14ac:dyDescent="0.25">
      <c r="A25050" s="1" t="str">
        <f>"513539"</f>
        <v>513539</v>
      </c>
      <c r="B25050" s="2" t="str">
        <f>"VALVULA DE RETENCAO VERTICAL 4"""</f>
        <v>VALVULA DE RETENCAO VERTICAL 4"</v>
      </c>
      <c r="C25050" s="2" t="str">
        <f>"BR"</f>
        <v>BR</v>
      </c>
      <c r="D25050" s="7">
        <v>808</v>
      </c>
      <c r="E25050" s="3">
        <v>10</v>
      </c>
      <c r="F25050" s="2">
        <v>7</v>
      </c>
      <c r="G25050" t="s">
        <v>514</v>
      </c>
    </row>
    <row r="25051" spans="1:7" x14ac:dyDescent="0.25">
      <c r="A25051" s="1" t="str">
        <f>"527946"</f>
        <v>527946</v>
      </c>
      <c r="B25051" s="2" t="str">
        <f>"VALVULA DE RETENCAO VERTICAL SOLDA 2"" INOX"</f>
        <v>VALVULA DE RETENCAO VERTICAL SOLDA 2" INOX</v>
      </c>
      <c r="C25051" s="2" t="str">
        <f>"UN"</f>
        <v>UN</v>
      </c>
      <c r="D25051" s="7">
        <v>808</v>
      </c>
      <c r="E25051" s="3">
        <v>4</v>
      </c>
      <c r="F25051" s="2">
        <v>6</v>
      </c>
      <c r="G25051" t="s">
        <v>515</v>
      </c>
    </row>
    <row r="25052" spans="1:7" x14ac:dyDescent="0.25">
      <c r="A25052" s="1" t="str">
        <f>"514068"</f>
        <v>514068</v>
      </c>
      <c r="B25052" s="2" t="str">
        <f>"VALVULA DE RETORNO"</f>
        <v>VALVULA DE RETORNO</v>
      </c>
      <c r="C25052" s="2" t="str">
        <f>"UN"</f>
        <v>UN</v>
      </c>
      <c r="D25052" s="7">
        <v>704</v>
      </c>
      <c r="E25052" s="3">
        <v>9</v>
      </c>
      <c r="F25052" s="2">
        <v>6</v>
      </c>
      <c r="G25052" t="s">
        <v>512</v>
      </c>
    </row>
    <row r="25053" spans="1:7" x14ac:dyDescent="0.25">
      <c r="A25053" s="1" t="str">
        <f>"509857"</f>
        <v>509857</v>
      </c>
      <c r="B25053" s="2" t="str">
        <f>"VALVULA DE SEGURANCA DE VAPOR"</f>
        <v>VALVULA DE SEGURANCA DE VAPOR</v>
      </c>
      <c r="C25053" s="2" t="str">
        <f>"UN"</f>
        <v>UN</v>
      </c>
      <c r="D25053" s="7">
        <v>912</v>
      </c>
      <c r="E25053" s="3">
        <v>11</v>
      </c>
      <c r="F25053" s="2">
        <v>2</v>
      </c>
      <c r="G25053" t="s">
        <v>516</v>
      </c>
    </row>
    <row r="25054" spans="1:7" x14ac:dyDescent="0.25">
      <c r="A25054" s="1" t="str">
        <f>"509098"</f>
        <v>509098</v>
      </c>
      <c r="B25054" s="2" t="str">
        <f>"VALVULA DE TINTA 2 VIAS"</f>
        <v>VALVULA DE TINTA 2 VIAS</v>
      </c>
      <c r="C25054" s="2" t="str">
        <f>"UN"</f>
        <v>UN</v>
      </c>
      <c r="D25054" s="7">
        <v>918</v>
      </c>
      <c r="E25054" s="3">
        <v>11</v>
      </c>
      <c r="F25054" s="2">
        <v>1</v>
      </c>
      <c r="G25054" t="s">
        <v>515</v>
      </c>
    </row>
    <row r="25055" spans="1:7" x14ac:dyDescent="0.25">
      <c r="A25055" s="1" t="str">
        <f>"508240"</f>
        <v>508240</v>
      </c>
      <c r="B25055" s="2" t="str">
        <f>"VALVULA DE TOQUE COD. EG-2073"</f>
        <v>VALVULA DE TOQUE COD. EG-2073</v>
      </c>
      <c r="C25055" s="2" t="str">
        <f>"BR"</f>
        <v>BR</v>
      </c>
      <c r="D25055" s="7">
        <v>808</v>
      </c>
      <c r="E25055" s="3">
        <v>10</v>
      </c>
      <c r="F25055" s="2">
        <v>0</v>
      </c>
      <c r="G25055" t="s">
        <v>514</v>
      </c>
    </row>
    <row r="25056" spans="1:7" x14ac:dyDescent="0.25">
      <c r="A25056" s="1" t="str">
        <f>"514845"</f>
        <v>514845</v>
      </c>
      <c r="B25056" s="2" t="str">
        <f>"VALVULA DESC. FUNDO F300 2""VDFA-130 SF"</f>
        <v>VALVULA DESC. FUNDO F300 2"VDFA-130 SF</v>
      </c>
      <c r="C25056" s="2" t="str">
        <f>"UN"</f>
        <v>UN</v>
      </c>
      <c r="D25056" s="7">
        <v>912</v>
      </c>
      <c r="E25056" s="3">
        <v>10</v>
      </c>
      <c r="F25056" s="2">
        <v>0</v>
      </c>
      <c r="G25056" t="s">
        <v>512</v>
      </c>
    </row>
    <row r="25057" spans="1:7" x14ac:dyDescent="0.25">
      <c r="A25057" s="1" t="str">
        <f>"502004"</f>
        <v>502004</v>
      </c>
      <c r="B25057" s="2" t="str">
        <f>"VALVULA DESC. WABCO"</f>
        <v>VALVULA DESC. WABCO</v>
      </c>
      <c r="C25057" s="2" t="str">
        <f>"UN"</f>
        <v>UN</v>
      </c>
      <c r="D25057" s="7">
        <v>704</v>
      </c>
      <c r="E25057" s="3">
        <v>9</v>
      </c>
      <c r="F25057" s="2">
        <v>0</v>
      </c>
      <c r="G25057" t="s">
        <v>513</v>
      </c>
    </row>
    <row r="25058" spans="1:7" x14ac:dyDescent="0.25">
      <c r="A25058" s="1" t="str">
        <f>"515694"</f>
        <v>515694</v>
      </c>
      <c r="B25058" s="2" t="str">
        <f>"VALVULA DESCARGA P/ MICTORIO"</f>
        <v>VALVULA DESCARGA P/ MICTORIO</v>
      </c>
      <c r="C25058" s="2" t="str">
        <f>"UN"</f>
        <v>UN</v>
      </c>
      <c r="D25058" s="7">
        <v>803</v>
      </c>
      <c r="E25058" s="3">
        <v>10</v>
      </c>
      <c r="F25058" s="2">
        <v>3</v>
      </c>
      <c r="G25058" t="s">
        <v>514</v>
      </c>
    </row>
    <row r="25059" spans="1:7" x14ac:dyDescent="0.25">
      <c r="A25059" s="1" t="str">
        <f>"518178"</f>
        <v>518178</v>
      </c>
      <c r="B25059" s="2" t="str">
        <f>"VALVULA DESCARGA VITON 55MM R50160-R50630"</f>
        <v>VALVULA DESCARGA VITON 55MM R50160-R50630</v>
      </c>
      <c r="C25059" s="2" t="str">
        <f>"UN"</f>
        <v>UN</v>
      </c>
      <c r="D25059" s="7">
        <v>918</v>
      </c>
      <c r="E25059" s="3">
        <v>11</v>
      </c>
      <c r="F25059" s="5">
        <v>5</v>
      </c>
      <c r="G25059" t="s">
        <v>514</v>
      </c>
    </row>
    <row r="25060" spans="1:7" x14ac:dyDescent="0.25">
      <c r="A25060" s="1" t="str">
        <f>"514852"</f>
        <v>514852</v>
      </c>
      <c r="B25060" s="2" t="str">
        <f>"VALVULA DESFRENAGEM ADER 95-T-29"</f>
        <v>VALVULA DESFRENAGEM ADER 95-T-29</v>
      </c>
      <c r="C25060" s="2" t="str">
        <f>"UN"</f>
        <v>UN</v>
      </c>
      <c r="D25060" s="7">
        <v>704</v>
      </c>
      <c r="E25060" s="3">
        <v>9</v>
      </c>
      <c r="F25060" s="2">
        <v>3</v>
      </c>
      <c r="G25060" t="s">
        <v>512</v>
      </c>
    </row>
    <row r="25061" spans="1:7" x14ac:dyDescent="0.25">
      <c r="A25061" s="1" t="str">
        <f>"504542"</f>
        <v>504542</v>
      </c>
      <c r="B25061" s="2" t="str">
        <f>"VALVULA DESVIO FLUXO 3M SMS 1/2"" MOD21"</f>
        <v>VALVULA DESVIO FLUXO 3M SMS 1/2" MOD21</v>
      </c>
      <c r="C25061" s="2" t="str">
        <f>"BR"</f>
        <v>BR</v>
      </c>
      <c r="D25061" s="7">
        <v>808</v>
      </c>
      <c r="E25061" s="3">
        <v>10</v>
      </c>
      <c r="F25061" s="2">
        <v>8</v>
      </c>
      <c r="G25061" t="s">
        <v>513</v>
      </c>
    </row>
    <row r="25062" spans="1:7" x14ac:dyDescent="0.25">
      <c r="A25062" s="1" t="str">
        <f>"517387"</f>
        <v>517387</v>
      </c>
      <c r="B25062" s="2" t="str">
        <f>"VALVULA DIR. ACIONAMENTO ELET. 5-4WE10E33/CG24N9Z4 SIMILAR"</f>
        <v>VALVULA DIR. ACIONAMENTO ELET. 5-4WE10E33/CG24N9Z4 SIMILAR</v>
      </c>
      <c r="C25062" s="2" t="str">
        <f t="shared" ref="C25062:C25075" si="989">"UN"</f>
        <v>UN</v>
      </c>
      <c r="D25062" s="7">
        <v>914</v>
      </c>
      <c r="E25062" s="3">
        <v>11</v>
      </c>
      <c r="F25062" s="2">
        <v>6</v>
      </c>
      <c r="G25062" t="s">
        <v>514</v>
      </c>
    </row>
    <row r="25063" spans="1:7" x14ac:dyDescent="0.25">
      <c r="A25063" s="1" t="str">
        <f>"520009"</f>
        <v>520009</v>
      </c>
      <c r="B25063" s="2" t="str">
        <f>"VALVULA DIRECIONAL C/ GATILHO 5-3M5 FESTO"</f>
        <v>VALVULA DIRECIONAL C/ GATILHO 5-3M5 FESTO</v>
      </c>
      <c r="C25063" s="2" t="str">
        <f t="shared" si="989"/>
        <v>UN</v>
      </c>
      <c r="D25063" s="7">
        <v>900</v>
      </c>
      <c r="E25063" s="3">
        <v>11</v>
      </c>
      <c r="F25063" s="2">
        <v>4</v>
      </c>
      <c r="G25063" t="s">
        <v>514</v>
      </c>
    </row>
    <row r="25064" spans="1:7" x14ac:dyDescent="0.25">
      <c r="A25064" s="1" t="str">
        <f>"516868"</f>
        <v>516868</v>
      </c>
      <c r="B25064" s="2" t="str">
        <f>"VALVULA DIRECIONAL MFH-5-2-D-3-SC 151032  A514364"</f>
        <v>VALVULA DIRECIONAL MFH-5-2-D-3-SC 151032  A514364</v>
      </c>
      <c r="C25064" s="2" t="str">
        <f t="shared" si="989"/>
        <v>UN</v>
      </c>
      <c r="D25064" s="7">
        <v>913</v>
      </c>
      <c r="E25064" s="3">
        <v>11</v>
      </c>
      <c r="F25064" s="2">
        <v>1</v>
      </c>
      <c r="G25064" t="s">
        <v>514</v>
      </c>
    </row>
    <row r="25065" spans="1:7" x14ac:dyDescent="0.25">
      <c r="A25065" s="1" t="str">
        <f>"524774"</f>
        <v>524774</v>
      </c>
      <c r="B25065" s="2" t="str">
        <f>"VALVULA DIRECIONAL SYJ5153-5MOUE SMC"</f>
        <v>VALVULA DIRECIONAL SYJ5153-5MOUE SMC</v>
      </c>
      <c r="C25065" s="2" t="str">
        <f t="shared" si="989"/>
        <v>UN</v>
      </c>
      <c r="D25065" s="7">
        <v>901</v>
      </c>
      <c r="E25065" s="3">
        <v>10</v>
      </c>
      <c r="F25065" s="2">
        <v>2</v>
      </c>
      <c r="G25065" t="s">
        <v>513</v>
      </c>
    </row>
    <row r="25066" spans="1:7" x14ac:dyDescent="0.25">
      <c r="A25066" s="1" t="str">
        <f>"517569"</f>
        <v>517569</v>
      </c>
      <c r="B25066" s="2" t="str">
        <f>"VALVULA DIRECIONAL TN6-U-24V DF A02-3C10-24V"</f>
        <v>VALVULA DIRECIONAL TN6-U-24V DF A02-3C10-24V</v>
      </c>
      <c r="C25066" s="2" t="str">
        <f t="shared" si="989"/>
        <v>UN</v>
      </c>
      <c r="D25066" s="7">
        <v>914</v>
      </c>
      <c r="E25066" s="3">
        <v>11</v>
      </c>
      <c r="F25066" s="2">
        <v>7</v>
      </c>
      <c r="G25066" t="s">
        <v>512</v>
      </c>
    </row>
    <row r="25067" spans="1:7" x14ac:dyDescent="0.25">
      <c r="A25067" s="1" t="str">
        <f>"526719"</f>
        <v>526719</v>
      </c>
      <c r="B25067" s="2" t="str">
        <f>"VALVULA DIRECIONAL VDE1-1-CT-220-WE"</f>
        <v>VALVULA DIRECIONAL VDE1-1-CT-220-WE</v>
      </c>
      <c r="C25067" s="2" t="str">
        <f t="shared" si="989"/>
        <v>UN</v>
      </c>
      <c r="D25067" s="7">
        <v>914</v>
      </c>
      <c r="E25067" s="3">
        <v>11</v>
      </c>
      <c r="F25067" s="2">
        <v>9</v>
      </c>
      <c r="G25067" t="s">
        <v>513</v>
      </c>
    </row>
    <row r="25068" spans="1:7" x14ac:dyDescent="0.25">
      <c r="A25068" s="1" t="str">
        <f>"516869"</f>
        <v>516869</v>
      </c>
      <c r="B25068" s="2" t="str">
        <f>"VALVULA DIRECIONAL VSVA-B-B52-ZD-D1-1T1L 543696"</f>
        <v>VALVULA DIRECIONAL VSVA-B-B52-ZD-D1-1T1L 543696</v>
      </c>
      <c r="C25068" s="2" t="str">
        <f t="shared" si="989"/>
        <v>UN</v>
      </c>
      <c r="D25068" s="7">
        <v>913</v>
      </c>
      <c r="E25068" s="3">
        <v>11</v>
      </c>
      <c r="F25068" s="2">
        <v>0</v>
      </c>
      <c r="G25068" t="s">
        <v>514</v>
      </c>
    </row>
    <row r="25069" spans="1:7" x14ac:dyDescent="0.25">
      <c r="A25069" s="1" t="str">
        <f>"516870"</f>
        <v>516870</v>
      </c>
      <c r="B25069" s="2" t="str">
        <f>"VALVULA DIRECIONAL VSVA-B-M52-AZD-D1-1T1L 543698 XD02"</f>
        <v>VALVULA DIRECIONAL VSVA-B-M52-AZD-D1-1T1L 543698 XD02</v>
      </c>
      <c r="C25069" s="2" t="str">
        <f t="shared" si="989"/>
        <v>UN</v>
      </c>
      <c r="D25069" s="7">
        <v>913</v>
      </c>
      <c r="E25069" s="3">
        <v>11</v>
      </c>
      <c r="F25069" s="2">
        <v>0</v>
      </c>
      <c r="G25069" t="s">
        <v>514</v>
      </c>
    </row>
    <row r="25070" spans="1:7" x14ac:dyDescent="0.25">
      <c r="A25070" s="1" t="str">
        <f>"510661"</f>
        <v>510661</v>
      </c>
      <c r="B25070" s="2" t="str">
        <f>"VALVULA DR20-5-52/315Y"</f>
        <v>VALVULA DR20-5-52/315Y</v>
      </c>
      <c r="C25070" s="2" t="str">
        <f t="shared" si="989"/>
        <v>UN</v>
      </c>
      <c r="D25070" s="7">
        <v>918</v>
      </c>
      <c r="E25070" s="3">
        <v>11</v>
      </c>
      <c r="F25070" s="2">
        <v>2</v>
      </c>
      <c r="G25070" t="s">
        <v>514</v>
      </c>
    </row>
    <row r="25071" spans="1:7" x14ac:dyDescent="0.25">
      <c r="A25071" s="1" t="str">
        <f>"519693"</f>
        <v>519693</v>
      </c>
      <c r="B25071" s="2" t="str">
        <f>"VALVULA DRENO OLEO FECHAMENTO RAPIDO 1/2"</f>
        <v>VALVULA DRENO OLEO FECHAMENTO RAPIDO 1/2</v>
      </c>
      <c r="C25071" s="2" t="str">
        <f t="shared" si="989"/>
        <v>UN</v>
      </c>
      <c r="D25071" s="7">
        <v>918</v>
      </c>
      <c r="E25071" s="3">
        <v>11</v>
      </c>
      <c r="F25071" s="2">
        <v>5</v>
      </c>
      <c r="G25071" t="s">
        <v>513</v>
      </c>
    </row>
    <row r="25072" spans="1:7" x14ac:dyDescent="0.25">
      <c r="A25072" s="1" t="str">
        <f>"505684"</f>
        <v>505684</v>
      </c>
      <c r="B25072" s="2" t="str">
        <f>"VALVULA DRS 016"</f>
        <v>VALVULA DRS 016</v>
      </c>
      <c r="C25072" s="2" t="str">
        <f t="shared" si="989"/>
        <v>UN</v>
      </c>
      <c r="D25072" s="7">
        <v>704</v>
      </c>
      <c r="E25072" s="3">
        <v>9</v>
      </c>
      <c r="F25072" s="2">
        <v>6</v>
      </c>
      <c r="G25072" t="s">
        <v>513</v>
      </c>
    </row>
    <row r="25073" spans="1:7" x14ac:dyDescent="0.25">
      <c r="A25073" s="1" t="str">
        <f>"522965"</f>
        <v>522965</v>
      </c>
      <c r="B25073" s="2" t="str">
        <f>"VALVULA DSV D624 DN2.00""/2.50"" INTELLITOP 2.0 ASI"</f>
        <v>VALVULA DSV D624 DN2.00"/2.50" INTELLITOP 2.0 ASI</v>
      </c>
      <c r="C25073" s="2" t="str">
        <f t="shared" si="989"/>
        <v>UN</v>
      </c>
      <c r="D25073" s="7">
        <v>99999</v>
      </c>
      <c r="E25073" s="3">
        <v>99</v>
      </c>
      <c r="F25073" s="2">
        <v>9</v>
      </c>
      <c r="G25073" t="s">
        <v>513</v>
      </c>
    </row>
    <row r="25074" spans="1:7" x14ac:dyDescent="0.25">
      <c r="A25074" s="1" t="str">
        <f>"527459"</f>
        <v>527459</v>
      </c>
      <c r="B25074" s="2" t="str">
        <f>"VALVULA DUPLO ASSENTO KEYSTONE 2160427"</f>
        <v>VALVULA DUPLO ASSENTO KEYSTONE 2160427</v>
      </c>
      <c r="C25074" s="2" t="str">
        <f t="shared" si="989"/>
        <v>UN</v>
      </c>
      <c r="D25074" s="7">
        <v>807</v>
      </c>
      <c r="E25074" s="3">
        <v>11</v>
      </c>
      <c r="F25074" s="2">
        <v>5</v>
      </c>
      <c r="G25074" t="s">
        <v>512</v>
      </c>
    </row>
    <row r="25075" spans="1:7" x14ac:dyDescent="0.25">
      <c r="A25075" s="1" t="str">
        <f>"510609"</f>
        <v>510609</v>
      </c>
      <c r="B25075" s="2" t="str">
        <f>"VALVULA ELETROMAGNETICA RETROESCAVADEIRA"</f>
        <v>VALVULA ELETROMAGNETICA RETROESCAVADEIRA</v>
      </c>
      <c r="C25075" s="2" t="str">
        <f t="shared" si="989"/>
        <v>UN</v>
      </c>
      <c r="D25075" s="7">
        <v>900</v>
      </c>
      <c r="E25075" s="3">
        <v>11</v>
      </c>
      <c r="F25075" s="2">
        <v>3</v>
      </c>
      <c r="G25075" t="s">
        <v>513</v>
      </c>
    </row>
    <row r="25076" spans="1:7" x14ac:dyDescent="0.25">
      <c r="A25076" s="1" t="str">
        <f>"502619"</f>
        <v>502619</v>
      </c>
      <c r="B25076" s="2" t="str">
        <f>"VALVULA ELIMINADORA DE AR SOLDA 1""EPDM"</f>
        <v>VALVULA ELIMINADORA DE AR SOLDA 1"EPDM</v>
      </c>
      <c r="C25076" s="2" t="str">
        <f>"BR"</f>
        <v>BR</v>
      </c>
      <c r="D25076" s="7">
        <v>807</v>
      </c>
      <c r="E25076" s="3">
        <v>10</v>
      </c>
      <c r="F25076" s="2">
        <v>3</v>
      </c>
      <c r="G25076" t="s">
        <v>514</v>
      </c>
    </row>
    <row r="25077" spans="1:7" x14ac:dyDescent="0.25">
      <c r="A25077" s="1" t="str">
        <f>"523230"</f>
        <v>523230</v>
      </c>
      <c r="B25077" s="2" t="str">
        <f>"VALVULA EQ DE PRESSÃO GRANDE. C/ TB DE AQUEC."</f>
        <v>VALVULA EQ DE PRESSÃO GRANDE. C/ TB DE AQUEC.</v>
      </c>
      <c r="C25077" s="2" t="str">
        <f t="shared" ref="C25077:C25082" si="990">"UN"</f>
        <v>UN</v>
      </c>
      <c r="D25077" s="7">
        <v>803</v>
      </c>
      <c r="E25077" s="3">
        <v>10</v>
      </c>
      <c r="F25077" s="2">
        <v>2</v>
      </c>
      <c r="G25077" t="s">
        <v>515</v>
      </c>
    </row>
    <row r="25078" spans="1:7" x14ac:dyDescent="0.25">
      <c r="A25078" s="1" t="str">
        <f>"504509"</f>
        <v>504509</v>
      </c>
      <c r="B25078" s="2" t="str">
        <f>"VALVULA ESC CUMMIS"</f>
        <v>VALVULA ESC CUMMIS</v>
      </c>
      <c r="C25078" s="2" t="str">
        <f t="shared" si="990"/>
        <v>UN</v>
      </c>
      <c r="D25078" s="7">
        <v>704</v>
      </c>
      <c r="E25078" s="3">
        <v>9</v>
      </c>
      <c r="F25078" s="2">
        <v>1</v>
      </c>
      <c r="G25078" t="s">
        <v>512</v>
      </c>
    </row>
    <row r="25079" spans="1:7" x14ac:dyDescent="0.25">
      <c r="A25079" s="1" t="str">
        <f>"509901"</f>
        <v>509901</v>
      </c>
      <c r="B25079" s="2" t="str">
        <f>"VALVULA ESF. TRIP. VAPOR 2"""</f>
        <v>VALVULA ESF. TRIP. VAPOR 2"</v>
      </c>
      <c r="C25079" s="2" t="str">
        <f t="shared" si="990"/>
        <v>UN</v>
      </c>
      <c r="D25079" s="7">
        <v>912</v>
      </c>
      <c r="E25079" s="3">
        <v>11</v>
      </c>
      <c r="F25079" s="2">
        <v>4</v>
      </c>
      <c r="G25079" t="s">
        <v>516</v>
      </c>
    </row>
    <row r="25080" spans="1:7" x14ac:dyDescent="0.25">
      <c r="A25080" s="1" t="str">
        <f>"521288"</f>
        <v>521288</v>
      </c>
      <c r="B25080" s="2" t="str">
        <f>"VALVULA ESFERA  TRIPARTIDA 3/4"" INOX C/ ATUADOR RET. MOLA"</f>
        <v>VALVULA ESFERA  TRIPARTIDA 3/4" INOX C/ ATUADOR RET. MOLA</v>
      </c>
      <c r="C25080" s="2" t="str">
        <f t="shared" si="990"/>
        <v>UN</v>
      </c>
      <c r="D25080" s="7">
        <v>99999</v>
      </c>
      <c r="E25080" s="3">
        <v>99</v>
      </c>
      <c r="F25080" s="2">
        <v>1</v>
      </c>
      <c r="G25080" t="s">
        <v>515</v>
      </c>
    </row>
    <row r="25081" spans="1:7" x14ac:dyDescent="0.25">
      <c r="A25081" s="1" t="str">
        <f>"523172"</f>
        <v>523172</v>
      </c>
      <c r="B25081" s="2" t="str">
        <f>"VALVULA ESFERA 1/2  ROSCA BSP INOX 304"</f>
        <v>VALVULA ESFERA 1/2  ROSCA BSP INOX 304</v>
      </c>
      <c r="C25081" s="2" t="str">
        <f t="shared" si="990"/>
        <v>UN</v>
      </c>
      <c r="D25081" s="7">
        <v>807</v>
      </c>
      <c r="E25081" s="3">
        <v>10</v>
      </c>
      <c r="F25081" s="2">
        <v>2</v>
      </c>
      <c r="G25081" t="s">
        <v>514</v>
      </c>
    </row>
    <row r="25082" spans="1:7" x14ac:dyDescent="0.25">
      <c r="A25082" s="1" t="str">
        <f>"522663"</f>
        <v>522663</v>
      </c>
      <c r="B25082" s="8" t="s">
        <v>323</v>
      </c>
      <c r="C25082" s="2" t="str">
        <f t="shared" si="990"/>
        <v>UN</v>
      </c>
      <c r="D25082" s="7">
        <v>807</v>
      </c>
      <c r="E25082" s="3">
        <v>13</v>
      </c>
      <c r="F25082" s="2">
        <v>7</v>
      </c>
      <c r="G25082" t="s">
        <v>512</v>
      </c>
    </row>
    <row r="25083" spans="1:7" x14ac:dyDescent="0.25">
      <c r="A25083" s="1" t="str">
        <f>"514893"</f>
        <v>514893</v>
      </c>
      <c r="B25083" s="2" t="str">
        <f>"VALVULA ESFERA BIP. FLANGEADA 150 WCB PP 2"""</f>
        <v>VALVULA ESFERA BIP. FLANGEADA 150 WCB PP 2"</v>
      </c>
      <c r="C25083" s="2" t="str">
        <f>"PÇ"</f>
        <v>PÇ</v>
      </c>
      <c r="D25083" s="7">
        <v>808</v>
      </c>
      <c r="E25083" s="3">
        <v>10</v>
      </c>
      <c r="F25083" s="2">
        <v>9</v>
      </c>
      <c r="G25083" t="s">
        <v>513</v>
      </c>
    </row>
    <row r="25084" spans="1:7" x14ac:dyDescent="0.25">
      <c r="A25084" s="1" t="str">
        <f>"521510"</f>
        <v>521510</v>
      </c>
      <c r="B25084" s="2" t="str">
        <f>"VALVULA ESFERA DAPS-060-F0507/VE-3-LLT 13082660"</f>
        <v>VALVULA ESFERA DAPS-060-F0507/VE-3-LLT 13082660</v>
      </c>
      <c r="C25084" s="2" t="str">
        <f>"UN"</f>
        <v>UN</v>
      </c>
      <c r="D25084" s="7">
        <v>900</v>
      </c>
      <c r="E25084" s="3">
        <v>11</v>
      </c>
      <c r="F25084" s="2">
        <v>0</v>
      </c>
      <c r="G25084" t="s">
        <v>514</v>
      </c>
    </row>
    <row r="25085" spans="1:7" x14ac:dyDescent="0.25">
      <c r="A25085" s="1" t="str">
        <f>"521511"</f>
        <v>521511</v>
      </c>
      <c r="B25085" s="2" t="str">
        <f>"VALVULA ESFERA DFPD-160-RDF0710/VZBA3GG 13082586"</f>
        <v>VALVULA ESFERA DFPD-160-RDF0710/VZBA3GG 13082586</v>
      </c>
      <c r="C25085" s="2" t="str">
        <f>"UN"</f>
        <v>UN</v>
      </c>
      <c r="D25085" s="7">
        <v>900</v>
      </c>
      <c r="E25085" s="3">
        <v>11</v>
      </c>
      <c r="F25085" s="2">
        <v>0</v>
      </c>
      <c r="G25085" t="s">
        <v>514</v>
      </c>
    </row>
    <row r="25086" spans="1:7" x14ac:dyDescent="0.25">
      <c r="A25086" s="1" t="str">
        <f>"524859"</f>
        <v>524859</v>
      </c>
      <c r="B25086" s="2" t="str">
        <f>"VALVULA ESFERA INOX 1"" COM ROSCA"</f>
        <v>VALVULA ESFERA INOX 1" COM ROSCA</v>
      </c>
      <c r="C25086" s="2" t="str">
        <f>"BR"</f>
        <v>BR</v>
      </c>
      <c r="D25086" s="7">
        <v>808</v>
      </c>
      <c r="E25086" s="3">
        <v>10</v>
      </c>
      <c r="F25086" s="2">
        <v>4</v>
      </c>
      <c r="G25086" t="s">
        <v>512</v>
      </c>
    </row>
    <row r="25087" spans="1:7" x14ac:dyDescent="0.25">
      <c r="A25087" s="1" t="str">
        <f>"527750"</f>
        <v>527750</v>
      </c>
      <c r="B25087" s="2" t="str">
        <f>"VALVULA ESFERA PP + PTFE / EPDM ROSCA 2"""</f>
        <v>VALVULA ESFERA PP + PTFE / EPDM ROSCA 2"</v>
      </c>
      <c r="C25087" s="2" t="str">
        <f>"UN"</f>
        <v>UN</v>
      </c>
      <c r="D25087" s="7">
        <v>808</v>
      </c>
      <c r="E25087" s="3">
        <v>10</v>
      </c>
      <c r="F25087" s="2">
        <v>1</v>
      </c>
      <c r="G25087" t="s">
        <v>513</v>
      </c>
    </row>
    <row r="25088" spans="1:7" x14ac:dyDescent="0.25">
      <c r="A25088" s="1" t="str">
        <f>"523608"</f>
        <v>523608</v>
      </c>
      <c r="B25088" s="2" t="str">
        <f>"VALVULA ESFERA PVC C/ ROSCA 4"""</f>
        <v>VALVULA ESFERA PVC C/ ROSCA 4"</v>
      </c>
      <c r="C25088" s="2" t="str">
        <f>"PÇ"</f>
        <v>PÇ</v>
      </c>
      <c r="D25088" s="7">
        <v>808</v>
      </c>
      <c r="E25088" s="3">
        <v>10</v>
      </c>
      <c r="F25088" s="2">
        <v>2</v>
      </c>
      <c r="G25088" t="s">
        <v>514</v>
      </c>
    </row>
    <row r="25089" spans="1:7" x14ac:dyDescent="0.25">
      <c r="A25089" s="1" t="str">
        <f>"523177"</f>
        <v>523177</v>
      </c>
      <c r="B25089" s="2" t="str">
        <f>"VALVULA ESFERA QH 1/4 9541"</f>
        <v>VALVULA ESFERA QH 1/4 9541</v>
      </c>
      <c r="C25089" s="2" t="str">
        <f t="shared" ref="C25089:C25107" si="991">"UN"</f>
        <v>UN</v>
      </c>
      <c r="D25089" s="7">
        <v>913</v>
      </c>
      <c r="E25089" s="3">
        <v>11</v>
      </c>
      <c r="F25089" s="2">
        <v>7</v>
      </c>
      <c r="G25089" t="s">
        <v>514</v>
      </c>
    </row>
    <row r="25090" spans="1:7" x14ac:dyDescent="0.25">
      <c r="A25090" s="1" t="str">
        <f>"527947"</f>
        <v>527947</v>
      </c>
      <c r="B25090" s="2" t="str">
        <f>"VALVULA ESFERA TRIP. SOLDA OD 2"" INOX"</f>
        <v>VALVULA ESFERA TRIP. SOLDA OD 2" INOX</v>
      </c>
      <c r="C25090" s="2" t="str">
        <f t="shared" si="991"/>
        <v>UN</v>
      </c>
      <c r="D25090" s="7">
        <v>808</v>
      </c>
      <c r="E25090" s="3">
        <v>4</v>
      </c>
      <c r="F25090" s="2">
        <v>9</v>
      </c>
      <c r="G25090" t="s">
        <v>514</v>
      </c>
    </row>
    <row r="25091" spans="1:7" x14ac:dyDescent="0.25">
      <c r="A25091" s="1" t="str">
        <f>"527993"</f>
        <v>527993</v>
      </c>
      <c r="B25091" s="2" t="str">
        <f>"VALVULA ESFERA TRIP. SOLDA OD 3"" INOX"</f>
        <v>VALVULA ESFERA TRIP. SOLDA OD 3" INOX</v>
      </c>
      <c r="C25091" s="2" t="str">
        <f t="shared" si="991"/>
        <v>UN</v>
      </c>
      <c r="D25091" s="7">
        <v>808</v>
      </c>
      <c r="E25091" s="3">
        <v>4</v>
      </c>
      <c r="F25091" s="5">
        <v>5</v>
      </c>
      <c r="G25091" t="s">
        <v>513</v>
      </c>
    </row>
    <row r="25092" spans="1:7" x14ac:dyDescent="0.25">
      <c r="A25092" s="1" t="str">
        <f>"526707"</f>
        <v>526707</v>
      </c>
      <c r="B25092" s="2" t="str">
        <f>"VALVULA ESFERA TRIP. SOLDA OD 4"" INOX"</f>
        <v>VALVULA ESFERA TRIP. SOLDA OD 4" INOX</v>
      </c>
      <c r="C25092" s="2" t="str">
        <f t="shared" si="991"/>
        <v>UN</v>
      </c>
      <c r="D25092" s="7">
        <v>807</v>
      </c>
      <c r="E25092" s="3">
        <v>13</v>
      </c>
      <c r="F25092" s="2">
        <v>3</v>
      </c>
      <c r="G25092" t="s">
        <v>512</v>
      </c>
    </row>
    <row r="25093" spans="1:7" x14ac:dyDescent="0.25">
      <c r="A25093" s="1" t="str">
        <f>"528096"</f>
        <v>528096</v>
      </c>
      <c r="B25093" s="2" t="str">
        <f>"VALVULA ESFERA TRIPARTIDA CF8 TI P/P 1 MGA BSP"</f>
        <v>VALVULA ESFERA TRIPARTIDA CF8 TI P/P 1 MGA BSP</v>
      </c>
      <c r="C25093" s="2" t="str">
        <f t="shared" si="991"/>
        <v>UN</v>
      </c>
      <c r="D25093" s="7">
        <v>818</v>
      </c>
      <c r="E25093" s="3">
        <v>10</v>
      </c>
      <c r="F25093" s="2">
        <v>8</v>
      </c>
      <c r="G25093" t="s">
        <v>513</v>
      </c>
    </row>
    <row r="25094" spans="1:7" x14ac:dyDescent="0.25">
      <c r="A25094" s="1" t="str">
        <f>"528095"</f>
        <v>528095</v>
      </c>
      <c r="B25094" s="2" t="str">
        <f>"VALVULA ESFERA TRIPARTIDA CF8 TI P/P 1/2 MGA BSP"</f>
        <v>VALVULA ESFERA TRIPARTIDA CF8 TI P/P 1/2 MGA BSP</v>
      </c>
      <c r="C25094" s="2" t="str">
        <f t="shared" si="991"/>
        <v>UN</v>
      </c>
      <c r="D25094" s="7">
        <v>818</v>
      </c>
      <c r="E25094" s="3">
        <v>10</v>
      </c>
      <c r="F25094" s="2">
        <v>6</v>
      </c>
      <c r="G25094" t="s">
        <v>514</v>
      </c>
    </row>
    <row r="25095" spans="1:7" x14ac:dyDescent="0.25">
      <c r="A25095" s="1" t="str">
        <f>"528094"</f>
        <v>528094</v>
      </c>
      <c r="B25095" s="2" t="str">
        <f>"VALVULA ESFERA TRIPARTIDA CF8 TI P/P 3/4 MGA BSP"</f>
        <v>VALVULA ESFERA TRIPARTIDA CF8 TI P/P 3/4 MGA BSP</v>
      </c>
      <c r="C25095" s="2" t="str">
        <f t="shared" si="991"/>
        <v>UN</v>
      </c>
      <c r="D25095" s="7">
        <v>818</v>
      </c>
      <c r="E25095" s="3">
        <v>10</v>
      </c>
      <c r="F25095" s="2">
        <v>4</v>
      </c>
      <c r="G25095" t="s">
        <v>514</v>
      </c>
    </row>
    <row r="25096" spans="1:7" x14ac:dyDescent="0.25">
      <c r="A25096" s="1" t="str">
        <f>"524781"</f>
        <v>524781</v>
      </c>
      <c r="B25096" s="2" t="str">
        <f>"VALVULA ESFERICA 1"" INOX 304"</f>
        <v>VALVULA ESFERICA 1" INOX 304</v>
      </c>
      <c r="C25096" s="2" t="str">
        <f t="shared" si="991"/>
        <v>UN</v>
      </c>
      <c r="D25096" s="7">
        <v>807</v>
      </c>
      <c r="E25096" s="3">
        <v>10</v>
      </c>
      <c r="F25096" s="2">
        <v>1</v>
      </c>
      <c r="G25096" t="s">
        <v>514</v>
      </c>
    </row>
    <row r="25097" spans="1:7" x14ac:dyDescent="0.25">
      <c r="A25097" s="1" t="str">
        <f>"524782"</f>
        <v>524782</v>
      </c>
      <c r="B25097" s="2" t="str">
        <f>"VALVULA ESFERICA 1/2"" INOX 304"</f>
        <v>VALVULA ESFERICA 1/2" INOX 304</v>
      </c>
      <c r="C25097" s="2" t="str">
        <f t="shared" si="991"/>
        <v>UN</v>
      </c>
      <c r="D25097" s="7">
        <v>807</v>
      </c>
      <c r="E25097" s="3">
        <v>10</v>
      </c>
      <c r="F25097" s="2">
        <v>2</v>
      </c>
      <c r="G25097" t="s">
        <v>513</v>
      </c>
    </row>
    <row r="25098" spans="1:7" x14ac:dyDescent="0.25">
      <c r="A25098" s="1" t="str">
        <f>"524780"</f>
        <v>524780</v>
      </c>
      <c r="B25098" s="2" t="str">
        <f>"VALVULA ESFERICA 2"" INOX 304"</f>
        <v>VALVULA ESFERICA 2" INOX 304</v>
      </c>
      <c r="C25098" s="2" t="str">
        <f t="shared" si="991"/>
        <v>UN</v>
      </c>
      <c r="D25098" s="7">
        <v>807</v>
      </c>
      <c r="E25098" s="3">
        <v>10</v>
      </c>
      <c r="F25098" s="2">
        <v>7</v>
      </c>
      <c r="G25098" t="s">
        <v>513</v>
      </c>
    </row>
    <row r="25099" spans="1:7" x14ac:dyDescent="0.25">
      <c r="A25099" s="1" t="str">
        <f>"516641"</f>
        <v>516641</v>
      </c>
      <c r="B25099" s="2" t="str">
        <f>"VALVULA ESFERICA JK001572 RANNIE 132T-70.140 APF-9624"</f>
        <v>VALVULA ESFERICA JK001572 RANNIE 132T-70.140 APF-9624</v>
      </c>
      <c r="C25099" s="2" t="str">
        <f t="shared" si="991"/>
        <v>UN</v>
      </c>
      <c r="D25099" s="7">
        <v>918</v>
      </c>
      <c r="E25099" s="3">
        <v>11</v>
      </c>
      <c r="F25099" s="2">
        <v>9</v>
      </c>
      <c r="G25099" t="s">
        <v>513</v>
      </c>
    </row>
    <row r="25100" spans="1:7" x14ac:dyDescent="0.25">
      <c r="A25100" s="1" t="str">
        <f>"527344"</f>
        <v>527344</v>
      </c>
      <c r="B25100" s="2" t="str">
        <f>"VALVULA ESFERICA. 304-TOTAL TRI-PLENA DIAM. 76,20 - SW - 150"</f>
        <v>VALVULA ESFERICA. 304-TOTAL TRI-PLENA DIAM. 76,20 - SW - 150</v>
      </c>
      <c r="C25100" s="2" t="str">
        <f t="shared" si="991"/>
        <v>UN</v>
      </c>
      <c r="D25100" s="7">
        <v>808</v>
      </c>
      <c r="E25100" s="3">
        <v>10</v>
      </c>
      <c r="F25100" s="2">
        <v>0</v>
      </c>
      <c r="G25100" t="s">
        <v>512</v>
      </c>
    </row>
    <row r="25101" spans="1:7" x14ac:dyDescent="0.25">
      <c r="A25101" s="1" t="str">
        <f>"509305"</f>
        <v>509305</v>
      </c>
      <c r="B25101" s="2" t="str">
        <f>"VALVULA EXP. CONJUNTO 2 BITZER 5/8X3/4"</f>
        <v>VALVULA EXP. CONJUNTO 2 BITZER 5/8X3/4</v>
      </c>
      <c r="C25101" s="2" t="str">
        <f t="shared" si="991"/>
        <v>UN</v>
      </c>
      <c r="D25101" s="7">
        <v>916</v>
      </c>
      <c r="E25101" s="3">
        <v>11</v>
      </c>
      <c r="F25101" s="2">
        <v>0</v>
      </c>
      <c r="G25101" t="s">
        <v>513</v>
      </c>
    </row>
    <row r="25102" spans="1:7" x14ac:dyDescent="0.25">
      <c r="A25102" s="1" t="str">
        <f>"503680"</f>
        <v>503680</v>
      </c>
      <c r="B25102" s="2" t="str">
        <f>"VALVULA EXPANSAO COMPR Nº5 P/ GAS R22"</f>
        <v>VALVULA EXPANSAO COMPR Nº5 P/ GAS R22</v>
      </c>
      <c r="C25102" s="2" t="str">
        <f t="shared" si="991"/>
        <v>UN</v>
      </c>
      <c r="D25102" s="7">
        <v>818</v>
      </c>
      <c r="E25102" s="3">
        <v>10</v>
      </c>
      <c r="F25102" s="2">
        <v>2</v>
      </c>
      <c r="G25102" t="s">
        <v>514</v>
      </c>
    </row>
    <row r="25103" spans="1:7" x14ac:dyDescent="0.25">
      <c r="A25103" s="1" t="str">
        <f>"513111"</f>
        <v>513111</v>
      </c>
      <c r="B25103" s="2" t="str">
        <f>"VALVULA EXPANSÃO DANFOSS TEX2 R-22"</f>
        <v>VALVULA EXPANSÃO DANFOSS TEX2 R-22</v>
      </c>
      <c r="C25103" s="2" t="str">
        <f t="shared" si="991"/>
        <v>UN</v>
      </c>
      <c r="D25103" s="7">
        <v>916</v>
      </c>
      <c r="E25103" s="3">
        <v>11</v>
      </c>
      <c r="F25103" s="2">
        <v>5</v>
      </c>
      <c r="G25103" t="s">
        <v>515</v>
      </c>
    </row>
    <row r="25104" spans="1:7" x14ac:dyDescent="0.25">
      <c r="A25104" s="1" t="str">
        <f>"501145"</f>
        <v>501145</v>
      </c>
      <c r="B25104" s="2" t="str">
        <f>"VALVULA EXPANSAO GLOBAL TG45"</f>
        <v>VALVULA EXPANSAO GLOBAL TG45</v>
      </c>
      <c r="C25104" s="2" t="str">
        <f t="shared" si="991"/>
        <v>UN</v>
      </c>
      <c r="D25104" s="7">
        <v>816</v>
      </c>
      <c r="E25104" s="3">
        <v>10</v>
      </c>
      <c r="F25104" s="2">
        <v>6</v>
      </c>
      <c r="G25104" t="s">
        <v>512</v>
      </c>
    </row>
    <row r="25105" spans="1:7" x14ac:dyDescent="0.25">
      <c r="A25105" s="1" t="str">
        <f>"502159"</f>
        <v>502159</v>
      </c>
      <c r="B25105" s="2" t="str">
        <f>"VALVULA EXPANSAO TAB1-R401 C/ PORCAS"</f>
        <v>VALVULA EXPANSAO TAB1-R401 C/ PORCAS</v>
      </c>
      <c r="C25105" s="2" t="str">
        <f t="shared" si="991"/>
        <v>UN</v>
      </c>
      <c r="D25105" s="7">
        <v>818</v>
      </c>
      <c r="E25105" s="3">
        <v>10</v>
      </c>
      <c r="F25105" s="2">
        <v>9</v>
      </c>
      <c r="G25105" t="s">
        <v>516</v>
      </c>
    </row>
    <row r="25106" spans="1:7" x14ac:dyDescent="0.25">
      <c r="A25106" s="1" t="str">
        <f>"524427"</f>
        <v>524427</v>
      </c>
      <c r="B25106" s="2" t="str">
        <f>"VALVULA FECH E MS6-EE 1/2-S 10V24"</f>
        <v>VALVULA FECH E MS6-EE 1/2-S 10V24</v>
      </c>
      <c r="C25106" s="2" t="str">
        <f t="shared" si="991"/>
        <v>UN</v>
      </c>
      <c r="D25106" s="7">
        <v>913</v>
      </c>
      <c r="E25106" s="3">
        <v>11</v>
      </c>
      <c r="F25106" s="2">
        <v>5</v>
      </c>
      <c r="G25106" t="s">
        <v>515</v>
      </c>
    </row>
    <row r="25107" spans="1:7" x14ac:dyDescent="0.25">
      <c r="A25107" s="1" t="str">
        <f>"523417"</f>
        <v>523417</v>
      </c>
      <c r="B25107" s="2" t="str">
        <f>"VALVULA FECH M MS6-EM1-1/2-S 541268"</f>
        <v>VALVULA FECH M MS6-EM1-1/2-S 541268</v>
      </c>
      <c r="C25107" s="2" t="str">
        <f t="shared" si="991"/>
        <v>UN</v>
      </c>
      <c r="D25107" s="7">
        <v>913</v>
      </c>
      <c r="E25107" s="3">
        <v>11</v>
      </c>
      <c r="F25107" s="2">
        <v>3</v>
      </c>
      <c r="G25107" t="s">
        <v>514</v>
      </c>
    </row>
    <row r="25108" spans="1:7" x14ac:dyDescent="0.25">
      <c r="A25108" s="1" t="str">
        <f>"503559"</f>
        <v>503559</v>
      </c>
      <c r="B25108" s="2" t="str">
        <f>"VALVULA FESTER 5/2 G1/4 COD.VT1452424"</f>
        <v>VALVULA FESTER 5/2 G1/4 COD.VT1452424</v>
      </c>
      <c r="C25108" s="2" t="str">
        <f>"BR"</f>
        <v>BR</v>
      </c>
      <c r="D25108" s="7">
        <v>808</v>
      </c>
      <c r="E25108" s="3">
        <v>10</v>
      </c>
      <c r="F25108" s="2">
        <v>3</v>
      </c>
      <c r="G25108" t="s">
        <v>512</v>
      </c>
    </row>
    <row r="25109" spans="1:7" x14ac:dyDescent="0.25">
      <c r="A25109" s="1" t="str">
        <f>"505044"</f>
        <v>505044</v>
      </c>
      <c r="B25109" s="2" t="str">
        <f>"VALVULA FESTO 5/2 G1/4 MFHB-4-1/4 J8 14"</f>
        <v>VALVULA FESTO 5/2 G1/4 MFHB-4-1/4 J8 14</v>
      </c>
      <c r="C25109" s="2" t="str">
        <f>"UN"</f>
        <v>UN</v>
      </c>
      <c r="D25109" s="7">
        <v>913</v>
      </c>
      <c r="E25109" s="3">
        <v>11</v>
      </c>
      <c r="F25109" s="2">
        <v>2</v>
      </c>
      <c r="G25109" t="s">
        <v>513</v>
      </c>
    </row>
    <row r="25110" spans="1:7" x14ac:dyDescent="0.25">
      <c r="A25110" s="1" t="str">
        <f>"501205"</f>
        <v>501205</v>
      </c>
      <c r="B25110" s="2" t="str">
        <f>"VALVULA FESTO 5/2 G1/8 MFH-5-1/8 9982"</f>
        <v>VALVULA FESTO 5/2 G1/8 MFH-5-1/8 9982</v>
      </c>
      <c r="C25110" s="2" t="str">
        <f>"BR"</f>
        <v>BR</v>
      </c>
      <c r="D25110" s="7">
        <v>808</v>
      </c>
      <c r="E25110" s="3">
        <v>10</v>
      </c>
      <c r="F25110" s="2">
        <v>1</v>
      </c>
      <c r="G25110" t="s">
        <v>514</v>
      </c>
    </row>
    <row r="25111" spans="1:7" x14ac:dyDescent="0.25">
      <c r="A25111" s="1" t="str">
        <f>"505395"</f>
        <v>505395</v>
      </c>
      <c r="B25111" s="2" t="str">
        <f>"VALVULA FESTO ATUACAO ELET MFHB 4.1/4"</f>
        <v>VALVULA FESTO ATUACAO ELET MFHB 4.1/4</v>
      </c>
      <c r="C25111" s="2" t="str">
        <f>"UN"</f>
        <v>UN</v>
      </c>
      <c r="D25111" s="7">
        <v>913</v>
      </c>
      <c r="E25111" s="3">
        <v>11</v>
      </c>
      <c r="F25111" s="2">
        <v>4</v>
      </c>
      <c r="G25111" t="s">
        <v>514</v>
      </c>
    </row>
    <row r="25112" spans="1:7" x14ac:dyDescent="0.25">
      <c r="A25112" s="1" t="str">
        <f>"505394"</f>
        <v>505394</v>
      </c>
      <c r="B25112" s="2" t="str">
        <f>"VALVULA FESTO ATUACAO ELET MOFB 3.1/4"</f>
        <v>VALVULA FESTO ATUACAO ELET MOFB 3.1/4</v>
      </c>
      <c r="C25112" s="2" t="str">
        <f>"UN"</f>
        <v>UN</v>
      </c>
      <c r="D25112" s="7">
        <v>913</v>
      </c>
      <c r="E25112" s="3">
        <v>11</v>
      </c>
      <c r="F25112" s="2">
        <v>6</v>
      </c>
      <c r="G25112" t="s">
        <v>512</v>
      </c>
    </row>
    <row r="25113" spans="1:7" x14ac:dyDescent="0.25">
      <c r="A25113" s="1" t="str">
        <f>"513119"</f>
        <v>513119</v>
      </c>
      <c r="B25113" s="2" t="str">
        <f>"VALVULA FESTO DUPLO SOLENOIDE JMFH-5-1/8"</f>
        <v>VALVULA FESTO DUPLO SOLENOIDE JMFH-5-1/8</v>
      </c>
      <c r="C25113" s="2" t="str">
        <f>"UN"</f>
        <v>UN</v>
      </c>
      <c r="D25113" s="7">
        <v>913</v>
      </c>
      <c r="E25113" s="3">
        <v>11</v>
      </c>
      <c r="F25113" s="2">
        <v>8</v>
      </c>
      <c r="G25113" t="s">
        <v>513</v>
      </c>
    </row>
    <row r="25114" spans="1:7" x14ac:dyDescent="0.25">
      <c r="A25114" s="1" t="str">
        <f>"513117"</f>
        <v>513117</v>
      </c>
      <c r="B25114" s="2" t="str">
        <f>"VALVULA FESTO JH-5-1/8"</f>
        <v>VALVULA FESTO JH-5-1/8</v>
      </c>
      <c r="C25114" s="2" t="str">
        <f>"PC"</f>
        <v>PC</v>
      </c>
      <c r="D25114" s="7">
        <v>913</v>
      </c>
      <c r="E25114" s="3">
        <v>11</v>
      </c>
      <c r="F25114" s="2">
        <v>7</v>
      </c>
      <c r="G25114" t="s">
        <v>514</v>
      </c>
    </row>
    <row r="25115" spans="1:7" x14ac:dyDescent="0.25">
      <c r="A25115" s="1" t="str">
        <f>"511481"</f>
        <v>511481</v>
      </c>
      <c r="B25115" s="2" t="str">
        <f>"VALVULA FESTO JMFH-5-1/4 10410"</f>
        <v>VALVULA FESTO JMFH-5-1/4 10410</v>
      </c>
      <c r="C25115" s="2" t="str">
        <f>"UN"</f>
        <v>UN</v>
      </c>
      <c r="D25115" s="7">
        <v>913</v>
      </c>
      <c r="E25115" s="3">
        <v>11</v>
      </c>
      <c r="F25115" s="2">
        <v>6</v>
      </c>
      <c r="G25115" t="s">
        <v>514</v>
      </c>
    </row>
    <row r="25116" spans="1:7" x14ac:dyDescent="0.25">
      <c r="A25116" s="1" t="str">
        <f>"516287"</f>
        <v>516287</v>
      </c>
      <c r="B25116" s="2" t="str">
        <f>"VALVULA FESTO MFH-3-1/2-S 7960"</f>
        <v>VALVULA FESTO MFH-3-1/2-S 7960</v>
      </c>
      <c r="C25116" s="2" t="str">
        <f>"UN"</f>
        <v>UN</v>
      </c>
      <c r="D25116" s="7">
        <v>913</v>
      </c>
      <c r="E25116" s="3">
        <v>11</v>
      </c>
      <c r="F25116" s="2">
        <v>6</v>
      </c>
      <c r="G25116" t="s">
        <v>514</v>
      </c>
    </row>
    <row r="25117" spans="1:7" x14ac:dyDescent="0.25">
      <c r="A25117" s="1" t="str">
        <f>"508290"</f>
        <v>508290</v>
      </c>
      <c r="B25117" s="2" t="str">
        <f>"VALVULA FESTO MFH-5-1/4 SOLENOIDE 6211"</f>
        <v>VALVULA FESTO MFH-5-1/4 SOLENOIDE 6211</v>
      </c>
      <c r="C25117" s="2" t="str">
        <f>"PC"</f>
        <v>PC</v>
      </c>
      <c r="D25117" s="7">
        <v>913</v>
      </c>
      <c r="E25117" s="3">
        <v>11</v>
      </c>
      <c r="F25117" s="2">
        <v>2</v>
      </c>
      <c r="G25117" t="s">
        <v>513</v>
      </c>
    </row>
    <row r="25118" spans="1:7" x14ac:dyDescent="0.25">
      <c r="A25118" s="1" t="str">
        <f>"508291"</f>
        <v>508291</v>
      </c>
      <c r="B25118" s="2" t="str">
        <f>"VALVULA FESTO MFH-5-2 1/2 SOLENOIDE 6420"</f>
        <v>VALVULA FESTO MFH-5-2 1/2 SOLENOIDE 6420</v>
      </c>
      <c r="C25118" s="2" t="str">
        <f>"PÇ"</f>
        <v>PÇ</v>
      </c>
      <c r="D25118" s="7">
        <v>808</v>
      </c>
      <c r="E25118" s="3">
        <v>11</v>
      </c>
      <c r="F25118" s="2">
        <v>1</v>
      </c>
      <c r="G25118" t="s">
        <v>512</v>
      </c>
    </row>
    <row r="25119" spans="1:7" x14ac:dyDescent="0.25">
      <c r="A25119" s="1" t="str">
        <f>"516283"</f>
        <v>516283</v>
      </c>
      <c r="B25119" s="2" t="str">
        <f>"VALVULA FESTO VSVA-B-M52-AZD-D1-1T1L"</f>
        <v>VALVULA FESTO VSVA-B-M52-AZD-D1-1T1L</v>
      </c>
      <c r="C25119" s="2" t="str">
        <f>"UN"</f>
        <v>UN</v>
      </c>
      <c r="D25119" s="7">
        <v>913</v>
      </c>
      <c r="E25119" s="3">
        <v>11</v>
      </c>
      <c r="F25119" s="2">
        <v>0</v>
      </c>
      <c r="G25119" t="s">
        <v>513</v>
      </c>
    </row>
    <row r="25120" spans="1:7" x14ac:dyDescent="0.25">
      <c r="A25120" s="1" t="str">
        <f>"519288"</f>
        <v>519288</v>
      </c>
      <c r="B25120" s="2" t="str">
        <f>"VALVULA GAVETA 2"""</f>
        <v>VALVULA GAVETA 2"</v>
      </c>
      <c r="C25120" s="2" t="str">
        <f>"UN"</f>
        <v>UN</v>
      </c>
      <c r="D25120" s="7">
        <v>914</v>
      </c>
      <c r="E25120" s="3">
        <v>11</v>
      </c>
      <c r="F25120" s="2">
        <v>0</v>
      </c>
      <c r="G25120" t="s">
        <v>514</v>
      </c>
    </row>
    <row r="25121" spans="1:7" x14ac:dyDescent="0.25">
      <c r="A25121" s="1" t="str">
        <f>"524438"</f>
        <v>524438</v>
      </c>
      <c r="B25121" s="2" t="str">
        <f>"VALVULA GAVETA 4"" FLANG. E HASTE ASCEND. INOX"</f>
        <v>VALVULA GAVETA 4" FLANG. E HASTE ASCEND. INOX</v>
      </c>
      <c r="C25121" s="2" t="str">
        <f>"UN"</f>
        <v>UN</v>
      </c>
      <c r="D25121" s="7">
        <v>807</v>
      </c>
      <c r="E25121" s="3">
        <v>10</v>
      </c>
      <c r="F25121" s="2">
        <v>0</v>
      </c>
      <c r="G25121" t="s">
        <v>514</v>
      </c>
    </row>
    <row r="25122" spans="1:7" x14ac:dyDescent="0.25">
      <c r="A25122" s="1" t="str">
        <f>"503121"</f>
        <v>503121</v>
      </c>
      <c r="B25122" s="2" t="str">
        <f>"VALVULA GAVETA GLOBO DE 2 1/2 C/FLANGE"</f>
        <v>VALVULA GAVETA GLOBO DE 2 1/2 C/FLANGE</v>
      </c>
      <c r="C25122" s="2" t="str">
        <f>"BR"</f>
        <v>BR</v>
      </c>
      <c r="D25122" s="7">
        <v>808</v>
      </c>
      <c r="E25122" s="3">
        <v>10</v>
      </c>
      <c r="F25122" s="2">
        <v>3</v>
      </c>
      <c r="G25122" t="s">
        <v>514</v>
      </c>
    </row>
    <row r="25123" spans="1:7" x14ac:dyDescent="0.25">
      <c r="A25123" s="1" t="str">
        <f>"522836"</f>
        <v>522836</v>
      </c>
      <c r="B25123" s="2" t="str">
        <f>"VALVULA GAVETA MAN. DN6 H ASC. AISI 410 CARBONO API600"</f>
        <v>VALVULA GAVETA MAN. DN6 H ASC. AISI 410 CARBONO API600</v>
      </c>
      <c r="C25123" s="2" t="str">
        <f>"BR"</f>
        <v>BR</v>
      </c>
      <c r="D25123" s="7">
        <v>808</v>
      </c>
      <c r="E25123" s="3">
        <v>10</v>
      </c>
      <c r="F25123" s="5">
        <v>5</v>
      </c>
      <c r="G25123" t="s">
        <v>513</v>
      </c>
    </row>
    <row r="25124" spans="1:7" x14ac:dyDescent="0.25">
      <c r="A25124" s="1" t="str">
        <f>"520452"</f>
        <v>520452</v>
      </c>
      <c r="B25124" s="2" t="str">
        <f>"VALVULA GLOBO 1 1/2"""</f>
        <v>VALVULA GLOBO 1 1/2"</v>
      </c>
      <c r="C25124" s="2" t="str">
        <f t="shared" ref="C25124:C25143" si="992">"UN"</f>
        <v>UN</v>
      </c>
      <c r="D25124" s="7">
        <v>915</v>
      </c>
      <c r="E25124" s="3">
        <v>10</v>
      </c>
      <c r="F25124" s="2">
        <v>3</v>
      </c>
      <c r="G25124" t="s">
        <v>513</v>
      </c>
    </row>
    <row r="25125" spans="1:7" x14ac:dyDescent="0.25">
      <c r="A25125" s="1" t="str">
        <f>"520450"</f>
        <v>520450</v>
      </c>
      <c r="B25125" s="2" t="str">
        <f>"VALVULA GLOBO 1"""</f>
        <v>VALVULA GLOBO 1"</v>
      </c>
      <c r="C25125" s="2" t="str">
        <f t="shared" si="992"/>
        <v>UN</v>
      </c>
      <c r="D25125" s="7">
        <v>915</v>
      </c>
      <c r="E25125" s="3">
        <v>10</v>
      </c>
      <c r="F25125" s="2">
        <v>8</v>
      </c>
      <c r="G25125" t="s">
        <v>513</v>
      </c>
    </row>
    <row r="25126" spans="1:7" x14ac:dyDescent="0.25">
      <c r="A25126" s="1" t="str">
        <f>"520451"</f>
        <v>520451</v>
      </c>
      <c r="B25126" s="2" t="str">
        <f>"VALVULA GLOBO 2"""</f>
        <v>VALVULA GLOBO 2"</v>
      </c>
      <c r="C25126" s="2" t="str">
        <f t="shared" si="992"/>
        <v>UN</v>
      </c>
      <c r="D25126" s="7">
        <v>915</v>
      </c>
      <c r="E25126" s="3">
        <v>10</v>
      </c>
      <c r="F25126" s="2">
        <v>6</v>
      </c>
      <c r="G25126" t="s">
        <v>512</v>
      </c>
    </row>
    <row r="25127" spans="1:7" x14ac:dyDescent="0.25">
      <c r="A25127" s="1" t="str">
        <f>"520449"</f>
        <v>520449</v>
      </c>
      <c r="B25127" s="2" t="str">
        <f>"VALVULA GLOBO 6"""</f>
        <v>VALVULA GLOBO 6"</v>
      </c>
      <c r="C25127" s="2" t="str">
        <f t="shared" si="992"/>
        <v>UN</v>
      </c>
      <c r="D25127" s="7">
        <v>915</v>
      </c>
      <c r="E25127" s="3">
        <v>10</v>
      </c>
      <c r="F25127" s="2">
        <v>4</v>
      </c>
      <c r="G25127" t="s">
        <v>513</v>
      </c>
    </row>
    <row r="25128" spans="1:7" x14ac:dyDescent="0.25">
      <c r="A25128" s="1" t="str">
        <f>"518509"</f>
        <v>518509</v>
      </c>
      <c r="B25128" s="2" t="str">
        <f>"VALVULA GLOBO BRONZE 178676/2002 1"" BSP AT.63MM"</f>
        <v>VALVULA GLOBO BRONZE 178676/2002 1" BSP AT.63MM</v>
      </c>
      <c r="C25128" s="2" t="str">
        <f t="shared" si="992"/>
        <v>UN</v>
      </c>
      <c r="D25128" s="7">
        <v>915</v>
      </c>
      <c r="E25128" s="3">
        <v>10</v>
      </c>
      <c r="F25128" s="2">
        <v>1</v>
      </c>
      <c r="G25128" t="s">
        <v>514</v>
      </c>
    </row>
    <row r="25129" spans="1:7" x14ac:dyDescent="0.25">
      <c r="A25129" s="1" t="str">
        <f>"516946"</f>
        <v>516946</v>
      </c>
      <c r="B25129" s="2" t="str">
        <f>"VALVULA GLOBO BRONZE 178676/2002 1"" BSP AT.63MM NF"</f>
        <v>VALVULA GLOBO BRONZE 178676/2002 1" BSP AT.63MM NF</v>
      </c>
      <c r="C25129" s="2" t="str">
        <f t="shared" si="992"/>
        <v>UN</v>
      </c>
      <c r="D25129" s="7">
        <v>912</v>
      </c>
      <c r="E25129" s="3">
        <v>10</v>
      </c>
      <c r="F25129" s="2">
        <v>2</v>
      </c>
      <c r="G25129" t="s">
        <v>515</v>
      </c>
    </row>
    <row r="25130" spans="1:7" x14ac:dyDescent="0.25">
      <c r="A25130" s="1" t="str">
        <f>"518616"</f>
        <v>518616</v>
      </c>
      <c r="B25130" s="2" t="str">
        <f>"VALVULA GLOBO BRONZE 178678/2002 3/4"" BSP AT.63MM"</f>
        <v>VALVULA GLOBO BRONZE 178678/2002 3/4" BSP AT.63MM</v>
      </c>
      <c r="C25130" s="2" t="str">
        <f t="shared" si="992"/>
        <v>UN</v>
      </c>
      <c r="D25130" s="7">
        <v>915</v>
      </c>
      <c r="E25130" s="3">
        <v>10</v>
      </c>
      <c r="F25130" s="2">
        <v>7</v>
      </c>
      <c r="G25130" t="s">
        <v>512</v>
      </c>
    </row>
    <row r="25131" spans="1:7" x14ac:dyDescent="0.25">
      <c r="A25131" s="1" t="str">
        <f>"516947"</f>
        <v>516947</v>
      </c>
      <c r="B25131" s="2" t="str">
        <f>"VALVULA GLOBO INOX 178674/2002 1"" BSP AT.63MM NF"</f>
        <v>VALVULA GLOBO INOX 178674/2002 1" BSP AT.63MM NF</v>
      </c>
      <c r="C25131" s="2" t="str">
        <f t="shared" si="992"/>
        <v>UN</v>
      </c>
      <c r="D25131" s="7">
        <v>912</v>
      </c>
      <c r="E25131" s="3">
        <v>10</v>
      </c>
      <c r="F25131" s="2">
        <v>9</v>
      </c>
      <c r="G25131" t="s">
        <v>516</v>
      </c>
    </row>
    <row r="25132" spans="1:7" x14ac:dyDescent="0.25">
      <c r="A25132" s="1" t="str">
        <f>"524416"</f>
        <v>524416</v>
      </c>
      <c r="B25132" s="2" t="str">
        <f>"VALVULA GLOBO WCB 8"" 150 LBD/FLG"</f>
        <v>VALVULA GLOBO WCB 8" 150 LBD/FLG</v>
      </c>
      <c r="C25132" s="2" t="str">
        <f t="shared" si="992"/>
        <v>UN</v>
      </c>
      <c r="D25132" s="7">
        <v>402</v>
      </c>
      <c r="E25132" s="3">
        <v>4</v>
      </c>
      <c r="F25132" s="2">
        <v>0</v>
      </c>
      <c r="G25132" t="s">
        <v>515</v>
      </c>
    </row>
    <row r="25133" spans="1:7" x14ac:dyDescent="0.25">
      <c r="A25133" s="1" t="str">
        <f>"502414"</f>
        <v>502414</v>
      </c>
      <c r="B25133" s="2" t="str">
        <f>"VALVULA GOVERNADOR"</f>
        <v>VALVULA GOVERNADOR</v>
      </c>
      <c r="C25133" s="2" t="str">
        <f t="shared" si="992"/>
        <v>UN</v>
      </c>
      <c r="D25133" s="7">
        <v>704</v>
      </c>
      <c r="E25133" s="3">
        <v>9</v>
      </c>
      <c r="F25133" s="2">
        <v>0</v>
      </c>
      <c r="G25133" t="s">
        <v>514</v>
      </c>
    </row>
    <row r="25134" spans="1:7" x14ac:dyDescent="0.25">
      <c r="A25134" s="1" t="str">
        <f>"525971"</f>
        <v>525971</v>
      </c>
      <c r="B25134" s="2" t="str">
        <f>"VALVULA HGB KVC15 84818099"</f>
        <v>VALVULA HGB KVC15 84818099</v>
      </c>
      <c r="C25134" s="2" t="str">
        <f t="shared" si="992"/>
        <v>UN</v>
      </c>
      <c r="D25134" s="7">
        <v>901</v>
      </c>
      <c r="E25134" s="3">
        <v>11</v>
      </c>
      <c r="F25134" s="2">
        <v>2</v>
      </c>
      <c r="G25134" t="s">
        <v>512</v>
      </c>
    </row>
    <row r="25135" spans="1:7" x14ac:dyDescent="0.25">
      <c r="A25135" s="1" t="str">
        <f>"517836"</f>
        <v>517836</v>
      </c>
      <c r="B25135" s="2" t="str">
        <f>"VALVULA HIDRA P/ DESCARGA"</f>
        <v>VALVULA HIDRA P/ DESCARGA</v>
      </c>
      <c r="C25135" s="2" t="str">
        <f t="shared" si="992"/>
        <v>UN</v>
      </c>
      <c r="D25135" s="7">
        <v>912</v>
      </c>
      <c r="E25135" s="3">
        <v>10</v>
      </c>
      <c r="F25135" s="2">
        <v>5</v>
      </c>
      <c r="G25135" t="s">
        <v>513</v>
      </c>
    </row>
    <row r="25136" spans="1:7" x14ac:dyDescent="0.25">
      <c r="A25136" s="1" t="str">
        <f>"516141"</f>
        <v>516141</v>
      </c>
      <c r="B25136" s="2" t="str">
        <f>"VALVULA HIDRAULICA 4WE6 D 61/EG 24 N9Z4"</f>
        <v>VALVULA HIDRAULICA 4WE6 D 61/EG 24 N9Z4</v>
      </c>
      <c r="C25136" s="2" t="str">
        <f t="shared" si="992"/>
        <v>UN</v>
      </c>
      <c r="D25136" s="7">
        <v>914</v>
      </c>
      <c r="E25136" s="3">
        <v>11</v>
      </c>
      <c r="F25136" s="2">
        <v>6</v>
      </c>
      <c r="G25136" t="s">
        <v>514</v>
      </c>
    </row>
    <row r="25137" spans="1:7" x14ac:dyDescent="0.25">
      <c r="A25137" s="1" t="str">
        <f>"519623"</f>
        <v>519623</v>
      </c>
      <c r="B25137" s="2" t="str">
        <f>"VALVULA HOMOGENEIZAÇAO APF-6769L"</f>
        <v>VALVULA HOMOGENEIZAÇAO APF-6769L</v>
      </c>
      <c r="C25137" s="2" t="str">
        <f t="shared" si="992"/>
        <v>UN</v>
      </c>
      <c r="D25137" s="7">
        <v>918</v>
      </c>
      <c r="E25137" s="3">
        <v>11</v>
      </c>
      <c r="F25137" s="2">
        <v>9</v>
      </c>
      <c r="G25137" t="s">
        <v>514</v>
      </c>
    </row>
    <row r="25138" spans="1:7" x14ac:dyDescent="0.25">
      <c r="A25138" s="1" t="str">
        <f>"508691"</f>
        <v>508691</v>
      </c>
      <c r="B25138" s="2" t="str">
        <f>"VALVULA HOMOGENEIZAÇAO STELLITE APF-0016"</f>
        <v>VALVULA HOMOGENEIZAÇAO STELLITE APF-0016</v>
      </c>
      <c r="C25138" s="2" t="str">
        <f t="shared" si="992"/>
        <v>UN</v>
      </c>
      <c r="D25138" s="7">
        <v>918</v>
      </c>
      <c r="E25138" s="3">
        <v>11</v>
      </c>
      <c r="F25138" s="2">
        <v>5</v>
      </c>
      <c r="G25138" t="s">
        <v>512</v>
      </c>
    </row>
    <row r="25139" spans="1:7" x14ac:dyDescent="0.25">
      <c r="A25139" s="1" t="str">
        <f>"524640"</f>
        <v>524640</v>
      </c>
      <c r="B25139" s="8" t="s">
        <v>407</v>
      </c>
      <c r="C25139" s="2" t="str">
        <f t="shared" si="992"/>
        <v>UN</v>
      </c>
      <c r="D25139" s="7">
        <v>406</v>
      </c>
      <c r="E25139" s="3">
        <v>13</v>
      </c>
      <c r="F25139" s="2">
        <v>3</v>
      </c>
      <c r="G25139" t="s">
        <v>513</v>
      </c>
    </row>
    <row r="25140" spans="1:7" x14ac:dyDescent="0.25">
      <c r="A25140" s="1" t="str">
        <f>"518179"</f>
        <v>518179</v>
      </c>
      <c r="B25140" s="2" t="str">
        <f>"VALVULA LASTRO DE GAS ALUMINIO G1 2"" R50250"</f>
        <v>VALVULA LASTRO DE GAS ALUMINIO G1 2" R50250</v>
      </c>
      <c r="C25140" s="2" t="str">
        <f t="shared" si="992"/>
        <v>UN</v>
      </c>
      <c r="D25140" s="7">
        <v>918</v>
      </c>
      <c r="E25140" s="3">
        <v>11</v>
      </c>
      <c r="F25140" s="2">
        <v>3</v>
      </c>
      <c r="G25140" t="s">
        <v>514</v>
      </c>
    </row>
    <row r="25141" spans="1:7" x14ac:dyDescent="0.25">
      <c r="A25141" s="1" t="str">
        <f>"510662"</f>
        <v>510662</v>
      </c>
      <c r="B25141" s="2" t="str">
        <f>"VALVULA LFA16-DRW2608-60B/200"</f>
        <v>VALVULA LFA16-DRW2608-60B/200</v>
      </c>
      <c r="C25141" s="2" t="str">
        <f t="shared" si="992"/>
        <v>UN</v>
      </c>
      <c r="D25141" s="7">
        <v>918</v>
      </c>
      <c r="E25141" s="3">
        <v>11</v>
      </c>
      <c r="F25141" s="2">
        <v>2</v>
      </c>
      <c r="G25141" t="s">
        <v>514</v>
      </c>
    </row>
    <row r="25142" spans="1:7" x14ac:dyDescent="0.25">
      <c r="A25142" s="1" t="str">
        <f>"513296"</f>
        <v>513296</v>
      </c>
      <c r="B25142" s="2" t="str">
        <f>"VALVULA LIMITADORA PRESSÃO CAPACETE INCLIN. MAN. 3/4"""</f>
        <v>VALVULA LIMITADORA PRESSÃO CAPACETE INCLIN. MAN. 3/4"</v>
      </c>
      <c r="C25142" s="2" t="str">
        <f t="shared" si="992"/>
        <v>UN</v>
      </c>
      <c r="D25142" s="7">
        <v>916</v>
      </c>
      <c r="E25142" s="3">
        <v>10</v>
      </c>
      <c r="F25142" s="2">
        <v>1</v>
      </c>
      <c r="G25142" t="s">
        <v>514</v>
      </c>
    </row>
    <row r="25143" spans="1:7" x14ac:dyDescent="0.25">
      <c r="A25143" s="1" t="str">
        <f>"506240"</f>
        <v>506240</v>
      </c>
      <c r="B25143" s="2" t="str">
        <f>"VALVULA LUBRIF.MICRO COD.0.101.003.533"</f>
        <v>VALVULA LUBRIF.MICRO COD.0.101.003.533</v>
      </c>
      <c r="C25143" s="2" t="str">
        <f t="shared" si="992"/>
        <v>UN</v>
      </c>
      <c r="D25143" s="7">
        <v>913</v>
      </c>
      <c r="E25143" s="3">
        <v>11</v>
      </c>
      <c r="F25143" s="2">
        <v>4</v>
      </c>
      <c r="G25143" t="s">
        <v>513</v>
      </c>
    </row>
    <row r="25144" spans="1:7" x14ac:dyDescent="0.25">
      <c r="A25144" s="1" t="str">
        <f>"503827"</f>
        <v>503827</v>
      </c>
      <c r="B25144" s="2" t="str">
        <f>"VALVULA MICRO G1/4 0220002522/101 220V"</f>
        <v>VALVULA MICRO G1/4 0220002522/101 220V</v>
      </c>
      <c r="C25144" s="2" t="str">
        <f>"BR"</f>
        <v>BR</v>
      </c>
      <c r="D25144" s="7">
        <v>808</v>
      </c>
      <c r="E25144" s="3">
        <v>10</v>
      </c>
      <c r="F25144" s="2">
        <v>1</v>
      </c>
      <c r="G25144" t="s">
        <v>512</v>
      </c>
    </row>
    <row r="25145" spans="1:7" x14ac:dyDescent="0.25">
      <c r="A25145" s="1" t="str">
        <f>"503779"</f>
        <v>503779</v>
      </c>
      <c r="B25145" s="2" t="str">
        <f>"VALVULA MICRO G1/4 0220002522/102 110V"</f>
        <v>VALVULA MICRO G1/4 0220002522/102 110V</v>
      </c>
      <c r="C25145" s="2" t="str">
        <f>"BR"</f>
        <v>BR</v>
      </c>
      <c r="D25145" s="7">
        <v>808</v>
      </c>
      <c r="E25145" s="3">
        <v>10</v>
      </c>
      <c r="F25145" s="2">
        <v>2</v>
      </c>
      <c r="G25145" t="s">
        <v>513</v>
      </c>
    </row>
    <row r="25146" spans="1:7" x14ac:dyDescent="0.25">
      <c r="A25146" s="1" t="str">
        <f>"503540"</f>
        <v>503540</v>
      </c>
      <c r="B25146" s="2" t="str">
        <f>"VALVULA MICRO G1/4 0220002522/112 24VCC"</f>
        <v>VALVULA MICRO G1/4 0220002522/112 24VCC</v>
      </c>
      <c r="C25146" s="2" t="str">
        <f>"BR"</f>
        <v>BR</v>
      </c>
      <c r="D25146" s="7">
        <v>808</v>
      </c>
      <c r="E25146" s="3">
        <v>10</v>
      </c>
      <c r="F25146" s="2">
        <v>7</v>
      </c>
      <c r="G25146" t="s">
        <v>514</v>
      </c>
    </row>
    <row r="25147" spans="1:7" x14ac:dyDescent="0.25">
      <c r="A25147" s="1" t="str">
        <f>"503975"</f>
        <v>503975</v>
      </c>
      <c r="B25147" s="2" t="str">
        <f>"VALVULA MICRO G1/8 0220002511/101 220V"</f>
        <v>VALVULA MICRO G1/8 0220002511/101 220V</v>
      </c>
      <c r="C25147" s="2" t="str">
        <f>"BR"</f>
        <v>BR</v>
      </c>
      <c r="D25147" s="7">
        <v>808</v>
      </c>
      <c r="E25147" s="3">
        <v>10</v>
      </c>
      <c r="F25147" s="2">
        <v>9</v>
      </c>
      <c r="G25147" t="s">
        <v>514</v>
      </c>
    </row>
    <row r="25148" spans="1:7" x14ac:dyDescent="0.25">
      <c r="A25148" s="1" t="str">
        <f>"517623"</f>
        <v>517623</v>
      </c>
      <c r="B25148" s="2" t="str">
        <f>"VALVULA MICROMETRICA 2 1/2""MNP SMS"</f>
        <v>VALVULA MICROMETRICA 2 1/2"MNP SMS</v>
      </c>
      <c r="C25148" s="2" t="str">
        <f>"UN"</f>
        <v>UN</v>
      </c>
      <c r="D25148" s="7">
        <v>915</v>
      </c>
      <c r="E25148" s="3">
        <v>10</v>
      </c>
      <c r="F25148" s="2">
        <v>0</v>
      </c>
      <c r="G25148" t="s">
        <v>514</v>
      </c>
    </row>
    <row r="25149" spans="1:7" x14ac:dyDescent="0.25">
      <c r="A25149" s="1" t="str">
        <f>"504063"</f>
        <v>504063</v>
      </c>
      <c r="B25149" s="2" t="str">
        <f>"VALVULA MICROMETRICA 2""MNP SMS"</f>
        <v>VALVULA MICROMETRICA 2"MNP SMS</v>
      </c>
      <c r="C25149" s="2" t="str">
        <f>"BR"</f>
        <v>BR</v>
      </c>
      <c r="D25149" s="7">
        <v>807</v>
      </c>
      <c r="E25149" s="3">
        <v>10</v>
      </c>
      <c r="F25149" s="2">
        <v>0</v>
      </c>
      <c r="G25149" t="s">
        <v>513</v>
      </c>
    </row>
    <row r="25150" spans="1:7" x14ac:dyDescent="0.25">
      <c r="A25150" s="1" t="str">
        <f>"510511"</f>
        <v>510511</v>
      </c>
      <c r="B25150" s="2" t="str">
        <f>"VALVULA MICROMETRICA 3""MNP SMS"</f>
        <v>VALVULA MICROMETRICA 3"MNP SMS</v>
      </c>
      <c r="C25150" s="2" t="str">
        <f>"BR"</f>
        <v>BR</v>
      </c>
      <c r="D25150" s="7">
        <v>807</v>
      </c>
      <c r="E25150" s="3">
        <v>10</v>
      </c>
      <c r="F25150" s="2">
        <v>4</v>
      </c>
      <c r="G25150" t="s">
        <v>513</v>
      </c>
    </row>
    <row r="25151" spans="1:7" x14ac:dyDescent="0.25">
      <c r="A25151" s="1" t="str">
        <f>"517594"</f>
        <v>517594</v>
      </c>
      <c r="B25151" s="2" t="str">
        <f>"VALVULA MICROMETRICA 4""MNP SMS"</f>
        <v>VALVULA MICROMETRICA 4"MNP SMS</v>
      </c>
      <c r="C25151" s="2" t="str">
        <f>"UN"</f>
        <v>UN</v>
      </c>
      <c r="D25151" s="7">
        <v>807</v>
      </c>
      <c r="E25151" s="3">
        <v>10</v>
      </c>
      <c r="F25151" s="2">
        <v>1</v>
      </c>
      <c r="G25151" t="s">
        <v>513</v>
      </c>
    </row>
    <row r="25152" spans="1:7" x14ac:dyDescent="0.25">
      <c r="A25152" s="1" t="str">
        <f>"506519"</f>
        <v>506519</v>
      </c>
      <c r="B25152" s="2" t="str">
        <f>"VALVULA MODULADORA SERAC"</f>
        <v>VALVULA MODULADORA SERAC</v>
      </c>
      <c r="C25152" s="2" t="str">
        <f>"UN"</f>
        <v>UN</v>
      </c>
      <c r="D25152" s="7">
        <v>918</v>
      </c>
      <c r="E25152" s="3">
        <v>11</v>
      </c>
      <c r="F25152" s="2">
        <v>2</v>
      </c>
      <c r="G25152" t="s">
        <v>512</v>
      </c>
    </row>
    <row r="25153" spans="1:7" x14ac:dyDescent="0.25">
      <c r="A25153" s="1" t="str">
        <f>"511981"</f>
        <v>511981</v>
      </c>
      <c r="B25153" s="2" t="str">
        <f>"VALVULA NORGREN COD. V61B513A-A219C"</f>
        <v>VALVULA NORGREN COD. V61B513A-A219C</v>
      </c>
      <c r="C25153" s="2" t="str">
        <f>"UN"</f>
        <v>UN</v>
      </c>
      <c r="D25153" s="7">
        <v>913</v>
      </c>
      <c r="E25153" s="3">
        <v>11</v>
      </c>
      <c r="F25153" s="2">
        <v>7</v>
      </c>
      <c r="G25153" t="s">
        <v>513</v>
      </c>
    </row>
    <row r="25154" spans="1:7" x14ac:dyDescent="0.25">
      <c r="A25154" s="1" t="str">
        <f>"500869"</f>
        <v>500869</v>
      </c>
      <c r="B25154" s="2" t="str">
        <f>"VALVULA NORGREN NPT COD.C1025C-00-CE-1"</f>
        <v>VALVULA NORGREN NPT COD.C1025C-00-CE-1</v>
      </c>
      <c r="C25154" s="2" t="str">
        <f>"BR"</f>
        <v>BR</v>
      </c>
      <c r="D25154" s="7">
        <v>808</v>
      </c>
      <c r="E25154" s="3">
        <v>10</v>
      </c>
      <c r="F25154" s="2">
        <v>9</v>
      </c>
      <c r="G25154" t="s">
        <v>514</v>
      </c>
    </row>
    <row r="25155" spans="1:7" x14ac:dyDescent="0.25">
      <c r="A25155" s="1" t="str">
        <f>"522633"</f>
        <v>522633</v>
      </c>
      <c r="B25155" s="8" t="s">
        <v>322</v>
      </c>
      <c r="C25155" s="2" t="str">
        <f>"UN"</f>
        <v>UN</v>
      </c>
      <c r="D25155" s="7">
        <v>913</v>
      </c>
      <c r="E25155" s="3">
        <v>11</v>
      </c>
      <c r="F25155" s="2">
        <v>0</v>
      </c>
      <c r="G25155" t="s">
        <v>515</v>
      </c>
    </row>
    <row r="25156" spans="1:7" x14ac:dyDescent="0.25">
      <c r="A25156" s="1" t="str">
        <f>"510763"</f>
        <v>510763</v>
      </c>
      <c r="B25156" s="2" t="str">
        <f>"VALVULA P/ AMONIA 5"" VASTIN"</f>
        <v>VALVULA P/ AMONIA 5" VASTIN</v>
      </c>
      <c r="C25156" s="2" t="str">
        <f>"BR"</f>
        <v>BR</v>
      </c>
      <c r="D25156" s="7">
        <v>808</v>
      </c>
      <c r="E25156" s="3">
        <v>10</v>
      </c>
      <c r="F25156" s="2">
        <v>0</v>
      </c>
      <c r="G25156" t="s">
        <v>512</v>
      </c>
    </row>
    <row r="25157" spans="1:7" x14ac:dyDescent="0.25">
      <c r="A25157" s="1" t="str">
        <f>"517938"</f>
        <v>517938</v>
      </c>
      <c r="B25157" s="2" t="str">
        <f>"VALVULA P/ CARGA DE GÁS"</f>
        <v>VALVULA P/ CARGA DE GÁS</v>
      </c>
      <c r="C25157" s="2" t="str">
        <f>"UN"</f>
        <v>UN</v>
      </c>
      <c r="D25157" s="7">
        <v>916</v>
      </c>
      <c r="E25157" s="3">
        <v>11</v>
      </c>
      <c r="F25157" s="2">
        <v>2</v>
      </c>
      <c r="G25157" t="s">
        <v>516</v>
      </c>
    </row>
    <row r="25158" spans="1:7" x14ac:dyDescent="0.25">
      <c r="A25158" s="1" t="str">
        <f>"519696"</f>
        <v>519696</v>
      </c>
      <c r="B25158" s="2" t="str">
        <f>"VALVULA P/ INDICADOR DE NIVEL 3/8 X 5/8"</f>
        <v>VALVULA P/ INDICADOR DE NIVEL 3/8 X 5/8</v>
      </c>
      <c r="C25158" s="2" t="str">
        <f>"BR"</f>
        <v>BR</v>
      </c>
      <c r="D25158" s="7">
        <v>808</v>
      </c>
      <c r="E25158" s="3">
        <v>10</v>
      </c>
      <c r="F25158" s="2">
        <v>5</v>
      </c>
      <c r="G25158" t="s">
        <v>515</v>
      </c>
    </row>
    <row r="25159" spans="1:7" x14ac:dyDescent="0.25">
      <c r="A25159" s="1" t="str">
        <f>"519695"</f>
        <v>519695</v>
      </c>
      <c r="B25159" s="2" t="str">
        <f>"VALVULA P/ MANOMETRO 3/8 X 1/2"</f>
        <v>VALVULA P/ MANOMETRO 3/8 X 1/2</v>
      </c>
      <c r="C25159" s="2" t="str">
        <f>"BR"</f>
        <v>BR</v>
      </c>
      <c r="D25159" s="7">
        <v>808</v>
      </c>
      <c r="E25159" s="3">
        <v>10</v>
      </c>
      <c r="F25159" s="2">
        <v>0</v>
      </c>
      <c r="G25159" t="s">
        <v>514</v>
      </c>
    </row>
    <row r="25160" spans="1:7" x14ac:dyDescent="0.25">
      <c r="A25160" s="1" t="str">
        <f>"518522"</f>
        <v>518522</v>
      </c>
      <c r="B25160" s="2" t="str">
        <f>"VALVULA P/ MICTORIO ESTEVES C/ TEMPORIZADOR"</f>
        <v>VALVULA P/ MICTORIO ESTEVES C/ TEMPORIZADOR</v>
      </c>
      <c r="C25160" s="2" t="str">
        <f>"UN"</f>
        <v>UN</v>
      </c>
      <c r="D25160" s="7">
        <v>803</v>
      </c>
      <c r="E25160" s="3">
        <v>10</v>
      </c>
      <c r="F25160" s="2">
        <v>2</v>
      </c>
      <c r="G25160" t="s">
        <v>512</v>
      </c>
    </row>
    <row r="25161" spans="1:7" x14ac:dyDescent="0.25">
      <c r="A25161" s="1" t="str">
        <f>"517620"</f>
        <v>517620</v>
      </c>
      <c r="B25161" s="2" t="str">
        <f>"VALVULA P/ PAINEL SHL-30"</f>
        <v>VALVULA P/ PAINEL SHL-30</v>
      </c>
      <c r="C25161" s="2" t="str">
        <f>"UN"</f>
        <v>UN</v>
      </c>
      <c r="D25161" s="7">
        <v>1003</v>
      </c>
      <c r="E25161" s="3">
        <v>10</v>
      </c>
      <c r="F25161" s="2">
        <v>5</v>
      </c>
      <c r="G25161" t="s">
        <v>513</v>
      </c>
    </row>
    <row r="25162" spans="1:7" x14ac:dyDescent="0.25">
      <c r="A25162" s="1" t="str">
        <f>"515951"</f>
        <v>515951</v>
      </c>
      <c r="B25162" s="2" t="str">
        <f>"VALVULA P/ PNEU S/C DIVERSOS"</f>
        <v>VALVULA P/ PNEU S/C DIVERSOS</v>
      </c>
      <c r="C25162" s="2" t="str">
        <f>"UN"</f>
        <v>UN</v>
      </c>
      <c r="D25162" s="7">
        <v>99999</v>
      </c>
      <c r="E25162" s="3">
        <v>99</v>
      </c>
      <c r="F25162" s="5">
        <v>5</v>
      </c>
      <c r="G25162" t="s">
        <v>514</v>
      </c>
    </row>
    <row r="25163" spans="1:7" x14ac:dyDescent="0.25">
      <c r="A25163" s="1" t="str">
        <f>"514934"</f>
        <v>514934</v>
      </c>
      <c r="B25163" s="2" t="str">
        <f>"VALVULA PARA BEBEDOURO"</f>
        <v>VALVULA PARA BEBEDOURO</v>
      </c>
      <c r="C25163" s="2" t="str">
        <f>"UN"</f>
        <v>UN</v>
      </c>
      <c r="D25163" s="7">
        <v>912</v>
      </c>
      <c r="E25163" s="3">
        <v>4</v>
      </c>
      <c r="F25163" s="2">
        <v>3</v>
      </c>
      <c r="G25163" t="s">
        <v>514</v>
      </c>
    </row>
    <row r="25164" spans="1:7" x14ac:dyDescent="0.25">
      <c r="A25164" s="1" t="str">
        <f>"521102"</f>
        <v>521102</v>
      </c>
      <c r="B25164" s="2" t="str">
        <f>"VÁLVULA PARA DRENO DE OLEO RETORNO AUTOMÁTICO"</f>
        <v>VÁLVULA PARA DRENO DE OLEO RETORNO AUTOMÁTICO</v>
      </c>
      <c r="C25164" s="2" t="str">
        <f>"UN"</f>
        <v>UN</v>
      </c>
      <c r="D25164" s="7">
        <v>912</v>
      </c>
      <c r="E25164" s="3">
        <v>10</v>
      </c>
      <c r="F25164" s="2">
        <v>8</v>
      </c>
      <c r="G25164" t="s">
        <v>512</v>
      </c>
    </row>
    <row r="25165" spans="1:7" x14ac:dyDescent="0.25">
      <c r="A25165" s="1" t="str">
        <f>"500147"</f>
        <v>500147</v>
      </c>
      <c r="B25165" s="2" t="str">
        <f>"VALVULA PARA LAVATORIO CROMADA"</f>
        <v>VALVULA PARA LAVATORIO CROMADA</v>
      </c>
      <c r="C25165" s="2" t="str">
        <f t="shared" ref="C25165:C25176" si="993">"BR"</f>
        <v>BR</v>
      </c>
      <c r="D25165" s="7">
        <v>808</v>
      </c>
      <c r="E25165" s="3">
        <v>10</v>
      </c>
      <c r="F25165" s="2">
        <v>6</v>
      </c>
      <c r="G25165" t="s">
        <v>513</v>
      </c>
    </row>
    <row r="25166" spans="1:7" x14ac:dyDescent="0.25">
      <c r="A25166" s="1" t="str">
        <f>"504271"</f>
        <v>504271</v>
      </c>
      <c r="B25166" s="2" t="str">
        <f>"VALVULA PARKER 5/2 G1/4 MFH-5-1/4"</f>
        <v>VALVULA PARKER 5/2 G1/4 MFH-5-1/4</v>
      </c>
      <c r="C25166" s="2" t="str">
        <f t="shared" si="993"/>
        <v>BR</v>
      </c>
      <c r="D25166" s="7">
        <v>808</v>
      </c>
      <c r="E25166" s="3">
        <v>10</v>
      </c>
      <c r="F25166" s="2">
        <v>4</v>
      </c>
      <c r="G25166" t="s">
        <v>514</v>
      </c>
    </row>
    <row r="25167" spans="1:7" x14ac:dyDescent="0.25">
      <c r="A25167" s="1" t="str">
        <f>"520627"</f>
        <v>520627</v>
      </c>
      <c r="B25167" s="2" t="str">
        <f>"VALVULA PASS. ANGULAR P/ AMONIA 1 1/2"""</f>
        <v>VALVULA PASS. ANGULAR P/ AMONIA 1 1/2"</v>
      </c>
      <c r="C25167" s="2" t="str">
        <f t="shared" si="993"/>
        <v>BR</v>
      </c>
      <c r="D25167" s="7">
        <v>808</v>
      </c>
      <c r="E25167" s="3">
        <v>10</v>
      </c>
      <c r="F25167" s="2">
        <v>1</v>
      </c>
      <c r="G25167" t="s">
        <v>514</v>
      </c>
    </row>
    <row r="25168" spans="1:7" x14ac:dyDescent="0.25">
      <c r="A25168" s="1" t="str">
        <f>"519694"</f>
        <v>519694</v>
      </c>
      <c r="B25168" s="2" t="str">
        <f>"VALVULA PASS. ANGULAR P/ AMONIA 1/2"""</f>
        <v>VALVULA PASS. ANGULAR P/ AMONIA 1/2"</v>
      </c>
      <c r="C25168" s="2" t="str">
        <f t="shared" si="993"/>
        <v>BR</v>
      </c>
      <c r="D25168" s="7">
        <v>808</v>
      </c>
      <c r="E25168" s="3">
        <v>10</v>
      </c>
      <c r="F25168" s="2">
        <v>2</v>
      </c>
      <c r="G25168" t="s">
        <v>514</v>
      </c>
    </row>
    <row r="25169" spans="1:7" x14ac:dyDescent="0.25">
      <c r="A25169" s="1" t="str">
        <f>"520625"</f>
        <v>520625</v>
      </c>
      <c r="B25169" s="2" t="str">
        <f>"VALVULA PASS. ANGULAR P/ AMONIA 3"""</f>
        <v>VALVULA PASS. ANGULAR P/ AMONIA 3"</v>
      </c>
      <c r="C25169" s="2" t="str">
        <f t="shared" si="993"/>
        <v>BR</v>
      </c>
      <c r="D25169" s="7">
        <v>808</v>
      </c>
      <c r="E25169" s="3">
        <v>10</v>
      </c>
      <c r="F25169" s="2">
        <v>7</v>
      </c>
      <c r="G25169" t="s">
        <v>513</v>
      </c>
    </row>
    <row r="25170" spans="1:7" x14ac:dyDescent="0.25">
      <c r="A25170" s="1" t="str">
        <f>"520624"</f>
        <v>520624</v>
      </c>
      <c r="B25170" s="2" t="str">
        <f>"VALVULA PASS. ANGULAR P/ AMONIA 4"""</f>
        <v>VALVULA PASS. ANGULAR P/ AMONIA 4"</v>
      </c>
      <c r="C25170" s="2" t="str">
        <f t="shared" si="993"/>
        <v>BR</v>
      </c>
      <c r="D25170" s="7">
        <v>808</v>
      </c>
      <c r="E25170" s="3">
        <v>10</v>
      </c>
      <c r="F25170" s="2">
        <v>9</v>
      </c>
      <c r="G25170" t="s">
        <v>512</v>
      </c>
    </row>
    <row r="25171" spans="1:7" x14ac:dyDescent="0.25">
      <c r="A25171" s="1" t="str">
        <f>"520623"</f>
        <v>520623</v>
      </c>
      <c r="B25171" s="2" t="str">
        <f>"VALVULA PASS. ANGULAR P/ AMONIA 6"""</f>
        <v>VALVULA PASS. ANGULAR P/ AMONIA 6"</v>
      </c>
      <c r="C25171" s="2" t="str">
        <f t="shared" si="993"/>
        <v>BR</v>
      </c>
      <c r="D25171" s="7">
        <v>808</v>
      </c>
      <c r="E25171" s="3">
        <v>10</v>
      </c>
      <c r="F25171" s="2">
        <v>0</v>
      </c>
      <c r="G25171" t="s">
        <v>513</v>
      </c>
    </row>
    <row r="25172" spans="1:7" x14ac:dyDescent="0.25">
      <c r="A25172" s="1" t="str">
        <f>"520626"</f>
        <v>520626</v>
      </c>
      <c r="B25172" s="2" t="str">
        <f>"VALVULA PASS. ANGULAR P/ AMONIA VANA 3"""</f>
        <v>VALVULA PASS. ANGULAR P/ AMONIA VANA 3"</v>
      </c>
      <c r="C25172" s="2" t="str">
        <f t="shared" si="993"/>
        <v>BR</v>
      </c>
      <c r="D25172" s="7">
        <v>808</v>
      </c>
      <c r="E25172" s="3">
        <v>10</v>
      </c>
      <c r="F25172" s="2">
        <v>0</v>
      </c>
      <c r="G25172" t="s">
        <v>514</v>
      </c>
    </row>
    <row r="25173" spans="1:7" x14ac:dyDescent="0.25">
      <c r="A25173" s="1" t="str">
        <f>"510884"</f>
        <v>510884</v>
      </c>
      <c r="B25173" s="2" t="str">
        <f>"VALVULA PASS. RETA P/ AMONIA 1 1/2"""</f>
        <v>VALVULA PASS. RETA P/ AMONIA 1 1/2"</v>
      </c>
      <c r="C25173" s="2" t="str">
        <f t="shared" si="993"/>
        <v>BR</v>
      </c>
      <c r="D25173" s="7">
        <v>808</v>
      </c>
      <c r="E25173" s="3">
        <v>10</v>
      </c>
      <c r="F25173" s="2">
        <v>2</v>
      </c>
      <c r="G25173" t="s">
        <v>514</v>
      </c>
    </row>
    <row r="25174" spans="1:7" x14ac:dyDescent="0.25">
      <c r="A25174" s="1" t="str">
        <f>"510885"</f>
        <v>510885</v>
      </c>
      <c r="B25174" s="2" t="str">
        <f>"VALVULA PASS. RETA P/ AMONIA 1"""</f>
        <v>VALVULA PASS. RETA P/ AMONIA 1"</v>
      </c>
      <c r="C25174" s="2" t="str">
        <f t="shared" si="993"/>
        <v>BR</v>
      </c>
      <c r="D25174" s="7">
        <v>808</v>
      </c>
      <c r="E25174" s="3">
        <v>10</v>
      </c>
      <c r="F25174" s="2">
        <v>5</v>
      </c>
      <c r="G25174" t="s">
        <v>514</v>
      </c>
    </row>
    <row r="25175" spans="1:7" x14ac:dyDescent="0.25">
      <c r="A25175" s="1" t="str">
        <f>"510887"</f>
        <v>510887</v>
      </c>
      <c r="B25175" s="2" t="str">
        <f>"VALVULA PASS. RETA P/ AMONIA 1/2"""</f>
        <v>VALVULA PASS. RETA P/ AMONIA 1/2"</v>
      </c>
      <c r="C25175" s="2" t="str">
        <f t="shared" si="993"/>
        <v>BR</v>
      </c>
      <c r="D25175" s="7">
        <v>808</v>
      </c>
      <c r="E25175" s="3">
        <v>10</v>
      </c>
      <c r="F25175" s="2">
        <v>6</v>
      </c>
      <c r="G25175" t="s">
        <v>513</v>
      </c>
    </row>
    <row r="25176" spans="1:7" x14ac:dyDescent="0.25">
      <c r="A25176" s="1" t="str">
        <f>"510883"</f>
        <v>510883</v>
      </c>
      <c r="B25176" s="2" t="str">
        <f>"VALVULA PASS. RETA P/ AMONIA 2 1/2"""</f>
        <v>VALVULA PASS. RETA P/ AMONIA 2 1/2"</v>
      </c>
      <c r="C25176" s="2" t="str">
        <f t="shared" si="993"/>
        <v>BR</v>
      </c>
      <c r="D25176" s="7">
        <v>808</v>
      </c>
      <c r="E25176" s="3">
        <v>10</v>
      </c>
      <c r="F25176" s="2">
        <v>9</v>
      </c>
      <c r="G25176" t="s">
        <v>513</v>
      </c>
    </row>
    <row r="25177" spans="1:7" x14ac:dyDescent="0.25">
      <c r="A25177" s="1" t="str">
        <f>"507799"</f>
        <v>507799</v>
      </c>
      <c r="B25177" s="2" t="str">
        <f>"VALVULA PASS. RETA P/ AMONIA 2"""</f>
        <v>VALVULA PASS. RETA P/ AMONIA 2"</v>
      </c>
      <c r="C25177" s="2" t="str">
        <f>"UN"</f>
        <v>UN</v>
      </c>
      <c r="D25177" s="7">
        <v>918</v>
      </c>
      <c r="E25177" s="3">
        <v>11</v>
      </c>
      <c r="F25177" s="2">
        <v>5</v>
      </c>
      <c r="G25177" t="s">
        <v>513</v>
      </c>
    </row>
    <row r="25178" spans="1:7" x14ac:dyDescent="0.25">
      <c r="A25178" s="1" t="str">
        <f>"510922"</f>
        <v>510922</v>
      </c>
      <c r="B25178" s="2" t="str">
        <f>"VALVULA PASS. RETA P/ AMONIA 3"""</f>
        <v>VALVULA PASS. RETA P/ AMONIA 3"</v>
      </c>
      <c r="C25178" s="2" t="str">
        <f>"BR"</f>
        <v>BR</v>
      </c>
      <c r="D25178" s="7">
        <v>808</v>
      </c>
      <c r="E25178" s="3">
        <v>10</v>
      </c>
      <c r="F25178" s="2">
        <v>3</v>
      </c>
      <c r="G25178" t="s">
        <v>512</v>
      </c>
    </row>
    <row r="25179" spans="1:7" x14ac:dyDescent="0.25">
      <c r="A25179" s="1" t="str">
        <f>"510886"</f>
        <v>510886</v>
      </c>
      <c r="B25179" s="2" t="str">
        <f>"VALVULA PASS. RETA P/ AMONIA 3/4"""</f>
        <v>VALVULA PASS. RETA P/ AMONIA 3/4"</v>
      </c>
      <c r="C25179" s="2" t="str">
        <f>"BR"</f>
        <v>BR</v>
      </c>
      <c r="D25179" s="7">
        <v>808</v>
      </c>
      <c r="E25179" s="3">
        <v>10</v>
      </c>
      <c r="F25179" s="2">
        <v>3</v>
      </c>
      <c r="G25179" t="s">
        <v>513</v>
      </c>
    </row>
    <row r="25180" spans="1:7" x14ac:dyDescent="0.25">
      <c r="A25180" s="1" t="str">
        <f>"516216"</f>
        <v>516216</v>
      </c>
      <c r="B25180" s="2" t="str">
        <f>"VALVULA PASS. RETA P/ AMONIA 4"""</f>
        <v>VALVULA PASS. RETA P/ AMONIA 4"</v>
      </c>
      <c r="C25180" s="2" t="str">
        <f>"UN"</f>
        <v>UN</v>
      </c>
      <c r="D25180" s="7">
        <v>916</v>
      </c>
      <c r="E25180" s="3">
        <v>10</v>
      </c>
      <c r="F25180" s="2">
        <v>2</v>
      </c>
      <c r="G25180" t="s">
        <v>514</v>
      </c>
    </row>
    <row r="25181" spans="1:7" x14ac:dyDescent="0.25">
      <c r="A25181" s="1" t="str">
        <f>"510882"</f>
        <v>510882</v>
      </c>
      <c r="B25181" s="2" t="str">
        <f>"VALVULA PASS. RETA P/ AMONIA 5"""</f>
        <v>VALVULA PASS. RETA P/ AMONIA 5"</v>
      </c>
      <c r="C25181" s="2" t="str">
        <f>"BR"</f>
        <v>BR</v>
      </c>
      <c r="D25181" s="7">
        <v>808</v>
      </c>
      <c r="E25181" s="3">
        <v>10</v>
      </c>
      <c r="F25181" s="2">
        <v>1</v>
      </c>
      <c r="G25181" t="s">
        <v>515</v>
      </c>
    </row>
    <row r="25182" spans="1:7" x14ac:dyDescent="0.25">
      <c r="A25182" s="1" t="str">
        <f>"517816"</f>
        <v>517816</v>
      </c>
      <c r="B25182" s="2" t="str">
        <f>"VALVULA PÉ ACENTO DUPLO 1 1/2"""</f>
        <v>VALVULA PÉ ACENTO DUPLO 1 1/2"</v>
      </c>
      <c r="C25182" s="2" t="str">
        <f>"UN"</f>
        <v>UN</v>
      </c>
      <c r="D25182" s="7">
        <v>912</v>
      </c>
      <c r="E25182" s="3">
        <v>10</v>
      </c>
      <c r="F25182" s="2">
        <v>4</v>
      </c>
      <c r="G25182" t="s">
        <v>512</v>
      </c>
    </row>
    <row r="25183" spans="1:7" x14ac:dyDescent="0.25">
      <c r="A25183" s="1" t="str">
        <f>"510389"</f>
        <v>510389</v>
      </c>
      <c r="B25183" s="2" t="str">
        <f>"VALVULA PERFURADORA"</f>
        <v>VALVULA PERFURADORA</v>
      </c>
      <c r="C25183" s="2" t="str">
        <f>"UN"</f>
        <v>UN</v>
      </c>
      <c r="D25183" s="7">
        <v>918</v>
      </c>
      <c r="E25183" s="3">
        <v>11</v>
      </c>
      <c r="F25183" s="2">
        <v>6</v>
      </c>
      <c r="G25183" t="s">
        <v>516</v>
      </c>
    </row>
    <row r="25184" spans="1:7" x14ac:dyDescent="0.25">
      <c r="A25184" s="1" t="str">
        <f>"511041"</f>
        <v>511041</v>
      </c>
      <c r="B25184" s="2" t="str">
        <f>"VALVULA PIA DE BANHEIRO"</f>
        <v>VALVULA PIA DE BANHEIRO</v>
      </c>
      <c r="C25184" s="2" t="str">
        <f>"BR"</f>
        <v>BR</v>
      </c>
      <c r="D25184" s="7">
        <v>808</v>
      </c>
      <c r="E25184" s="3">
        <v>10</v>
      </c>
      <c r="F25184" s="2">
        <v>8</v>
      </c>
      <c r="G25184" t="s">
        <v>515</v>
      </c>
    </row>
    <row r="25185" spans="1:7" x14ac:dyDescent="0.25">
      <c r="A25185" s="1" t="str">
        <f>"512259"</f>
        <v>512259</v>
      </c>
      <c r="B25185" s="2" t="str">
        <f>"VALVULA PIA DE COZINHA"</f>
        <v>VALVULA PIA DE COZINHA</v>
      </c>
      <c r="C25185" s="2" t="str">
        <f>"BR"</f>
        <v>BR</v>
      </c>
      <c r="D25185" s="7">
        <v>809</v>
      </c>
      <c r="E25185" s="3">
        <v>10</v>
      </c>
      <c r="F25185" s="2">
        <v>7</v>
      </c>
      <c r="G25185" t="s">
        <v>514</v>
      </c>
    </row>
    <row r="25186" spans="1:7" x14ac:dyDescent="0.25">
      <c r="A25186" s="1" t="str">
        <f>"510421"</f>
        <v>510421</v>
      </c>
      <c r="B25186" s="2" t="str">
        <f>"VALVULA PICO VALVE 4W C/ BOBINA CIJ400"</f>
        <v>VALVULA PICO VALVE 4W C/ BOBINA CIJ400</v>
      </c>
      <c r="C25186" s="2" t="str">
        <f>"UN"</f>
        <v>UN</v>
      </c>
      <c r="D25186" s="7">
        <v>918</v>
      </c>
      <c r="E25186" s="3">
        <v>11</v>
      </c>
      <c r="F25186" s="2">
        <v>6</v>
      </c>
      <c r="G25186" t="s">
        <v>512</v>
      </c>
    </row>
    <row r="25187" spans="1:7" x14ac:dyDescent="0.25">
      <c r="A25187" s="1" t="str">
        <f>"518258"</f>
        <v>518258</v>
      </c>
      <c r="B25187" s="2" t="str">
        <f>"VALVULA PLUS. (FERRO) ""SUB-CONJUNTO"" SBV250135 SELOVAC"</f>
        <v>VALVULA PLUS. (FERRO) "SUB-CONJUNTO" SBV250135 SELOVAC</v>
      </c>
      <c r="C25187" s="2" t="str">
        <f>"UN"</f>
        <v>UN</v>
      </c>
      <c r="D25187" s="7">
        <v>918</v>
      </c>
      <c r="E25187" s="3">
        <v>11</v>
      </c>
      <c r="F25187" s="2">
        <v>6</v>
      </c>
      <c r="G25187" t="s">
        <v>513</v>
      </c>
    </row>
    <row r="25188" spans="1:7" x14ac:dyDescent="0.25">
      <c r="A25188" s="1" t="str">
        <f>"507819"</f>
        <v>507819</v>
      </c>
      <c r="B25188" s="2" t="str">
        <f>"VALVULA PM REGULADORA PRESSÃO 4"""</f>
        <v>VALVULA PM REGULADORA PRESSÃO 4"</v>
      </c>
      <c r="C25188" s="2" t="str">
        <f>"UN"</f>
        <v>UN</v>
      </c>
      <c r="D25188" s="7">
        <v>918</v>
      </c>
      <c r="E25188" s="3">
        <v>11</v>
      </c>
      <c r="F25188" s="2">
        <v>2</v>
      </c>
      <c r="G25188" t="s">
        <v>514</v>
      </c>
    </row>
    <row r="25189" spans="1:7" x14ac:dyDescent="0.25">
      <c r="A25189" s="1" t="str">
        <f>"508035"</f>
        <v>508035</v>
      </c>
      <c r="B25189" s="2" t="str">
        <f>"VALVULA PNEUMATICA AR/MOLA 2NP SMS 304 EPDM 2"""</f>
        <v>VALVULA PNEUMATICA AR/MOLA 2NP SMS 304 EPDM 2"</v>
      </c>
      <c r="C25189" s="2" t="str">
        <f>"BR"</f>
        <v>BR</v>
      </c>
      <c r="D25189" s="7">
        <v>808</v>
      </c>
      <c r="E25189" s="3">
        <v>10</v>
      </c>
      <c r="F25189" s="2">
        <v>1</v>
      </c>
      <c r="G25189" t="s">
        <v>514</v>
      </c>
    </row>
    <row r="25190" spans="1:7" x14ac:dyDescent="0.25">
      <c r="A25190" s="1" t="str">
        <f>"501094"</f>
        <v>501094</v>
      </c>
      <c r="B25190" s="2" t="str">
        <f>"VALVULA PNEUMATICA AR/MOLA MNP SMS 1"" NORMAL FECHADA"</f>
        <v>VALVULA PNEUMATICA AR/MOLA MNP SMS 1" NORMAL FECHADA</v>
      </c>
      <c r="C25190" s="2" t="str">
        <f>"UN"</f>
        <v>UN</v>
      </c>
      <c r="D25190" s="7">
        <v>915</v>
      </c>
      <c r="E25190" s="3">
        <v>10</v>
      </c>
      <c r="F25190" s="2">
        <v>0</v>
      </c>
      <c r="G25190" t="s">
        <v>512</v>
      </c>
    </row>
    <row r="25191" spans="1:7" x14ac:dyDescent="0.25">
      <c r="A25191" s="1" t="str">
        <f>"501095"</f>
        <v>501095</v>
      </c>
      <c r="B25191" s="2" t="str">
        <f>"VALVULA PNEUMATICA AR/MOLA MNP SMS 2"" NORMAL FECHADA"</f>
        <v>VALVULA PNEUMATICA AR/MOLA MNP SMS 2" NORMAL FECHADA</v>
      </c>
      <c r="C25191" s="2" t="str">
        <f>"UN"</f>
        <v>UN</v>
      </c>
      <c r="D25191" s="7">
        <v>915</v>
      </c>
      <c r="E25191" s="3">
        <v>10</v>
      </c>
      <c r="F25191" s="2">
        <v>0</v>
      </c>
      <c r="G25191" t="s">
        <v>513</v>
      </c>
    </row>
    <row r="25192" spans="1:7" x14ac:dyDescent="0.25">
      <c r="A25192" s="1" t="str">
        <f>"525209"</f>
        <v>525209</v>
      </c>
      <c r="B25192" s="2" t="str">
        <f>"VALVULA PPUG ISO4400 M16 - 4POLOS"</f>
        <v>VALVULA PPUG ISO4400 M16 - 4POLOS</v>
      </c>
      <c r="C25192" s="2" t="str">
        <f>"UN"</f>
        <v>UN</v>
      </c>
      <c r="D25192" s="7">
        <v>900</v>
      </c>
      <c r="E25192" s="3">
        <v>8</v>
      </c>
      <c r="F25192" s="2">
        <v>0</v>
      </c>
      <c r="G25192" t="s">
        <v>514</v>
      </c>
    </row>
    <row r="25193" spans="1:7" x14ac:dyDescent="0.25">
      <c r="A25193" s="1" t="str">
        <f>"512780"</f>
        <v>512780</v>
      </c>
      <c r="B25193" s="2" t="str">
        <f>"VALVULA PRIMARIA 125316 APV CUBE 4600 APF-3209"</f>
        <v>VALVULA PRIMARIA 125316 APV CUBE 4600 APF-3209</v>
      </c>
      <c r="C25193" s="2" t="str">
        <f>"UN"</f>
        <v>UN</v>
      </c>
      <c r="D25193" s="7">
        <v>918</v>
      </c>
      <c r="E25193" s="3">
        <v>11</v>
      </c>
      <c r="F25193" s="2">
        <v>3</v>
      </c>
      <c r="G25193" t="s">
        <v>514</v>
      </c>
    </row>
    <row r="25194" spans="1:7" x14ac:dyDescent="0.25">
      <c r="A25194" s="1" t="str">
        <f>"516649"</f>
        <v>516649</v>
      </c>
      <c r="B25194" s="2" t="str">
        <f>"VALVULA PRIMEIRO ESTAG. APF 6768 RANNIE 132T-70.140"</f>
        <v>VALVULA PRIMEIRO ESTAG. APF 6768 RANNIE 132T-70.140</v>
      </c>
      <c r="C25194" s="2" t="str">
        <f>"UN"</f>
        <v>UN</v>
      </c>
      <c r="D25194" s="7">
        <v>918</v>
      </c>
      <c r="E25194" s="3">
        <v>11</v>
      </c>
      <c r="F25194" s="5">
        <v>5</v>
      </c>
      <c r="G25194" t="s">
        <v>514</v>
      </c>
    </row>
    <row r="25195" spans="1:7" x14ac:dyDescent="0.25">
      <c r="A25195" s="1" t="str">
        <f>"502519"</f>
        <v>502519</v>
      </c>
      <c r="B25195" s="2" t="str">
        <f>"VALVULA QUEBRA VACUO DE 1"""</f>
        <v>VALVULA QUEBRA VACUO DE 1"</v>
      </c>
      <c r="C25195" s="2" t="str">
        <f>"BR"</f>
        <v>BR</v>
      </c>
      <c r="D25195" s="7">
        <v>808</v>
      </c>
      <c r="E25195" s="3">
        <v>10</v>
      </c>
      <c r="F25195" s="2">
        <v>3</v>
      </c>
      <c r="G25195" t="s">
        <v>513</v>
      </c>
    </row>
    <row r="25196" spans="1:7" x14ac:dyDescent="0.25">
      <c r="A25196" s="1" t="str">
        <f>"508466"</f>
        <v>508466</v>
      </c>
      <c r="B25196" s="2" t="str">
        <f>"VALVULA REDUTORA PRESSAO BSP 1"" REF. PRV17"</f>
        <v>VALVULA REDUTORA PRESSAO BSP 1" REF. PRV17</v>
      </c>
      <c r="C25196" s="2" t="str">
        <f>"UN"</f>
        <v>UN</v>
      </c>
      <c r="D25196" s="7">
        <v>912</v>
      </c>
      <c r="E25196" s="3">
        <v>11</v>
      </c>
      <c r="F25196" s="2">
        <v>8</v>
      </c>
      <c r="G25196" t="s">
        <v>512</v>
      </c>
    </row>
    <row r="25197" spans="1:7" x14ac:dyDescent="0.25">
      <c r="A25197" s="1" t="str">
        <f>"516217"</f>
        <v>516217</v>
      </c>
      <c r="B25197" s="2" t="str">
        <f>"VALVULA REG PRES BSP 3/4"" 0 A 10KG"</f>
        <v>VALVULA REG PRES BSP 3/4" 0 A 10KG</v>
      </c>
      <c r="C25197" s="2" t="str">
        <f>"UN"</f>
        <v>UN</v>
      </c>
      <c r="D25197" s="7">
        <v>912</v>
      </c>
      <c r="E25197" s="3">
        <v>10</v>
      </c>
      <c r="F25197" s="2">
        <v>6</v>
      </c>
      <c r="G25197" t="s">
        <v>513</v>
      </c>
    </row>
    <row r="25198" spans="1:7" x14ac:dyDescent="0.25">
      <c r="A25198" s="1" t="str">
        <f>"511530"</f>
        <v>511530</v>
      </c>
      <c r="B25198" s="2" t="str">
        <f>"VALVULA REG PRES BSP 3/4"" 12 X 4KG"</f>
        <v>VALVULA REG PRES BSP 3/4" 12 X 4KG</v>
      </c>
      <c r="C25198" s="2" t="str">
        <f>"BR"</f>
        <v>BR</v>
      </c>
      <c r="D25198" s="7">
        <v>808</v>
      </c>
      <c r="E25198" s="3">
        <v>10</v>
      </c>
      <c r="F25198" s="2">
        <v>4</v>
      </c>
      <c r="G25198" t="s">
        <v>514</v>
      </c>
    </row>
    <row r="25199" spans="1:7" x14ac:dyDescent="0.25">
      <c r="A25199" s="1" t="str">
        <f>"509993"</f>
        <v>509993</v>
      </c>
      <c r="B25199" s="2" t="str">
        <f>"VALVULA REG PRESSAO 3VIAS APC 2925R"</f>
        <v>VALVULA REG PRESSAO 3VIAS APC 2925R</v>
      </c>
      <c r="C25199" s="2" t="str">
        <f t="shared" ref="C25199:C25204" si="994">"UN"</f>
        <v>UN</v>
      </c>
      <c r="D25199" s="7">
        <v>918</v>
      </c>
      <c r="E25199" s="3">
        <v>11</v>
      </c>
      <c r="F25199" s="2">
        <v>1</v>
      </c>
      <c r="G25199" t="s">
        <v>514</v>
      </c>
    </row>
    <row r="25200" spans="1:7" x14ac:dyDescent="0.25">
      <c r="A25200" s="1" t="str">
        <f>"509377"</f>
        <v>509377</v>
      </c>
      <c r="B25200" s="2" t="str">
        <f>"VALVULA REG PRESSAO BRV 2S 3/4 SPSC BSP"</f>
        <v>VALVULA REG PRESSAO BRV 2S 3/4 SPSC BSP</v>
      </c>
      <c r="C25200" s="2" t="str">
        <f t="shared" si="994"/>
        <v>UN</v>
      </c>
      <c r="D25200" s="7">
        <v>912</v>
      </c>
      <c r="E25200" s="3">
        <v>11</v>
      </c>
      <c r="F25200" s="2">
        <v>2</v>
      </c>
      <c r="G25200" t="s">
        <v>514</v>
      </c>
    </row>
    <row r="25201" spans="1:7" x14ac:dyDescent="0.25">
      <c r="A25201" s="1" t="str">
        <f>"527822"</f>
        <v>527822</v>
      </c>
      <c r="B25201" s="2" t="str">
        <f>"VALVULA REG PROPORCIONAL VPPE-3-1-1/8-10-420-E1"</f>
        <v>VALVULA REG PROPORCIONAL VPPE-3-1-1/8-10-420-E1</v>
      </c>
      <c r="C25201" s="2" t="str">
        <f t="shared" si="994"/>
        <v>UN</v>
      </c>
      <c r="D25201" s="7">
        <v>912</v>
      </c>
      <c r="E25201" s="3">
        <v>10</v>
      </c>
      <c r="F25201" s="2">
        <v>7</v>
      </c>
      <c r="G25201" t="s">
        <v>513</v>
      </c>
    </row>
    <row r="25202" spans="1:7" x14ac:dyDescent="0.25">
      <c r="A25202" s="1" t="str">
        <f>"520764"</f>
        <v>520764</v>
      </c>
      <c r="B25202" s="8" t="s">
        <v>183</v>
      </c>
      <c r="C25202" s="2" t="str">
        <f t="shared" si="994"/>
        <v>UN</v>
      </c>
      <c r="D25202" s="7">
        <v>916</v>
      </c>
      <c r="E25202" s="3">
        <v>10</v>
      </c>
      <c r="F25202" s="2">
        <v>9</v>
      </c>
      <c r="G25202" t="s">
        <v>513</v>
      </c>
    </row>
    <row r="25203" spans="1:7" x14ac:dyDescent="0.25">
      <c r="A25203" s="1" t="str">
        <f>"519040"</f>
        <v>519040</v>
      </c>
      <c r="B25203" s="2" t="str">
        <f>"VALVULA REG. PRESS. OLEO - 100"</f>
        <v>VALVULA REG. PRESS. OLEO - 100</v>
      </c>
      <c r="C25203" s="2" t="str">
        <f t="shared" si="994"/>
        <v>UN</v>
      </c>
      <c r="D25203" s="7">
        <v>918</v>
      </c>
      <c r="E25203" s="3">
        <v>11</v>
      </c>
      <c r="F25203" s="2">
        <v>0</v>
      </c>
      <c r="G25203" t="s">
        <v>513</v>
      </c>
    </row>
    <row r="25204" spans="1:7" x14ac:dyDescent="0.25">
      <c r="A25204" s="1" t="str">
        <f>"510041"</f>
        <v>510041</v>
      </c>
      <c r="B25204" s="2" t="str">
        <f>"VALVULA REG. PRESS. OLEO - 65"</f>
        <v>VALVULA REG. PRESS. OLEO - 65</v>
      </c>
      <c r="C25204" s="2" t="str">
        <f t="shared" si="994"/>
        <v>UN</v>
      </c>
      <c r="D25204" s="7">
        <v>918</v>
      </c>
      <c r="E25204" s="3">
        <v>11</v>
      </c>
      <c r="F25204" s="2">
        <v>0</v>
      </c>
      <c r="G25204" t="s">
        <v>512</v>
      </c>
    </row>
    <row r="25205" spans="1:7" x14ac:dyDescent="0.25">
      <c r="A25205" s="1" t="str">
        <f>"526753"</f>
        <v>526753</v>
      </c>
      <c r="B25205" s="2" t="str">
        <f>"VALVULA REG.PROPOR VPPM-6L-L-1-G18-0L6H-A4P-C1"</f>
        <v>VALVULA REG.PROPOR VPPM-6L-L-1-G18-0L6H-A4P-C1</v>
      </c>
      <c r="C25205" s="2" t="str">
        <f>"PÇ"</f>
        <v>PÇ</v>
      </c>
      <c r="D25205" s="7">
        <v>808</v>
      </c>
      <c r="E25205" s="3">
        <v>11</v>
      </c>
      <c r="F25205" s="2">
        <v>2</v>
      </c>
      <c r="G25205" t="s">
        <v>513</v>
      </c>
    </row>
    <row r="25206" spans="1:7" x14ac:dyDescent="0.25">
      <c r="A25206" s="1" t="str">
        <f>"504274"</f>
        <v>504274</v>
      </c>
      <c r="B25206" s="2" t="str">
        <f>"VALVULA REGUL FESTO G1/4 8MM  COD.534339"</f>
        <v>VALVULA REGUL FESTO G1/4 8MM  COD.534339</v>
      </c>
      <c r="C25206" s="2" t="str">
        <f>"BR"</f>
        <v>BR</v>
      </c>
      <c r="D25206" s="7">
        <v>808</v>
      </c>
      <c r="E25206" s="3">
        <v>10</v>
      </c>
      <c r="F25206" s="2">
        <v>5</v>
      </c>
      <c r="G25206" t="s">
        <v>514</v>
      </c>
    </row>
    <row r="25207" spans="1:7" x14ac:dyDescent="0.25">
      <c r="A25207" s="1" t="str">
        <f>"504275"</f>
        <v>504275</v>
      </c>
      <c r="B25207" s="2" t="str">
        <f>"VALVULA REGUL FESTO G1/4 G1/4"</f>
        <v>VALVULA REGUL FESTO G1/4 G1/4</v>
      </c>
      <c r="C25207" s="2" t="str">
        <f>"BR"</f>
        <v>BR</v>
      </c>
      <c r="D25207" s="7">
        <v>808</v>
      </c>
      <c r="E25207" s="3">
        <v>10</v>
      </c>
      <c r="F25207" s="2">
        <v>6</v>
      </c>
      <c r="G25207" t="s">
        <v>515</v>
      </c>
    </row>
    <row r="25208" spans="1:7" x14ac:dyDescent="0.25">
      <c r="A25208" s="1" t="str">
        <f>"510059"</f>
        <v>510059</v>
      </c>
      <c r="B25208" s="2" t="str">
        <f>"VALVULA REGULADORA APC-2925"</f>
        <v>VALVULA REGULADORA APC-2925</v>
      </c>
      <c r="C25208" s="2" t="str">
        <f>"UN"</f>
        <v>UN</v>
      </c>
      <c r="D25208" s="7">
        <v>918</v>
      </c>
      <c r="E25208" s="3">
        <v>11</v>
      </c>
      <c r="F25208" s="2">
        <v>9</v>
      </c>
      <c r="G25208" t="s">
        <v>512</v>
      </c>
    </row>
    <row r="25209" spans="1:7" x14ac:dyDescent="0.25">
      <c r="A25209" s="1" t="str">
        <f>"522806"</f>
        <v>522806</v>
      </c>
      <c r="B25209" s="8" t="s">
        <v>338</v>
      </c>
      <c r="C25209" s="2" t="str">
        <f>"UN"</f>
        <v>UN</v>
      </c>
      <c r="D25209" s="7">
        <v>501</v>
      </c>
      <c r="E25209" s="3">
        <v>13</v>
      </c>
      <c r="F25209" s="2">
        <v>5</v>
      </c>
      <c r="G25209" t="s">
        <v>516</v>
      </c>
    </row>
    <row r="25210" spans="1:7" x14ac:dyDescent="0.25">
      <c r="A25210" s="1" t="str">
        <f>"502493"</f>
        <v>502493</v>
      </c>
      <c r="B25210" s="2" t="str">
        <f>"VALVULA REGULADORA ESCAPE PNEUMATICO 1/2"</f>
        <v>VALVULA REGULADORA ESCAPE PNEUMATICO 1/2</v>
      </c>
      <c r="C25210" s="2" t="str">
        <f>"BR"</f>
        <v>BR</v>
      </c>
      <c r="D25210" s="7">
        <v>808</v>
      </c>
      <c r="E25210" s="3">
        <v>10</v>
      </c>
      <c r="F25210" s="2">
        <v>3</v>
      </c>
      <c r="G25210" t="s">
        <v>515</v>
      </c>
    </row>
    <row r="25211" spans="1:7" x14ac:dyDescent="0.25">
      <c r="A25211" s="1" t="str">
        <f>"511231"</f>
        <v>511231</v>
      </c>
      <c r="B25211" s="2" t="str">
        <f>"VALVULA REGULADORA GRLA 3/8-B"</f>
        <v>VALVULA REGULADORA GRLA 3/8-B</v>
      </c>
      <c r="C25211" s="2" t="str">
        <f>"UN"</f>
        <v>UN</v>
      </c>
      <c r="D25211" s="7">
        <v>913</v>
      </c>
      <c r="E25211" s="3">
        <v>11</v>
      </c>
      <c r="F25211" s="2">
        <v>3</v>
      </c>
      <c r="G25211" t="s">
        <v>514</v>
      </c>
    </row>
    <row r="25212" spans="1:7" x14ac:dyDescent="0.25">
      <c r="A25212" s="1" t="str">
        <f>"522837"</f>
        <v>522837</v>
      </c>
      <c r="B25212" s="2" t="str">
        <f>"VALVULA RET. DN6 DUPLA PORTINHOLA CARBONO DISCO AISI304 EPDM"</f>
        <v>VALVULA RET. DN6 DUPLA PORTINHOLA CARBONO DISCO AISI304 EPDM</v>
      </c>
      <c r="C25212" s="2" t="str">
        <f>"BR"</f>
        <v>BR</v>
      </c>
      <c r="D25212" s="7">
        <v>808</v>
      </c>
      <c r="E25212" s="3">
        <v>10</v>
      </c>
      <c r="F25212" s="2">
        <v>2</v>
      </c>
      <c r="G25212" t="s">
        <v>512</v>
      </c>
    </row>
    <row r="25213" spans="1:7" x14ac:dyDescent="0.25">
      <c r="A25213" s="1" t="str">
        <f>"508034"</f>
        <v>508034</v>
      </c>
      <c r="B25213" s="2" t="str">
        <f>"VALVULA RETENÇAO 1 1/2"" BSP - METAL"</f>
        <v>VALVULA RETENÇAO 1 1/2" BSP - METAL</v>
      </c>
      <c r="C25213" s="2" t="str">
        <f>"BR"</f>
        <v>BR</v>
      </c>
      <c r="D25213" s="7">
        <v>808</v>
      </c>
      <c r="E25213" s="3">
        <v>10</v>
      </c>
      <c r="F25213" s="2">
        <v>1</v>
      </c>
      <c r="G25213" t="s">
        <v>513</v>
      </c>
    </row>
    <row r="25214" spans="1:7" x14ac:dyDescent="0.25">
      <c r="A25214" s="1" t="str">
        <f>"526903"</f>
        <v>526903</v>
      </c>
      <c r="B25214" s="2" t="str">
        <f>"VALVULA RETENÇÃO DN3 107954508"</f>
        <v>VALVULA RETENÇÃO DN3 107954508</v>
      </c>
      <c r="C25214" s="2" t="str">
        <f t="shared" ref="C25214:C25221" si="995">"UN"</f>
        <v>UN</v>
      </c>
      <c r="D25214" s="7">
        <v>918</v>
      </c>
      <c r="E25214" s="3">
        <v>11</v>
      </c>
      <c r="F25214" s="2">
        <v>4</v>
      </c>
      <c r="G25214" t="s">
        <v>514</v>
      </c>
    </row>
    <row r="25215" spans="1:7" x14ac:dyDescent="0.25">
      <c r="A25215" s="1" t="str">
        <f>"522634"</f>
        <v>522634</v>
      </c>
      <c r="B25215" s="2" t="str">
        <f>"VALVULA RETENCÃO HGL-1/2-B"</f>
        <v>VALVULA RETENCÃO HGL-1/2-B</v>
      </c>
      <c r="C25215" s="2" t="str">
        <f t="shared" si="995"/>
        <v>UN</v>
      </c>
      <c r="D25215" s="7">
        <v>913</v>
      </c>
      <c r="E25215" s="3">
        <v>11</v>
      </c>
      <c r="F25215" s="2">
        <v>1</v>
      </c>
      <c r="G25215" t="s">
        <v>514</v>
      </c>
    </row>
    <row r="25216" spans="1:7" x14ac:dyDescent="0.25">
      <c r="A25216" s="1" t="str">
        <f>"524408"</f>
        <v>524408</v>
      </c>
      <c r="B25216" s="2" t="str">
        <f>"VALVULA RETENCÃO HGL-1/4-B"</f>
        <v>VALVULA RETENCÃO HGL-1/4-B</v>
      </c>
      <c r="C25216" s="2" t="str">
        <f t="shared" si="995"/>
        <v>UN</v>
      </c>
      <c r="D25216" s="7">
        <v>913</v>
      </c>
      <c r="E25216" s="3">
        <v>11</v>
      </c>
      <c r="F25216" s="2">
        <v>2</v>
      </c>
      <c r="G25216" t="s">
        <v>512</v>
      </c>
    </row>
    <row r="25217" spans="1:7" x14ac:dyDescent="0.25">
      <c r="A25217" s="1" t="str">
        <f>"523157"</f>
        <v>523157</v>
      </c>
      <c r="B25217" s="8" t="s">
        <v>363</v>
      </c>
      <c r="C25217" s="2" t="str">
        <f t="shared" si="995"/>
        <v>UN</v>
      </c>
      <c r="D25217" s="7">
        <v>901</v>
      </c>
      <c r="E25217" s="3">
        <v>10</v>
      </c>
      <c r="F25217" s="2">
        <v>7</v>
      </c>
      <c r="G25217" t="s">
        <v>513</v>
      </c>
    </row>
    <row r="25218" spans="1:7" x14ac:dyDescent="0.25">
      <c r="A25218" s="1" t="str">
        <f>"524832"</f>
        <v>524832</v>
      </c>
      <c r="B25218" s="2" t="str">
        <f>"VALVULA RETENCAO HORIZONTAL 1 1/2"""</f>
        <v>VALVULA RETENCAO HORIZONTAL 1 1/2"</v>
      </c>
      <c r="C25218" s="2" t="str">
        <f t="shared" si="995"/>
        <v>UN</v>
      </c>
      <c r="D25218" s="7">
        <v>912</v>
      </c>
      <c r="E25218" s="3">
        <v>11</v>
      </c>
      <c r="F25218" s="2">
        <v>9</v>
      </c>
      <c r="G25218" t="s">
        <v>514</v>
      </c>
    </row>
    <row r="25219" spans="1:7" x14ac:dyDescent="0.25">
      <c r="A25219" s="1" t="str">
        <f>"510998"</f>
        <v>510998</v>
      </c>
      <c r="B25219" s="2" t="str">
        <f>"VALVULA RETENCAO HORIZONTAL 1"""</f>
        <v>VALVULA RETENCAO HORIZONTAL 1"</v>
      </c>
      <c r="C25219" s="2" t="str">
        <f t="shared" si="995"/>
        <v>UN</v>
      </c>
      <c r="D25219" s="7">
        <v>912</v>
      </c>
      <c r="E25219" s="3">
        <v>11</v>
      </c>
      <c r="F25219" s="2">
        <v>0</v>
      </c>
      <c r="G25219" t="s">
        <v>514</v>
      </c>
    </row>
    <row r="25220" spans="1:7" x14ac:dyDescent="0.25">
      <c r="A25220" s="1" t="str">
        <f>"519951"</f>
        <v>519951</v>
      </c>
      <c r="B25220" s="2" t="str">
        <f>"VALVULA RETENCAO HORIZONTAL 2 1/2"""</f>
        <v>VALVULA RETENCAO HORIZONTAL 2 1/2"</v>
      </c>
      <c r="C25220" s="2" t="str">
        <f t="shared" si="995"/>
        <v>UN</v>
      </c>
      <c r="D25220" s="7">
        <v>912</v>
      </c>
      <c r="E25220" s="3">
        <v>11</v>
      </c>
      <c r="F25220" s="2">
        <v>0</v>
      </c>
      <c r="G25220" t="s">
        <v>514</v>
      </c>
    </row>
    <row r="25221" spans="1:7" x14ac:dyDescent="0.25">
      <c r="A25221" s="1" t="str">
        <f>"518694"</f>
        <v>518694</v>
      </c>
      <c r="B25221" s="2" t="str">
        <f>"VALVULA RETENCAO HORIZONTAL 3/4"""</f>
        <v>VALVULA RETENCAO HORIZONTAL 3/4"</v>
      </c>
      <c r="C25221" s="2" t="str">
        <f t="shared" si="995"/>
        <v>UN</v>
      </c>
      <c r="D25221" s="7">
        <v>912</v>
      </c>
      <c r="E25221" s="3">
        <v>11</v>
      </c>
      <c r="F25221" s="2">
        <v>4</v>
      </c>
      <c r="G25221" t="s">
        <v>513</v>
      </c>
    </row>
    <row r="25222" spans="1:7" x14ac:dyDescent="0.25">
      <c r="A25222" s="1" t="str">
        <f>"526851"</f>
        <v>526851</v>
      </c>
      <c r="B25222" s="2" t="str">
        <f>"VALVULA RETENÇÃO PVC 50MM COLA"</f>
        <v>VALVULA RETENÇÃO PVC 50MM COLA</v>
      </c>
      <c r="C25222" s="2" t="str">
        <f>"BR"</f>
        <v>BR</v>
      </c>
      <c r="D25222" s="7">
        <v>808</v>
      </c>
      <c r="E25222" s="3">
        <v>10</v>
      </c>
      <c r="F25222" s="2">
        <v>1</v>
      </c>
      <c r="G25222" t="s">
        <v>512</v>
      </c>
    </row>
    <row r="25223" spans="1:7" x14ac:dyDescent="0.25">
      <c r="A25223" s="1" t="str">
        <f>"525447"</f>
        <v>525447</v>
      </c>
      <c r="B25223" s="2" t="str">
        <f>"VALVULA RETENÇÃO PVC COLA 3/4"</f>
        <v>VALVULA RETENÇÃO PVC COLA 3/4</v>
      </c>
      <c r="C25223" s="2" t="str">
        <f>"UN"</f>
        <v>UN</v>
      </c>
      <c r="D25223" s="7">
        <v>99999</v>
      </c>
      <c r="E25223" s="3">
        <v>10</v>
      </c>
      <c r="F25223" s="2">
        <v>2</v>
      </c>
      <c r="G25223" t="s">
        <v>513</v>
      </c>
    </row>
    <row r="25224" spans="1:7" x14ac:dyDescent="0.25">
      <c r="A25224" s="1" t="str">
        <f>"522506"</f>
        <v>522506</v>
      </c>
      <c r="B25224" s="2" t="str">
        <f>"VALVULA RETENÇÃO PVC MARRON 85MM COLA"</f>
        <v>VALVULA RETENÇÃO PVC MARRON 85MM COLA</v>
      </c>
      <c r="C25224" s="2" t="str">
        <f>"UN"</f>
        <v>UN</v>
      </c>
      <c r="D25224" s="7">
        <v>807</v>
      </c>
      <c r="E25224" s="3">
        <v>10</v>
      </c>
      <c r="F25224" s="2">
        <v>7</v>
      </c>
      <c r="G25224" t="s">
        <v>514</v>
      </c>
    </row>
    <row r="25225" spans="1:7" x14ac:dyDescent="0.25">
      <c r="A25225" s="1" t="str">
        <f>"522017"</f>
        <v>522017</v>
      </c>
      <c r="B25225" s="2" t="str">
        <f>"VALVULA RETENÇÃO SANITARIA"</f>
        <v>VALVULA RETENÇÃO SANITARIA</v>
      </c>
      <c r="C25225" s="2" t="str">
        <f>"BR"</f>
        <v>BR</v>
      </c>
      <c r="D25225" s="7">
        <v>807</v>
      </c>
      <c r="E25225" s="3">
        <v>10</v>
      </c>
      <c r="F25225" s="2">
        <v>9</v>
      </c>
      <c r="G25225" t="s">
        <v>514</v>
      </c>
    </row>
    <row r="25226" spans="1:7" x14ac:dyDescent="0.25">
      <c r="A25226" s="1" t="str">
        <f>"510071"</f>
        <v>510071</v>
      </c>
      <c r="B25226" s="2" t="str">
        <f>"VALVULA RETENCAO SOL 304/EPDM 1 1/2"</f>
        <v>VALVULA RETENCAO SOL 304/EPDM 1 1/2</v>
      </c>
      <c r="C25226" s="2" t="str">
        <f t="shared" ref="C25226:C25233" si="996">"UN"</f>
        <v>UN</v>
      </c>
      <c r="D25226" s="7">
        <v>915</v>
      </c>
      <c r="E25226" s="3">
        <v>11</v>
      </c>
      <c r="F25226" s="5">
        <v>5</v>
      </c>
      <c r="G25226" t="s">
        <v>514</v>
      </c>
    </row>
    <row r="25227" spans="1:7" x14ac:dyDescent="0.25">
      <c r="A25227" s="1" t="str">
        <f>"519979"</f>
        <v>519979</v>
      </c>
      <c r="B25227" s="2" t="str">
        <f>"VALVULA RETENCAO SOL 304/EPDM 2 1/2"""</f>
        <v>VALVULA RETENCAO SOL 304/EPDM 2 1/2"</v>
      </c>
      <c r="C25227" s="2" t="str">
        <f t="shared" si="996"/>
        <v>UN</v>
      </c>
      <c r="D25227" s="7">
        <v>915</v>
      </c>
      <c r="E25227" s="3">
        <v>11</v>
      </c>
      <c r="F25227" s="2">
        <v>3</v>
      </c>
      <c r="G25227" t="s">
        <v>513</v>
      </c>
    </row>
    <row r="25228" spans="1:7" x14ac:dyDescent="0.25">
      <c r="A25228" s="1" t="str">
        <f>"509715"</f>
        <v>509715</v>
      </c>
      <c r="B25228" s="2" t="str">
        <f>"VALVULA RETENCAO SOL 304/EPDM 2"""</f>
        <v>VALVULA RETENCAO SOL 304/EPDM 2"</v>
      </c>
      <c r="C25228" s="2" t="str">
        <f t="shared" si="996"/>
        <v>UN</v>
      </c>
      <c r="D25228" s="7">
        <v>915</v>
      </c>
      <c r="E25228" s="3">
        <v>11</v>
      </c>
      <c r="F25228" s="2">
        <v>8</v>
      </c>
      <c r="G25228" t="s">
        <v>513</v>
      </c>
    </row>
    <row r="25229" spans="1:7" x14ac:dyDescent="0.25">
      <c r="A25229" s="1" t="str">
        <f>"509731"</f>
        <v>509731</v>
      </c>
      <c r="B25229" s="2" t="str">
        <f>"VALVULA RETENCAO SOL 304/EPDM 3"""</f>
        <v>VALVULA RETENCAO SOL 304/EPDM 3"</v>
      </c>
      <c r="C25229" s="2" t="str">
        <f t="shared" si="996"/>
        <v>UN</v>
      </c>
      <c r="D25229" s="7">
        <v>915</v>
      </c>
      <c r="E25229" s="3">
        <v>11</v>
      </c>
      <c r="F25229" s="2">
        <v>6</v>
      </c>
      <c r="G25229" t="s">
        <v>513</v>
      </c>
    </row>
    <row r="25230" spans="1:7" x14ac:dyDescent="0.25">
      <c r="A25230" s="1" t="str">
        <f>"524834"</f>
        <v>524834</v>
      </c>
      <c r="B25230" s="2" t="str">
        <f>"VALVULA RETENCAO SOL 304/EPDM 3"""</f>
        <v>VALVULA RETENCAO SOL 304/EPDM 3"</v>
      </c>
      <c r="C25230" s="2" t="str">
        <f t="shared" si="996"/>
        <v>UN</v>
      </c>
      <c r="D25230" s="7">
        <v>915</v>
      </c>
      <c r="E25230" s="3">
        <v>11</v>
      </c>
      <c r="F25230" s="2">
        <v>4</v>
      </c>
      <c r="G25230" t="s">
        <v>512</v>
      </c>
    </row>
    <row r="25231" spans="1:7" x14ac:dyDescent="0.25">
      <c r="A25231" s="1" t="str">
        <f>"524833"</f>
        <v>524833</v>
      </c>
      <c r="B25231" s="2" t="str">
        <f>"VALVULA RETENCAO SOL 304/EPDM 4"""</f>
        <v>VALVULA RETENCAO SOL 304/EPDM 4"</v>
      </c>
      <c r="C25231" s="2" t="str">
        <f t="shared" si="996"/>
        <v>UN</v>
      </c>
      <c r="D25231" s="7">
        <v>915</v>
      </c>
      <c r="E25231" s="3">
        <v>11</v>
      </c>
      <c r="F25231" s="2">
        <v>1</v>
      </c>
      <c r="G25231" t="s">
        <v>513</v>
      </c>
    </row>
    <row r="25232" spans="1:7" x14ac:dyDescent="0.25">
      <c r="A25232" s="1" t="str">
        <f>"525117"</f>
        <v>525117</v>
      </c>
      <c r="B25232" s="2" t="str">
        <f>"VALVULA RETENCAO SOL 304/EPDM 6"""</f>
        <v>VALVULA RETENCAO SOL 304/EPDM 6"</v>
      </c>
      <c r="C25232" s="2" t="str">
        <f t="shared" si="996"/>
        <v>UN</v>
      </c>
      <c r="D25232" s="7">
        <v>704</v>
      </c>
      <c r="E25232" s="3">
        <v>9</v>
      </c>
      <c r="F25232" s="2">
        <v>2</v>
      </c>
      <c r="G25232" t="s">
        <v>514</v>
      </c>
    </row>
    <row r="25233" spans="1:7" x14ac:dyDescent="0.25">
      <c r="A25233" s="1" t="str">
        <f>"517654"</f>
        <v>517654</v>
      </c>
      <c r="B25233" s="2" t="str">
        <f>"VALVULA RETENÇÃO VERTICAL 1 1/2"" WAFER - BOMBA"</f>
        <v>VALVULA RETENÇÃO VERTICAL 1 1/2" WAFER - BOMBA</v>
      </c>
      <c r="C25233" s="2" t="str">
        <f t="shared" si="996"/>
        <v>UN</v>
      </c>
      <c r="D25233" s="7">
        <v>912</v>
      </c>
      <c r="E25233" s="3">
        <v>10</v>
      </c>
      <c r="F25233" s="2">
        <v>7</v>
      </c>
      <c r="G25233" t="s">
        <v>515</v>
      </c>
    </row>
    <row r="25234" spans="1:7" x14ac:dyDescent="0.25">
      <c r="A25234" s="1" t="str">
        <f>"504051"</f>
        <v>504051</v>
      </c>
      <c r="B25234" s="2" t="str">
        <f>"VALVULA RETENCAO VERTICAL 2 1/2"""</f>
        <v>VALVULA RETENCAO VERTICAL 2 1/2"</v>
      </c>
      <c r="C25234" s="2" t="str">
        <f>"BR"</f>
        <v>BR</v>
      </c>
      <c r="D25234" s="7">
        <v>808</v>
      </c>
      <c r="E25234" s="3">
        <v>10</v>
      </c>
      <c r="F25234" s="2">
        <v>9</v>
      </c>
      <c r="G25234" t="s">
        <v>512</v>
      </c>
    </row>
    <row r="25235" spans="1:7" x14ac:dyDescent="0.25">
      <c r="A25235" s="1" t="str">
        <f>"510997"</f>
        <v>510997</v>
      </c>
      <c r="B25235" s="2" t="str">
        <f>"VALVULA RETENCAO VERTICAL 2"""</f>
        <v>VALVULA RETENCAO VERTICAL 2"</v>
      </c>
      <c r="C25235" s="2" t="str">
        <f>"BR"</f>
        <v>BR</v>
      </c>
      <c r="D25235" s="7">
        <v>808</v>
      </c>
      <c r="E25235" s="3">
        <v>10</v>
      </c>
      <c r="F25235" s="2">
        <v>0</v>
      </c>
      <c r="G25235" t="s">
        <v>516</v>
      </c>
    </row>
    <row r="25236" spans="1:7" x14ac:dyDescent="0.25">
      <c r="A25236" s="1" t="str">
        <f>"513545"</f>
        <v>513545</v>
      </c>
      <c r="B25236" s="2" t="str">
        <f>"VALVULA RETENCAO VERTICAL 3"""</f>
        <v>VALVULA RETENCAO VERTICAL 3"</v>
      </c>
      <c r="C25236" s="2" t="str">
        <f>"BR"</f>
        <v>BR</v>
      </c>
      <c r="D25236" s="7">
        <v>808</v>
      </c>
      <c r="E25236" s="3">
        <v>10</v>
      </c>
      <c r="F25236" s="2">
        <v>0</v>
      </c>
      <c r="G25236" t="s">
        <v>515</v>
      </c>
    </row>
    <row r="25237" spans="1:7" x14ac:dyDescent="0.25">
      <c r="A25237" s="1" t="str">
        <f>"504915"</f>
        <v>504915</v>
      </c>
      <c r="B25237" s="2" t="str">
        <f>"VALVULA RETENÇÃO VERTICAL 3/4"""</f>
        <v>VALVULA RETENÇÃO VERTICAL 3/4"</v>
      </c>
      <c r="C25237" s="2" t="str">
        <f>"UN"</f>
        <v>UN</v>
      </c>
      <c r="D25237" s="7">
        <v>704</v>
      </c>
      <c r="E25237" s="3">
        <v>9</v>
      </c>
      <c r="F25237" s="2">
        <v>2</v>
      </c>
      <c r="G25237" t="s">
        <v>514</v>
      </c>
    </row>
    <row r="25238" spans="1:7" x14ac:dyDescent="0.25">
      <c r="A25238" s="1" t="str">
        <f>"501117"</f>
        <v>501117</v>
      </c>
      <c r="B25238" s="2" t="str">
        <f>"VALVULA REXROTH 577.608.527-0 DOSADOR"</f>
        <v>VALVULA REXROTH 577.608.527-0 DOSADOR</v>
      </c>
      <c r="C25238" s="2" t="str">
        <f>"BR"</f>
        <v>BR</v>
      </c>
      <c r="D25238" s="7">
        <v>808</v>
      </c>
      <c r="E25238" s="3">
        <v>10</v>
      </c>
      <c r="F25238" s="2">
        <v>5</v>
      </c>
      <c r="G25238" t="s">
        <v>512</v>
      </c>
    </row>
    <row r="25239" spans="1:7" x14ac:dyDescent="0.25">
      <c r="A25239" s="1" t="str">
        <f>"509801"</f>
        <v>509801</v>
      </c>
      <c r="B25239" s="2" t="str">
        <f>"VALVULA REXROTH COD. 82136573"</f>
        <v>VALVULA REXROTH COD. 82136573</v>
      </c>
      <c r="C25239" s="2" t="str">
        <f>"UN"</f>
        <v>UN</v>
      </c>
      <c r="D25239" s="7">
        <v>913</v>
      </c>
      <c r="E25239" s="3">
        <v>11</v>
      </c>
      <c r="F25239" s="2">
        <v>6</v>
      </c>
      <c r="G25239" t="s">
        <v>513</v>
      </c>
    </row>
    <row r="25240" spans="1:7" x14ac:dyDescent="0.25">
      <c r="A25240" s="1" t="str">
        <f>"503478"</f>
        <v>503478</v>
      </c>
      <c r="B25240" s="2" t="str">
        <f>"VALVULA REXROTH MOD4WE10E24V HIDRAULICO"</f>
        <v>VALVULA REXROTH MOD4WE10E24V HIDRAULICO</v>
      </c>
      <c r="C25240" s="2" t="str">
        <f>"BR"</f>
        <v>BR</v>
      </c>
      <c r="D25240" s="7">
        <v>808</v>
      </c>
      <c r="E25240" s="3">
        <v>10</v>
      </c>
      <c r="F25240" s="2">
        <v>9</v>
      </c>
      <c r="G25240" t="s">
        <v>514</v>
      </c>
    </row>
    <row r="25241" spans="1:7" x14ac:dyDescent="0.25">
      <c r="A25241" s="1" t="str">
        <f>"524973"</f>
        <v>524973</v>
      </c>
      <c r="B25241" s="2" t="str">
        <f>"VALVULA RGULADORA C0-17131"</f>
        <v>VALVULA RGULADORA C0-17131</v>
      </c>
      <c r="C25241" s="2" t="str">
        <f t="shared" ref="C25241:C25250" si="997">"UN"</f>
        <v>UN</v>
      </c>
      <c r="D25241" s="7">
        <v>811</v>
      </c>
      <c r="E25241" s="3">
        <v>11</v>
      </c>
      <c r="F25241" s="2">
        <v>5</v>
      </c>
      <c r="G25241" t="s">
        <v>514</v>
      </c>
    </row>
    <row r="25242" spans="1:7" x14ac:dyDescent="0.25">
      <c r="A25242" s="1" t="str">
        <f>"513868"</f>
        <v>513868</v>
      </c>
      <c r="B25242" s="2" t="str">
        <f>"VALVULA RODOAR"</f>
        <v>VALVULA RODOAR</v>
      </c>
      <c r="C25242" s="2" t="str">
        <f t="shared" si="997"/>
        <v>UN</v>
      </c>
      <c r="D25242" s="7">
        <v>99999</v>
      </c>
      <c r="E25242" s="3">
        <v>99</v>
      </c>
      <c r="F25242" s="2">
        <v>3</v>
      </c>
      <c r="G25242" t="s">
        <v>512</v>
      </c>
    </row>
    <row r="25243" spans="1:7" x14ac:dyDescent="0.25">
      <c r="A25243" s="1" t="str">
        <f>"502532"</f>
        <v>502532</v>
      </c>
      <c r="B25243" s="2" t="str">
        <f>"VALVULA ROLETER-3-M5 COD. 3629 FESTO"</f>
        <v>VALVULA ROLETER-3-M5 COD. 3629 FESTO</v>
      </c>
      <c r="C25243" s="2" t="str">
        <f t="shared" si="997"/>
        <v>UN</v>
      </c>
      <c r="D25243" s="7">
        <v>913</v>
      </c>
      <c r="E25243" s="3">
        <v>11</v>
      </c>
      <c r="F25243" s="2">
        <v>3</v>
      </c>
      <c r="G25243" t="s">
        <v>513</v>
      </c>
    </row>
    <row r="25244" spans="1:7" x14ac:dyDescent="0.25">
      <c r="A25244" s="1" t="str">
        <f>"527719"</f>
        <v>527719</v>
      </c>
      <c r="B25244" s="2" t="str">
        <f>"VÁLVULA SANGRIA 1/4"" INOX 316"</f>
        <v>VÁLVULA SANGRIA 1/4" INOX 316</v>
      </c>
      <c r="C25244" s="2" t="str">
        <f t="shared" si="997"/>
        <v>UN</v>
      </c>
      <c r="D25244" s="7">
        <v>807</v>
      </c>
      <c r="E25244" s="3">
        <v>10</v>
      </c>
      <c r="F25244" s="2">
        <v>2</v>
      </c>
      <c r="G25244" t="s">
        <v>514</v>
      </c>
    </row>
    <row r="25245" spans="1:7" x14ac:dyDescent="0.25">
      <c r="A25245" s="1" t="str">
        <f>"503392"</f>
        <v>503392</v>
      </c>
      <c r="B25245" s="2" t="str">
        <f>"VALVULA SANITARIA FOXWALL"</f>
        <v>VALVULA SANITARIA FOXWALL</v>
      </c>
      <c r="C25245" s="2" t="str">
        <f t="shared" si="997"/>
        <v>UN</v>
      </c>
      <c r="D25245" s="7">
        <v>918</v>
      </c>
      <c r="E25245" s="3">
        <v>8</v>
      </c>
      <c r="F25245" s="2">
        <v>1</v>
      </c>
      <c r="G25245" t="s">
        <v>514</v>
      </c>
    </row>
    <row r="25246" spans="1:7" x14ac:dyDescent="0.25">
      <c r="A25246" s="1" t="str">
        <f>"505540"</f>
        <v>505540</v>
      </c>
      <c r="B25246" s="2" t="str">
        <f>"VALVULA SECA CORTA CHAMA VPMO"</f>
        <v>VALVULA SECA CORTA CHAMA VPMO</v>
      </c>
      <c r="C25246" s="2" t="str">
        <f t="shared" si="997"/>
        <v>UN</v>
      </c>
      <c r="D25246" s="7">
        <v>402</v>
      </c>
      <c r="E25246" s="3">
        <v>4</v>
      </c>
      <c r="F25246" s="2">
        <v>4</v>
      </c>
      <c r="G25246" t="s">
        <v>514</v>
      </c>
    </row>
    <row r="25247" spans="1:7" x14ac:dyDescent="0.25">
      <c r="A25247" s="1" t="str">
        <f>"512787"</f>
        <v>512787</v>
      </c>
      <c r="B25247" s="2" t="str">
        <f>"VALVULA SECUNDARIA 125304 APV CUBE 4600 APF-9622"</f>
        <v>VALVULA SECUNDARIA 125304 APV CUBE 4600 APF-9622</v>
      </c>
      <c r="C25247" s="2" t="str">
        <f t="shared" si="997"/>
        <v>UN</v>
      </c>
      <c r="D25247" s="7">
        <v>918</v>
      </c>
      <c r="E25247" s="3">
        <v>11</v>
      </c>
      <c r="F25247" s="2">
        <v>6</v>
      </c>
      <c r="G25247" t="s">
        <v>513</v>
      </c>
    </row>
    <row r="25248" spans="1:7" x14ac:dyDescent="0.25">
      <c r="A25248" s="1" t="str">
        <f>"526473"</f>
        <v>526473</v>
      </c>
      <c r="B25248" s="2" t="str">
        <f>"VALVULA SEG. ASME I SV561 2""NPTM J 2.1/2""NPTF H85020110000C6"</f>
        <v>VALVULA SEG. ASME I SV561 2"NPTM J 2.1/2"NPTF H85020110000C6</v>
      </c>
      <c r="C25248" s="2" t="str">
        <f t="shared" si="997"/>
        <v>UN</v>
      </c>
      <c r="D25248" s="7">
        <v>912</v>
      </c>
      <c r="E25248" s="3">
        <v>11</v>
      </c>
      <c r="F25248" s="2">
        <v>8</v>
      </c>
      <c r="G25248" t="s">
        <v>512</v>
      </c>
    </row>
    <row r="25249" spans="1:7" x14ac:dyDescent="0.25">
      <c r="A25249" s="1" t="str">
        <f>"520524"</f>
        <v>520524</v>
      </c>
      <c r="B25249" s="2" t="str">
        <f>"VALVULA SEGUNDO ESTAG. APF 6769 RANNIE 132T-70.140"</f>
        <v>VALVULA SEGUNDO ESTAG. APF 6769 RANNIE 132T-70.140</v>
      </c>
      <c r="C25249" s="2" t="str">
        <f t="shared" si="997"/>
        <v>UN</v>
      </c>
      <c r="D25249" s="7">
        <v>918</v>
      </c>
      <c r="E25249" s="3">
        <v>11</v>
      </c>
      <c r="F25249" s="2">
        <v>7</v>
      </c>
      <c r="G25249" t="s">
        <v>513</v>
      </c>
    </row>
    <row r="25250" spans="1:7" x14ac:dyDescent="0.25">
      <c r="A25250" s="1" t="str">
        <f>"510503"</f>
        <v>510503</v>
      </c>
      <c r="B25250" s="2" t="str">
        <f>"VALVULA SEGURANCA 16KGF/CM - 100"</f>
        <v>VALVULA SEGURANCA 16KGF/CM - 100</v>
      </c>
      <c r="C25250" s="2" t="str">
        <f t="shared" si="997"/>
        <v>UN</v>
      </c>
      <c r="D25250" s="7">
        <v>918</v>
      </c>
      <c r="E25250" s="3">
        <v>11</v>
      </c>
      <c r="F25250" s="2">
        <v>6</v>
      </c>
      <c r="G25250" t="s">
        <v>514</v>
      </c>
    </row>
    <row r="25251" spans="1:7" x14ac:dyDescent="0.25">
      <c r="A25251" s="1" t="str">
        <f>"519698"</f>
        <v>519698</v>
      </c>
      <c r="B25251" s="2" t="str">
        <f>"VALVULA SEGURANÇA DUPLA ENT. 1/2"</f>
        <v>VALVULA SEGURANÇA DUPLA ENT. 1/2</v>
      </c>
      <c r="C25251" s="2" t="str">
        <f>"BR"</f>
        <v>BR</v>
      </c>
      <c r="D25251" s="7">
        <v>808</v>
      </c>
      <c r="E25251" s="3">
        <v>10</v>
      </c>
      <c r="F25251" s="2">
        <v>6</v>
      </c>
      <c r="G25251" t="s">
        <v>514</v>
      </c>
    </row>
    <row r="25252" spans="1:7" x14ac:dyDescent="0.25">
      <c r="A25252" s="1" t="str">
        <f>"528139"</f>
        <v>528139</v>
      </c>
      <c r="B25252" s="2" t="str">
        <f>"VALVULA SEGURANCA SOL 304/E 3 ABERT 9 BAR"</f>
        <v>VALVULA SEGURANCA SOL 304/E 3 ABERT 9 BAR</v>
      </c>
      <c r="C25252" s="2" t="str">
        <f>"UN"</f>
        <v>UN</v>
      </c>
      <c r="D25252" s="7">
        <v>915</v>
      </c>
      <c r="E25252" s="3">
        <v>11</v>
      </c>
      <c r="F25252" s="2">
        <v>2</v>
      </c>
      <c r="G25252" t="s">
        <v>514</v>
      </c>
    </row>
    <row r="25253" spans="1:7" x14ac:dyDescent="0.25">
      <c r="A25253" s="1" t="str">
        <f>"521105"</f>
        <v>521105</v>
      </c>
      <c r="B25253" s="2" t="str">
        <f>"VÁLVULA SEGURANÇA TIPO DUPLA, CORPO E TAMPA EM ASTM-A-126"</f>
        <v>VÁLVULA SEGURANÇA TIPO DUPLA, CORPO E TAMPA EM ASTM-A-126</v>
      </c>
      <c r="C25253" s="2" t="str">
        <f>"UN"</f>
        <v>UN</v>
      </c>
      <c r="D25253" s="7">
        <v>912</v>
      </c>
      <c r="E25253" s="3">
        <v>10</v>
      </c>
      <c r="F25253" s="2">
        <v>1</v>
      </c>
      <c r="G25253" t="s">
        <v>513</v>
      </c>
    </row>
    <row r="25254" spans="1:7" x14ac:dyDescent="0.25">
      <c r="A25254" s="1" t="str">
        <f>"511188"</f>
        <v>511188</v>
      </c>
      <c r="B25254" s="2" t="str">
        <f>"VALVULA SEGURANÇA VS-100 COMODORO 2"""</f>
        <v>VALVULA SEGURANÇA VS-100 COMODORO 2"</v>
      </c>
      <c r="C25254" s="2" t="str">
        <f>"UN"</f>
        <v>UN</v>
      </c>
      <c r="D25254" s="7">
        <v>912</v>
      </c>
      <c r="E25254" s="3">
        <v>11</v>
      </c>
      <c r="F25254" s="2">
        <v>0</v>
      </c>
      <c r="G25254" t="s">
        <v>513</v>
      </c>
    </row>
    <row r="25255" spans="1:7" x14ac:dyDescent="0.25">
      <c r="A25255" s="1" t="str">
        <f>"513374"</f>
        <v>513374</v>
      </c>
      <c r="B25255" s="2" t="str">
        <f>"VALVULA SERV. 1"" RX 1/2"</f>
        <v>VALVULA SERV. 1" RX 1/2</v>
      </c>
      <c r="C25255" s="2" t="str">
        <f>"UN"</f>
        <v>UN</v>
      </c>
      <c r="D25255" s="7">
        <v>818</v>
      </c>
      <c r="E25255" s="3">
        <v>11</v>
      </c>
      <c r="F25255" s="2">
        <v>0</v>
      </c>
      <c r="G25255" t="s">
        <v>513</v>
      </c>
    </row>
    <row r="25256" spans="1:7" x14ac:dyDescent="0.25">
      <c r="A25256" s="1" t="str">
        <f>"509006"</f>
        <v>509006</v>
      </c>
      <c r="B25256" s="2" t="str">
        <f>"VALVULA SHRADER REF. 5734-1"</f>
        <v>VALVULA SHRADER REF. 5734-1</v>
      </c>
      <c r="C25256" s="2" t="str">
        <f>"BR"</f>
        <v>BR</v>
      </c>
      <c r="D25256" s="7">
        <v>808</v>
      </c>
      <c r="E25256" s="3">
        <v>10</v>
      </c>
      <c r="F25256" s="2">
        <v>0</v>
      </c>
      <c r="G25256" t="s">
        <v>512</v>
      </c>
    </row>
    <row r="25257" spans="1:7" x14ac:dyDescent="0.25">
      <c r="A25257" s="1" t="str">
        <f>"527718"</f>
        <v>527718</v>
      </c>
      <c r="B25257" s="2" t="str">
        <f>"VÁLVULA SIMPLES 3/8"" INOX 316"</f>
        <v>VÁLVULA SIMPLES 3/8" INOX 316</v>
      </c>
      <c r="C25257" s="2" t="str">
        <f t="shared" ref="C25257:C25300" si="998">"UN"</f>
        <v>UN</v>
      </c>
      <c r="D25257" s="7">
        <v>807</v>
      </c>
      <c r="E25257" s="3">
        <v>10</v>
      </c>
      <c r="F25257" s="2">
        <v>3</v>
      </c>
      <c r="G25257" t="s">
        <v>513</v>
      </c>
    </row>
    <row r="25258" spans="1:7" x14ac:dyDescent="0.25">
      <c r="A25258" s="1" t="str">
        <f>"527460"</f>
        <v>527460</v>
      </c>
      <c r="B25258" s="2" t="str">
        <f>"VALVULA SIMPLES ASSENTO KEYSTONE 2014299"</f>
        <v>VALVULA SIMPLES ASSENTO KEYSTONE 2014299</v>
      </c>
      <c r="C25258" s="2" t="str">
        <f t="shared" si="998"/>
        <v>UN</v>
      </c>
      <c r="D25258" s="7">
        <v>807</v>
      </c>
      <c r="E25258" s="3">
        <v>11</v>
      </c>
      <c r="F25258" s="5">
        <v>5</v>
      </c>
      <c r="G25258" t="s">
        <v>514</v>
      </c>
    </row>
    <row r="25259" spans="1:7" x14ac:dyDescent="0.25">
      <c r="A25259" s="1" t="str">
        <f>"513281"</f>
        <v>513281</v>
      </c>
      <c r="B25259" s="2" t="str">
        <f>"VALVULA SOL.  PORTO PASSAGEM 3,5MM SOLTA 1/4"""</f>
        <v>VALVULA SOL.  PORTO PASSAGEM 3,5MM SOLTA 1/4"</v>
      </c>
      <c r="C25259" s="2" t="str">
        <f t="shared" si="998"/>
        <v>UN</v>
      </c>
      <c r="D25259" s="7">
        <v>916</v>
      </c>
      <c r="E25259" s="3">
        <v>10</v>
      </c>
      <c r="F25259" s="2">
        <v>3</v>
      </c>
      <c r="G25259" t="s">
        <v>515</v>
      </c>
    </row>
    <row r="25260" spans="1:7" x14ac:dyDescent="0.25">
      <c r="A25260" s="1" t="str">
        <f>"513280"</f>
        <v>513280</v>
      </c>
      <c r="B25260" s="2" t="str">
        <f>"VALVULA SOL. 1"" X 1"" C/ FILTRO/FLANGES 220/60HZ SOLDA"</f>
        <v>VALVULA SOL. 1" X 1" C/ FILTRO/FLANGES 220/60HZ SOLDA</v>
      </c>
      <c r="C25260" s="2" t="str">
        <f t="shared" si="998"/>
        <v>UN</v>
      </c>
      <c r="D25260" s="7">
        <v>916</v>
      </c>
      <c r="E25260" s="3">
        <v>10</v>
      </c>
      <c r="F25260" s="2">
        <v>8</v>
      </c>
      <c r="G25260" t="s">
        <v>512</v>
      </c>
    </row>
    <row r="25261" spans="1:7" x14ac:dyDescent="0.25">
      <c r="A25261" s="1" t="str">
        <f>"513482"</f>
        <v>513482</v>
      </c>
      <c r="B25261" s="2" t="str">
        <f>"VALVULA SOL. 134430/5282 2/2 VIAS 1/2"" 24VCC"</f>
        <v>VALVULA SOL. 134430/5282 2/2 VIAS 1/2" 24VCC</v>
      </c>
      <c r="C25261" s="2" t="str">
        <f t="shared" si="998"/>
        <v>UN</v>
      </c>
      <c r="D25261" s="7">
        <v>918</v>
      </c>
      <c r="E25261" s="3">
        <v>11</v>
      </c>
      <c r="F25261" s="2">
        <v>6</v>
      </c>
      <c r="G25261" t="s">
        <v>516</v>
      </c>
    </row>
    <row r="25262" spans="1:7" x14ac:dyDescent="0.25">
      <c r="A25262" s="1" t="str">
        <f>"513481"</f>
        <v>513481</v>
      </c>
      <c r="B25262" s="2" t="str">
        <f>"VALVULA SOL. 221844/6281EV (134317/5281) 2/2 VIAS 1/2"" 24VCC"</f>
        <v>VALVULA SOL. 221844/6281EV (134317/5281) 2/2 VIAS 1/2" 24VCC</v>
      </c>
      <c r="C25262" s="2" t="str">
        <f t="shared" si="998"/>
        <v>UN</v>
      </c>
      <c r="D25262" s="7">
        <v>918</v>
      </c>
      <c r="E25262" s="3">
        <v>11</v>
      </c>
      <c r="F25262" s="2">
        <v>4</v>
      </c>
      <c r="G25262" t="s">
        <v>515</v>
      </c>
    </row>
    <row r="25263" spans="1:7" x14ac:dyDescent="0.25">
      <c r="A25263" s="1" t="str">
        <f>"513437"</f>
        <v>513437</v>
      </c>
      <c r="B25263" s="2" t="str">
        <f>"VALVULA SOL. 250739/628 1EV 2/2 VIAS NA 3/8"" 230VCA"</f>
        <v>VALVULA SOL. 250739/628 1EV 2/2 VIAS NA 3/8" 230VCA</v>
      </c>
      <c r="C25263" s="2" t="str">
        <f t="shared" si="998"/>
        <v>UN</v>
      </c>
      <c r="D25263" s="7">
        <v>918</v>
      </c>
      <c r="E25263" s="3">
        <v>11</v>
      </c>
      <c r="F25263" s="2">
        <v>1</v>
      </c>
      <c r="G25263" t="s">
        <v>514</v>
      </c>
    </row>
    <row r="25264" spans="1:7" x14ac:dyDescent="0.25">
      <c r="A25264" s="1" t="str">
        <f>"513483"</f>
        <v>513483</v>
      </c>
      <c r="B25264" s="2" t="str">
        <f>"VALVULA SOL. 250739/6281EV 2/2 VIAS NA 3/8` 230VCA"</f>
        <v>VALVULA SOL. 250739/6281EV 2/2 VIAS NA 3/8` 230VCA</v>
      </c>
      <c r="C25264" s="2" t="str">
        <f t="shared" si="998"/>
        <v>UN</v>
      </c>
      <c r="D25264" s="7">
        <v>918</v>
      </c>
      <c r="E25264" s="3">
        <v>11</v>
      </c>
      <c r="F25264" s="2">
        <v>2</v>
      </c>
      <c r="G25264" t="s">
        <v>512</v>
      </c>
    </row>
    <row r="25265" spans="1:7" x14ac:dyDescent="0.25">
      <c r="A25265" s="1" t="str">
        <f>"520763"</f>
        <v>520763</v>
      </c>
      <c r="B25265" s="8" t="s">
        <v>182</v>
      </c>
      <c r="C25265" s="2" t="str">
        <f t="shared" si="998"/>
        <v>UN</v>
      </c>
      <c r="D25265" s="7">
        <v>916</v>
      </c>
      <c r="E25265" s="3">
        <v>10</v>
      </c>
      <c r="F25265" s="2">
        <v>7</v>
      </c>
      <c r="G25265" t="s">
        <v>513</v>
      </c>
    </row>
    <row r="25266" spans="1:7" x14ac:dyDescent="0.25">
      <c r="A25266" s="1" t="str">
        <f>"505861"</f>
        <v>505861</v>
      </c>
      <c r="B25266" s="2" t="str">
        <f>"VALVULA SOLENOIDE"</f>
        <v>VALVULA SOLENOIDE</v>
      </c>
      <c r="C25266" s="2" t="str">
        <f t="shared" si="998"/>
        <v>UN</v>
      </c>
      <c r="D25266" s="7">
        <v>704</v>
      </c>
      <c r="E25266" s="3">
        <v>9</v>
      </c>
      <c r="F25266" s="2">
        <v>9</v>
      </c>
      <c r="G25266" t="s">
        <v>514</v>
      </c>
    </row>
    <row r="25267" spans="1:7" x14ac:dyDescent="0.25">
      <c r="A25267" s="1" t="str">
        <f>"518703"</f>
        <v>518703</v>
      </c>
      <c r="B25267" s="2" t="str">
        <f>"VALVULA SOLENOIDE 230/50-60HZ NA 0392110028"</f>
        <v>VALVULA SOLENOIDE 230/50-60HZ NA 0392110028</v>
      </c>
      <c r="C25267" s="2" t="str">
        <f t="shared" si="998"/>
        <v>UN</v>
      </c>
      <c r="D25267" s="7">
        <v>811</v>
      </c>
      <c r="E25267" s="3">
        <v>8</v>
      </c>
      <c r="F25267" s="2">
        <v>0</v>
      </c>
      <c r="G25267" t="s">
        <v>514</v>
      </c>
    </row>
    <row r="25268" spans="1:7" x14ac:dyDescent="0.25">
      <c r="A25268" s="1" t="str">
        <f>"503599"</f>
        <v>503599</v>
      </c>
      <c r="B25268" s="2" t="str">
        <f>"VALVULA SOLENOIDE 3/4 AMONIA EICA"</f>
        <v>VALVULA SOLENOIDE 3/4 AMONIA EICA</v>
      </c>
      <c r="C25268" s="2" t="str">
        <f t="shared" si="998"/>
        <v>UN</v>
      </c>
      <c r="D25268" s="7">
        <v>918</v>
      </c>
      <c r="E25268" s="3">
        <v>11</v>
      </c>
      <c r="F25268" s="2">
        <v>0</v>
      </c>
      <c r="G25268" t="s">
        <v>512</v>
      </c>
    </row>
    <row r="25269" spans="1:7" x14ac:dyDescent="0.25">
      <c r="A25269" s="1" t="str">
        <f>"526241"</f>
        <v>526241</v>
      </c>
      <c r="B25269" s="2" t="str">
        <f>"VALVULA SOLENOIDE 4M310-08 AC110V SPIRAX SARCO"</f>
        <v>VALVULA SOLENOIDE 4M310-08 AC110V SPIRAX SARCO</v>
      </c>
      <c r="C25269" s="2" t="str">
        <f t="shared" si="998"/>
        <v>UN</v>
      </c>
      <c r="D25269" s="7">
        <v>912</v>
      </c>
      <c r="E25269" s="3">
        <v>10</v>
      </c>
      <c r="F25269" s="2">
        <v>2</v>
      </c>
      <c r="G25269" t="s">
        <v>513</v>
      </c>
    </row>
    <row r="25270" spans="1:7" x14ac:dyDescent="0.25">
      <c r="A25270" s="1" t="str">
        <f>"516340"</f>
        <v>516340</v>
      </c>
      <c r="B25270" s="2" t="str">
        <f>"VALVULA SOLENOIDE ASCO 1"""</f>
        <v>VALVULA SOLENOIDE ASCO 1"</v>
      </c>
      <c r="C25270" s="2" t="str">
        <f t="shared" si="998"/>
        <v>UN</v>
      </c>
      <c r="D25270" s="7">
        <v>912</v>
      </c>
      <c r="E25270" s="3">
        <v>10</v>
      </c>
      <c r="F25270" s="2">
        <v>5</v>
      </c>
      <c r="G25270" t="s">
        <v>514</v>
      </c>
    </row>
    <row r="25271" spans="1:7" x14ac:dyDescent="0.25">
      <c r="A25271" s="1" t="str">
        <f>"519281"</f>
        <v>519281</v>
      </c>
      <c r="B25271" s="2" t="str">
        <f>"VALVULA SOLENOIDE ASCO 1/2"""</f>
        <v>VALVULA SOLENOIDE ASCO 1/2"</v>
      </c>
      <c r="C25271" s="2" t="str">
        <f t="shared" si="998"/>
        <v>UN</v>
      </c>
      <c r="D25271" s="7">
        <v>912</v>
      </c>
      <c r="E25271" s="3">
        <v>10</v>
      </c>
      <c r="F25271" s="2">
        <v>6</v>
      </c>
      <c r="G25271" t="s">
        <v>514</v>
      </c>
    </row>
    <row r="25272" spans="1:7" x14ac:dyDescent="0.25">
      <c r="A25272" s="1" t="str">
        <f>"505453"</f>
        <v>505453</v>
      </c>
      <c r="B25272" s="2" t="str">
        <f>"VALVULA SOLENOIDE ASCO 3/4"" P/ VAPOR"</f>
        <v>VALVULA SOLENOIDE ASCO 3/4" P/ VAPOR</v>
      </c>
      <c r="C25272" s="2" t="str">
        <f t="shared" si="998"/>
        <v>UN</v>
      </c>
      <c r="D25272" s="7">
        <v>918</v>
      </c>
      <c r="E25272" s="3">
        <v>11</v>
      </c>
      <c r="F25272" s="2">
        <v>9</v>
      </c>
      <c r="G25272" t="s">
        <v>514</v>
      </c>
    </row>
    <row r="25273" spans="1:7" x14ac:dyDescent="0.25">
      <c r="A25273" s="1" t="str">
        <f>"503775"</f>
        <v>503775</v>
      </c>
      <c r="B25273" s="2" t="str">
        <f>"VALVULA SOLENOIDE ASCO 3/8"""</f>
        <v>VALVULA SOLENOIDE ASCO 3/8"</v>
      </c>
      <c r="C25273" s="2" t="str">
        <f t="shared" si="998"/>
        <v>UN</v>
      </c>
      <c r="D25273" s="7">
        <v>912</v>
      </c>
      <c r="E25273" s="3">
        <v>11</v>
      </c>
      <c r="F25273" s="2">
        <v>5</v>
      </c>
      <c r="G25273" t="s">
        <v>513</v>
      </c>
    </row>
    <row r="25274" spans="1:7" x14ac:dyDescent="0.25">
      <c r="A25274" s="1" t="str">
        <f>"510969"</f>
        <v>510969</v>
      </c>
      <c r="B25274" s="2" t="str">
        <f>"VALVULA SOLENOIDE BSP VAPOR 3/4"</f>
        <v>VALVULA SOLENOIDE BSP VAPOR 3/4</v>
      </c>
      <c r="C25274" s="2" t="str">
        <f t="shared" si="998"/>
        <v>UN</v>
      </c>
      <c r="D25274" s="7">
        <v>912</v>
      </c>
      <c r="E25274" s="3">
        <v>11</v>
      </c>
      <c r="F25274" s="2">
        <v>3</v>
      </c>
      <c r="G25274" t="s">
        <v>512</v>
      </c>
    </row>
    <row r="25275" spans="1:7" x14ac:dyDescent="0.25">
      <c r="A25275" s="1" t="str">
        <f>"522285"</f>
        <v>522285</v>
      </c>
      <c r="B25275" s="8" t="s">
        <v>287</v>
      </c>
      <c r="C25275" s="2" t="str">
        <f t="shared" si="998"/>
        <v>UN</v>
      </c>
      <c r="D25275" s="7">
        <v>913</v>
      </c>
      <c r="E25275" s="3">
        <v>10</v>
      </c>
      <c r="F25275" s="2">
        <v>3</v>
      </c>
      <c r="G25275" t="s">
        <v>513</v>
      </c>
    </row>
    <row r="25276" spans="1:7" x14ac:dyDescent="0.25">
      <c r="A25276" s="1" t="str">
        <f>"521097"</f>
        <v>521097</v>
      </c>
      <c r="B25276" s="2" t="str">
        <f>"VÁLVULA SOLENÓIDE CONEXÃO 3/4 X 3/4 COMPLETA C/ FILTRO"</f>
        <v>VÁLVULA SOLENÓIDE CONEXÃO 3/4 X 3/4 COMPLETA C/ FILTRO</v>
      </c>
      <c r="C25276" s="2" t="str">
        <f t="shared" si="998"/>
        <v>UN</v>
      </c>
      <c r="D25276" s="7">
        <v>912</v>
      </c>
      <c r="E25276" s="3">
        <v>10</v>
      </c>
      <c r="F25276" s="2">
        <v>2</v>
      </c>
      <c r="G25276" t="s">
        <v>514</v>
      </c>
    </row>
    <row r="25277" spans="1:7" x14ac:dyDescent="0.25">
      <c r="A25277" s="1" t="str">
        <f>"517496"</f>
        <v>517496</v>
      </c>
      <c r="B25277" s="2" t="str">
        <f>"VALVULA SOLENOIDE DANF EVR 10 1/2S S/BOB"</f>
        <v>VALVULA SOLENOIDE DANF EVR 10 1/2S S/BOB</v>
      </c>
      <c r="C25277" s="2" t="str">
        <f t="shared" si="998"/>
        <v>UN</v>
      </c>
      <c r="D25277" s="7">
        <v>918</v>
      </c>
      <c r="E25277" s="3">
        <v>10</v>
      </c>
      <c r="F25277" s="2">
        <v>1</v>
      </c>
      <c r="G25277" t="s">
        <v>514</v>
      </c>
    </row>
    <row r="25278" spans="1:7" x14ac:dyDescent="0.25">
      <c r="A25278" s="1" t="str">
        <f>"513097"</f>
        <v>513097</v>
      </c>
      <c r="B25278" s="2" t="str">
        <f>"VALVULA SOLENOIDE DANFOSS EVR 06 3/8S S/ BOB."</f>
        <v>VALVULA SOLENOIDE DANFOSS EVR 06 3/8S S/ BOB.</v>
      </c>
      <c r="C25278" s="2" t="str">
        <f t="shared" si="998"/>
        <v>UN</v>
      </c>
      <c r="D25278" s="7">
        <v>818</v>
      </c>
      <c r="E25278" s="3">
        <v>10</v>
      </c>
      <c r="F25278" s="2">
        <v>4</v>
      </c>
      <c r="G25278" t="s">
        <v>514</v>
      </c>
    </row>
    <row r="25279" spans="1:7" x14ac:dyDescent="0.25">
      <c r="A25279" s="1" t="str">
        <f>"521857"</f>
        <v>521857</v>
      </c>
      <c r="B25279" s="2" t="str">
        <f>"VALVULA SOLENOIDE JMFH-5/2-D-1-C"</f>
        <v>VALVULA SOLENOIDE JMFH-5/2-D-1-C</v>
      </c>
      <c r="C25279" s="2" t="str">
        <f t="shared" si="998"/>
        <v>UN</v>
      </c>
      <c r="D25279" s="7">
        <v>913</v>
      </c>
      <c r="E25279" s="3">
        <v>11</v>
      </c>
      <c r="F25279" s="2">
        <v>1</v>
      </c>
      <c r="G25279" t="s">
        <v>513</v>
      </c>
    </row>
    <row r="25280" spans="1:7" x14ac:dyDescent="0.25">
      <c r="A25280" s="1" t="str">
        <f>"515207"</f>
        <v>515207</v>
      </c>
      <c r="B25280" s="2" t="str">
        <f>"VALVULA SOLENOIDE MFH-5-1-8"</f>
        <v>VALVULA SOLENOIDE MFH-5-1-8</v>
      </c>
      <c r="C25280" s="2" t="str">
        <f t="shared" si="998"/>
        <v>UN</v>
      </c>
      <c r="D25280" s="7">
        <v>901</v>
      </c>
      <c r="E25280" s="3">
        <v>10</v>
      </c>
      <c r="F25280" s="2">
        <v>2</v>
      </c>
      <c r="G25280" t="s">
        <v>513</v>
      </c>
    </row>
    <row r="25281" spans="1:7" x14ac:dyDescent="0.25">
      <c r="A25281" s="1" t="str">
        <f>"510507"</f>
        <v>510507</v>
      </c>
      <c r="B25281" s="2" t="str">
        <f>"VALVULA SOLENOIDE NON-STK - CAT 416E"</f>
        <v>VALVULA SOLENOIDE NON-STK - CAT 416E</v>
      </c>
      <c r="C25281" s="2" t="str">
        <f t="shared" si="998"/>
        <v>UN</v>
      </c>
      <c r="D25281" s="7">
        <v>704</v>
      </c>
      <c r="E25281" s="3">
        <v>9</v>
      </c>
      <c r="F25281" s="2">
        <v>7</v>
      </c>
      <c r="G25281" t="s">
        <v>513</v>
      </c>
    </row>
    <row r="25282" spans="1:7" x14ac:dyDescent="0.25">
      <c r="A25282" s="1" t="str">
        <f>"507808"</f>
        <v>507808</v>
      </c>
      <c r="B25282" s="2" t="str">
        <f>"VALVULA SOLENOIDE PSE-30-1/2"" COM FL 220"</f>
        <v>VALVULA SOLENOIDE PSE-30-1/2" COM FL 220</v>
      </c>
      <c r="C25282" s="2" t="str">
        <f t="shared" si="998"/>
        <v>UN</v>
      </c>
      <c r="D25282" s="7">
        <v>912</v>
      </c>
      <c r="E25282" s="3">
        <v>11</v>
      </c>
      <c r="F25282" s="2">
        <v>9</v>
      </c>
      <c r="G25282" t="s">
        <v>512</v>
      </c>
    </row>
    <row r="25283" spans="1:7" x14ac:dyDescent="0.25">
      <c r="A25283" s="1" t="str">
        <f>"520482"</f>
        <v>520482</v>
      </c>
      <c r="B25283" s="8" t="s">
        <v>145</v>
      </c>
      <c r="C25283" s="2" t="str">
        <f t="shared" si="998"/>
        <v>UN</v>
      </c>
      <c r="D25283" s="7">
        <v>901</v>
      </c>
      <c r="E25283" s="3">
        <v>11</v>
      </c>
      <c r="F25283" s="2">
        <v>0</v>
      </c>
      <c r="G25283" t="s">
        <v>513</v>
      </c>
    </row>
    <row r="25284" spans="1:7" x14ac:dyDescent="0.25">
      <c r="A25284" s="1" t="str">
        <f>"520481"</f>
        <v>520481</v>
      </c>
      <c r="B25284" s="8" t="s">
        <v>144</v>
      </c>
      <c r="C25284" s="2" t="str">
        <f t="shared" si="998"/>
        <v>UN</v>
      </c>
      <c r="D25284" s="7">
        <v>901</v>
      </c>
      <c r="E25284" s="3">
        <v>11</v>
      </c>
      <c r="F25284" s="2">
        <v>0</v>
      </c>
      <c r="G25284" t="s">
        <v>514</v>
      </c>
    </row>
    <row r="25285" spans="1:7" x14ac:dyDescent="0.25">
      <c r="A25285" s="1" t="str">
        <f>"526456"</f>
        <v>526456</v>
      </c>
      <c r="B25285" s="2" t="str">
        <f>"VALVULA SOLENOIDE VSNC-FC-M52-MD-G14-F8-B12"</f>
        <v>VALVULA SOLENOIDE VSNC-FC-M52-MD-G14-F8-B12</v>
      </c>
      <c r="C25285" s="2" t="str">
        <f t="shared" si="998"/>
        <v>UN</v>
      </c>
      <c r="D25285" s="7">
        <v>913</v>
      </c>
      <c r="E25285" s="3">
        <v>11</v>
      </c>
      <c r="F25285" s="2">
        <v>4</v>
      </c>
      <c r="G25285" t="s">
        <v>515</v>
      </c>
    </row>
    <row r="25286" spans="1:7" x14ac:dyDescent="0.25">
      <c r="A25286" s="1" t="str">
        <f>"516526"</f>
        <v>516526</v>
      </c>
      <c r="B25286" s="2" t="str">
        <f>"VALVULA SOLENOIDE VSVA-B-M52-AZD-D1-1T1L 543698"</f>
        <v>VALVULA SOLENOIDE VSVA-B-M52-AZD-D1-1T1L 543698</v>
      </c>
      <c r="C25286" s="2" t="str">
        <f t="shared" si="998"/>
        <v>UN</v>
      </c>
      <c r="D25286" s="7">
        <v>913</v>
      </c>
      <c r="E25286" s="3">
        <v>11</v>
      </c>
      <c r="F25286" s="2">
        <v>1</v>
      </c>
      <c r="G25286" t="s">
        <v>512</v>
      </c>
    </row>
    <row r="25287" spans="1:7" x14ac:dyDescent="0.25">
      <c r="A25287" s="1" t="str">
        <f>"517769"</f>
        <v>517769</v>
      </c>
      <c r="B25287" s="2" t="str">
        <f>"VALVULA SOLENOIDE VUVG-B14-M52-AZT-F-1P3"</f>
        <v>VALVULA SOLENOIDE VUVG-B14-M52-AZT-F-1P3</v>
      </c>
      <c r="C25287" s="2" t="str">
        <f t="shared" si="998"/>
        <v>UN</v>
      </c>
      <c r="D25287" s="7">
        <v>913</v>
      </c>
      <c r="E25287" s="3">
        <v>11</v>
      </c>
      <c r="F25287" s="2">
        <v>2</v>
      </c>
      <c r="G25287" t="s">
        <v>516</v>
      </c>
    </row>
    <row r="25288" spans="1:7" x14ac:dyDescent="0.25">
      <c r="A25288" s="1" t="str">
        <f>"513858"</f>
        <v>513858</v>
      </c>
      <c r="B25288" s="2" t="str">
        <f>"VALVULA SOLENOIDE-MFHS-1/8-L-S-B"</f>
        <v>VALVULA SOLENOIDE-MFHS-1/8-L-S-B</v>
      </c>
      <c r="C25288" s="2" t="str">
        <f t="shared" si="998"/>
        <v>UN</v>
      </c>
      <c r="D25288" s="7">
        <v>901</v>
      </c>
      <c r="E25288" s="3">
        <v>11</v>
      </c>
      <c r="F25288" s="2">
        <v>7</v>
      </c>
      <c r="G25288" t="s">
        <v>515</v>
      </c>
    </row>
    <row r="25289" spans="1:7" x14ac:dyDescent="0.25">
      <c r="A25289" s="1" t="str">
        <f>"521854"</f>
        <v>521854</v>
      </c>
      <c r="B25289" s="8" t="s">
        <v>236</v>
      </c>
      <c r="C25289" s="2" t="str">
        <f t="shared" si="998"/>
        <v>UN</v>
      </c>
      <c r="D25289" s="7">
        <v>913</v>
      </c>
      <c r="E25289" s="3">
        <v>11</v>
      </c>
      <c r="F25289" s="2">
        <v>9</v>
      </c>
      <c r="G25289" t="s">
        <v>514</v>
      </c>
    </row>
    <row r="25290" spans="1:7" x14ac:dyDescent="0.25">
      <c r="A25290" s="1" t="str">
        <f>"517974"</f>
        <v>517974</v>
      </c>
      <c r="B25290" s="2" t="str">
        <f>"VALVULA SOLINOIDE RETORNO OLEO 220V OU 24V 1/4"""</f>
        <v>VALVULA SOLINOIDE RETORNO OLEO 220V OU 24V 1/4"</v>
      </c>
      <c r="C25290" s="2" t="str">
        <f t="shared" si="998"/>
        <v>UN</v>
      </c>
      <c r="D25290" s="7">
        <v>811</v>
      </c>
      <c r="E25290" s="3">
        <v>8</v>
      </c>
      <c r="F25290" s="5">
        <v>5</v>
      </c>
      <c r="G25290" t="s">
        <v>512</v>
      </c>
    </row>
    <row r="25291" spans="1:7" x14ac:dyDescent="0.25">
      <c r="A25291" s="1" t="str">
        <f>"517176"</f>
        <v>517176</v>
      </c>
      <c r="B25291" s="2" t="str">
        <f>"VALVULA SPIRAX SARCO REG. PRESSÃO 0 A 10 KG 2"" BSP VAPOR"</f>
        <v>VALVULA SPIRAX SARCO REG. PRESSÃO 0 A 10 KG 2" BSP VAPOR</v>
      </c>
      <c r="C25291" s="2" t="str">
        <f t="shared" si="998"/>
        <v>UN</v>
      </c>
      <c r="D25291" s="7">
        <v>912</v>
      </c>
      <c r="E25291" s="3">
        <v>10</v>
      </c>
      <c r="F25291" s="2">
        <v>3</v>
      </c>
      <c r="G25291" t="s">
        <v>513</v>
      </c>
    </row>
    <row r="25292" spans="1:7" x14ac:dyDescent="0.25">
      <c r="A25292" s="1" t="str">
        <f>"517177"</f>
        <v>517177</v>
      </c>
      <c r="B25292" s="2" t="str">
        <f>"VALVULA SPIRAX SARCO REG. PRESSÃO 0 A 5 KG 1"" BSP VAPOR"</f>
        <v>VALVULA SPIRAX SARCO REG. PRESSÃO 0 A 5 KG 1" BSP VAPOR</v>
      </c>
      <c r="C25292" s="2" t="str">
        <f t="shared" si="998"/>
        <v>UN</v>
      </c>
      <c r="D25292" s="7">
        <v>912</v>
      </c>
      <c r="E25292" s="3">
        <v>10</v>
      </c>
      <c r="F25292" s="2">
        <v>8</v>
      </c>
      <c r="G25292" t="s">
        <v>514</v>
      </c>
    </row>
    <row r="25293" spans="1:7" x14ac:dyDescent="0.25">
      <c r="A25293" s="1" t="str">
        <f>"504467"</f>
        <v>504467</v>
      </c>
      <c r="B25293" s="2" t="str">
        <f>"VALVULA SUCCAO POPPET - POS.31 A-17-4"</f>
        <v>VALVULA SUCCAO POPPET - POS.31 A-17-4</v>
      </c>
      <c r="C25293" s="2" t="str">
        <f t="shared" si="998"/>
        <v>UN</v>
      </c>
      <c r="D25293" s="7">
        <v>918</v>
      </c>
      <c r="E25293" s="3">
        <v>11</v>
      </c>
      <c r="F25293" s="2">
        <v>6</v>
      </c>
      <c r="G25293" t="s">
        <v>514</v>
      </c>
    </row>
    <row r="25294" spans="1:7" x14ac:dyDescent="0.25">
      <c r="A25294" s="1" t="str">
        <f>"512564"</f>
        <v>512564</v>
      </c>
      <c r="B25294" s="2" t="str">
        <f>"VALVULA SUCÇAO/DES. POPPET CONICA SHL-30"</f>
        <v>VALVULA SUCÇAO/DES. POPPET CONICA SHL-30</v>
      </c>
      <c r="C25294" s="2" t="str">
        <f t="shared" si="998"/>
        <v>UN</v>
      </c>
      <c r="D25294" s="7">
        <v>704</v>
      </c>
      <c r="E25294" s="3">
        <v>9</v>
      </c>
      <c r="F25294" s="2">
        <v>4</v>
      </c>
      <c r="G25294" t="s">
        <v>512</v>
      </c>
    </row>
    <row r="25295" spans="1:7" x14ac:dyDescent="0.25">
      <c r="A25295" s="1" t="str">
        <f>"512792"</f>
        <v>512792</v>
      </c>
      <c r="B25295" s="2" t="str">
        <f>"VALVULA SUCÇÃO/DESCARGA 035104 APV CUBE 4600 APF-9554"</f>
        <v>VALVULA SUCÇÃO/DESCARGA 035104 APV CUBE 4600 APF-9554</v>
      </c>
      <c r="C25295" s="2" t="str">
        <f t="shared" si="998"/>
        <v>UN</v>
      </c>
      <c r="D25295" s="7">
        <v>918</v>
      </c>
      <c r="E25295" s="3">
        <v>11</v>
      </c>
      <c r="F25295" s="2">
        <v>1</v>
      </c>
      <c r="G25295" t="s">
        <v>513</v>
      </c>
    </row>
    <row r="25296" spans="1:7" x14ac:dyDescent="0.25">
      <c r="A25296" s="1" t="str">
        <f>"512455"</f>
        <v>512455</v>
      </c>
      <c r="B25296" s="2" t="str">
        <f>"VALVULA SUCCAO/DESCARGA APF-0581L"</f>
        <v>VALVULA SUCCAO/DESCARGA APF-0581L</v>
      </c>
      <c r="C25296" s="2" t="str">
        <f t="shared" si="998"/>
        <v>UN</v>
      </c>
      <c r="D25296" s="7">
        <v>918</v>
      </c>
      <c r="E25296" s="3">
        <v>11</v>
      </c>
      <c r="F25296" s="2">
        <v>2</v>
      </c>
      <c r="G25296" t="s">
        <v>514</v>
      </c>
    </row>
    <row r="25297" spans="1:7" x14ac:dyDescent="0.25">
      <c r="A25297" s="1" t="str">
        <f>"516645"</f>
        <v>516645</v>
      </c>
      <c r="B25297" s="2" t="str">
        <f>"VALVULA SUCCAO/DESCARGA APF-6712 RANNIE 132T-70.140"</f>
        <v>VALVULA SUCCAO/DESCARGA APF-6712 RANNIE 132T-70.140</v>
      </c>
      <c r="C25297" s="2" t="str">
        <f t="shared" si="998"/>
        <v>UN</v>
      </c>
      <c r="D25297" s="7">
        <v>918</v>
      </c>
      <c r="E25297" s="3">
        <v>11</v>
      </c>
      <c r="F25297" s="2">
        <v>7</v>
      </c>
      <c r="G25297" t="s">
        <v>514</v>
      </c>
    </row>
    <row r="25298" spans="1:7" x14ac:dyDescent="0.25">
      <c r="A25298" s="1" t="str">
        <f>"504431"</f>
        <v>504431</v>
      </c>
      <c r="B25298" s="2" t="str">
        <f>"VALVULA TERMO"</f>
        <v>VALVULA TERMO</v>
      </c>
      <c r="C25298" s="2" t="str">
        <f t="shared" si="998"/>
        <v>UN</v>
      </c>
      <c r="D25298" s="7">
        <v>704</v>
      </c>
      <c r="E25298" s="3">
        <v>9</v>
      </c>
      <c r="F25298" s="2">
        <v>9</v>
      </c>
      <c r="G25298" t="s">
        <v>514</v>
      </c>
    </row>
    <row r="25299" spans="1:7" x14ac:dyDescent="0.25">
      <c r="A25299" s="1" t="str">
        <f>"506991"</f>
        <v>506991</v>
      </c>
      <c r="B25299" s="2" t="str">
        <f>"VALVULA TERMOSTATICA"</f>
        <v>VALVULA TERMOSTATICA</v>
      </c>
      <c r="C25299" s="2" t="str">
        <f t="shared" si="998"/>
        <v>UN</v>
      </c>
      <c r="D25299" s="7">
        <v>704</v>
      </c>
      <c r="E25299" s="3">
        <v>9</v>
      </c>
      <c r="F25299" s="2">
        <v>0</v>
      </c>
      <c r="G25299" t="s">
        <v>513</v>
      </c>
    </row>
    <row r="25300" spans="1:7" x14ac:dyDescent="0.25">
      <c r="A25300" s="1" t="str">
        <f>"507871"</f>
        <v>507871</v>
      </c>
      <c r="B25300" s="2" t="str">
        <f>"VALVULA TERMOSTATICA"</f>
        <v>VALVULA TERMOSTATICA</v>
      </c>
      <c r="C25300" s="2" t="str">
        <f t="shared" si="998"/>
        <v>UN</v>
      </c>
      <c r="D25300" s="7">
        <v>704</v>
      </c>
      <c r="E25300" s="3">
        <v>9</v>
      </c>
      <c r="F25300" s="2">
        <v>0</v>
      </c>
      <c r="G25300" t="s">
        <v>512</v>
      </c>
    </row>
    <row r="25301" spans="1:7" x14ac:dyDescent="0.25">
      <c r="A25301" s="1" t="str">
        <f>"500445"</f>
        <v>500445</v>
      </c>
      <c r="B25301" s="2" t="str">
        <f>"VALVULA TP WCB 300LB PR CS"</f>
        <v>VALVULA TP WCB 300LB PR CS</v>
      </c>
      <c r="C25301" s="2" t="str">
        <f>"BR"</f>
        <v>BR</v>
      </c>
      <c r="D25301" s="7">
        <v>808</v>
      </c>
      <c r="E25301" s="3">
        <v>10</v>
      </c>
      <c r="F25301" s="2">
        <v>2</v>
      </c>
      <c r="G25301" t="s">
        <v>513</v>
      </c>
    </row>
    <row r="25302" spans="1:7" x14ac:dyDescent="0.25">
      <c r="A25302" s="1" t="str">
        <f>"508797"</f>
        <v>508797</v>
      </c>
      <c r="B25302" s="2" t="str">
        <f>"VALVULA V413"</f>
        <v>VALVULA V413</v>
      </c>
      <c r="C25302" s="2" t="str">
        <f t="shared" ref="C25302:C25309" si="999">"UN"</f>
        <v>UN</v>
      </c>
      <c r="D25302" s="7">
        <v>704</v>
      </c>
      <c r="E25302" s="3">
        <v>9</v>
      </c>
      <c r="F25302" s="2">
        <v>5</v>
      </c>
      <c r="G25302" t="s">
        <v>514</v>
      </c>
    </row>
    <row r="25303" spans="1:7" x14ac:dyDescent="0.25">
      <c r="A25303" s="1" t="str">
        <f>"508431"</f>
        <v>508431</v>
      </c>
      <c r="B25303" s="2" t="str">
        <f>"VALVULA V418/V-414LR"</f>
        <v>VALVULA V418/V-414LR</v>
      </c>
      <c r="C25303" s="2" t="str">
        <f t="shared" si="999"/>
        <v>UN</v>
      </c>
      <c r="D25303" s="7">
        <v>704</v>
      </c>
      <c r="E25303" s="3">
        <v>9</v>
      </c>
      <c r="F25303" s="2">
        <v>6</v>
      </c>
      <c r="G25303" t="s">
        <v>514</v>
      </c>
    </row>
    <row r="25304" spans="1:7" x14ac:dyDescent="0.25">
      <c r="A25304" s="1" t="str">
        <f>"520296"</f>
        <v>520296</v>
      </c>
      <c r="B25304" s="2" t="str">
        <f>"VALVULA VAPOR THERMOVAL 1"""</f>
        <v>VALVULA VAPOR THERMOVAL 1"</v>
      </c>
      <c r="C25304" s="2" t="str">
        <f t="shared" si="999"/>
        <v>UN</v>
      </c>
      <c r="D25304" s="7">
        <v>918</v>
      </c>
      <c r="E25304" s="3">
        <v>11</v>
      </c>
      <c r="F25304" s="2">
        <v>9</v>
      </c>
      <c r="G25304" t="s">
        <v>514</v>
      </c>
    </row>
    <row r="25305" spans="1:7" x14ac:dyDescent="0.25">
      <c r="A25305" s="1" t="str">
        <f>"520295"</f>
        <v>520295</v>
      </c>
      <c r="B25305" s="2" t="str">
        <f>"VALVULA VAPOR THERMOVAL 3/4"</f>
        <v>VALVULA VAPOR THERMOVAL 3/4</v>
      </c>
      <c r="C25305" s="2" t="str">
        <f t="shared" si="999"/>
        <v>UN</v>
      </c>
      <c r="D25305" s="7">
        <v>918</v>
      </c>
      <c r="E25305" s="3">
        <v>11</v>
      </c>
      <c r="F25305" s="2">
        <v>5</v>
      </c>
      <c r="G25305" t="s">
        <v>513</v>
      </c>
    </row>
    <row r="25306" spans="1:7" x14ac:dyDescent="0.25">
      <c r="A25306" s="1" t="str">
        <f>"526235"</f>
        <v>526235</v>
      </c>
      <c r="B25306" s="2" t="str">
        <f>"VALVULA VSA F13 SER. 48268 CONX 1NPT PRES.18KGF.EDC"</f>
        <v>VALVULA VSA F13 SER. 48268 CONX 1NPT PRES.18KGF.EDC</v>
      </c>
      <c r="C25306" s="2" t="str">
        <f t="shared" si="999"/>
        <v>UN</v>
      </c>
      <c r="D25306" s="7">
        <v>918</v>
      </c>
      <c r="E25306" s="3">
        <v>11</v>
      </c>
      <c r="F25306" s="2">
        <v>3</v>
      </c>
      <c r="G25306" t="s">
        <v>513</v>
      </c>
    </row>
    <row r="25307" spans="1:7" x14ac:dyDescent="0.25">
      <c r="A25307" s="1" t="str">
        <f>"510666"</f>
        <v>510666</v>
      </c>
      <c r="B25307" s="2" t="str">
        <f>"VALVULA Z2FS1023"</f>
        <v>VALVULA Z2FS1023</v>
      </c>
      <c r="C25307" s="2" t="str">
        <f t="shared" si="999"/>
        <v>UN</v>
      </c>
      <c r="D25307" s="7">
        <v>918</v>
      </c>
      <c r="E25307" s="3">
        <v>11</v>
      </c>
      <c r="F25307" s="2">
        <v>3</v>
      </c>
      <c r="G25307" t="s">
        <v>513</v>
      </c>
    </row>
    <row r="25308" spans="1:7" x14ac:dyDescent="0.25">
      <c r="A25308" s="1" t="str">
        <f>"510660"</f>
        <v>510660</v>
      </c>
      <c r="B25308" s="2" t="str">
        <f>"VALVULA ZDR10DB2-42-210YN"</f>
        <v>VALVULA ZDR10DB2-42-210YN</v>
      </c>
      <c r="C25308" s="2" t="str">
        <f t="shared" si="999"/>
        <v>UN</v>
      </c>
      <c r="D25308" s="7">
        <v>918</v>
      </c>
      <c r="E25308" s="3">
        <v>11</v>
      </c>
      <c r="F25308" s="2">
        <v>2</v>
      </c>
      <c r="G25308" t="s">
        <v>512</v>
      </c>
    </row>
    <row r="25309" spans="1:7" x14ac:dyDescent="0.25">
      <c r="A25309" s="1" t="str">
        <f>"517146"</f>
        <v>517146</v>
      </c>
      <c r="B25309" s="2" t="str">
        <f>"VALVULAS CONTROLE DE PROCESSO H9041010B - Z220V-60HZ"</f>
        <v>VALVULAS CONTROLE DE PROCESSO H9041010B - Z220V-60HZ</v>
      </c>
      <c r="C25309" s="2" t="str">
        <f t="shared" si="999"/>
        <v>UN</v>
      </c>
      <c r="D25309" s="7">
        <v>811</v>
      </c>
      <c r="E25309" s="3">
        <v>8</v>
      </c>
      <c r="F25309" s="2">
        <v>1</v>
      </c>
      <c r="G25309" t="s">
        <v>513</v>
      </c>
    </row>
    <row r="25310" spans="1:7" x14ac:dyDescent="0.25">
      <c r="A25310" s="1" t="str">
        <f>"3619"</f>
        <v>3619</v>
      </c>
      <c r="B25310" s="2" t="str">
        <f>"VANILLA FLAVOR"</f>
        <v>VANILLA FLAVOR</v>
      </c>
      <c r="C25310" s="2" t="str">
        <f>"kg"</f>
        <v>kg</v>
      </c>
      <c r="D25310" s="7">
        <v>206</v>
      </c>
      <c r="E25310" s="3">
        <v>2</v>
      </c>
      <c r="F25310" s="2">
        <v>4</v>
      </c>
      <c r="G25310" t="s">
        <v>514</v>
      </c>
    </row>
    <row r="25311" spans="1:7" x14ac:dyDescent="0.25">
      <c r="A25311" s="1" t="str">
        <f>"514276"</f>
        <v>514276</v>
      </c>
      <c r="B25311" s="2" t="str">
        <f>"VANISH 500ML"</f>
        <v>VANISH 500ML</v>
      </c>
      <c r="C25311" s="2" t="str">
        <f t="shared" ref="C25311:C25328" si="1000">"UN"</f>
        <v>UN</v>
      </c>
      <c r="D25311" s="7">
        <v>401</v>
      </c>
      <c r="E25311" s="3">
        <v>4</v>
      </c>
      <c r="F25311" s="2">
        <v>6</v>
      </c>
      <c r="G25311" t="s">
        <v>515</v>
      </c>
    </row>
    <row r="25312" spans="1:7" x14ac:dyDescent="0.25">
      <c r="A25312" s="1" t="str">
        <f>"528157"</f>
        <v>528157</v>
      </c>
      <c r="B25312" s="2" t="str">
        <f>"VAPOR FRIO SMALI V5000"</f>
        <v>VAPOR FRIO SMALI V5000</v>
      </c>
      <c r="C25312" s="2" t="str">
        <f t="shared" si="1000"/>
        <v>UN</v>
      </c>
      <c r="D25312" s="7">
        <v>918</v>
      </c>
      <c r="E25312" s="3">
        <v>11</v>
      </c>
      <c r="F25312" s="2">
        <v>8</v>
      </c>
      <c r="G25312" t="s">
        <v>512</v>
      </c>
    </row>
    <row r="25313" spans="1:7" x14ac:dyDescent="0.25">
      <c r="A25313" s="1" t="str">
        <f>"513907"</f>
        <v>513907</v>
      </c>
      <c r="B25313" s="2" t="str">
        <f>"VAR AL ER 4043 3,20MM"</f>
        <v>VAR AL ER 4043 3,20MM</v>
      </c>
      <c r="C25313" s="2" t="str">
        <f t="shared" si="1000"/>
        <v>UN</v>
      </c>
      <c r="D25313" s="7">
        <v>99999</v>
      </c>
      <c r="E25313" s="3">
        <v>99</v>
      </c>
      <c r="F25313" s="2">
        <v>7</v>
      </c>
      <c r="G25313" t="s">
        <v>516</v>
      </c>
    </row>
    <row r="25314" spans="1:7" x14ac:dyDescent="0.25">
      <c r="A25314" s="1" t="str">
        <f>"510153"</f>
        <v>510153</v>
      </c>
      <c r="B25314" s="2" t="str">
        <f>"VARA MAN. FIBRA VIDRO 1CAB. 1PU. 6ELEMEN"</f>
        <v>VARA MAN. FIBRA VIDRO 1CAB. 1PU. 6ELEMEN</v>
      </c>
      <c r="C25314" s="2" t="str">
        <f t="shared" si="1000"/>
        <v>UN</v>
      </c>
      <c r="D25314" s="7">
        <v>601</v>
      </c>
      <c r="E25314" s="3">
        <v>8</v>
      </c>
      <c r="F25314" s="2">
        <v>6</v>
      </c>
      <c r="G25314" t="s">
        <v>515</v>
      </c>
    </row>
    <row r="25315" spans="1:7" x14ac:dyDescent="0.25">
      <c r="A25315" s="1" t="str">
        <f>"514967"</f>
        <v>514967</v>
      </c>
      <c r="B25315" s="2" t="str">
        <f>"VARAL ROUPA"</f>
        <v>VARAL ROUPA</v>
      </c>
      <c r="C25315" s="2" t="str">
        <f t="shared" si="1000"/>
        <v>UN</v>
      </c>
      <c r="D25315" s="7">
        <v>401</v>
      </c>
      <c r="E25315" s="3">
        <v>4</v>
      </c>
      <c r="F25315" s="2">
        <v>6</v>
      </c>
      <c r="G25315" t="s">
        <v>514</v>
      </c>
    </row>
    <row r="25316" spans="1:7" x14ac:dyDescent="0.25">
      <c r="A25316" s="1" t="str">
        <f>"514177"</f>
        <v>514177</v>
      </c>
      <c r="B25316" s="2" t="str">
        <f>"VARAO"</f>
        <v>VARAO</v>
      </c>
      <c r="C25316" s="2" t="str">
        <f t="shared" si="1000"/>
        <v>UN</v>
      </c>
      <c r="D25316" s="7">
        <v>704</v>
      </c>
      <c r="E25316" s="3">
        <v>9</v>
      </c>
      <c r="F25316" s="2">
        <v>2</v>
      </c>
      <c r="G25316" t="s">
        <v>512</v>
      </c>
    </row>
    <row r="25317" spans="1:7" x14ac:dyDescent="0.25">
      <c r="A25317" s="1" t="str">
        <f>"517922"</f>
        <v>517922</v>
      </c>
      <c r="B25317" s="2" t="str">
        <f>"VARÃO GUIA TRAPP"</f>
        <v>VARÃO GUIA TRAPP</v>
      </c>
      <c r="C25317" s="2" t="str">
        <f t="shared" si="1000"/>
        <v>UN</v>
      </c>
      <c r="D25317" s="7">
        <v>918</v>
      </c>
      <c r="E25317" s="3">
        <v>11</v>
      </c>
      <c r="F25317" s="2">
        <v>1</v>
      </c>
      <c r="G25317" t="s">
        <v>513</v>
      </c>
    </row>
    <row r="25318" spans="1:7" x14ac:dyDescent="0.25">
      <c r="A25318" s="1" t="str">
        <f>"515164"</f>
        <v>515164</v>
      </c>
      <c r="B25318" s="2" t="str">
        <f>"VARETA"</f>
        <v>VARETA</v>
      </c>
      <c r="C25318" s="2" t="str">
        <f t="shared" si="1000"/>
        <v>UN</v>
      </c>
      <c r="D25318" s="7">
        <v>401</v>
      </c>
      <c r="E25318" s="3">
        <v>4</v>
      </c>
      <c r="F25318" s="2">
        <v>0</v>
      </c>
      <c r="G25318" t="s">
        <v>514</v>
      </c>
    </row>
    <row r="25319" spans="1:7" x14ac:dyDescent="0.25">
      <c r="A25319" s="1" t="str">
        <f>"528162"</f>
        <v>528162</v>
      </c>
      <c r="B25319" s="2" t="str">
        <f>"VARETA FOSCOPER 2,50MM SOBP702V250"</f>
        <v>VARETA FOSCOPER 2,50MM SOBP702V250</v>
      </c>
      <c r="C25319" s="2" t="str">
        <f t="shared" si="1000"/>
        <v>UN</v>
      </c>
      <c r="D25319" s="7">
        <v>918</v>
      </c>
      <c r="E25319" s="3">
        <v>11</v>
      </c>
      <c r="F25319" s="2">
        <v>0</v>
      </c>
      <c r="G25319" t="s">
        <v>514</v>
      </c>
    </row>
    <row r="25320" spans="1:7" x14ac:dyDescent="0.25">
      <c r="A25320" s="1" t="str">
        <f>"525909"</f>
        <v>525909</v>
      </c>
      <c r="B25320" s="2" t="str">
        <f>"VARETA INOX  3,25MM 316L"</f>
        <v>VARETA INOX  3,25MM 316L</v>
      </c>
      <c r="C25320" s="2" t="str">
        <f t="shared" si="1000"/>
        <v>UN</v>
      </c>
      <c r="D25320" s="7">
        <v>704</v>
      </c>
      <c r="E25320" s="3">
        <v>9</v>
      </c>
      <c r="F25320" s="2">
        <v>0</v>
      </c>
      <c r="G25320" t="s">
        <v>512</v>
      </c>
    </row>
    <row r="25321" spans="1:7" x14ac:dyDescent="0.25">
      <c r="A25321" s="1" t="str">
        <f>"511243"</f>
        <v>511243</v>
      </c>
      <c r="B25321" s="2" t="str">
        <f>"VARETA LATAO TREFILADO 1/8"</f>
        <v>VARETA LATAO TREFILADO 1/8</v>
      </c>
      <c r="C25321" s="2" t="str">
        <f t="shared" si="1000"/>
        <v>UN</v>
      </c>
      <c r="D25321" s="7">
        <v>402</v>
      </c>
      <c r="E25321" s="3">
        <v>4</v>
      </c>
      <c r="F25321" s="2">
        <v>3</v>
      </c>
      <c r="G25321" t="s">
        <v>513</v>
      </c>
    </row>
    <row r="25322" spans="1:7" x14ac:dyDescent="0.25">
      <c r="A25322" s="1" t="str">
        <f>"510952"</f>
        <v>510952</v>
      </c>
      <c r="B25322" s="2" t="str">
        <f>"VARETA MEDIDOR OLEO"</f>
        <v>VARETA MEDIDOR OLEO</v>
      </c>
      <c r="C25322" s="2" t="str">
        <f t="shared" si="1000"/>
        <v>UN</v>
      </c>
      <c r="D25322" s="7">
        <v>704</v>
      </c>
      <c r="E25322" s="3">
        <v>9</v>
      </c>
      <c r="F25322" s="5">
        <v>5</v>
      </c>
      <c r="G25322" t="s">
        <v>514</v>
      </c>
    </row>
    <row r="25323" spans="1:7" x14ac:dyDescent="0.25">
      <c r="A25323" s="1" t="str">
        <f>"513584"</f>
        <v>513584</v>
      </c>
      <c r="B25323" s="2" t="str">
        <f>"VARETA SOLDA AÇO CARBONO 1,6MM"</f>
        <v>VARETA SOLDA AÇO CARBONO 1,6MM</v>
      </c>
      <c r="C25323" s="2" t="str">
        <f t="shared" si="1000"/>
        <v>UN</v>
      </c>
      <c r="D25323" s="7">
        <v>918</v>
      </c>
      <c r="E25323" s="3">
        <v>11</v>
      </c>
      <c r="F25323" s="2">
        <v>3</v>
      </c>
      <c r="G25323" t="s">
        <v>514</v>
      </c>
    </row>
    <row r="25324" spans="1:7" x14ac:dyDescent="0.25">
      <c r="A25324" s="1" t="str">
        <f>"515920"</f>
        <v>515920</v>
      </c>
      <c r="B25324" s="2" t="str">
        <f>"VARETA SOLDA AÇO CARBONO 3MM"</f>
        <v>VARETA SOLDA AÇO CARBONO 3MM</v>
      </c>
      <c r="C25324" s="2" t="str">
        <f t="shared" si="1000"/>
        <v>UN</v>
      </c>
      <c r="D25324" s="7">
        <v>99999</v>
      </c>
      <c r="E25324" s="3">
        <v>10</v>
      </c>
      <c r="F25324" s="2">
        <v>8</v>
      </c>
      <c r="G25324" t="s">
        <v>514</v>
      </c>
    </row>
    <row r="25325" spans="1:7" x14ac:dyDescent="0.25">
      <c r="A25325" s="1" t="str">
        <f>"506769"</f>
        <v>506769</v>
      </c>
      <c r="B25325" s="2" t="str">
        <f>"VARETA SOLDA ALUMINIO 2,5MM"</f>
        <v>VARETA SOLDA ALUMINIO 2,5MM</v>
      </c>
      <c r="C25325" s="2" t="str">
        <f t="shared" si="1000"/>
        <v>UN</v>
      </c>
      <c r="D25325" s="7">
        <v>918</v>
      </c>
      <c r="E25325" s="3">
        <v>11</v>
      </c>
      <c r="F25325" s="2">
        <v>6</v>
      </c>
      <c r="G25325" t="s">
        <v>513</v>
      </c>
    </row>
    <row r="25326" spans="1:7" x14ac:dyDescent="0.25">
      <c r="A25326" s="1" t="str">
        <f>"502157"</f>
        <v>502157</v>
      </c>
      <c r="B25326" s="2" t="str">
        <f>"VARETA SOLDA INOX ER 1,6MM"</f>
        <v>VARETA SOLDA INOX ER 1,6MM</v>
      </c>
      <c r="C25326" s="2" t="str">
        <f t="shared" si="1000"/>
        <v>UN</v>
      </c>
      <c r="D25326" s="7">
        <v>818</v>
      </c>
      <c r="E25326" s="3">
        <v>10</v>
      </c>
      <c r="F25326" s="2">
        <v>4</v>
      </c>
      <c r="G25326" t="s">
        <v>512</v>
      </c>
    </row>
    <row r="25327" spans="1:7" x14ac:dyDescent="0.25">
      <c r="A25327" s="1" t="str">
        <f>"502188"</f>
        <v>502188</v>
      </c>
      <c r="B25327" s="2" t="str">
        <f>"VARETA SOLDA INOX TIG ER 1,60MM 316"</f>
        <v>VARETA SOLDA INOX TIG ER 1,60MM 316</v>
      </c>
      <c r="C25327" s="2" t="str">
        <f t="shared" si="1000"/>
        <v>UN</v>
      </c>
      <c r="D25327" s="7">
        <v>816</v>
      </c>
      <c r="E25327" s="3">
        <v>10</v>
      </c>
      <c r="F25327" s="2">
        <v>1</v>
      </c>
      <c r="G25327" t="s">
        <v>513</v>
      </c>
    </row>
    <row r="25328" spans="1:7" x14ac:dyDescent="0.25">
      <c r="A25328" s="1" t="str">
        <f>"519041"</f>
        <v>519041</v>
      </c>
      <c r="B25328" s="2" t="str">
        <f>"VARETA SOLDA INOX TIG ER 2,00MM 316"</f>
        <v>VARETA SOLDA INOX TIG ER 2,00MM 316</v>
      </c>
      <c r="C25328" s="2" t="str">
        <f t="shared" si="1000"/>
        <v>UN</v>
      </c>
      <c r="D25328" s="7">
        <v>816</v>
      </c>
      <c r="E25328" s="3">
        <v>10</v>
      </c>
      <c r="F25328" s="2">
        <v>2</v>
      </c>
      <c r="G25328" t="s">
        <v>514</v>
      </c>
    </row>
    <row r="25329" spans="1:7" x14ac:dyDescent="0.25">
      <c r="A25329" s="1" t="str">
        <f>"525085"</f>
        <v>525085</v>
      </c>
      <c r="B25329" s="2" t="str">
        <f>"VARETA SOLDA INOX TIG ER 3,25MM 316"</f>
        <v>VARETA SOLDA INOX TIG ER 3,25MM 316</v>
      </c>
      <c r="C25329" s="2" t="str">
        <f>"KG"</f>
        <v>KG</v>
      </c>
      <c r="D25329" s="7">
        <v>816</v>
      </c>
      <c r="E25329" s="3">
        <v>10</v>
      </c>
      <c r="F25329" s="2">
        <v>7</v>
      </c>
      <c r="G25329" t="s">
        <v>514</v>
      </c>
    </row>
    <row r="25330" spans="1:7" x14ac:dyDescent="0.25">
      <c r="A25330" s="1" t="str">
        <f>"510418"</f>
        <v>510418</v>
      </c>
      <c r="B25330" s="2" t="str">
        <f>"VARETA SOLDA METAL COBRE"</f>
        <v>VARETA SOLDA METAL COBRE</v>
      </c>
      <c r="C25330" s="2" t="str">
        <f t="shared" ref="C25330:C25340" si="1001">"UN"</f>
        <v>UN</v>
      </c>
      <c r="D25330" s="7">
        <v>918</v>
      </c>
      <c r="E25330" s="3">
        <v>11</v>
      </c>
      <c r="F25330" s="2">
        <v>9</v>
      </c>
      <c r="G25330" t="s">
        <v>514</v>
      </c>
    </row>
    <row r="25331" spans="1:7" x14ac:dyDescent="0.25">
      <c r="A25331" s="1" t="str">
        <f>"520577"</f>
        <v>520577</v>
      </c>
      <c r="B25331" s="2" t="str">
        <f>"VARETA TOMBADOR FRASCO 80G TIPO COLHER"</f>
        <v>VARETA TOMBADOR FRASCO 80G TIPO COLHER</v>
      </c>
      <c r="C25331" s="2" t="str">
        <f t="shared" si="1001"/>
        <v>UN</v>
      </c>
      <c r="D25331" s="7">
        <v>918</v>
      </c>
      <c r="E25331" s="3">
        <v>11</v>
      </c>
      <c r="F25331" s="2">
        <v>0</v>
      </c>
      <c r="G25331" t="s">
        <v>513</v>
      </c>
    </row>
    <row r="25332" spans="1:7" x14ac:dyDescent="0.25">
      <c r="A25332" s="1" t="str">
        <f>"520606"</f>
        <v>520606</v>
      </c>
      <c r="B25332" s="2" t="str">
        <f>"VARETA TOMBADOR PARA FRASCO 900g"</f>
        <v>VARETA TOMBADOR PARA FRASCO 900g</v>
      </c>
      <c r="C25332" s="2" t="str">
        <f t="shared" si="1001"/>
        <v>UN</v>
      </c>
      <c r="D25332" s="7">
        <v>918</v>
      </c>
      <c r="E25332" s="3">
        <v>11</v>
      </c>
      <c r="F25332" s="2">
        <v>0</v>
      </c>
      <c r="G25332" t="s">
        <v>513</v>
      </c>
    </row>
    <row r="25333" spans="1:7" x14ac:dyDescent="0.25">
      <c r="A25333" s="1" t="str">
        <f>"515092"</f>
        <v>515092</v>
      </c>
      <c r="B25333" s="2" t="str">
        <f>"VARETA VALVULA OM 457"</f>
        <v>VARETA VALVULA OM 457</v>
      </c>
      <c r="C25333" s="2" t="str">
        <f t="shared" si="1001"/>
        <v>UN</v>
      </c>
      <c r="D25333" s="7">
        <v>704</v>
      </c>
      <c r="E25333" s="3">
        <v>9</v>
      </c>
      <c r="F25333" s="2">
        <v>2</v>
      </c>
      <c r="G25333" t="s">
        <v>513</v>
      </c>
    </row>
    <row r="25334" spans="1:7" x14ac:dyDescent="0.25">
      <c r="A25334" s="1" t="str">
        <f>"509194"</f>
        <v>509194</v>
      </c>
      <c r="B25334" s="2" t="str">
        <f>"VARISTOR S14-K275"</f>
        <v>VARISTOR S14-K275</v>
      </c>
      <c r="C25334" s="2" t="str">
        <f t="shared" si="1001"/>
        <v>UN</v>
      </c>
      <c r="D25334" s="7">
        <v>600</v>
      </c>
      <c r="E25334" s="3">
        <v>8</v>
      </c>
      <c r="F25334" s="2">
        <v>5</v>
      </c>
      <c r="G25334" t="s">
        <v>512</v>
      </c>
    </row>
    <row r="25335" spans="1:7" x14ac:dyDescent="0.25">
      <c r="A25335" s="1" t="str">
        <f>"500676"</f>
        <v>500676</v>
      </c>
      <c r="B25335" s="2" t="str">
        <f>"VASELINA SOLIDA 500GR"</f>
        <v>VASELINA SOLIDA 500GR</v>
      </c>
      <c r="C25335" s="2" t="str">
        <f t="shared" si="1001"/>
        <v>UN</v>
      </c>
      <c r="D25335" s="7">
        <v>402</v>
      </c>
      <c r="E25335" s="3">
        <v>4</v>
      </c>
      <c r="F25335" s="2">
        <v>6</v>
      </c>
      <c r="G25335" t="s">
        <v>513</v>
      </c>
    </row>
    <row r="25336" spans="1:7" x14ac:dyDescent="0.25">
      <c r="A25336" s="1" t="str">
        <f>"512443"</f>
        <v>512443</v>
      </c>
      <c r="B25336" s="2" t="str">
        <f>"VASELINA SPRAY 200ML"</f>
        <v>VASELINA SPRAY 200ML</v>
      </c>
      <c r="C25336" s="2" t="str">
        <f t="shared" si="1001"/>
        <v>UN</v>
      </c>
      <c r="D25336" s="7">
        <v>402</v>
      </c>
      <c r="E25336" s="3">
        <v>4</v>
      </c>
      <c r="F25336" s="2">
        <v>9</v>
      </c>
      <c r="G25336" t="s">
        <v>514</v>
      </c>
    </row>
    <row r="25337" spans="1:7" x14ac:dyDescent="0.25">
      <c r="A25337" s="1" t="str">
        <f>"524294"</f>
        <v>524294</v>
      </c>
      <c r="B25337" s="2" t="str">
        <f>"VASILHAME TINTAS E SOLVENTES"</f>
        <v>VASILHAME TINTAS E SOLVENTES</v>
      </c>
      <c r="C25337" s="2" t="str">
        <f t="shared" si="1001"/>
        <v>UN</v>
      </c>
      <c r="D25337" s="7">
        <v>99999</v>
      </c>
      <c r="E25337" s="3">
        <v>99</v>
      </c>
      <c r="F25337" s="2">
        <v>5</v>
      </c>
      <c r="G25337" t="s">
        <v>515</v>
      </c>
    </row>
    <row r="25338" spans="1:7" x14ac:dyDescent="0.25">
      <c r="A25338" s="1" t="str">
        <f>"527758"</f>
        <v>527758</v>
      </c>
      <c r="B25338" s="2" t="str">
        <f>"VASILHAMES CONTAMINADOS"</f>
        <v>VASILHAMES CONTAMINADOS</v>
      </c>
      <c r="C25338" s="2" t="str">
        <f t="shared" si="1001"/>
        <v>UN</v>
      </c>
      <c r="D25338" s="7">
        <v>99999</v>
      </c>
      <c r="E25338" s="3">
        <v>99</v>
      </c>
      <c r="F25338" s="2">
        <v>3</v>
      </c>
      <c r="G25338" t="s">
        <v>512</v>
      </c>
    </row>
    <row r="25339" spans="1:7" x14ac:dyDescent="0.25">
      <c r="A25339" s="1" t="str">
        <f>"524555"</f>
        <v>524555</v>
      </c>
      <c r="B25339" s="2" t="str">
        <f>"VASO SANITARIO BRANCO DECA"</f>
        <v>VASO SANITARIO BRANCO DECA</v>
      </c>
      <c r="C25339" s="2" t="str">
        <f t="shared" si="1001"/>
        <v>UN</v>
      </c>
      <c r="D25339" s="7">
        <v>917</v>
      </c>
      <c r="E25339" s="3">
        <v>10</v>
      </c>
      <c r="F25339" s="2">
        <v>3</v>
      </c>
      <c r="G25339" t="s">
        <v>516</v>
      </c>
    </row>
    <row r="25340" spans="1:7" x14ac:dyDescent="0.25">
      <c r="A25340" s="1" t="str">
        <f>"518229"</f>
        <v>518229</v>
      </c>
      <c r="B25340" s="2" t="str">
        <f>"VASOS PLANTADOS"</f>
        <v>VASOS PLANTADOS</v>
      </c>
      <c r="C25340" s="2" t="str">
        <f t="shared" si="1001"/>
        <v>UN</v>
      </c>
      <c r="D25340" s="7">
        <v>1200</v>
      </c>
      <c r="E25340" s="3">
        <v>4</v>
      </c>
      <c r="F25340" s="2">
        <v>2</v>
      </c>
      <c r="G25340" t="s">
        <v>515</v>
      </c>
    </row>
    <row r="25341" spans="1:7" x14ac:dyDescent="0.25">
      <c r="A25341" s="1" t="str">
        <f>"2672"</f>
        <v>2672</v>
      </c>
      <c r="B25341" s="2" t="str">
        <f>"VASS. NYLON PELO MEIA BOLA"</f>
        <v>VASS. NYLON PELO MEIA BOLA</v>
      </c>
      <c r="C25341" s="2" t="str">
        <f>"PC"</f>
        <v>PC</v>
      </c>
      <c r="D25341" s="7">
        <v>400</v>
      </c>
      <c r="E25341" s="3">
        <v>4</v>
      </c>
      <c r="F25341" s="2">
        <v>1</v>
      </c>
      <c r="G25341" t="s">
        <v>514</v>
      </c>
    </row>
    <row r="25342" spans="1:7" x14ac:dyDescent="0.25">
      <c r="A25342" s="1" t="str">
        <f>"521062"</f>
        <v>521062</v>
      </c>
      <c r="B25342" s="2" t="str">
        <f>"VASSOURA (COR AZUL CÓD. 15204)"</f>
        <v>VASSOURA (COR AZUL CÓD. 15204)</v>
      </c>
      <c r="C25342" s="2" t="str">
        <f t="shared" ref="C25342:C25381" si="1002">"UN"</f>
        <v>UN</v>
      </c>
      <c r="D25342" s="7">
        <v>400</v>
      </c>
      <c r="E25342" s="3">
        <v>4</v>
      </c>
      <c r="F25342" s="2">
        <v>4</v>
      </c>
      <c r="G25342" t="s">
        <v>512</v>
      </c>
    </row>
    <row r="25343" spans="1:7" x14ac:dyDescent="0.25">
      <c r="A25343" s="1" t="str">
        <f>"1924"</f>
        <v>1924</v>
      </c>
      <c r="B25343" s="2" t="str">
        <f>"VASSOURA CAIPIRA"</f>
        <v>VASSOURA CAIPIRA</v>
      </c>
      <c r="C25343" s="2" t="str">
        <f t="shared" si="1002"/>
        <v>UN</v>
      </c>
      <c r="D25343" s="7">
        <v>400</v>
      </c>
      <c r="E25343" s="3">
        <v>4</v>
      </c>
      <c r="F25343" s="2">
        <v>1</v>
      </c>
      <c r="G25343" t="s">
        <v>513</v>
      </c>
    </row>
    <row r="25344" spans="1:7" x14ac:dyDescent="0.25">
      <c r="A25344" s="1" t="str">
        <f>"147"</f>
        <v>147</v>
      </c>
      <c r="B25344" s="2" t="str">
        <f>"VASSOURA DE NAYLON"</f>
        <v>VASSOURA DE NAYLON</v>
      </c>
      <c r="C25344" s="2" t="str">
        <f t="shared" si="1002"/>
        <v>UN</v>
      </c>
      <c r="D25344" s="7">
        <v>400</v>
      </c>
      <c r="E25344" s="3">
        <v>4</v>
      </c>
      <c r="F25344" s="2">
        <v>2</v>
      </c>
      <c r="G25344" t="s">
        <v>514</v>
      </c>
    </row>
    <row r="25345" spans="1:7" x14ac:dyDescent="0.25">
      <c r="A25345" s="1" t="str">
        <f>"510897"</f>
        <v>510897</v>
      </c>
      <c r="B25345" s="2" t="str">
        <f>"VASSOURA DE NYLON"</f>
        <v>VASSOURA DE NYLON</v>
      </c>
      <c r="C25345" s="2" t="str">
        <f t="shared" si="1002"/>
        <v>UN</v>
      </c>
      <c r="D25345" s="7">
        <v>817</v>
      </c>
      <c r="E25345" s="3">
        <v>10</v>
      </c>
      <c r="F25345" s="2">
        <v>7</v>
      </c>
      <c r="G25345" t="s">
        <v>514</v>
      </c>
    </row>
    <row r="25346" spans="1:7" x14ac:dyDescent="0.25">
      <c r="A25346" s="1" t="str">
        <f>"519869"</f>
        <v>519869</v>
      </c>
      <c r="B25346" s="2" t="str">
        <f>"VASSOURA P/ JARDIM"</f>
        <v>VASSOURA P/ JARDIM</v>
      </c>
      <c r="C25346" s="2" t="str">
        <f t="shared" si="1002"/>
        <v>UN</v>
      </c>
      <c r="D25346" s="7">
        <v>817</v>
      </c>
      <c r="E25346" s="3">
        <v>4</v>
      </c>
      <c r="F25346" s="2">
        <v>9</v>
      </c>
      <c r="G25346" t="s">
        <v>512</v>
      </c>
    </row>
    <row r="25347" spans="1:7" x14ac:dyDescent="0.25">
      <c r="A25347" s="1" t="str">
        <f>"521061"</f>
        <v>521061</v>
      </c>
      <c r="B25347" s="2" t="str">
        <f>"VASSOURA PBT SEM PELO ESPA 400MM FBK-15204-2 RV00212 AZUL"</f>
        <v>VASSOURA PBT SEM PELO ESPA 400MM FBK-15204-2 RV00212 AZUL</v>
      </c>
      <c r="C25347" s="2" t="str">
        <f t="shared" si="1002"/>
        <v>UN</v>
      </c>
      <c r="D25347" s="7">
        <v>400</v>
      </c>
      <c r="E25347" s="3">
        <v>4</v>
      </c>
      <c r="F25347" s="2">
        <v>0</v>
      </c>
      <c r="G25347" t="s">
        <v>513</v>
      </c>
    </row>
    <row r="25348" spans="1:7" x14ac:dyDescent="0.25">
      <c r="A25348" s="1" t="str">
        <f>"523599"</f>
        <v>523599</v>
      </c>
      <c r="B25348" s="2" t="str">
        <f>"VASSOURA VERTICAL (COR AMARELA CÓD. 44157)"</f>
        <v>VASSOURA VERTICAL (COR AMARELA CÓD. 44157)</v>
      </c>
      <c r="C25348" s="2" t="str">
        <f t="shared" si="1002"/>
        <v>UN</v>
      </c>
      <c r="D25348" s="7">
        <v>400</v>
      </c>
      <c r="E25348" s="3">
        <v>4</v>
      </c>
      <c r="F25348" s="2">
        <v>0</v>
      </c>
      <c r="G25348" t="s">
        <v>514</v>
      </c>
    </row>
    <row r="25349" spans="1:7" x14ac:dyDescent="0.25">
      <c r="A25349" s="1" t="str">
        <f>"521254"</f>
        <v>521254</v>
      </c>
      <c r="B25349" s="2" t="str">
        <f>"VASSOURA VERTICAL (COR LARANJA CÓD. 44157)"</f>
        <v>VASSOURA VERTICAL (COR LARANJA CÓD. 44157)</v>
      </c>
      <c r="C25349" s="2" t="str">
        <f t="shared" si="1002"/>
        <v>UN</v>
      </c>
      <c r="D25349" s="7">
        <v>400</v>
      </c>
      <c r="E25349" s="3">
        <v>4</v>
      </c>
      <c r="F25349" s="2">
        <v>4</v>
      </c>
      <c r="G25349" t="s">
        <v>514</v>
      </c>
    </row>
    <row r="25350" spans="1:7" x14ac:dyDescent="0.25">
      <c r="A25350" s="1" t="str">
        <f>"527773"</f>
        <v>527773</v>
      </c>
      <c r="B25350" s="2" t="str">
        <f>"VASSOURA VERTICAL (COR MARROM CÓD. 44147)"</f>
        <v>VASSOURA VERTICAL (COR MARROM CÓD. 44147)</v>
      </c>
      <c r="C25350" s="2" t="str">
        <f t="shared" si="1002"/>
        <v>UN</v>
      </c>
      <c r="D25350" s="7">
        <v>400</v>
      </c>
      <c r="E25350" s="3">
        <v>4</v>
      </c>
      <c r="F25350" s="2">
        <v>1</v>
      </c>
      <c r="G25350" t="s">
        <v>514</v>
      </c>
    </row>
    <row r="25351" spans="1:7" x14ac:dyDescent="0.25">
      <c r="A25351" s="1" t="str">
        <f>"521258"</f>
        <v>521258</v>
      </c>
      <c r="B25351" s="2" t="str">
        <f>"VASSOURA VERTICAL (COR MARROM CÓD. 44157)"</f>
        <v>VASSOURA VERTICAL (COR MARROM CÓD. 44157)</v>
      </c>
      <c r="C25351" s="2" t="str">
        <f t="shared" si="1002"/>
        <v>UN</v>
      </c>
      <c r="D25351" s="7">
        <v>400</v>
      </c>
      <c r="E25351" s="3">
        <v>4</v>
      </c>
      <c r="F25351" s="2">
        <v>2</v>
      </c>
      <c r="G25351" t="s">
        <v>513</v>
      </c>
    </row>
    <row r="25352" spans="1:7" x14ac:dyDescent="0.25">
      <c r="A25352" s="1" t="str">
        <f>"524325"</f>
        <v>524325</v>
      </c>
      <c r="B25352" s="2" t="str">
        <f>"VASSOURA VERTICAL (COR PRETO CÓD. 44157)"</f>
        <v>VASSOURA VERTICAL (COR PRETO CÓD. 44157)</v>
      </c>
      <c r="C25352" s="2" t="str">
        <f t="shared" si="1002"/>
        <v>UN</v>
      </c>
      <c r="D25352" s="7">
        <v>400</v>
      </c>
      <c r="E25352" s="3">
        <v>4</v>
      </c>
      <c r="F25352" s="2">
        <v>7</v>
      </c>
      <c r="G25352" t="s">
        <v>512</v>
      </c>
    </row>
    <row r="25353" spans="1:7" x14ac:dyDescent="0.25">
      <c r="A25353" s="1" t="str">
        <f>"521068"</f>
        <v>521068</v>
      </c>
      <c r="B25353" s="2" t="str">
        <f>"VASSOURA VERTICAL (COR ROXO CÓD. 44157)"</f>
        <v>VASSOURA VERTICAL (COR ROXO CÓD. 44157)</v>
      </c>
      <c r="C25353" s="2" t="str">
        <f t="shared" si="1002"/>
        <v>UN</v>
      </c>
      <c r="D25353" s="7">
        <v>400</v>
      </c>
      <c r="E25353" s="3">
        <v>4</v>
      </c>
      <c r="F25353" s="2">
        <v>9</v>
      </c>
      <c r="G25353" t="s">
        <v>513</v>
      </c>
    </row>
    <row r="25354" spans="1:7" x14ac:dyDescent="0.25">
      <c r="A25354" s="1" t="str">
        <f>"521253"</f>
        <v>521253</v>
      </c>
      <c r="B25354" s="2" t="str">
        <f>"VASSOURA VERTICAL (COR VERDE CÓD. 44157)"</f>
        <v>VASSOURA VERTICAL (COR VERDE CÓD. 44157)</v>
      </c>
      <c r="C25354" s="2" t="str">
        <f t="shared" si="1002"/>
        <v>UN</v>
      </c>
      <c r="D25354" s="7">
        <v>400</v>
      </c>
      <c r="E25354" s="3">
        <v>4</v>
      </c>
      <c r="F25354" s="2">
        <v>0</v>
      </c>
      <c r="G25354" t="s">
        <v>514</v>
      </c>
    </row>
    <row r="25355" spans="1:7" x14ac:dyDescent="0.25">
      <c r="A25355" s="1" t="str">
        <f>"524324"</f>
        <v>524324</v>
      </c>
      <c r="B25355" s="2" t="str">
        <f>"VASSOURA VERTICAL (COR VERDE CÓD. 45157)"</f>
        <v>VASSOURA VERTICAL (COR VERDE CÓD. 45157)</v>
      </c>
      <c r="C25355" s="2" t="str">
        <f t="shared" si="1002"/>
        <v>UN</v>
      </c>
      <c r="D25355" s="7">
        <v>400</v>
      </c>
      <c r="E25355" s="3">
        <v>4</v>
      </c>
      <c r="F25355" s="2">
        <v>0</v>
      </c>
      <c r="G25355" t="s">
        <v>514</v>
      </c>
    </row>
    <row r="25356" spans="1:7" x14ac:dyDescent="0.25">
      <c r="A25356" s="1" t="str">
        <f>"521251"</f>
        <v>521251</v>
      </c>
      <c r="B25356" s="2" t="str">
        <f>"VASSOURA VERTICAL (COR VERMELHO CÓD. 44157)"</f>
        <v>VASSOURA VERTICAL (COR VERMELHO CÓD. 44157)</v>
      </c>
      <c r="C25356" s="2" t="str">
        <f t="shared" si="1002"/>
        <v>UN</v>
      </c>
      <c r="D25356" s="7">
        <v>400</v>
      </c>
      <c r="E25356" s="3">
        <v>4</v>
      </c>
      <c r="F25356" s="2">
        <v>2</v>
      </c>
      <c r="G25356" t="s">
        <v>514</v>
      </c>
    </row>
    <row r="25357" spans="1:7" x14ac:dyDescent="0.25">
      <c r="A25357" s="1" t="str">
        <f>"522996"</f>
        <v>522996</v>
      </c>
      <c r="B25357" s="2" t="str">
        <f>"VASSOURA VERTICAL ANGULAR (COR AMARELO CÓD. 40190)"</f>
        <v>VASSOURA VERTICAL ANGULAR (COR AMARELO CÓD. 40190)</v>
      </c>
      <c r="C25357" s="2" t="str">
        <f t="shared" si="1002"/>
        <v>UN</v>
      </c>
      <c r="D25357" s="7">
        <v>400</v>
      </c>
      <c r="E25357" s="3">
        <v>4</v>
      </c>
      <c r="F25357" s="2">
        <v>5</v>
      </c>
      <c r="G25357" t="s">
        <v>513</v>
      </c>
    </row>
    <row r="25358" spans="1:7" x14ac:dyDescent="0.25">
      <c r="A25358" s="1" t="str">
        <f>"523001"</f>
        <v>523001</v>
      </c>
      <c r="B25358" s="2" t="str">
        <f>"VASSOURA VERTICAL ANGULAR (COR LARANJA CÓD. 40190)"</f>
        <v>VASSOURA VERTICAL ANGULAR (COR LARANJA CÓD. 40190)</v>
      </c>
      <c r="C25358" s="2" t="str">
        <f t="shared" si="1002"/>
        <v>UN</v>
      </c>
      <c r="D25358" s="7">
        <v>400</v>
      </c>
      <c r="E25358" s="3">
        <v>4</v>
      </c>
      <c r="F25358" s="2">
        <v>0</v>
      </c>
      <c r="G25358" t="s">
        <v>513</v>
      </c>
    </row>
    <row r="25359" spans="1:7" x14ac:dyDescent="0.25">
      <c r="A25359" s="1" t="str">
        <f>"523005"</f>
        <v>523005</v>
      </c>
      <c r="B25359" s="2" t="str">
        <f>"VASSOURA VERTICAL ANGULAR (COR MARROM CÓD. 40190)"</f>
        <v>VASSOURA VERTICAL ANGULAR (COR MARROM CÓD. 40190)</v>
      </c>
      <c r="C25359" s="2" t="str">
        <f t="shared" si="1002"/>
        <v>UN</v>
      </c>
      <c r="D25359" s="7">
        <v>400</v>
      </c>
      <c r="E25359" s="3">
        <v>4</v>
      </c>
      <c r="F25359" s="2">
        <v>2</v>
      </c>
      <c r="G25359" t="s">
        <v>513</v>
      </c>
    </row>
    <row r="25360" spans="1:7" x14ac:dyDescent="0.25">
      <c r="A25360" s="1" t="str">
        <f>"523003"</f>
        <v>523003</v>
      </c>
      <c r="B25360" s="2" t="str">
        <f>"VASSOURA VERTICAL ANGULAR (COR ROXA CÓD. 40190)"</f>
        <v>VASSOURA VERTICAL ANGULAR (COR ROXA CÓD. 40190)</v>
      </c>
      <c r="C25360" s="2" t="str">
        <f t="shared" si="1002"/>
        <v>UN</v>
      </c>
      <c r="D25360" s="7">
        <v>400</v>
      </c>
      <c r="E25360" s="3">
        <v>4</v>
      </c>
      <c r="F25360" s="2">
        <v>5</v>
      </c>
      <c r="G25360" t="s">
        <v>512</v>
      </c>
    </row>
    <row r="25361" spans="1:7" x14ac:dyDescent="0.25">
      <c r="A25361" s="1" t="str">
        <f>"522999"</f>
        <v>522999</v>
      </c>
      <c r="B25361" s="2" t="str">
        <f>"VASSOURA VERTICAL ANGULAR (COR VERDE CÓD. 40190)"</f>
        <v>VASSOURA VERTICAL ANGULAR (COR VERDE CÓD. 40190)</v>
      </c>
      <c r="C25361" s="2" t="str">
        <f t="shared" si="1002"/>
        <v>UN</v>
      </c>
      <c r="D25361" s="7">
        <v>400</v>
      </c>
      <c r="E25361" s="3">
        <v>4</v>
      </c>
      <c r="F25361" s="5">
        <v>5</v>
      </c>
      <c r="G25361" t="s">
        <v>513</v>
      </c>
    </row>
    <row r="25362" spans="1:7" x14ac:dyDescent="0.25">
      <c r="A25362" s="1" t="str">
        <f>"522992"</f>
        <v>522992</v>
      </c>
      <c r="B25362" s="2" t="str">
        <f>"VASSOURA VERTICAL ANGULAR (COR VERMELHO CÓD. 40190)"</f>
        <v>VASSOURA VERTICAL ANGULAR (COR VERMELHO CÓD. 40190)</v>
      </c>
      <c r="C25362" s="2" t="str">
        <f t="shared" si="1002"/>
        <v>UN</v>
      </c>
      <c r="D25362" s="7">
        <v>400</v>
      </c>
      <c r="E25362" s="3">
        <v>4</v>
      </c>
      <c r="F25362" s="2">
        <v>3</v>
      </c>
      <c r="G25362" t="s">
        <v>514</v>
      </c>
    </row>
    <row r="25363" spans="1:7" x14ac:dyDescent="0.25">
      <c r="A25363" s="1" t="str">
        <f>"522269"</f>
        <v>522269</v>
      </c>
      <c r="B25363" s="2" t="str">
        <f>"VASSOURÃO (TERREIRAO)"</f>
        <v>VASSOURÃO (TERREIRAO)</v>
      </c>
      <c r="C25363" s="2" t="str">
        <f t="shared" si="1002"/>
        <v>UN</v>
      </c>
      <c r="D25363" s="7">
        <v>99999</v>
      </c>
      <c r="E25363" s="3">
        <v>99</v>
      </c>
      <c r="F25363" s="2">
        <v>8</v>
      </c>
      <c r="G25363" t="s">
        <v>515</v>
      </c>
    </row>
    <row r="25364" spans="1:7" x14ac:dyDescent="0.25">
      <c r="A25364" s="1" t="str">
        <f>"523820"</f>
        <v>523820</v>
      </c>
      <c r="B25364" s="2" t="str">
        <f>"VASSOURAS COM PONTA ESPANADA (COR AMARELO CÓD. 15003)"</f>
        <v>VASSOURAS COM PONTA ESPANADA (COR AMARELO CÓD. 15003)</v>
      </c>
      <c r="C25364" s="2" t="str">
        <f t="shared" si="1002"/>
        <v>UN</v>
      </c>
      <c r="D25364" s="7">
        <v>400</v>
      </c>
      <c r="E25364" s="3">
        <v>4</v>
      </c>
      <c r="F25364" s="2">
        <v>6</v>
      </c>
      <c r="G25364" t="s">
        <v>512</v>
      </c>
    </row>
    <row r="25365" spans="1:7" x14ac:dyDescent="0.25">
      <c r="A25365" s="1" t="str">
        <f>"523598"</f>
        <v>523598</v>
      </c>
      <c r="B25365" s="2" t="str">
        <f>"VASSOURAS COM PONTA ESPANADA (COR VERDE CÓD. 15003)"</f>
        <v>VASSOURAS COM PONTA ESPANADA (COR VERDE CÓD. 15003)</v>
      </c>
      <c r="C25365" s="2" t="str">
        <f t="shared" si="1002"/>
        <v>UN</v>
      </c>
      <c r="D25365" s="7">
        <v>704</v>
      </c>
      <c r="E25365" s="3">
        <v>9</v>
      </c>
      <c r="F25365" s="2">
        <v>4</v>
      </c>
      <c r="G25365" t="s">
        <v>516</v>
      </c>
    </row>
    <row r="25366" spans="1:7" x14ac:dyDescent="0.25">
      <c r="A25366" s="1" t="str">
        <f>"512884"</f>
        <v>512884</v>
      </c>
      <c r="B25366" s="2" t="str">
        <f>"VAUVULA INOX 2"" TIPO WAFER"</f>
        <v>VAUVULA INOX 2" TIPO WAFER</v>
      </c>
      <c r="C25366" s="2" t="str">
        <f t="shared" si="1002"/>
        <v>UN</v>
      </c>
      <c r="D25366" s="7">
        <v>808</v>
      </c>
      <c r="E25366" s="3">
        <v>10</v>
      </c>
      <c r="F25366" s="2">
        <v>1</v>
      </c>
      <c r="G25366" t="s">
        <v>515</v>
      </c>
    </row>
    <row r="25367" spans="1:7" x14ac:dyDescent="0.25">
      <c r="A25367" s="1" t="str">
        <f>"513902"</f>
        <v>513902</v>
      </c>
      <c r="B25367" s="2" t="str">
        <f>"VED SIKAFLEX 221"</f>
        <v>VED SIKAFLEX 221</v>
      </c>
      <c r="C25367" s="2" t="str">
        <f t="shared" si="1002"/>
        <v>UN</v>
      </c>
      <c r="D25367" s="7">
        <v>99999</v>
      </c>
      <c r="E25367" s="3">
        <v>99</v>
      </c>
      <c r="F25367" s="2">
        <v>2</v>
      </c>
      <c r="G25367" t="s">
        <v>514</v>
      </c>
    </row>
    <row r="25368" spans="1:7" x14ac:dyDescent="0.25">
      <c r="A25368" s="1" t="str">
        <f>"503756"</f>
        <v>503756</v>
      </c>
      <c r="B25368" s="2" t="str">
        <f>"VEDA CALHA 400GR"</f>
        <v>VEDA CALHA 400GR</v>
      </c>
      <c r="C25368" s="2" t="str">
        <f t="shared" si="1002"/>
        <v>UN</v>
      </c>
      <c r="D25368" s="7">
        <v>403</v>
      </c>
      <c r="E25368" s="3">
        <v>4</v>
      </c>
      <c r="F25368" s="2">
        <v>7</v>
      </c>
      <c r="G25368" t="s">
        <v>512</v>
      </c>
    </row>
    <row r="25369" spans="1:7" x14ac:dyDescent="0.25">
      <c r="A25369" s="1" t="str">
        <f>"522732"</f>
        <v>522732</v>
      </c>
      <c r="B25369" s="2" t="str">
        <f>"VEDA CONCRETO 1L"</f>
        <v>VEDA CONCRETO 1L</v>
      </c>
      <c r="C25369" s="2" t="str">
        <f t="shared" si="1002"/>
        <v>UN</v>
      </c>
      <c r="D25369" s="7">
        <v>917</v>
      </c>
      <c r="E25369" s="3">
        <v>10</v>
      </c>
      <c r="F25369" s="2">
        <v>9</v>
      </c>
      <c r="G25369" t="s">
        <v>513</v>
      </c>
    </row>
    <row r="25370" spans="1:7" x14ac:dyDescent="0.25">
      <c r="A25370" s="1" t="str">
        <f>"515871"</f>
        <v>515871</v>
      </c>
      <c r="B25370" s="2" t="str">
        <f>"VEDA REBOCO 1L"</f>
        <v>VEDA REBOCO 1L</v>
      </c>
      <c r="C25370" s="2" t="str">
        <f t="shared" si="1002"/>
        <v>UN</v>
      </c>
      <c r="D25370" s="7">
        <v>99999</v>
      </c>
      <c r="E25370" s="3">
        <v>99</v>
      </c>
      <c r="F25370" s="2">
        <v>0</v>
      </c>
      <c r="G25370" t="s">
        <v>514</v>
      </c>
    </row>
    <row r="25371" spans="1:7" x14ac:dyDescent="0.25">
      <c r="A25371" s="1" t="str">
        <f>"500013"</f>
        <v>500013</v>
      </c>
      <c r="B25371" s="2" t="str">
        <f>"VEDA ROSCA - 19 MM X 50 M REF.010001604"</f>
        <v>VEDA ROSCA - 19 MM X 50 M REF.010001604</v>
      </c>
      <c r="C25371" s="2" t="str">
        <f t="shared" si="1002"/>
        <v>UN</v>
      </c>
      <c r="D25371" s="7">
        <v>402</v>
      </c>
      <c r="E25371" s="3">
        <v>4</v>
      </c>
      <c r="F25371" s="2">
        <v>0</v>
      </c>
      <c r="G25371" t="s">
        <v>514</v>
      </c>
    </row>
    <row r="25372" spans="1:7" x14ac:dyDescent="0.25">
      <c r="A25372" s="1" t="str">
        <f>"511910"</f>
        <v>511910</v>
      </c>
      <c r="B25372" s="2" t="str">
        <f>"VEDA ROSCA LIQUIDO 100GR"</f>
        <v>VEDA ROSCA LIQUIDO 100GR</v>
      </c>
      <c r="C25372" s="2" t="str">
        <f t="shared" si="1002"/>
        <v>UN</v>
      </c>
      <c r="D25372" s="7">
        <v>812</v>
      </c>
      <c r="E25372" s="3">
        <v>10</v>
      </c>
      <c r="F25372" s="2">
        <v>2</v>
      </c>
      <c r="G25372" t="s">
        <v>512</v>
      </c>
    </row>
    <row r="25373" spans="1:7" x14ac:dyDescent="0.25">
      <c r="A25373" s="1" t="str">
        <f>"512910"</f>
        <v>512910</v>
      </c>
      <c r="B25373" s="2" t="str">
        <f>"VEDA SEAL 100MM"</f>
        <v>VEDA SEAL 100MM</v>
      </c>
      <c r="C25373" s="2" t="str">
        <f t="shared" si="1002"/>
        <v>UN</v>
      </c>
      <c r="D25373" s="7">
        <v>918</v>
      </c>
      <c r="E25373" s="3">
        <v>11</v>
      </c>
      <c r="F25373" s="2">
        <v>5</v>
      </c>
      <c r="G25373" t="s">
        <v>513</v>
      </c>
    </row>
    <row r="25374" spans="1:7" x14ac:dyDescent="0.25">
      <c r="A25374" s="1" t="str">
        <f>"526888"</f>
        <v>526888</v>
      </c>
      <c r="B25374" s="2" t="str">
        <f>"VEDA SEAL 200MM"</f>
        <v>VEDA SEAL 200MM</v>
      </c>
      <c r="C25374" s="2" t="str">
        <f t="shared" si="1002"/>
        <v>UN</v>
      </c>
      <c r="D25374" s="7">
        <v>918</v>
      </c>
      <c r="E25374" s="3">
        <v>11</v>
      </c>
      <c r="F25374" s="2">
        <v>6</v>
      </c>
      <c r="G25374" t="s">
        <v>514</v>
      </c>
    </row>
    <row r="25375" spans="1:7" x14ac:dyDescent="0.25">
      <c r="A25375" s="1" t="str">
        <f>"504489"</f>
        <v>504489</v>
      </c>
      <c r="B25375" s="2" t="str">
        <f>"VEDACAO ADT-1166 (DESNATADEIRA)"</f>
        <v>VEDACAO ADT-1166 (DESNATADEIRA)</v>
      </c>
      <c r="C25375" s="2" t="str">
        <f t="shared" si="1002"/>
        <v>UN</v>
      </c>
      <c r="D25375" s="7">
        <v>909</v>
      </c>
      <c r="E25375" s="3">
        <v>11</v>
      </c>
      <c r="F25375" s="2">
        <v>9</v>
      </c>
      <c r="G25375" t="s">
        <v>514</v>
      </c>
    </row>
    <row r="25376" spans="1:7" x14ac:dyDescent="0.25">
      <c r="A25376" s="1" t="str">
        <f>"504487"</f>
        <v>504487</v>
      </c>
      <c r="B25376" s="2" t="str">
        <f>"VEDACAO ADT-2314 (DESNATADEIRA)"</f>
        <v>VEDACAO ADT-2314 (DESNATADEIRA)</v>
      </c>
      <c r="C25376" s="2" t="str">
        <f t="shared" si="1002"/>
        <v>UN</v>
      </c>
      <c r="D25376" s="7">
        <v>909</v>
      </c>
      <c r="E25376" s="3">
        <v>11</v>
      </c>
      <c r="F25376" s="2">
        <v>5</v>
      </c>
      <c r="G25376" t="s">
        <v>514</v>
      </c>
    </row>
    <row r="25377" spans="1:7" x14ac:dyDescent="0.25">
      <c r="A25377" s="1" t="str">
        <f>"504488"</f>
        <v>504488</v>
      </c>
      <c r="B25377" s="2" t="str">
        <f>"VEDACAO ADT-2315 (DESNATADEIRA)"</f>
        <v>VEDACAO ADT-2315 (DESNATADEIRA)</v>
      </c>
      <c r="C25377" s="2" t="str">
        <f t="shared" si="1002"/>
        <v>UN</v>
      </c>
      <c r="D25377" s="7">
        <v>909</v>
      </c>
      <c r="E25377" s="3">
        <v>11</v>
      </c>
      <c r="F25377" s="2">
        <v>3</v>
      </c>
      <c r="G25377" t="s">
        <v>513</v>
      </c>
    </row>
    <row r="25378" spans="1:7" x14ac:dyDescent="0.25">
      <c r="A25378" s="1" t="str">
        <f>"516455"</f>
        <v>516455</v>
      </c>
      <c r="B25378" s="2" t="str">
        <f>"VEDAÇÃO BLOCO J80210036"</f>
        <v>VEDAÇÃO BLOCO J80210036</v>
      </c>
      <c r="C25378" s="2" t="str">
        <f t="shared" si="1002"/>
        <v>UN</v>
      </c>
      <c r="D25378" s="7">
        <v>1003</v>
      </c>
      <c r="E25378" s="3">
        <v>11</v>
      </c>
      <c r="F25378" s="2">
        <v>3</v>
      </c>
      <c r="G25378" t="s">
        <v>512</v>
      </c>
    </row>
    <row r="25379" spans="1:7" x14ac:dyDescent="0.25">
      <c r="A25379" s="1" t="str">
        <f>"513284"</f>
        <v>513284</v>
      </c>
      <c r="B25379" s="2" t="str">
        <f>"VEDACAO COBERTURA SUPERIOR"</f>
        <v>VEDACAO COBERTURA SUPERIOR</v>
      </c>
      <c r="C25379" s="2" t="str">
        <f t="shared" si="1002"/>
        <v>UN</v>
      </c>
      <c r="D25379" s="7">
        <v>909</v>
      </c>
      <c r="E25379" s="3">
        <v>11</v>
      </c>
      <c r="F25379" s="2">
        <v>2</v>
      </c>
      <c r="G25379" t="s">
        <v>513</v>
      </c>
    </row>
    <row r="25380" spans="1:7" x14ac:dyDescent="0.25">
      <c r="A25380" s="1" t="str">
        <f>"514537"</f>
        <v>514537</v>
      </c>
      <c r="B25380" s="2" t="str">
        <f>"VEDACAO DE SILICONE"</f>
        <v>VEDACAO DE SILICONE</v>
      </c>
      <c r="C25380" s="2" t="str">
        <f t="shared" si="1002"/>
        <v>UN</v>
      </c>
      <c r="D25380" s="7">
        <v>811</v>
      </c>
      <c r="E25380" s="3">
        <v>11</v>
      </c>
      <c r="F25380" s="2">
        <v>1</v>
      </c>
      <c r="G25380" t="s">
        <v>514</v>
      </c>
    </row>
    <row r="25381" spans="1:7" x14ac:dyDescent="0.25">
      <c r="A25381" s="1" t="str">
        <f>"527558"</f>
        <v>527558</v>
      </c>
      <c r="B25381" s="2" t="str">
        <f>"VEDAÇÃO EM SILICONE PARA VG DN 16"" SERIE M (GUILHOTINA)"</f>
        <v>VEDAÇÃO EM SILICONE PARA VG DN 16" SERIE M (GUILHOTINA)</v>
      </c>
      <c r="C25381" s="2" t="str">
        <f t="shared" si="1002"/>
        <v>UN</v>
      </c>
      <c r="D25381" s="7">
        <v>918</v>
      </c>
      <c r="E25381" s="3">
        <v>11</v>
      </c>
      <c r="F25381" s="2">
        <v>4</v>
      </c>
      <c r="G25381" t="s">
        <v>514</v>
      </c>
    </row>
    <row r="25382" spans="1:7" x14ac:dyDescent="0.25">
      <c r="A25382" s="1" t="str">
        <f>"527561"</f>
        <v>527561</v>
      </c>
      <c r="B25382" s="2" t="str">
        <f>"VEDAÇÃO INFERIOR DA VALVULA GUILHOTINA"</f>
        <v>VEDAÇÃO INFERIOR DA VALVULA GUILHOTINA</v>
      </c>
      <c r="C25382" s="2" t="str">
        <f>"PC"</f>
        <v>PC</v>
      </c>
      <c r="D25382" s="7">
        <v>918</v>
      </c>
      <c r="E25382" s="3">
        <v>11</v>
      </c>
      <c r="F25382" s="2">
        <v>6</v>
      </c>
      <c r="G25382" t="s">
        <v>514</v>
      </c>
    </row>
    <row r="25383" spans="1:7" x14ac:dyDescent="0.25">
      <c r="A25383" s="1" t="str">
        <f>"504497"</f>
        <v>504497</v>
      </c>
      <c r="B25383" s="2" t="str">
        <f>"VEDAÇÃO SM B NE 80 VI"</f>
        <v>VEDAÇÃO SM B NE 80 VI</v>
      </c>
      <c r="C25383" s="2" t="str">
        <f t="shared" ref="C25383:C25414" si="1003">"UN"</f>
        <v>UN</v>
      </c>
      <c r="D25383" s="7">
        <v>812</v>
      </c>
      <c r="E25383" s="3">
        <v>10</v>
      </c>
      <c r="F25383" s="2">
        <v>8</v>
      </c>
      <c r="G25383" t="s">
        <v>513</v>
      </c>
    </row>
    <row r="25384" spans="1:7" x14ac:dyDescent="0.25">
      <c r="A25384" s="1" t="str">
        <f>"524848"</f>
        <v>524848</v>
      </c>
      <c r="B25384" s="2" t="str">
        <f>"VEDACAO TAMPA L"</f>
        <v>VEDACAO TAMPA L</v>
      </c>
      <c r="C25384" s="2" t="str">
        <f t="shared" si="1003"/>
        <v>UN</v>
      </c>
      <c r="D25384" s="7">
        <v>704</v>
      </c>
      <c r="E25384" s="3">
        <v>9</v>
      </c>
      <c r="F25384" s="2">
        <v>7</v>
      </c>
      <c r="G25384" t="s">
        <v>513</v>
      </c>
    </row>
    <row r="25385" spans="1:7" x14ac:dyDescent="0.25">
      <c r="A25385" s="1" t="str">
        <f>"504486"</f>
        <v>504486</v>
      </c>
      <c r="B25385" s="2" t="str">
        <f>"VEDACAO VIDRO ADT-1305 (DESNATADEIRA)"</f>
        <v>VEDACAO VIDRO ADT-1305 (DESNATADEIRA)</v>
      </c>
      <c r="C25385" s="2" t="str">
        <f t="shared" si="1003"/>
        <v>UN</v>
      </c>
      <c r="D25385" s="7">
        <v>909</v>
      </c>
      <c r="E25385" s="3">
        <v>11</v>
      </c>
      <c r="F25385" s="2">
        <v>6</v>
      </c>
      <c r="G25385" t="s">
        <v>513</v>
      </c>
    </row>
    <row r="25386" spans="1:7" x14ac:dyDescent="0.25">
      <c r="A25386" s="1" t="str">
        <f>"506160"</f>
        <v>506160</v>
      </c>
      <c r="B25386" s="2" t="str">
        <f>"VEDACITI 3,600ML"</f>
        <v>VEDACITI 3,600ML</v>
      </c>
      <c r="C25386" s="2" t="str">
        <f t="shared" si="1003"/>
        <v>UN</v>
      </c>
      <c r="D25386" s="7">
        <v>803</v>
      </c>
      <c r="E25386" s="3">
        <v>10</v>
      </c>
      <c r="F25386" s="2">
        <v>6</v>
      </c>
      <c r="G25386" t="s">
        <v>512</v>
      </c>
    </row>
    <row r="25387" spans="1:7" x14ac:dyDescent="0.25">
      <c r="A25387" s="1" t="str">
        <f>"505620"</f>
        <v>505620</v>
      </c>
      <c r="B25387" s="2" t="str">
        <f>"VEDACITI COMUM 18LT"</f>
        <v>VEDACITI COMUM 18LT</v>
      </c>
      <c r="C25387" s="2" t="str">
        <f t="shared" si="1003"/>
        <v>UN</v>
      </c>
      <c r="D25387" s="7">
        <v>803</v>
      </c>
      <c r="E25387" s="3">
        <v>10</v>
      </c>
      <c r="F25387" s="2">
        <v>2</v>
      </c>
      <c r="G25387" t="s">
        <v>513</v>
      </c>
    </row>
    <row r="25388" spans="1:7" x14ac:dyDescent="0.25">
      <c r="A25388" s="1" t="str">
        <f>"515994"</f>
        <v>515994</v>
      </c>
      <c r="B25388" s="2" t="str">
        <f>"VEDACITI RAPIDISSIMO CL 1,4KG"</f>
        <v>VEDACITI RAPIDISSIMO CL 1,4KG</v>
      </c>
      <c r="C25388" s="2" t="str">
        <f t="shared" si="1003"/>
        <v>UN</v>
      </c>
      <c r="D25388" s="7">
        <v>803</v>
      </c>
      <c r="E25388" s="3">
        <v>10</v>
      </c>
      <c r="F25388" s="2">
        <v>1</v>
      </c>
      <c r="G25388" t="s">
        <v>514</v>
      </c>
    </row>
    <row r="25389" spans="1:7" x14ac:dyDescent="0.25">
      <c r="A25389" s="1" t="str">
        <f>"515993"</f>
        <v>515993</v>
      </c>
      <c r="B25389" s="2" t="str">
        <f>"VEDACITI RAPIDO CL 1,4KG"</f>
        <v>VEDACITI RAPIDO CL 1,4KG</v>
      </c>
      <c r="C25389" s="2" t="str">
        <f t="shared" si="1003"/>
        <v>UN</v>
      </c>
      <c r="D25389" s="7">
        <v>803</v>
      </c>
      <c r="E25389" s="3">
        <v>10</v>
      </c>
      <c r="F25389" s="2">
        <v>0</v>
      </c>
      <c r="G25389" t="s">
        <v>515</v>
      </c>
    </row>
    <row r="25390" spans="1:7" x14ac:dyDescent="0.25">
      <c r="A25390" s="1" t="str">
        <f>"516940"</f>
        <v>516940</v>
      </c>
      <c r="B25390" s="2" t="str">
        <f>"VEDAÇOES VALVULA RETENÇÃO GA 1622097700"</f>
        <v>VEDAÇOES VALVULA RETENÇÃO GA 1622097700</v>
      </c>
      <c r="C25390" s="2" t="str">
        <f t="shared" si="1003"/>
        <v>UN</v>
      </c>
      <c r="D25390" s="7">
        <v>909</v>
      </c>
      <c r="E25390" s="3">
        <v>11</v>
      </c>
      <c r="F25390" s="2">
        <v>0</v>
      </c>
      <c r="G25390" t="s">
        <v>512</v>
      </c>
    </row>
    <row r="25391" spans="1:7" x14ac:dyDescent="0.25">
      <c r="A25391" s="1" t="str">
        <f>"501587"</f>
        <v>501587</v>
      </c>
      <c r="B25391" s="2" t="str">
        <f>"VEDADOR"</f>
        <v>VEDADOR</v>
      </c>
      <c r="C25391" s="2" t="str">
        <f t="shared" si="1003"/>
        <v>UN</v>
      </c>
      <c r="D25391" s="7">
        <v>704</v>
      </c>
      <c r="E25391" s="3">
        <v>9</v>
      </c>
      <c r="F25391" s="2">
        <v>0</v>
      </c>
      <c r="G25391" t="s">
        <v>516</v>
      </c>
    </row>
    <row r="25392" spans="1:7" x14ac:dyDescent="0.25">
      <c r="A25392" s="1" t="str">
        <f>"517055"</f>
        <v>517055</v>
      </c>
      <c r="B25392" s="2" t="str">
        <f>"VEDADOR TANQUE ESTOCAGEM 451X505X12.5MM COD.12689"</f>
        <v>VEDADOR TANQUE ESTOCAGEM 451X505X12.5MM COD.12689</v>
      </c>
      <c r="C25392" s="2" t="str">
        <f t="shared" si="1003"/>
        <v>UN</v>
      </c>
      <c r="D25392" s="7">
        <v>915</v>
      </c>
      <c r="E25392" s="3">
        <v>10</v>
      </c>
      <c r="F25392" s="2">
        <v>3</v>
      </c>
      <c r="G25392" t="s">
        <v>515</v>
      </c>
    </row>
    <row r="25393" spans="1:7" x14ac:dyDescent="0.25">
      <c r="A25393" s="1" t="str">
        <f>"516291"</f>
        <v>516291</v>
      </c>
      <c r="B25393" s="2" t="str">
        <f>"VEDADOR TANQUE RODOVIARIO 435X465X26.8MM COD. 12183"</f>
        <v>VEDADOR TANQUE RODOVIARIO 435X465X26.8MM COD. 12183</v>
      </c>
      <c r="C25393" s="2" t="str">
        <f t="shared" si="1003"/>
        <v>UN</v>
      </c>
      <c r="D25393" s="7">
        <v>909</v>
      </c>
      <c r="E25393" s="3">
        <v>10</v>
      </c>
      <c r="F25393" s="5">
        <v>5</v>
      </c>
      <c r="G25393" t="s">
        <v>514</v>
      </c>
    </row>
    <row r="25394" spans="1:7" x14ac:dyDescent="0.25">
      <c r="A25394" s="1" t="str">
        <f>"507872"</f>
        <v>507872</v>
      </c>
      <c r="B25394" s="2" t="str">
        <f>"VEDADOR VALVULA CUMMINS"</f>
        <v>VEDADOR VALVULA CUMMINS</v>
      </c>
      <c r="C25394" s="2" t="str">
        <f t="shared" si="1003"/>
        <v>UN</v>
      </c>
      <c r="D25394" s="7">
        <v>704</v>
      </c>
      <c r="E25394" s="3">
        <v>9</v>
      </c>
      <c r="F25394" s="2">
        <v>3</v>
      </c>
      <c r="G25394" t="s">
        <v>512</v>
      </c>
    </row>
    <row r="25395" spans="1:7" x14ac:dyDescent="0.25">
      <c r="A25395" s="1" t="str">
        <f>"522474"</f>
        <v>522474</v>
      </c>
      <c r="B25395" s="2" t="str">
        <f>"VEDALIT 18 LITROS"</f>
        <v>VEDALIT 18 LITROS</v>
      </c>
      <c r="C25395" s="2" t="str">
        <f t="shared" si="1003"/>
        <v>UN</v>
      </c>
      <c r="D25395" s="7">
        <v>803</v>
      </c>
      <c r="E25395" s="3">
        <v>10</v>
      </c>
      <c r="F25395" s="2">
        <v>8</v>
      </c>
      <c r="G25395" t="s">
        <v>513</v>
      </c>
    </row>
    <row r="25396" spans="1:7" x14ac:dyDescent="0.25">
      <c r="A25396" s="1" t="str">
        <f>"511509"</f>
        <v>511509</v>
      </c>
      <c r="B25396" s="2" t="str">
        <f>"VEDANTE"</f>
        <v>VEDANTE</v>
      </c>
      <c r="C25396" s="2" t="str">
        <f t="shared" si="1003"/>
        <v>UN</v>
      </c>
      <c r="D25396" s="7">
        <v>704</v>
      </c>
      <c r="E25396" s="3">
        <v>9</v>
      </c>
      <c r="F25396" s="2">
        <v>6</v>
      </c>
      <c r="G25396" t="s">
        <v>514</v>
      </c>
    </row>
    <row r="25397" spans="1:7" x14ac:dyDescent="0.25">
      <c r="A25397" s="1" t="str">
        <f>"517639"</f>
        <v>517639</v>
      </c>
      <c r="B25397" s="2" t="str">
        <f>"VEDANTE ANAEROBICO W874 50G"</f>
        <v>VEDANTE ANAEROBICO W874 50G</v>
      </c>
      <c r="C25397" s="2" t="str">
        <f t="shared" si="1003"/>
        <v>UN</v>
      </c>
      <c r="D25397" s="7">
        <v>918</v>
      </c>
      <c r="E25397" s="3">
        <v>10</v>
      </c>
      <c r="F25397" s="2">
        <v>4</v>
      </c>
      <c r="G25397" t="s">
        <v>514</v>
      </c>
    </row>
    <row r="25398" spans="1:7" x14ac:dyDescent="0.25">
      <c r="A25398" s="1" t="str">
        <f>"526143"</f>
        <v>526143</v>
      </c>
      <c r="B25398" s="2" t="str">
        <f>"VEDANTE ANAEROBICO W960 50G"</f>
        <v>VEDANTE ANAEROBICO W960 50G</v>
      </c>
      <c r="C25398" s="2" t="str">
        <f t="shared" si="1003"/>
        <v>UN</v>
      </c>
      <c r="D25398" s="7">
        <v>918</v>
      </c>
      <c r="E25398" s="3">
        <v>10</v>
      </c>
      <c r="F25398" s="2">
        <v>1</v>
      </c>
      <c r="G25398" t="s">
        <v>512</v>
      </c>
    </row>
    <row r="25399" spans="1:7" x14ac:dyDescent="0.25">
      <c r="A25399" s="1" t="str">
        <f>"509228"</f>
        <v>509228</v>
      </c>
      <c r="B25399" s="2" t="str">
        <f>"VEDANTE BRASCOVED 1513"</f>
        <v>VEDANTE BRASCOVED 1513</v>
      </c>
      <c r="C25399" s="2" t="str">
        <f t="shared" si="1003"/>
        <v>UN</v>
      </c>
      <c r="D25399" s="7">
        <v>704</v>
      </c>
      <c r="E25399" s="3">
        <v>9</v>
      </c>
      <c r="F25399" s="2">
        <v>2</v>
      </c>
      <c r="G25399" t="s">
        <v>513</v>
      </c>
    </row>
    <row r="25400" spans="1:7" x14ac:dyDescent="0.25">
      <c r="A25400" s="1" t="str">
        <f>"517502"</f>
        <v>517502</v>
      </c>
      <c r="B25400" s="2" t="str">
        <f>"VEDANTE PUR 300ML BISN SIKAFLEX BRANCO"</f>
        <v>VEDANTE PUR 300ML BISN SIKAFLEX BRANCO</v>
      </c>
      <c r="C25400" s="2" t="str">
        <f t="shared" si="1003"/>
        <v>UN</v>
      </c>
      <c r="D25400" s="7">
        <v>918</v>
      </c>
      <c r="E25400" s="3">
        <v>10</v>
      </c>
      <c r="F25400" s="2">
        <v>7</v>
      </c>
      <c r="G25400" t="s">
        <v>514</v>
      </c>
    </row>
    <row r="25401" spans="1:7" x14ac:dyDescent="0.25">
      <c r="A25401" s="1" t="str">
        <f>"506983"</f>
        <v>506983</v>
      </c>
      <c r="B25401" s="2" t="str">
        <f>"VEDANTE TEROSTAT MS 9360 FK 310 ML"</f>
        <v>VEDANTE TEROSTAT MS 9360 FK 310 ML</v>
      </c>
      <c r="C25401" s="2" t="str">
        <f t="shared" si="1003"/>
        <v>UN</v>
      </c>
      <c r="D25401" s="7">
        <v>704</v>
      </c>
      <c r="E25401" s="3">
        <v>9</v>
      </c>
      <c r="F25401" s="2">
        <v>9</v>
      </c>
      <c r="G25401" t="s">
        <v>514</v>
      </c>
    </row>
    <row r="25402" spans="1:7" x14ac:dyDescent="0.25">
      <c r="A25402" s="1" t="str">
        <f>"527895"</f>
        <v>527895</v>
      </c>
      <c r="B25402" s="2" t="str">
        <f>"VEDAPREN FAST 15KG BRANCO OTTO"</f>
        <v>VEDAPREN FAST 15KG BRANCO OTTO</v>
      </c>
      <c r="C25402" s="2" t="str">
        <f t="shared" si="1003"/>
        <v>UN</v>
      </c>
      <c r="D25402" s="7">
        <v>917</v>
      </c>
      <c r="E25402" s="3">
        <v>10</v>
      </c>
      <c r="F25402" s="2">
        <v>0</v>
      </c>
      <c r="G25402" t="s">
        <v>514</v>
      </c>
    </row>
    <row r="25403" spans="1:7" x14ac:dyDescent="0.25">
      <c r="A25403" s="1" t="str">
        <f>"517680"</f>
        <v>517680</v>
      </c>
      <c r="B25403" s="2" t="str">
        <f>"VEDAPREN PAREDE 18KG"</f>
        <v>VEDAPREN PAREDE 18KG</v>
      </c>
      <c r="C25403" s="2" t="str">
        <f t="shared" si="1003"/>
        <v>UN</v>
      </c>
      <c r="D25403" s="7">
        <v>917</v>
      </c>
      <c r="E25403" s="3">
        <v>10</v>
      </c>
      <c r="F25403" s="2">
        <v>0</v>
      </c>
      <c r="G25403" t="s">
        <v>513</v>
      </c>
    </row>
    <row r="25404" spans="1:7" x14ac:dyDescent="0.25">
      <c r="A25404" s="1" t="str">
        <f>"518441"</f>
        <v>518441</v>
      </c>
      <c r="B25404" s="2" t="str">
        <f>"VEDAPREN PAREDE 3,6KG"</f>
        <v>VEDAPREN PAREDE 3,6KG</v>
      </c>
      <c r="C25404" s="2" t="str">
        <f t="shared" si="1003"/>
        <v>UN</v>
      </c>
      <c r="D25404" s="7">
        <v>917</v>
      </c>
      <c r="E25404" s="3">
        <v>10</v>
      </c>
      <c r="F25404" s="2">
        <v>2</v>
      </c>
      <c r="G25404" t="s">
        <v>512</v>
      </c>
    </row>
    <row r="25405" spans="1:7" x14ac:dyDescent="0.25">
      <c r="A25405" s="1" t="str">
        <f>"527896"</f>
        <v>527896</v>
      </c>
      <c r="B25405" s="2" t="str">
        <f>"VEDATOP 12 KG OTTO"</f>
        <v>VEDATOP 12 KG OTTO</v>
      </c>
      <c r="C25405" s="2" t="str">
        <f t="shared" si="1003"/>
        <v>UN</v>
      </c>
      <c r="D25405" s="7">
        <v>917</v>
      </c>
      <c r="E25405" s="3">
        <v>10</v>
      </c>
      <c r="F25405" s="2">
        <v>5</v>
      </c>
      <c r="G25405" t="s">
        <v>513</v>
      </c>
    </row>
    <row r="25406" spans="1:7" x14ac:dyDescent="0.25">
      <c r="A25406" s="1" t="str">
        <f>"521189"</f>
        <v>521189</v>
      </c>
      <c r="B25406" s="2" t="str">
        <f>"VEJA 500ML"</f>
        <v>VEJA 500ML</v>
      </c>
      <c r="C25406" s="2" t="str">
        <f t="shared" si="1003"/>
        <v>UN</v>
      </c>
      <c r="D25406" s="7">
        <v>99999</v>
      </c>
      <c r="E25406" s="3">
        <v>99</v>
      </c>
      <c r="F25406" s="2">
        <v>6</v>
      </c>
      <c r="G25406" t="s">
        <v>514</v>
      </c>
    </row>
    <row r="25407" spans="1:7" x14ac:dyDescent="0.25">
      <c r="A25407" s="1" t="str">
        <f>"509474"</f>
        <v>509474</v>
      </c>
      <c r="B25407" s="2" t="str">
        <f>"VEJA PERFUMES DA NATUREZA"</f>
        <v>VEJA PERFUMES DA NATUREZA</v>
      </c>
      <c r="C25407" s="2" t="str">
        <f t="shared" si="1003"/>
        <v>UN</v>
      </c>
      <c r="D25407" s="7">
        <v>400</v>
      </c>
      <c r="E25407" s="3">
        <v>4</v>
      </c>
      <c r="F25407" s="2">
        <v>9</v>
      </c>
      <c r="G25407" t="s">
        <v>514</v>
      </c>
    </row>
    <row r="25408" spans="1:7" x14ac:dyDescent="0.25">
      <c r="A25408" s="1" t="str">
        <f>"515143"</f>
        <v>515143</v>
      </c>
      <c r="B25408" s="2" t="str">
        <f>"VELA"</f>
        <v>VELA</v>
      </c>
      <c r="C25408" s="2" t="str">
        <f t="shared" si="1003"/>
        <v>UN</v>
      </c>
      <c r="D25408" s="7">
        <v>401</v>
      </c>
      <c r="E25408" s="3">
        <v>4</v>
      </c>
      <c r="F25408" s="2">
        <v>5</v>
      </c>
      <c r="G25408" t="s">
        <v>514</v>
      </c>
    </row>
    <row r="25409" spans="1:7" x14ac:dyDescent="0.25">
      <c r="A25409" s="1" t="str">
        <f>"504935"</f>
        <v>504935</v>
      </c>
      <c r="B25409" s="2" t="str">
        <f>"VELA IGNICAO"</f>
        <v>VELA IGNICAO</v>
      </c>
      <c r="C25409" s="2" t="str">
        <f t="shared" si="1003"/>
        <v>UN</v>
      </c>
      <c r="D25409" s="7">
        <v>918</v>
      </c>
      <c r="E25409" s="3">
        <v>11</v>
      </c>
      <c r="F25409" s="2">
        <v>3</v>
      </c>
      <c r="G25409" t="s">
        <v>513</v>
      </c>
    </row>
    <row r="25410" spans="1:7" x14ac:dyDescent="0.25">
      <c r="A25410" s="1" t="str">
        <f>"526694"</f>
        <v>526694</v>
      </c>
      <c r="B25410" s="2" t="str">
        <f>"VELA IGNICAO NGK BPM6A"</f>
        <v>VELA IGNICAO NGK BPM6A</v>
      </c>
      <c r="C25410" s="2" t="str">
        <f t="shared" si="1003"/>
        <v>UN</v>
      </c>
      <c r="D25410" s="7">
        <v>918</v>
      </c>
      <c r="E25410" s="3">
        <v>11</v>
      </c>
      <c r="F25410" s="2">
        <v>3</v>
      </c>
      <c r="G25410" t="s">
        <v>513</v>
      </c>
    </row>
    <row r="25411" spans="1:7" x14ac:dyDescent="0.25">
      <c r="A25411" s="1" t="str">
        <f>"511940"</f>
        <v>511940</v>
      </c>
      <c r="B25411" s="2" t="str">
        <f>"VELA IGNICAO NGK BPMR7A BT121/MS/FS"</f>
        <v>VELA IGNICAO NGK BPMR7A BT121/MS/FS</v>
      </c>
      <c r="C25411" s="2" t="str">
        <f t="shared" si="1003"/>
        <v>UN</v>
      </c>
      <c r="D25411" s="7">
        <v>918</v>
      </c>
      <c r="E25411" s="3">
        <v>11</v>
      </c>
      <c r="F25411" s="2">
        <v>2</v>
      </c>
      <c r="G25411" t="s">
        <v>513</v>
      </c>
    </row>
    <row r="25412" spans="1:7" x14ac:dyDescent="0.25">
      <c r="A25412" s="1" t="str">
        <f>"520707"</f>
        <v>520707</v>
      </c>
      <c r="B25412" s="2" t="str">
        <f>"VELCRO"</f>
        <v>VELCRO</v>
      </c>
      <c r="C25412" s="2" t="str">
        <f t="shared" si="1003"/>
        <v>UN</v>
      </c>
      <c r="D25412" s="7">
        <v>99999</v>
      </c>
      <c r="E25412" s="3">
        <v>99</v>
      </c>
      <c r="F25412" s="2">
        <v>1</v>
      </c>
      <c r="G25412" t="s">
        <v>512</v>
      </c>
    </row>
    <row r="25413" spans="1:7" x14ac:dyDescent="0.25">
      <c r="A25413" s="1" t="str">
        <f>"523759"</f>
        <v>523759</v>
      </c>
      <c r="B25413" s="2" t="str">
        <f>"VELCRO DUPLA FACE 3,65MT X 19MM PRETO - 151717"</f>
        <v>VELCRO DUPLA FACE 3,65MT X 19MM PRETO - 151717</v>
      </c>
      <c r="C25413" s="2" t="str">
        <f t="shared" si="1003"/>
        <v>UN</v>
      </c>
      <c r="D25413" s="7">
        <v>99999</v>
      </c>
      <c r="E25413" s="3">
        <v>99</v>
      </c>
      <c r="F25413" s="2">
        <v>4</v>
      </c>
      <c r="G25413" t="s">
        <v>513</v>
      </c>
    </row>
    <row r="25414" spans="1:7" x14ac:dyDescent="0.25">
      <c r="A25414" s="1" t="str">
        <f>"514633"</f>
        <v>514633</v>
      </c>
      <c r="B25414" s="2" t="str">
        <f>"VELCRO MACHO/FEMEA 020MM"</f>
        <v>VELCRO MACHO/FEMEA 020MM</v>
      </c>
      <c r="C25414" s="2" t="str">
        <f t="shared" si="1003"/>
        <v>UN</v>
      </c>
      <c r="D25414" s="7">
        <v>600</v>
      </c>
      <c r="E25414" s="3">
        <v>11</v>
      </c>
      <c r="F25414" s="2">
        <v>1</v>
      </c>
      <c r="G25414" t="s">
        <v>514</v>
      </c>
    </row>
    <row r="25415" spans="1:7" x14ac:dyDescent="0.25">
      <c r="A25415" s="1" t="str">
        <f>"515233"</f>
        <v>515233</v>
      </c>
      <c r="B25415" s="2" t="str">
        <f>"VELHO BARREIRO"</f>
        <v>VELHO BARREIRO</v>
      </c>
      <c r="C25415" s="2" t="str">
        <f t="shared" ref="C25415:C25446" si="1004">"UN"</f>
        <v>UN</v>
      </c>
      <c r="D25415" s="7">
        <v>401</v>
      </c>
      <c r="E25415" s="3">
        <v>4</v>
      </c>
      <c r="F25415" s="2">
        <v>2</v>
      </c>
      <c r="G25415" t="s">
        <v>515</v>
      </c>
    </row>
    <row r="25416" spans="1:7" x14ac:dyDescent="0.25">
      <c r="A25416" s="1" t="str">
        <f>"526884"</f>
        <v>526884</v>
      </c>
      <c r="B25416" s="2" t="str">
        <f>"VELO DO FILTRO DN150"</f>
        <v>VELO DO FILTRO DN150</v>
      </c>
      <c r="C25416" s="2" t="str">
        <f t="shared" si="1004"/>
        <v>UN</v>
      </c>
      <c r="D25416" s="7">
        <v>1300</v>
      </c>
      <c r="E25416" s="3">
        <v>13</v>
      </c>
      <c r="F25416" s="2">
        <v>7</v>
      </c>
      <c r="G25416" t="s">
        <v>512</v>
      </c>
    </row>
    <row r="25417" spans="1:7" x14ac:dyDescent="0.25">
      <c r="A25417" s="1" t="str">
        <f>"504305"</f>
        <v>504305</v>
      </c>
      <c r="B25417" s="2" t="str">
        <f>"VELOCIMETRO VOLKSWAGEM"</f>
        <v>VELOCIMETRO VOLKSWAGEM</v>
      </c>
      <c r="C25417" s="2" t="str">
        <f t="shared" si="1004"/>
        <v>UN</v>
      </c>
      <c r="D25417" s="7">
        <v>704</v>
      </c>
      <c r="E25417" s="3">
        <v>9</v>
      </c>
      <c r="F25417" s="2">
        <v>9</v>
      </c>
      <c r="G25417" t="s">
        <v>516</v>
      </c>
    </row>
    <row r="25418" spans="1:7" x14ac:dyDescent="0.25">
      <c r="A25418" s="1" t="str">
        <f>"515145"</f>
        <v>515145</v>
      </c>
      <c r="B25418" s="2" t="str">
        <f>"VELUMOIDE"</f>
        <v>VELUMOIDE</v>
      </c>
      <c r="C25418" s="2" t="str">
        <f t="shared" si="1004"/>
        <v>UN</v>
      </c>
      <c r="D25418" s="7">
        <v>704</v>
      </c>
      <c r="E25418" s="3">
        <v>9</v>
      </c>
      <c r="F25418" s="2">
        <v>0</v>
      </c>
      <c r="G25418" t="s">
        <v>515</v>
      </c>
    </row>
    <row r="25419" spans="1:7" x14ac:dyDescent="0.25">
      <c r="A25419" s="1" t="str">
        <f>"520758"</f>
        <v>520758</v>
      </c>
      <c r="B25419" s="2" t="str">
        <f>"VENENO PARA ABELHA"</f>
        <v>VENENO PARA ABELHA</v>
      </c>
      <c r="C25419" s="2" t="str">
        <f t="shared" si="1004"/>
        <v>UN</v>
      </c>
      <c r="D25419" s="7">
        <v>99999</v>
      </c>
      <c r="E25419" s="3">
        <v>4</v>
      </c>
      <c r="F25419" s="2">
        <v>0</v>
      </c>
      <c r="G25419" t="s">
        <v>514</v>
      </c>
    </row>
    <row r="25420" spans="1:7" x14ac:dyDescent="0.25">
      <c r="A25420" s="1" t="str">
        <f>"515217"</f>
        <v>515217</v>
      </c>
      <c r="B25420" s="2" t="str">
        <f>"VENENO PARA FORMIGA"</f>
        <v>VENENO PARA FORMIGA</v>
      </c>
      <c r="C25420" s="2" t="str">
        <f t="shared" si="1004"/>
        <v>UN</v>
      </c>
      <c r="D25420" s="7">
        <v>401</v>
      </c>
      <c r="E25420" s="3">
        <v>4</v>
      </c>
      <c r="F25420" s="2">
        <v>4</v>
      </c>
      <c r="G25420" t="s">
        <v>512</v>
      </c>
    </row>
    <row r="25421" spans="1:7" x14ac:dyDescent="0.25">
      <c r="A25421" s="1" t="str">
        <f>"513305"</f>
        <v>513305</v>
      </c>
      <c r="B25421" s="2" t="str">
        <f>"VENERE G1 TROP 60 HZ L335"</f>
        <v>VENERE G1 TROP 60 HZ L335</v>
      </c>
      <c r="C25421" s="2" t="str">
        <f t="shared" si="1004"/>
        <v>UN</v>
      </c>
      <c r="D25421" s="7">
        <v>1500</v>
      </c>
      <c r="E25421" s="3">
        <v>13</v>
      </c>
      <c r="F25421" s="2">
        <v>1</v>
      </c>
      <c r="G25421" t="s">
        <v>513</v>
      </c>
    </row>
    <row r="25422" spans="1:7" x14ac:dyDescent="0.25">
      <c r="A25422" s="1" t="str">
        <f>"521518"</f>
        <v>521518</v>
      </c>
      <c r="B25422" s="2" t="str">
        <f>"VENEZIANA GALV. CENTRAL PARA VENTILADOR 6B/EM50 PN2439600"</f>
        <v>VENEZIANA GALV. CENTRAL PARA VENTILADOR 6B/EM50 PN2439600</v>
      </c>
      <c r="C25422" s="2" t="str">
        <f t="shared" si="1004"/>
        <v>UN</v>
      </c>
      <c r="D25422" s="7">
        <v>916</v>
      </c>
      <c r="E25422" s="3">
        <v>10</v>
      </c>
      <c r="F25422" s="2">
        <v>2</v>
      </c>
      <c r="G25422" t="s">
        <v>514</v>
      </c>
    </row>
    <row r="25423" spans="1:7" x14ac:dyDescent="0.25">
      <c r="A25423" s="1" t="str">
        <f>"521517"</f>
        <v>521517</v>
      </c>
      <c r="B25423" s="2" t="str">
        <f>"VENEZIANA PARA VENTILADOR 6A/EM50 PN2439100"</f>
        <v>VENEZIANA PARA VENTILADOR 6A/EM50 PN2439100</v>
      </c>
      <c r="C25423" s="2" t="str">
        <f t="shared" si="1004"/>
        <v>UN</v>
      </c>
      <c r="D25423" s="7">
        <v>916</v>
      </c>
      <c r="E25423" s="3">
        <v>10</v>
      </c>
      <c r="F25423" s="2">
        <v>7</v>
      </c>
      <c r="G25423" t="s">
        <v>514</v>
      </c>
    </row>
    <row r="25424" spans="1:7" x14ac:dyDescent="0.25">
      <c r="A25424" s="1" t="str">
        <f>"506952"</f>
        <v>506952</v>
      </c>
      <c r="B25424" s="2" t="str">
        <f>"VENEZIANA VENT PERMANENTE 1.250 BRANCO"</f>
        <v>VENEZIANA VENT PERMANENTE 1.250 BRANCO</v>
      </c>
      <c r="C25424" s="2" t="str">
        <f t="shared" si="1004"/>
        <v>UN</v>
      </c>
      <c r="D25424" s="7">
        <v>803</v>
      </c>
      <c r="E25424" s="3">
        <v>10</v>
      </c>
      <c r="F25424" s="2">
        <v>9</v>
      </c>
      <c r="G25424" t="s">
        <v>512</v>
      </c>
    </row>
    <row r="25425" spans="1:7" x14ac:dyDescent="0.25">
      <c r="A25425" s="1" t="str">
        <f>"522098"</f>
        <v>522098</v>
      </c>
      <c r="B25425" s="2" t="str">
        <f>"VENEZIANA VENT PERMANENTE 1000x1000 BRANCO"</f>
        <v>VENEZIANA VENT PERMANENTE 1000x1000 BRANCO</v>
      </c>
      <c r="C25425" s="2" t="str">
        <f t="shared" si="1004"/>
        <v>UN</v>
      </c>
      <c r="D25425" s="7">
        <v>803</v>
      </c>
      <c r="E25425" s="3">
        <v>10</v>
      </c>
      <c r="F25425" s="5">
        <v>5</v>
      </c>
      <c r="G25425" t="s">
        <v>513</v>
      </c>
    </row>
    <row r="25426" spans="1:7" x14ac:dyDescent="0.25">
      <c r="A25426" s="1" t="str">
        <f>"514708"</f>
        <v>514708</v>
      </c>
      <c r="B25426" s="2" t="str">
        <f>"VENTILADOR 110V"</f>
        <v>VENTILADOR 110V</v>
      </c>
      <c r="C25426" s="2" t="str">
        <f t="shared" si="1004"/>
        <v>UN</v>
      </c>
      <c r="D25426" s="7">
        <v>401</v>
      </c>
      <c r="E25426" s="3">
        <v>4</v>
      </c>
      <c r="F25426" s="2">
        <v>3</v>
      </c>
      <c r="G25426" t="s">
        <v>514</v>
      </c>
    </row>
    <row r="25427" spans="1:7" x14ac:dyDescent="0.25">
      <c r="A25427" s="1" t="str">
        <f>"524381"</f>
        <v>524381</v>
      </c>
      <c r="B25427" s="2" t="str">
        <f>"VENTILADOR 24V"</f>
        <v>VENTILADOR 24V</v>
      </c>
      <c r="C25427" s="2" t="str">
        <f t="shared" si="1004"/>
        <v>UN</v>
      </c>
      <c r="D25427" s="7">
        <v>704</v>
      </c>
      <c r="E25427" s="3">
        <v>9</v>
      </c>
      <c r="F25427" s="2">
        <v>8</v>
      </c>
      <c r="G25427" t="s">
        <v>514</v>
      </c>
    </row>
    <row r="25428" spans="1:7" x14ac:dyDescent="0.25">
      <c r="A25428" s="1" t="str">
        <f>"510797"</f>
        <v>510797</v>
      </c>
      <c r="B25428" s="2" t="str">
        <f>"VENTILADOR AXIAL 120X120X38MM 24V"</f>
        <v>VENTILADOR AXIAL 120X120X38MM 24V</v>
      </c>
      <c r="C25428" s="2" t="str">
        <f t="shared" si="1004"/>
        <v>UN</v>
      </c>
      <c r="D25428" s="7">
        <v>600</v>
      </c>
      <c r="E25428" s="3">
        <v>8</v>
      </c>
      <c r="F25428" s="2">
        <v>6</v>
      </c>
      <c r="G25428" t="s">
        <v>514</v>
      </c>
    </row>
    <row r="25429" spans="1:7" x14ac:dyDescent="0.25">
      <c r="A25429" s="1" t="str">
        <f>"509523"</f>
        <v>509523</v>
      </c>
      <c r="B25429" s="2" t="str">
        <f>"VENTILADOR AXIAL 120X120X38MM BIVOLT"</f>
        <v>VENTILADOR AXIAL 120X120X38MM BIVOLT</v>
      </c>
      <c r="C25429" s="2" t="str">
        <f t="shared" si="1004"/>
        <v>UN</v>
      </c>
      <c r="D25429" s="7">
        <v>900</v>
      </c>
      <c r="E25429" s="3">
        <v>11</v>
      </c>
      <c r="F25429" s="2">
        <v>4</v>
      </c>
      <c r="G25429" t="s">
        <v>513</v>
      </c>
    </row>
    <row r="25430" spans="1:7" x14ac:dyDescent="0.25">
      <c r="A25430" s="1" t="str">
        <f>"517907"</f>
        <v>517907</v>
      </c>
      <c r="B25430" s="2" t="str">
        <f>"VENTILADOR AXIAL 150X150X38MM"</f>
        <v>VENTILADOR AXIAL 150X150X38MM</v>
      </c>
      <c r="C25430" s="2" t="str">
        <f t="shared" si="1004"/>
        <v>UN</v>
      </c>
      <c r="D25430" s="7">
        <v>811</v>
      </c>
      <c r="E25430" s="3">
        <v>8</v>
      </c>
      <c r="F25430" s="2">
        <v>1</v>
      </c>
      <c r="G25430" t="s">
        <v>512</v>
      </c>
    </row>
    <row r="25431" spans="1:7" x14ac:dyDescent="0.25">
      <c r="A25431" s="1" t="str">
        <f>"517906"</f>
        <v>517906</v>
      </c>
      <c r="B25431" s="2" t="str">
        <f>"VENTILADOR AXIAL 260X260X38MM"</f>
        <v>VENTILADOR AXIAL 260X260X38MM</v>
      </c>
      <c r="C25431" s="2" t="str">
        <f t="shared" si="1004"/>
        <v>UN</v>
      </c>
      <c r="D25431" s="7">
        <v>811</v>
      </c>
      <c r="E25431" s="3">
        <v>8</v>
      </c>
      <c r="F25431" s="2">
        <v>2</v>
      </c>
      <c r="G25431" t="s">
        <v>513</v>
      </c>
    </row>
    <row r="25432" spans="1:7" x14ac:dyDescent="0.25">
      <c r="A25432" s="1" t="str">
        <f>"518184"</f>
        <v>518184</v>
      </c>
      <c r="B25432" s="2" t="str">
        <f>"VENTILADOR AXIAL 30X190X42 R50250 R50305D"</f>
        <v>VENTILADOR AXIAL 30X190X42 R50250 R50305D</v>
      </c>
      <c r="C25432" s="2" t="str">
        <f t="shared" si="1004"/>
        <v>UN</v>
      </c>
      <c r="D25432" s="7">
        <v>918</v>
      </c>
      <c r="E25432" s="3">
        <v>11</v>
      </c>
      <c r="F25432" s="2">
        <v>7</v>
      </c>
      <c r="G25432" t="s">
        <v>514</v>
      </c>
    </row>
    <row r="25433" spans="1:7" x14ac:dyDescent="0.25">
      <c r="A25433" s="1" t="str">
        <f>"517682"</f>
        <v>517682</v>
      </c>
      <c r="B25433" s="2" t="str">
        <f>"VENTILADOR AXIAL EM3607-NNGM00"</f>
        <v>VENTILADOR AXIAL EM3607-NNGM00</v>
      </c>
      <c r="C25433" s="2" t="str">
        <f t="shared" si="1004"/>
        <v>UN</v>
      </c>
      <c r="D25433" s="7">
        <v>811</v>
      </c>
      <c r="E25433" s="3">
        <v>8</v>
      </c>
      <c r="F25433" s="2">
        <v>9</v>
      </c>
      <c r="G25433" t="s">
        <v>514</v>
      </c>
    </row>
    <row r="25434" spans="1:7" x14ac:dyDescent="0.25">
      <c r="A25434" s="1" t="str">
        <f>"509128"</f>
        <v>509128</v>
      </c>
      <c r="B25434" s="2" t="str">
        <f>"VENTILADOR C/ GRELHA 150MM"</f>
        <v>VENTILADOR C/ GRELHA 150MM</v>
      </c>
      <c r="C25434" s="2" t="str">
        <f t="shared" si="1004"/>
        <v>UN</v>
      </c>
      <c r="D25434" s="7">
        <v>402</v>
      </c>
      <c r="E25434" s="3">
        <v>4</v>
      </c>
      <c r="F25434" s="2">
        <v>0</v>
      </c>
      <c r="G25434" t="s">
        <v>514</v>
      </c>
    </row>
    <row r="25435" spans="1:7" x14ac:dyDescent="0.25">
      <c r="A25435" s="1" t="str">
        <f>"513377"</f>
        <v>513377</v>
      </c>
      <c r="B25435" s="2" t="str">
        <f>"VENTILADOR C/ PEDESTAL 110/220V"</f>
        <v>VENTILADOR C/ PEDESTAL 110/220V</v>
      </c>
      <c r="C25435" s="2" t="str">
        <f t="shared" si="1004"/>
        <v>UN</v>
      </c>
      <c r="D25435" s="7">
        <v>1000</v>
      </c>
      <c r="E25435" s="3">
        <v>11</v>
      </c>
      <c r="F25435" s="2">
        <v>0</v>
      </c>
      <c r="G25435" t="s">
        <v>513</v>
      </c>
    </row>
    <row r="25436" spans="1:7" x14ac:dyDescent="0.25">
      <c r="A25436" s="1" t="str">
        <f>"526130"</f>
        <v>526130</v>
      </c>
      <c r="B25436" s="2" t="str">
        <f>"VENTILADOR CENTRIFUGO 230Vca 160MM"</f>
        <v>VENTILADOR CENTRIFUGO 230Vca 160MM</v>
      </c>
      <c r="C25436" s="2" t="str">
        <f t="shared" si="1004"/>
        <v>UN</v>
      </c>
      <c r="D25436" s="7">
        <v>99999</v>
      </c>
      <c r="E25436" s="3">
        <v>99</v>
      </c>
      <c r="F25436" s="2">
        <v>2</v>
      </c>
      <c r="G25436" t="s">
        <v>513</v>
      </c>
    </row>
    <row r="25437" spans="1:7" x14ac:dyDescent="0.25">
      <c r="A25437" s="1" t="str">
        <f>"510627"</f>
        <v>510627</v>
      </c>
      <c r="B25437" s="2" t="str">
        <f>"VENTILADOR COLUNA NEW LIGHT 50 BCO 110V"</f>
        <v>VENTILADOR COLUNA NEW LIGHT 50 BCO 110V</v>
      </c>
      <c r="C25437" s="2" t="str">
        <f t="shared" si="1004"/>
        <v>UN</v>
      </c>
      <c r="D25437" s="7">
        <v>402</v>
      </c>
      <c r="E25437" s="3">
        <v>4</v>
      </c>
      <c r="F25437" s="2">
        <v>5</v>
      </c>
      <c r="G25437" t="s">
        <v>513</v>
      </c>
    </row>
    <row r="25438" spans="1:7" x14ac:dyDescent="0.25">
      <c r="A25438" s="1" t="str">
        <f>"510626"</f>
        <v>510626</v>
      </c>
      <c r="B25438" s="2" t="str">
        <f>"VENTILADOR COLUNA NEW LIGHT 50 PTO 220V"</f>
        <v>VENTILADOR COLUNA NEW LIGHT 50 PTO 220V</v>
      </c>
      <c r="C25438" s="2" t="str">
        <f t="shared" si="1004"/>
        <v>UN</v>
      </c>
      <c r="D25438" s="7">
        <v>402</v>
      </c>
      <c r="E25438" s="3">
        <v>4</v>
      </c>
      <c r="F25438" s="2">
        <v>6</v>
      </c>
      <c r="G25438" t="s">
        <v>512</v>
      </c>
    </row>
    <row r="25439" spans="1:7" x14ac:dyDescent="0.25">
      <c r="A25439" s="1" t="str">
        <f>"518378"</f>
        <v>518378</v>
      </c>
      <c r="B25439" s="2" t="str">
        <f>"VENTILADOR CPL M307A BG OL"</f>
        <v>VENTILADOR CPL M307A BG OL</v>
      </c>
      <c r="C25439" s="2" t="str">
        <f t="shared" si="1004"/>
        <v>UN</v>
      </c>
      <c r="D25439" s="7">
        <v>811</v>
      </c>
      <c r="E25439" s="3">
        <v>8</v>
      </c>
      <c r="F25439" s="2">
        <v>9</v>
      </c>
      <c r="G25439" t="s">
        <v>513</v>
      </c>
    </row>
    <row r="25440" spans="1:7" x14ac:dyDescent="0.25">
      <c r="A25440" s="1" t="str">
        <f>"525058"</f>
        <v>525058</v>
      </c>
      <c r="B25440" s="2" t="str">
        <f>"VENTILADOR CPL. MDX BG1"</f>
        <v>VENTILADOR CPL. MDX BG1</v>
      </c>
      <c r="C25440" s="2" t="str">
        <f t="shared" si="1004"/>
        <v>UN</v>
      </c>
      <c r="D25440" s="7">
        <v>811</v>
      </c>
      <c r="E25440" s="3">
        <v>10</v>
      </c>
      <c r="F25440" s="2">
        <v>5</v>
      </c>
      <c r="G25440" t="s">
        <v>514</v>
      </c>
    </row>
    <row r="25441" spans="1:7" x14ac:dyDescent="0.25">
      <c r="A25441" s="1" t="str">
        <f>"502132"</f>
        <v>502132</v>
      </c>
      <c r="B25441" s="2" t="str">
        <f>"VENTILADOR DE PAREDE 110V"</f>
        <v>VENTILADOR DE PAREDE 110V</v>
      </c>
      <c r="C25441" s="2" t="str">
        <f t="shared" si="1004"/>
        <v>UN</v>
      </c>
      <c r="D25441" s="7">
        <v>402</v>
      </c>
      <c r="E25441" s="3">
        <v>4</v>
      </c>
      <c r="F25441" s="2">
        <v>3</v>
      </c>
      <c r="G25441" t="s">
        <v>515</v>
      </c>
    </row>
    <row r="25442" spans="1:7" x14ac:dyDescent="0.25">
      <c r="A25442" s="1" t="str">
        <f>"526060"</f>
        <v>526060</v>
      </c>
      <c r="B25442" s="2" t="str">
        <f>"VENTILADOR DE PORTA DE PAINEL COM GRELHA 200 POR 200MM 220V"</f>
        <v>VENTILADOR DE PORTA DE PAINEL COM GRELHA 200 POR 200MM 220V</v>
      </c>
      <c r="C25442" s="2" t="str">
        <f t="shared" si="1004"/>
        <v>UN</v>
      </c>
      <c r="D25442" s="7">
        <v>600</v>
      </c>
      <c r="E25442" s="3">
        <v>8</v>
      </c>
      <c r="F25442" s="2">
        <v>3</v>
      </c>
      <c r="G25442" t="s">
        <v>512</v>
      </c>
    </row>
    <row r="25443" spans="1:7" x14ac:dyDescent="0.25">
      <c r="A25443" s="1" t="str">
        <f>"512773"</f>
        <v>512773</v>
      </c>
      <c r="B25443" s="2" t="str">
        <f>"VENTILADOR ELETRICO PR-D9W (EMBREAGEM VISCOSO 2T2/121302/A)"</f>
        <v>VENTILADOR ELETRICO PR-D9W (EMBREAGEM VISCOSO 2T2/121302/A)</v>
      </c>
      <c r="C25443" s="2" t="str">
        <f t="shared" si="1004"/>
        <v>UN</v>
      </c>
      <c r="D25443" s="7">
        <v>704</v>
      </c>
      <c r="E25443" s="3">
        <v>9</v>
      </c>
      <c r="F25443" s="2">
        <v>2</v>
      </c>
      <c r="G25443" t="s">
        <v>516</v>
      </c>
    </row>
    <row r="25444" spans="1:7" x14ac:dyDescent="0.25">
      <c r="A25444" s="1" t="str">
        <f>"527779"</f>
        <v>527779</v>
      </c>
      <c r="B25444" s="2" t="str">
        <f>"VENTILADOR EMPILHADEIRA ELETRICA BT"</f>
        <v>VENTILADOR EMPILHADEIRA ELETRICA BT</v>
      </c>
      <c r="C25444" s="2" t="str">
        <f t="shared" si="1004"/>
        <v>UN</v>
      </c>
      <c r="D25444" s="7">
        <v>811</v>
      </c>
      <c r="E25444" s="3">
        <v>10</v>
      </c>
      <c r="F25444" s="2">
        <v>1</v>
      </c>
      <c r="G25444" t="s">
        <v>515</v>
      </c>
    </row>
    <row r="25445" spans="1:7" x14ac:dyDescent="0.25">
      <c r="A25445" s="1" t="str">
        <f>"511030"</f>
        <v>511030</v>
      </c>
      <c r="B25445" s="2" t="str">
        <f>"VENTILADOR M15X30CM FAET"</f>
        <v>VENTILADOR M15X30CM FAET</v>
      </c>
      <c r="C25445" s="2" t="str">
        <f t="shared" si="1004"/>
        <v>UN</v>
      </c>
      <c r="D25445" s="7">
        <v>402</v>
      </c>
      <c r="E25445" s="3">
        <v>4</v>
      </c>
      <c r="F25445" s="2">
        <v>4</v>
      </c>
      <c r="G25445" t="s">
        <v>514</v>
      </c>
    </row>
    <row r="25446" spans="1:7" x14ac:dyDescent="0.25">
      <c r="A25446" s="1" t="str">
        <f>"510834"</f>
        <v>510834</v>
      </c>
      <c r="B25446" s="2" t="str">
        <f>"VENTILADOR MALORY BOREAL 30CM"</f>
        <v>VENTILADOR MALORY BOREAL 30CM</v>
      </c>
      <c r="C25446" s="2" t="str">
        <f t="shared" si="1004"/>
        <v>UN</v>
      </c>
      <c r="D25446" s="7">
        <v>402</v>
      </c>
      <c r="E25446" s="3">
        <v>4</v>
      </c>
      <c r="F25446" s="2">
        <v>6</v>
      </c>
      <c r="G25446" t="s">
        <v>512</v>
      </c>
    </row>
    <row r="25447" spans="1:7" x14ac:dyDescent="0.25">
      <c r="A25447" s="1" t="str">
        <f>"519131"</f>
        <v>519131</v>
      </c>
      <c r="B25447" s="2" t="str">
        <f>"VENTILADOR MICROVENTILADOR AXIAL 80X80X38MM BIVOLT"</f>
        <v>VENTILADOR MICROVENTILADOR AXIAL 80X80X38MM BIVOLT</v>
      </c>
      <c r="C25447" s="2" t="str">
        <f t="shared" ref="C25447:C25478" si="1005">"UN"</f>
        <v>UN</v>
      </c>
      <c r="D25447" s="7">
        <v>600</v>
      </c>
      <c r="E25447" s="3">
        <v>8</v>
      </c>
      <c r="F25447" s="2">
        <v>8</v>
      </c>
      <c r="G25447" t="s">
        <v>513</v>
      </c>
    </row>
    <row r="25448" spans="1:7" x14ac:dyDescent="0.25">
      <c r="A25448" s="1" t="str">
        <f>"519083"</f>
        <v>519083</v>
      </c>
      <c r="B25448" s="2" t="str">
        <f>"VENTILADOR OSC. MESA 50CM 127/220V"</f>
        <v>VENTILADOR OSC. MESA 50CM 127/220V</v>
      </c>
      <c r="C25448" s="2" t="str">
        <f t="shared" si="1005"/>
        <v>UN</v>
      </c>
      <c r="D25448" s="7">
        <v>402</v>
      </c>
      <c r="E25448" s="3">
        <v>4</v>
      </c>
      <c r="F25448" s="2">
        <v>7</v>
      </c>
      <c r="G25448" t="s">
        <v>514</v>
      </c>
    </row>
    <row r="25449" spans="1:7" x14ac:dyDescent="0.25">
      <c r="A25449" s="1" t="str">
        <f>"511091"</f>
        <v>511091</v>
      </c>
      <c r="B25449" s="2" t="str">
        <f>"VENTILADOR PAREDE 60CM AÇO 110V PRETO"</f>
        <v>VENTILADOR PAREDE 60CM AÇO 110V PRETO</v>
      </c>
      <c r="C25449" s="2" t="str">
        <f t="shared" si="1005"/>
        <v>UN</v>
      </c>
      <c r="D25449" s="7">
        <v>600</v>
      </c>
      <c r="E25449" s="3">
        <v>8</v>
      </c>
      <c r="F25449" s="2">
        <v>6</v>
      </c>
      <c r="G25449" t="s">
        <v>514</v>
      </c>
    </row>
    <row r="25450" spans="1:7" x14ac:dyDescent="0.25">
      <c r="A25450" s="1" t="str">
        <f>"518183"</f>
        <v>518183</v>
      </c>
      <c r="B25450" s="2" t="str">
        <f>"VENTILADOR RADISL 25X200X42 R50160-R50305D"</f>
        <v>VENTILADOR RADISL 25X200X42 R50160-R50305D</v>
      </c>
      <c r="C25450" s="2" t="str">
        <f t="shared" si="1005"/>
        <v>UN</v>
      </c>
      <c r="D25450" s="7">
        <v>918</v>
      </c>
      <c r="E25450" s="3">
        <v>11</v>
      </c>
      <c r="F25450" s="2">
        <v>6</v>
      </c>
      <c r="G25450" t="s">
        <v>512</v>
      </c>
    </row>
    <row r="25451" spans="1:7" x14ac:dyDescent="0.25">
      <c r="A25451" s="1" t="str">
        <f>"517031"</f>
        <v>517031</v>
      </c>
      <c r="B25451" s="2" t="str">
        <f>"VENTILADOR TASCO 203X203 COD 96220"</f>
        <v>VENTILADOR TASCO 203X203 COD 96220</v>
      </c>
      <c r="C25451" s="2" t="str">
        <f t="shared" si="1005"/>
        <v>UN</v>
      </c>
      <c r="D25451" s="7">
        <v>811</v>
      </c>
      <c r="E25451" s="3">
        <v>8</v>
      </c>
      <c r="F25451" s="2">
        <v>2</v>
      </c>
      <c r="G25451" t="s">
        <v>513</v>
      </c>
    </row>
    <row r="25452" spans="1:7" x14ac:dyDescent="0.25">
      <c r="A25452" s="1" t="str">
        <f>"526997"</f>
        <v>526997</v>
      </c>
      <c r="B25452" s="2" t="str">
        <f>"VENTILADOR TASCO 220V 260X260 C/ FILTRO"</f>
        <v>VENTILADOR TASCO 220V 260X260 C/ FILTRO</v>
      </c>
      <c r="C25452" s="2" t="str">
        <f t="shared" si="1005"/>
        <v>UN</v>
      </c>
      <c r="D25452" s="7">
        <v>811</v>
      </c>
      <c r="E25452" s="3">
        <v>8</v>
      </c>
      <c r="F25452" s="2">
        <v>1</v>
      </c>
      <c r="G25452" t="s">
        <v>514</v>
      </c>
    </row>
    <row r="25453" spans="1:7" x14ac:dyDescent="0.25">
      <c r="A25453" s="1" t="str">
        <f>"526998"</f>
        <v>526998</v>
      </c>
      <c r="B25453" s="2" t="str">
        <f>"VENTILADOR TASCO FILTRO AR REP 245X245X20MM POLIEST"</f>
        <v>VENTILADOR TASCO FILTRO AR REP 245X245X20MM POLIEST</v>
      </c>
      <c r="C25453" s="2" t="str">
        <f t="shared" si="1005"/>
        <v>UN</v>
      </c>
      <c r="D25453" s="7">
        <v>811</v>
      </c>
      <c r="E25453" s="3">
        <v>8</v>
      </c>
      <c r="F25453" s="2">
        <v>0</v>
      </c>
      <c r="G25453" t="s">
        <v>514</v>
      </c>
    </row>
    <row r="25454" spans="1:7" x14ac:dyDescent="0.25">
      <c r="A25454" s="1" t="str">
        <f>"526999"</f>
        <v>526999</v>
      </c>
      <c r="B25454" s="2" t="str">
        <f>"VENTILADOR TASCO GRELHA C/ FILTRO 255X255"</f>
        <v>VENTILADOR TASCO GRELHA C/ FILTRO 255X255</v>
      </c>
      <c r="C25454" s="2" t="str">
        <f t="shared" si="1005"/>
        <v>UN</v>
      </c>
      <c r="D25454" s="7">
        <v>811</v>
      </c>
      <c r="E25454" s="3">
        <v>8</v>
      </c>
      <c r="F25454" s="2">
        <v>0</v>
      </c>
      <c r="G25454" t="s">
        <v>514</v>
      </c>
    </row>
    <row r="25455" spans="1:7" x14ac:dyDescent="0.25">
      <c r="A25455" s="1" t="str">
        <f>"527984"</f>
        <v>527984</v>
      </c>
      <c r="B25455" s="2" t="str">
        <f>"VENTILADOR TORIN BDC241-241 004156"</f>
        <v>VENTILADOR TORIN BDC241-241 004156</v>
      </c>
      <c r="C25455" s="2" t="str">
        <f t="shared" si="1005"/>
        <v>UN</v>
      </c>
      <c r="D25455" s="7">
        <v>913</v>
      </c>
      <c r="E25455" s="3">
        <v>10</v>
      </c>
      <c r="F25455" s="2">
        <v>0</v>
      </c>
      <c r="G25455" t="s">
        <v>513</v>
      </c>
    </row>
    <row r="25456" spans="1:7" x14ac:dyDescent="0.25">
      <c r="A25456" s="1" t="str">
        <f>"518578"</f>
        <v>518578</v>
      </c>
      <c r="B25456" s="2" t="str">
        <f>"VENTILADOR TRASEIDO 24VDC CIJ VJ 1510 VJ 1210"</f>
        <v>VENTILADOR TRASEIDO 24VDC CIJ VJ 1510 VJ 1210</v>
      </c>
      <c r="C25456" s="2" t="str">
        <f t="shared" si="1005"/>
        <v>UN</v>
      </c>
      <c r="D25456" s="7">
        <v>811</v>
      </c>
      <c r="E25456" s="3">
        <v>8</v>
      </c>
      <c r="F25456" s="2">
        <v>3</v>
      </c>
      <c r="G25456" t="s">
        <v>512</v>
      </c>
    </row>
    <row r="25457" spans="1:7" x14ac:dyDescent="0.25">
      <c r="A25457" s="1" t="str">
        <f>"511228"</f>
        <v>511228</v>
      </c>
      <c r="B25457" s="2" t="str">
        <f>"VENTILADOR VAP 910/08/40-E 38MM"</f>
        <v>VENTILADOR VAP 910/08/40-E 38MM</v>
      </c>
      <c r="C25457" s="2" t="str">
        <f t="shared" si="1005"/>
        <v>UN</v>
      </c>
      <c r="D25457" s="7">
        <v>900</v>
      </c>
      <c r="E25457" s="3">
        <v>11</v>
      </c>
      <c r="F25457" s="5">
        <v>5</v>
      </c>
      <c r="G25457" t="s">
        <v>513</v>
      </c>
    </row>
    <row r="25458" spans="1:7" x14ac:dyDescent="0.25">
      <c r="A25458" s="1" t="str">
        <f>"506921"</f>
        <v>506921</v>
      </c>
      <c r="B25458" s="2" t="str">
        <f>"VENTILADOR/EXAUSTOR EM-36 0,75 380V TRIFASICO"</f>
        <v>VENTILADOR/EXAUSTOR EM-36 0,75 380V TRIFASICO</v>
      </c>
      <c r="C25458" s="2" t="str">
        <f t="shared" si="1005"/>
        <v>UN</v>
      </c>
      <c r="D25458" s="7">
        <v>1500</v>
      </c>
      <c r="E25458" s="3">
        <v>13</v>
      </c>
      <c r="F25458" s="2">
        <v>3</v>
      </c>
      <c r="G25458" t="s">
        <v>514</v>
      </c>
    </row>
    <row r="25459" spans="1:7" x14ac:dyDescent="0.25">
      <c r="A25459" s="1" t="str">
        <f>"518214"</f>
        <v>518214</v>
      </c>
      <c r="B25459" s="2" t="str">
        <f>"VENTILADOR/EXAUSTOR EM-50 1,00 HP 380V TRIFASICO"</f>
        <v>VENTILADOR/EXAUSTOR EM-50 1,00 HP 380V TRIFASICO</v>
      </c>
      <c r="C25459" s="2" t="str">
        <f t="shared" si="1005"/>
        <v>UN</v>
      </c>
      <c r="D25459" s="7">
        <v>1500</v>
      </c>
      <c r="E25459" s="3">
        <v>13</v>
      </c>
      <c r="F25459" s="2">
        <v>8</v>
      </c>
      <c r="G25459" t="s">
        <v>514</v>
      </c>
    </row>
    <row r="25460" spans="1:7" x14ac:dyDescent="0.25">
      <c r="A25460" s="1" t="str">
        <f>"526005"</f>
        <v>526005</v>
      </c>
      <c r="B25460" s="2" t="str">
        <f>"VENTOINHA"</f>
        <v>VENTOINHA</v>
      </c>
      <c r="C25460" s="2" t="str">
        <f t="shared" si="1005"/>
        <v>UN</v>
      </c>
      <c r="D25460" s="7">
        <v>704</v>
      </c>
      <c r="E25460" s="3">
        <v>9</v>
      </c>
      <c r="F25460" s="2">
        <v>6</v>
      </c>
      <c r="G25460" t="s">
        <v>514</v>
      </c>
    </row>
    <row r="25461" spans="1:7" x14ac:dyDescent="0.25">
      <c r="A25461" s="1" t="str">
        <f>"518262"</f>
        <v>518262</v>
      </c>
      <c r="B25461" s="2" t="str">
        <f>"VENTOINHA ""SUB-CONJUNTO"" SBV250304 - SELOVAC"</f>
        <v>VENTOINHA "SUB-CONJUNTO" SBV250304 - SELOVAC</v>
      </c>
      <c r="C25461" s="2" t="str">
        <f t="shared" si="1005"/>
        <v>UN</v>
      </c>
      <c r="D25461" s="7">
        <v>918</v>
      </c>
      <c r="E25461" s="3">
        <v>11</v>
      </c>
      <c r="F25461" s="2">
        <v>4</v>
      </c>
      <c r="G25461" t="s">
        <v>513</v>
      </c>
    </row>
    <row r="25462" spans="1:7" x14ac:dyDescent="0.25">
      <c r="A25462" s="1" t="str">
        <f>"513944"</f>
        <v>513944</v>
      </c>
      <c r="B25462" s="2" t="str">
        <f>"VENTOINHA 4 POLOS 100 A"</f>
        <v>VENTOINHA 4 POLOS 100 A</v>
      </c>
      <c r="C25462" s="2" t="str">
        <f t="shared" si="1005"/>
        <v>UN</v>
      </c>
      <c r="D25462" s="7">
        <v>99999</v>
      </c>
      <c r="E25462" s="3">
        <v>99</v>
      </c>
      <c r="F25462" s="2">
        <v>1</v>
      </c>
      <c r="G25462" t="s">
        <v>513</v>
      </c>
    </row>
    <row r="25463" spans="1:7" x14ac:dyDescent="0.25">
      <c r="A25463" s="1" t="str">
        <f>"513943"</f>
        <v>513943</v>
      </c>
      <c r="B25463" s="2" t="str">
        <f>"VENTOINHA 4 POLOS 90A"</f>
        <v>VENTOINHA 4 POLOS 90A</v>
      </c>
      <c r="C25463" s="2" t="str">
        <f t="shared" si="1005"/>
        <v>UN</v>
      </c>
      <c r="D25463" s="7">
        <v>99999</v>
      </c>
      <c r="E25463" s="3">
        <v>99</v>
      </c>
      <c r="F25463" s="2">
        <v>2</v>
      </c>
      <c r="G25463" t="s">
        <v>513</v>
      </c>
    </row>
    <row r="25464" spans="1:7" x14ac:dyDescent="0.25">
      <c r="A25464" s="1" t="str">
        <f>"520503"</f>
        <v>520503</v>
      </c>
      <c r="B25464" s="2" t="str">
        <f>"VENTOINHA ALPINA VA-400/620"</f>
        <v>VENTOINHA ALPINA VA-400/620</v>
      </c>
      <c r="C25464" s="2" t="str">
        <f t="shared" si="1005"/>
        <v>UN</v>
      </c>
      <c r="D25464" s="7">
        <v>600</v>
      </c>
      <c r="E25464" s="3">
        <v>8</v>
      </c>
      <c r="F25464" s="2">
        <v>7</v>
      </c>
      <c r="G25464" t="s">
        <v>512</v>
      </c>
    </row>
    <row r="25465" spans="1:7" x14ac:dyDescent="0.25">
      <c r="A25465" s="1" t="str">
        <f>"518263"</f>
        <v>518263</v>
      </c>
      <c r="B25465" s="2" t="str">
        <f>"VENTOINHA CENTRAL SBV250100 - SELOVAC"</f>
        <v>VENTOINHA CENTRAL SBV250100 - SELOVAC</v>
      </c>
      <c r="C25465" s="2" t="str">
        <f t="shared" si="1005"/>
        <v>UN</v>
      </c>
      <c r="D25465" s="7">
        <v>918</v>
      </c>
      <c r="E25465" s="3">
        <v>11</v>
      </c>
      <c r="F25465" s="2">
        <v>9</v>
      </c>
      <c r="G25465" t="s">
        <v>513</v>
      </c>
    </row>
    <row r="25466" spans="1:7" x14ac:dyDescent="0.25">
      <c r="A25466" s="1" t="str">
        <f>"527972"</f>
        <v>527972</v>
      </c>
      <c r="B25466" s="2" t="str">
        <f>"VENTOINHA EBERLE MODELO 56 FURO 9MM"</f>
        <v>VENTOINHA EBERLE MODELO 56 FURO 9MM</v>
      </c>
      <c r="C25466" s="2" t="str">
        <f t="shared" si="1005"/>
        <v>UN</v>
      </c>
      <c r="D25466" s="7">
        <v>600</v>
      </c>
      <c r="E25466" s="3">
        <v>8</v>
      </c>
      <c r="F25466" s="2">
        <v>0</v>
      </c>
      <c r="G25466" t="s">
        <v>514</v>
      </c>
    </row>
    <row r="25467" spans="1:7" x14ac:dyDescent="0.25">
      <c r="A25467" s="1" t="str">
        <f>"502640"</f>
        <v>502640</v>
      </c>
      <c r="B25467" s="2" t="str">
        <f>"VENTOINHA MOTOR WEG MOD.D56 1097"</f>
        <v>VENTOINHA MOTOR WEG MOD.D56 1097</v>
      </c>
      <c r="C25467" s="2" t="str">
        <f t="shared" si="1005"/>
        <v>UN</v>
      </c>
      <c r="D25467" s="7">
        <v>600</v>
      </c>
      <c r="E25467" s="3">
        <v>8</v>
      </c>
      <c r="F25467" s="2">
        <v>0</v>
      </c>
      <c r="G25467" t="s">
        <v>515</v>
      </c>
    </row>
    <row r="25468" spans="1:7" x14ac:dyDescent="0.25">
      <c r="A25468" s="1" t="str">
        <f>"511677"</f>
        <v>511677</v>
      </c>
      <c r="B25468" s="2" t="str">
        <f>"VENTOINHA TANQUE 1000LTS - TROPICAL"</f>
        <v>VENTOINHA TANQUE 1000LTS - TROPICAL</v>
      </c>
      <c r="C25468" s="2" t="str">
        <f t="shared" si="1005"/>
        <v>UN</v>
      </c>
      <c r="D25468" s="7">
        <v>918</v>
      </c>
      <c r="E25468" s="3">
        <v>11</v>
      </c>
      <c r="F25468" s="2">
        <v>2</v>
      </c>
      <c r="G25468" t="s">
        <v>512</v>
      </c>
    </row>
    <row r="25469" spans="1:7" x14ac:dyDescent="0.25">
      <c r="A25469" s="1" t="str">
        <f>"520196"</f>
        <v>520196</v>
      </c>
      <c r="B25469" s="2" t="str">
        <f>"VENTOINHA WEG Nº 100"</f>
        <v>VENTOINHA WEG Nº 100</v>
      </c>
      <c r="C25469" s="2" t="str">
        <f t="shared" si="1005"/>
        <v>UN</v>
      </c>
      <c r="D25469" s="7">
        <v>600</v>
      </c>
      <c r="E25469" s="3">
        <v>8</v>
      </c>
      <c r="F25469" s="2">
        <v>5</v>
      </c>
      <c r="G25469" t="s">
        <v>516</v>
      </c>
    </row>
    <row r="25470" spans="1:7" x14ac:dyDescent="0.25">
      <c r="A25470" s="1" t="str">
        <f>"520202"</f>
        <v>520202</v>
      </c>
      <c r="B25470" s="2" t="str">
        <f>"VENTOINHA WEG Nº 10024398"</f>
        <v>VENTOINHA WEG Nº 10024398</v>
      </c>
      <c r="C25470" s="2" t="str">
        <f t="shared" si="1005"/>
        <v>UN</v>
      </c>
      <c r="D25470" s="7">
        <v>600</v>
      </c>
      <c r="E25470" s="3">
        <v>8</v>
      </c>
      <c r="F25470" s="2">
        <v>6</v>
      </c>
      <c r="G25470" t="s">
        <v>515</v>
      </c>
    </row>
    <row r="25471" spans="1:7" x14ac:dyDescent="0.25">
      <c r="A25471" s="1" t="str">
        <f>"520194"</f>
        <v>520194</v>
      </c>
      <c r="B25471" s="2" t="str">
        <f>"VENTOINHA WEG Nº 112 II"</f>
        <v>VENTOINHA WEG Nº 112 II</v>
      </c>
      <c r="C25471" s="2" t="str">
        <f t="shared" si="1005"/>
        <v>UN</v>
      </c>
      <c r="D25471" s="7">
        <v>600</v>
      </c>
      <c r="E25471" s="3">
        <v>8</v>
      </c>
      <c r="F25471" s="2">
        <v>9</v>
      </c>
      <c r="G25471" t="s">
        <v>514</v>
      </c>
    </row>
    <row r="25472" spans="1:7" x14ac:dyDescent="0.25">
      <c r="A25472" s="1" t="str">
        <f>"505132"</f>
        <v>505132</v>
      </c>
      <c r="B25472" s="2" t="str">
        <f>"VENTOINHA WEG Nº 132"</f>
        <v>VENTOINHA WEG Nº 132</v>
      </c>
      <c r="C25472" s="2" t="str">
        <f t="shared" si="1005"/>
        <v>UN</v>
      </c>
      <c r="D25472" s="7">
        <v>600</v>
      </c>
      <c r="E25472" s="3">
        <v>8</v>
      </c>
      <c r="F25472" s="2">
        <v>5</v>
      </c>
      <c r="G25472" t="s">
        <v>512</v>
      </c>
    </row>
    <row r="25473" spans="1:7" x14ac:dyDescent="0.25">
      <c r="A25473" s="1" t="str">
        <f>"520195"</f>
        <v>520195</v>
      </c>
      <c r="B25473" s="2" t="str">
        <f>"VENTOINHA WEG Nº 132 II"</f>
        <v>VENTOINHA WEG Nº 132 II</v>
      </c>
      <c r="C25473" s="2" t="str">
        <f t="shared" si="1005"/>
        <v>UN</v>
      </c>
      <c r="D25473" s="7">
        <v>600</v>
      </c>
      <c r="E25473" s="3">
        <v>8</v>
      </c>
      <c r="F25473" s="2">
        <v>3</v>
      </c>
      <c r="G25473" t="s">
        <v>513</v>
      </c>
    </row>
    <row r="25474" spans="1:7" x14ac:dyDescent="0.25">
      <c r="A25474" s="1" t="str">
        <f>"520201"</f>
        <v>520201</v>
      </c>
      <c r="B25474" s="2" t="str">
        <f>"VENTOINHA WEG Nº 132/4-6-8"</f>
        <v>VENTOINHA WEG Nº 132/4-6-8</v>
      </c>
      <c r="C25474" s="2" t="str">
        <f t="shared" si="1005"/>
        <v>UN</v>
      </c>
      <c r="D25474" s="7">
        <v>600</v>
      </c>
      <c r="E25474" s="3">
        <v>8</v>
      </c>
      <c r="F25474" s="2">
        <v>3</v>
      </c>
      <c r="G25474" t="s">
        <v>514</v>
      </c>
    </row>
    <row r="25475" spans="1:7" x14ac:dyDescent="0.25">
      <c r="A25475" s="1" t="str">
        <f>"505361"</f>
        <v>505361</v>
      </c>
      <c r="B25475" s="2" t="str">
        <f>"VENTOINHA WEG Nº 160 ALUMINIO"</f>
        <v>VENTOINHA WEG Nº 160 ALUMINIO</v>
      </c>
      <c r="C25475" s="2" t="str">
        <f t="shared" si="1005"/>
        <v>UN</v>
      </c>
      <c r="D25475" s="7">
        <v>600</v>
      </c>
      <c r="E25475" s="3">
        <v>8</v>
      </c>
      <c r="F25475" s="2">
        <v>2</v>
      </c>
      <c r="G25475" t="s">
        <v>514</v>
      </c>
    </row>
    <row r="25476" spans="1:7" x14ac:dyDescent="0.25">
      <c r="A25476" s="1" t="str">
        <f>"527999"</f>
        <v>527999</v>
      </c>
      <c r="B25476" s="2" t="str">
        <f>"VENTOINHA WEG Nº 160 II"</f>
        <v>VENTOINHA WEG Nº 160 II</v>
      </c>
      <c r="C25476" s="2" t="str">
        <f t="shared" si="1005"/>
        <v>UN</v>
      </c>
      <c r="D25476" s="7">
        <v>600</v>
      </c>
      <c r="E25476" s="3">
        <v>8</v>
      </c>
      <c r="F25476" s="2">
        <v>1</v>
      </c>
      <c r="G25476" t="s">
        <v>512</v>
      </c>
    </row>
    <row r="25477" spans="1:7" x14ac:dyDescent="0.25">
      <c r="A25477" s="1" t="str">
        <f>"505609"</f>
        <v>505609</v>
      </c>
      <c r="B25477" s="2" t="str">
        <f>"VENTOINHA WEG Nº 180"</f>
        <v>VENTOINHA WEG Nº 180</v>
      </c>
      <c r="C25477" s="2" t="str">
        <f t="shared" si="1005"/>
        <v>UN</v>
      </c>
      <c r="D25477" s="7">
        <v>600</v>
      </c>
      <c r="E25477" s="3">
        <v>8</v>
      </c>
      <c r="F25477" s="2">
        <v>4</v>
      </c>
      <c r="G25477" t="s">
        <v>513</v>
      </c>
    </row>
    <row r="25478" spans="1:7" x14ac:dyDescent="0.25">
      <c r="A25478" s="1" t="str">
        <f>"520197"</f>
        <v>520197</v>
      </c>
      <c r="B25478" s="2" t="str">
        <f>"VENTOINHA WEG Nº 180 II"</f>
        <v>VENTOINHA WEG Nº 180 II</v>
      </c>
      <c r="C25478" s="2" t="str">
        <f t="shared" si="1005"/>
        <v>UN</v>
      </c>
      <c r="D25478" s="7">
        <v>600</v>
      </c>
      <c r="E25478" s="3">
        <v>8</v>
      </c>
      <c r="F25478" s="2">
        <v>1</v>
      </c>
      <c r="G25478" t="s">
        <v>514</v>
      </c>
    </row>
    <row r="25479" spans="1:7" x14ac:dyDescent="0.25">
      <c r="A25479" s="1" t="str">
        <f>"520198"</f>
        <v>520198</v>
      </c>
      <c r="B25479" s="2" t="str">
        <f>"VENTOINHA WEG Nº 200-324/6T"</f>
        <v>VENTOINHA WEG Nº 200-324/6T</v>
      </c>
      <c r="C25479" s="2" t="str">
        <f t="shared" ref="C25479:C25487" si="1006">"UN"</f>
        <v>UN</v>
      </c>
      <c r="D25479" s="7">
        <v>600</v>
      </c>
      <c r="E25479" s="3">
        <v>8</v>
      </c>
      <c r="F25479" s="2">
        <v>2</v>
      </c>
      <c r="G25479" t="s">
        <v>514</v>
      </c>
    </row>
    <row r="25480" spans="1:7" x14ac:dyDescent="0.25">
      <c r="A25480" s="1" t="str">
        <f>"520199"</f>
        <v>520199</v>
      </c>
      <c r="B25480" s="2" t="str">
        <f>"VENTOINHA WEG Nº 48"</f>
        <v>VENTOINHA WEG Nº 48</v>
      </c>
      <c r="C25480" s="2" t="str">
        <f t="shared" si="1006"/>
        <v>UN</v>
      </c>
      <c r="D25480" s="7">
        <v>600</v>
      </c>
      <c r="E25480" s="3">
        <v>8</v>
      </c>
      <c r="F25480" s="2">
        <v>7</v>
      </c>
      <c r="G25480" t="s">
        <v>514</v>
      </c>
    </row>
    <row r="25481" spans="1:7" x14ac:dyDescent="0.25">
      <c r="A25481" s="1" t="str">
        <f>"520200"</f>
        <v>520200</v>
      </c>
      <c r="B25481" s="2" t="str">
        <f>"VENTOINHA WEG Nº 56"</f>
        <v>VENTOINHA WEG Nº 56</v>
      </c>
      <c r="C25481" s="2" t="str">
        <f t="shared" si="1006"/>
        <v>UN</v>
      </c>
      <c r="D25481" s="7">
        <v>600</v>
      </c>
      <c r="E25481" s="3">
        <v>8</v>
      </c>
      <c r="F25481" s="2">
        <v>9</v>
      </c>
      <c r="G25481" t="s">
        <v>513</v>
      </c>
    </row>
    <row r="25482" spans="1:7" x14ac:dyDescent="0.25">
      <c r="A25482" s="1" t="str">
        <f>"503220"</f>
        <v>503220</v>
      </c>
      <c r="B25482" s="2" t="str">
        <f>"VENTOINHA WEG Nº 63"</f>
        <v>VENTOINHA WEG Nº 63</v>
      </c>
      <c r="C25482" s="2" t="str">
        <f t="shared" si="1006"/>
        <v>UN</v>
      </c>
      <c r="D25482" s="7">
        <v>600</v>
      </c>
      <c r="E25482" s="3">
        <v>8</v>
      </c>
      <c r="F25482" s="2">
        <v>0</v>
      </c>
      <c r="G25482" t="s">
        <v>512</v>
      </c>
    </row>
    <row r="25483" spans="1:7" x14ac:dyDescent="0.25">
      <c r="A25483" s="1" t="str">
        <f>"501137"</f>
        <v>501137</v>
      </c>
      <c r="B25483" s="2" t="str">
        <f>"VENTOINHA WEG Nº 71"</f>
        <v>VENTOINHA WEG Nº 71</v>
      </c>
      <c r="C25483" s="2" t="str">
        <f t="shared" si="1006"/>
        <v>UN</v>
      </c>
      <c r="D25483" s="7">
        <v>600</v>
      </c>
      <c r="E25483" s="3">
        <v>8</v>
      </c>
      <c r="F25483" s="2">
        <v>0</v>
      </c>
      <c r="G25483" t="s">
        <v>513</v>
      </c>
    </row>
    <row r="25484" spans="1:7" x14ac:dyDescent="0.25">
      <c r="A25484" s="1" t="str">
        <f>"501569"</f>
        <v>501569</v>
      </c>
      <c r="B25484" s="2" t="str">
        <f>"VENTOINHA WEG Nº 80"</f>
        <v>VENTOINHA WEG Nº 80</v>
      </c>
      <c r="C25484" s="2" t="str">
        <f t="shared" si="1006"/>
        <v>UN</v>
      </c>
      <c r="D25484" s="7">
        <v>600</v>
      </c>
      <c r="E25484" s="3">
        <v>8</v>
      </c>
      <c r="F25484" s="2">
        <v>4</v>
      </c>
      <c r="G25484" t="s">
        <v>514</v>
      </c>
    </row>
    <row r="25485" spans="1:7" x14ac:dyDescent="0.25">
      <c r="A25485" s="1" t="str">
        <f>"501138"</f>
        <v>501138</v>
      </c>
      <c r="B25485" s="2" t="str">
        <f>"VENTOINHA WEG Nº 90"</f>
        <v>VENTOINHA WEG Nº 90</v>
      </c>
      <c r="C25485" s="2" t="str">
        <f t="shared" si="1006"/>
        <v>UN</v>
      </c>
      <c r="D25485" s="7">
        <v>600</v>
      </c>
      <c r="E25485" s="3">
        <v>8</v>
      </c>
      <c r="F25485" s="2">
        <v>1</v>
      </c>
      <c r="G25485" t="s">
        <v>514</v>
      </c>
    </row>
    <row r="25486" spans="1:7" x14ac:dyDescent="0.25">
      <c r="A25486" s="1" t="str">
        <f>"518886"</f>
        <v>518886</v>
      </c>
      <c r="B25486" s="2" t="str">
        <f>"VENTOSA 20MM 2 FOLES ROSCA 1/8"""</f>
        <v>VENTOSA 20MM 2 FOLES ROSCA 1/8"</v>
      </c>
      <c r="C25486" s="2" t="str">
        <f t="shared" si="1006"/>
        <v>UN</v>
      </c>
      <c r="D25486" s="7">
        <v>913</v>
      </c>
      <c r="E25486" s="3">
        <v>11</v>
      </c>
      <c r="F25486" s="2">
        <v>2</v>
      </c>
      <c r="G25486" t="s">
        <v>514</v>
      </c>
    </row>
    <row r="25487" spans="1:7" x14ac:dyDescent="0.25">
      <c r="A25487" s="1" t="str">
        <f>"517965"</f>
        <v>517965</v>
      </c>
      <c r="B25487" s="2" t="str">
        <f>"VENTOSA 20MM 3 FOLES ROSCA 1/8"""</f>
        <v>VENTOSA 20MM 3 FOLES ROSCA 1/8"</v>
      </c>
      <c r="C25487" s="2" t="str">
        <f t="shared" si="1006"/>
        <v>UN</v>
      </c>
      <c r="D25487" s="7">
        <v>913</v>
      </c>
      <c r="E25487" s="3">
        <v>11</v>
      </c>
      <c r="F25487" s="2">
        <v>7</v>
      </c>
      <c r="G25487" t="s">
        <v>513</v>
      </c>
    </row>
    <row r="25488" spans="1:7" x14ac:dyDescent="0.25">
      <c r="A25488" s="1" t="str">
        <f>"502985"</f>
        <v>502985</v>
      </c>
      <c r="B25488" s="2" t="str">
        <f>"VENTOSA 35MM VALV ESC RAP FESTO SE 3/8-B"</f>
        <v>VENTOSA 35MM VALV ESC RAP FESTO SE 3/8-B</v>
      </c>
      <c r="C25488" s="2" t="str">
        <f>"BR"</f>
        <v>BR</v>
      </c>
      <c r="D25488" s="7">
        <v>808</v>
      </c>
      <c r="E25488" s="3">
        <v>10</v>
      </c>
      <c r="F25488" s="2">
        <v>9</v>
      </c>
      <c r="G25488" t="s">
        <v>513</v>
      </c>
    </row>
    <row r="25489" spans="1:7" x14ac:dyDescent="0.25">
      <c r="A25489" s="1" t="str">
        <f>"501350"</f>
        <v>501350</v>
      </c>
      <c r="B25489" s="2" t="str">
        <f>"VENTOSA BRASKOP 26MM COD-16129603"</f>
        <v>VENTOSA BRASKOP 26MM COD-16129603</v>
      </c>
      <c r="C25489" s="2" t="str">
        <f>"PC"</f>
        <v>PC</v>
      </c>
      <c r="D25489" s="7">
        <v>808</v>
      </c>
      <c r="E25489" s="3">
        <v>10</v>
      </c>
      <c r="F25489" s="5">
        <v>5</v>
      </c>
      <c r="G25489" t="s">
        <v>513</v>
      </c>
    </row>
    <row r="25490" spans="1:7" x14ac:dyDescent="0.25">
      <c r="A25490" s="1" t="str">
        <f>"526469"</f>
        <v>526469</v>
      </c>
      <c r="B25490" s="2" t="str">
        <f>"VENTOSA DUPLA COTAG"</f>
        <v>VENTOSA DUPLA COTAG</v>
      </c>
      <c r="C25490" s="2" t="str">
        <f>"UN"</f>
        <v>UN</v>
      </c>
      <c r="D25490" s="7">
        <v>803</v>
      </c>
      <c r="E25490" s="3">
        <v>10</v>
      </c>
      <c r="F25490" s="2">
        <v>3</v>
      </c>
      <c r="G25490" t="s">
        <v>512</v>
      </c>
    </row>
    <row r="25491" spans="1:7" x14ac:dyDescent="0.25">
      <c r="A25491" s="1" t="str">
        <f>"503678"</f>
        <v>503678</v>
      </c>
      <c r="B25491" s="2" t="str">
        <f>"VENTOSA FESTO 1395690 VASB-30-1/8-PUR-B C/ FOLE"</f>
        <v>VENTOSA FESTO 1395690 VASB-30-1/8-PUR-B C/ FOLE</v>
      </c>
      <c r="C25491" s="2" t="str">
        <f>"UN"</f>
        <v>UN</v>
      </c>
      <c r="D25491" s="7">
        <v>808</v>
      </c>
      <c r="E25491" s="3">
        <v>10</v>
      </c>
      <c r="F25491" s="2">
        <v>8</v>
      </c>
      <c r="G25491" t="s">
        <v>513</v>
      </c>
    </row>
    <row r="25492" spans="1:7" x14ac:dyDescent="0.25">
      <c r="A25492" s="1" t="str">
        <f>"519198"</f>
        <v>519198</v>
      </c>
      <c r="B25492" s="2" t="str">
        <f>"VENTOSA FESTO 1396087 VAS-15-1/8-PUR-B"</f>
        <v>VENTOSA FESTO 1396087 VAS-15-1/8-PUR-B</v>
      </c>
      <c r="C25492" s="2" t="str">
        <f>"PC"</f>
        <v>PC</v>
      </c>
      <c r="D25492" s="7">
        <v>913</v>
      </c>
      <c r="E25492" s="3">
        <v>11</v>
      </c>
      <c r="F25492" s="2">
        <v>6</v>
      </c>
      <c r="G25492" t="s">
        <v>514</v>
      </c>
    </row>
    <row r="25493" spans="1:7" x14ac:dyDescent="0.25">
      <c r="A25493" s="1" t="str">
        <f>"508500"</f>
        <v>508500</v>
      </c>
      <c r="B25493" s="2" t="str">
        <f>"VENTOSA FESTO 1396090 VAS-30-1/8-PUR-B"</f>
        <v>VENTOSA FESTO 1396090 VAS-30-1/8-PUR-B</v>
      </c>
      <c r="C25493" s="2" t="str">
        <f>"PC"</f>
        <v>PC</v>
      </c>
      <c r="D25493" s="7">
        <v>913</v>
      </c>
      <c r="E25493" s="3">
        <v>11</v>
      </c>
      <c r="F25493" s="2">
        <v>4</v>
      </c>
      <c r="G25493" t="s">
        <v>515</v>
      </c>
    </row>
    <row r="25494" spans="1:7" x14ac:dyDescent="0.25">
      <c r="A25494" s="1" t="str">
        <f>"501035"</f>
        <v>501035</v>
      </c>
      <c r="B25494" s="2" t="str">
        <f>"VENTOSA FESTO 1396092 VAS-40-1/4-PUR"</f>
        <v>VENTOSA FESTO 1396092 VAS-40-1/4-PUR</v>
      </c>
      <c r="C25494" s="2" t="str">
        <f>"UN"</f>
        <v>UN</v>
      </c>
      <c r="D25494" s="7">
        <v>808</v>
      </c>
      <c r="E25494" s="3">
        <v>10</v>
      </c>
      <c r="F25494" s="2">
        <v>1</v>
      </c>
      <c r="G25494" t="s">
        <v>512</v>
      </c>
    </row>
    <row r="25495" spans="1:7" x14ac:dyDescent="0.25">
      <c r="A25495" s="1" t="str">
        <f>"521899"</f>
        <v>521899</v>
      </c>
      <c r="B25495" s="2" t="str">
        <f>"VENTOSA FESTO VASB-40-1/4-PUR-B C/ FOLE"</f>
        <v>VENTOSA FESTO VASB-40-1/4-PUR-B C/ FOLE</v>
      </c>
      <c r="C25495" s="2" t="str">
        <f>"UN"</f>
        <v>UN</v>
      </c>
      <c r="D25495" s="7">
        <v>901</v>
      </c>
      <c r="E25495" s="3">
        <v>11</v>
      </c>
      <c r="F25495" s="2">
        <v>2</v>
      </c>
      <c r="G25495" t="s">
        <v>516</v>
      </c>
    </row>
    <row r="25496" spans="1:7" x14ac:dyDescent="0.25">
      <c r="A25496" s="1" t="str">
        <f>"501034"</f>
        <v>501034</v>
      </c>
      <c r="B25496" s="2" t="str">
        <f>"VENTOSA MAQ. BRASKOP COD. 397197-3"</f>
        <v>VENTOSA MAQ. BRASKOP COD. 397197-3</v>
      </c>
      <c r="C25496" s="2" t="str">
        <f>"BR"</f>
        <v>BR</v>
      </c>
      <c r="D25496" s="7">
        <v>808</v>
      </c>
      <c r="E25496" s="3">
        <v>10</v>
      </c>
      <c r="F25496" s="2">
        <v>7</v>
      </c>
      <c r="G25496" t="s">
        <v>515</v>
      </c>
    </row>
    <row r="25497" spans="1:7" x14ac:dyDescent="0.25">
      <c r="A25497" s="1" t="str">
        <f>"509525"</f>
        <v>509525</v>
      </c>
      <c r="B25497" s="2" t="str">
        <f>"VENTOSA POTES MICRO 0.400.001.116 REF. 2625"</f>
        <v>VENTOSA POTES MICRO 0.400.001.116 REF. 2625</v>
      </c>
      <c r="C25497" s="2" t="str">
        <f>"PC"</f>
        <v>PC</v>
      </c>
      <c r="D25497" s="7">
        <v>913</v>
      </c>
      <c r="E25497" s="3">
        <v>11</v>
      </c>
      <c r="F25497" s="2">
        <v>9</v>
      </c>
      <c r="G25497" t="s">
        <v>514</v>
      </c>
    </row>
    <row r="25498" spans="1:7" x14ac:dyDescent="0.25">
      <c r="A25498" s="1" t="str">
        <f>"509526"</f>
        <v>509526</v>
      </c>
      <c r="B25498" s="2" t="str">
        <f>"VENTOSA TAMPA 026-001"</f>
        <v>VENTOSA TAMPA 026-001</v>
      </c>
      <c r="C25498" s="2" t="str">
        <f>"PC"</f>
        <v>PC</v>
      </c>
      <c r="D25498" s="7">
        <v>913</v>
      </c>
      <c r="E25498" s="3">
        <v>11</v>
      </c>
      <c r="F25498" s="2">
        <v>0</v>
      </c>
      <c r="G25498" t="s">
        <v>512</v>
      </c>
    </row>
    <row r="25499" spans="1:7" x14ac:dyDescent="0.25">
      <c r="A25499" s="1" t="str">
        <f>"522146"</f>
        <v>522146</v>
      </c>
      <c r="B25499" s="2" t="str">
        <f>"VENTOSA TAMPA ALUMINIO 026-001 PRIMOS AT5000"</f>
        <v>VENTOSA TAMPA ALUMINIO 026-001 PRIMOS AT5000</v>
      </c>
      <c r="C25499" s="2" t="str">
        <f>"PC"</f>
        <v>PC</v>
      </c>
      <c r="D25499" s="7">
        <v>913</v>
      </c>
      <c r="E25499" s="3">
        <v>11</v>
      </c>
      <c r="F25499" s="2">
        <v>0</v>
      </c>
      <c r="G25499" t="s">
        <v>513</v>
      </c>
    </row>
    <row r="25500" spans="1:7" x14ac:dyDescent="0.25">
      <c r="A25500" s="1" t="str">
        <f>"525974"</f>
        <v>525974</v>
      </c>
      <c r="B25500" s="2" t="str">
        <f>"VENTUINHA LUKMA 150X150X50 220V - LUKMA"</f>
        <v>VENTUINHA LUKMA 150X150X50 220V - LUKMA</v>
      </c>
      <c r="C25500" s="2" t="str">
        <f t="shared" ref="C25500:C25507" si="1007">"UN"</f>
        <v>UN</v>
      </c>
      <c r="D25500" s="7">
        <v>811</v>
      </c>
      <c r="E25500" s="3">
        <v>10</v>
      </c>
      <c r="F25500" s="2">
        <v>2</v>
      </c>
      <c r="G25500" t="s">
        <v>514</v>
      </c>
    </row>
    <row r="25501" spans="1:7" x14ac:dyDescent="0.25">
      <c r="A25501" s="1" t="str">
        <f>"525288"</f>
        <v>525288</v>
      </c>
      <c r="B25501" s="2" t="str">
        <f>"VENTURI VN-PP-100-2.1/21-VR-001-ML 1"" + VALV. RETENÇÃO"</f>
        <v>VENTURI VN-PP-100-2.1/21-VR-001-ML 1" + VALV. RETENÇÃO</v>
      </c>
      <c r="C25501" s="2" t="str">
        <f t="shared" si="1007"/>
        <v>UN</v>
      </c>
      <c r="D25501" s="7">
        <v>912</v>
      </c>
      <c r="E25501" s="3">
        <v>11</v>
      </c>
      <c r="F25501" s="2">
        <v>5</v>
      </c>
      <c r="G25501" t="s">
        <v>514</v>
      </c>
    </row>
    <row r="25502" spans="1:7" x14ac:dyDescent="0.25">
      <c r="A25502" s="1" t="str">
        <f>"517602"</f>
        <v>517602</v>
      </c>
      <c r="B25502" s="2" t="str">
        <f>"VERGALHÃO 10MM"</f>
        <v>VERGALHÃO 10MM</v>
      </c>
      <c r="C25502" s="2" t="str">
        <f t="shared" si="1007"/>
        <v>UN</v>
      </c>
      <c r="D25502" s="7">
        <v>1700</v>
      </c>
      <c r="E25502" s="3">
        <v>10</v>
      </c>
      <c r="F25502" s="2">
        <v>6</v>
      </c>
      <c r="G25502" t="s">
        <v>512</v>
      </c>
    </row>
    <row r="25503" spans="1:7" x14ac:dyDescent="0.25">
      <c r="A25503" s="1" t="str">
        <f>"517603"</f>
        <v>517603</v>
      </c>
      <c r="B25503" s="2" t="str">
        <f>"VERGALHÃO 12,5MM"</f>
        <v>VERGALHÃO 12,5MM</v>
      </c>
      <c r="C25503" s="2" t="str">
        <f t="shared" si="1007"/>
        <v>UN</v>
      </c>
      <c r="D25503" s="7">
        <v>1700</v>
      </c>
      <c r="E25503" s="3">
        <v>10</v>
      </c>
      <c r="F25503" s="2">
        <v>9</v>
      </c>
      <c r="G25503" t="s">
        <v>513</v>
      </c>
    </row>
    <row r="25504" spans="1:7" x14ac:dyDescent="0.25">
      <c r="A25504" s="1" t="str">
        <f>"517604"</f>
        <v>517604</v>
      </c>
      <c r="B25504" s="2" t="str">
        <f>"VERGALHÃO 20MM"</f>
        <v>VERGALHÃO 20MM</v>
      </c>
      <c r="C25504" s="2" t="str">
        <f t="shared" si="1007"/>
        <v>UN</v>
      </c>
      <c r="D25504" s="7">
        <v>1700</v>
      </c>
      <c r="E25504" s="3">
        <v>10</v>
      </c>
      <c r="F25504" s="2">
        <v>5</v>
      </c>
      <c r="G25504" t="s">
        <v>514</v>
      </c>
    </row>
    <row r="25505" spans="1:7" x14ac:dyDescent="0.25">
      <c r="A25505" s="1" t="str">
        <f>"517600"</f>
        <v>517600</v>
      </c>
      <c r="B25505" s="2" t="str">
        <f>"VERGALHÃO 5MM"</f>
        <v>VERGALHÃO 5MM</v>
      </c>
      <c r="C25505" s="2" t="str">
        <f t="shared" si="1007"/>
        <v>UN</v>
      </c>
      <c r="D25505" s="7">
        <v>1700</v>
      </c>
      <c r="E25505" s="3">
        <v>10</v>
      </c>
      <c r="F25505" s="2">
        <v>3</v>
      </c>
      <c r="G25505" t="s">
        <v>514</v>
      </c>
    </row>
    <row r="25506" spans="1:7" x14ac:dyDescent="0.25">
      <c r="A25506" s="1" t="str">
        <f>"517601"</f>
        <v>517601</v>
      </c>
      <c r="B25506" s="2" t="str">
        <f>"VERGALHÃO 8MM"</f>
        <v>VERGALHÃO 8MM</v>
      </c>
      <c r="C25506" s="2" t="str">
        <f t="shared" si="1007"/>
        <v>UN</v>
      </c>
      <c r="D25506" s="7">
        <v>1700</v>
      </c>
      <c r="E25506" s="3">
        <v>10</v>
      </c>
      <c r="F25506" s="2">
        <v>3</v>
      </c>
      <c r="G25506" t="s">
        <v>514</v>
      </c>
    </row>
    <row r="25507" spans="1:7" x14ac:dyDescent="0.25">
      <c r="A25507" s="1" t="str">
        <f>"509021"</f>
        <v>509021</v>
      </c>
      <c r="B25507" s="2" t="str">
        <f>"VERGALHAO AÇO INOX 3/16"</f>
        <v>VERGALHAO AÇO INOX 3/16</v>
      </c>
      <c r="C25507" s="2" t="str">
        <f t="shared" si="1007"/>
        <v>UN</v>
      </c>
      <c r="D25507" s="7">
        <v>917</v>
      </c>
      <c r="E25507" s="3">
        <v>11</v>
      </c>
      <c r="F25507" s="2">
        <v>2</v>
      </c>
      <c r="G25507" t="s">
        <v>513</v>
      </c>
    </row>
    <row r="25508" spans="1:7" x14ac:dyDescent="0.25">
      <c r="A25508" s="1" t="str">
        <f>"506006"</f>
        <v>506006</v>
      </c>
      <c r="B25508" s="2" t="str">
        <f>"VERGALHAO LISO 1/2 INOX"</f>
        <v>VERGALHAO LISO 1/2 INOX</v>
      </c>
      <c r="C25508" s="2" t="str">
        <f>"PC"</f>
        <v>PC</v>
      </c>
      <c r="D25508" s="7">
        <v>806</v>
      </c>
      <c r="E25508" s="3">
        <v>10</v>
      </c>
      <c r="F25508" s="2">
        <v>1</v>
      </c>
      <c r="G25508" t="s">
        <v>512</v>
      </c>
    </row>
    <row r="25509" spans="1:7" x14ac:dyDescent="0.25">
      <c r="A25509" s="1" t="str">
        <f>"503999"</f>
        <v>503999</v>
      </c>
      <c r="B25509" s="2" t="str">
        <f>"VERGALHAO LISO 1/4  INOX"</f>
        <v>VERGALHAO LISO 1/4  INOX</v>
      </c>
      <c r="C25509" s="2" t="str">
        <f>"PC"</f>
        <v>PC</v>
      </c>
      <c r="D25509" s="7">
        <v>806</v>
      </c>
      <c r="E25509" s="3">
        <v>10</v>
      </c>
      <c r="F25509" s="2">
        <v>4</v>
      </c>
      <c r="G25509" t="s">
        <v>513</v>
      </c>
    </row>
    <row r="25510" spans="1:7" x14ac:dyDescent="0.25">
      <c r="A25510" s="1" t="str">
        <f>"500142"</f>
        <v>500142</v>
      </c>
      <c r="B25510" s="2" t="str">
        <f>"VERGALHAO LISO 1/8  INOX"</f>
        <v>VERGALHAO LISO 1/8  INOX</v>
      </c>
      <c r="C25510" s="2" t="str">
        <f>"UN"</f>
        <v>UN</v>
      </c>
      <c r="D25510" s="7">
        <v>403</v>
      </c>
      <c r="E25510" s="3">
        <v>4</v>
      </c>
      <c r="F25510" s="2">
        <v>6</v>
      </c>
      <c r="G25510" t="s">
        <v>514</v>
      </c>
    </row>
    <row r="25511" spans="1:7" x14ac:dyDescent="0.25">
      <c r="A25511" s="1" t="str">
        <f>"500143"</f>
        <v>500143</v>
      </c>
      <c r="B25511" s="2" t="str">
        <f>"VERGALHAO LISO 3/8  INOX"</f>
        <v>VERGALHAO LISO 3/8  INOX</v>
      </c>
      <c r="C25511" s="2" t="str">
        <f>"MT"</f>
        <v>MT</v>
      </c>
      <c r="D25511" s="7">
        <v>806</v>
      </c>
      <c r="E25511" s="3">
        <v>4</v>
      </c>
      <c r="F25511" s="2">
        <v>8</v>
      </c>
      <c r="G25511" t="s">
        <v>514</v>
      </c>
    </row>
    <row r="25512" spans="1:7" x14ac:dyDescent="0.25">
      <c r="A25512" s="1" t="str">
        <f>"502545"</f>
        <v>502545</v>
      </c>
      <c r="B25512" s="2" t="str">
        <f>"VERGALHAO LISO 3/8 CARBONO"</f>
        <v>VERGALHAO LISO 3/8 CARBONO</v>
      </c>
      <c r="C25512" s="2" t="str">
        <f>"UN"</f>
        <v>UN</v>
      </c>
      <c r="D25512" s="7">
        <v>402</v>
      </c>
      <c r="E25512" s="3">
        <v>4</v>
      </c>
      <c r="F25512" s="2">
        <v>7</v>
      </c>
      <c r="G25512" t="s">
        <v>514</v>
      </c>
    </row>
    <row r="25513" spans="1:7" x14ac:dyDescent="0.25">
      <c r="A25513" s="1" t="str">
        <f>"519218"</f>
        <v>519218</v>
      </c>
      <c r="B25513" s="2" t="str">
        <f>"VERGALHAO LISO 3/8 INOX"</f>
        <v>VERGALHAO LISO 3/8 INOX</v>
      </c>
      <c r="C25513" s="2" t="str">
        <f>"UN"</f>
        <v>UN</v>
      </c>
      <c r="D25513" s="7">
        <v>402</v>
      </c>
      <c r="E25513" s="3">
        <v>4</v>
      </c>
      <c r="F25513" s="2">
        <v>6</v>
      </c>
      <c r="G25513" t="s">
        <v>513</v>
      </c>
    </row>
    <row r="25514" spans="1:7" x14ac:dyDescent="0.25">
      <c r="A25514" s="1" t="str">
        <f>"502717"</f>
        <v>502717</v>
      </c>
      <c r="B25514" s="2" t="str">
        <f>"VERGALHAO LISO 5/16 INOX"</f>
        <v>VERGALHAO LISO 5/16 INOX</v>
      </c>
      <c r="C25514" s="2" t="str">
        <f>"PC"</f>
        <v>PC</v>
      </c>
      <c r="D25514" s="7">
        <v>806</v>
      </c>
      <c r="E25514" s="3">
        <v>10</v>
      </c>
      <c r="F25514" s="2">
        <v>6</v>
      </c>
      <c r="G25514" t="s">
        <v>513</v>
      </c>
    </row>
    <row r="25515" spans="1:7" x14ac:dyDescent="0.25">
      <c r="A25515" s="1" t="str">
        <f>"510596"</f>
        <v>510596</v>
      </c>
      <c r="B25515" s="2" t="str">
        <f>"VERGALHAO LISO 570X7/8 AÇO CARBONO"</f>
        <v>VERGALHAO LISO 570X7/8 AÇO CARBONO</v>
      </c>
      <c r="C25515" s="2" t="str">
        <f>"PC"</f>
        <v>PC</v>
      </c>
      <c r="D25515" s="7">
        <v>806</v>
      </c>
      <c r="E25515" s="3">
        <v>10</v>
      </c>
      <c r="F25515" s="2">
        <v>2</v>
      </c>
      <c r="G25515" t="s">
        <v>513</v>
      </c>
    </row>
    <row r="25516" spans="1:7" x14ac:dyDescent="0.25">
      <c r="A25516" s="1" t="str">
        <f>"504151"</f>
        <v>504151</v>
      </c>
      <c r="B25516" s="2" t="str">
        <f>"VERGALHAO LISO 7/8  INOX"</f>
        <v>VERGALHAO LISO 7/8  INOX</v>
      </c>
      <c r="C25516" s="2" t="str">
        <f>"PC"</f>
        <v>PC</v>
      </c>
      <c r="D25516" s="7">
        <v>806</v>
      </c>
      <c r="E25516" s="3">
        <v>10</v>
      </c>
      <c r="F25516" s="2">
        <v>1</v>
      </c>
      <c r="G25516" t="s">
        <v>512</v>
      </c>
    </row>
    <row r="25517" spans="1:7" x14ac:dyDescent="0.25">
      <c r="A25517" s="1" t="str">
        <f>"511765"</f>
        <v>511765</v>
      </c>
      <c r="B25517" s="2" t="str">
        <f>"VERGALHAO MACIÇO 3"""</f>
        <v>VERGALHAO MACIÇO 3"</v>
      </c>
      <c r="C25517" s="2" t="str">
        <f>"UN"</f>
        <v>UN</v>
      </c>
      <c r="D25517" s="7">
        <v>917</v>
      </c>
      <c r="E25517" s="3">
        <v>11</v>
      </c>
      <c r="F25517" s="2">
        <v>0</v>
      </c>
      <c r="G25517" t="s">
        <v>513</v>
      </c>
    </row>
    <row r="25518" spans="1:7" x14ac:dyDescent="0.25">
      <c r="A25518" s="1" t="str">
        <f>"524925"</f>
        <v>524925</v>
      </c>
      <c r="B25518" s="2" t="str">
        <f>"VERGALHÃO ROSCA TOTAL 5/16X3000MM GE BF085"</f>
        <v>VERGALHÃO ROSCA TOTAL 5/16X3000MM GE BF085</v>
      </c>
      <c r="C25518" s="2" t="str">
        <f>"UN"</f>
        <v>UN</v>
      </c>
      <c r="D25518" s="7">
        <v>811</v>
      </c>
      <c r="E25518" s="3">
        <v>10</v>
      </c>
      <c r="F25518" s="2">
        <v>0</v>
      </c>
      <c r="G25518" t="s">
        <v>514</v>
      </c>
    </row>
    <row r="25519" spans="1:7" x14ac:dyDescent="0.25">
      <c r="A25519" s="1" t="str">
        <f>"500664"</f>
        <v>500664</v>
      </c>
      <c r="B25519" s="2" t="str">
        <f>"VERGALHAO ROSQUEADO - 3/16 X 1 M"</f>
        <v>VERGALHAO ROSQUEADO - 3/16 X 1 M</v>
      </c>
      <c r="C25519" s="2" t="str">
        <f>"UN"</f>
        <v>UN</v>
      </c>
      <c r="D25519" s="7">
        <v>403</v>
      </c>
      <c r="E25519" s="3">
        <v>4</v>
      </c>
      <c r="F25519" s="2">
        <v>0</v>
      </c>
      <c r="G25519" t="s">
        <v>515</v>
      </c>
    </row>
    <row r="25520" spans="1:7" x14ac:dyDescent="0.25">
      <c r="A25520" s="1" t="str">
        <f>"502947"</f>
        <v>502947</v>
      </c>
      <c r="B25520" s="2" t="str">
        <f>"VERGALHAO ROSQUEADO - 3/8 X 10000MM"</f>
        <v>VERGALHAO ROSQUEADO - 3/8 X 10000MM</v>
      </c>
      <c r="C25520" s="2" t="str">
        <f>"KG"</f>
        <v>KG</v>
      </c>
      <c r="D25520" s="7">
        <v>800</v>
      </c>
      <c r="E25520" s="3">
        <v>10</v>
      </c>
      <c r="F25520" s="2">
        <v>3</v>
      </c>
      <c r="G25520" t="s">
        <v>512</v>
      </c>
    </row>
    <row r="25521" spans="1:7" x14ac:dyDescent="0.25">
      <c r="A25521" s="1" t="str">
        <f>"500363"</f>
        <v>500363</v>
      </c>
      <c r="B25521" s="2" t="str">
        <f>"VERGALHAO ROSQUEADO - 3/8 X 3M"</f>
        <v>VERGALHAO ROSQUEADO - 3/8 X 3M</v>
      </c>
      <c r="C25521" s="2" t="str">
        <f>"UN"</f>
        <v>UN</v>
      </c>
      <c r="D25521" s="7">
        <v>403</v>
      </c>
      <c r="E25521" s="3">
        <v>4</v>
      </c>
      <c r="F25521" s="5">
        <v>5</v>
      </c>
      <c r="G25521" t="s">
        <v>516</v>
      </c>
    </row>
    <row r="25522" spans="1:7" x14ac:dyDescent="0.25">
      <c r="A25522" s="1" t="str">
        <f>"503426"</f>
        <v>503426</v>
      </c>
      <c r="B25522" s="2" t="str">
        <f>"VERGALHAO ROSQUEADO - 5/16 X 3M INOX 304"</f>
        <v>VERGALHAO ROSQUEADO - 5/16 X 3M INOX 304</v>
      </c>
      <c r="C25522" s="2" t="str">
        <f>"UN"</f>
        <v>UN</v>
      </c>
      <c r="D25522" s="7">
        <v>402</v>
      </c>
      <c r="E25522" s="3">
        <v>4</v>
      </c>
      <c r="F25522" s="2">
        <v>3</v>
      </c>
      <c r="G25522" t="s">
        <v>515</v>
      </c>
    </row>
    <row r="25523" spans="1:7" x14ac:dyDescent="0.25">
      <c r="A25523" s="1" t="str">
        <f>"502948"</f>
        <v>502948</v>
      </c>
      <c r="B25523" s="2" t="str">
        <f>"VERGALHAO ROSQUEADO - M10 X 1M INOX"</f>
        <v>VERGALHAO ROSQUEADO - M10 X 1M INOX</v>
      </c>
      <c r="C25523" s="2" t="str">
        <f>"KG"</f>
        <v>KG</v>
      </c>
      <c r="D25523" s="7">
        <v>800</v>
      </c>
      <c r="E25523" s="3">
        <v>10</v>
      </c>
      <c r="F25523" s="2">
        <v>8</v>
      </c>
      <c r="G25523" t="s">
        <v>514</v>
      </c>
    </row>
    <row r="25524" spans="1:7" x14ac:dyDescent="0.25">
      <c r="A25524" s="1" t="str">
        <f>"502526"</f>
        <v>502526</v>
      </c>
      <c r="B25524" s="2" t="str">
        <f>"VERGALHAO ROSQUEADO - M12  INOX"</f>
        <v>VERGALHAO ROSQUEADO - M12  INOX</v>
      </c>
      <c r="C25524" s="2" t="str">
        <f t="shared" ref="C25524:C25563" si="1008">"UN"</f>
        <v>UN</v>
      </c>
      <c r="D25524" s="7">
        <v>402</v>
      </c>
      <c r="E25524" s="3">
        <v>4</v>
      </c>
      <c r="F25524" s="2">
        <v>6</v>
      </c>
      <c r="G25524" t="s">
        <v>512</v>
      </c>
    </row>
    <row r="25525" spans="1:7" x14ac:dyDescent="0.25">
      <c r="A25525" s="1" t="str">
        <f>"504397"</f>
        <v>504397</v>
      </c>
      <c r="B25525" s="2" t="str">
        <f>"VERGALHAO ROSQUEADO 1'"</f>
        <v>VERGALHAO ROSQUEADO 1'</v>
      </c>
      <c r="C25525" s="2" t="str">
        <f t="shared" si="1008"/>
        <v>UN</v>
      </c>
      <c r="D25525" s="7">
        <v>704</v>
      </c>
      <c r="E25525" s="3">
        <v>9</v>
      </c>
      <c r="F25525" s="2">
        <v>4</v>
      </c>
      <c r="G25525" t="s">
        <v>513</v>
      </c>
    </row>
    <row r="25526" spans="1:7" x14ac:dyDescent="0.25">
      <c r="A25526" s="1" t="str">
        <f>"520863"</f>
        <v>520863</v>
      </c>
      <c r="B25526" s="2" t="str">
        <f>"VERIFICAÇÃO INTERTRAVAMENTO DAS PORTAS"</f>
        <v>VERIFICAÇÃO INTERTRAVAMENTO DAS PORTAS</v>
      </c>
      <c r="C25526" s="2" t="str">
        <f t="shared" si="1008"/>
        <v>UN</v>
      </c>
      <c r="D25526" s="7">
        <v>1300</v>
      </c>
      <c r="E25526" s="3">
        <v>11</v>
      </c>
      <c r="F25526" s="2">
        <v>1</v>
      </c>
      <c r="G25526" t="s">
        <v>514</v>
      </c>
    </row>
    <row r="25527" spans="1:7" x14ac:dyDescent="0.25">
      <c r="A25527" s="1" t="str">
        <f>"513332"</f>
        <v>513332</v>
      </c>
      <c r="B25527" s="2" t="str">
        <f>"VERMELHO DE FENOL S/I"</f>
        <v>VERMELHO DE FENOL S/I</v>
      </c>
      <c r="C25527" s="2" t="str">
        <f t="shared" si="1008"/>
        <v>UN</v>
      </c>
      <c r="D25527" s="7">
        <v>406</v>
      </c>
      <c r="E25527" s="3">
        <v>4</v>
      </c>
      <c r="F25527" s="2">
        <v>2</v>
      </c>
      <c r="G25527" t="s">
        <v>514</v>
      </c>
    </row>
    <row r="25528" spans="1:7" x14ac:dyDescent="0.25">
      <c r="A25528" s="1" t="str">
        <f>"518981"</f>
        <v>518981</v>
      </c>
      <c r="B25528" s="2" t="str">
        <f>"VERNIZ AUTO BRILHO 2K 750ML"</f>
        <v>VERNIZ AUTO BRILHO 2K 750ML</v>
      </c>
      <c r="C25528" s="2" t="str">
        <f t="shared" si="1008"/>
        <v>UN</v>
      </c>
      <c r="D25528" s="7">
        <v>812</v>
      </c>
      <c r="E25528" s="3">
        <v>4</v>
      </c>
      <c r="F25528" s="2">
        <v>7</v>
      </c>
      <c r="G25528" t="s">
        <v>512</v>
      </c>
    </row>
    <row r="25529" spans="1:7" x14ac:dyDescent="0.25">
      <c r="A25529" s="1" t="str">
        <f>"518984"</f>
        <v>518984</v>
      </c>
      <c r="B25529" s="2" t="str">
        <f>"VERNIZ AUTO SOLIDO 900ML"</f>
        <v>VERNIZ AUTO SOLIDO 900ML</v>
      </c>
      <c r="C25529" s="2" t="str">
        <f t="shared" si="1008"/>
        <v>UN</v>
      </c>
      <c r="D25529" s="7">
        <v>403</v>
      </c>
      <c r="E25529" s="3">
        <v>4</v>
      </c>
      <c r="F25529" s="2">
        <v>9</v>
      </c>
      <c r="G25529" t="s">
        <v>513</v>
      </c>
    </row>
    <row r="25530" spans="1:7" x14ac:dyDescent="0.25">
      <c r="A25530" s="1" t="str">
        <f>"524669"</f>
        <v>524669</v>
      </c>
      <c r="B25530" s="2" t="str">
        <f>"VERNIZ EPOXI MAZA C/ CATAL."</f>
        <v>VERNIZ EPOXI MAZA C/ CATAL.</v>
      </c>
      <c r="C25530" s="2" t="str">
        <f t="shared" si="1008"/>
        <v>UN</v>
      </c>
      <c r="D25530" s="7">
        <v>804</v>
      </c>
      <c r="E25530" s="3">
        <v>10</v>
      </c>
      <c r="F25530" s="2">
        <v>0</v>
      </c>
      <c r="G25530" t="s">
        <v>514</v>
      </c>
    </row>
    <row r="25531" spans="1:7" x14ac:dyDescent="0.25">
      <c r="A25531" s="1" t="str">
        <f>"521881"</f>
        <v>521881</v>
      </c>
      <c r="B25531" s="2" t="str">
        <f>"VERNIZ MARITIMO 900 ML"</f>
        <v>VERNIZ MARITIMO 900 ML</v>
      </c>
      <c r="C25531" s="2" t="str">
        <f t="shared" si="1008"/>
        <v>UN</v>
      </c>
      <c r="D25531" s="7">
        <v>403</v>
      </c>
      <c r="E25531" s="3">
        <v>4</v>
      </c>
      <c r="F25531" s="2">
        <v>0</v>
      </c>
      <c r="G25531" t="s">
        <v>514</v>
      </c>
    </row>
    <row r="25532" spans="1:7" x14ac:dyDescent="0.25">
      <c r="A25532" s="1" t="str">
        <f>"520690"</f>
        <v>520690</v>
      </c>
      <c r="B25532" s="2" t="str">
        <f>"VERNIZ SAYERLACK 3600LT"</f>
        <v>VERNIZ SAYERLACK 3600LT</v>
      </c>
      <c r="C25532" s="2" t="str">
        <f t="shared" si="1008"/>
        <v>UN</v>
      </c>
      <c r="D25532" s="7">
        <v>99999</v>
      </c>
      <c r="E25532" s="3">
        <v>99</v>
      </c>
      <c r="F25532" s="2">
        <v>2</v>
      </c>
      <c r="G25532" t="s">
        <v>514</v>
      </c>
    </row>
    <row r="25533" spans="1:7" x14ac:dyDescent="0.25">
      <c r="A25533" s="1" t="str">
        <f>"521144"</f>
        <v>521144</v>
      </c>
      <c r="B25533" s="2" t="str">
        <f>"VERNIZ SEMI FOSCO"</f>
        <v>VERNIZ SEMI FOSCO</v>
      </c>
      <c r="C25533" s="2" t="str">
        <f t="shared" si="1008"/>
        <v>UN</v>
      </c>
      <c r="D25533" s="7">
        <v>1200</v>
      </c>
      <c r="E25533" s="3">
        <v>4</v>
      </c>
      <c r="F25533" s="2">
        <v>5</v>
      </c>
      <c r="G25533" t="s">
        <v>513</v>
      </c>
    </row>
    <row r="25534" spans="1:7" x14ac:dyDescent="0.25">
      <c r="A25534" s="1" t="str">
        <f>"517423"</f>
        <v>517423</v>
      </c>
      <c r="B25534" s="2" t="str">
        <f>"VERNIZ SKYLACK BI-COMP 10000 750ML 22010000"</f>
        <v>VERNIZ SKYLACK BI-COMP 10000 750ML 22010000</v>
      </c>
      <c r="C25534" s="2" t="str">
        <f t="shared" si="1008"/>
        <v>UN</v>
      </c>
      <c r="D25534" s="7">
        <v>803</v>
      </c>
      <c r="E25534" s="3">
        <v>10</v>
      </c>
      <c r="F25534" s="2">
        <v>6</v>
      </c>
      <c r="G25534" t="s">
        <v>512</v>
      </c>
    </row>
    <row r="25535" spans="1:7" x14ac:dyDescent="0.25">
      <c r="A25535" s="1" t="str">
        <f>"514411"</f>
        <v>514411</v>
      </c>
      <c r="B25535" s="2" t="str">
        <f>"VERNIZ SPARLACK CETOL DECK"</f>
        <v>VERNIZ SPARLACK CETOL DECK</v>
      </c>
      <c r="C25535" s="2" t="str">
        <f t="shared" si="1008"/>
        <v>UN</v>
      </c>
      <c r="D25535" s="7">
        <v>803</v>
      </c>
      <c r="E25535" s="3">
        <v>4</v>
      </c>
      <c r="F25535" s="2">
        <v>9</v>
      </c>
      <c r="G25535" t="s">
        <v>513</v>
      </c>
    </row>
    <row r="25536" spans="1:7" x14ac:dyDescent="0.25">
      <c r="A25536" s="1" t="str">
        <f>"517666"</f>
        <v>517666</v>
      </c>
      <c r="B25536" s="2" t="str">
        <f>"VERNIZ SUVINIL FOSCO"</f>
        <v>VERNIZ SUVINIL FOSCO</v>
      </c>
      <c r="C25536" s="2" t="str">
        <f t="shared" si="1008"/>
        <v>UN</v>
      </c>
      <c r="D25536" s="7">
        <v>804</v>
      </c>
      <c r="E25536" s="3">
        <v>4</v>
      </c>
      <c r="F25536" s="2">
        <v>5</v>
      </c>
      <c r="G25536" t="s">
        <v>514</v>
      </c>
    </row>
    <row r="25537" spans="1:7" x14ac:dyDescent="0.25">
      <c r="A25537" s="1" t="str">
        <f>"515051"</f>
        <v>515051</v>
      </c>
      <c r="B25537" s="2" t="str">
        <f>"VESTIDO"</f>
        <v>VESTIDO</v>
      </c>
      <c r="C25537" s="2" t="str">
        <f t="shared" si="1008"/>
        <v>UN</v>
      </c>
      <c r="D25537" s="7">
        <v>401</v>
      </c>
      <c r="E25537" s="3">
        <v>4</v>
      </c>
      <c r="F25537" s="2">
        <v>3</v>
      </c>
      <c r="G25537" t="s">
        <v>514</v>
      </c>
    </row>
    <row r="25538" spans="1:7" x14ac:dyDescent="0.25">
      <c r="A25538" s="1" t="str">
        <f>"516944"</f>
        <v>516944</v>
      </c>
      <c r="B25538" s="2" t="str">
        <f>"VETAGLOS POMADA 50GR"</f>
        <v>VETAGLOS POMADA 50GR</v>
      </c>
      <c r="C25538" s="2" t="str">
        <f t="shared" si="1008"/>
        <v>UN</v>
      </c>
      <c r="D25538" s="7">
        <v>817</v>
      </c>
      <c r="E25538" s="3">
        <v>4</v>
      </c>
      <c r="F25538" s="2">
        <v>3</v>
      </c>
      <c r="G25538" t="s">
        <v>514</v>
      </c>
    </row>
    <row r="25539" spans="1:7" x14ac:dyDescent="0.25">
      <c r="A25539" s="1" t="str">
        <f>"515869"</f>
        <v>515869</v>
      </c>
      <c r="B25539" s="2" t="str">
        <f>"VIBRA STOP P/ MAQUINA 1/2"""</f>
        <v>VIBRA STOP P/ MAQUINA 1/2"</v>
      </c>
      <c r="C25539" s="2" t="str">
        <f t="shared" si="1008"/>
        <v>UN</v>
      </c>
      <c r="D25539" s="7">
        <v>99999</v>
      </c>
      <c r="E25539" s="3">
        <v>99</v>
      </c>
      <c r="F25539" s="2">
        <v>2</v>
      </c>
      <c r="G25539" t="s">
        <v>513</v>
      </c>
    </row>
    <row r="25540" spans="1:7" x14ac:dyDescent="0.25">
      <c r="A25540" s="1" t="str">
        <f>"518544"</f>
        <v>518544</v>
      </c>
      <c r="B25540" s="2" t="str">
        <f>"VIBRA STOP P/ MAQUINA 1/4"""</f>
        <v>VIBRA STOP P/ MAQUINA 1/4"</v>
      </c>
      <c r="C25540" s="2" t="str">
        <f t="shared" si="1008"/>
        <v>UN</v>
      </c>
      <c r="D25540" s="7">
        <v>99999</v>
      </c>
      <c r="E25540" s="3">
        <v>99</v>
      </c>
      <c r="F25540" s="2">
        <v>1</v>
      </c>
      <c r="G25540" t="s">
        <v>513</v>
      </c>
    </row>
    <row r="25541" spans="1:7" x14ac:dyDescent="0.25">
      <c r="A25541" s="1" t="str">
        <f>"515868"</f>
        <v>515868</v>
      </c>
      <c r="B25541" s="2" t="str">
        <f>"VIBRA STOP P/ MAQUINA 3/8"""</f>
        <v>VIBRA STOP P/ MAQUINA 3/8"</v>
      </c>
      <c r="C25541" s="2" t="str">
        <f t="shared" si="1008"/>
        <v>UN</v>
      </c>
      <c r="D25541" s="7">
        <v>99999</v>
      </c>
      <c r="E25541" s="3">
        <v>99</v>
      </c>
      <c r="F25541" s="2">
        <v>4</v>
      </c>
      <c r="G25541" t="s">
        <v>513</v>
      </c>
    </row>
    <row r="25542" spans="1:7" x14ac:dyDescent="0.25">
      <c r="A25542" s="1" t="str">
        <f>"518442"</f>
        <v>518442</v>
      </c>
      <c r="B25542" s="2" t="str">
        <f>"VIBRA STOP P/ MAQUINA 5/16"""</f>
        <v>VIBRA STOP P/ MAQUINA 5/16"</v>
      </c>
      <c r="C25542" s="2" t="str">
        <f t="shared" si="1008"/>
        <v>UN</v>
      </c>
      <c r="D25542" s="7">
        <v>99999</v>
      </c>
      <c r="E25542" s="3">
        <v>99</v>
      </c>
      <c r="F25542" s="2">
        <v>1</v>
      </c>
      <c r="G25542" t="s">
        <v>512</v>
      </c>
    </row>
    <row r="25543" spans="1:7" x14ac:dyDescent="0.25">
      <c r="A25543" s="1" t="str">
        <f>"520016"</f>
        <v>520016</v>
      </c>
      <c r="B25543" s="2" t="str">
        <f>"VIBRA STOP P/ MAQUINA 5/8"</f>
        <v>VIBRA STOP P/ MAQUINA 5/8</v>
      </c>
      <c r="C25543" s="2" t="str">
        <f t="shared" si="1008"/>
        <v>UN</v>
      </c>
      <c r="D25543" s="7">
        <v>99999</v>
      </c>
      <c r="E25543" s="3">
        <v>99</v>
      </c>
      <c r="F25543" s="2">
        <v>2</v>
      </c>
      <c r="G25543" t="s">
        <v>513</v>
      </c>
    </row>
    <row r="25544" spans="1:7" x14ac:dyDescent="0.25">
      <c r="A25544" s="1" t="str">
        <f>"525352"</f>
        <v>525352</v>
      </c>
      <c r="B25544" s="2" t="str">
        <f>"VIBRADOR PNEUMATICO VB-16"</f>
        <v>VIBRADOR PNEUMATICO VB-16</v>
      </c>
      <c r="C25544" s="2" t="str">
        <f t="shared" si="1008"/>
        <v>UN</v>
      </c>
      <c r="D25544" s="7">
        <v>812</v>
      </c>
      <c r="E25544" s="3">
        <v>11</v>
      </c>
      <c r="F25544" s="2">
        <v>7</v>
      </c>
      <c r="G25544" t="s">
        <v>514</v>
      </c>
    </row>
    <row r="25545" spans="1:7" x14ac:dyDescent="0.25">
      <c r="A25545" s="1" t="str">
        <f>"525353"</f>
        <v>525353</v>
      </c>
      <c r="B25545" s="2" t="str">
        <f>"VIBRADOR PNEUMATICO VB-25"</f>
        <v>VIBRADOR PNEUMATICO VB-25</v>
      </c>
      <c r="C25545" s="2" t="str">
        <f t="shared" si="1008"/>
        <v>UN</v>
      </c>
      <c r="D25545" s="7">
        <v>812</v>
      </c>
      <c r="E25545" s="3">
        <v>11</v>
      </c>
      <c r="F25545" s="2">
        <v>9</v>
      </c>
      <c r="G25545" t="s">
        <v>515</v>
      </c>
    </row>
    <row r="25546" spans="1:7" x14ac:dyDescent="0.25">
      <c r="A25546" s="1" t="str">
        <f>"516145"</f>
        <v>516145</v>
      </c>
      <c r="B25546" s="2" t="str">
        <f>"VIBRA-STOP MICRO III 3/8""  BORRACHA BRANCA E PAR/PORCA INOX"</f>
        <v>VIBRA-STOP MICRO III 3/8"  BORRACHA BRANCA E PAR/PORCA INOX</v>
      </c>
      <c r="C25546" s="2" t="str">
        <f t="shared" si="1008"/>
        <v>UN</v>
      </c>
      <c r="D25546" s="7">
        <v>1400</v>
      </c>
      <c r="E25546" s="3">
        <v>10</v>
      </c>
      <c r="F25546" s="2">
        <v>0</v>
      </c>
      <c r="G25546" t="s">
        <v>512</v>
      </c>
    </row>
    <row r="25547" spans="1:7" x14ac:dyDescent="0.25">
      <c r="A25547" s="1" t="str">
        <f>"516144"</f>
        <v>516144</v>
      </c>
      <c r="B25547" s="2" t="str">
        <f>"VIBRA-STOP MINI 3/8"" EM AÇO INOXIDÁVEL"</f>
        <v>VIBRA-STOP MINI 3/8" EM AÇO INOXIDÁVEL</v>
      </c>
      <c r="C25547" s="2" t="str">
        <f t="shared" si="1008"/>
        <v>UN</v>
      </c>
      <c r="D25547" s="7">
        <v>1400</v>
      </c>
      <c r="E25547" s="3">
        <v>10</v>
      </c>
      <c r="F25547" s="2">
        <v>0</v>
      </c>
      <c r="G25547" t="s">
        <v>516</v>
      </c>
    </row>
    <row r="25548" spans="1:7" x14ac:dyDescent="0.25">
      <c r="A25548" s="1" t="str">
        <f>"518691"</f>
        <v>518691</v>
      </c>
      <c r="B25548" s="2" t="str">
        <f>"VIDEO PORTEIRO COLOR BASIC HDL"</f>
        <v>VIDEO PORTEIRO COLOR BASIC HDL</v>
      </c>
      <c r="C25548" s="2" t="str">
        <f t="shared" si="1008"/>
        <v>UN</v>
      </c>
      <c r="D25548" s="7">
        <v>811</v>
      </c>
      <c r="E25548" s="3">
        <v>8</v>
      </c>
      <c r="F25548" s="2">
        <v>4</v>
      </c>
      <c r="G25548" t="s">
        <v>515</v>
      </c>
    </row>
    <row r="25549" spans="1:7" x14ac:dyDescent="0.25">
      <c r="A25549" s="1" t="str">
        <f>"515494"</f>
        <v>515494</v>
      </c>
      <c r="B25549" s="2" t="str">
        <f>"VIDEO PORTEIRO LCD"</f>
        <v>VIDEO PORTEIRO LCD</v>
      </c>
      <c r="C25549" s="2" t="str">
        <f t="shared" si="1008"/>
        <v>UN</v>
      </c>
      <c r="D25549" s="7">
        <v>811</v>
      </c>
      <c r="E25549" s="3">
        <v>8</v>
      </c>
      <c r="F25549" s="2">
        <v>1</v>
      </c>
      <c r="G25549" t="s">
        <v>514</v>
      </c>
    </row>
    <row r="25550" spans="1:7" x14ac:dyDescent="0.25">
      <c r="A25550" s="1" t="str">
        <f>"526741"</f>
        <v>526741</v>
      </c>
      <c r="B25550" s="8" t="s">
        <v>478</v>
      </c>
      <c r="C25550" s="2" t="str">
        <f t="shared" si="1008"/>
        <v>UN</v>
      </c>
      <c r="D25550" s="7">
        <v>1004</v>
      </c>
      <c r="E25550" s="3">
        <v>13</v>
      </c>
      <c r="F25550" s="2">
        <v>2</v>
      </c>
      <c r="G25550" t="s">
        <v>512</v>
      </c>
    </row>
    <row r="25551" spans="1:7" x14ac:dyDescent="0.25">
      <c r="A25551" s="1" t="str">
        <f>"515239"</f>
        <v>515239</v>
      </c>
      <c r="B25551" s="2" t="str">
        <f>"VIDRO"</f>
        <v>VIDRO</v>
      </c>
      <c r="C25551" s="2" t="str">
        <f t="shared" si="1008"/>
        <v>UN</v>
      </c>
      <c r="D25551" s="7">
        <v>704</v>
      </c>
      <c r="E25551" s="3">
        <v>9</v>
      </c>
      <c r="F25551" s="2">
        <v>7</v>
      </c>
      <c r="G25551" t="s">
        <v>513</v>
      </c>
    </row>
    <row r="25552" spans="1:7" x14ac:dyDescent="0.25">
      <c r="A25552" s="1" t="str">
        <f>"518594"</f>
        <v>518594</v>
      </c>
      <c r="B25552" s="2" t="str">
        <f>"VIDRO  TEMP. BRONZE 10MM"</f>
        <v>VIDRO  TEMP. BRONZE 10MM</v>
      </c>
      <c r="C25552" s="2" t="str">
        <f t="shared" si="1008"/>
        <v>UN</v>
      </c>
      <c r="D25552" s="7">
        <v>917</v>
      </c>
      <c r="E25552" s="3">
        <v>10</v>
      </c>
      <c r="F25552" s="2">
        <v>9</v>
      </c>
      <c r="G25552" t="s">
        <v>514</v>
      </c>
    </row>
    <row r="25553" spans="1:7" x14ac:dyDescent="0.25">
      <c r="A25553" s="1" t="str">
        <f>"518593"</f>
        <v>518593</v>
      </c>
      <c r="B25553" s="2" t="str">
        <f>"VIDRO  TEMP. INCOLOR 10MM"</f>
        <v>VIDRO  TEMP. INCOLOR 10MM</v>
      </c>
      <c r="C25553" s="2" t="str">
        <f t="shared" si="1008"/>
        <v>UN</v>
      </c>
      <c r="D25553" s="7">
        <v>917</v>
      </c>
      <c r="E25553" s="3">
        <v>10</v>
      </c>
      <c r="F25553" s="2">
        <v>0</v>
      </c>
      <c r="G25553" t="s">
        <v>514</v>
      </c>
    </row>
    <row r="25554" spans="1:7" x14ac:dyDescent="0.25">
      <c r="A25554" s="1" t="str">
        <f>"518541"</f>
        <v>518541</v>
      </c>
      <c r="B25554" s="2" t="str">
        <f>"VIDRO  TEMP. PONTILHADO 10MM"</f>
        <v>VIDRO  TEMP. PONTILHADO 10MM</v>
      </c>
      <c r="C25554" s="2" t="str">
        <f t="shared" si="1008"/>
        <v>UN</v>
      </c>
      <c r="D25554" s="7">
        <v>917</v>
      </c>
      <c r="E25554" s="3">
        <v>10</v>
      </c>
      <c r="F25554" s="2">
        <v>0</v>
      </c>
      <c r="G25554" t="s">
        <v>512</v>
      </c>
    </row>
    <row r="25555" spans="1:7" x14ac:dyDescent="0.25">
      <c r="A25555" s="1" t="str">
        <f>"518540"</f>
        <v>518540</v>
      </c>
      <c r="B25555" s="2" t="str">
        <f>"VIDRO  TEMP. PONTILHADO 8MM"</f>
        <v>VIDRO  TEMP. PONTILHADO 8MM</v>
      </c>
      <c r="C25555" s="2" t="str">
        <f t="shared" si="1008"/>
        <v>UN</v>
      </c>
      <c r="D25555" s="7">
        <v>917</v>
      </c>
      <c r="E25555" s="3">
        <v>10</v>
      </c>
      <c r="F25555" s="2">
        <v>2</v>
      </c>
      <c r="G25555" t="s">
        <v>513</v>
      </c>
    </row>
    <row r="25556" spans="1:7" x14ac:dyDescent="0.25">
      <c r="A25556" s="1" t="str">
        <f>"501788"</f>
        <v>501788</v>
      </c>
      <c r="B25556" s="2" t="str">
        <f>"VIDRO DA PORTA LD"</f>
        <v>VIDRO DA PORTA LD</v>
      </c>
      <c r="C25556" s="2" t="str">
        <f t="shared" si="1008"/>
        <v>UN</v>
      </c>
      <c r="D25556" s="7">
        <v>704</v>
      </c>
      <c r="E25556" s="3">
        <v>9</v>
      </c>
      <c r="F25556" s="2">
        <v>5</v>
      </c>
      <c r="G25556" t="s">
        <v>514</v>
      </c>
    </row>
    <row r="25557" spans="1:7" x14ac:dyDescent="0.25">
      <c r="A25557" s="1" t="str">
        <f>"505140"</f>
        <v>505140</v>
      </c>
      <c r="B25557" s="2" t="str">
        <f>"VIDRO DO VISOR 5/8"" X 255MM (CALDEIRA)"</f>
        <v>VIDRO DO VISOR 5/8" X 255MM (CALDEIRA)</v>
      </c>
      <c r="C25557" s="2" t="str">
        <f t="shared" si="1008"/>
        <v>UN</v>
      </c>
      <c r="D25557" s="7">
        <v>912</v>
      </c>
      <c r="E25557" s="3">
        <v>11</v>
      </c>
      <c r="F25557" s="2">
        <v>0</v>
      </c>
      <c r="G25557" t="s">
        <v>514</v>
      </c>
    </row>
    <row r="25558" spans="1:7" x14ac:dyDescent="0.25">
      <c r="A25558" s="1" t="str">
        <f>"510377"</f>
        <v>510377</v>
      </c>
      <c r="B25558" s="2" t="str">
        <f>"VIDRO INCOLOR 10MM TEMPERADO"</f>
        <v>VIDRO INCOLOR 10MM TEMPERADO</v>
      </c>
      <c r="C25558" s="2" t="str">
        <f t="shared" si="1008"/>
        <v>UN</v>
      </c>
      <c r="D25558" s="7">
        <v>816</v>
      </c>
      <c r="E25558" s="3">
        <v>10</v>
      </c>
      <c r="F25558" s="2">
        <v>2</v>
      </c>
      <c r="G25558" t="s">
        <v>514</v>
      </c>
    </row>
    <row r="25559" spans="1:7" x14ac:dyDescent="0.25">
      <c r="A25559" s="1" t="str">
        <f>"516097"</f>
        <v>516097</v>
      </c>
      <c r="B25559" s="2" t="str">
        <f>"VIDRO MASCARA SOLDA TON-10"</f>
        <v>VIDRO MASCARA SOLDA TON-10</v>
      </c>
      <c r="C25559" s="2" t="str">
        <f t="shared" si="1008"/>
        <v>UN</v>
      </c>
      <c r="D25559" s="7">
        <v>812</v>
      </c>
      <c r="E25559" s="3">
        <v>4</v>
      </c>
      <c r="F25559" s="2">
        <v>5</v>
      </c>
      <c r="G25559" t="s">
        <v>513</v>
      </c>
    </row>
    <row r="25560" spans="1:7" x14ac:dyDescent="0.25">
      <c r="A25560" s="1" t="str">
        <f>"507466"</f>
        <v>507466</v>
      </c>
      <c r="B25560" s="2" t="str">
        <f>"VIDRO MASCARA SOLDA TRANSPARENTE"</f>
        <v>VIDRO MASCARA SOLDA TRANSPARENTE</v>
      </c>
      <c r="C25560" s="2" t="str">
        <f t="shared" si="1008"/>
        <v>UN</v>
      </c>
      <c r="D25560" s="7">
        <v>402</v>
      </c>
      <c r="E25560" s="3">
        <v>4</v>
      </c>
      <c r="F25560" s="5">
        <v>5</v>
      </c>
      <c r="G25560" t="s">
        <v>512</v>
      </c>
    </row>
    <row r="25561" spans="1:7" x14ac:dyDescent="0.25">
      <c r="A25561" s="1" t="str">
        <f>"506556"</f>
        <v>506556</v>
      </c>
      <c r="B25561" s="2" t="str">
        <f>"VIDRO P/ VISOR TUBULAR 2"""</f>
        <v>VIDRO P/ VISOR TUBULAR 2"</v>
      </c>
      <c r="C25561" s="2" t="str">
        <f t="shared" si="1008"/>
        <v>UN</v>
      </c>
      <c r="D25561" s="7">
        <v>912</v>
      </c>
      <c r="E25561" s="3">
        <v>11</v>
      </c>
      <c r="F25561" s="2">
        <v>3</v>
      </c>
      <c r="G25561" t="s">
        <v>513</v>
      </c>
    </row>
    <row r="25562" spans="1:7" x14ac:dyDescent="0.25">
      <c r="A25562" s="1" t="str">
        <f>"511881"</f>
        <v>511881</v>
      </c>
      <c r="B25562" s="2" t="str">
        <f>"VIDRO PARA SERINGA NATA/CREME 10ML GERBER (CALIBRADO)"</f>
        <v>VIDRO PARA SERINGA NATA/CREME 10ML GERBER (CALIBRADO)</v>
      </c>
      <c r="C25562" s="2" t="str">
        <f t="shared" si="1008"/>
        <v>UN</v>
      </c>
      <c r="D25562" s="7">
        <v>817</v>
      </c>
      <c r="E25562" s="3">
        <v>10</v>
      </c>
      <c r="F25562" s="2">
        <v>8</v>
      </c>
      <c r="G25562" t="s">
        <v>514</v>
      </c>
    </row>
    <row r="25563" spans="1:7" x14ac:dyDescent="0.25">
      <c r="A25563" s="1" t="str">
        <f>"505317"</f>
        <v>505317</v>
      </c>
      <c r="B25563" s="2" t="str">
        <f>"VIDRO RETROVISOR"</f>
        <v>VIDRO RETROVISOR</v>
      </c>
      <c r="C25563" s="2" t="str">
        <f t="shared" si="1008"/>
        <v>UN</v>
      </c>
      <c r="D25563" s="7">
        <v>704</v>
      </c>
      <c r="E25563" s="3">
        <v>9</v>
      </c>
      <c r="F25563" s="2">
        <v>6</v>
      </c>
      <c r="G25563" t="s">
        <v>514</v>
      </c>
    </row>
    <row r="25564" spans="1:7" x14ac:dyDescent="0.25">
      <c r="A25564" s="1" t="str">
        <f>"519697"</f>
        <v>519697</v>
      </c>
      <c r="B25564" s="2" t="str">
        <f>"VIDRO VISOR 5/8"</f>
        <v>VIDRO VISOR 5/8</v>
      </c>
      <c r="C25564" s="2" t="str">
        <f>"BR"</f>
        <v>BR</v>
      </c>
      <c r="D25564" s="7">
        <v>808</v>
      </c>
      <c r="E25564" s="3">
        <v>10</v>
      </c>
      <c r="F25564" s="2">
        <v>4</v>
      </c>
      <c r="G25564" t="s">
        <v>514</v>
      </c>
    </row>
    <row r="25565" spans="1:7" x14ac:dyDescent="0.25">
      <c r="A25565" s="1" t="str">
        <f>"520667"</f>
        <v>520667</v>
      </c>
      <c r="B25565" s="2" t="str">
        <f>"VIDROS BLINDADOS SPACEGLASS NIVEL IIIA P/ AMAROK"</f>
        <v>VIDROS BLINDADOS SPACEGLASS NIVEL IIIA P/ AMAROK</v>
      </c>
      <c r="C25565" s="2" t="str">
        <f>"UN"</f>
        <v>UN</v>
      </c>
      <c r="D25565" s="7">
        <v>99999</v>
      </c>
      <c r="E25565" s="3">
        <v>99</v>
      </c>
      <c r="F25565" s="2">
        <v>1</v>
      </c>
      <c r="G25565" t="s">
        <v>513</v>
      </c>
    </row>
    <row r="25566" spans="1:7" x14ac:dyDescent="0.25">
      <c r="A25566" s="1" t="str">
        <f>"527691"</f>
        <v>527691</v>
      </c>
      <c r="B25566" s="2" t="str">
        <f>"VIÉS"</f>
        <v>VIÉS</v>
      </c>
      <c r="C25566" s="2" t="str">
        <f>"MT"</f>
        <v>MT</v>
      </c>
      <c r="D25566" s="7">
        <v>99999</v>
      </c>
      <c r="E25566" s="3">
        <v>99</v>
      </c>
      <c r="F25566" s="2">
        <v>2</v>
      </c>
      <c r="G25566" t="s">
        <v>513</v>
      </c>
    </row>
    <row r="25567" spans="1:7" x14ac:dyDescent="0.25">
      <c r="A25567" s="1" t="str">
        <f>"515581"</f>
        <v>515581</v>
      </c>
      <c r="B25567" s="2" t="str">
        <f>"VIGA 100 X 40 # 2,00"</f>
        <v>VIGA 100 X 40 # 2,00</v>
      </c>
      <c r="C25567" s="2" t="str">
        <f t="shared" ref="C25567:C25579" si="1009">"UN"</f>
        <v>UN</v>
      </c>
      <c r="D25567" s="7">
        <v>803</v>
      </c>
      <c r="E25567" s="3">
        <v>10</v>
      </c>
      <c r="F25567" s="2">
        <v>7</v>
      </c>
      <c r="G25567" t="s">
        <v>513</v>
      </c>
    </row>
    <row r="25568" spans="1:7" x14ac:dyDescent="0.25">
      <c r="A25568" s="1" t="str">
        <f>"525238"</f>
        <v>525238</v>
      </c>
      <c r="B25568" s="2" t="str">
        <f>"VIGA 5 X 11CM - 2M"</f>
        <v>VIGA 5 X 11CM - 2M</v>
      </c>
      <c r="C25568" s="2" t="str">
        <f t="shared" si="1009"/>
        <v>UN</v>
      </c>
      <c r="D25568" s="7">
        <v>403</v>
      </c>
      <c r="E25568" s="3">
        <v>4</v>
      </c>
      <c r="F25568" s="2">
        <v>9</v>
      </c>
      <c r="G25568" t="s">
        <v>512</v>
      </c>
    </row>
    <row r="25569" spans="1:7" x14ac:dyDescent="0.25">
      <c r="A25569" s="1" t="str">
        <f>"525237"</f>
        <v>525237</v>
      </c>
      <c r="B25569" s="2" t="str">
        <f>"VIGA 5 X 11CM - 5M"</f>
        <v>VIGA 5 X 11CM - 5M</v>
      </c>
      <c r="C25569" s="2" t="str">
        <f t="shared" si="1009"/>
        <v>UN</v>
      </c>
      <c r="D25569" s="7">
        <v>403</v>
      </c>
      <c r="E25569" s="3">
        <v>4</v>
      </c>
      <c r="F25569" s="2">
        <v>0</v>
      </c>
      <c r="G25569" t="s">
        <v>513</v>
      </c>
    </row>
    <row r="25570" spans="1:7" x14ac:dyDescent="0.25">
      <c r="A25570" s="1" t="str">
        <f>"508980"</f>
        <v>508980</v>
      </c>
      <c r="B25570" s="2" t="str">
        <f>"VIGA 6 X 12 - 5M"</f>
        <v>VIGA 6 X 12 - 5M</v>
      </c>
      <c r="C25570" s="2" t="str">
        <f t="shared" si="1009"/>
        <v>UN</v>
      </c>
      <c r="D25570" s="7">
        <v>403</v>
      </c>
      <c r="E25570" s="3">
        <v>4</v>
      </c>
      <c r="F25570" s="2">
        <v>0</v>
      </c>
      <c r="G25570" t="s">
        <v>514</v>
      </c>
    </row>
    <row r="25571" spans="1:7" x14ac:dyDescent="0.25">
      <c r="A25571" s="1" t="str">
        <f>"525318"</f>
        <v>525318</v>
      </c>
      <c r="B25571" s="2" t="str">
        <f>"VIGA 6 X 12 X 3,5 M"</f>
        <v>VIGA 6 X 12 X 3,5 M</v>
      </c>
      <c r="C25571" s="2" t="str">
        <f t="shared" si="1009"/>
        <v>UN</v>
      </c>
      <c r="D25571" s="7">
        <v>403</v>
      </c>
      <c r="E25571" s="3">
        <v>4</v>
      </c>
      <c r="F25571" s="2">
        <v>2</v>
      </c>
      <c r="G25571" t="s">
        <v>515</v>
      </c>
    </row>
    <row r="25572" spans="1:7" x14ac:dyDescent="0.25">
      <c r="A25572" s="1" t="str">
        <f>"525319"</f>
        <v>525319</v>
      </c>
      <c r="B25572" s="2" t="str">
        <f>"VIGA 6 X 12 X 4,0 M"</f>
        <v>VIGA 6 X 12 X 4,0 M</v>
      </c>
      <c r="C25572" s="2" t="str">
        <f t="shared" si="1009"/>
        <v>UN</v>
      </c>
      <c r="D25572" s="7">
        <v>403</v>
      </c>
      <c r="E25572" s="3">
        <v>4</v>
      </c>
      <c r="F25572" s="2">
        <v>5</v>
      </c>
      <c r="G25572" t="s">
        <v>512</v>
      </c>
    </row>
    <row r="25573" spans="1:7" x14ac:dyDescent="0.25">
      <c r="A25573" s="1" t="str">
        <f>"500191"</f>
        <v>500191</v>
      </c>
      <c r="B25573" s="2" t="str">
        <f>"VIGA 6 X 16 X 2,0 M"</f>
        <v>VIGA 6 X 16 X 2,0 M</v>
      </c>
      <c r="C25573" s="2" t="str">
        <f t="shared" si="1009"/>
        <v>UN</v>
      </c>
      <c r="D25573" s="7">
        <v>403</v>
      </c>
      <c r="E25573" s="3">
        <v>4</v>
      </c>
      <c r="F25573" s="2">
        <v>6</v>
      </c>
      <c r="G25573" t="s">
        <v>516</v>
      </c>
    </row>
    <row r="25574" spans="1:7" x14ac:dyDescent="0.25">
      <c r="A25574" s="1" t="str">
        <f>"502971"</f>
        <v>502971</v>
      </c>
      <c r="B25574" s="2" t="str">
        <f>"VIGA ENRIG. 12,5X5M NA CHAPA 3MM"</f>
        <v>VIGA ENRIG. 12,5X5M NA CHAPA 3MM</v>
      </c>
      <c r="C25574" s="2" t="str">
        <f t="shared" si="1009"/>
        <v>UN</v>
      </c>
      <c r="D25574" s="7">
        <v>402</v>
      </c>
      <c r="E25574" s="3">
        <v>4</v>
      </c>
      <c r="F25574" s="2">
        <v>9</v>
      </c>
      <c r="G25574" t="s">
        <v>515</v>
      </c>
    </row>
    <row r="25575" spans="1:7" x14ac:dyDescent="0.25">
      <c r="A25575" s="1" t="str">
        <f>"518901"</f>
        <v>518901</v>
      </c>
      <c r="B25575" s="8" t="s">
        <v>104</v>
      </c>
      <c r="C25575" s="2" t="str">
        <f t="shared" si="1009"/>
        <v>UN</v>
      </c>
      <c r="D25575" s="7">
        <v>917</v>
      </c>
      <c r="E25575" s="3">
        <v>11</v>
      </c>
      <c r="F25575" s="2">
        <v>5</v>
      </c>
      <c r="G25575" t="s">
        <v>514</v>
      </c>
    </row>
    <row r="25576" spans="1:7" x14ac:dyDescent="0.25">
      <c r="A25576" s="1" t="str">
        <f>"503111"</f>
        <v>503111</v>
      </c>
      <c r="B25576" s="2" t="str">
        <f>"VIGA G 3 X NA CHAPA 14 AÇO CARBONO"</f>
        <v>VIGA G 3 X NA CHAPA 14 AÇO CARBONO</v>
      </c>
      <c r="C25576" s="2" t="str">
        <f t="shared" si="1009"/>
        <v>UN</v>
      </c>
      <c r="D25576" s="7">
        <v>402</v>
      </c>
      <c r="E25576" s="3">
        <v>4</v>
      </c>
      <c r="F25576" s="2">
        <v>3</v>
      </c>
      <c r="G25576" t="s">
        <v>512</v>
      </c>
    </row>
    <row r="25577" spans="1:7" x14ac:dyDescent="0.25">
      <c r="A25577" s="1" t="str">
        <f>"508981"</f>
        <v>508981</v>
      </c>
      <c r="B25577" s="2" t="str">
        <f>"VIGA G 3"" #16 AÇO CARBONO"</f>
        <v>VIGA G 3" #16 AÇO CARBONO</v>
      </c>
      <c r="C25577" s="2" t="str">
        <f t="shared" si="1009"/>
        <v>UN</v>
      </c>
      <c r="D25577" s="7">
        <v>403</v>
      </c>
      <c r="E25577" s="3">
        <v>4</v>
      </c>
      <c r="F25577" s="2">
        <v>3</v>
      </c>
      <c r="G25577" t="s">
        <v>513</v>
      </c>
    </row>
    <row r="25578" spans="1:7" x14ac:dyDescent="0.25">
      <c r="A25578" s="1" t="str">
        <f>"522923"</f>
        <v>522923</v>
      </c>
      <c r="B25578" s="2" t="str">
        <f>"VIGA G 3"" #3MM AÇO CARBONO"</f>
        <v>VIGA G 3" #3MM AÇO CARBONO</v>
      </c>
      <c r="C25578" s="2" t="str">
        <f t="shared" si="1009"/>
        <v>UN</v>
      </c>
      <c r="D25578" s="7">
        <v>917</v>
      </c>
      <c r="E25578" s="3">
        <v>10</v>
      </c>
      <c r="F25578" s="2">
        <v>2</v>
      </c>
      <c r="G25578" t="s">
        <v>514</v>
      </c>
    </row>
    <row r="25579" spans="1:7" x14ac:dyDescent="0.25">
      <c r="A25579" s="1" t="str">
        <f>"511046"</f>
        <v>511046</v>
      </c>
      <c r="B25579" s="2" t="str">
        <f>"VIGA G 4 # 1/8"""</f>
        <v>VIGA G 4 # 1/8"</v>
      </c>
      <c r="C25579" s="2" t="str">
        <f t="shared" si="1009"/>
        <v>UN</v>
      </c>
      <c r="D25579" s="7">
        <v>917</v>
      </c>
      <c r="E25579" s="3">
        <v>11</v>
      </c>
      <c r="F25579" s="2">
        <v>1</v>
      </c>
      <c r="G25579" t="s">
        <v>514</v>
      </c>
    </row>
    <row r="25580" spans="1:7" x14ac:dyDescent="0.25">
      <c r="A25580" s="1" t="str">
        <f>"508151"</f>
        <v>508151</v>
      </c>
      <c r="B25580" s="2" t="str">
        <f>"VIGA G 4""  CHAPA 14 AÇO CARBONO"</f>
        <v>VIGA G 4"  CHAPA 14 AÇO CARBONO</v>
      </c>
      <c r="C25580" s="2" t="str">
        <f>"PC"</f>
        <v>PC</v>
      </c>
      <c r="D25580" s="7">
        <v>806</v>
      </c>
      <c r="E25580" s="3">
        <v>10</v>
      </c>
      <c r="F25580" s="2">
        <v>4</v>
      </c>
      <c r="G25580" t="s">
        <v>512</v>
      </c>
    </row>
    <row r="25581" spans="1:7" x14ac:dyDescent="0.25">
      <c r="A25581" s="1" t="str">
        <f>"525047"</f>
        <v>525047</v>
      </c>
      <c r="B25581" s="2" t="str">
        <f>"VIGA G AÇO CARBONO 2""#13"</f>
        <v>VIGA G AÇO CARBONO 2"#13</v>
      </c>
      <c r="C25581" s="2" t="str">
        <f t="shared" ref="C25581:C25587" si="1010">"UN"</f>
        <v>UN</v>
      </c>
      <c r="D25581" s="7">
        <v>918</v>
      </c>
      <c r="E25581" s="3">
        <v>11</v>
      </c>
      <c r="F25581" s="2">
        <v>6</v>
      </c>
      <c r="G25581" t="s">
        <v>513</v>
      </c>
    </row>
    <row r="25582" spans="1:7" x14ac:dyDescent="0.25">
      <c r="A25582" s="1" t="str">
        <f>"522449"</f>
        <v>522449</v>
      </c>
      <c r="B25582" s="2" t="str">
        <f>"VIGA I  W 250 X 28,4 X 5,80 COMPRIMENTO"</f>
        <v>VIGA I  W 250 X 28,4 X 5,80 COMPRIMENTO</v>
      </c>
      <c r="C25582" s="2" t="str">
        <f t="shared" si="1010"/>
        <v>UN</v>
      </c>
      <c r="D25582" s="7">
        <v>99999</v>
      </c>
      <c r="E25582" s="3">
        <v>99</v>
      </c>
      <c r="F25582" s="2">
        <v>8</v>
      </c>
      <c r="G25582" t="s">
        <v>514</v>
      </c>
    </row>
    <row r="25583" spans="1:7" x14ac:dyDescent="0.25">
      <c r="A25583" s="1" t="str">
        <f>"522448"</f>
        <v>522448</v>
      </c>
      <c r="B25583" s="2" t="str">
        <f>"VIGA I  W 310 X 44,5 X 8,80 COMPRIMENTO"</f>
        <v>VIGA I  W 310 X 44,5 X 8,80 COMPRIMENTO</v>
      </c>
      <c r="C25583" s="2" t="str">
        <f t="shared" si="1010"/>
        <v>UN</v>
      </c>
      <c r="D25583" s="7">
        <v>99999</v>
      </c>
      <c r="E25583" s="3">
        <v>99</v>
      </c>
      <c r="F25583" s="2">
        <v>7</v>
      </c>
      <c r="G25583" t="s">
        <v>514</v>
      </c>
    </row>
    <row r="25584" spans="1:7" x14ac:dyDescent="0.25">
      <c r="A25584" s="1" t="str">
        <f>"516205"</f>
        <v>516205</v>
      </c>
      <c r="B25584" s="2" t="str">
        <f>"VIGA I 10"" X 5500 AÇO CARBONO"</f>
        <v>VIGA I 10" X 5500 AÇO CARBONO</v>
      </c>
      <c r="C25584" s="2" t="str">
        <f t="shared" si="1010"/>
        <v>UN</v>
      </c>
      <c r="D25584" s="7">
        <v>1700</v>
      </c>
      <c r="E25584" s="3">
        <v>10</v>
      </c>
      <c r="F25584" s="2">
        <v>6</v>
      </c>
      <c r="G25584" t="s">
        <v>514</v>
      </c>
    </row>
    <row r="25585" spans="1:7" x14ac:dyDescent="0.25">
      <c r="A25585" s="1" t="str">
        <f>"524431"</f>
        <v>524431</v>
      </c>
      <c r="B25585" s="2" t="str">
        <f>"VIGA I 4' X 1/4 AÇO CARBONO"</f>
        <v>VIGA I 4' X 1/4 AÇO CARBONO</v>
      </c>
      <c r="C25585" s="2" t="str">
        <f t="shared" si="1010"/>
        <v>UN</v>
      </c>
      <c r="D25585" s="7">
        <v>917</v>
      </c>
      <c r="E25585" s="3">
        <v>11</v>
      </c>
      <c r="F25585" s="2">
        <v>6</v>
      </c>
      <c r="G25585" t="s">
        <v>513</v>
      </c>
    </row>
    <row r="25586" spans="1:7" x14ac:dyDescent="0.25">
      <c r="A25586" s="1" t="str">
        <f>"509871"</f>
        <v>509871</v>
      </c>
      <c r="B25586" s="2" t="str">
        <f>"VIGA I 6' X 2000 AÇO CARBONO"</f>
        <v>VIGA I 6' X 2000 AÇO CARBONO</v>
      </c>
      <c r="C25586" s="2" t="str">
        <f t="shared" si="1010"/>
        <v>UN</v>
      </c>
      <c r="D25586" s="7">
        <v>917</v>
      </c>
      <c r="E25586" s="3">
        <v>11</v>
      </c>
      <c r="F25586" s="2">
        <v>2</v>
      </c>
      <c r="G25586" t="s">
        <v>512</v>
      </c>
    </row>
    <row r="25587" spans="1:7" x14ac:dyDescent="0.25">
      <c r="A25587" s="1" t="str">
        <f>"508160"</f>
        <v>508160</v>
      </c>
      <c r="B25587" s="2" t="str">
        <f>"VIGA I 8""  4500MM"</f>
        <v>VIGA I 8"  4500MM</v>
      </c>
      <c r="C25587" s="2" t="str">
        <f t="shared" si="1010"/>
        <v>UN</v>
      </c>
      <c r="D25587" s="7">
        <v>1700</v>
      </c>
      <c r="E25587" s="3">
        <v>13</v>
      </c>
      <c r="F25587" s="2">
        <v>1</v>
      </c>
      <c r="G25587" t="s">
        <v>513</v>
      </c>
    </row>
    <row r="25588" spans="1:7" x14ac:dyDescent="0.25">
      <c r="A25588" s="1" t="str">
        <f>"500144"</f>
        <v>500144</v>
      </c>
      <c r="B25588" s="2" t="str">
        <f>"VIGA I 8"" X 5300 AÇO CARBONO"</f>
        <v>VIGA I 8" X 5300 AÇO CARBONO</v>
      </c>
      <c r="C25588" s="2" t="str">
        <f>"PC"</f>
        <v>PC</v>
      </c>
      <c r="D25588" s="7">
        <v>806</v>
      </c>
      <c r="E25588" s="3">
        <v>10</v>
      </c>
      <c r="F25588" s="2">
        <v>0</v>
      </c>
      <c r="G25588" t="s">
        <v>514</v>
      </c>
    </row>
    <row r="25589" spans="1:7" x14ac:dyDescent="0.25">
      <c r="A25589" s="1" t="str">
        <f>"505633"</f>
        <v>505633</v>
      </c>
      <c r="B25589" s="2" t="str">
        <f>"VIGA MADEIRA 5 CM APARELHADA"</f>
        <v>VIGA MADEIRA 5 CM APARELHADA</v>
      </c>
      <c r="C25589" s="2" t="str">
        <f t="shared" ref="C25589:C25597" si="1011">"UN"</f>
        <v>UN</v>
      </c>
      <c r="D25589" s="7">
        <v>803</v>
      </c>
      <c r="E25589" s="3">
        <v>10</v>
      </c>
      <c r="F25589" s="2">
        <v>0</v>
      </c>
      <c r="G25589" t="s">
        <v>514</v>
      </c>
    </row>
    <row r="25590" spans="1:7" x14ac:dyDescent="0.25">
      <c r="A25590" s="1" t="str">
        <f>"505632"</f>
        <v>505632</v>
      </c>
      <c r="B25590" s="2" t="str">
        <f>"VIGA MADEIRA 5X10CM APARELHADA"</f>
        <v>VIGA MADEIRA 5X10CM APARELHADA</v>
      </c>
      <c r="C25590" s="2" t="str">
        <f t="shared" si="1011"/>
        <v>UN</v>
      </c>
      <c r="D25590" s="7">
        <v>803</v>
      </c>
      <c r="E25590" s="3">
        <v>10</v>
      </c>
      <c r="F25590" s="2">
        <v>0</v>
      </c>
      <c r="G25590" t="s">
        <v>514</v>
      </c>
    </row>
    <row r="25591" spans="1:7" x14ac:dyDescent="0.25">
      <c r="A25591" s="1" t="str">
        <f>"518094"</f>
        <v>518094</v>
      </c>
      <c r="B25591" s="2" t="str">
        <f>"VIGA PRE FABRICADA CONCRETO ARMAÇÃO TRELIÇADA H12"</f>
        <v>VIGA PRE FABRICADA CONCRETO ARMAÇÃO TRELIÇADA H12</v>
      </c>
      <c r="C25591" s="2" t="str">
        <f t="shared" si="1011"/>
        <v>UN</v>
      </c>
      <c r="D25591" s="7">
        <v>917</v>
      </c>
      <c r="E25591" s="3">
        <v>10</v>
      </c>
      <c r="F25591" s="2">
        <v>3</v>
      </c>
      <c r="G25591" t="s">
        <v>513</v>
      </c>
    </row>
    <row r="25592" spans="1:7" x14ac:dyDescent="0.25">
      <c r="A25592" s="1" t="str">
        <f>"518390"</f>
        <v>518390</v>
      </c>
      <c r="B25592" s="2" t="str">
        <f>"VIGA PRÉ FABRICADA CONCRETO P/ LAGE FORRO VOLTERRANA"</f>
        <v>VIGA PRÉ FABRICADA CONCRETO P/ LAGE FORRO VOLTERRANA</v>
      </c>
      <c r="C25592" s="2" t="str">
        <f t="shared" si="1011"/>
        <v>UN</v>
      </c>
      <c r="D25592" s="7">
        <v>917</v>
      </c>
      <c r="E25592" s="3">
        <v>10</v>
      </c>
      <c r="F25592" s="5">
        <v>5</v>
      </c>
      <c r="G25592" t="s">
        <v>513</v>
      </c>
    </row>
    <row r="25593" spans="1:7" x14ac:dyDescent="0.25">
      <c r="A25593" s="1" t="str">
        <f>"522445"</f>
        <v>522445</v>
      </c>
      <c r="B25593" s="2" t="str">
        <f>"VIGA TRELIÇADA 1,20 X 8,70MT"</f>
        <v>VIGA TRELIÇADA 1,20 X 8,70MT</v>
      </c>
      <c r="C25593" s="2" t="str">
        <f t="shared" si="1011"/>
        <v>UN</v>
      </c>
      <c r="D25593" s="7">
        <v>99999</v>
      </c>
      <c r="E25593" s="3">
        <v>99</v>
      </c>
      <c r="F25593" s="2">
        <v>3</v>
      </c>
      <c r="G25593" t="s">
        <v>513</v>
      </c>
    </row>
    <row r="25594" spans="1:7" x14ac:dyDescent="0.25">
      <c r="A25594" s="1" t="str">
        <f>"521835"</f>
        <v>521835</v>
      </c>
      <c r="B25594" s="2" t="str">
        <f>"VIGA U 100MM X 30MM"</f>
        <v>VIGA U 100MM X 30MM</v>
      </c>
      <c r="C25594" s="2" t="str">
        <f t="shared" si="1011"/>
        <v>UN</v>
      </c>
      <c r="D25594" s="7">
        <v>803</v>
      </c>
      <c r="E25594" s="3">
        <v>10</v>
      </c>
      <c r="F25594" s="2">
        <v>8</v>
      </c>
      <c r="G25594" t="s">
        <v>512</v>
      </c>
    </row>
    <row r="25595" spans="1:7" x14ac:dyDescent="0.25">
      <c r="A25595" s="1" t="str">
        <f>"508162"</f>
        <v>508162</v>
      </c>
      <c r="B25595" s="2" t="str">
        <f>"VIGA U 100MMX30MM BRANCO EXTERNO"</f>
        <v>VIGA U 100MMX30MM BRANCO EXTERNO</v>
      </c>
      <c r="C25595" s="2" t="str">
        <f t="shared" si="1011"/>
        <v>UN</v>
      </c>
      <c r="D25595" s="7">
        <v>803</v>
      </c>
      <c r="E25595" s="3">
        <v>10</v>
      </c>
      <c r="F25595" s="2">
        <v>6</v>
      </c>
      <c r="G25595" t="s">
        <v>513</v>
      </c>
    </row>
    <row r="25596" spans="1:7" x14ac:dyDescent="0.25">
      <c r="A25596" s="1" t="str">
        <f>"522728"</f>
        <v>522728</v>
      </c>
      <c r="B25596" s="2" t="str">
        <f>"VIGA U 150X50 #3MM INOX"</f>
        <v>VIGA U 150X50 #3MM INOX</v>
      </c>
      <c r="C25596" s="2" t="str">
        <f t="shared" si="1011"/>
        <v>UN</v>
      </c>
      <c r="D25596" s="7">
        <v>402</v>
      </c>
      <c r="E25596" s="3">
        <v>4</v>
      </c>
      <c r="F25596" s="2">
        <v>4</v>
      </c>
      <c r="G25596" t="s">
        <v>514</v>
      </c>
    </row>
    <row r="25597" spans="1:7" x14ac:dyDescent="0.25">
      <c r="A25597" s="1" t="str">
        <f>"503015"</f>
        <v>503015</v>
      </c>
      <c r="B25597" s="2" t="str">
        <f>"VIGA U 153MM INTERNO 50 X 50 CHAPA 1/8"</f>
        <v>VIGA U 153MM INTERNO 50 X 50 CHAPA 1/8</v>
      </c>
      <c r="C25597" s="2" t="str">
        <f t="shared" si="1011"/>
        <v>UN</v>
      </c>
      <c r="D25597" s="7">
        <v>402</v>
      </c>
      <c r="E25597" s="3">
        <v>4</v>
      </c>
      <c r="F25597" s="2">
        <v>1</v>
      </c>
      <c r="G25597" t="s">
        <v>515</v>
      </c>
    </row>
    <row r="25598" spans="1:7" x14ac:dyDescent="0.25">
      <c r="A25598" s="1" t="str">
        <f>"505780"</f>
        <v>505780</v>
      </c>
      <c r="B25598" s="2" t="str">
        <f>"VIGA U 200X100MMX3MM (3 METROS)"</f>
        <v>VIGA U 200X100MMX3MM (3 METROS)</v>
      </c>
      <c r="C25598" s="2" t="str">
        <f>"PC"</f>
        <v>PC</v>
      </c>
      <c r="D25598" s="7">
        <v>806</v>
      </c>
      <c r="E25598" s="3">
        <v>10</v>
      </c>
      <c r="F25598" s="2">
        <v>2</v>
      </c>
      <c r="G25598" t="s">
        <v>512</v>
      </c>
    </row>
    <row r="25599" spans="1:7" x14ac:dyDescent="0.25">
      <c r="A25599" s="1" t="str">
        <f>"512459"</f>
        <v>512459</v>
      </c>
      <c r="B25599" s="2" t="str">
        <f>"VIGA U 28X28#16 (BARRA C/ 3 METROS)"</f>
        <v>VIGA U 28X28#16 (BARRA C/ 3 METROS)</v>
      </c>
      <c r="C25599" s="2" t="str">
        <f>"PC"</f>
        <v>PC</v>
      </c>
      <c r="D25599" s="7">
        <v>806</v>
      </c>
      <c r="E25599" s="3">
        <v>10</v>
      </c>
      <c r="F25599" s="2">
        <v>7</v>
      </c>
      <c r="G25599" t="s">
        <v>516</v>
      </c>
    </row>
    <row r="25600" spans="1:7" x14ac:dyDescent="0.25">
      <c r="A25600" s="1" t="str">
        <f>"518827"</f>
        <v>518827</v>
      </c>
      <c r="B25600" s="2" t="str">
        <f>"VIGA U 3 METROS 4"" INTERNO #1/8 AÇO CARBONO"</f>
        <v>VIGA U 3 METROS 4" INTERNO #1/8 AÇO CARBONO</v>
      </c>
      <c r="C25600" s="2" t="str">
        <f>"UN"</f>
        <v>UN</v>
      </c>
      <c r="D25600" s="7">
        <v>402</v>
      </c>
      <c r="E25600" s="3">
        <v>4</v>
      </c>
      <c r="F25600" s="2">
        <v>9</v>
      </c>
      <c r="G25600" t="s">
        <v>515</v>
      </c>
    </row>
    <row r="25601" spans="1:7" x14ac:dyDescent="0.25">
      <c r="A25601" s="1" t="str">
        <f>"522924"</f>
        <v>522924</v>
      </c>
      <c r="B25601" s="2" t="str">
        <f>"VIGA U 3"" #3MM AÇO CARBONO"</f>
        <v>VIGA U 3" #3MM AÇO CARBONO</v>
      </c>
      <c r="C25601" s="2" t="str">
        <f>"UN"</f>
        <v>UN</v>
      </c>
      <c r="D25601" s="7">
        <v>917</v>
      </c>
      <c r="E25601" s="3">
        <v>10</v>
      </c>
      <c r="F25601" s="2">
        <v>0</v>
      </c>
      <c r="G25601" t="s">
        <v>514</v>
      </c>
    </row>
    <row r="25602" spans="1:7" x14ac:dyDescent="0.25">
      <c r="A25602" s="1" t="str">
        <f>"523094"</f>
        <v>523094</v>
      </c>
      <c r="B25602" s="2" t="str">
        <f>"VIGA U 400 X 80"</f>
        <v>VIGA U 400 X 80</v>
      </c>
      <c r="C25602" s="2" t="str">
        <f>"UN"</f>
        <v>UN</v>
      </c>
      <c r="D25602" s="7">
        <v>402</v>
      </c>
      <c r="E25602" s="3">
        <v>4</v>
      </c>
      <c r="F25602" s="2">
        <v>0</v>
      </c>
      <c r="G25602" t="s">
        <v>512</v>
      </c>
    </row>
    <row r="25603" spans="1:7" x14ac:dyDescent="0.25">
      <c r="A25603" s="1" t="str">
        <f>"525162"</f>
        <v>525162</v>
      </c>
      <c r="B25603" s="2" t="str">
        <f>"VIGA U 40X20 #14 AÇO CARBONO"</f>
        <v>VIGA U 40X20 #14 AÇO CARBONO</v>
      </c>
      <c r="C25603" s="2" t="str">
        <f>"PC"</f>
        <v>PC</v>
      </c>
      <c r="D25603" s="7">
        <v>806</v>
      </c>
      <c r="E25603" s="3">
        <v>10</v>
      </c>
      <c r="F25603" s="2">
        <v>2</v>
      </c>
      <c r="G25603" t="s">
        <v>513</v>
      </c>
    </row>
    <row r="25604" spans="1:7" x14ac:dyDescent="0.25">
      <c r="A25604" s="1" t="str">
        <f>"525161"</f>
        <v>525161</v>
      </c>
      <c r="B25604" s="2" t="str">
        <f>"VIGA U 40X40 #14 AÇO CARBONO"</f>
        <v>VIGA U 40X40 #14 AÇO CARBONO</v>
      </c>
      <c r="C25604" s="2" t="str">
        <f>"PC"</f>
        <v>PC</v>
      </c>
      <c r="D25604" s="7">
        <v>806</v>
      </c>
      <c r="E25604" s="3">
        <v>10</v>
      </c>
      <c r="F25604" s="2">
        <v>5</v>
      </c>
      <c r="G25604" t="s">
        <v>514</v>
      </c>
    </row>
    <row r="25605" spans="1:7" x14ac:dyDescent="0.25">
      <c r="A25605" s="1" t="str">
        <f>"507772"</f>
        <v>507772</v>
      </c>
      <c r="B25605" s="2" t="str">
        <f>"VIGA U 55X20 #1/8"</f>
        <v>VIGA U 55X20 #1/8</v>
      </c>
      <c r="C25605" s="2" t="str">
        <f>"UN"</f>
        <v>UN</v>
      </c>
      <c r="D25605" s="7">
        <v>402</v>
      </c>
      <c r="E25605" s="3">
        <v>4</v>
      </c>
      <c r="F25605" s="2">
        <v>6</v>
      </c>
      <c r="G25605" t="s">
        <v>514</v>
      </c>
    </row>
    <row r="25606" spans="1:7" x14ac:dyDescent="0.25">
      <c r="A25606" s="1" t="str">
        <f>"507773"</f>
        <v>507773</v>
      </c>
      <c r="B25606" s="2" t="str">
        <f>"VIGA U 6"""</f>
        <v>VIGA U 6"</v>
      </c>
      <c r="C25606" s="2" t="str">
        <f>"UN"</f>
        <v>UN</v>
      </c>
      <c r="D25606" s="7">
        <v>402</v>
      </c>
      <c r="E25606" s="3">
        <v>4</v>
      </c>
      <c r="F25606" s="2">
        <v>9</v>
      </c>
      <c r="G25606" t="s">
        <v>512</v>
      </c>
    </row>
    <row r="25607" spans="1:7" x14ac:dyDescent="0.25">
      <c r="A25607" s="1" t="str">
        <f>"510441"</f>
        <v>510441</v>
      </c>
      <c r="B25607" s="2" t="str">
        <f>"VIGA U 6"" = 820KGS X3,10"</f>
        <v>VIGA U 6" = 820KGS X3,10</v>
      </c>
      <c r="C25607" s="2" t="str">
        <f>"PC"</f>
        <v>PC</v>
      </c>
      <c r="D25607" s="7">
        <v>806</v>
      </c>
      <c r="E25607" s="3">
        <v>10</v>
      </c>
      <c r="F25607" s="2">
        <v>5</v>
      </c>
      <c r="G25607" t="s">
        <v>513</v>
      </c>
    </row>
    <row r="25608" spans="1:7" x14ac:dyDescent="0.25">
      <c r="A25608" s="1" t="str">
        <f>"508161"</f>
        <v>508161</v>
      </c>
      <c r="B25608" s="2" t="str">
        <f>"VIGA U 620X50X25X25MM CHAPA-12"</f>
        <v>VIGA U 620X50X25X25MM CHAPA-12</v>
      </c>
      <c r="C25608" s="2" t="str">
        <f>"UN"</f>
        <v>UN</v>
      </c>
      <c r="D25608" s="7">
        <v>1700</v>
      </c>
      <c r="E25608" s="3">
        <v>13</v>
      </c>
      <c r="F25608" s="2">
        <v>3</v>
      </c>
      <c r="G25608" t="s">
        <v>514</v>
      </c>
    </row>
    <row r="25609" spans="1:7" x14ac:dyDescent="0.25">
      <c r="A25609" s="1" t="str">
        <f>"506068"</f>
        <v>506068</v>
      </c>
      <c r="B25609" s="2" t="str">
        <f>"VIGA U ACO CARBONO 110X80X3MM (3 METROS)"</f>
        <v>VIGA U ACO CARBONO 110X80X3MM (3 METROS)</v>
      </c>
      <c r="C25609" s="2" t="str">
        <f>"PC"</f>
        <v>PC</v>
      </c>
      <c r="D25609" s="7">
        <v>806</v>
      </c>
      <c r="E25609" s="3">
        <v>10</v>
      </c>
      <c r="F25609" s="2">
        <v>3</v>
      </c>
      <c r="G25609" t="s">
        <v>514</v>
      </c>
    </row>
    <row r="25610" spans="1:7" x14ac:dyDescent="0.25">
      <c r="A25610" s="1" t="str">
        <f>"510776"</f>
        <v>510776</v>
      </c>
      <c r="B25610" s="2" t="str">
        <f>"VIGA U ACO CARBONO 2"" X 1"" #1/8"""</f>
        <v>VIGA U ACO CARBONO 2" X 1" #1/8"</v>
      </c>
      <c r="C25610" s="2" t="str">
        <f>"PC"</f>
        <v>PC</v>
      </c>
      <c r="D25610" s="7">
        <v>806</v>
      </c>
      <c r="E25610" s="3">
        <v>10</v>
      </c>
      <c r="F25610" s="2">
        <v>2</v>
      </c>
      <c r="G25610" t="s">
        <v>514</v>
      </c>
    </row>
    <row r="25611" spans="1:7" x14ac:dyDescent="0.25">
      <c r="A25611" s="1" t="str">
        <f>"510777"</f>
        <v>510777</v>
      </c>
      <c r="B25611" s="2" t="str">
        <f>"VIGA U ACO CARBONO 3"" X 1 1/2"" #1/8"</f>
        <v>VIGA U ACO CARBONO 3" X 1 1/2" #1/8</v>
      </c>
      <c r="C25611" s="2" t="str">
        <f>"PC"</f>
        <v>PC</v>
      </c>
      <c r="D25611" s="7">
        <v>806</v>
      </c>
      <c r="E25611" s="3">
        <v>10</v>
      </c>
      <c r="F25611" s="2">
        <v>1</v>
      </c>
      <c r="G25611" t="s">
        <v>513</v>
      </c>
    </row>
    <row r="25612" spans="1:7" x14ac:dyDescent="0.25">
      <c r="A25612" s="1" t="str">
        <f>"506003"</f>
        <v>506003</v>
      </c>
      <c r="B25612" s="2" t="str">
        <f>"VIGA U ACO CARBONO 3""X3""X2.26MM CHAPA 13"</f>
        <v>VIGA U ACO CARBONO 3"X3"X2.26MM CHAPA 13</v>
      </c>
      <c r="C25612" s="2" t="str">
        <f>"PC"</f>
        <v>PC</v>
      </c>
      <c r="D25612" s="7">
        <v>806</v>
      </c>
      <c r="E25612" s="3">
        <v>10</v>
      </c>
      <c r="F25612" s="2">
        <v>4</v>
      </c>
      <c r="G25612" t="s">
        <v>512</v>
      </c>
    </row>
    <row r="25613" spans="1:7" x14ac:dyDescent="0.25">
      <c r="A25613" s="1" t="str">
        <f>"503906"</f>
        <v>503906</v>
      </c>
      <c r="B25613" s="2" t="str">
        <f>"VIGA U ACO CARBONO 4""X6""X1/8"""</f>
        <v>VIGA U ACO CARBONO 4"X6"X1/8"</v>
      </c>
      <c r="C25613" s="2" t="str">
        <f>"UN"</f>
        <v>UN</v>
      </c>
      <c r="D25613" s="7">
        <v>402</v>
      </c>
      <c r="E25613" s="3">
        <v>4</v>
      </c>
      <c r="F25613" s="2">
        <v>1</v>
      </c>
      <c r="G25613" t="s">
        <v>513</v>
      </c>
    </row>
    <row r="25614" spans="1:7" x14ac:dyDescent="0.25">
      <c r="A25614" s="1" t="str">
        <f>"503908"</f>
        <v>503908</v>
      </c>
      <c r="B25614" s="2" t="str">
        <f>"VIGA U ACO CARBONO 4X1 1/5""X 3MM"</f>
        <v>VIGA U ACO CARBONO 4X1 1/5"X 3MM</v>
      </c>
      <c r="C25614" s="2" t="str">
        <f>"UN"</f>
        <v>UN</v>
      </c>
      <c r="D25614" s="7">
        <v>402</v>
      </c>
      <c r="E25614" s="3">
        <v>4</v>
      </c>
      <c r="F25614" s="2">
        <v>2</v>
      </c>
      <c r="G25614" t="s">
        <v>514</v>
      </c>
    </row>
    <row r="25615" spans="1:7" x14ac:dyDescent="0.25">
      <c r="A25615" s="1" t="str">
        <f>"505240"</f>
        <v>505240</v>
      </c>
      <c r="B25615" s="2" t="str">
        <f>"VIGA U ACO CARBONO 5""X2""X1/4"""</f>
        <v>VIGA U ACO CARBONO 5"X2"X1/4"</v>
      </c>
      <c r="C25615" s="2" t="str">
        <f>"BR"</f>
        <v>BR</v>
      </c>
      <c r="D25615" s="7">
        <v>1700</v>
      </c>
      <c r="E25615" s="3">
        <v>10</v>
      </c>
      <c r="F25615" s="2">
        <v>7</v>
      </c>
      <c r="G25615" t="s">
        <v>514</v>
      </c>
    </row>
    <row r="25616" spans="1:7" x14ac:dyDescent="0.25">
      <c r="A25616" s="1" t="str">
        <f>"505234"</f>
        <v>505234</v>
      </c>
      <c r="B25616" s="2" t="str">
        <f>"VIGA U ACO CARBONO 5""X3""X1/8"""</f>
        <v>VIGA U ACO CARBONO 5"X3"X1/8"</v>
      </c>
      <c r="C25616" s="2" t="str">
        <f>"PC"</f>
        <v>PC</v>
      </c>
      <c r="D25616" s="7">
        <v>806</v>
      </c>
      <c r="E25616" s="3">
        <v>10</v>
      </c>
      <c r="F25616" s="2">
        <v>9</v>
      </c>
      <c r="G25616" t="s">
        <v>514</v>
      </c>
    </row>
    <row r="25617" spans="1:7" x14ac:dyDescent="0.25">
      <c r="A25617" s="1" t="str">
        <f>"509519"</f>
        <v>509519</v>
      </c>
      <c r="B25617" s="2" t="str">
        <f>"VIGA U DE 3""AÇO CARBONO # 11MM"</f>
        <v>VIGA U DE 3"AÇO CARBONO # 11MM</v>
      </c>
      <c r="C25617" s="2" t="str">
        <f>"UN"</f>
        <v>UN</v>
      </c>
      <c r="D25617" s="7">
        <v>917</v>
      </c>
      <c r="E25617" s="3">
        <v>11</v>
      </c>
      <c r="F25617" s="2">
        <v>0</v>
      </c>
      <c r="G25617" t="s">
        <v>513</v>
      </c>
    </row>
    <row r="25618" spans="1:7" x14ac:dyDescent="0.25">
      <c r="A25618" s="1" t="str">
        <f>"506069"</f>
        <v>506069</v>
      </c>
      <c r="B25618" s="2" t="str">
        <f>"VIGA U DE 3""X 1 1/2"" CHAPA 2,25MM"</f>
        <v>VIGA U DE 3"X 1 1/2" CHAPA 2,25MM</v>
      </c>
      <c r="C25618" s="2" t="str">
        <f>"PC"</f>
        <v>PC</v>
      </c>
      <c r="D25618" s="7">
        <v>806</v>
      </c>
      <c r="E25618" s="3">
        <v>10</v>
      </c>
      <c r="F25618" s="2">
        <v>0</v>
      </c>
      <c r="G25618" t="s">
        <v>513</v>
      </c>
    </row>
    <row r="25619" spans="1:7" x14ac:dyDescent="0.25">
      <c r="A25619" s="1" t="str">
        <f>"506070"</f>
        <v>506070</v>
      </c>
      <c r="B25619" s="2" t="str">
        <f>"VIGA U DE 3""X 1 1/2"" CHAPA 5MM LAMINADA"</f>
        <v>VIGA U DE 3"X 1 1/2" CHAPA 5MM LAMINADA</v>
      </c>
      <c r="C25619" s="2" t="str">
        <f>"UN"</f>
        <v>UN</v>
      </c>
      <c r="D25619" s="7">
        <v>1700</v>
      </c>
      <c r="E25619" s="3">
        <v>10</v>
      </c>
      <c r="F25619" s="2">
        <v>4</v>
      </c>
      <c r="G25619" t="s">
        <v>513</v>
      </c>
    </row>
    <row r="25620" spans="1:7" x14ac:dyDescent="0.25">
      <c r="A25620" s="1" t="str">
        <f>"510199"</f>
        <v>510199</v>
      </c>
      <c r="B25620" s="2" t="str">
        <f>"VIGA U INOX"</f>
        <v>VIGA U INOX</v>
      </c>
      <c r="C25620" s="2" t="str">
        <f>"PC"</f>
        <v>PC</v>
      </c>
      <c r="D25620" s="7">
        <v>806</v>
      </c>
      <c r="E25620" s="3">
        <v>10</v>
      </c>
      <c r="F25620" s="2">
        <v>1</v>
      </c>
      <c r="G25620" t="s">
        <v>512</v>
      </c>
    </row>
    <row r="25621" spans="1:7" x14ac:dyDescent="0.25">
      <c r="A25621" s="1" t="str">
        <f>"509423"</f>
        <v>509423</v>
      </c>
      <c r="B25621" s="2" t="str">
        <f>"VIGA U INRRIGECIDA 3""X6000MM CHAPA 14"</f>
        <v>VIGA U INRRIGECIDA 3"X6000MM CHAPA 14</v>
      </c>
      <c r="C25621" s="2" t="str">
        <f>"UN"</f>
        <v>UN</v>
      </c>
      <c r="D25621" s="7">
        <v>1700</v>
      </c>
      <c r="E25621" s="3">
        <v>13</v>
      </c>
      <c r="F25621" s="2">
        <v>2</v>
      </c>
      <c r="G25621" t="s">
        <v>513</v>
      </c>
    </row>
    <row r="25622" spans="1:7" x14ac:dyDescent="0.25">
      <c r="A25622" s="1" t="str">
        <f>"514138"</f>
        <v>514138</v>
      </c>
      <c r="B25622" s="2" t="str">
        <f>"VIGA U INT. 103MM ABA INT. 35MM # 1/8"</f>
        <v>VIGA U INT. 103MM ABA INT. 35MM # 1/8</v>
      </c>
      <c r="C25622" s="2" t="str">
        <f>"PC"</f>
        <v>PC</v>
      </c>
      <c r="D25622" s="7">
        <v>806</v>
      </c>
      <c r="E25622" s="3">
        <v>10</v>
      </c>
      <c r="F25622" s="2">
        <v>7</v>
      </c>
      <c r="G25622" t="s">
        <v>514</v>
      </c>
    </row>
    <row r="25623" spans="1:7" x14ac:dyDescent="0.25">
      <c r="A25623" s="1" t="str">
        <f>"514891"</f>
        <v>514891</v>
      </c>
      <c r="B25623" s="2" t="str">
        <f>"VIGA U LAMINADA 75X40X3/16"""</f>
        <v>VIGA U LAMINADA 75X40X3/16"</v>
      </c>
      <c r="C25623" s="2" t="str">
        <f>"BR"</f>
        <v>BR</v>
      </c>
      <c r="D25623" s="7">
        <v>806</v>
      </c>
      <c r="E25623" s="3">
        <v>10</v>
      </c>
      <c r="F25623" s="2">
        <v>9</v>
      </c>
      <c r="G25623" t="s">
        <v>515</v>
      </c>
    </row>
    <row r="25624" spans="1:7" x14ac:dyDescent="0.25">
      <c r="A25624" s="1" t="str">
        <f>"514554"</f>
        <v>514554</v>
      </c>
      <c r="B25624" s="2" t="str">
        <f>"VIGA W"</f>
        <v>VIGA W</v>
      </c>
      <c r="C25624" s="2" t="str">
        <f t="shared" ref="C25624:C25652" si="1012">"UN"</f>
        <v>UN</v>
      </c>
      <c r="D25624" s="7">
        <v>704</v>
      </c>
      <c r="E25624" s="3">
        <v>9</v>
      </c>
      <c r="F25624" s="5">
        <v>5</v>
      </c>
      <c r="G25624" t="s">
        <v>512</v>
      </c>
    </row>
    <row r="25625" spans="1:7" x14ac:dyDescent="0.25">
      <c r="A25625" s="1" t="str">
        <f>"515057"</f>
        <v>515057</v>
      </c>
      <c r="B25625" s="2" t="str">
        <f>"VIGAS DE CONCRETO COM ARMAÇAO TRELICADA H8"</f>
        <v>VIGAS DE CONCRETO COM ARMAÇAO TRELICADA H8</v>
      </c>
      <c r="C25625" s="2" t="str">
        <f t="shared" si="1012"/>
        <v>UN</v>
      </c>
      <c r="D25625" s="7">
        <v>803</v>
      </c>
      <c r="E25625" s="3">
        <v>4</v>
      </c>
      <c r="F25625" s="2">
        <v>3</v>
      </c>
      <c r="G25625" t="s">
        <v>516</v>
      </c>
    </row>
    <row r="25626" spans="1:7" x14ac:dyDescent="0.25">
      <c r="A25626" s="1" t="str">
        <f>"525603"</f>
        <v>525603</v>
      </c>
      <c r="B25626" s="2" t="str">
        <f>"VIGOTA"</f>
        <v>VIGOTA</v>
      </c>
      <c r="C25626" s="2" t="str">
        <f t="shared" si="1012"/>
        <v>UN</v>
      </c>
      <c r="D25626" s="7">
        <v>403</v>
      </c>
      <c r="E25626" s="3">
        <v>4</v>
      </c>
      <c r="F25626" s="2">
        <v>8</v>
      </c>
      <c r="G25626" t="s">
        <v>515</v>
      </c>
    </row>
    <row r="25627" spans="1:7" x14ac:dyDescent="0.25">
      <c r="A25627" s="1" t="str">
        <f>"514939"</f>
        <v>514939</v>
      </c>
      <c r="B25627" s="2" t="str">
        <f>"VINAGRE"</f>
        <v>VINAGRE</v>
      </c>
      <c r="C25627" s="2" t="str">
        <f t="shared" si="1012"/>
        <v>UN</v>
      </c>
      <c r="D25627" s="7">
        <v>912</v>
      </c>
      <c r="E25627" s="3">
        <v>4</v>
      </c>
      <c r="F25627" s="2">
        <v>6</v>
      </c>
      <c r="G25627" t="s">
        <v>514</v>
      </c>
    </row>
    <row r="25628" spans="1:7" x14ac:dyDescent="0.25">
      <c r="A25628" s="1" t="str">
        <f>"514940"</f>
        <v>514940</v>
      </c>
      <c r="B25628" s="2" t="str">
        <f>"VINAGRETE"</f>
        <v>VINAGRETE</v>
      </c>
      <c r="C25628" s="2" t="str">
        <f t="shared" si="1012"/>
        <v>UN</v>
      </c>
      <c r="D25628" s="7">
        <v>912</v>
      </c>
      <c r="E25628" s="3">
        <v>4</v>
      </c>
      <c r="F25628" s="2">
        <v>4</v>
      </c>
      <c r="G25628" t="s">
        <v>512</v>
      </c>
    </row>
    <row r="25629" spans="1:7" x14ac:dyDescent="0.25">
      <c r="A25629" s="1" t="str">
        <f>"519393"</f>
        <v>519393</v>
      </c>
      <c r="B25629" s="2" t="str">
        <f>"VINHO CALLIA ALTA SHIRAZ-BONARDA 750ML"</f>
        <v>VINHO CALLIA ALTA SHIRAZ-BONARDA 750ML</v>
      </c>
      <c r="C25629" s="2" t="str">
        <f t="shared" si="1012"/>
        <v>UN</v>
      </c>
      <c r="D25629" s="7">
        <v>99999</v>
      </c>
      <c r="E25629" s="3">
        <v>99</v>
      </c>
      <c r="F25629" s="2">
        <v>1</v>
      </c>
      <c r="G25629" t="s">
        <v>513</v>
      </c>
    </row>
    <row r="25630" spans="1:7" x14ac:dyDescent="0.25">
      <c r="A25630" s="1" t="str">
        <f>"516611"</f>
        <v>516611</v>
      </c>
      <c r="B25630" s="2" t="str">
        <f>"VINHO CONFIDENCIAL TTO RED 750ML"</f>
        <v>VINHO CONFIDENCIAL TTO RED 750ML</v>
      </c>
      <c r="C25630" s="2" t="str">
        <f t="shared" si="1012"/>
        <v>UN</v>
      </c>
      <c r="D25630" s="7">
        <v>401</v>
      </c>
      <c r="E25630" s="3">
        <v>4</v>
      </c>
      <c r="F25630" s="2">
        <v>2</v>
      </c>
      <c r="G25630" t="s">
        <v>514</v>
      </c>
    </row>
    <row r="25631" spans="1:7" x14ac:dyDescent="0.25">
      <c r="A25631" s="1" t="str">
        <f>"516612"</f>
        <v>516612</v>
      </c>
      <c r="B25631" s="2" t="str">
        <f>"VINHO J.MOREAU E FILS ROUGE 750ML"</f>
        <v>VINHO J.MOREAU E FILS ROUGE 750ML</v>
      </c>
      <c r="C25631" s="2" t="str">
        <f t="shared" si="1012"/>
        <v>UN</v>
      </c>
      <c r="D25631" s="7">
        <v>401</v>
      </c>
      <c r="E25631" s="3">
        <v>4</v>
      </c>
      <c r="F25631" s="2">
        <v>7</v>
      </c>
      <c r="G25631" t="s">
        <v>514</v>
      </c>
    </row>
    <row r="25632" spans="1:7" x14ac:dyDescent="0.25">
      <c r="A25632" s="1" t="str">
        <f>"513968"</f>
        <v>513968</v>
      </c>
      <c r="B25632" s="2" t="str">
        <f>"VINHO LAMBRUSCO DUQUESA DI PARMA BCO"</f>
        <v>VINHO LAMBRUSCO DUQUESA DI PARMA BCO</v>
      </c>
      <c r="C25632" s="2" t="str">
        <f t="shared" si="1012"/>
        <v>UN</v>
      </c>
      <c r="D25632" s="7">
        <v>99999</v>
      </c>
      <c r="E25632" s="3">
        <v>99</v>
      </c>
      <c r="F25632" s="2">
        <v>9</v>
      </c>
      <c r="G25632" t="s">
        <v>512</v>
      </c>
    </row>
    <row r="25633" spans="1:7" x14ac:dyDescent="0.25">
      <c r="A25633" s="1" t="str">
        <f>"513966"</f>
        <v>513966</v>
      </c>
      <c r="B25633" s="2" t="str">
        <f>"VINHO TERRANOBLE CARMENERE"</f>
        <v>VINHO TERRANOBLE CARMENERE</v>
      </c>
      <c r="C25633" s="2" t="str">
        <f t="shared" si="1012"/>
        <v>UN</v>
      </c>
      <c r="D25633" s="7">
        <v>99999</v>
      </c>
      <c r="E25633" s="3">
        <v>99</v>
      </c>
      <c r="F25633" s="2">
        <v>0</v>
      </c>
      <c r="G25633" t="s">
        <v>513</v>
      </c>
    </row>
    <row r="25634" spans="1:7" x14ac:dyDescent="0.25">
      <c r="A25634" s="1" t="str">
        <f>"513189"</f>
        <v>513189</v>
      </c>
      <c r="B25634" s="2" t="str">
        <f>"VINHO TINTO"</f>
        <v>VINHO TINTO</v>
      </c>
      <c r="C25634" s="2" t="str">
        <f t="shared" si="1012"/>
        <v>UN</v>
      </c>
      <c r="D25634" s="7">
        <v>401</v>
      </c>
      <c r="E25634" s="3">
        <v>4</v>
      </c>
      <c r="F25634" s="2">
        <v>0</v>
      </c>
      <c r="G25634" t="s">
        <v>514</v>
      </c>
    </row>
    <row r="25635" spans="1:7" x14ac:dyDescent="0.25">
      <c r="A25635" s="1" t="str">
        <f>"517435"</f>
        <v>517435</v>
      </c>
      <c r="B25635" s="2" t="str">
        <f>"VINIL GOLD MAX FOSCO AUTOMOTIVO"</f>
        <v>VINIL GOLD MAX FOSCO AUTOMOTIVO</v>
      </c>
      <c r="C25635" s="2" t="str">
        <f t="shared" si="1012"/>
        <v>UN</v>
      </c>
      <c r="D25635" s="7">
        <v>920</v>
      </c>
      <c r="E25635" s="3">
        <v>4</v>
      </c>
      <c r="F25635" s="2">
        <v>2</v>
      </c>
      <c r="G25635" t="s">
        <v>514</v>
      </c>
    </row>
    <row r="25636" spans="1:7" x14ac:dyDescent="0.25">
      <c r="A25636" s="1" t="str">
        <f>"505598"</f>
        <v>505598</v>
      </c>
      <c r="B25636" s="2" t="str">
        <f>"VIRA MACHO 1/2"" PEQUENO"</f>
        <v>VIRA MACHO 1/2" PEQUENO</v>
      </c>
      <c r="C25636" s="2" t="str">
        <f t="shared" si="1012"/>
        <v>UN</v>
      </c>
      <c r="D25636" s="7">
        <v>402</v>
      </c>
      <c r="E25636" s="3">
        <v>4</v>
      </c>
      <c r="F25636" s="2">
        <v>5</v>
      </c>
      <c r="G25636" t="s">
        <v>514</v>
      </c>
    </row>
    <row r="25637" spans="1:7" x14ac:dyDescent="0.25">
      <c r="A25637" s="1" t="str">
        <f>"503897"</f>
        <v>503897</v>
      </c>
      <c r="B25637" s="2" t="str">
        <f>"VIRA MACHO PEQUENO C/ CATRACA"</f>
        <v>VIRA MACHO PEQUENO C/ CATRACA</v>
      </c>
      <c r="C25637" s="2" t="str">
        <f t="shared" si="1012"/>
        <v>UN</v>
      </c>
      <c r="D25637" s="7">
        <v>402</v>
      </c>
      <c r="E25637" s="3">
        <v>4</v>
      </c>
      <c r="F25637" s="2">
        <v>6</v>
      </c>
      <c r="G25637" t="s">
        <v>513</v>
      </c>
    </row>
    <row r="25638" spans="1:7" x14ac:dyDescent="0.25">
      <c r="A25638" s="1" t="str">
        <f>"505731"</f>
        <v>505731</v>
      </c>
      <c r="B25638" s="2" t="str">
        <f>"VIRA MACHO REF.100007899"</f>
        <v>VIRA MACHO REF.100007899</v>
      </c>
      <c r="C25638" s="2" t="str">
        <f t="shared" si="1012"/>
        <v>UN</v>
      </c>
      <c r="D25638" s="7">
        <v>402</v>
      </c>
      <c r="E25638" s="3">
        <v>4</v>
      </c>
      <c r="F25638" s="2">
        <v>9</v>
      </c>
      <c r="G25638" t="s">
        <v>512</v>
      </c>
    </row>
    <row r="25639" spans="1:7" x14ac:dyDescent="0.25">
      <c r="A25639" s="1" t="str">
        <f>"518422"</f>
        <v>518422</v>
      </c>
      <c r="B25639" s="2" t="str">
        <f>"VIRABREQUIM 4/100-104S S/ ACESSORIOS"</f>
        <v>VIRABREQUIM 4/100-104S S/ ACESSORIOS</v>
      </c>
      <c r="C25639" s="2" t="str">
        <f t="shared" si="1012"/>
        <v>UN</v>
      </c>
      <c r="D25639" s="7">
        <v>918</v>
      </c>
      <c r="E25639" s="3">
        <v>11</v>
      </c>
      <c r="F25639" s="2">
        <v>5</v>
      </c>
      <c r="G25639" t="s">
        <v>513</v>
      </c>
    </row>
    <row r="25640" spans="1:7" x14ac:dyDescent="0.25">
      <c r="A25640" s="1" t="str">
        <f>"517378"</f>
        <v>517378</v>
      </c>
      <c r="B25640" s="2" t="str">
        <f>"VIRABREQUIM 4A sS/ACESSORIOS"</f>
        <v>VIRABREQUIM 4A sS/ACESSORIOS</v>
      </c>
      <c r="C25640" s="2" t="str">
        <f t="shared" si="1012"/>
        <v>UN</v>
      </c>
      <c r="D25640" s="7">
        <v>918</v>
      </c>
      <c r="E25640" s="3">
        <v>11</v>
      </c>
      <c r="F25640" s="2">
        <v>3</v>
      </c>
      <c r="G25640" t="s">
        <v>514</v>
      </c>
    </row>
    <row r="25641" spans="1:7" x14ac:dyDescent="0.25">
      <c r="A25641" s="1" t="str">
        <f>"514718"</f>
        <v>514718</v>
      </c>
      <c r="B25641" s="2" t="str">
        <f>"VIRABREQUIM 6/100-106S S/ ACESSORIOS"</f>
        <v>VIRABREQUIM 6/100-106S S/ ACESSORIOS</v>
      </c>
      <c r="C25641" s="2" t="str">
        <f t="shared" si="1012"/>
        <v>UN</v>
      </c>
      <c r="D25641" s="7">
        <v>901</v>
      </c>
      <c r="E25641" s="3">
        <v>11</v>
      </c>
      <c r="F25641" s="2">
        <v>3</v>
      </c>
      <c r="G25641" t="s">
        <v>514</v>
      </c>
    </row>
    <row r="25642" spans="1:7" x14ac:dyDescent="0.25">
      <c r="A25642" s="1" t="str">
        <f>"528008"</f>
        <v>528008</v>
      </c>
      <c r="B25642" s="2" t="str">
        <f>"VIRABREQUIM CURSO 15 LAV. KARCHER HD10/20- CAGE FOOD"</f>
        <v>VIRABREQUIM CURSO 15 LAV. KARCHER HD10/20- CAGE FOOD</v>
      </c>
      <c r="C25642" s="2" t="str">
        <f t="shared" si="1012"/>
        <v>UN</v>
      </c>
      <c r="D25642" s="7">
        <v>918</v>
      </c>
      <c r="E25642" s="3">
        <v>11</v>
      </c>
      <c r="F25642" s="2">
        <v>2</v>
      </c>
      <c r="G25642" t="s">
        <v>514</v>
      </c>
    </row>
    <row r="25643" spans="1:7" x14ac:dyDescent="0.25">
      <c r="A25643" s="1" t="str">
        <f>"519166"</f>
        <v>519166</v>
      </c>
      <c r="B25643" s="2" t="str">
        <f>"VIRABREQUIM STILL FS220"</f>
        <v>VIRABREQUIM STILL FS220</v>
      </c>
      <c r="C25643" s="2" t="str">
        <f t="shared" si="1012"/>
        <v>UN</v>
      </c>
      <c r="D25643" s="7">
        <v>918</v>
      </c>
      <c r="E25643" s="3">
        <v>11</v>
      </c>
      <c r="F25643" s="2">
        <v>1</v>
      </c>
      <c r="G25643" t="s">
        <v>513</v>
      </c>
    </row>
    <row r="25644" spans="1:7" x14ac:dyDescent="0.25">
      <c r="A25644" s="1" t="str">
        <f>"515099"</f>
        <v>515099</v>
      </c>
      <c r="B25644" s="2" t="str">
        <f>"VIRABREQUIM TM-3"</f>
        <v>VIRABREQUIM TM-3</v>
      </c>
      <c r="C25644" s="2" t="str">
        <f t="shared" si="1012"/>
        <v>UN</v>
      </c>
      <c r="D25644" s="7">
        <v>1003</v>
      </c>
      <c r="E25644" s="3">
        <v>11</v>
      </c>
      <c r="F25644" s="2">
        <v>4</v>
      </c>
      <c r="G25644" t="s">
        <v>513</v>
      </c>
    </row>
    <row r="25645" spans="1:7" x14ac:dyDescent="0.25">
      <c r="A25645" s="1" t="str">
        <f>"509132"</f>
        <v>509132</v>
      </c>
      <c r="B25645" s="2" t="str">
        <f>"VIRABREQUIN COMPRESSOR MYCOM N4/A"</f>
        <v>VIRABREQUIN COMPRESSOR MYCOM N4/A</v>
      </c>
      <c r="C25645" s="2" t="str">
        <f t="shared" si="1012"/>
        <v>UN</v>
      </c>
      <c r="D25645" s="7">
        <v>918</v>
      </c>
      <c r="E25645" s="3">
        <v>11</v>
      </c>
      <c r="F25645" s="2">
        <v>6</v>
      </c>
      <c r="G25645" t="s">
        <v>513</v>
      </c>
    </row>
    <row r="25646" spans="1:7" x14ac:dyDescent="0.25">
      <c r="A25646" s="1" t="str">
        <f>"527055"</f>
        <v>527055</v>
      </c>
      <c r="B25646" s="2" t="str">
        <f>"VISCOSIMETRO ALUMINIO CUP FORD KIT COMP. C/ORIFICIOS"</f>
        <v>VISCOSIMETRO ALUMINIO CUP FORD KIT COMP. C/ORIFICIOS</v>
      </c>
      <c r="C25646" s="2" t="str">
        <f t="shared" si="1012"/>
        <v>UN</v>
      </c>
      <c r="D25646" s="7">
        <v>1300</v>
      </c>
      <c r="E25646" s="3">
        <v>11</v>
      </c>
      <c r="F25646" s="2">
        <v>8</v>
      </c>
      <c r="G25646" t="s">
        <v>512</v>
      </c>
    </row>
    <row r="25647" spans="1:7" x14ac:dyDescent="0.25">
      <c r="A25647" s="1" t="str">
        <f>"520893"</f>
        <v>520893</v>
      </c>
      <c r="B25647" s="2" t="str">
        <f>"VISCOSIMETRO ALUMINIO TIO FORD C/ ORIFICIOS INTERCAMBIAVEIS"</f>
        <v>VISCOSIMETRO ALUMINIO TIO FORD C/ ORIFICIOS INTERCAMBIAVEIS</v>
      </c>
      <c r="C25647" s="2" t="str">
        <f t="shared" si="1012"/>
        <v>UN</v>
      </c>
      <c r="D25647" s="7">
        <v>1300</v>
      </c>
      <c r="E25647" s="3">
        <v>11</v>
      </c>
      <c r="F25647" s="2">
        <v>7</v>
      </c>
      <c r="G25647" t="s">
        <v>513</v>
      </c>
    </row>
    <row r="25648" spans="1:7" x14ac:dyDescent="0.25">
      <c r="A25648" s="1" t="str">
        <f>"521617"</f>
        <v>521617</v>
      </c>
      <c r="B25648" s="2" t="str">
        <f>"VISCOSIMETRO DIGITAL BROOKFIELD"</f>
        <v>VISCOSIMETRO DIGITAL BROOKFIELD</v>
      </c>
      <c r="C25648" s="2" t="str">
        <f t="shared" si="1012"/>
        <v>UN</v>
      </c>
      <c r="D25648" s="7">
        <v>1300</v>
      </c>
      <c r="E25648" s="3">
        <v>11</v>
      </c>
      <c r="F25648" s="2">
        <v>6</v>
      </c>
      <c r="G25648" t="s">
        <v>514</v>
      </c>
    </row>
    <row r="25649" spans="1:7" x14ac:dyDescent="0.25">
      <c r="A25649" s="1" t="str">
        <f>"513408"</f>
        <v>513408</v>
      </c>
      <c r="B25649" s="2" t="str">
        <f>"VISIONOM SOL OFT FR"</f>
        <v>VISIONOM SOL OFT FR</v>
      </c>
      <c r="C25649" s="2" t="str">
        <f t="shared" si="1012"/>
        <v>UN</v>
      </c>
      <c r="D25649" s="7">
        <v>406</v>
      </c>
      <c r="E25649" s="3">
        <v>4</v>
      </c>
      <c r="F25649" s="2">
        <v>6</v>
      </c>
      <c r="G25649" t="s">
        <v>515</v>
      </c>
    </row>
    <row r="25650" spans="1:7" x14ac:dyDescent="0.25">
      <c r="A25650" s="1" t="str">
        <f>"501258"</f>
        <v>501258</v>
      </c>
      <c r="B25650" s="2" t="str">
        <f>"VISOR CALDEIRA 3/4X200mm"</f>
        <v>VISOR CALDEIRA 3/4X200mm</v>
      </c>
      <c r="C25650" s="2" t="str">
        <f t="shared" si="1012"/>
        <v>UN</v>
      </c>
      <c r="D25650" s="7">
        <v>912</v>
      </c>
      <c r="E25650" s="3">
        <v>11</v>
      </c>
      <c r="F25650" s="2">
        <v>2</v>
      </c>
      <c r="G25650" t="s">
        <v>512</v>
      </c>
    </row>
    <row r="25651" spans="1:7" x14ac:dyDescent="0.25">
      <c r="A25651" s="1" t="str">
        <f>"501257"</f>
        <v>501257</v>
      </c>
      <c r="B25651" s="2" t="str">
        <f>"VISOR CALDEIRA 5/8X1000mm"</f>
        <v>VISOR CALDEIRA 5/8X1000mm</v>
      </c>
      <c r="C25651" s="2" t="str">
        <f t="shared" si="1012"/>
        <v>UN</v>
      </c>
      <c r="D25651" s="7">
        <v>912</v>
      </c>
      <c r="E25651" s="3">
        <v>11</v>
      </c>
      <c r="F25651" s="2">
        <v>1</v>
      </c>
      <c r="G25651" t="s">
        <v>516</v>
      </c>
    </row>
    <row r="25652" spans="1:7" x14ac:dyDescent="0.25">
      <c r="A25652" s="1" t="str">
        <f>"501256"</f>
        <v>501256</v>
      </c>
      <c r="B25652" s="2" t="str">
        <f>"VISOR CALDEIRA 5/8X200mm"</f>
        <v>VISOR CALDEIRA 5/8X200mm</v>
      </c>
      <c r="C25652" s="2" t="str">
        <f t="shared" si="1012"/>
        <v>UN</v>
      </c>
      <c r="D25652" s="7">
        <v>912</v>
      </c>
      <c r="E25652" s="3">
        <v>11</v>
      </c>
      <c r="F25652" s="2">
        <v>0</v>
      </c>
      <c r="G25652" t="s">
        <v>515</v>
      </c>
    </row>
    <row r="25653" spans="1:7" x14ac:dyDescent="0.25">
      <c r="A25653" s="1" t="str">
        <f>"511919"</f>
        <v>511919</v>
      </c>
      <c r="B25653" s="2" t="str">
        <f>"VISOR COMPLETO BVIS 200.0001"</f>
        <v>VISOR COMPLETO BVIS 200.0001</v>
      </c>
      <c r="C25653" s="2" t="str">
        <f>"PC"</f>
        <v>PC</v>
      </c>
      <c r="D25653" s="7">
        <v>918</v>
      </c>
      <c r="E25653" s="3">
        <v>11</v>
      </c>
      <c r="F25653" s="2">
        <v>0</v>
      </c>
      <c r="G25653" t="s">
        <v>514</v>
      </c>
    </row>
    <row r="25654" spans="1:7" x14ac:dyDescent="0.25">
      <c r="A25654" s="1" t="str">
        <f>"527079"</f>
        <v>527079</v>
      </c>
      <c r="B25654" s="2" t="str">
        <f>"VISOR DA MÁQUINA PETIT"</f>
        <v>VISOR DA MÁQUINA PETIT</v>
      </c>
      <c r="C25654" s="2" t="str">
        <f>"UN"</f>
        <v>UN</v>
      </c>
      <c r="D25654" s="7">
        <v>1500</v>
      </c>
      <c r="E25654" s="3">
        <v>13</v>
      </c>
      <c r="F25654" s="2">
        <v>0</v>
      </c>
      <c r="G25654" t="s">
        <v>512</v>
      </c>
    </row>
    <row r="25655" spans="1:7" x14ac:dyDescent="0.25">
      <c r="A25655" s="1" t="str">
        <f>"512887"</f>
        <v>512887</v>
      </c>
      <c r="B25655" s="2" t="str">
        <f>"VISOR DE LINHA TUBULAR 2M SMS EPDM 2 1/2"""</f>
        <v>VISOR DE LINHA TUBULAR 2M SMS EPDM 2 1/2"</v>
      </c>
      <c r="C25655" s="2" t="str">
        <f>"BR"</f>
        <v>BR</v>
      </c>
      <c r="D25655" s="7">
        <v>807</v>
      </c>
      <c r="E25655" s="3">
        <v>10</v>
      </c>
      <c r="F25655" s="2">
        <v>3</v>
      </c>
      <c r="G25655" t="s">
        <v>513</v>
      </c>
    </row>
    <row r="25656" spans="1:7" x14ac:dyDescent="0.25">
      <c r="A25656" s="1" t="str">
        <f>"502452"</f>
        <v>502452</v>
      </c>
      <c r="B25656" s="2" t="str">
        <f>"VISOR DE LINHA TUBULAR 2M SMS EPDM 2"""</f>
        <v>VISOR DE LINHA TUBULAR 2M SMS EPDM 2"</v>
      </c>
      <c r="C25656" s="2" t="str">
        <f>"BR"</f>
        <v>BR</v>
      </c>
      <c r="D25656" s="7">
        <v>807</v>
      </c>
      <c r="E25656" s="3">
        <v>10</v>
      </c>
      <c r="F25656" s="5">
        <v>5</v>
      </c>
      <c r="G25656" t="s">
        <v>514</v>
      </c>
    </row>
    <row r="25657" spans="1:7" x14ac:dyDescent="0.25">
      <c r="A25657" s="1" t="str">
        <f>"508990"</f>
        <v>508990</v>
      </c>
      <c r="B25657" s="2" t="str">
        <f>"VISOR DE NEON C/ RABICHO"</f>
        <v>VISOR DE NEON C/ RABICHO</v>
      </c>
      <c r="C25657" s="2" t="str">
        <f t="shared" ref="C25657:C25666" si="1013">"UN"</f>
        <v>UN</v>
      </c>
      <c r="D25657" s="7">
        <v>600</v>
      </c>
      <c r="E25657" s="3">
        <v>8</v>
      </c>
      <c r="F25657" s="2">
        <v>3</v>
      </c>
      <c r="G25657" t="s">
        <v>514</v>
      </c>
    </row>
    <row r="25658" spans="1:7" x14ac:dyDescent="0.25">
      <c r="A25658" s="1" t="str">
        <f>"517473"</f>
        <v>517473</v>
      </c>
      <c r="B25658" s="2" t="str">
        <f>"VISOR LIQ 1/2S SGL12S DANFOSS"</f>
        <v>VISOR LIQ 1/2S SGL12S DANFOSS</v>
      </c>
      <c r="C25658" s="2" t="str">
        <f t="shared" si="1013"/>
        <v>UN</v>
      </c>
      <c r="D25658" s="7">
        <v>918</v>
      </c>
      <c r="E25658" s="3">
        <v>10</v>
      </c>
      <c r="F25658" s="2">
        <v>8</v>
      </c>
      <c r="G25658" t="s">
        <v>512</v>
      </c>
    </row>
    <row r="25659" spans="1:7" x14ac:dyDescent="0.25">
      <c r="A25659" s="1" t="str">
        <f>"508438"</f>
        <v>508438</v>
      </c>
      <c r="B25659" s="2" t="str">
        <f>"VISOR OLEO 1/2 C/ O'RING"</f>
        <v>VISOR OLEO 1/2 C/ O'RING</v>
      </c>
      <c r="C25659" s="2" t="str">
        <f t="shared" si="1013"/>
        <v>UN</v>
      </c>
      <c r="D25659" s="7">
        <v>812</v>
      </c>
      <c r="E25659" s="3">
        <v>10</v>
      </c>
      <c r="F25659" s="2">
        <v>6</v>
      </c>
      <c r="G25659" t="s">
        <v>513</v>
      </c>
    </row>
    <row r="25660" spans="1:7" x14ac:dyDescent="0.25">
      <c r="A25660" s="1" t="str">
        <f>"508437"</f>
        <v>508437</v>
      </c>
      <c r="B25660" s="2" t="str">
        <f>"VISOR OLEO 3/4 C/ O'RING"</f>
        <v>VISOR OLEO 3/4 C/ O'RING</v>
      </c>
      <c r="C25660" s="2" t="str">
        <f t="shared" si="1013"/>
        <v>UN</v>
      </c>
      <c r="D25660" s="7">
        <v>812</v>
      </c>
      <c r="E25660" s="3">
        <v>10</v>
      </c>
      <c r="F25660" s="2">
        <v>4</v>
      </c>
      <c r="G25660" t="s">
        <v>514</v>
      </c>
    </row>
    <row r="25661" spans="1:7" x14ac:dyDescent="0.25">
      <c r="A25661" s="1" t="str">
        <f>"520921"</f>
        <v>520921</v>
      </c>
      <c r="B25661" s="2" t="str">
        <f>"VISOR P/ PORTA SECCIONAL"</f>
        <v>VISOR P/ PORTA SECCIONAL</v>
      </c>
      <c r="C25661" s="2" t="str">
        <f t="shared" si="1013"/>
        <v>UN</v>
      </c>
      <c r="D25661" s="7">
        <v>914</v>
      </c>
      <c r="E25661" s="3">
        <v>10</v>
      </c>
      <c r="F25661" s="2">
        <v>1</v>
      </c>
      <c r="G25661" t="s">
        <v>514</v>
      </c>
    </row>
    <row r="25662" spans="1:7" x14ac:dyDescent="0.25">
      <c r="A25662" s="1" t="str">
        <f>"514121"</f>
        <v>514121</v>
      </c>
      <c r="B25662" s="2" t="str">
        <f>"VISOR PASTA SUSPENSA"</f>
        <v>VISOR PASTA SUSPENSA</v>
      </c>
      <c r="C25662" s="2" t="str">
        <f t="shared" si="1013"/>
        <v>UN</v>
      </c>
      <c r="D25662" s="7">
        <v>401</v>
      </c>
      <c r="E25662" s="3">
        <v>4</v>
      </c>
      <c r="F25662" s="2">
        <v>2</v>
      </c>
      <c r="G25662" t="s">
        <v>514</v>
      </c>
    </row>
    <row r="25663" spans="1:7" x14ac:dyDescent="0.25">
      <c r="A25663" s="1" t="str">
        <f>"522347"</f>
        <v>522347</v>
      </c>
      <c r="B25663" s="2" t="str">
        <f>"VISOR POLICARBONATO 2000X1000X200MM"</f>
        <v>VISOR POLICARBONATO 2000X1000X200MM</v>
      </c>
      <c r="C25663" s="2" t="str">
        <f t="shared" si="1013"/>
        <v>UN</v>
      </c>
      <c r="D25663" s="7">
        <v>918</v>
      </c>
      <c r="E25663" s="3">
        <v>4</v>
      </c>
      <c r="F25663" s="2">
        <v>7</v>
      </c>
      <c r="G25663" t="s">
        <v>513</v>
      </c>
    </row>
    <row r="25664" spans="1:7" x14ac:dyDescent="0.25">
      <c r="A25664" s="1" t="str">
        <f>"523968"</f>
        <v>523968</v>
      </c>
      <c r="B25664" s="2" t="str">
        <f>"VISOR POLICARBONATO PROT. FACIAL V GUARD 240 TEMPGOLD CX C/5"</f>
        <v>VISOR POLICARBONATO PROT. FACIAL V GUARD 240 TEMPGOLD CX C/5</v>
      </c>
      <c r="C25664" s="2" t="str">
        <f t="shared" si="1013"/>
        <v>UN</v>
      </c>
      <c r="D25664" s="7">
        <v>501</v>
      </c>
      <c r="E25664" s="3">
        <v>5</v>
      </c>
      <c r="F25664" s="2">
        <v>9</v>
      </c>
      <c r="G25664" t="s">
        <v>512</v>
      </c>
    </row>
    <row r="25665" spans="1:7" x14ac:dyDescent="0.25">
      <c r="A25665" s="1" t="str">
        <f>"523323"</f>
        <v>523323</v>
      </c>
      <c r="B25665" s="2" t="str">
        <f>"VISOR SALA LIMPA 800 X600X50"</f>
        <v>VISOR SALA LIMPA 800 X600X50</v>
      </c>
      <c r="C25665" s="2" t="str">
        <f t="shared" si="1013"/>
        <v>UN</v>
      </c>
      <c r="D25665" s="7">
        <v>803</v>
      </c>
      <c r="E25665" s="3">
        <v>10</v>
      </c>
      <c r="F25665" s="2">
        <v>0</v>
      </c>
      <c r="G25665" t="s">
        <v>513</v>
      </c>
    </row>
    <row r="25666" spans="1:7" x14ac:dyDescent="0.25">
      <c r="A25666" s="1" t="str">
        <f>"515484"</f>
        <v>515484</v>
      </c>
      <c r="B25666" s="2" t="str">
        <f>"VISUAL"</f>
        <v>VISUAL</v>
      </c>
      <c r="C25666" s="2" t="str">
        <f t="shared" si="1013"/>
        <v>UN</v>
      </c>
      <c r="D25666" s="7">
        <v>406</v>
      </c>
      <c r="E25666" s="3">
        <v>4</v>
      </c>
      <c r="F25666" s="2">
        <v>0</v>
      </c>
      <c r="G25666" t="s">
        <v>514</v>
      </c>
    </row>
    <row r="25667" spans="1:7" x14ac:dyDescent="0.25">
      <c r="A25667" s="1" t="str">
        <f>"405"</f>
        <v>405</v>
      </c>
      <c r="B25667" s="2" t="str">
        <f>"VITAMINA MIX.CASSAB CAR 9159"</f>
        <v>VITAMINA MIX.CASSAB CAR 9159</v>
      </c>
      <c r="C25667" s="2" t="str">
        <f>"KG"</f>
        <v>KG</v>
      </c>
      <c r="D25667" s="7">
        <v>226</v>
      </c>
      <c r="E25667" s="3">
        <v>2</v>
      </c>
      <c r="F25667" s="2">
        <v>2</v>
      </c>
      <c r="G25667" t="s">
        <v>514</v>
      </c>
    </row>
    <row r="25668" spans="1:7" x14ac:dyDescent="0.25">
      <c r="A25668" s="1" t="str">
        <f>"5971"</f>
        <v>5971</v>
      </c>
      <c r="B25668" s="2" t="str">
        <f>"VITAMINA PREMIX COD. 500.015 (BRING SOLUTIONS)"</f>
        <v>VITAMINA PREMIX COD. 500.015 (BRING SOLUTIONS)</v>
      </c>
      <c r="C25668" s="2" t="str">
        <f>"KG"</f>
        <v>KG</v>
      </c>
      <c r="D25668" s="7">
        <v>226</v>
      </c>
      <c r="E25668" s="3">
        <v>2</v>
      </c>
      <c r="F25668" s="2">
        <v>5</v>
      </c>
      <c r="G25668" t="s">
        <v>514</v>
      </c>
    </row>
    <row r="25669" spans="1:7" x14ac:dyDescent="0.25">
      <c r="A25669" s="1" t="str">
        <f>"525315"</f>
        <v>525315</v>
      </c>
      <c r="B25669" s="2" t="str">
        <f>"VITRO ALUM. ACABADO 600X600MM"</f>
        <v>VITRO ALUM. ACABADO 600X600MM</v>
      </c>
      <c r="C25669" s="2" t="str">
        <f t="shared" ref="C25669:C25684" si="1014">"UN"</f>
        <v>UN</v>
      </c>
      <c r="D25669" s="7">
        <v>99999</v>
      </c>
      <c r="E25669" s="3">
        <v>99</v>
      </c>
      <c r="F25669" s="2">
        <v>6</v>
      </c>
      <c r="G25669" t="s">
        <v>513</v>
      </c>
    </row>
    <row r="25670" spans="1:7" x14ac:dyDescent="0.25">
      <c r="A25670" s="1" t="str">
        <f>"522754"</f>
        <v>522754</v>
      </c>
      <c r="B25670" s="2" t="str">
        <f>"VITRO BASCULANTE 60 X 60 X 70CM"</f>
        <v>VITRO BASCULANTE 60 X 60 X 70CM</v>
      </c>
      <c r="C25670" s="2" t="str">
        <f t="shared" si="1014"/>
        <v>UN</v>
      </c>
      <c r="D25670" s="7">
        <v>917</v>
      </c>
      <c r="E25670" s="3">
        <v>10</v>
      </c>
      <c r="F25670" s="3">
        <v>10</v>
      </c>
      <c r="G25670" t="s">
        <v>513</v>
      </c>
    </row>
    <row r="25671" spans="1:7" x14ac:dyDescent="0.25">
      <c r="A25671" s="1" t="str">
        <f>"514340"</f>
        <v>514340</v>
      </c>
      <c r="B25671" s="2" t="str">
        <f>"VLV 5/2 DN7 TB 10 X 1 D/PILOTO"</f>
        <v>VLV 5/2 DN7 TB 10 X 1 D/PILOTO</v>
      </c>
      <c r="C25671" s="2" t="str">
        <f t="shared" si="1014"/>
        <v>UN</v>
      </c>
      <c r="D25671" s="7">
        <v>918</v>
      </c>
      <c r="E25671" s="3">
        <v>11</v>
      </c>
      <c r="F25671" s="3">
        <v>11</v>
      </c>
      <c r="G25671" t="s">
        <v>513</v>
      </c>
    </row>
    <row r="25672" spans="1:7" x14ac:dyDescent="0.25">
      <c r="A25672" s="1" t="str">
        <f>"517890"</f>
        <v>517890</v>
      </c>
      <c r="B25672" s="2" t="str">
        <f>"VMF 2 1/2"" 150RF PP BI ALAV F1 517807"</f>
        <v>VMF 2 1/2" 150RF PP BI ALAV F1 517807</v>
      </c>
      <c r="C25672" s="2" t="str">
        <f t="shared" si="1014"/>
        <v>UN</v>
      </c>
      <c r="D25672" s="7">
        <v>811</v>
      </c>
      <c r="E25672" s="3">
        <v>8</v>
      </c>
      <c r="F25672" s="3">
        <v>8</v>
      </c>
      <c r="G25672" t="s">
        <v>512</v>
      </c>
    </row>
    <row r="25673" spans="1:7" x14ac:dyDescent="0.25">
      <c r="A25673" s="1" t="str">
        <f>"517889"</f>
        <v>517889</v>
      </c>
      <c r="B25673" s="2" t="str">
        <f>"VMF 3150RF PP BI ALAV. F1 517806"</f>
        <v>VMF 3150RF PP BI ALAV. F1 517806</v>
      </c>
      <c r="C25673" s="2" t="str">
        <f t="shared" si="1014"/>
        <v>UN</v>
      </c>
      <c r="D25673" s="7">
        <v>811</v>
      </c>
      <c r="E25673" s="3">
        <v>8</v>
      </c>
      <c r="F25673" s="3">
        <v>8</v>
      </c>
      <c r="G25673" t="s">
        <v>513</v>
      </c>
    </row>
    <row r="25674" spans="1:7" x14ac:dyDescent="0.25">
      <c r="A25674" s="1" t="str">
        <f>"522945"</f>
        <v>522945</v>
      </c>
      <c r="B25674" s="2" t="str">
        <f>"VMR 1/2 NPT - VALV. DE BLOQ. ESFERA 339010301"</f>
        <v>VMR 1/2 NPT - VALV. DE BLOQ. ESFERA 339010301</v>
      </c>
      <c r="C25674" s="2" t="str">
        <f t="shared" si="1014"/>
        <v>UN</v>
      </c>
      <c r="D25674" s="7">
        <v>912</v>
      </c>
      <c r="E25674" s="3">
        <v>10</v>
      </c>
      <c r="F25674" s="3">
        <v>10</v>
      </c>
      <c r="G25674" t="s">
        <v>514</v>
      </c>
    </row>
    <row r="25675" spans="1:7" x14ac:dyDescent="0.25">
      <c r="A25675" s="1" t="str">
        <f>"527172"</f>
        <v>527172</v>
      </c>
      <c r="B25675" s="2" t="str">
        <f>"VMWARE VSPHERE 6 ESSENTIA LS PLUSVCSS KIT FOR 3 HOSTS"</f>
        <v>VMWARE VSPHERE 6 ESSENTIA LS PLUSVCSS KIT FOR 3 HOSTS</v>
      </c>
      <c r="C25675" s="2" t="str">
        <f t="shared" si="1014"/>
        <v>UN</v>
      </c>
      <c r="D25675" s="7">
        <v>99999</v>
      </c>
      <c r="E25675" s="3">
        <v>99</v>
      </c>
      <c r="F25675" s="3">
        <v>99</v>
      </c>
      <c r="G25675" t="s">
        <v>515</v>
      </c>
    </row>
    <row r="25676" spans="1:7" x14ac:dyDescent="0.25">
      <c r="A25676" s="1" t="str">
        <f>"517128"</f>
        <v>517128</v>
      </c>
      <c r="B25676" s="2" t="str">
        <f>"VND RED. 114.3X13 (4PÇS) FABRICA"</f>
        <v>VND RED. 114.3X13 (4PÇS) FABRICA</v>
      </c>
      <c r="C25676" s="2" t="str">
        <f t="shared" si="1014"/>
        <v>UN</v>
      </c>
      <c r="D25676" s="7">
        <v>918</v>
      </c>
      <c r="E25676" s="3">
        <v>11</v>
      </c>
      <c r="F25676" s="3">
        <v>11</v>
      </c>
      <c r="G25676" t="s">
        <v>512</v>
      </c>
    </row>
    <row r="25677" spans="1:7" x14ac:dyDescent="0.25">
      <c r="A25677" s="1" t="str">
        <f>"517183"</f>
        <v>517183</v>
      </c>
      <c r="B25677" s="2" t="str">
        <f>"VND RED.190X18 (1PÇ) BI-PARTIDO M.2495 - JE"</f>
        <v>VND RED.190X18 (1PÇ) BI-PARTIDO M.2495 - JE</v>
      </c>
      <c r="C25677" s="2" t="str">
        <f t="shared" si="1014"/>
        <v>UN</v>
      </c>
      <c r="D25677" s="7">
        <v>918</v>
      </c>
      <c r="E25677" s="3">
        <v>11</v>
      </c>
      <c r="F25677" s="3">
        <v>11</v>
      </c>
      <c r="G25677" t="s">
        <v>516</v>
      </c>
    </row>
    <row r="25678" spans="1:7" x14ac:dyDescent="0.25">
      <c r="A25678" s="1" t="str">
        <f>"515232"</f>
        <v>515232</v>
      </c>
      <c r="B25678" s="2" t="str">
        <f>"VODKA ORLOFF"</f>
        <v>VODKA ORLOFF</v>
      </c>
      <c r="C25678" s="2" t="str">
        <f t="shared" si="1014"/>
        <v>UN</v>
      </c>
      <c r="D25678" s="7">
        <v>401</v>
      </c>
      <c r="E25678" s="3">
        <v>4</v>
      </c>
      <c r="F25678" s="3">
        <v>4</v>
      </c>
      <c r="G25678" t="s">
        <v>515</v>
      </c>
    </row>
    <row r="25679" spans="1:7" x14ac:dyDescent="0.25">
      <c r="A25679" s="1" t="str">
        <f>"519223"</f>
        <v>519223</v>
      </c>
      <c r="B25679" s="2" t="str">
        <f>"VOLANTE MOTOR CUMINS"</f>
        <v>VOLANTE MOTOR CUMINS</v>
      </c>
      <c r="C25679" s="2" t="str">
        <f t="shared" si="1014"/>
        <v>UN</v>
      </c>
      <c r="D25679" s="7">
        <v>704</v>
      </c>
      <c r="E25679" s="3">
        <v>9</v>
      </c>
      <c r="F25679" s="3">
        <v>9</v>
      </c>
      <c r="G25679" t="s">
        <v>514</v>
      </c>
    </row>
    <row r="25680" spans="1:7" x14ac:dyDescent="0.25">
      <c r="A25680" s="1" t="str">
        <f>"523993"</f>
        <v>523993</v>
      </c>
      <c r="B25680" s="2" t="str">
        <f>"VOLTAREM 75MG - INJETÁVEL"</f>
        <v>VOLTAREM 75MG - INJETÁVEL</v>
      </c>
      <c r="C25680" s="2" t="str">
        <f t="shared" si="1014"/>
        <v>UN</v>
      </c>
      <c r="D25680" s="7">
        <v>99999</v>
      </c>
      <c r="E25680" s="3">
        <v>99</v>
      </c>
      <c r="F25680" s="3">
        <v>99</v>
      </c>
      <c r="G25680" t="s">
        <v>512</v>
      </c>
    </row>
    <row r="25681" spans="1:7" x14ac:dyDescent="0.25">
      <c r="A25681" s="1" t="str">
        <f>"511278"</f>
        <v>511278</v>
      </c>
      <c r="B25681" s="2" t="str">
        <f>"VOLTIMETRO 96X96 0-500V KRON/SIMILAR"</f>
        <v>VOLTIMETRO 96X96 0-500V KRON/SIMILAR</v>
      </c>
      <c r="C25681" s="2" t="str">
        <f t="shared" si="1014"/>
        <v>UN</v>
      </c>
      <c r="D25681" s="7">
        <v>600</v>
      </c>
      <c r="E25681" s="3">
        <v>8</v>
      </c>
      <c r="F25681" s="3">
        <v>8</v>
      </c>
      <c r="G25681" t="s">
        <v>513</v>
      </c>
    </row>
    <row r="25682" spans="1:7" x14ac:dyDescent="0.25">
      <c r="A25682" s="1" t="str">
        <f>"505577"</f>
        <v>505577</v>
      </c>
      <c r="B25682" s="2" t="str">
        <f>"VOLTIMETRO INI KRON 2KV 0-600V ANALOGICO"</f>
        <v>VOLTIMETRO INI KRON 2KV 0-600V ANALOGICO</v>
      </c>
      <c r="C25682" s="2" t="str">
        <f t="shared" si="1014"/>
        <v>UN</v>
      </c>
      <c r="D25682" s="7">
        <v>600</v>
      </c>
      <c r="E25682" s="3">
        <v>8</v>
      </c>
      <c r="F25682" s="3">
        <v>8</v>
      </c>
      <c r="G25682" t="s">
        <v>514</v>
      </c>
    </row>
    <row r="25683" spans="1:7" x14ac:dyDescent="0.25">
      <c r="A25683" s="1" t="str">
        <f>"522137"</f>
        <v>522137</v>
      </c>
      <c r="B25683" s="2" t="str">
        <f>"VOLTIMETRO MINIPA ET3111 CAT3"</f>
        <v>VOLTIMETRO MINIPA ET3111 CAT3</v>
      </c>
      <c r="C25683" s="2" t="str">
        <f t="shared" si="1014"/>
        <v>UN</v>
      </c>
      <c r="D25683" s="7">
        <v>402</v>
      </c>
      <c r="E25683" s="3">
        <v>4</v>
      </c>
      <c r="F25683" s="3">
        <v>4</v>
      </c>
      <c r="G25683" t="s">
        <v>514</v>
      </c>
    </row>
    <row r="25684" spans="1:7" x14ac:dyDescent="0.25">
      <c r="A25684" s="1" t="str">
        <f>"520682"</f>
        <v>520682</v>
      </c>
      <c r="B25684" s="2" t="str">
        <f>"VOLTIMETRO P PORTA DO PAINEL 380V"</f>
        <v>VOLTIMETRO P PORTA DO PAINEL 380V</v>
      </c>
      <c r="C25684" s="2" t="str">
        <f t="shared" si="1014"/>
        <v>UN</v>
      </c>
      <c r="D25684" s="7">
        <v>811</v>
      </c>
      <c r="E25684" s="3">
        <v>8</v>
      </c>
      <c r="F25684" s="3">
        <v>8</v>
      </c>
      <c r="G25684" t="s">
        <v>512</v>
      </c>
    </row>
    <row r="25685" spans="1:7" x14ac:dyDescent="0.25">
      <c r="A25685" s="1" t="str">
        <f>"525491"</f>
        <v>525491</v>
      </c>
      <c r="B25685" s="2" t="str">
        <f>"VOLUMOID AMIANTO 1/16 = 1,6 MM GRAFITADO"</f>
        <v>VOLUMOID AMIANTO 1/16 = 1,6 MM GRAFITADO</v>
      </c>
      <c r="C25685" s="2" t="str">
        <f>"M2"</f>
        <v>M2</v>
      </c>
      <c r="D25685" s="7">
        <v>99999</v>
      </c>
      <c r="E25685" s="3">
        <v>99</v>
      </c>
      <c r="F25685" s="3">
        <v>99</v>
      </c>
      <c r="G25685" t="s">
        <v>513</v>
      </c>
    </row>
    <row r="25686" spans="1:7" x14ac:dyDescent="0.25">
      <c r="A25686" s="1" t="str">
        <f>"528164"</f>
        <v>528164</v>
      </c>
      <c r="B25686" s="2" t="str">
        <f>"VOLUTA M019656"</f>
        <v>VOLUTA M019656</v>
      </c>
      <c r="C25686" s="2" t="str">
        <f>"UN"</f>
        <v>UN</v>
      </c>
      <c r="D25686" s="7">
        <v>918</v>
      </c>
      <c r="E25686" s="3">
        <v>11</v>
      </c>
      <c r="F25686" s="3">
        <v>11</v>
      </c>
      <c r="G25686" t="s">
        <v>514</v>
      </c>
    </row>
    <row r="25687" spans="1:7" x14ac:dyDescent="0.25">
      <c r="A25687" s="1" t="str">
        <f>"515456"</f>
        <v>515456</v>
      </c>
      <c r="B25687" s="2" t="str">
        <f>"VOLVO V60 TS RD"</f>
        <v>VOLVO V60 TS RD</v>
      </c>
      <c r="C25687" s="2" t="str">
        <f>"UN"</f>
        <v>UN</v>
      </c>
      <c r="D25687" s="7">
        <v>2000</v>
      </c>
      <c r="E25687" s="3">
        <v>16</v>
      </c>
      <c r="F25687" s="3">
        <v>16</v>
      </c>
      <c r="G25687" t="s">
        <v>514</v>
      </c>
    </row>
    <row r="25688" spans="1:7" x14ac:dyDescent="0.25">
      <c r="A25688" s="1" t="str">
        <f>"180"</f>
        <v>180</v>
      </c>
      <c r="B25688" s="2" t="str">
        <f>"VORTEXX BB 20L (21KG)- CÓD.83944 (ECOLAB)"</f>
        <v>VORTEXX BB 20L (21KG)- CÓD.83944 (ECOLAB)</v>
      </c>
      <c r="C25688" s="2" t="str">
        <f>"KG"</f>
        <v>KG</v>
      </c>
      <c r="D25688" s="7">
        <v>400</v>
      </c>
      <c r="E25688" s="3">
        <v>4</v>
      </c>
      <c r="F25688" s="3">
        <v>4</v>
      </c>
      <c r="G25688" t="s">
        <v>514</v>
      </c>
    </row>
    <row r="25689" spans="1:7" x14ac:dyDescent="0.25">
      <c r="A25689" s="1" t="str">
        <f>"205"</f>
        <v>205</v>
      </c>
      <c r="B25689" s="2" t="str">
        <f>"VORTEXX ES BB 20L (21KG)  CÓD. 33444 - (ECOLAB)"</f>
        <v>VORTEXX ES BB 20L (21KG)  CÓD. 33444 - (ECOLAB)</v>
      </c>
      <c r="C25689" s="2" t="str">
        <f>"KG"</f>
        <v>KG</v>
      </c>
      <c r="D25689" s="7">
        <v>400</v>
      </c>
      <c r="E25689" s="3">
        <v>4</v>
      </c>
      <c r="F25689" s="3">
        <v>4</v>
      </c>
      <c r="G25689" t="s">
        <v>513</v>
      </c>
    </row>
    <row r="25690" spans="1:7" x14ac:dyDescent="0.25">
      <c r="A25690" s="1" t="str">
        <f>"518573"</f>
        <v>518573</v>
      </c>
      <c r="B25690" s="2" t="str">
        <f>"VRB AGAR CRISTAL VIOLETA/500GR"</f>
        <v>VRB AGAR CRISTAL VIOLETA/500GR</v>
      </c>
      <c r="C25690" s="2" t="str">
        <f>"UN"</f>
        <v>UN</v>
      </c>
      <c r="D25690" s="7">
        <v>406</v>
      </c>
      <c r="E25690" s="3">
        <v>4</v>
      </c>
      <c r="F25690" s="3">
        <v>4</v>
      </c>
      <c r="G25690" t="s">
        <v>512</v>
      </c>
    </row>
    <row r="25691" spans="1:7" x14ac:dyDescent="0.25">
      <c r="A25691" s="1" t="str">
        <f>"513055"</f>
        <v>513055</v>
      </c>
      <c r="B25691" s="2" t="str">
        <f>"VSSV 210 SOLDA 316L EPDM 2"" 9613360054"</f>
        <v>VSSV 210 SOLDA 316L EPDM 2" 9613360054</v>
      </c>
      <c r="C25691" s="2" t="str">
        <f>"UN"</f>
        <v>UN</v>
      </c>
      <c r="D25691" s="7">
        <v>915</v>
      </c>
      <c r="E25691" s="3">
        <v>10</v>
      </c>
      <c r="F25691" s="3">
        <v>10</v>
      </c>
      <c r="G25691" t="s">
        <v>513</v>
      </c>
    </row>
    <row r="25692" spans="1:7" x14ac:dyDescent="0.25">
      <c r="A25692" s="1" t="str">
        <f>"510440"</f>
        <v>510440</v>
      </c>
      <c r="B25692" s="2" t="str">
        <f>"VUGA U 2500MM"</f>
        <v>VUGA U 2500MM</v>
      </c>
      <c r="C25692" s="2" t="str">
        <f>"PC"</f>
        <v>PC</v>
      </c>
      <c r="D25692" s="7">
        <v>806</v>
      </c>
      <c r="E25692" s="3">
        <v>10</v>
      </c>
      <c r="F25692" s="3">
        <v>10</v>
      </c>
      <c r="G25692" t="s">
        <v>514</v>
      </c>
    </row>
    <row r="25693" spans="1:7" x14ac:dyDescent="0.25">
      <c r="A25693" s="1" t="str">
        <f>"514123"</f>
        <v>514123</v>
      </c>
      <c r="B25693" s="2" t="str">
        <f>"VULCANIZAÇÃO"</f>
        <v>VULCANIZAÇÃO</v>
      </c>
      <c r="C25693" s="2" t="str">
        <f t="shared" ref="C25693:C25715" si="1015">"UN"</f>
        <v>UN</v>
      </c>
      <c r="D25693" s="7">
        <v>704</v>
      </c>
      <c r="E25693" s="3">
        <v>9</v>
      </c>
      <c r="F25693" s="2">
        <v>8</v>
      </c>
      <c r="G25693" t="s">
        <v>514</v>
      </c>
    </row>
    <row r="25694" spans="1:7" x14ac:dyDescent="0.25">
      <c r="A25694" s="1" t="str">
        <f>"509489"</f>
        <v>509489</v>
      </c>
      <c r="B25694" s="2" t="str">
        <f>"VV CONTR FLX3/8 GRLA 39836403"</f>
        <v>VV CONTR FLX3/8 GRLA 39836403</v>
      </c>
      <c r="C25694" s="2" t="str">
        <f t="shared" si="1015"/>
        <v>UN</v>
      </c>
      <c r="D25694" s="7">
        <v>918</v>
      </c>
      <c r="E25694" s="3">
        <v>11</v>
      </c>
      <c r="F25694" s="2">
        <v>6</v>
      </c>
      <c r="G25694" t="s">
        <v>514</v>
      </c>
    </row>
    <row r="25695" spans="1:7" x14ac:dyDescent="0.25">
      <c r="A25695" s="1" t="str">
        <f>"518479"</f>
        <v>518479</v>
      </c>
      <c r="B25695" s="2" t="str">
        <f>"VW GOL 1.6 MBS5"</f>
        <v>VW GOL 1.6 MBS5</v>
      </c>
      <c r="C25695" s="2" t="str">
        <f t="shared" si="1015"/>
        <v>UN</v>
      </c>
      <c r="D25695" s="7">
        <v>99999</v>
      </c>
      <c r="E25695" s="3">
        <v>99</v>
      </c>
      <c r="F25695" s="2">
        <v>4</v>
      </c>
      <c r="G25695" t="s">
        <v>513</v>
      </c>
    </row>
    <row r="25696" spans="1:7" x14ac:dyDescent="0.25">
      <c r="A25696" s="1" t="str">
        <f>"510819"</f>
        <v>510819</v>
      </c>
      <c r="B25696" s="2" t="str">
        <f>"VW/GOL 1.6 C/ DIREÇÃO HIDRAULICA PLACA AOZ 0222"</f>
        <v>VW/GOL 1.6 C/ DIREÇÃO HIDRAULICA PLACA AOZ 0222</v>
      </c>
      <c r="C25696" s="2" t="str">
        <f t="shared" si="1015"/>
        <v>UN</v>
      </c>
      <c r="D25696" s="7">
        <v>2000</v>
      </c>
      <c r="E25696" s="3">
        <v>16</v>
      </c>
      <c r="F25696" s="2">
        <v>1</v>
      </c>
      <c r="G25696" t="s">
        <v>513</v>
      </c>
    </row>
    <row r="25697" spans="1:7" x14ac:dyDescent="0.25">
      <c r="A25697" s="1" t="str">
        <f>"518552"</f>
        <v>518552</v>
      </c>
      <c r="B25697" s="2" t="str">
        <f>"VW/GOL TREND DH VIDRO ELETRICO E TRAVA"</f>
        <v>VW/GOL TREND DH VIDRO ELETRICO E TRAVA</v>
      </c>
      <c r="C25697" s="2" t="str">
        <f t="shared" si="1015"/>
        <v>UN</v>
      </c>
      <c r="D25697" s="7">
        <v>99999</v>
      </c>
      <c r="E25697" s="3">
        <v>99</v>
      </c>
      <c r="F25697" s="2">
        <v>2</v>
      </c>
      <c r="G25697" t="s">
        <v>513</v>
      </c>
    </row>
    <row r="25698" spans="1:7" x14ac:dyDescent="0.25">
      <c r="A25698" s="1" t="str">
        <f>"518473"</f>
        <v>518473</v>
      </c>
      <c r="B25698" s="2" t="str">
        <f>"VW/SAVEIRO 1.6 ROBUST"</f>
        <v>VW/SAVEIRO 1.6 ROBUST</v>
      </c>
      <c r="C25698" s="2" t="str">
        <f t="shared" si="1015"/>
        <v>UN</v>
      </c>
      <c r="D25698" s="7">
        <v>99999</v>
      </c>
      <c r="E25698" s="3">
        <v>99</v>
      </c>
      <c r="F25698" s="2">
        <v>7</v>
      </c>
      <c r="G25698" t="s">
        <v>512</v>
      </c>
    </row>
    <row r="25699" spans="1:7" x14ac:dyDescent="0.25">
      <c r="A25699" s="1" t="str">
        <f>"518471"</f>
        <v>518471</v>
      </c>
      <c r="B25699" s="2" t="str">
        <f>"VW/SAVEIRO CS ST MB 5UALE4"</f>
        <v>VW/SAVEIRO CS ST MB 5UALE4</v>
      </c>
      <c r="C25699" s="2" t="str">
        <f t="shared" si="1015"/>
        <v>UN</v>
      </c>
      <c r="D25699" s="7">
        <v>99999</v>
      </c>
      <c r="E25699" s="3">
        <v>99</v>
      </c>
      <c r="F25699" s="2">
        <v>9</v>
      </c>
      <c r="G25699" t="s">
        <v>513</v>
      </c>
    </row>
    <row r="25700" spans="1:7" x14ac:dyDescent="0.25">
      <c r="A25700" s="1" t="str">
        <f>"502012"</f>
        <v>502012</v>
      </c>
      <c r="B25700" s="2" t="str">
        <f>"VW-20 MOLA 3.A DIANT VW 11/13130"</f>
        <v>VW-20 MOLA 3.A DIANT VW 11/13130</v>
      </c>
      <c r="C25700" s="2" t="str">
        <f t="shared" si="1015"/>
        <v>UN</v>
      </c>
      <c r="D25700" s="7">
        <v>704</v>
      </c>
      <c r="E25700" s="3">
        <v>9</v>
      </c>
      <c r="F25700" s="2">
        <v>0</v>
      </c>
      <c r="G25700" t="s">
        <v>514</v>
      </c>
    </row>
    <row r="25701" spans="1:7" x14ac:dyDescent="0.25">
      <c r="A25701" s="1" t="str">
        <f>"514609"</f>
        <v>514609</v>
      </c>
      <c r="B25701" s="2" t="str">
        <f>"WAFER LIANE"</f>
        <v>WAFER LIANE</v>
      </c>
      <c r="C25701" s="2" t="str">
        <f t="shared" si="1015"/>
        <v>UN</v>
      </c>
      <c r="D25701" s="7">
        <v>401</v>
      </c>
      <c r="E25701" s="3">
        <v>4</v>
      </c>
      <c r="F25701" s="2">
        <v>0</v>
      </c>
      <c r="G25701" t="s">
        <v>515</v>
      </c>
    </row>
    <row r="25702" spans="1:7" x14ac:dyDescent="0.25">
      <c r="A25702" s="1" t="str">
        <f>"510903"</f>
        <v>510903</v>
      </c>
      <c r="B25702" s="2" t="str">
        <f>"WAFER VISCONTI MORANGO"</f>
        <v>WAFER VISCONTI MORANGO</v>
      </c>
      <c r="C25702" s="2" t="str">
        <f t="shared" si="1015"/>
        <v>UN</v>
      </c>
      <c r="D25702" s="7">
        <v>401</v>
      </c>
      <c r="E25702" s="3">
        <v>4</v>
      </c>
      <c r="F25702" s="2">
        <v>2</v>
      </c>
      <c r="G25702" t="s">
        <v>512</v>
      </c>
    </row>
    <row r="25703" spans="1:7" x14ac:dyDescent="0.25">
      <c r="A25703" s="1" t="str">
        <f>"505592"</f>
        <v>505592</v>
      </c>
      <c r="B25703" s="2" t="str">
        <f>"WASH PRIMER FOSFATIZANTE 650ML"</f>
        <v>WASH PRIMER FOSFATIZANTE 650ML</v>
      </c>
      <c r="C25703" s="2" t="str">
        <f t="shared" si="1015"/>
        <v>UN</v>
      </c>
      <c r="D25703" s="7">
        <v>403</v>
      </c>
      <c r="E25703" s="3">
        <v>4</v>
      </c>
      <c r="F25703" s="2">
        <v>5</v>
      </c>
      <c r="G25703" t="s">
        <v>516</v>
      </c>
    </row>
    <row r="25704" spans="1:7" x14ac:dyDescent="0.25">
      <c r="A25704" s="1" t="str">
        <f>"518362"</f>
        <v>518362</v>
      </c>
      <c r="B25704" s="2" t="str">
        <f>"WASH PRIMER S/ CATALIZADOR 650ML"</f>
        <v>WASH PRIMER S/ CATALIZADOR 650ML</v>
      </c>
      <c r="C25704" s="2" t="str">
        <f t="shared" si="1015"/>
        <v>UN</v>
      </c>
      <c r="D25704" s="7">
        <v>804</v>
      </c>
      <c r="E25704" s="3">
        <v>10</v>
      </c>
      <c r="F25704" s="2">
        <v>6</v>
      </c>
      <c r="G25704" t="s">
        <v>515</v>
      </c>
    </row>
    <row r="25705" spans="1:7" x14ac:dyDescent="0.25">
      <c r="A25705" s="1" t="str">
        <f>"511192"</f>
        <v>511192</v>
      </c>
      <c r="B25705" s="2" t="str">
        <f>"WASHER COD. 215282"</f>
        <v>WASHER COD. 215282</v>
      </c>
      <c r="C25705" s="2" t="str">
        <f t="shared" si="1015"/>
        <v>UN</v>
      </c>
      <c r="D25705" s="7">
        <v>918</v>
      </c>
      <c r="E25705" s="3">
        <v>11</v>
      </c>
      <c r="F25705" s="2">
        <v>9</v>
      </c>
      <c r="G25705" t="s">
        <v>514</v>
      </c>
    </row>
    <row r="25706" spans="1:7" x14ac:dyDescent="0.25">
      <c r="A25706" s="1" t="str">
        <f>"511212"</f>
        <v>511212</v>
      </c>
      <c r="B25706" s="2" t="str">
        <f>"WASHER COD. 215288"</f>
        <v>WASHER COD. 215288</v>
      </c>
      <c r="C25706" s="2" t="str">
        <f t="shared" si="1015"/>
        <v>UN</v>
      </c>
      <c r="D25706" s="7">
        <v>918</v>
      </c>
      <c r="E25706" s="3">
        <v>11</v>
      </c>
      <c r="F25706" s="2">
        <v>5</v>
      </c>
      <c r="G25706" t="s">
        <v>512</v>
      </c>
    </row>
    <row r="25707" spans="1:7" x14ac:dyDescent="0.25">
      <c r="A25707" s="1" t="str">
        <f>"511199"</f>
        <v>511199</v>
      </c>
      <c r="B25707" s="2" t="str">
        <f>"WASHER COD. 235545"</f>
        <v>WASHER COD. 235545</v>
      </c>
      <c r="C25707" s="2" t="str">
        <f t="shared" si="1015"/>
        <v>UN</v>
      </c>
      <c r="D25707" s="7">
        <v>918</v>
      </c>
      <c r="E25707" s="3">
        <v>11</v>
      </c>
      <c r="F25707" s="2">
        <v>3</v>
      </c>
      <c r="G25707" t="s">
        <v>513</v>
      </c>
    </row>
    <row r="25708" spans="1:7" x14ac:dyDescent="0.25">
      <c r="A25708" s="1" t="str">
        <f>"517201"</f>
        <v>517201</v>
      </c>
      <c r="B25708" s="2" t="str">
        <f>"WATER OFF 100ML"</f>
        <v>WATER OFF 100ML</v>
      </c>
      <c r="C25708" s="2" t="str">
        <f t="shared" si="1015"/>
        <v>UN</v>
      </c>
      <c r="D25708" s="7">
        <v>918</v>
      </c>
      <c r="E25708" s="3">
        <v>11</v>
      </c>
      <c r="F25708" s="2">
        <v>3</v>
      </c>
      <c r="G25708" t="s">
        <v>514</v>
      </c>
    </row>
    <row r="25709" spans="1:7" x14ac:dyDescent="0.25">
      <c r="A25709" s="1" t="str">
        <f>"514125"</f>
        <v>514125</v>
      </c>
      <c r="B25709" s="2" t="str">
        <f>"W-CL GRAXA DE COMPLEXO DE LITRO"</f>
        <v>W-CL GRAXA DE COMPLEXO DE LITRO</v>
      </c>
      <c r="C25709" s="2" t="str">
        <f t="shared" si="1015"/>
        <v>UN</v>
      </c>
      <c r="D25709" s="7">
        <v>812</v>
      </c>
      <c r="E25709" s="3">
        <v>10</v>
      </c>
      <c r="F25709" s="2">
        <v>2</v>
      </c>
      <c r="G25709" t="s">
        <v>514</v>
      </c>
    </row>
    <row r="25710" spans="1:7" x14ac:dyDescent="0.25">
      <c r="A25710" s="1" t="str">
        <f>"526418"</f>
        <v>526418</v>
      </c>
      <c r="B25710" s="2" t="str">
        <f>"WEB CAM"</f>
        <v>WEB CAM</v>
      </c>
      <c r="C25710" s="2" t="str">
        <f t="shared" si="1015"/>
        <v>UN</v>
      </c>
      <c r="D25710" s="7">
        <v>99999</v>
      </c>
      <c r="E25710" s="3">
        <v>99</v>
      </c>
      <c r="F25710" s="2">
        <v>1</v>
      </c>
      <c r="G25710" t="s">
        <v>512</v>
      </c>
    </row>
    <row r="25711" spans="1:7" x14ac:dyDescent="0.25">
      <c r="A25711" s="1" t="str">
        <f>"522613"</f>
        <v>522613</v>
      </c>
      <c r="B25711" s="2" t="str">
        <f>"WETZEL TPA TC-1 02 1/2"" 3/4"" P/2 TCA E014000132"</f>
        <v>WETZEL TPA TC-1 02 1/2" 3/4" P/2 TCA E014000132</v>
      </c>
      <c r="C25711" s="2" t="str">
        <f t="shared" si="1015"/>
        <v>UN</v>
      </c>
      <c r="D25711" s="7">
        <v>811</v>
      </c>
      <c r="E25711" s="3">
        <v>10</v>
      </c>
      <c r="F25711" s="2">
        <v>4</v>
      </c>
      <c r="G25711" t="s">
        <v>513</v>
      </c>
    </row>
    <row r="25712" spans="1:7" x14ac:dyDescent="0.25">
      <c r="A25712" s="1" t="str">
        <f>"513324"</f>
        <v>513324</v>
      </c>
      <c r="B25712" s="2" t="str">
        <f>"WFC - 1 LATA 500ML"</f>
        <v>WFC - 1 LATA 500ML</v>
      </c>
      <c r="C25712" s="2" t="str">
        <f t="shared" si="1015"/>
        <v>UN</v>
      </c>
      <c r="D25712" s="7">
        <v>99999</v>
      </c>
      <c r="E25712" s="3">
        <v>99</v>
      </c>
      <c r="F25712" s="2">
        <v>1</v>
      </c>
      <c r="G25712" t="s">
        <v>514</v>
      </c>
    </row>
    <row r="25713" spans="1:7" x14ac:dyDescent="0.25">
      <c r="A25713" s="1" t="str">
        <f>"513964"</f>
        <v>513964</v>
      </c>
      <c r="B25713" s="2" t="str">
        <f>"WHISKY BLACK &amp; WHITE"</f>
        <v>WHISKY BLACK &amp; WHITE</v>
      </c>
      <c r="C25713" s="2" t="str">
        <f t="shared" si="1015"/>
        <v>UN</v>
      </c>
      <c r="D25713" s="7">
        <v>99999</v>
      </c>
      <c r="E25713" s="3">
        <v>99</v>
      </c>
      <c r="F25713" s="2">
        <v>2</v>
      </c>
      <c r="G25713" t="s">
        <v>514</v>
      </c>
    </row>
    <row r="25714" spans="1:7" x14ac:dyDescent="0.25">
      <c r="A25714" s="1" t="str">
        <f>"513965"</f>
        <v>513965</v>
      </c>
      <c r="B25714" s="2" t="str">
        <f>"WHISKY JOHNNIE WALKER BLACK LABEL"</f>
        <v>WHISKY JOHNNIE WALKER BLACK LABEL</v>
      </c>
      <c r="C25714" s="2" t="str">
        <f t="shared" si="1015"/>
        <v>UN</v>
      </c>
      <c r="D25714" s="7">
        <v>99999</v>
      </c>
      <c r="E25714" s="3">
        <v>99</v>
      </c>
      <c r="F25714" s="2">
        <v>7</v>
      </c>
      <c r="G25714" t="s">
        <v>514</v>
      </c>
    </row>
    <row r="25715" spans="1:7" x14ac:dyDescent="0.25">
      <c r="A25715" s="1" t="str">
        <f>"519392"</f>
        <v>519392</v>
      </c>
      <c r="B25715" s="2" t="str">
        <f>"WHISKY JOHNNIE WALKER BLACK WHITE"</f>
        <v>WHISKY JOHNNIE WALKER BLACK WHITE</v>
      </c>
      <c r="C25715" s="2" t="str">
        <f t="shared" si="1015"/>
        <v>UN</v>
      </c>
      <c r="D25715" s="7">
        <v>99999</v>
      </c>
      <c r="E25715" s="3">
        <v>99</v>
      </c>
      <c r="F25715" s="2">
        <v>9</v>
      </c>
      <c r="G25715" t="s">
        <v>513</v>
      </c>
    </row>
    <row r="25716" spans="1:7" x14ac:dyDescent="0.25">
      <c r="A25716" s="1" t="str">
        <f>"187"</f>
        <v>187</v>
      </c>
      <c r="B25716" s="2" t="str">
        <f>"WHISPER V BB 60L(60KG) - CÓD.52981 (ECOLAB)"</f>
        <v>WHISPER V BB 60L(60KG) - CÓD.52981 (ECOLAB)</v>
      </c>
      <c r="C25716" s="2" t="str">
        <f>"KG"</f>
        <v>KG</v>
      </c>
      <c r="D25716" s="7">
        <v>400</v>
      </c>
      <c r="E25716" s="3">
        <v>4</v>
      </c>
      <c r="F25716" s="2">
        <v>0</v>
      </c>
      <c r="G25716" t="s">
        <v>512</v>
      </c>
    </row>
    <row r="25717" spans="1:7" x14ac:dyDescent="0.25">
      <c r="A25717" s="1" t="str">
        <f>"522717"</f>
        <v>522717</v>
      </c>
      <c r="B25717" s="2" t="str">
        <f>"WINE SCAN / GRAPESCAN CLEANING AGENT (CAIXA 4 FR 100ML CADA)"</f>
        <v>WINE SCAN / GRAPESCAN CLEANING AGENT (CAIXA 4 FR 100ML CADA)</v>
      </c>
      <c r="C25717" s="2" t="str">
        <f t="shared" ref="C25717:C25734" si="1016">"UN"</f>
        <v>UN</v>
      </c>
      <c r="D25717" s="7">
        <v>406</v>
      </c>
      <c r="E25717" s="3">
        <v>4</v>
      </c>
      <c r="F25717" s="2">
        <v>0</v>
      </c>
      <c r="G25717" t="s">
        <v>513</v>
      </c>
    </row>
    <row r="25718" spans="1:7" x14ac:dyDescent="0.25">
      <c r="A25718" s="1" t="str">
        <f>"528045"</f>
        <v>528045</v>
      </c>
      <c r="B25718" s="2" t="str">
        <f>"WIPER SANNO ROLO - WPS60"</f>
        <v>WIPER SANNO ROLO - WPS60</v>
      </c>
      <c r="C25718" s="2" t="str">
        <f t="shared" si="1016"/>
        <v>UN</v>
      </c>
      <c r="D25718" s="7">
        <v>400</v>
      </c>
      <c r="E25718" s="3">
        <v>4</v>
      </c>
      <c r="F25718" s="2">
        <v>4</v>
      </c>
      <c r="G25718" t="s">
        <v>514</v>
      </c>
    </row>
    <row r="25719" spans="1:7" x14ac:dyDescent="0.25">
      <c r="A25719" s="1" t="str">
        <f>"515612"</f>
        <v>515612</v>
      </c>
      <c r="B25719" s="2" t="str">
        <f>"WOBLER"</f>
        <v>WOBLER</v>
      </c>
      <c r="C25719" s="2" t="str">
        <f t="shared" si="1016"/>
        <v>UN</v>
      </c>
      <c r="D25719" s="7">
        <v>401</v>
      </c>
      <c r="E25719" s="3">
        <v>4</v>
      </c>
      <c r="F25719" s="2">
        <v>1</v>
      </c>
      <c r="G25719" t="s">
        <v>514</v>
      </c>
    </row>
    <row r="25720" spans="1:7" x14ac:dyDescent="0.25">
      <c r="A25720" s="1" t="str">
        <f>"521576"</f>
        <v>521576</v>
      </c>
      <c r="B25720" s="2" t="str">
        <f>"WOBLER PVC 0,30 CRISTAL 5 CORES 12X12CM SUP DP FACE CAROLINA"</f>
        <v>WOBLER PVC 0,30 CRISTAL 5 CORES 12X12CM SUP DP FACE CAROLINA</v>
      </c>
      <c r="C25720" s="2" t="str">
        <f t="shared" si="1016"/>
        <v>UN</v>
      </c>
      <c r="D25720" s="7">
        <v>99999</v>
      </c>
      <c r="E25720" s="3">
        <v>99</v>
      </c>
      <c r="F25720" s="2">
        <v>2</v>
      </c>
      <c r="G25720" t="s">
        <v>514</v>
      </c>
    </row>
    <row r="25721" spans="1:7" x14ac:dyDescent="0.25">
      <c r="A25721" s="1" t="str">
        <f>"523672"</f>
        <v>523672</v>
      </c>
      <c r="B25721" s="2" t="str">
        <f>"WOBLER PVC 0,30 CRISTAL 5 CORES 12X12CM SUP DP FACE GREGO"</f>
        <v>WOBLER PVC 0,30 CRISTAL 5 CORES 12X12CM SUP DP FACE GREGO</v>
      </c>
      <c r="C25721" s="2" t="str">
        <f t="shared" si="1016"/>
        <v>UN</v>
      </c>
      <c r="D25721" s="7">
        <v>99999</v>
      </c>
      <c r="E25721" s="3">
        <v>99</v>
      </c>
      <c r="F25721" s="2">
        <v>7</v>
      </c>
      <c r="G25721" t="s">
        <v>513</v>
      </c>
    </row>
    <row r="25722" spans="1:7" x14ac:dyDescent="0.25">
      <c r="A25722" s="1" t="str">
        <f>"523674"</f>
        <v>523674</v>
      </c>
      <c r="B25722" s="2" t="str">
        <f>"WOBLER PVC 0,30 CRISTAL 5 CORES 12X12CM SUP DP FACE GREGO ZE"</f>
        <v>WOBLER PVC 0,30 CRISTAL 5 CORES 12X12CM SUP DP FACE GREGO ZE</v>
      </c>
      <c r="C25722" s="2" t="str">
        <f t="shared" si="1016"/>
        <v>UN</v>
      </c>
      <c r="D25722" s="7">
        <v>99999</v>
      </c>
      <c r="E25722" s="3">
        <v>99</v>
      </c>
      <c r="F25722" s="2">
        <v>9</v>
      </c>
      <c r="G25722" t="s">
        <v>513</v>
      </c>
    </row>
    <row r="25723" spans="1:7" x14ac:dyDescent="0.25">
      <c r="A25723" s="1" t="str">
        <f>"523673"</f>
        <v>523673</v>
      </c>
      <c r="B25723" s="2" t="str">
        <f>"WOBLER PVC 0,30 CRISTAL 5 CORES 12X12CM SUP DP FACE LANÇAMEN"</f>
        <v>WOBLER PVC 0,30 CRISTAL 5 CORES 12X12CM SUP DP FACE LANÇAMEN</v>
      </c>
      <c r="C25723" s="2" t="str">
        <f t="shared" si="1016"/>
        <v>UN</v>
      </c>
      <c r="D25723" s="7">
        <v>99999</v>
      </c>
      <c r="E25723" s="3">
        <v>99</v>
      </c>
      <c r="F25723" s="5">
        <v>5</v>
      </c>
      <c r="G25723" t="s">
        <v>513</v>
      </c>
    </row>
    <row r="25724" spans="1:7" x14ac:dyDescent="0.25">
      <c r="A25724" s="1" t="str">
        <f>"511458"</f>
        <v>511458</v>
      </c>
      <c r="B25724" s="2" t="str">
        <f>"WURTH BONDER PLUS 20 GR"</f>
        <v>WURTH BONDER PLUS 20 GR</v>
      </c>
      <c r="C25724" s="2" t="str">
        <f t="shared" si="1016"/>
        <v>UN</v>
      </c>
      <c r="D25724" s="7">
        <v>402</v>
      </c>
      <c r="E25724" s="3">
        <v>4</v>
      </c>
      <c r="F25724" s="2">
        <v>3</v>
      </c>
      <c r="G25724" t="s">
        <v>512</v>
      </c>
    </row>
    <row r="25725" spans="1:7" x14ac:dyDescent="0.25">
      <c r="A25725" s="1" t="str">
        <f>"505212"</f>
        <v>505212</v>
      </c>
      <c r="B25725" s="2" t="str">
        <f>"WURTH BONDER PLUS 2G"</f>
        <v>WURTH BONDER PLUS 2G</v>
      </c>
      <c r="C25725" s="2" t="str">
        <f t="shared" si="1016"/>
        <v>UN</v>
      </c>
      <c r="D25725" s="7">
        <v>812</v>
      </c>
      <c r="E25725" s="3">
        <v>10</v>
      </c>
      <c r="F25725" s="2">
        <v>8</v>
      </c>
      <c r="G25725" t="s">
        <v>513</v>
      </c>
    </row>
    <row r="25726" spans="1:7" x14ac:dyDescent="0.25">
      <c r="A25726" s="1" t="str">
        <f>"516234"</f>
        <v>516234</v>
      </c>
      <c r="B25726" s="2" t="str">
        <f>"WURTH CLEANER 500GR"</f>
        <v>WURTH CLEANER 500GR</v>
      </c>
      <c r="C25726" s="2" t="str">
        <f t="shared" si="1016"/>
        <v>UN</v>
      </c>
      <c r="D25726" s="7">
        <v>918</v>
      </c>
      <c r="E25726" s="3">
        <v>4</v>
      </c>
      <c r="F25726" s="2">
        <v>6</v>
      </c>
      <c r="G25726" t="s">
        <v>514</v>
      </c>
    </row>
    <row r="25727" spans="1:7" x14ac:dyDescent="0.25">
      <c r="A25727" s="1" t="str">
        <f>"514697"</f>
        <v>514697</v>
      </c>
      <c r="B25727" s="2" t="str">
        <f>"WURTH COOPER"</f>
        <v>WURTH COOPER</v>
      </c>
      <c r="C25727" s="2" t="str">
        <f t="shared" si="1016"/>
        <v>UN</v>
      </c>
      <c r="D25727" s="7">
        <v>704</v>
      </c>
      <c r="E25727" s="3">
        <v>9</v>
      </c>
      <c r="F25727" s="2">
        <v>4</v>
      </c>
      <c r="G25727" t="s">
        <v>515</v>
      </c>
    </row>
    <row r="25728" spans="1:7" x14ac:dyDescent="0.25">
      <c r="A25728" s="1" t="str">
        <f>"516100"</f>
        <v>516100</v>
      </c>
      <c r="B25728" s="2" t="str">
        <f>"WURTH EPOXI 100GR"</f>
        <v>WURTH EPOXI 100GR</v>
      </c>
      <c r="C25728" s="2" t="str">
        <f t="shared" si="1016"/>
        <v>UN</v>
      </c>
      <c r="D25728" s="7">
        <v>812</v>
      </c>
      <c r="E25728" s="3">
        <v>4</v>
      </c>
      <c r="F25728" s="2">
        <v>1</v>
      </c>
      <c r="G25728" t="s">
        <v>512</v>
      </c>
    </row>
    <row r="25729" spans="1:7" x14ac:dyDescent="0.25">
      <c r="A25729" s="1" t="str">
        <f>"513800"</f>
        <v>513800</v>
      </c>
      <c r="B25729" s="2" t="str">
        <f>"WURTH GREY HT"</f>
        <v>WURTH GREY HT</v>
      </c>
      <c r="C25729" s="2" t="str">
        <f t="shared" si="1016"/>
        <v>UN</v>
      </c>
      <c r="D25729" s="7">
        <v>99999</v>
      </c>
      <c r="E25729" s="3">
        <v>99</v>
      </c>
      <c r="F25729" s="2">
        <v>2</v>
      </c>
      <c r="G25729" t="s">
        <v>516</v>
      </c>
    </row>
    <row r="25730" spans="1:7" x14ac:dyDescent="0.25">
      <c r="A25730" s="1" t="str">
        <f>"511539"</f>
        <v>511539</v>
      </c>
      <c r="B25730" s="2" t="str">
        <f>"WURTH MASTIQUE 300ML"</f>
        <v>WURTH MASTIQUE 300ML</v>
      </c>
      <c r="C25730" s="2" t="str">
        <f t="shared" si="1016"/>
        <v>UN</v>
      </c>
      <c r="D25730" s="7">
        <v>812</v>
      </c>
      <c r="E25730" s="3">
        <v>10</v>
      </c>
      <c r="F25730" s="2">
        <v>7</v>
      </c>
      <c r="G25730" t="s">
        <v>515</v>
      </c>
    </row>
    <row r="25731" spans="1:7" x14ac:dyDescent="0.25">
      <c r="A25731" s="1" t="str">
        <f>"523718"</f>
        <v>523718</v>
      </c>
      <c r="B25731" s="2" t="str">
        <f>"WYPALL X60 JUMBOROLL 30177836 - ROLO COM 890 FOLHAS"</f>
        <v>WYPALL X60 JUMBOROLL 30177836 - ROLO COM 890 FOLHAS</v>
      </c>
      <c r="C25731" s="2" t="str">
        <f t="shared" si="1016"/>
        <v>UN</v>
      </c>
      <c r="D25731" s="7">
        <v>400</v>
      </c>
      <c r="E25731" s="3">
        <v>4</v>
      </c>
      <c r="F25731" s="2">
        <v>9</v>
      </c>
      <c r="G25731" t="s">
        <v>514</v>
      </c>
    </row>
    <row r="25732" spans="1:7" x14ac:dyDescent="0.25">
      <c r="A25732" s="1" t="str">
        <f>"523719"</f>
        <v>523719</v>
      </c>
      <c r="B25732" s="2" t="str">
        <f>"WYPALL X60 ROLO AZUL 30228242 - ROLO COM 650 FOLHAS"</f>
        <v>WYPALL X60 ROLO AZUL 30228242 - ROLO COM 650 FOLHAS</v>
      </c>
      <c r="C25732" s="2" t="str">
        <f t="shared" si="1016"/>
        <v>UN</v>
      </c>
      <c r="D25732" s="7">
        <v>400</v>
      </c>
      <c r="E25732" s="3">
        <v>4</v>
      </c>
      <c r="F25732" s="2">
        <v>0</v>
      </c>
      <c r="G25732" t="s">
        <v>512</v>
      </c>
    </row>
    <row r="25733" spans="1:7" x14ac:dyDescent="0.25">
      <c r="A25733" s="1" t="str">
        <f>"523720"</f>
        <v>523720</v>
      </c>
      <c r="B25733" s="2" t="str">
        <f>"X70 PLUS POCKET 30214572 CAIXA 06 ROLOS C/ 88 FOLHAS"</f>
        <v>X70 PLUS POCKET 30214572 CAIXA 06 ROLOS C/ 88 FOLHAS</v>
      </c>
      <c r="C25733" s="2" t="str">
        <f t="shared" si="1016"/>
        <v>UN</v>
      </c>
      <c r="D25733" s="7">
        <v>400</v>
      </c>
      <c r="E25733" s="3">
        <v>4</v>
      </c>
      <c r="F25733" s="2">
        <v>0</v>
      </c>
      <c r="G25733" t="s">
        <v>513</v>
      </c>
    </row>
    <row r="25734" spans="1:7" x14ac:dyDescent="0.25">
      <c r="A25734" s="1" t="str">
        <f>"508745"</f>
        <v>508745</v>
      </c>
      <c r="B25734" s="2" t="str">
        <f>"XADREZ PRETO"</f>
        <v>XADREZ PRETO</v>
      </c>
      <c r="C25734" s="2" t="str">
        <f t="shared" si="1016"/>
        <v>UN</v>
      </c>
      <c r="D25734" s="7">
        <v>99999</v>
      </c>
      <c r="E25734" s="3">
        <v>99</v>
      </c>
      <c r="F25734" s="2">
        <v>2</v>
      </c>
      <c r="G25734" t="s">
        <v>514</v>
      </c>
    </row>
    <row r="25735" spans="1:7" x14ac:dyDescent="0.25">
      <c r="A25735" s="1" t="str">
        <f>"191"</f>
        <v>191</v>
      </c>
      <c r="B25735" s="2" t="str">
        <f>"XAROPE DE GLUCOSE DE MILHO-BALDE 25KG"</f>
        <v>XAROPE DE GLUCOSE DE MILHO-BALDE 25KG</v>
      </c>
      <c r="C25735" s="2" t="str">
        <f>"KG"</f>
        <v>KG</v>
      </c>
      <c r="D25735" s="7">
        <v>206</v>
      </c>
      <c r="E25735" s="3">
        <v>2</v>
      </c>
      <c r="F25735" s="2">
        <v>5</v>
      </c>
      <c r="G25735" t="s">
        <v>514</v>
      </c>
    </row>
    <row r="25736" spans="1:7" x14ac:dyDescent="0.25">
      <c r="A25736" s="1" t="str">
        <f>"523325"</f>
        <v>523325</v>
      </c>
      <c r="B25736" s="2" t="str">
        <f>"X-RAY BASIC WEAR ITEMS SPARES KIT L1-KXS7534AVCLE-KIT"</f>
        <v>X-RAY BASIC WEAR ITEMS SPARES KIT L1-KXS7534AVCLE-KIT</v>
      </c>
      <c r="C25736" s="2" t="str">
        <f>"UN"</f>
        <v>UN</v>
      </c>
      <c r="D25736" s="7">
        <v>1300</v>
      </c>
      <c r="E25736" s="3">
        <v>10</v>
      </c>
      <c r="F25736" s="2">
        <v>6</v>
      </c>
      <c r="G25736" t="s">
        <v>512</v>
      </c>
    </row>
    <row r="25737" spans="1:7" x14ac:dyDescent="0.25">
      <c r="A25737" s="1" t="str">
        <f>"185"</f>
        <v>185</v>
      </c>
      <c r="B25737" s="2" t="str">
        <f>"XY - 12 BB 60L(70KG) - CÓD.75981 (ECOLAB)"</f>
        <v>XY - 12 BB 60L(70KG) - CÓD.75981 (ECOLAB)</v>
      </c>
      <c r="C25737" s="2" t="str">
        <f>"KG"</f>
        <v>KG</v>
      </c>
      <c r="D25737" s="7">
        <v>400</v>
      </c>
      <c r="E25737" s="3">
        <v>4</v>
      </c>
      <c r="F25737" s="2">
        <v>9</v>
      </c>
      <c r="G25737" t="s">
        <v>513</v>
      </c>
    </row>
    <row r="25738" spans="1:7" x14ac:dyDescent="0.25">
      <c r="A25738" s="1" t="str">
        <f>"522842"</f>
        <v>522842</v>
      </c>
      <c r="B25738" s="2" t="str">
        <f>"Y 304 OD 1"" 3NP SMS ESPECIAL (DOSADOR GREGO)"</f>
        <v>Y 304 OD 1" 3NP SMS ESPECIAL (DOSADOR GREGO)</v>
      </c>
      <c r="C25738" s="2" t="str">
        <f>"UN"</f>
        <v>UN</v>
      </c>
      <c r="D25738" s="7">
        <v>915</v>
      </c>
      <c r="E25738" s="3">
        <v>10</v>
      </c>
      <c r="F25738" s="2">
        <v>5</v>
      </c>
      <c r="G25738" t="s">
        <v>514</v>
      </c>
    </row>
    <row r="25739" spans="1:7" x14ac:dyDescent="0.25">
      <c r="A25739" s="1" t="str">
        <f>"507965"</f>
        <v>507965</v>
      </c>
      <c r="B25739" s="2" t="str">
        <f>"Y DE FERRO GALVANIZADO 1 1/2"""</f>
        <v>Y DE FERRO GALVANIZADO 1 1/2"</v>
      </c>
      <c r="C25739" s="2" t="str">
        <f>"BR"</f>
        <v>BR</v>
      </c>
      <c r="D25739" s="7">
        <v>808</v>
      </c>
      <c r="E25739" s="3">
        <v>10</v>
      </c>
      <c r="F25739" s="2">
        <v>3</v>
      </c>
      <c r="G25739" t="s">
        <v>514</v>
      </c>
    </row>
    <row r="25740" spans="1:7" x14ac:dyDescent="0.25">
      <c r="A25740" s="1" t="str">
        <f>"507966"</f>
        <v>507966</v>
      </c>
      <c r="B25740" s="2" t="str">
        <f>"Y DE FERRO GALVANIZADO 2"""</f>
        <v>Y DE FERRO GALVANIZADO 2"</v>
      </c>
      <c r="C25740" s="2" t="str">
        <f>"BR"</f>
        <v>BR</v>
      </c>
      <c r="D25740" s="7">
        <v>808</v>
      </c>
      <c r="E25740" s="3">
        <v>10</v>
      </c>
      <c r="F25740" s="2">
        <v>3</v>
      </c>
      <c r="G25740" t="s">
        <v>514</v>
      </c>
    </row>
    <row r="25741" spans="1:7" x14ac:dyDescent="0.25">
      <c r="A25741" s="1" t="str">
        <f>"526008"</f>
        <v>526008</v>
      </c>
      <c r="B25741" s="2" t="str">
        <f>"Y ESGOTO 100MM"</f>
        <v>Y ESGOTO 100MM</v>
      </c>
      <c r="C25741" s="2" t="str">
        <f>"PÇ"</f>
        <v>PÇ</v>
      </c>
      <c r="D25741" s="7">
        <v>809</v>
      </c>
      <c r="E25741" s="3">
        <v>10</v>
      </c>
      <c r="F25741" s="2">
        <v>2</v>
      </c>
      <c r="G25741" t="s">
        <v>513</v>
      </c>
    </row>
    <row r="25742" spans="1:7" x14ac:dyDescent="0.25">
      <c r="A25742" s="1" t="str">
        <f>"525061"</f>
        <v>525061</v>
      </c>
      <c r="B25742" s="2" t="str">
        <f>"Y ESGOTO 100MM X 50MM"</f>
        <v>Y ESGOTO 100MM X 50MM</v>
      </c>
      <c r="C25742" s="2" t="str">
        <f>"PÇ"</f>
        <v>PÇ</v>
      </c>
      <c r="D25742" s="7">
        <v>809</v>
      </c>
      <c r="E25742" s="3">
        <v>10</v>
      </c>
      <c r="F25742" s="2">
        <v>1</v>
      </c>
      <c r="G25742" t="s">
        <v>512</v>
      </c>
    </row>
    <row r="25743" spans="1:7" x14ac:dyDescent="0.25">
      <c r="A25743" s="1" t="str">
        <f>"522318"</f>
        <v>522318</v>
      </c>
      <c r="B25743" s="2" t="str">
        <f>"Y ESGOTO 150MM"</f>
        <v>Y ESGOTO 150MM</v>
      </c>
      <c r="C25743" s="2" t="str">
        <f>"PÇ"</f>
        <v>PÇ</v>
      </c>
      <c r="D25743" s="7">
        <v>809</v>
      </c>
      <c r="E25743" s="3">
        <v>10</v>
      </c>
      <c r="F25743" s="2">
        <v>4</v>
      </c>
      <c r="G25743" t="s">
        <v>513</v>
      </c>
    </row>
    <row r="25744" spans="1:7" x14ac:dyDescent="0.25">
      <c r="A25744" s="1" t="str">
        <f>"522950"</f>
        <v>522950</v>
      </c>
      <c r="B25744" s="2" t="str">
        <f>"Y ESGOTO 150MM X 100"</f>
        <v>Y ESGOTO 150MM X 100</v>
      </c>
      <c r="C25744" s="2" t="str">
        <f>"PÇ"</f>
        <v>PÇ</v>
      </c>
      <c r="D25744" s="7">
        <v>809</v>
      </c>
      <c r="E25744" s="3">
        <v>10</v>
      </c>
      <c r="F25744" s="2">
        <v>6</v>
      </c>
      <c r="G25744" t="s">
        <v>514</v>
      </c>
    </row>
    <row r="25745" spans="1:7" x14ac:dyDescent="0.25">
      <c r="A25745" s="1" t="str">
        <f>"527217"</f>
        <v>527217</v>
      </c>
      <c r="B25745" s="2" t="str">
        <f>"Y PVC BRANCO PARA ESGOTO 50MM"</f>
        <v>Y PVC BRANCO PARA ESGOTO 50MM</v>
      </c>
      <c r="C25745" s="2" t="str">
        <f>"UN"</f>
        <v>UN</v>
      </c>
      <c r="D25745" s="7">
        <v>915</v>
      </c>
      <c r="E25745" s="3">
        <v>10</v>
      </c>
      <c r="F25745" s="2">
        <v>8</v>
      </c>
      <c r="G25745" t="s">
        <v>514</v>
      </c>
    </row>
    <row r="25746" spans="1:7" x14ac:dyDescent="0.25">
      <c r="A25746" s="1" t="str">
        <f>"523121"</f>
        <v>523121</v>
      </c>
      <c r="B25746" s="2" t="str">
        <f>"Y PVC SERIE R C/ DN 150MM X 100MM"</f>
        <v>Y PVC SERIE R C/ DN 150MM X 100MM</v>
      </c>
      <c r="C25746" s="2" t="str">
        <f>"UN"</f>
        <v>UN</v>
      </c>
      <c r="D25746" s="7">
        <v>807</v>
      </c>
      <c r="E25746" s="3">
        <v>10</v>
      </c>
      <c r="F25746" s="2">
        <v>7</v>
      </c>
      <c r="G25746" t="s">
        <v>514</v>
      </c>
    </row>
    <row r="25747" spans="1:7" x14ac:dyDescent="0.25">
      <c r="A25747" s="1" t="str">
        <f>"6223"</f>
        <v>6223</v>
      </c>
      <c r="B25747" s="2" t="str">
        <f>"Z TRIM"</f>
        <v>Z TRIM</v>
      </c>
      <c r="C25747" s="2" t="str">
        <f>"KG"</f>
        <v>KG</v>
      </c>
      <c r="D25747" s="7">
        <v>209</v>
      </c>
      <c r="E25747" s="3">
        <v>2</v>
      </c>
      <c r="F25747" s="2">
        <v>6</v>
      </c>
      <c r="G25747" t="s">
        <v>513</v>
      </c>
    </row>
    <row r="25748" spans="1:7" x14ac:dyDescent="0.25">
      <c r="A25748" s="1" t="str">
        <f>"500056"</f>
        <v>500056</v>
      </c>
      <c r="B25748" s="2" t="str">
        <f>"ZARCAO -  3,600 ML"</f>
        <v>ZARCAO -  3,600 ML</v>
      </c>
      <c r="C25748" s="2" t="str">
        <f>"PC"</f>
        <v>PC</v>
      </c>
      <c r="D25748" s="7">
        <v>403</v>
      </c>
      <c r="E25748" s="3">
        <v>4</v>
      </c>
      <c r="F25748" s="2">
        <v>6</v>
      </c>
      <c r="G25748" t="s">
        <v>513</v>
      </c>
    </row>
    <row r="25749" spans="1:7" x14ac:dyDescent="0.25">
      <c r="A25749" s="1" t="str">
        <f>"515227"</f>
        <v>515227</v>
      </c>
      <c r="B25749" s="2" t="str">
        <f>"ZIDIMAX 500MG"</f>
        <v>ZIDIMAX 500MG</v>
      </c>
      <c r="C25749" s="2" t="str">
        <f>"UN"</f>
        <v>UN</v>
      </c>
      <c r="D25749" s="7">
        <v>401</v>
      </c>
      <c r="E25749" s="3">
        <v>4</v>
      </c>
      <c r="F25749" s="2">
        <v>2</v>
      </c>
      <c r="G25749" t="s">
        <v>513</v>
      </c>
    </row>
    <row r="25750" spans="1:7" x14ac:dyDescent="0.25">
      <c r="A25750" s="1" t="str">
        <f>"186"</f>
        <v>186</v>
      </c>
      <c r="B25750" s="2" t="str">
        <f>"ZIX 40 BB 20L(20KG) - CÓD.75444 (ECOLAB)"</f>
        <v>ZIX 40 BB 20L(20KG) - CÓD.75444 (ECOLAB)</v>
      </c>
      <c r="C25750" s="2" t="str">
        <f>"KG"</f>
        <v>KG</v>
      </c>
      <c r="D25750" s="7">
        <v>400</v>
      </c>
      <c r="E25750" s="3">
        <v>4</v>
      </c>
      <c r="F25750" s="2">
        <v>1</v>
      </c>
      <c r="G25750" t="s">
        <v>512</v>
      </c>
    </row>
    <row r="25751" spans="1:7" x14ac:dyDescent="0.25">
      <c r="A25751" s="1" t="str">
        <f>"526691"</f>
        <v>526691</v>
      </c>
      <c r="B25751" s="2" t="str">
        <f>"ZNC CHAVE SIEMENS SEC TRIP. 25A 5TW3025-CX C/CAIXA IP-67"</f>
        <v>ZNC CHAVE SIEMENS SEC TRIP. 25A 5TW3025-CX C/CAIXA IP-67</v>
      </c>
      <c r="C25751" s="2" t="str">
        <f t="shared" ref="C25751:C25760" si="1017">"UN"</f>
        <v>UN</v>
      </c>
      <c r="D25751" s="7">
        <v>600</v>
      </c>
      <c r="E25751" s="3">
        <v>8</v>
      </c>
      <c r="F25751" s="2">
        <v>0</v>
      </c>
      <c r="G25751" t="s">
        <v>513</v>
      </c>
    </row>
    <row r="25752" spans="1:7" x14ac:dyDescent="0.25">
      <c r="A25752" s="1" t="str">
        <f>"509777"</f>
        <v>509777</v>
      </c>
      <c r="B25752" s="2" t="str">
        <f>"ZNC PLACA ACRILICO 200X100 4MM TRANSPARE"</f>
        <v>ZNC PLACA ACRILICO 200X100 4MM TRANSPARE</v>
      </c>
      <c r="C25752" s="2" t="str">
        <f t="shared" si="1017"/>
        <v>UN</v>
      </c>
      <c r="D25752" s="7">
        <v>601</v>
      </c>
      <c r="E25752" s="3">
        <v>8</v>
      </c>
      <c r="F25752" s="2">
        <v>0</v>
      </c>
      <c r="G25752" t="s">
        <v>514</v>
      </c>
    </row>
    <row r="25753" spans="1:7" x14ac:dyDescent="0.25">
      <c r="A25753" s="1" t="str">
        <f>"517150"</f>
        <v>517150</v>
      </c>
      <c r="B25753" s="2" t="str">
        <f>"ZNC SIMATIC PANEL OP73 6AV6641-0AA11-0AX0 SIEMENS"</f>
        <v>ZNC SIMATIC PANEL OP73 6AV6641-0AA11-0AX0 SIEMENS</v>
      </c>
      <c r="C25753" s="2" t="str">
        <f t="shared" si="1017"/>
        <v>UN</v>
      </c>
      <c r="D25753" s="7">
        <v>811</v>
      </c>
      <c r="E25753" s="3">
        <v>8</v>
      </c>
      <c r="F25753" s="2">
        <v>0</v>
      </c>
      <c r="G25753" t="s">
        <v>515</v>
      </c>
    </row>
    <row r="25754" spans="1:7" x14ac:dyDescent="0.25">
      <c r="A25754" s="1" t="str">
        <f>"527086"</f>
        <v>527086</v>
      </c>
      <c r="B25754" s="2" t="str">
        <f>"ZNC SOFTER SERV. MF LOGO COMFORT V8 MIDIA 6ED1058-0BA08-0YA1"</f>
        <v>ZNC SOFTER SERV. MF LOGO COMFORT V8 MIDIA 6ED1058-0BA08-0YA1</v>
      </c>
      <c r="C25754" s="2" t="str">
        <f t="shared" si="1017"/>
        <v>UN</v>
      </c>
      <c r="D25754" s="7">
        <v>600</v>
      </c>
      <c r="E25754" s="3">
        <v>8</v>
      </c>
      <c r="F25754" s="2">
        <v>3</v>
      </c>
      <c r="G25754" t="s">
        <v>512</v>
      </c>
    </row>
    <row r="25755" spans="1:7" x14ac:dyDescent="0.25">
      <c r="A25755" s="1" t="str">
        <f>"527085"</f>
        <v>527085</v>
      </c>
      <c r="B25755" s="2" t="str">
        <f>"ZNC SOFTER SV LOGO COMFORT V8 SERV. 6ED1058-0BA08-0YA1 SV"</f>
        <v>ZNC SOFTER SV LOGO COMFORT V8 SERV. 6ED1058-0BA08-0YA1 SV</v>
      </c>
      <c r="C25755" s="2" t="str">
        <f t="shared" si="1017"/>
        <v>UN</v>
      </c>
      <c r="D25755" s="7">
        <v>600</v>
      </c>
      <c r="E25755" s="3">
        <v>8</v>
      </c>
      <c r="F25755" s="5">
        <v>5</v>
      </c>
      <c r="G25755" t="s">
        <v>516</v>
      </c>
    </row>
    <row r="25756" spans="1:7" x14ac:dyDescent="0.25">
      <c r="A25756" s="1" t="str">
        <f>"523994"</f>
        <v>523994</v>
      </c>
      <c r="B25756" s="2" t="str">
        <f>"ZOLPIDEN 10MG - CX COM 20"</f>
        <v>ZOLPIDEN 10MG - CX COM 20</v>
      </c>
      <c r="C25756" s="2" t="str">
        <f t="shared" si="1017"/>
        <v>UN</v>
      </c>
      <c r="D25756" s="7">
        <v>99999</v>
      </c>
      <c r="E25756" s="3">
        <v>99</v>
      </c>
      <c r="F25756" s="2">
        <v>3</v>
      </c>
      <c r="G25756" t="s">
        <v>515</v>
      </c>
    </row>
    <row r="25757" spans="1:7" x14ac:dyDescent="0.25">
      <c r="A25757" s="1" t="str">
        <f>"515203"</f>
        <v>515203</v>
      </c>
      <c r="B25757" s="2" t="str">
        <f>"ZYMAR XD"</f>
        <v>ZYMAR XD</v>
      </c>
      <c r="C25757" s="2" t="str">
        <f t="shared" si="1017"/>
        <v>UN</v>
      </c>
      <c r="D25757" s="7">
        <v>401</v>
      </c>
      <c r="E25757" s="3">
        <v>4</v>
      </c>
      <c r="F25757" s="2">
        <v>8</v>
      </c>
      <c r="G25757" t="s">
        <v>514</v>
      </c>
    </row>
    <row r="25758" spans="1:7" x14ac:dyDescent="0.25">
      <c r="A25758" s="1" t="str">
        <f>"514569"</f>
        <v>514569</v>
      </c>
      <c r="B25758" s="2" t="str">
        <f>"ZZ AGAR MRS LACTOBACILI"</f>
        <v>ZZ AGAR MRS LACTOBACILI</v>
      </c>
      <c r="C25758" s="2" t="str">
        <f t="shared" si="1017"/>
        <v>UN</v>
      </c>
      <c r="D25758" s="7">
        <v>406</v>
      </c>
      <c r="E25758" s="3">
        <v>4</v>
      </c>
      <c r="F25758" s="2">
        <v>6</v>
      </c>
      <c r="G25758" t="s">
        <v>512</v>
      </c>
    </row>
    <row r="25759" spans="1:7" x14ac:dyDescent="0.25">
      <c r="A25759" s="1" t="str">
        <f>"514286"</f>
        <v>514286</v>
      </c>
      <c r="B25759" s="2" t="str">
        <f>"ZZ SACAROSE PA"</f>
        <v>ZZ SACAROSE PA</v>
      </c>
      <c r="C25759" s="2" t="str">
        <f t="shared" si="1017"/>
        <v>UN</v>
      </c>
      <c r="D25759" s="7">
        <v>406</v>
      </c>
      <c r="E25759" s="3">
        <v>4</v>
      </c>
      <c r="F25759" s="2">
        <v>4</v>
      </c>
      <c r="G25759" t="s">
        <v>513</v>
      </c>
    </row>
    <row r="25760" spans="1:7" x14ac:dyDescent="0.25">
      <c r="A25760" s="1" t="str">
        <f>"513940"</f>
        <v>513940</v>
      </c>
      <c r="B25760" s="2" t="str">
        <f>"ZZ STERIKON PLUS"</f>
        <v>ZZ STERIKON PLUS</v>
      </c>
      <c r="C25760" s="2" t="str">
        <f t="shared" si="1017"/>
        <v>UN</v>
      </c>
      <c r="D25760" s="7">
        <v>406</v>
      </c>
      <c r="E25760" s="3">
        <v>4</v>
      </c>
      <c r="F25760" s="2">
        <v>1</v>
      </c>
      <c r="G25760" t="s">
        <v>513</v>
      </c>
    </row>
    <row r="25761" spans="1:6" ht="15.75" thickBot="1" x14ac:dyDescent="0.3">
      <c r="A25761" s="12" t="s">
        <v>1</v>
      </c>
      <c r="B25761" s="16" t="str">
        <f>"ZZZZZZZZZZZZZZZZ"</f>
        <v>ZZZZZZZZZZZZZZZZ</v>
      </c>
      <c r="C25761" s="20"/>
      <c r="D25761" s="20"/>
      <c r="E25761" s="20"/>
      <c r="F25761" s="2">
        <v>2</v>
      </c>
    </row>
  </sheetData>
  <sortState xmlns:xlrd2="http://schemas.microsoft.com/office/spreadsheetml/2017/richdata2" ref="A1:F25761">
    <sortCondition ref="B1243:B25761"/>
  </sortState>
  <pageMargins left="0.78740157499999996" right="0.78740157499999996" top="0.984251969" bottom="0.984251969" header="0.4921259845" footer="0.492125984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Molini</dc:creator>
  <cp:lastModifiedBy>Renan Molini</cp:lastModifiedBy>
  <dcterms:created xsi:type="dcterms:W3CDTF">2022-03-10T14:39:57Z</dcterms:created>
  <dcterms:modified xsi:type="dcterms:W3CDTF">2024-08-16T01:20:35Z</dcterms:modified>
</cp:coreProperties>
</file>